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4.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omments8.xml" ContentType="application/vnd.openxmlformats-officedocument.spreadsheetml.comments+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omments9.xml" ContentType="application/vnd.openxmlformats-officedocument.spreadsheetml.comments+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omments10.xml" ContentType="application/vnd.openxmlformats-officedocument.spreadsheetml.comments+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omments11.xml" ContentType="application/vnd.openxmlformats-officedocument.spreadsheetml.comments+xml"/>
  <Override PartName="/xl/drawings/drawing36.xml" ContentType="application/vnd.openxmlformats-officedocument.drawing+xml"/>
  <Override PartName="/xl/drawings/drawing37.xml" ContentType="application/vnd.openxmlformats-officedocument.drawing+xml"/>
  <Override PartName="/xl/comments12.xml" ContentType="application/vnd.openxmlformats-officedocument.spreadsheetml.comments+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mc:AlternateContent xmlns:mc="http://schemas.openxmlformats.org/markup-compatibility/2006">
    <mc:Choice Requires="x15">
      <x15ac:absPath xmlns:x15ac="http://schemas.microsoft.com/office/spreadsheetml/2010/11/ac" url="\\tsn.tno.nl\data\Projects\060\2\29190\Kluis\40 Werkdocumenten\WP A\Model\"/>
    </mc:Choice>
  </mc:AlternateContent>
  <xr:revisionPtr revIDLastSave="0" documentId="10_ncr:100000_{BC6A9C4E-05CA-4451-90E4-E1F202A4F506}" xr6:coauthVersionLast="31" xr6:coauthVersionMax="31" xr10:uidLastSave="{00000000-0000-0000-0000-000000000000}"/>
  <bookViews>
    <workbookView xWindow="0" yWindow="0" windowWidth="28800" windowHeight="11925" tabRatio="928" activeTab="6" xr2:uid="{00000000-000D-0000-FFFF-FFFF00000000}"/>
  </bookViews>
  <sheets>
    <sheet name="Cover page" sheetId="75" r:id="rId1"/>
    <sheet name="Table of contents" sheetId="73" r:id="rId2"/>
    <sheet name="Assumptions" sheetId="98" r:id="rId3"/>
    <sheet name="Scenarios" sheetId="52" r:id="rId4"/>
    <sheet name="scenario_names" sheetId="81" state="hidden" r:id="rId5"/>
    <sheet name="Parameters" sheetId="45" r:id="rId6"/>
    <sheet name="Visuals" sheetId="85" r:id="rId7"/>
    <sheet name="Output" sheetId="74" r:id="rId8"/>
    <sheet name="Output E" sheetId="55" r:id="rId9"/>
    <sheet name="Output CCS" sheetId="82" r:id="rId10"/>
    <sheet name="Output H2 S" sheetId="94" r:id="rId11"/>
    <sheet name="Output H2 L" sheetId="76" r:id="rId12"/>
    <sheet name="Gas price scenarios" sheetId="62" r:id="rId13"/>
    <sheet name="Electricity price scenarios" sheetId="63" r:id="rId14"/>
    <sheet name="CO2 price scenarios" sheetId="64" r:id="rId15"/>
    <sheet name="Frontier" sheetId="66" r:id="rId16"/>
    <sheet name="NEV Tabel 3a Prijzen V" sheetId="67" r:id="rId17"/>
    <sheet name="NEV Tabel 3b Prijzen VV" sheetId="68" r:id="rId18"/>
    <sheet name="E_cable_costs" sheetId="84" state="hidden" r:id="rId19"/>
    <sheet name="CO2 --&gt;" sheetId="78" r:id="rId20"/>
    <sheet name="CO2 COMPRESSION" sheetId="9" r:id="rId21"/>
    <sheet name="CO2 PIPELINE" sheetId="11" r:id="rId22"/>
    <sheet name="CO2 INJECTION" sheetId="12" r:id="rId23"/>
    <sheet name="CO2 PLATFORM" sheetId="71" r:id="rId24"/>
    <sheet name="CO2 decom &amp; refub" sheetId="100" r:id="rId25"/>
    <sheet name="SMALL H2 --&gt;" sheetId="89" r:id="rId26"/>
    <sheet name="ELECTROLYSIS S" sheetId="90" r:id="rId27"/>
    <sheet name="H2 COMPRESSION S" sheetId="91" r:id="rId28"/>
    <sheet name="H2 PIPELINE S" sheetId="92" r:id="rId29"/>
    <sheet name="H2 PLATFORM S" sheetId="93" r:id="rId30"/>
    <sheet name="H2 decom &amp; refub S" sheetId="101" r:id="rId31"/>
    <sheet name="LARGE H2 --&gt;" sheetId="79" r:id="rId32"/>
    <sheet name="ELECTROLYSIS" sheetId="33" r:id="rId33"/>
    <sheet name="H2 COMPRESSION" sheetId="34" r:id="rId34"/>
    <sheet name="H2 PIPELINE" sheetId="35" r:id="rId35"/>
    <sheet name="H2 PLATFORM" sheetId="70" r:id="rId36"/>
    <sheet name="H2 decom &amp; refub L" sheetId="102" r:id="rId37"/>
    <sheet name="Databases" sheetId="80" r:id="rId38"/>
    <sheet name="DATABASE CO2 STORAGE" sheetId="97" r:id="rId39"/>
    <sheet name="DATABASE PLATFORMS" sheetId="37" r:id="rId40"/>
    <sheet name="APX Input" sheetId="86" r:id="rId41"/>
    <sheet name="Prices" sheetId="83" r:id="rId42"/>
    <sheet name="P-D-T TABLES DATABASE" sheetId="39" r:id="rId43"/>
    <sheet name="Electrification --&gt;" sheetId="53" r:id="rId44"/>
    <sheet name="electrification_input" sheetId="54" r:id="rId45"/>
    <sheet name="Investments_elec" sheetId="56" r:id="rId46"/>
    <sheet name="Exploitation_elec" sheetId="57" r:id="rId47"/>
    <sheet name="Revenues_elec" sheetId="58" r:id="rId48"/>
    <sheet name="CO2 emissions_elec" sheetId="59" r:id="rId49"/>
    <sheet name="E Decom &amp; refub" sheetId="99" r:id="rId50"/>
    <sheet name="Pipeline_CAPEX_OPEX" sheetId="87" r:id="rId51"/>
    <sheet name="Cable implied fee" sheetId="103" r:id="rId52"/>
    <sheet name="Gas_production" sheetId="88" r:id="rId53"/>
    <sheet name="OPEX_elec" sheetId="60" r:id="rId54"/>
    <sheet name="Unit conversion" sheetId="61" r:id="rId55"/>
  </sheets>
  <externalReferences>
    <externalReference r:id="rId56"/>
    <externalReference r:id="rId57"/>
    <externalReference r:id="rId58"/>
  </externalReferences>
  <definedNames>
    <definedName name="_xlnm._FilterDatabase" localSheetId="40" hidden="1">'APX Input'!$AF$2:$AF$2615</definedName>
    <definedName name="_xlnm._FilterDatabase" localSheetId="39" hidden="1">'DATABASE PLATFORMS'!$C$7:$R$135</definedName>
    <definedName name="_xlnm._FilterDatabase" localSheetId="5" hidden="1">Parameters!$B$9:$H$9</definedName>
    <definedName name="_xlnm._FilterDatabase" localSheetId="42" hidden="1">'P-D-T TABLES DATABASE'!$C$3</definedName>
    <definedName name="_xlnm._FilterDatabase" localSheetId="3" hidden="1">Scenarios!$B$8:$H$8</definedName>
    <definedName name="listIndex" localSheetId="24">[1]scenario_names!$C$2:INDEX([1]scenario_names!$C$2:$C$101,SUMPRODUCT(--([1]scenario_names!$C$2:$C$101&lt;&gt;"")))</definedName>
    <definedName name="listIndex" localSheetId="49">[2]scenario_names!$C$2:INDEX([2]scenario_names!$C$2:$C$101,SUMPRODUCT(--([2]scenario_names!$C$2:$C$101&lt;&gt;"")))</definedName>
    <definedName name="listIndex" localSheetId="36">[1]scenario_names!$C$2:INDEX([1]scenario_names!$C$2:$C$101,SUMPRODUCT(--([1]scenario_names!$C$2:$C$101&lt;&gt;"")))</definedName>
    <definedName name="listIndex" localSheetId="30">[1]scenario_names!$C$2:INDEX([1]scenario_names!$C$2:$C$101,SUMPRODUCT(--([1]scenario_names!$C$2:$C$101&lt;&gt;"")))</definedName>
    <definedName name="listIndex" localSheetId="4">scenario_names!$C$2:INDEX(scenario_names!$C$2:$C$101,SUMPRODUCT(--(scenario_names!$C$2:$C$101&lt;&gt;"")))</definedName>
    <definedName name="listIndex">scenario_names!$C$2:INDEX(scenario_names!$C$2:$C$101,SUMPRODUCT(--(scenario_names!$C$2:$C$101&lt;&gt;"")))</definedName>
    <definedName name="solver_adj" localSheetId="51" hidden="1">'Cable implied fee'!#REF!</definedName>
    <definedName name="solver_adj" localSheetId="44" hidden="1">electrification_input!$G$17</definedName>
    <definedName name="solver_adj" localSheetId="9" hidden="1">'Output CCS'!#REF!</definedName>
    <definedName name="solver_adj" localSheetId="8" hidden="1">'Output E'!#REF!</definedName>
    <definedName name="solver_adj" localSheetId="11" hidden="1">'Output H2 L'!#REF!</definedName>
    <definedName name="solver_adj" localSheetId="10" hidden="1">'Output H2 S'!#REF!</definedName>
    <definedName name="solver_cvg" localSheetId="51" hidden="1">0.0001</definedName>
    <definedName name="solver_cvg" localSheetId="44" hidden="1">0.0001</definedName>
    <definedName name="solver_cvg" localSheetId="9" hidden="1">0.0001</definedName>
    <definedName name="solver_cvg" localSheetId="8" hidden="1">0.0001</definedName>
    <definedName name="solver_cvg" localSheetId="11" hidden="1">0.0001</definedName>
    <definedName name="solver_cvg" localSheetId="10" hidden="1">0.0001</definedName>
    <definedName name="solver_drv" localSheetId="51" hidden="1">1</definedName>
    <definedName name="solver_drv" localSheetId="44" hidden="1">1</definedName>
    <definedName name="solver_drv" localSheetId="9" hidden="1">1</definedName>
    <definedName name="solver_drv" localSheetId="8" hidden="1">1</definedName>
    <definedName name="solver_drv" localSheetId="11" hidden="1">1</definedName>
    <definedName name="solver_drv" localSheetId="10" hidden="1">1</definedName>
    <definedName name="solver_eng" localSheetId="51" hidden="1">1</definedName>
    <definedName name="solver_eng" localSheetId="44" hidden="1">1</definedName>
    <definedName name="solver_eng" localSheetId="9" hidden="1">1</definedName>
    <definedName name="solver_eng" localSheetId="8" hidden="1">1</definedName>
    <definedName name="solver_eng" localSheetId="11" hidden="1">1</definedName>
    <definedName name="solver_eng" localSheetId="10" hidden="1">1</definedName>
    <definedName name="solver_est" localSheetId="51" hidden="1">1</definedName>
    <definedName name="solver_est" localSheetId="44" hidden="1">1</definedName>
    <definedName name="solver_est" localSheetId="9" hidden="1">1</definedName>
    <definedName name="solver_est" localSheetId="8" hidden="1">1</definedName>
    <definedName name="solver_est" localSheetId="11" hidden="1">1</definedName>
    <definedName name="solver_est" localSheetId="10" hidden="1">1</definedName>
    <definedName name="solver_itr" localSheetId="51" hidden="1">2147483647</definedName>
    <definedName name="solver_itr" localSheetId="44" hidden="1">2147483647</definedName>
    <definedName name="solver_itr" localSheetId="9" hidden="1">2147483647</definedName>
    <definedName name="solver_itr" localSheetId="8" hidden="1">2147483647</definedName>
    <definedName name="solver_itr" localSheetId="11" hidden="1">2147483647</definedName>
    <definedName name="solver_itr" localSheetId="10" hidden="1">2147483647</definedName>
    <definedName name="solver_mip" localSheetId="51" hidden="1">2147483647</definedName>
    <definedName name="solver_mip" localSheetId="44" hidden="1">2147483647</definedName>
    <definedName name="solver_mip" localSheetId="9" hidden="1">2147483647</definedName>
    <definedName name="solver_mip" localSheetId="8" hidden="1">2147483647</definedName>
    <definedName name="solver_mip" localSheetId="11" hidden="1">2147483647</definedName>
    <definedName name="solver_mip" localSheetId="10" hidden="1">2147483647</definedName>
    <definedName name="solver_mni" localSheetId="51" hidden="1">30</definedName>
    <definedName name="solver_mni" localSheetId="44" hidden="1">30</definedName>
    <definedName name="solver_mni" localSheetId="9" hidden="1">30</definedName>
    <definedName name="solver_mni" localSheetId="8" hidden="1">30</definedName>
    <definedName name="solver_mni" localSheetId="11" hidden="1">30</definedName>
    <definedName name="solver_mni" localSheetId="10" hidden="1">30</definedName>
    <definedName name="solver_mrt" localSheetId="51" hidden="1">0.075</definedName>
    <definedName name="solver_mrt" localSheetId="44" hidden="1">0.075</definedName>
    <definedName name="solver_mrt" localSheetId="9" hidden="1">0.075</definedName>
    <definedName name="solver_mrt" localSheetId="8" hidden="1">0.075</definedName>
    <definedName name="solver_mrt" localSheetId="11" hidden="1">0.075</definedName>
    <definedName name="solver_mrt" localSheetId="10" hidden="1">0.075</definedName>
    <definedName name="solver_msl" localSheetId="51" hidden="1">2</definedName>
    <definedName name="solver_msl" localSheetId="44" hidden="1">2</definedName>
    <definedName name="solver_msl" localSheetId="9" hidden="1">2</definedName>
    <definedName name="solver_msl" localSheetId="8" hidden="1">2</definedName>
    <definedName name="solver_msl" localSheetId="11" hidden="1">2</definedName>
    <definedName name="solver_msl" localSheetId="10" hidden="1">2</definedName>
    <definedName name="solver_neg" localSheetId="51" hidden="1">1</definedName>
    <definedName name="solver_neg" localSheetId="44" hidden="1">1</definedName>
    <definedName name="solver_neg" localSheetId="9" hidden="1">1</definedName>
    <definedName name="solver_neg" localSheetId="8" hidden="1">1</definedName>
    <definedName name="solver_neg" localSheetId="11" hidden="1">1</definedName>
    <definedName name="solver_neg" localSheetId="10" hidden="1">1</definedName>
    <definedName name="solver_nod" localSheetId="51" hidden="1">2147483647</definedName>
    <definedName name="solver_nod" localSheetId="44" hidden="1">2147483647</definedName>
    <definedName name="solver_nod" localSheetId="9" hidden="1">2147483647</definedName>
    <definedName name="solver_nod" localSheetId="8" hidden="1">2147483647</definedName>
    <definedName name="solver_nod" localSheetId="11" hidden="1">2147483647</definedName>
    <definedName name="solver_nod" localSheetId="10" hidden="1">2147483647</definedName>
    <definedName name="solver_num" localSheetId="51" hidden="1">0</definedName>
    <definedName name="solver_num" localSheetId="44" hidden="1">0</definedName>
    <definedName name="solver_num" localSheetId="9" hidden="1">0</definedName>
    <definedName name="solver_num" localSheetId="8" hidden="1">0</definedName>
    <definedName name="solver_num" localSheetId="11" hidden="1">0</definedName>
    <definedName name="solver_num" localSheetId="10" hidden="1">0</definedName>
    <definedName name="solver_nwt" localSheetId="51" hidden="1">1</definedName>
    <definedName name="solver_nwt" localSheetId="44" hidden="1">1</definedName>
    <definedName name="solver_nwt" localSheetId="9" hidden="1">1</definedName>
    <definedName name="solver_nwt" localSheetId="8" hidden="1">1</definedName>
    <definedName name="solver_nwt" localSheetId="11" hidden="1">1</definedName>
    <definedName name="solver_nwt" localSheetId="10" hidden="1">1</definedName>
    <definedName name="solver_opt" localSheetId="51" hidden="1">'Cable implied fee'!#REF!</definedName>
    <definedName name="solver_opt" localSheetId="44" hidden="1">electrification_input!$L$13</definedName>
    <definedName name="solver_opt" localSheetId="9" hidden="1">'Output CCS'!#REF!</definedName>
    <definedName name="solver_opt" localSheetId="8" hidden="1">'Output E'!#REF!</definedName>
    <definedName name="solver_opt" localSheetId="11" hidden="1">'Output H2 L'!#REF!</definedName>
    <definedName name="solver_opt" localSheetId="10" hidden="1">'Output H2 S'!#REF!</definedName>
    <definedName name="solver_pre" localSheetId="51" hidden="1">0.000001</definedName>
    <definedName name="solver_pre" localSheetId="44" hidden="1">0.000001</definedName>
    <definedName name="solver_pre" localSheetId="9" hidden="1">0.000001</definedName>
    <definedName name="solver_pre" localSheetId="8" hidden="1">0.000001</definedName>
    <definedName name="solver_pre" localSheetId="11" hidden="1">0.000001</definedName>
    <definedName name="solver_pre" localSheetId="10" hidden="1">0.000001</definedName>
    <definedName name="solver_rbv" localSheetId="51" hidden="1">1</definedName>
    <definedName name="solver_rbv" localSheetId="44" hidden="1">1</definedName>
    <definedName name="solver_rbv" localSheetId="9" hidden="1">1</definedName>
    <definedName name="solver_rbv" localSheetId="8" hidden="1">1</definedName>
    <definedName name="solver_rbv" localSheetId="11" hidden="1">1</definedName>
    <definedName name="solver_rbv" localSheetId="10" hidden="1">1</definedName>
    <definedName name="solver_rlx" localSheetId="51" hidden="1">2</definedName>
    <definedName name="solver_rlx" localSheetId="44" hidden="1">2</definedName>
    <definedName name="solver_rlx" localSheetId="9" hidden="1">2</definedName>
    <definedName name="solver_rlx" localSheetId="8" hidden="1">2</definedName>
    <definedName name="solver_rlx" localSheetId="11" hidden="1">2</definedName>
    <definedName name="solver_rlx" localSheetId="10" hidden="1">2</definedName>
    <definedName name="solver_rsd" localSheetId="51" hidden="1">0</definedName>
    <definedName name="solver_rsd" localSheetId="44" hidden="1">0</definedName>
    <definedName name="solver_rsd" localSheetId="9" hidden="1">0</definedName>
    <definedName name="solver_rsd" localSheetId="8" hidden="1">0</definedName>
    <definedName name="solver_rsd" localSheetId="11" hidden="1">0</definedName>
    <definedName name="solver_rsd" localSheetId="10" hidden="1">0</definedName>
    <definedName name="solver_scl" localSheetId="51" hidden="1">1</definedName>
    <definedName name="solver_scl" localSheetId="44" hidden="1">1</definedName>
    <definedName name="solver_scl" localSheetId="9" hidden="1">1</definedName>
    <definedName name="solver_scl" localSheetId="8" hidden="1">1</definedName>
    <definedName name="solver_scl" localSheetId="11" hidden="1">1</definedName>
    <definedName name="solver_scl" localSheetId="10" hidden="1">1</definedName>
    <definedName name="solver_sho" localSheetId="51" hidden="1">2</definedName>
    <definedName name="solver_sho" localSheetId="44" hidden="1">2</definedName>
    <definedName name="solver_sho" localSheetId="9" hidden="1">2</definedName>
    <definedName name="solver_sho" localSheetId="8" hidden="1">2</definedName>
    <definedName name="solver_sho" localSheetId="11" hidden="1">2</definedName>
    <definedName name="solver_sho" localSheetId="10" hidden="1">2</definedName>
    <definedName name="solver_ssz" localSheetId="51" hidden="1">100</definedName>
    <definedName name="solver_ssz" localSheetId="44" hidden="1">100</definedName>
    <definedName name="solver_ssz" localSheetId="9" hidden="1">100</definedName>
    <definedName name="solver_ssz" localSheetId="8" hidden="1">100</definedName>
    <definedName name="solver_ssz" localSheetId="11" hidden="1">100</definedName>
    <definedName name="solver_ssz" localSheetId="10" hidden="1">100</definedName>
    <definedName name="solver_tim" localSheetId="51" hidden="1">2147483647</definedName>
    <definedName name="solver_tim" localSheetId="44" hidden="1">2147483647</definedName>
    <definedName name="solver_tim" localSheetId="9" hidden="1">2147483647</definedName>
    <definedName name="solver_tim" localSheetId="8" hidden="1">2147483647</definedName>
    <definedName name="solver_tim" localSheetId="11" hidden="1">2147483647</definedName>
    <definedName name="solver_tim" localSheetId="10" hidden="1">2147483647</definedName>
    <definedName name="solver_tol" localSheetId="51" hidden="1">0.01</definedName>
    <definedName name="solver_tol" localSheetId="44" hidden="1">0.01</definedName>
    <definedName name="solver_tol" localSheetId="9" hidden="1">0.01</definedName>
    <definedName name="solver_tol" localSheetId="8" hidden="1">0.01</definedName>
    <definedName name="solver_tol" localSheetId="11" hidden="1">0.01</definedName>
    <definedName name="solver_tol" localSheetId="10" hidden="1">0.01</definedName>
    <definedName name="solver_typ" localSheetId="51" hidden="1">3</definedName>
    <definedName name="solver_typ" localSheetId="44" hidden="1">3</definedName>
    <definedName name="solver_typ" localSheetId="9" hidden="1">3</definedName>
    <definedName name="solver_typ" localSheetId="8" hidden="1">3</definedName>
    <definedName name="solver_typ" localSheetId="11" hidden="1">3</definedName>
    <definedName name="solver_typ" localSheetId="10" hidden="1">3</definedName>
    <definedName name="solver_val" localSheetId="51" hidden="1">0</definedName>
    <definedName name="solver_val" localSheetId="44" hidden="1">0</definedName>
    <definedName name="solver_val" localSheetId="9" hidden="1">0</definedName>
    <definedName name="solver_val" localSheetId="8" hidden="1">0</definedName>
    <definedName name="solver_val" localSheetId="11" hidden="1">0</definedName>
    <definedName name="solver_val" localSheetId="10" hidden="1">0</definedName>
    <definedName name="solver_ver" localSheetId="51" hidden="1">3</definedName>
    <definedName name="solver_ver" localSheetId="44" hidden="1">3</definedName>
    <definedName name="solver_ver" localSheetId="9" hidden="1">3</definedName>
    <definedName name="solver_ver" localSheetId="8" hidden="1">3</definedName>
    <definedName name="solver_ver" localSheetId="11" hidden="1">3</definedName>
    <definedName name="solver_ver" localSheetId="10" hidden="1">3</definedName>
    <definedName name="TaxRate">Parameters!$G$151</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1" i="55" l="1"/>
  <c r="D45" i="55"/>
  <c r="D19" i="76"/>
  <c r="G260" i="45" l="1"/>
  <c r="G381" i="45"/>
  <c r="G116" i="45" l="1"/>
  <c r="K56" i="33" l="1"/>
  <c r="U16" i="33" s="1"/>
  <c r="I56" i="33"/>
  <c r="S16" i="33" s="1"/>
  <c r="D18" i="33"/>
  <c r="C56" i="33" s="1"/>
  <c r="F17" i="33"/>
  <c r="D17" i="33"/>
  <c r="F16" i="33"/>
  <c r="D16" i="33"/>
  <c r="G398" i="45"/>
  <c r="E18" i="33" s="1"/>
  <c r="D56" i="33" s="1"/>
  <c r="G397" i="45"/>
  <c r="E17" i="33" s="1"/>
  <c r="G396" i="45"/>
  <c r="E16" i="33" s="1"/>
  <c r="K57" i="90"/>
  <c r="U15" i="90" s="1"/>
  <c r="I57" i="90"/>
  <c r="S15" i="90" s="1"/>
  <c r="F18" i="90"/>
  <c r="E57" i="90" s="1"/>
  <c r="D18" i="90"/>
  <c r="C57" i="90" s="1"/>
  <c r="F17" i="90"/>
  <c r="D17" i="90"/>
  <c r="F16" i="90"/>
  <c r="D16" i="90"/>
  <c r="G277" i="45"/>
  <c r="E18" i="90" s="1"/>
  <c r="D57" i="90" s="1"/>
  <c r="G276" i="45"/>
  <c r="E17" i="90" s="1"/>
  <c r="G275" i="45"/>
  <c r="E16" i="90" s="1"/>
  <c r="G483" i="45" l="1"/>
  <c r="G233" i="45"/>
  <c r="C29" i="66" l="1"/>
  <c r="F118" i="52" l="1"/>
  <c r="E96" i="12"/>
  <c r="I94" i="12" s="1"/>
  <c r="C96" i="12"/>
  <c r="G94" i="12" s="1"/>
  <c r="G191" i="45"/>
  <c r="D96" i="12" s="1"/>
  <c r="H94" i="12" s="1"/>
  <c r="N478" i="45"/>
  <c r="O478" i="45"/>
  <c r="E287" i="74" l="1"/>
  <c r="E294" i="74"/>
  <c r="E293" i="74"/>
  <c r="E292" i="74"/>
  <c r="F286" i="74"/>
  <c r="F291" i="74" s="1"/>
  <c r="F285" i="74"/>
  <c r="F290" i="74" s="1"/>
  <c r="F284" i="74"/>
  <c r="F289" i="74" s="1"/>
  <c r="F283" i="74"/>
  <c r="F288" i="74" s="1"/>
  <c r="F282" i="74"/>
  <c r="F292" i="74" s="1"/>
  <c r="E284" i="74"/>
  <c r="E289" i="74" s="1"/>
  <c r="E283" i="74"/>
  <c r="E288" i="74" s="1"/>
  <c r="F296" i="74"/>
  <c r="F295" i="74"/>
  <c r="F294" i="74"/>
  <c r="F293" i="74"/>
  <c r="B2" i="60"/>
  <c r="B2" i="88"/>
  <c r="B1" i="99"/>
  <c r="B2" i="59"/>
  <c r="B2" i="58"/>
  <c r="B2" i="57"/>
  <c r="B2" i="56"/>
  <c r="B2" i="54"/>
  <c r="B1" i="102"/>
  <c r="B1" i="70"/>
  <c r="B1" i="35"/>
  <c r="B1" i="34"/>
  <c r="B1" i="33"/>
  <c r="B1" i="101"/>
  <c r="B1" i="93"/>
  <c r="B1" i="92"/>
  <c r="B1" i="91"/>
  <c r="B1" i="90"/>
  <c r="B1" i="100"/>
  <c r="B1" i="71"/>
  <c r="B1" i="12"/>
  <c r="B1" i="11"/>
  <c r="B1" i="9"/>
  <c r="F287" i="74" l="1"/>
  <c r="B8" i="76"/>
  <c r="B8" i="94"/>
  <c r="B8" i="82"/>
  <c r="B24" i="55"/>
  <c r="K74" i="45"/>
  <c r="K75" i="45" s="1"/>
  <c r="Q75" i="45" s="1"/>
  <c r="J74" i="45"/>
  <c r="A2" i="81" l="1" a="1"/>
  <c r="A3" i="81" s="1"/>
  <c r="G12" i="45"/>
  <c r="I143" i="74"/>
  <c r="F143" i="74"/>
  <c r="E47" i="74"/>
  <c r="B95" i="55"/>
  <c r="G7" i="99" a="1"/>
  <c r="H7" i="99" s="1"/>
  <c r="H6" i="99" a="1"/>
  <c r="H6" i="99" s="1"/>
  <c r="G6" i="99" a="1"/>
  <c r="G6" i="99" s="1"/>
  <c r="C3" i="99"/>
  <c r="B70" i="55"/>
  <c r="C95" i="55"/>
  <c r="A90" i="81" l="1"/>
  <c r="A58" i="81"/>
  <c r="A26" i="81"/>
  <c r="A2" i="81"/>
  <c r="A81" i="81"/>
  <c r="A57" i="81"/>
  <c r="A41" i="81"/>
  <c r="A33" i="81"/>
  <c r="A25" i="81"/>
  <c r="A17" i="81"/>
  <c r="A9" i="81"/>
  <c r="A96" i="81"/>
  <c r="A88" i="81"/>
  <c r="A80" i="81"/>
  <c r="A72" i="81"/>
  <c r="A64" i="81"/>
  <c r="A56" i="81"/>
  <c r="A48" i="81"/>
  <c r="A40" i="81"/>
  <c r="A32" i="81"/>
  <c r="A24" i="81"/>
  <c r="A16" i="81"/>
  <c r="A8" i="81"/>
  <c r="A66" i="81"/>
  <c r="A23" i="81"/>
  <c r="A98" i="81"/>
  <c r="A74" i="81"/>
  <c r="A42" i="81"/>
  <c r="A10" i="81"/>
  <c r="A89" i="81"/>
  <c r="A73" i="81"/>
  <c r="A49" i="81"/>
  <c r="A87" i="81"/>
  <c r="A71" i="81"/>
  <c r="A55" i="81"/>
  <c r="A39" i="81"/>
  <c r="A15" i="81"/>
  <c r="A94" i="81"/>
  <c r="A78" i="81"/>
  <c r="A70" i="81"/>
  <c r="A54" i="81"/>
  <c r="A38" i="81"/>
  <c r="A22" i="81"/>
  <c r="A6" i="81"/>
  <c r="A101" i="81"/>
  <c r="A85" i="81"/>
  <c r="A69" i="81"/>
  <c r="A53" i="81"/>
  <c r="A37" i="81"/>
  <c r="A21" i="81"/>
  <c r="A5" i="81"/>
  <c r="A100" i="81"/>
  <c r="A92" i="81"/>
  <c r="A84" i="81"/>
  <c r="A76" i="81"/>
  <c r="A68" i="81"/>
  <c r="A60" i="81"/>
  <c r="A52" i="81"/>
  <c r="A44" i="81"/>
  <c r="A36" i="81"/>
  <c r="A28" i="81"/>
  <c r="A20" i="81"/>
  <c r="A12" i="81"/>
  <c r="A4" i="81"/>
  <c r="A82" i="81"/>
  <c r="A50" i="81"/>
  <c r="A34" i="81"/>
  <c r="A18" i="81"/>
  <c r="A97" i="81"/>
  <c r="A65" i="81"/>
  <c r="A95" i="81"/>
  <c r="A79" i="81"/>
  <c r="A63" i="81"/>
  <c r="A47" i="81"/>
  <c r="A31" i="81"/>
  <c r="A7" i="81"/>
  <c r="A86" i="81"/>
  <c r="A62" i="81"/>
  <c r="A46" i="81"/>
  <c r="A30" i="81"/>
  <c r="A14" i="81"/>
  <c r="A93" i="81"/>
  <c r="A77" i="81"/>
  <c r="A61" i="81"/>
  <c r="A45" i="81"/>
  <c r="A29" i="81"/>
  <c r="A13" i="81"/>
  <c r="A99" i="81"/>
  <c r="A91" i="81"/>
  <c r="A83" i="81"/>
  <c r="A75" i="81"/>
  <c r="A67" i="81"/>
  <c r="A59" i="81"/>
  <c r="A51" i="81"/>
  <c r="A43" i="81"/>
  <c r="A35" i="81"/>
  <c r="A27" i="81"/>
  <c r="A19" i="81"/>
  <c r="A11" i="81"/>
  <c r="G11" i="99"/>
  <c r="G7" i="99"/>
  <c r="H10" i="99"/>
  <c r="G10" i="99"/>
  <c r="G9" i="99"/>
  <c r="H8" i="99"/>
  <c r="H9" i="99"/>
  <c r="G8" i="99"/>
  <c r="H11" i="99"/>
  <c r="G20" i="45"/>
  <c r="F41" i="74" l="1"/>
  <c r="E41" i="74"/>
  <c r="E219" i="74" s="1"/>
  <c r="F40" i="74"/>
  <c r="E40" i="74"/>
  <c r="E218" i="74" s="1"/>
  <c r="R75" i="45" l="1"/>
  <c r="J75" i="45"/>
  <c r="F35" i="74"/>
  <c r="F179" i="74" s="1"/>
  <c r="B30" i="55"/>
  <c r="E35" i="74" s="1"/>
  <c r="E179" i="74" s="1"/>
  <c r="G96" i="45"/>
  <c r="F144" i="74"/>
  <c r="F213" i="74" s="1"/>
  <c r="F107" i="74"/>
  <c r="F203" i="74" s="1"/>
  <c r="F71" i="74"/>
  <c r="F193" i="74" s="1"/>
  <c r="I7" i="70"/>
  <c r="G7" i="70"/>
  <c r="E487" i="45" s="1"/>
  <c r="B17" i="76" s="1"/>
  <c r="E144" i="74" s="1"/>
  <c r="E213" i="74" s="1"/>
  <c r="E22" i="70"/>
  <c r="C22" i="70"/>
  <c r="C7" i="70"/>
  <c r="G478" i="45"/>
  <c r="D22" i="70" s="1"/>
  <c r="G477" i="45"/>
  <c r="D7" i="70" s="1"/>
  <c r="I7" i="93"/>
  <c r="G7" i="93"/>
  <c r="E366" i="45" s="1"/>
  <c r="B17" i="94" s="1"/>
  <c r="E107" i="74" s="1"/>
  <c r="E203" i="74" s="1"/>
  <c r="E22" i="93"/>
  <c r="C22" i="93"/>
  <c r="C6" i="93"/>
  <c r="G357" i="45"/>
  <c r="D22" i="93" s="1"/>
  <c r="G356" i="45"/>
  <c r="D6" i="93" s="1"/>
  <c r="I6" i="71"/>
  <c r="G6" i="71"/>
  <c r="E237" i="45"/>
  <c r="B20" i="82" s="1"/>
  <c r="E71" i="74" s="1"/>
  <c r="E193" i="74" s="1"/>
  <c r="E56" i="71"/>
  <c r="C56" i="71"/>
  <c r="C9" i="71"/>
  <c r="G221" i="45"/>
  <c r="D56" i="71" s="1"/>
  <c r="G220" i="45"/>
  <c r="D9" i="71" s="1"/>
  <c r="H24" i="70" l="1"/>
  <c r="H7" i="70" s="1"/>
  <c r="H24" i="93"/>
  <c r="H7" i="93" s="1"/>
  <c r="H56" i="71"/>
  <c r="J16" i="45"/>
  <c r="C5" i="64"/>
  <c r="C6" i="64" s="1"/>
  <c r="C7" i="64" s="1"/>
  <c r="C8" i="64" s="1"/>
  <c r="C9" i="64" s="1"/>
  <c r="C10" i="64" s="1"/>
  <c r="C11" i="64" s="1"/>
  <c r="C12" i="64" s="1"/>
  <c r="C13" i="64" s="1"/>
  <c r="C5" i="63"/>
  <c r="C6" i="63" s="1"/>
  <c r="C7" i="63" s="1"/>
  <c r="C8" i="63" s="1"/>
  <c r="C9" i="63" s="1"/>
  <c r="C10" i="63" s="1"/>
  <c r="C11" i="63" s="1"/>
  <c r="C5" i="62"/>
  <c r="C6" i="62" s="1"/>
  <c r="C7" i="62" s="1"/>
  <c r="C8" i="62" s="1"/>
  <c r="C9" i="62" s="1"/>
  <c r="C10" i="62" s="1"/>
  <c r="C11" i="62" s="1"/>
  <c r="Q366" i="45" l="1"/>
  <c r="N366" i="45"/>
  <c r="L366" i="45"/>
  <c r="O366" i="45"/>
  <c r="R366" i="45"/>
  <c r="K366" i="45"/>
  <c r="J366" i="45"/>
  <c r="S366" i="45"/>
  <c r="R487" i="45"/>
  <c r="S487" i="45"/>
  <c r="N487" i="45"/>
  <c r="L487" i="45"/>
  <c r="Q487" i="45"/>
  <c r="O487" i="45"/>
  <c r="J487" i="45"/>
  <c r="K487" i="45"/>
  <c r="H6" i="71"/>
  <c r="S499" i="45"/>
  <c r="R499" i="45"/>
  <c r="Q499" i="45"/>
  <c r="O499" i="45"/>
  <c r="N499" i="45"/>
  <c r="L499" i="45"/>
  <c r="K499" i="45"/>
  <c r="J499" i="45"/>
  <c r="G44" i="45"/>
  <c r="G487" i="45" l="1"/>
  <c r="G366" i="45"/>
  <c r="G499" i="45"/>
  <c r="E48" i="54" s="1"/>
  <c r="N237" i="45"/>
  <c r="O237" i="45"/>
  <c r="L237" i="45"/>
  <c r="Q237" i="45"/>
  <c r="K237" i="45"/>
  <c r="J237" i="45"/>
  <c r="R237" i="45"/>
  <c r="S237" i="45"/>
  <c r="G237" i="45" l="1"/>
  <c r="S170" i="45" l="1"/>
  <c r="R170" i="45"/>
  <c r="Q170" i="45"/>
  <c r="Q196" i="45"/>
  <c r="F212" i="74" l="1"/>
  <c r="E143" i="74"/>
  <c r="E212" i="74" s="1"/>
  <c r="F106" i="74"/>
  <c r="F202" i="74" s="1"/>
  <c r="E106" i="74"/>
  <c r="E202" i="74" s="1"/>
  <c r="S189" i="45"/>
  <c r="R189" i="45"/>
  <c r="Q189" i="45"/>
  <c r="O189" i="45"/>
  <c r="N189" i="45"/>
  <c r="L189" i="45"/>
  <c r="K189" i="45"/>
  <c r="J189" i="45"/>
  <c r="F82" i="74"/>
  <c r="F229" i="74" s="1"/>
  <c r="F81" i="74"/>
  <c r="F228" i="74" s="1"/>
  <c r="B32" i="82"/>
  <c r="E82" i="74" s="1"/>
  <c r="E229" i="74" s="1"/>
  <c r="I13" i="12"/>
  <c r="G13" i="12"/>
  <c r="E211" i="45" s="1"/>
  <c r="B31" i="82" s="1"/>
  <c r="E81" i="74" s="1"/>
  <c r="E228" i="74" s="1"/>
  <c r="C97" i="12"/>
  <c r="G192" i="45"/>
  <c r="D97" i="12" s="1"/>
  <c r="I22" i="70"/>
  <c r="G22" i="70"/>
  <c r="I21" i="70"/>
  <c r="G21" i="70"/>
  <c r="G21" i="93"/>
  <c r="F211" i="45" l="1"/>
  <c r="AX19" i="83"/>
  <c r="AW19" i="83"/>
  <c r="AV19" i="83"/>
  <c r="AU19" i="83"/>
  <c r="AT19" i="83"/>
  <c r="AS19" i="83"/>
  <c r="AR19" i="83"/>
  <c r="AQ19" i="83"/>
  <c r="AP19" i="83"/>
  <c r="AO19" i="83"/>
  <c r="AN19" i="83"/>
  <c r="AM19" i="83"/>
  <c r="AL19" i="83"/>
  <c r="AK19" i="83"/>
  <c r="AJ19" i="83"/>
  <c r="AI19" i="83"/>
  <c r="AH19" i="83"/>
  <c r="AG19" i="83"/>
  <c r="AF19" i="83"/>
  <c r="AE19" i="83"/>
  <c r="AD19" i="83"/>
  <c r="AC19" i="83"/>
  <c r="AB19" i="83"/>
  <c r="AA19" i="83"/>
  <c r="Z19" i="83"/>
  <c r="AX18" i="83"/>
  <c r="AW18" i="83"/>
  <c r="AV18" i="83"/>
  <c r="AU18" i="83"/>
  <c r="AT18" i="83"/>
  <c r="AS18" i="83"/>
  <c r="AR18" i="83"/>
  <c r="AQ18" i="83"/>
  <c r="AP18" i="83"/>
  <c r="AO18" i="83"/>
  <c r="AN18" i="83"/>
  <c r="AM18" i="83"/>
  <c r="AL18" i="83"/>
  <c r="AK18" i="83"/>
  <c r="AJ18" i="83"/>
  <c r="AI18" i="83"/>
  <c r="AH18" i="83"/>
  <c r="AG18" i="83"/>
  <c r="AF18" i="83"/>
  <c r="AE18" i="83"/>
  <c r="BA20" i="88" l="1"/>
  <c r="AZ20" i="88"/>
  <c r="AY20" i="88"/>
  <c r="AX20" i="88"/>
  <c r="AW20" i="88"/>
  <c r="AV20" i="88"/>
  <c r="AU20" i="88"/>
  <c r="AT20" i="88"/>
  <c r="AS20" i="88"/>
  <c r="AR20" i="88"/>
  <c r="AQ20" i="88"/>
  <c r="AP20" i="88"/>
  <c r="AO20" i="88"/>
  <c r="AN20" i="88"/>
  <c r="AM20" i="88"/>
  <c r="AL20" i="88"/>
  <c r="AK20" i="88"/>
  <c r="AJ20" i="88"/>
  <c r="AI20" i="88"/>
  <c r="AH20" i="88"/>
  <c r="AG20" i="88"/>
  <c r="AF20" i="88"/>
  <c r="AE20" i="88"/>
  <c r="AD20" i="88"/>
  <c r="AC20" i="88"/>
  <c r="AB20" i="88"/>
  <c r="AA20" i="88"/>
  <c r="Z20" i="88"/>
  <c r="Y20" i="88"/>
  <c r="X20" i="88"/>
  <c r="W20" i="88"/>
  <c r="V20" i="88"/>
  <c r="U20" i="88"/>
  <c r="T20" i="88"/>
  <c r="S20" i="88"/>
  <c r="R20" i="88"/>
  <c r="Q20" i="88"/>
  <c r="P20" i="88"/>
  <c r="O20" i="88"/>
  <c r="N20" i="88"/>
  <c r="M20" i="88"/>
  <c r="L20" i="88"/>
  <c r="K20" i="88"/>
  <c r="J20" i="88"/>
  <c r="I20" i="88"/>
  <c r="H20" i="88"/>
  <c r="G20" i="88"/>
  <c r="BA19" i="88"/>
  <c r="AZ19" i="88"/>
  <c r="AY19" i="88"/>
  <c r="AX19" i="88"/>
  <c r="AW19" i="88"/>
  <c r="AV19" i="88"/>
  <c r="AU19" i="88"/>
  <c r="AT19" i="88"/>
  <c r="AS19" i="88"/>
  <c r="AR19" i="88"/>
  <c r="AQ19" i="88"/>
  <c r="AP19" i="88"/>
  <c r="AO19" i="88"/>
  <c r="AN19" i="88"/>
  <c r="AM19" i="88"/>
  <c r="AL19" i="88"/>
  <c r="AK19" i="88"/>
  <c r="AJ19" i="88"/>
  <c r="AI19" i="88"/>
  <c r="AH19" i="88"/>
  <c r="AG19" i="88"/>
  <c r="AF19" i="88"/>
  <c r="AE19" i="88"/>
  <c r="AD19" i="88"/>
  <c r="AC19" i="88"/>
  <c r="AB19" i="88"/>
  <c r="AA19" i="88"/>
  <c r="Z19" i="88"/>
  <c r="Y19" i="88"/>
  <c r="X19" i="88"/>
  <c r="W19" i="88"/>
  <c r="V19" i="88"/>
  <c r="U19" i="88"/>
  <c r="T19" i="88"/>
  <c r="S19" i="88"/>
  <c r="R19" i="88"/>
  <c r="Q19" i="88"/>
  <c r="P19" i="88"/>
  <c r="O19" i="88"/>
  <c r="N19" i="88"/>
  <c r="M19" i="88"/>
  <c r="L19" i="88"/>
  <c r="K19" i="88"/>
  <c r="J19" i="88"/>
  <c r="I19" i="88"/>
  <c r="H19" i="88"/>
  <c r="G19" i="88"/>
  <c r="BA18" i="88"/>
  <c r="AZ18" i="88"/>
  <c r="AY18" i="88"/>
  <c r="AX18" i="88"/>
  <c r="AW18" i="88"/>
  <c r="AV18" i="88"/>
  <c r="AU18" i="88"/>
  <c r="AT18" i="88"/>
  <c r="AS18" i="88"/>
  <c r="AR18" i="88"/>
  <c r="AQ18" i="88"/>
  <c r="AP18" i="88"/>
  <c r="AO18" i="88"/>
  <c r="AN18" i="88"/>
  <c r="AM18" i="88"/>
  <c r="AL18" i="88"/>
  <c r="AK18" i="88"/>
  <c r="AJ18" i="88"/>
  <c r="AI18" i="88"/>
  <c r="AH18" i="88"/>
  <c r="AG18" i="88"/>
  <c r="AF18" i="88"/>
  <c r="AE18" i="88"/>
  <c r="AD18" i="88"/>
  <c r="AC18" i="88"/>
  <c r="AB18" i="88"/>
  <c r="AA18" i="88"/>
  <c r="Z18" i="88"/>
  <c r="Y18" i="88"/>
  <c r="X18" i="88"/>
  <c r="W18" i="88"/>
  <c r="V18" i="88"/>
  <c r="U18" i="88"/>
  <c r="T18" i="88"/>
  <c r="S18" i="88"/>
  <c r="R18" i="88"/>
  <c r="Q18" i="88"/>
  <c r="P18" i="88"/>
  <c r="O18" i="88"/>
  <c r="N18" i="88"/>
  <c r="M18" i="88"/>
  <c r="L18" i="88"/>
  <c r="K18" i="88"/>
  <c r="J18" i="88"/>
  <c r="I18" i="88"/>
  <c r="H18" i="88"/>
  <c r="G18" i="88"/>
  <c r="F20" i="88"/>
  <c r="F19" i="88"/>
  <c r="F18" i="88"/>
  <c r="G69" i="45"/>
  <c r="D20" i="54" s="1"/>
  <c r="AA25" i="64"/>
  <c r="AB25" i="64"/>
  <c r="AC25" i="64"/>
  <c r="AD25" i="64"/>
  <c r="AE25" i="64"/>
  <c r="AF25" i="64"/>
  <c r="AG25" i="64"/>
  <c r="AH25" i="64"/>
  <c r="AI25" i="64"/>
  <c r="AJ25" i="64"/>
  <c r="AK25" i="64"/>
  <c r="AL25" i="64"/>
  <c r="AM25" i="64"/>
  <c r="AN25" i="64"/>
  <c r="AO25" i="64"/>
  <c r="AP25" i="64"/>
  <c r="AQ25" i="64"/>
  <c r="AR25" i="64"/>
  <c r="AS25" i="64"/>
  <c r="AT25" i="64"/>
  <c r="AU25" i="64"/>
  <c r="AV25" i="64"/>
  <c r="AW25" i="64"/>
  <c r="AX25" i="64"/>
  <c r="AY25" i="64"/>
  <c r="AZ25" i="64"/>
  <c r="BA25" i="64"/>
  <c r="BB25" i="64"/>
  <c r="D18" i="88" l="1"/>
  <c r="D20" i="88"/>
  <c r="D19" i="88"/>
  <c r="E38" i="70"/>
  <c r="C38" i="70"/>
  <c r="E37" i="70"/>
  <c r="C37" i="70"/>
  <c r="E36" i="70"/>
  <c r="C36" i="70"/>
  <c r="E35" i="70"/>
  <c r="C35" i="70"/>
  <c r="E38" i="93"/>
  <c r="C38" i="93"/>
  <c r="E37" i="93"/>
  <c r="C37" i="93"/>
  <c r="E36" i="93"/>
  <c r="C36" i="93"/>
  <c r="E35" i="93"/>
  <c r="C35" i="93"/>
  <c r="E53" i="71"/>
  <c r="E52" i="71"/>
  <c r="E51" i="71"/>
  <c r="E50" i="71"/>
  <c r="C53" i="71"/>
  <c r="C52" i="71"/>
  <c r="C51" i="71"/>
  <c r="C50" i="71"/>
  <c r="F80" i="74"/>
  <c r="F227" i="74" s="1"/>
  <c r="F70" i="74"/>
  <c r="I9" i="71"/>
  <c r="F241" i="45" s="1"/>
  <c r="G10" i="71"/>
  <c r="E242" i="45" s="1"/>
  <c r="B30" i="82" s="1"/>
  <c r="E80" i="74" s="1"/>
  <c r="E227" i="74" s="1"/>
  <c r="I10" i="71"/>
  <c r="F242" i="45" s="1"/>
  <c r="C13" i="71"/>
  <c r="G9" i="71"/>
  <c r="E241" i="45" s="1"/>
  <c r="B19" i="82" s="1"/>
  <c r="E70" i="74" s="1"/>
  <c r="F223" i="45"/>
  <c r="E223" i="45"/>
  <c r="I17" i="71"/>
  <c r="F245" i="45" s="1"/>
  <c r="F358" i="74" s="1"/>
  <c r="I18" i="71"/>
  <c r="F246" i="45" s="1"/>
  <c r="F361" i="74" s="1"/>
  <c r="G18" i="71"/>
  <c r="E246" i="45" s="1"/>
  <c r="E361" i="74" s="1"/>
  <c r="G17" i="71"/>
  <c r="E245" i="45" s="1"/>
  <c r="E358" i="74" s="1"/>
  <c r="M59" i="71"/>
  <c r="M58" i="71"/>
  <c r="M56" i="71"/>
  <c r="K59" i="71"/>
  <c r="K58" i="71"/>
  <c r="K56" i="71"/>
  <c r="I14" i="71"/>
  <c r="F224" i="45" s="1"/>
  <c r="G14" i="71"/>
  <c r="E224" i="45" s="1"/>
  <c r="E39" i="71"/>
  <c r="C39" i="71"/>
  <c r="C8" i="71"/>
  <c r="G27" i="71" s="1"/>
  <c r="E7" i="71"/>
  <c r="I25" i="71" s="1"/>
  <c r="I26" i="71" s="1"/>
  <c r="C7" i="71"/>
  <c r="G25" i="71" s="1"/>
  <c r="E29" i="71"/>
  <c r="E28" i="71"/>
  <c r="C28" i="71"/>
  <c r="G225" i="45"/>
  <c r="D13" i="71" s="1"/>
  <c r="G222" i="45"/>
  <c r="D7" i="71" s="1"/>
  <c r="H25" i="71" s="1"/>
  <c r="F192" i="74" l="1"/>
  <c r="E194" i="74"/>
  <c r="F194" i="74"/>
  <c r="P29" i="71"/>
  <c r="Q29" i="71"/>
  <c r="S55" i="45" l="1"/>
  <c r="R55" i="45"/>
  <c r="Q55" i="45"/>
  <c r="O55" i="45"/>
  <c r="N55" i="45"/>
  <c r="L55" i="45"/>
  <c r="K55" i="45"/>
  <c r="J55" i="45"/>
  <c r="G55" i="45" s="1"/>
  <c r="D10" i="54" s="1"/>
  <c r="D38" i="66"/>
  <c r="C31" i="66"/>
  <c r="J30" i="66"/>
  <c r="K29" i="66" s="1"/>
  <c r="I30" i="66"/>
  <c r="H30" i="66"/>
  <c r="G30" i="66"/>
  <c r="F30" i="66"/>
  <c r="E30" i="66"/>
  <c r="D30" i="66"/>
  <c r="E29" i="66"/>
  <c r="D29" i="66"/>
  <c r="J38" i="45"/>
  <c r="G97" i="45"/>
  <c r="E54" i="54" s="1"/>
  <c r="M30" i="66" l="1"/>
  <c r="N29" i="66" s="1"/>
  <c r="D31" i="66"/>
  <c r="E31" i="66" s="1"/>
  <c r="AD30" i="66"/>
  <c r="AC30" i="66"/>
  <c r="T30" i="66"/>
  <c r="U29" i="66" s="1"/>
  <c r="AA30" i="66"/>
  <c r="Z30" i="66"/>
  <c r="R30" i="66"/>
  <c r="AB30" i="66"/>
  <c r="Y30" i="66"/>
  <c r="Z29" i="66" s="1"/>
  <c r="Q30" i="66"/>
  <c r="S30" i="66"/>
  <c r="K30" i="66"/>
  <c r="L29" i="66" s="1"/>
  <c r="X30" i="66"/>
  <c r="P30" i="66"/>
  <c r="L30" i="66"/>
  <c r="W30" i="66"/>
  <c r="O30" i="66"/>
  <c r="P29" i="66" s="1"/>
  <c r="V30" i="66"/>
  <c r="N30" i="66"/>
  <c r="U30" i="66"/>
  <c r="C26" i="9"/>
  <c r="E15" i="9"/>
  <c r="C15" i="9"/>
  <c r="F31" i="66" l="1"/>
  <c r="Q29" i="66"/>
  <c r="R29" i="66" s="1"/>
  <c r="S29" i="66" s="1"/>
  <c r="AA29" i="66"/>
  <c r="AB29" i="66" s="1"/>
  <c r="AC29" i="66" s="1"/>
  <c r="AD29" i="66" s="1"/>
  <c r="V29" i="66"/>
  <c r="W29" i="66" s="1"/>
  <c r="X29" i="66" s="1"/>
  <c r="S71" i="45"/>
  <c r="S73" i="45" s="1"/>
  <c r="R71" i="45"/>
  <c r="R73" i="45" s="1"/>
  <c r="Q71" i="45"/>
  <c r="Q73" i="45" s="1"/>
  <c r="O71" i="45"/>
  <c r="O73" i="45" s="1"/>
  <c r="N71" i="45"/>
  <c r="N73" i="45" s="1"/>
  <c r="L71" i="45"/>
  <c r="L73" i="45" s="1"/>
  <c r="K71" i="45"/>
  <c r="J71" i="45"/>
  <c r="G31" i="66" l="1"/>
  <c r="G71" i="45"/>
  <c r="G486" i="45"/>
  <c r="H21" i="70" s="1"/>
  <c r="G365" i="45"/>
  <c r="H21" i="93" s="1"/>
  <c r="B38" i="82"/>
  <c r="H31" i="66" l="1"/>
  <c r="G32" i="66" s="1"/>
  <c r="S295" i="45"/>
  <c r="R295" i="45"/>
  <c r="Q295" i="45"/>
  <c r="O295" i="45"/>
  <c r="N295" i="45"/>
  <c r="L295" i="45"/>
  <c r="K295" i="45"/>
  <c r="J295" i="45"/>
  <c r="S416" i="45"/>
  <c r="R416" i="45"/>
  <c r="Q416" i="45"/>
  <c r="O416" i="45"/>
  <c r="N416" i="45"/>
  <c r="L416" i="45"/>
  <c r="K416" i="45"/>
  <c r="J416" i="45"/>
  <c r="D42" i="66" l="1"/>
  <c r="D40" i="66"/>
  <c r="D48" i="66"/>
  <c r="D55" i="66"/>
  <c r="D43" i="66"/>
  <c r="D47" i="66"/>
  <c r="D39" i="66"/>
  <c r="D56" i="66"/>
  <c r="D51" i="66"/>
  <c r="D59" i="66"/>
  <c r="D49" i="66"/>
  <c r="D58" i="66"/>
  <c r="D50" i="66"/>
  <c r="D41" i="66"/>
  <c r="D57" i="66"/>
  <c r="I31" i="66"/>
  <c r="H32" i="66"/>
  <c r="E43" i="66" s="1"/>
  <c r="C32" i="66"/>
  <c r="E41" i="66"/>
  <c r="E58" i="66"/>
  <c r="E32" i="66"/>
  <c r="D32" i="66"/>
  <c r="E57" i="66"/>
  <c r="E40" i="66"/>
  <c r="E51" i="66"/>
  <c r="E50" i="66"/>
  <c r="E39" i="66"/>
  <c r="E48" i="66"/>
  <c r="E42" i="66"/>
  <c r="E47" i="66"/>
  <c r="E49" i="66"/>
  <c r="E59" i="66"/>
  <c r="F32" i="66"/>
  <c r="S497" i="45"/>
  <c r="R497" i="45"/>
  <c r="Q497" i="45"/>
  <c r="O497" i="45"/>
  <c r="N497" i="45"/>
  <c r="L497" i="45"/>
  <c r="K497" i="45"/>
  <c r="J497" i="45"/>
  <c r="S375" i="45"/>
  <c r="R375" i="45"/>
  <c r="Q375" i="45"/>
  <c r="O375" i="45"/>
  <c r="N375" i="45"/>
  <c r="L375" i="45"/>
  <c r="K375" i="45"/>
  <c r="J375" i="45"/>
  <c r="E55" i="66" l="1"/>
  <c r="E56" i="66"/>
  <c r="J31" i="66"/>
  <c r="I32" i="66"/>
  <c r="F40" i="66" s="1"/>
  <c r="E32" i="74"/>
  <c r="E180" i="74" s="1"/>
  <c r="E36" i="74"/>
  <c r="E181" i="74" s="1"/>
  <c r="E38" i="74"/>
  <c r="E39" i="74"/>
  <c r="E44" i="74"/>
  <c r="E45" i="74"/>
  <c r="E46" i="74"/>
  <c r="E49" i="74"/>
  <c r="E50" i="74"/>
  <c r="E52" i="74"/>
  <c r="E53" i="74"/>
  <c r="E55" i="74"/>
  <c r="E56" i="74"/>
  <c r="E57" i="74"/>
  <c r="E60" i="74"/>
  <c r="E72" i="74"/>
  <c r="E192" i="74" s="1"/>
  <c r="E74" i="74"/>
  <c r="E86" i="74"/>
  <c r="F32" i="74"/>
  <c r="F180" i="74" s="1"/>
  <c r="F36" i="74"/>
  <c r="F181" i="74" s="1"/>
  <c r="F48" i="66" l="1"/>
  <c r="F59" i="66"/>
  <c r="F41" i="66"/>
  <c r="F50" i="66"/>
  <c r="F55" i="66"/>
  <c r="F49" i="66"/>
  <c r="F51" i="66"/>
  <c r="F58" i="66"/>
  <c r="F57" i="66"/>
  <c r="F42" i="66"/>
  <c r="F56" i="66"/>
  <c r="F39" i="66"/>
  <c r="F47" i="66"/>
  <c r="F43" i="66"/>
  <c r="J32" i="66"/>
  <c r="G48" i="66" s="1"/>
  <c r="K31" i="66"/>
  <c r="F353" i="74"/>
  <c r="E353" i="74"/>
  <c r="F352" i="74"/>
  <c r="E352" i="74"/>
  <c r="F349" i="74"/>
  <c r="F348" i="74"/>
  <c r="E349" i="74"/>
  <c r="G93" i="45"/>
  <c r="G92" i="45"/>
  <c r="E348" i="74"/>
  <c r="G42" i="66" l="1"/>
  <c r="G49" i="66"/>
  <c r="G43" i="66"/>
  <c r="G59" i="66"/>
  <c r="G40" i="66"/>
  <c r="G56" i="66"/>
  <c r="G58" i="66"/>
  <c r="G41" i="66"/>
  <c r="G55" i="66"/>
  <c r="G50" i="66"/>
  <c r="G51" i="66"/>
  <c r="G47" i="66"/>
  <c r="G57" i="66"/>
  <c r="L31" i="66"/>
  <c r="K32" i="66"/>
  <c r="H40" i="66" s="1"/>
  <c r="H47" i="66"/>
  <c r="G39" i="66"/>
  <c r="G85" i="45"/>
  <c r="C12" i="11"/>
  <c r="G149" i="45"/>
  <c r="D12" i="11" s="1"/>
  <c r="H66" i="11" s="1"/>
  <c r="G29" i="52"/>
  <c r="G94" i="52"/>
  <c r="G60" i="52"/>
  <c r="G367" i="45"/>
  <c r="H22" i="93" s="1"/>
  <c r="H6" i="93" s="1"/>
  <c r="G374" i="45"/>
  <c r="G375" i="45"/>
  <c r="G376" i="45"/>
  <c r="G380" i="45"/>
  <c r="F42" i="74"/>
  <c r="B37" i="55"/>
  <c r="E42" i="74" s="1"/>
  <c r="H56" i="66" l="1"/>
  <c r="H41" i="66"/>
  <c r="H49" i="66"/>
  <c r="H51" i="66"/>
  <c r="H43" i="66"/>
  <c r="H59" i="66"/>
  <c r="H39" i="66"/>
  <c r="H48" i="66"/>
  <c r="H58" i="66"/>
  <c r="H50" i="66"/>
  <c r="H42" i="66"/>
  <c r="H57" i="66"/>
  <c r="H55" i="66"/>
  <c r="M31" i="66"/>
  <c r="L32" i="66"/>
  <c r="I42" i="66" s="1"/>
  <c r="E220" i="74"/>
  <c r="C5" i="11"/>
  <c r="E5" i="11"/>
  <c r="I48" i="66" l="1"/>
  <c r="I56" i="66"/>
  <c r="I39" i="66"/>
  <c r="I40" i="66"/>
  <c r="I43" i="66"/>
  <c r="I51" i="66"/>
  <c r="I58" i="66"/>
  <c r="I41" i="66"/>
  <c r="I49" i="66"/>
  <c r="I50" i="66"/>
  <c r="I55" i="66"/>
  <c r="I47" i="66"/>
  <c r="N31" i="66"/>
  <c r="M32" i="66"/>
  <c r="J40" i="66" s="1"/>
  <c r="J59" i="66"/>
  <c r="I59" i="66"/>
  <c r="I57" i="66"/>
  <c r="G74" i="45"/>
  <c r="G228" i="45"/>
  <c r="F94" i="52"/>
  <c r="E26" i="12"/>
  <c r="C26" i="12"/>
  <c r="G184" i="45"/>
  <c r="D26" i="12" s="1"/>
  <c r="BP44" i="12" s="1"/>
  <c r="S254" i="45"/>
  <c r="R254" i="45"/>
  <c r="Q254" i="45"/>
  <c r="O254" i="45"/>
  <c r="N254" i="45"/>
  <c r="L254" i="45"/>
  <c r="Q38" i="12"/>
  <c r="G33" i="97"/>
  <c r="O5" i="97" s="1"/>
  <c r="J58" i="66" l="1"/>
  <c r="J43" i="66"/>
  <c r="J50" i="66"/>
  <c r="J49" i="66"/>
  <c r="J51" i="66"/>
  <c r="O31" i="66"/>
  <c r="N32" i="66"/>
  <c r="K39" i="66" s="1"/>
  <c r="J41" i="66"/>
  <c r="J55" i="66"/>
  <c r="J47" i="66"/>
  <c r="J39" i="66"/>
  <c r="J42" i="66"/>
  <c r="J57" i="66"/>
  <c r="J56" i="66"/>
  <c r="J48" i="66"/>
  <c r="O6" i="97"/>
  <c r="N95" i="45"/>
  <c r="N94" i="45"/>
  <c r="N89" i="45"/>
  <c r="N88" i="45"/>
  <c r="K72" i="45"/>
  <c r="K73" i="45" s="1"/>
  <c r="R95" i="45"/>
  <c r="R94" i="45"/>
  <c r="R89" i="45"/>
  <c r="R88" i="45"/>
  <c r="O95" i="45"/>
  <c r="O94" i="45"/>
  <c r="O89" i="45"/>
  <c r="O88" i="45"/>
  <c r="S95" i="45"/>
  <c r="S94" i="45"/>
  <c r="S89" i="45"/>
  <c r="S88" i="45"/>
  <c r="J72" i="45"/>
  <c r="J73" i="45" s="1"/>
  <c r="Q95" i="45"/>
  <c r="Q94" i="45"/>
  <c r="Q89" i="45"/>
  <c r="Q88" i="45"/>
  <c r="AV44" i="12"/>
  <c r="Y44" i="12"/>
  <c r="Z44" i="12"/>
  <c r="BL44" i="12"/>
  <c r="U44" i="12"/>
  <c r="V44" i="12"/>
  <c r="BF44" i="12"/>
  <c r="AI44" i="12"/>
  <c r="L44" i="12"/>
  <c r="AK44" i="12"/>
  <c r="AL44" i="12"/>
  <c r="BM44" i="12"/>
  <c r="I44" i="12"/>
  <c r="BE44" i="12"/>
  <c r="J44" i="12"/>
  <c r="AT44" i="12"/>
  <c r="W44" i="12"/>
  <c r="BG44" i="12"/>
  <c r="X44" i="12"/>
  <c r="BH44" i="12"/>
  <c r="AW44" i="12"/>
  <c r="N44" i="12"/>
  <c r="BJ44" i="12"/>
  <c r="O44" i="12"/>
  <c r="AY44" i="12"/>
  <c r="AB44" i="12"/>
  <c r="AZ44" i="12"/>
  <c r="AC44" i="12"/>
  <c r="F44" i="12"/>
  <c r="R44" i="12"/>
  <c r="AD44" i="12"/>
  <c r="AP44" i="12"/>
  <c r="BB44" i="12"/>
  <c r="BN44" i="12"/>
  <c r="AS44" i="12"/>
  <c r="AM44" i="12"/>
  <c r="D44" i="12"/>
  <c r="E44" i="12"/>
  <c r="AO44" i="12"/>
  <c r="S44" i="12"/>
  <c r="AE44" i="12"/>
  <c r="AQ44" i="12"/>
  <c r="BC44" i="12"/>
  <c r="BO44" i="12"/>
  <c r="AG44" i="12"/>
  <c r="AH44" i="12"/>
  <c r="K44" i="12"/>
  <c r="AU44" i="12"/>
  <c r="AJ44" i="12"/>
  <c r="M44" i="12"/>
  <c r="BI44" i="12"/>
  <c r="AX44" i="12"/>
  <c r="AA44" i="12"/>
  <c r="BK44" i="12"/>
  <c r="P44" i="12"/>
  <c r="AN44" i="12"/>
  <c r="Q44" i="12"/>
  <c r="BA44" i="12"/>
  <c r="G44" i="12"/>
  <c r="H44" i="12"/>
  <c r="T44" i="12"/>
  <c r="AF44" i="12"/>
  <c r="AR44" i="12"/>
  <c r="BD44" i="12"/>
  <c r="O4" i="97"/>
  <c r="G91" i="45"/>
  <c r="G90" i="45"/>
  <c r="G86" i="45"/>
  <c r="G87" i="45"/>
  <c r="G497" i="45"/>
  <c r="C36" i="102" s="1" a="1"/>
  <c r="G496" i="45"/>
  <c r="G491" i="45"/>
  <c r="S494" i="45"/>
  <c r="R494" i="45"/>
  <c r="Q494" i="45"/>
  <c r="O494" i="45"/>
  <c r="N494" i="45"/>
  <c r="L494" i="45"/>
  <c r="K494" i="45"/>
  <c r="J494" i="45"/>
  <c r="S492" i="45"/>
  <c r="R492" i="45"/>
  <c r="Q492" i="45"/>
  <c r="O492" i="45"/>
  <c r="N492" i="45"/>
  <c r="L492" i="45"/>
  <c r="K492" i="45"/>
  <c r="J492" i="45"/>
  <c r="C36" i="101" a="1"/>
  <c r="S373" i="45"/>
  <c r="R373" i="45"/>
  <c r="Q373" i="45"/>
  <c r="O373" i="45"/>
  <c r="N373" i="45"/>
  <c r="L373" i="45"/>
  <c r="K373" i="45"/>
  <c r="J373" i="45"/>
  <c r="S372" i="45"/>
  <c r="R372" i="45"/>
  <c r="Q372" i="45"/>
  <c r="O372" i="45"/>
  <c r="N372" i="45"/>
  <c r="L372" i="45"/>
  <c r="K372" i="45"/>
  <c r="J372" i="45"/>
  <c r="S370" i="45"/>
  <c r="R370" i="45"/>
  <c r="Q370" i="45"/>
  <c r="O370" i="45"/>
  <c r="N370" i="45"/>
  <c r="L370" i="45"/>
  <c r="K370" i="45"/>
  <c r="J370" i="45"/>
  <c r="F72" i="74"/>
  <c r="G251" i="45"/>
  <c r="S247" i="45"/>
  <c r="R247" i="45"/>
  <c r="Q247" i="45"/>
  <c r="O247" i="45"/>
  <c r="N247" i="45"/>
  <c r="L247" i="45"/>
  <c r="K247" i="45"/>
  <c r="J247" i="45"/>
  <c r="S25" i="45"/>
  <c r="R25" i="45"/>
  <c r="Q25" i="45"/>
  <c r="O25" i="45"/>
  <c r="N25" i="45"/>
  <c r="L25" i="45"/>
  <c r="K25" i="45"/>
  <c r="J25" i="45"/>
  <c r="S24" i="45"/>
  <c r="R24" i="45"/>
  <c r="Q24" i="45"/>
  <c r="O24" i="45"/>
  <c r="N24" i="45"/>
  <c r="L24" i="45"/>
  <c r="K24" i="45"/>
  <c r="J24" i="45"/>
  <c r="G23" i="45"/>
  <c r="G372" i="45" l="1"/>
  <c r="K40" i="66"/>
  <c r="K42" i="66"/>
  <c r="K51" i="66"/>
  <c r="G370" i="45"/>
  <c r="K58" i="66"/>
  <c r="K41" i="66"/>
  <c r="K50" i="66"/>
  <c r="K56" i="66"/>
  <c r="K49" i="66"/>
  <c r="P31" i="66"/>
  <c r="O32" i="66"/>
  <c r="L47" i="66" s="1"/>
  <c r="K55" i="66"/>
  <c r="K47" i="66"/>
  <c r="K48" i="66"/>
  <c r="K57" i="66"/>
  <c r="K59" i="66"/>
  <c r="K43" i="66"/>
  <c r="G373" i="45"/>
  <c r="G25" i="45"/>
  <c r="J95" i="45"/>
  <c r="G95" i="45" s="1"/>
  <c r="J94" i="45"/>
  <c r="J89" i="45"/>
  <c r="J88" i="45"/>
  <c r="K95" i="45"/>
  <c r="K94" i="45"/>
  <c r="K89" i="45"/>
  <c r="K88" i="45"/>
  <c r="L95" i="45"/>
  <c r="L94" i="45"/>
  <c r="L89" i="45"/>
  <c r="L88" i="45"/>
  <c r="G72" i="45"/>
  <c r="G492" i="45"/>
  <c r="G24" i="45"/>
  <c r="G247" i="45"/>
  <c r="G494" i="45"/>
  <c r="D36" i="102"/>
  <c r="C36" i="102"/>
  <c r="E36" i="102"/>
  <c r="C36" i="101"/>
  <c r="E36" i="101"/>
  <c r="D36" i="101"/>
  <c r="G88" i="45" l="1"/>
  <c r="G89" i="45"/>
  <c r="G94" i="45"/>
  <c r="G15" i="99" a="1"/>
  <c r="I17" i="99" s="1"/>
  <c r="L55" i="66"/>
  <c r="L50" i="66"/>
  <c r="L40" i="66"/>
  <c r="L42" i="66"/>
  <c r="L51" i="66"/>
  <c r="L41" i="66"/>
  <c r="L48" i="66"/>
  <c r="L43" i="66"/>
  <c r="L58" i="66"/>
  <c r="P32" i="66"/>
  <c r="M40" i="66" s="1"/>
  <c r="Q31" i="66"/>
  <c r="M43" i="66"/>
  <c r="L56" i="66"/>
  <c r="L49" i="66"/>
  <c r="L59" i="66"/>
  <c r="L39" i="66"/>
  <c r="L57" i="66"/>
  <c r="C14" i="102" a="1"/>
  <c r="D16" i="102" s="1"/>
  <c r="C15" i="99" a="1"/>
  <c r="E15" i="99" s="1"/>
  <c r="C14" i="100" a="1"/>
  <c r="D16" i="100" s="1"/>
  <c r="C14" i="101" a="1"/>
  <c r="D15" i="101" s="1"/>
  <c r="M48" i="66" l="1"/>
  <c r="M57" i="66"/>
  <c r="M39" i="66"/>
  <c r="M42" i="66"/>
  <c r="M50" i="66"/>
  <c r="M51" i="66"/>
  <c r="M56" i="66"/>
  <c r="M58" i="66"/>
  <c r="M59" i="66"/>
  <c r="M47" i="66"/>
  <c r="G15" i="99"/>
  <c r="G17" i="99"/>
  <c r="G16" i="99"/>
  <c r="H15" i="99"/>
  <c r="H16" i="99"/>
  <c r="H17" i="99"/>
  <c r="I15" i="99"/>
  <c r="I16" i="99"/>
  <c r="M49" i="66"/>
  <c r="R31" i="66"/>
  <c r="Q32" i="66"/>
  <c r="N39" i="66" s="1"/>
  <c r="N57" i="66"/>
  <c r="N49" i="66"/>
  <c r="N59" i="66"/>
  <c r="N51" i="66"/>
  <c r="N41" i="66"/>
  <c r="M55" i="66"/>
  <c r="M41" i="66"/>
  <c r="C15" i="102"/>
  <c r="E15" i="102"/>
  <c r="E14" i="102"/>
  <c r="C14" i="102"/>
  <c r="E16" i="102"/>
  <c r="D15" i="102"/>
  <c r="D14" i="102"/>
  <c r="C16" i="102"/>
  <c r="C15" i="99"/>
  <c r="D15" i="99"/>
  <c r="E17" i="99"/>
  <c r="C16" i="99"/>
  <c r="E16" i="99"/>
  <c r="D17" i="99"/>
  <c r="D16" i="99"/>
  <c r="C17" i="99"/>
  <c r="C14" i="101"/>
  <c r="C16" i="100"/>
  <c r="E16" i="100"/>
  <c r="C15" i="100"/>
  <c r="E15" i="100"/>
  <c r="D15" i="100"/>
  <c r="D14" i="100"/>
  <c r="E14" i="100"/>
  <c r="C14" i="100"/>
  <c r="E14" i="101"/>
  <c r="C15" i="101"/>
  <c r="E15" i="101"/>
  <c r="C16" i="101"/>
  <c r="E16" i="101"/>
  <c r="D14" i="101"/>
  <c r="D16" i="101"/>
  <c r="K3" i="97"/>
  <c r="G106" i="45"/>
  <c r="G102" i="45"/>
  <c r="S98" i="45"/>
  <c r="R98" i="45"/>
  <c r="Q98" i="45"/>
  <c r="O98" i="45"/>
  <c r="N98" i="45"/>
  <c r="L98" i="45"/>
  <c r="K98" i="45"/>
  <c r="J98" i="45"/>
  <c r="S28" i="45"/>
  <c r="R28" i="45"/>
  <c r="Q28" i="45"/>
  <c r="S27" i="45"/>
  <c r="R27" i="45"/>
  <c r="Q27" i="45"/>
  <c r="O28" i="45"/>
  <c r="N28" i="45"/>
  <c r="O27" i="45"/>
  <c r="N27" i="45"/>
  <c r="L28" i="45"/>
  <c r="L27" i="45"/>
  <c r="K28" i="45"/>
  <c r="K27" i="45"/>
  <c r="J27" i="45"/>
  <c r="J28" i="45"/>
  <c r="G33" i="45"/>
  <c r="G32" i="45"/>
  <c r="G31" i="45"/>
  <c r="G30" i="45"/>
  <c r="G29" i="45"/>
  <c r="N50" i="66" l="1"/>
  <c r="N43" i="66"/>
  <c r="N42" i="66"/>
  <c r="N47" i="66"/>
  <c r="N48" i="66"/>
  <c r="N58" i="66"/>
  <c r="G18" i="99" a="1"/>
  <c r="I20" i="99" s="1"/>
  <c r="N40" i="66"/>
  <c r="S31" i="66"/>
  <c r="R32" i="66"/>
  <c r="O39" i="66" s="1"/>
  <c r="O59" i="66"/>
  <c r="N55" i="66"/>
  <c r="N56" i="66"/>
  <c r="N103" i="45"/>
  <c r="N104" i="45" s="1"/>
  <c r="G28" i="45"/>
  <c r="G98" i="45"/>
  <c r="G27" i="45"/>
  <c r="Q103" i="45"/>
  <c r="Q104" i="45" s="1"/>
  <c r="O103" i="45"/>
  <c r="O104" i="45" s="1"/>
  <c r="R103" i="45"/>
  <c r="R104" i="45" s="1"/>
  <c r="S103" i="45"/>
  <c r="S104" i="45" s="1"/>
  <c r="C17" i="102" a="1"/>
  <c r="C18" i="99" a="1"/>
  <c r="C21" i="99" s="1"/>
  <c r="C17" i="100" a="1"/>
  <c r="C17" i="101" a="1"/>
  <c r="J103" i="45"/>
  <c r="K103" i="45"/>
  <c r="K104" i="45" s="1"/>
  <c r="L103" i="45"/>
  <c r="L104" i="45" s="1"/>
  <c r="I14" i="70"/>
  <c r="F490" i="45" s="1"/>
  <c r="G14" i="70"/>
  <c r="E490" i="45" s="1"/>
  <c r="I13" i="70"/>
  <c r="F489" i="45" s="1"/>
  <c r="G13" i="70"/>
  <c r="E489" i="45" s="1"/>
  <c r="I16" i="71"/>
  <c r="G16" i="71"/>
  <c r="I15" i="71"/>
  <c r="G15" i="71"/>
  <c r="M36" i="70"/>
  <c r="M35" i="70"/>
  <c r="K36" i="70"/>
  <c r="K35" i="70"/>
  <c r="G482" i="45"/>
  <c r="L36" i="70" s="1"/>
  <c r="G481" i="45"/>
  <c r="L35" i="70" s="1"/>
  <c r="O46" i="34"/>
  <c r="M46" i="34"/>
  <c r="O45" i="34"/>
  <c r="M45" i="34"/>
  <c r="G435" i="45"/>
  <c r="N46" i="34" s="1"/>
  <c r="G434" i="45"/>
  <c r="N45" i="34" s="1"/>
  <c r="U14" i="33"/>
  <c r="U20" i="33"/>
  <c r="F424" i="45" s="1"/>
  <c r="F385" i="74" s="1"/>
  <c r="S20" i="33"/>
  <c r="E424" i="45" s="1"/>
  <c r="E385" i="74" s="1"/>
  <c r="U19" i="33"/>
  <c r="F423" i="45" s="1"/>
  <c r="F380" i="74" s="1"/>
  <c r="S19" i="33"/>
  <c r="E423" i="45" s="1"/>
  <c r="E380" i="74" s="1"/>
  <c r="E66" i="33"/>
  <c r="E65" i="33"/>
  <c r="C66" i="33"/>
  <c r="C65" i="33"/>
  <c r="G416" i="45"/>
  <c r="G402" i="45"/>
  <c r="D66" i="33" s="1"/>
  <c r="S401" i="45"/>
  <c r="R401" i="45"/>
  <c r="Q401" i="45"/>
  <c r="O401" i="45"/>
  <c r="N401" i="45"/>
  <c r="L401" i="45"/>
  <c r="K401" i="45"/>
  <c r="J401" i="45"/>
  <c r="I13" i="93"/>
  <c r="F369" i="45" s="1"/>
  <c r="G13" i="93"/>
  <c r="E369" i="45" s="1"/>
  <c r="I12" i="93"/>
  <c r="F368" i="45" s="1"/>
  <c r="G12" i="93"/>
  <c r="E368" i="45" s="1"/>
  <c r="M36" i="93"/>
  <c r="M35" i="93"/>
  <c r="K36" i="93"/>
  <c r="K35" i="93"/>
  <c r="G360" i="45"/>
  <c r="L35" i="93" s="1"/>
  <c r="G361" i="45"/>
  <c r="L36" i="93" s="1"/>
  <c r="R10" i="91"/>
  <c r="F320" i="45" s="1"/>
  <c r="F372" i="74" s="1"/>
  <c r="P10" i="91"/>
  <c r="E320" i="45" s="1"/>
  <c r="E372" i="74" s="1"/>
  <c r="R9" i="91"/>
  <c r="F319" i="45" s="1"/>
  <c r="F367" i="74" s="1"/>
  <c r="P9" i="91"/>
  <c r="E319" i="45" s="1"/>
  <c r="E367" i="74" s="1"/>
  <c r="O44" i="91"/>
  <c r="O45" i="91"/>
  <c r="M45" i="91"/>
  <c r="M44" i="91"/>
  <c r="G314" i="45"/>
  <c r="N45" i="91" s="1"/>
  <c r="S294" i="45"/>
  <c r="U21" i="90"/>
  <c r="F303" i="45" s="1"/>
  <c r="F373" i="74" s="1"/>
  <c r="S21" i="90"/>
  <c r="E303" i="45" s="1"/>
  <c r="E373" i="74" s="1"/>
  <c r="U20" i="90"/>
  <c r="F302" i="45" s="1"/>
  <c r="F368" i="74" s="1"/>
  <c r="S20" i="90"/>
  <c r="E302" i="45" s="1"/>
  <c r="E368" i="74" s="1"/>
  <c r="U16" i="90"/>
  <c r="O51" i="66" l="1"/>
  <c r="O55" i="66"/>
  <c r="O43" i="66"/>
  <c r="O50" i="66"/>
  <c r="O58" i="66"/>
  <c r="O56" i="66"/>
  <c r="O49" i="66"/>
  <c r="O41" i="66"/>
  <c r="O47" i="66"/>
  <c r="O40" i="66"/>
  <c r="G18" i="99"/>
  <c r="G64" i="99" s="1"/>
  <c r="H21" i="99"/>
  <c r="H18" i="99"/>
  <c r="G22" i="99"/>
  <c r="H20" i="99"/>
  <c r="G20" i="99"/>
  <c r="H19" i="99"/>
  <c r="H22" i="99"/>
  <c r="G21" i="99"/>
  <c r="G19" i="99"/>
  <c r="G65" i="99" s="1"/>
  <c r="I18" i="99"/>
  <c r="G27" i="99" a="1"/>
  <c r="I28" i="99" s="1"/>
  <c r="I19" i="99"/>
  <c r="I21" i="99"/>
  <c r="I22" i="99"/>
  <c r="O57" i="66"/>
  <c r="T31" i="66"/>
  <c r="S32" i="66"/>
  <c r="P39" i="66" s="1"/>
  <c r="O42" i="66"/>
  <c r="O48" i="66"/>
  <c r="C27" i="99" a="1"/>
  <c r="C28" i="99" s="1"/>
  <c r="E22" i="99"/>
  <c r="E18" i="99"/>
  <c r="G401" i="45"/>
  <c r="D65" i="33" s="1"/>
  <c r="E19" i="99"/>
  <c r="C18" i="99"/>
  <c r="C64" i="99" s="1"/>
  <c r="E20" i="99"/>
  <c r="D21" i="99"/>
  <c r="D20" i="99"/>
  <c r="C20" i="99"/>
  <c r="E21" i="99"/>
  <c r="C19" i="99"/>
  <c r="C65" i="99" s="1"/>
  <c r="D19" i="99"/>
  <c r="D18" i="99"/>
  <c r="E20" i="102"/>
  <c r="D19" i="102"/>
  <c r="C17" i="102"/>
  <c r="C63" i="102" s="1"/>
  <c r="C21" i="102"/>
  <c r="E19" i="102"/>
  <c r="D17" i="102"/>
  <c r="D21" i="102"/>
  <c r="E17" i="102"/>
  <c r="E21" i="102"/>
  <c r="E18" i="102"/>
  <c r="C19" i="102"/>
  <c r="C18" i="102"/>
  <c r="C64" i="102" s="1"/>
  <c r="D18" i="102"/>
  <c r="C20" i="102"/>
  <c r="D20" i="102"/>
  <c r="C22" i="99"/>
  <c r="D22" i="99"/>
  <c r="C17" i="101"/>
  <c r="C63" i="101" s="1"/>
  <c r="E20" i="101"/>
  <c r="C19" i="101"/>
  <c r="D20" i="101"/>
  <c r="C18" i="101"/>
  <c r="C64" i="101" s="1"/>
  <c r="D19" i="101"/>
  <c r="E19" i="101"/>
  <c r="D18" i="101"/>
  <c r="C20" i="101"/>
  <c r="D21" i="101"/>
  <c r="D17" i="101"/>
  <c r="E17" i="101"/>
  <c r="C21" i="101"/>
  <c r="E18" i="101"/>
  <c r="E21" i="101"/>
  <c r="E18" i="100"/>
  <c r="E17" i="100"/>
  <c r="D18" i="100"/>
  <c r="C21" i="100"/>
  <c r="E21" i="100"/>
  <c r="E20" i="100"/>
  <c r="C19" i="100"/>
  <c r="C17" i="100"/>
  <c r="C63" i="100" s="1"/>
  <c r="D19" i="100"/>
  <c r="D17" i="100"/>
  <c r="C20" i="100"/>
  <c r="D21" i="100"/>
  <c r="D20" i="100"/>
  <c r="C18" i="100"/>
  <c r="C64" i="100" s="1"/>
  <c r="E19" i="100"/>
  <c r="G103" i="45"/>
  <c r="J104" i="45"/>
  <c r="G104" i="45" s="1"/>
  <c r="F244" i="45"/>
  <c r="F243" i="45"/>
  <c r="E244" i="45"/>
  <c r="E243" i="45"/>
  <c r="M51" i="71"/>
  <c r="M50" i="71"/>
  <c r="K51" i="71"/>
  <c r="K50" i="71"/>
  <c r="G235" i="45"/>
  <c r="L51" i="71" s="1"/>
  <c r="G234" i="45"/>
  <c r="L50" i="71" s="1"/>
  <c r="I15" i="12"/>
  <c r="M7" i="12"/>
  <c r="K7" i="12"/>
  <c r="E216" i="45" s="1"/>
  <c r="M6" i="12"/>
  <c r="F215" i="45" s="1"/>
  <c r="K6" i="12"/>
  <c r="E215" i="45" s="1"/>
  <c r="M8" i="9"/>
  <c r="K8" i="9"/>
  <c r="M7" i="9"/>
  <c r="K7" i="9"/>
  <c r="M6" i="9"/>
  <c r="K6" i="9"/>
  <c r="M5" i="9"/>
  <c r="K5" i="9"/>
  <c r="H186" i="45"/>
  <c r="H185" i="45"/>
  <c r="M78" i="12"/>
  <c r="M77" i="12"/>
  <c r="K78" i="12"/>
  <c r="K77" i="12"/>
  <c r="G185" i="45"/>
  <c r="L77" i="12" s="1"/>
  <c r="G186" i="45"/>
  <c r="L78" i="12" s="1"/>
  <c r="F142" i="45"/>
  <c r="E143" i="45"/>
  <c r="E142" i="45"/>
  <c r="G135" i="45"/>
  <c r="G134" i="45"/>
  <c r="Q65" i="9"/>
  <c r="Q64" i="9"/>
  <c r="O65" i="9"/>
  <c r="O64" i="9"/>
  <c r="F144" i="45"/>
  <c r="E145" i="45"/>
  <c r="E144" i="45"/>
  <c r="Q63" i="9"/>
  <c r="O63" i="9"/>
  <c r="M65" i="9"/>
  <c r="M64" i="9"/>
  <c r="K64" i="9"/>
  <c r="K74" i="9"/>
  <c r="K75" i="9" s="1"/>
  <c r="L74" i="9"/>
  <c r="L75" i="9"/>
  <c r="L76" i="9"/>
  <c r="J77" i="9"/>
  <c r="K77" i="9"/>
  <c r="L77" i="9"/>
  <c r="G127" i="45"/>
  <c r="L64" i="9" s="1"/>
  <c r="P51" i="66" l="1"/>
  <c r="P58" i="66"/>
  <c r="P47" i="66"/>
  <c r="P49" i="66"/>
  <c r="P48" i="66"/>
  <c r="P41" i="66"/>
  <c r="P59" i="66"/>
  <c r="P57" i="66"/>
  <c r="P50" i="66"/>
  <c r="P56" i="66"/>
  <c r="P55" i="66"/>
  <c r="P42" i="66"/>
  <c r="G27" i="99"/>
  <c r="H28" i="99"/>
  <c r="G28" i="99"/>
  <c r="H27" i="99"/>
  <c r="I27" i="99"/>
  <c r="I61" i="99" s="1"/>
  <c r="P40" i="66"/>
  <c r="P43" i="66"/>
  <c r="U31" i="66"/>
  <c r="T32" i="66"/>
  <c r="Q41" i="66" s="1"/>
  <c r="E28" i="99"/>
  <c r="E27" i="99"/>
  <c r="P65" i="9"/>
  <c r="L59" i="71"/>
  <c r="P64" i="9"/>
  <c r="L58" i="71"/>
  <c r="C27" i="99"/>
  <c r="D27" i="99"/>
  <c r="D28" i="99"/>
  <c r="D17" i="88"/>
  <c r="D16" i="88"/>
  <c r="D15" i="88"/>
  <c r="C8" i="88"/>
  <c r="G79" i="45"/>
  <c r="E44" i="54" s="1"/>
  <c r="Q47" i="66" l="1"/>
  <c r="Q55" i="66"/>
  <c r="Q56" i="66"/>
  <c r="Q42" i="66"/>
  <c r="Q48" i="66"/>
  <c r="Q59" i="66"/>
  <c r="Q50" i="66"/>
  <c r="Q39" i="66"/>
  <c r="Q51" i="66"/>
  <c r="U32" i="66"/>
  <c r="R40" i="66" s="1"/>
  <c r="V31" i="66"/>
  <c r="R47" i="66"/>
  <c r="Q40" i="66"/>
  <c r="Q49" i="66"/>
  <c r="Q43" i="66"/>
  <c r="Q58" i="66"/>
  <c r="Q57" i="66"/>
  <c r="E10" i="70"/>
  <c r="C10" i="70"/>
  <c r="E10" i="93"/>
  <c r="C10" i="93"/>
  <c r="E12" i="71"/>
  <c r="C12" i="71"/>
  <c r="C16" i="70"/>
  <c r="C16" i="93"/>
  <c r="C18" i="71"/>
  <c r="E11" i="12"/>
  <c r="C11" i="12"/>
  <c r="R41" i="66" l="1"/>
  <c r="R58" i="66"/>
  <c r="R56" i="66"/>
  <c r="R48" i="66"/>
  <c r="R39" i="66"/>
  <c r="R51" i="66"/>
  <c r="R57" i="66"/>
  <c r="R43" i="66"/>
  <c r="R42" i="66"/>
  <c r="R59" i="66"/>
  <c r="R49" i="66"/>
  <c r="R50" i="66"/>
  <c r="R55" i="66"/>
  <c r="W31" i="66"/>
  <c r="V32" i="66"/>
  <c r="S39" i="66" s="1"/>
  <c r="G43" i="45"/>
  <c r="E47" i="54" s="1"/>
  <c r="S78" i="45"/>
  <c r="R78" i="45"/>
  <c r="Q78" i="45"/>
  <c r="O78" i="45"/>
  <c r="N78" i="45"/>
  <c r="L78" i="45"/>
  <c r="K78" i="45"/>
  <c r="J78" i="45"/>
  <c r="G42" i="45"/>
  <c r="S47" i="66" l="1"/>
  <c r="S50" i="66"/>
  <c r="S42" i="66"/>
  <c r="S41" i="66"/>
  <c r="S58" i="66"/>
  <c r="S51" i="66"/>
  <c r="S55" i="66"/>
  <c r="X31" i="66"/>
  <c r="W32" i="66"/>
  <c r="T40" i="66" s="1"/>
  <c r="T59" i="66"/>
  <c r="S48" i="66"/>
  <c r="S43" i="66"/>
  <c r="S49" i="66"/>
  <c r="S56" i="66"/>
  <c r="S40" i="66"/>
  <c r="S59" i="66"/>
  <c r="S57" i="66"/>
  <c r="G78" i="45"/>
  <c r="D37" i="54"/>
  <c r="C151" i="84"/>
  <c r="D10" i="70"/>
  <c r="D10" i="93"/>
  <c r="D12" i="71"/>
  <c r="D16" i="93"/>
  <c r="D18" i="71"/>
  <c r="D16" i="70"/>
  <c r="C37" i="54"/>
  <c r="B44" i="54"/>
  <c r="B43" i="54"/>
  <c r="B42" i="54"/>
  <c r="B41" i="54"/>
  <c r="B40" i="54"/>
  <c r="C43" i="54"/>
  <c r="C42" i="54"/>
  <c r="C41" i="54"/>
  <c r="C40" i="54"/>
  <c r="D74" i="54"/>
  <c r="C74" i="54"/>
  <c r="B74" i="54"/>
  <c r="D73" i="54"/>
  <c r="C73" i="54"/>
  <c r="B73" i="54"/>
  <c r="D72" i="54"/>
  <c r="C72" i="54"/>
  <c r="B72" i="54"/>
  <c r="H71" i="54"/>
  <c r="F71" i="54"/>
  <c r="D71" i="54"/>
  <c r="C71" i="54"/>
  <c r="B71" i="54"/>
  <c r="F70" i="54"/>
  <c r="D70" i="54"/>
  <c r="H70" i="54" s="1"/>
  <c r="C70" i="54"/>
  <c r="B70" i="54"/>
  <c r="C39" i="70"/>
  <c r="S41" i="45"/>
  <c r="R41" i="45"/>
  <c r="Q41" i="45"/>
  <c r="S40" i="45"/>
  <c r="R40" i="45"/>
  <c r="Q40" i="45"/>
  <c r="S39" i="45"/>
  <c r="R39" i="45"/>
  <c r="Q39" i="45"/>
  <c r="S38" i="45"/>
  <c r="R38" i="45"/>
  <c r="Q38" i="45"/>
  <c r="O41" i="45"/>
  <c r="N41" i="45"/>
  <c r="O40" i="45"/>
  <c r="N40" i="45"/>
  <c r="O39" i="45"/>
  <c r="N39" i="45"/>
  <c r="O38" i="45"/>
  <c r="N38" i="45"/>
  <c r="K38" i="45"/>
  <c r="L38" i="45"/>
  <c r="K39" i="45"/>
  <c r="L39" i="45"/>
  <c r="K40" i="45"/>
  <c r="L40" i="45"/>
  <c r="K41" i="45"/>
  <c r="L41" i="45"/>
  <c r="J41" i="45"/>
  <c r="J40" i="45"/>
  <c r="J39" i="45"/>
  <c r="AU4" i="59"/>
  <c r="AV4" i="59"/>
  <c r="AW4" i="59"/>
  <c r="AX4" i="59"/>
  <c r="AY4" i="59"/>
  <c r="AZ4" i="59"/>
  <c r="BA4" i="59"/>
  <c r="AU13" i="59"/>
  <c r="AV13" i="59"/>
  <c r="AW13" i="59"/>
  <c r="AX13" i="59"/>
  <c r="AY13" i="59"/>
  <c r="AZ13" i="59"/>
  <c r="BA13" i="59"/>
  <c r="AU15" i="59"/>
  <c r="AV15" i="59"/>
  <c r="AW15" i="59"/>
  <c r="AX15" i="59"/>
  <c r="AY15" i="59"/>
  <c r="AZ15" i="59"/>
  <c r="BA15" i="59"/>
  <c r="AU5" i="58"/>
  <c r="AU4" i="58" s="1"/>
  <c r="AV14" i="55" s="1"/>
  <c r="AV13" i="55" s="1"/>
  <c r="AV5" i="58"/>
  <c r="AV4" i="58" s="1"/>
  <c r="AW14" i="55" s="1"/>
  <c r="AW13" i="55" s="1"/>
  <c r="AW5" i="58"/>
  <c r="AW4" i="58" s="1"/>
  <c r="AX14" i="55" s="1"/>
  <c r="AX13" i="55" s="1"/>
  <c r="AX5" i="58"/>
  <c r="AX4" i="58" s="1"/>
  <c r="AY5" i="58"/>
  <c r="AY4" i="58" s="1"/>
  <c r="AZ14" i="55" s="1"/>
  <c r="AZ13" i="55" s="1"/>
  <c r="AZ5" i="58"/>
  <c r="AZ4" i="58" s="1"/>
  <c r="BA14" i="55" s="1"/>
  <c r="BA13" i="55" s="1"/>
  <c r="BA5" i="58"/>
  <c r="BA4" i="58" s="1"/>
  <c r="BB14" i="55" s="1"/>
  <c r="BB13" i="55" s="1"/>
  <c r="AU5" i="57"/>
  <c r="AU4" i="57" s="1"/>
  <c r="AV5" i="57"/>
  <c r="AV4" i="57" s="1"/>
  <c r="AW5" i="57"/>
  <c r="AW4" i="57" s="1"/>
  <c r="AX5" i="57"/>
  <c r="AX4" i="57" s="1"/>
  <c r="AY5" i="57"/>
  <c r="AZ5" i="57"/>
  <c r="AZ4" i="57" s="1"/>
  <c r="BA5" i="57"/>
  <c r="BA4" i="57" s="1"/>
  <c r="AT6" i="56"/>
  <c r="AT5" i="56" s="1"/>
  <c r="AU6" i="56"/>
  <c r="AU5" i="56" s="1"/>
  <c r="AV7" i="55" s="1"/>
  <c r="AV6" i="56"/>
  <c r="AV5" i="56" s="1"/>
  <c r="AW7" i="55" s="1"/>
  <c r="AW6" i="56"/>
  <c r="AW5" i="56" s="1"/>
  <c r="AX7" i="55" s="1"/>
  <c r="AX6" i="56"/>
  <c r="AX5" i="56" s="1"/>
  <c r="AY7" i="55" s="1"/>
  <c r="AY6" i="56"/>
  <c r="AY5" i="56" s="1"/>
  <c r="AZ6" i="56"/>
  <c r="AZ5" i="56" s="1"/>
  <c r="BA7" i="55" s="1"/>
  <c r="BA6" i="56"/>
  <c r="BA5" i="56" s="1"/>
  <c r="BB7" i="55" s="1"/>
  <c r="AT9" i="56"/>
  <c r="AT8" i="56" s="1"/>
  <c r="AU9" i="56"/>
  <c r="AU8" i="56" s="1"/>
  <c r="AV8" i="55" s="1"/>
  <c r="AV9" i="56"/>
  <c r="AV8" i="56" s="1"/>
  <c r="AW8" i="55" s="1"/>
  <c r="AW9" i="56"/>
  <c r="AW8" i="56" s="1"/>
  <c r="AX8" i="55" s="1"/>
  <c r="AX9" i="56"/>
  <c r="AX8" i="56" s="1"/>
  <c r="AY8" i="55" s="1"/>
  <c r="AY9" i="56"/>
  <c r="AY8" i="56" s="1"/>
  <c r="AZ8" i="55" s="1"/>
  <c r="AZ9" i="56"/>
  <c r="AZ8" i="56" s="1"/>
  <c r="BA8" i="55" s="1"/>
  <c r="BA9" i="56"/>
  <c r="BA8" i="56" s="1"/>
  <c r="BB8" i="55" s="1"/>
  <c r="AY14" i="55"/>
  <c r="AY13" i="55" s="1"/>
  <c r="AY161" i="74"/>
  <c r="AZ161" i="74"/>
  <c r="BA161" i="74"/>
  <c r="BB161" i="74"/>
  <c r="BC161" i="74"/>
  <c r="BD161" i="74"/>
  <c r="BE161" i="74"/>
  <c r="BA11" i="55" l="1"/>
  <c r="BA10" i="55" s="1"/>
  <c r="T47" i="66"/>
  <c r="BB11" i="55"/>
  <c r="BB10" i="55" s="1"/>
  <c r="T48" i="66"/>
  <c r="T41" i="66"/>
  <c r="T49" i="66"/>
  <c r="Y31" i="66"/>
  <c r="X32" i="66"/>
  <c r="U40" i="66" s="1"/>
  <c r="T39" i="66"/>
  <c r="T50" i="66"/>
  <c r="T57" i="66"/>
  <c r="T42" i="66"/>
  <c r="T55" i="66"/>
  <c r="T58" i="66"/>
  <c r="T56" i="66"/>
  <c r="T43" i="66"/>
  <c r="T51" i="66"/>
  <c r="AY11" i="55"/>
  <c r="AY10" i="55" s="1"/>
  <c r="AW11" i="55"/>
  <c r="AW10" i="55" s="1"/>
  <c r="G70" i="54"/>
  <c r="G71" i="54" s="1"/>
  <c r="AX11" i="55"/>
  <c r="AX10" i="55" s="1"/>
  <c r="AV11" i="55"/>
  <c r="AV10" i="55" s="1"/>
  <c r="AW6" i="55"/>
  <c r="AV6" i="55"/>
  <c r="AY6" i="55"/>
  <c r="BB6" i="55"/>
  <c r="AY4" i="57"/>
  <c r="AZ11" i="55"/>
  <c r="AZ10" i="55" s="1"/>
  <c r="AY4" i="56"/>
  <c r="AZ7" i="55"/>
  <c r="AZ6" i="55" s="1"/>
  <c r="AX6" i="55"/>
  <c r="AV4" i="56"/>
  <c r="BA6" i="55"/>
  <c r="BA16" i="55" s="1"/>
  <c r="AT4" i="56"/>
  <c r="AZ4" i="56"/>
  <c r="AX4" i="56"/>
  <c r="AW4" i="56"/>
  <c r="AU4" i="56"/>
  <c r="BA4" i="56"/>
  <c r="S269" i="45"/>
  <c r="R269" i="45"/>
  <c r="Q269" i="45"/>
  <c r="S390" i="45"/>
  <c r="R390" i="45"/>
  <c r="Q390" i="45"/>
  <c r="S382" i="45"/>
  <c r="R382" i="45"/>
  <c r="Q382" i="45"/>
  <c r="O382" i="45"/>
  <c r="N382" i="45"/>
  <c r="L382" i="45"/>
  <c r="K382" i="45"/>
  <c r="J382" i="45"/>
  <c r="G259" i="45"/>
  <c r="S261" i="45"/>
  <c r="R261" i="45"/>
  <c r="Q261" i="45"/>
  <c r="O261" i="45"/>
  <c r="N261" i="45"/>
  <c r="L261" i="45"/>
  <c r="K261" i="45"/>
  <c r="J261" i="45"/>
  <c r="E4" i="37"/>
  <c r="S52" i="37" s="1"/>
  <c r="E3" i="37"/>
  <c r="S120" i="37" s="1"/>
  <c r="D4" i="37"/>
  <c r="D3" i="37"/>
  <c r="C4" i="37"/>
  <c r="C3" i="37"/>
  <c r="U51" i="66" l="1"/>
  <c r="U59" i="66"/>
  <c r="BB16" i="55"/>
  <c r="U47" i="66"/>
  <c r="U41" i="66"/>
  <c r="U58" i="66"/>
  <c r="Z31" i="66"/>
  <c r="Y32" i="66"/>
  <c r="V40" i="66" s="1"/>
  <c r="U42" i="66"/>
  <c r="U48" i="66"/>
  <c r="U55" i="66"/>
  <c r="U39" i="66"/>
  <c r="U57" i="66"/>
  <c r="U56" i="66"/>
  <c r="U50" i="66"/>
  <c r="U43" i="66"/>
  <c r="U49" i="66"/>
  <c r="G261" i="45"/>
  <c r="G382" i="45"/>
  <c r="AY16" i="55"/>
  <c r="AW16" i="55"/>
  <c r="AV16" i="55"/>
  <c r="AX16" i="55"/>
  <c r="AZ16" i="55"/>
  <c r="S36" i="37"/>
  <c r="S37" i="37"/>
  <c r="S39" i="37"/>
  <c r="S53" i="37"/>
  <c r="S118" i="37"/>
  <c r="S50" i="37"/>
  <c r="S54" i="37"/>
  <c r="S121" i="37"/>
  <c r="S122" i="37"/>
  <c r="S123" i="37"/>
  <c r="S124" i="37"/>
  <c r="S55" i="37"/>
  <c r="S119" i="37"/>
  <c r="S51" i="37"/>
  <c r="S38" i="37"/>
  <c r="C17" i="12"/>
  <c r="V43" i="66" l="1"/>
  <c r="V42" i="66"/>
  <c r="V59" i="66"/>
  <c r="V57" i="66"/>
  <c r="V50" i="66"/>
  <c r="V51" i="66"/>
  <c r="V55" i="66"/>
  <c r="AA31" i="66"/>
  <c r="Z32" i="66"/>
  <c r="W39" i="66" s="1"/>
  <c r="V48" i="66"/>
  <c r="V39" i="66"/>
  <c r="V58" i="66"/>
  <c r="V47" i="66"/>
  <c r="V49" i="66"/>
  <c r="V56" i="66"/>
  <c r="V41" i="66"/>
  <c r="S136" i="37"/>
  <c r="S137" i="37"/>
  <c r="S138" i="37"/>
  <c r="K150" i="45"/>
  <c r="K254" i="45" s="1"/>
  <c r="F155" i="74"/>
  <c r="F250" i="74" s="1"/>
  <c r="F118" i="74"/>
  <c r="F239" i="74" s="1"/>
  <c r="J150" i="45"/>
  <c r="J254" i="45" s="1"/>
  <c r="G254" i="45" s="1"/>
  <c r="W58" i="66" l="1"/>
  <c r="W40" i="66"/>
  <c r="W50" i="66"/>
  <c r="W55" i="66"/>
  <c r="W43" i="66"/>
  <c r="AB31" i="66"/>
  <c r="AA32" i="66"/>
  <c r="X39" i="66" s="1"/>
  <c r="W56" i="66"/>
  <c r="W48" i="66"/>
  <c r="W51" i="66"/>
  <c r="W59" i="66"/>
  <c r="W47" i="66"/>
  <c r="W49" i="66"/>
  <c r="W41" i="66"/>
  <c r="W57" i="66"/>
  <c r="W42" i="66"/>
  <c r="K36" i="12"/>
  <c r="M36" i="12"/>
  <c r="E203" i="45"/>
  <c r="E202" i="45"/>
  <c r="E201" i="45"/>
  <c r="E200" i="45"/>
  <c r="C10" i="12" s="1"/>
  <c r="E10" i="12"/>
  <c r="C27" i="12"/>
  <c r="E199" i="45"/>
  <c r="E198" i="45"/>
  <c r="C8" i="12" s="1"/>
  <c r="B28" i="76"/>
  <c r="E155" i="74" s="1"/>
  <c r="E250" i="74" s="1"/>
  <c r="J43" i="35"/>
  <c r="P10" i="35" s="1"/>
  <c r="H43" i="35"/>
  <c r="N10" i="35" s="1"/>
  <c r="E43" i="35"/>
  <c r="C43" i="35"/>
  <c r="I12" i="35"/>
  <c r="R29" i="35" s="1"/>
  <c r="G465" i="45"/>
  <c r="J12" i="35" s="1"/>
  <c r="B28" i="94"/>
  <c r="E118" i="74" s="1"/>
  <c r="E239" i="74" s="1"/>
  <c r="J43" i="92"/>
  <c r="P10" i="92" s="1"/>
  <c r="H43" i="92"/>
  <c r="N10" i="92" s="1"/>
  <c r="I12" i="92"/>
  <c r="R29" i="92" s="1"/>
  <c r="G344" i="45"/>
  <c r="J12" i="92" s="1"/>
  <c r="E43" i="92"/>
  <c r="C43" i="92"/>
  <c r="E4" i="92"/>
  <c r="X51" i="66" l="1"/>
  <c r="X57" i="66"/>
  <c r="X47" i="66"/>
  <c r="X58" i="66"/>
  <c r="X56" i="66"/>
  <c r="X40" i="66"/>
  <c r="X50" i="66"/>
  <c r="X48" i="66"/>
  <c r="AC31" i="66"/>
  <c r="AB32" i="66"/>
  <c r="Y40" i="66" s="1"/>
  <c r="Y39" i="66"/>
  <c r="X42" i="66"/>
  <c r="X55" i="66"/>
  <c r="X43" i="66"/>
  <c r="X59" i="66"/>
  <c r="X41" i="66"/>
  <c r="X49" i="66"/>
  <c r="C9" i="12"/>
  <c r="C87" i="12" s="1"/>
  <c r="Q199" i="45"/>
  <c r="F10" i="33"/>
  <c r="E60" i="33" s="1"/>
  <c r="D10" i="33"/>
  <c r="C60" i="33" s="1"/>
  <c r="D10" i="90"/>
  <c r="F10" i="90"/>
  <c r="G37" i="45"/>
  <c r="Y56" i="66" l="1"/>
  <c r="Y41" i="66"/>
  <c r="Y48" i="66"/>
  <c r="Y50" i="66"/>
  <c r="Y57" i="66"/>
  <c r="Y58" i="66"/>
  <c r="Y43" i="66"/>
  <c r="Y51" i="66"/>
  <c r="Y59" i="66"/>
  <c r="AD31" i="66"/>
  <c r="AC32" i="66"/>
  <c r="Z41" i="66" s="1"/>
  <c r="Y42" i="66"/>
  <c r="Y55" i="66"/>
  <c r="Y47" i="66"/>
  <c r="Y49" i="66"/>
  <c r="E10" i="33"/>
  <c r="D60" i="33" s="1"/>
  <c r="D35" i="54"/>
  <c r="E10" i="90"/>
  <c r="Z58" i="66" l="1"/>
  <c r="Z48" i="66"/>
  <c r="Z57" i="66"/>
  <c r="Z50" i="66"/>
  <c r="Z39" i="66"/>
  <c r="Z55" i="66"/>
  <c r="Z49" i="66"/>
  <c r="Z43" i="66"/>
  <c r="Z59" i="66"/>
  <c r="AD32" i="66"/>
  <c r="AA39" i="66" s="1"/>
  <c r="AA48" i="66"/>
  <c r="AA42" i="66"/>
  <c r="AA41" i="66"/>
  <c r="Z40" i="66"/>
  <c r="Z47" i="66"/>
  <c r="Z56" i="66"/>
  <c r="Z51" i="66"/>
  <c r="Z42" i="66"/>
  <c r="G36" i="45"/>
  <c r="G35" i="45"/>
  <c r="AA47" i="66" l="1"/>
  <c r="AA58" i="66"/>
  <c r="AA57" i="66"/>
  <c r="AA50" i="66"/>
  <c r="AA59" i="66"/>
  <c r="AA40" i="66"/>
  <c r="AA51" i="66"/>
  <c r="AA43" i="66"/>
  <c r="AA56" i="66"/>
  <c r="AA55" i="66"/>
  <c r="AA49" i="66"/>
  <c r="F341" i="74"/>
  <c r="E341" i="74"/>
  <c r="F340" i="74"/>
  <c r="E340" i="74"/>
  <c r="F338" i="74"/>
  <c r="E338" i="74"/>
  <c r="F329" i="74"/>
  <c r="E329" i="74"/>
  <c r="F328" i="74"/>
  <c r="E328" i="74"/>
  <c r="F327" i="74"/>
  <c r="E327" i="74"/>
  <c r="F325" i="74"/>
  <c r="F326" i="74"/>
  <c r="E326" i="74"/>
  <c r="E325" i="74"/>
  <c r="E324" i="74"/>
  <c r="F324" i="74"/>
  <c r="F323" i="74"/>
  <c r="E323" i="74"/>
  <c r="E272" i="74"/>
  <c r="E296" i="74" s="1"/>
  <c r="E271" i="74"/>
  <c r="E295" i="74" s="1"/>
  <c r="B33" i="76"/>
  <c r="E264" i="74"/>
  <c r="E261" i="74"/>
  <c r="E242" i="74"/>
  <c r="E231" i="74"/>
  <c r="E195" i="74"/>
  <c r="H131" i="74"/>
  <c r="G131" i="74"/>
  <c r="F131" i="74"/>
  <c r="E131" i="74"/>
  <c r="H130" i="74"/>
  <c r="G130" i="74"/>
  <c r="F130" i="74"/>
  <c r="E130" i="74"/>
  <c r="H128" i="74"/>
  <c r="F128" i="74"/>
  <c r="E128" i="74"/>
  <c r="F127" i="74"/>
  <c r="E127" i="74"/>
  <c r="F123" i="74"/>
  <c r="F262" i="74" s="1"/>
  <c r="F122" i="74"/>
  <c r="E122" i="74"/>
  <c r="F120" i="74"/>
  <c r="F241" i="74" s="1"/>
  <c r="F119" i="74"/>
  <c r="F240" i="74" s="1"/>
  <c r="F117" i="74"/>
  <c r="F238" i="74" s="1"/>
  <c r="F116" i="74"/>
  <c r="F237" i="74" s="1"/>
  <c r="F115" i="74"/>
  <c r="F236" i="74" s="1"/>
  <c r="F114" i="74"/>
  <c r="F235" i="74" s="1"/>
  <c r="F113" i="74"/>
  <c r="F234" i="74" s="1"/>
  <c r="F112" i="74"/>
  <c r="F233" i="74" s="1"/>
  <c r="F111" i="74"/>
  <c r="F232" i="74" s="1"/>
  <c r="F110" i="74"/>
  <c r="E110" i="74"/>
  <c r="F108" i="74"/>
  <c r="F204" i="74" s="1"/>
  <c r="F105" i="74"/>
  <c r="F201" i="74" s="1"/>
  <c r="F104" i="74"/>
  <c r="F200" i="74" s="1"/>
  <c r="F103" i="74"/>
  <c r="F199" i="74" s="1"/>
  <c r="F102" i="74"/>
  <c r="F198" i="74" s="1"/>
  <c r="F101" i="74"/>
  <c r="F197" i="74" s="1"/>
  <c r="F100" i="74"/>
  <c r="F196" i="74" s="1"/>
  <c r="F99" i="74"/>
  <c r="E99" i="74"/>
  <c r="C44" i="34"/>
  <c r="H44" i="34"/>
  <c r="H45" i="34"/>
  <c r="E7" i="34"/>
  <c r="S395" i="45"/>
  <c r="R395" i="45"/>
  <c r="Q395" i="45"/>
  <c r="O395" i="45"/>
  <c r="N395" i="45"/>
  <c r="L395" i="45"/>
  <c r="K395" i="45"/>
  <c r="J395" i="45"/>
  <c r="I55" i="33"/>
  <c r="S14" i="33" s="1"/>
  <c r="I54" i="33"/>
  <c r="E44" i="33"/>
  <c r="Y28" i="33"/>
  <c r="F6" i="33"/>
  <c r="S391" i="45"/>
  <c r="R391" i="45"/>
  <c r="Q391" i="45"/>
  <c r="O391" i="45"/>
  <c r="N391" i="45"/>
  <c r="L391" i="45"/>
  <c r="K391" i="45"/>
  <c r="J391" i="45"/>
  <c r="O34" i="91"/>
  <c r="R7" i="91" s="1"/>
  <c r="M34" i="91"/>
  <c r="P7" i="91" s="1"/>
  <c r="H44" i="91"/>
  <c r="P5" i="91" s="1"/>
  <c r="H45" i="91"/>
  <c r="P6" i="91" s="1"/>
  <c r="E7" i="91"/>
  <c r="I60" i="90"/>
  <c r="S16" i="90" s="1"/>
  <c r="I56" i="90"/>
  <c r="I55" i="90"/>
  <c r="I54" i="90"/>
  <c r="I53" i="90"/>
  <c r="W44" i="90"/>
  <c r="U10" i="90" s="1"/>
  <c r="J274" i="45"/>
  <c r="J296" i="45"/>
  <c r="E53" i="90"/>
  <c r="O9" i="90"/>
  <c r="S274" i="45"/>
  <c r="R274" i="45"/>
  <c r="Q274" i="45"/>
  <c r="O274" i="45"/>
  <c r="N274" i="45"/>
  <c r="L274" i="45"/>
  <c r="K274" i="45"/>
  <c r="E45" i="90"/>
  <c r="S270" i="45"/>
  <c r="R270" i="45"/>
  <c r="Q270" i="45"/>
  <c r="O270" i="45"/>
  <c r="N270" i="45"/>
  <c r="L270" i="45"/>
  <c r="K270" i="45"/>
  <c r="J270" i="45"/>
  <c r="C56" i="12"/>
  <c r="S115" i="45"/>
  <c r="R115" i="45"/>
  <c r="Q115" i="45"/>
  <c r="O115" i="45"/>
  <c r="N115" i="45"/>
  <c r="L115" i="45"/>
  <c r="K115" i="45"/>
  <c r="J115" i="45"/>
  <c r="E285" i="74" l="1"/>
  <c r="E290" i="74" s="1"/>
  <c r="E286" i="74"/>
  <c r="E291" i="74" s="1"/>
  <c r="G115" i="45"/>
  <c r="D22" i="9" s="1"/>
  <c r="D20" i="9" s="1"/>
  <c r="G391" i="45"/>
  <c r="E6" i="33" s="1"/>
  <c r="G8" i="12"/>
  <c r="K76" i="12"/>
  <c r="N52" i="33" l="1"/>
  <c r="D11" i="12"/>
  <c r="D21" i="9"/>
  <c r="E208" i="45"/>
  <c r="E27" i="12"/>
  <c r="G255" i="45" l="1"/>
  <c r="Q377" i="45" l="1"/>
  <c r="N378" i="45"/>
  <c r="O379" i="45"/>
  <c r="O377" i="45"/>
  <c r="N377" i="45"/>
  <c r="J378" i="45"/>
  <c r="K378" i="45"/>
  <c r="L378" i="45"/>
  <c r="J379" i="45"/>
  <c r="K379" i="45"/>
  <c r="L379" i="45"/>
  <c r="L377" i="45"/>
  <c r="K377" i="45"/>
  <c r="J377" i="45"/>
  <c r="Q258" i="45"/>
  <c r="R258" i="45"/>
  <c r="S258" i="45"/>
  <c r="N258" i="45"/>
  <c r="O258" i="45"/>
  <c r="L258" i="45"/>
  <c r="K258" i="45"/>
  <c r="J258" i="45"/>
  <c r="O110" i="45"/>
  <c r="N109" i="45"/>
  <c r="N110" i="45"/>
  <c r="O108" i="45"/>
  <c r="N108" i="45"/>
  <c r="L109" i="45"/>
  <c r="L110" i="45"/>
  <c r="L108" i="45"/>
  <c r="K109" i="45"/>
  <c r="K110" i="45"/>
  <c r="K108" i="45"/>
  <c r="J110" i="45"/>
  <c r="J109" i="45"/>
  <c r="J108" i="45"/>
  <c r="G107" i="45"/>
  <c r="B33" i="94" l="1"/>
  <c r="E123" i="74" s="1"/>
  <c r="E262" i="74" s="1"/>
  <c r="B30" i="94"/>
  <c r="E120" i="74" s="1"/>
  <c r="E241" i="74" s="1"/>
  <c r="B29" i="94"/>
  <c r="E119" i="74" s="1"/>
  <c r="B26" i="94"/>
  <c r="E116" i="74" s="1"/>
  <c r="E237" i="74" s="1"/>
  <c r="B25" i="94"/>
  <c r="E115" i="74" s="1"/>
  <c r="E236" i="74" s="1"/>
  <c r="B24" i="94"/>
  <c r="E114" i="74" s="1"/>
  <c r="E235" i="74" s="1"/>
  <c r="B23" i="94"/>
  <c r="E113" i="74" s="1"/>
  <c r="E234" i="74" s="1"/>
  <c r="B22" i="94"/>
  <c r="E112" i="74" s="1"/>
  <c r="E233" i="74" s="1"/>
  <c r="B21" i="94"/>
  <c r="E111" i="74" s="1"/>
  <c r="E232" i="74" s="1"/>
  <c r="B16" i="94"/>
  <c r="E108" i="74" s="1"/>
  <c r="E204" i="74" s="1"/>
  <c r="B15" i="94"/>
  <c r="E105" i="74" s="1"/>
  <c r="E201" i="74" s="1"/>
  <c r="B14" i="94"/>
  <c r="E104" i="74" s="1"/>
  <c r="E200" i="74" s="1"/>
  <c r="B12" i="94"/>
  <c r="E102" i="74" s="1"/>
  <c r="E198" i="74" s="1"/>
  <c r="B11" i="94"/>
  <c r="E101" i="74" s="1"/>
  <c r="E197" i="74" s="1"/>
  <c r="B10" i="94"/>
  <c r="E100" i="74" s="1"/>
  <c r="E196" i="74" s="1"/>
  <c r="B6" i="94"/>
  <c r="B5" i="94"/>
  <c r="B4" i="94"/>
  <c r="I22" i="93"/>
  <c r="I21" i="93"/>
  <c r="G22" i="93"/>
  <c r="I36" i="93"/>
  <c r="G36" i="93"/>
  <c r="G35" i="93"/>
  <c r="E39" i="93"/>
  <c r="C39" i="93"/>
  <c r="E13" i="93"/>
  <c r="M34" i="93" s="1"/>
  <c r="C13" i="93"/>
  <c r="K34" i="93" s="1"/>
  <c r="E12" i="93"/>
  <c r="C12" i="93"/>
  <c r="C5" i="93"/>
  <c r="E240" i="74" l="1"/>
  <c r="E51" i="92"/>
  <c r="E50" i="92"/>
  <c r="E49" i="92"/>
  <c r="E48" i="92"/>
  <c r="E47" i="92"/>
  <c r="E46" i="92"/>
  <c r="E45" i="92"/>
  <c r="C51" i="92"/>
  <c r="H51" i="92" s="1"/>
  <c r="C50" i="92"/>
  <c r="H50" i="92" s="1"/>
  <c r="C49" i="92"/>
  <c r="H49" i="92" s="1"/>
  <c r="C48" i="92"/>
  <c r="H48" i="92" s="1"/>
  <c r="C47" i="92"/>
  <c r="H47" i="92" s="1"/>
  <c r="C46" i="92"/>
  <c r="H46" i="92" s="1"/>
  <c r="C45" i="92"/>
  <c r="H45" i="92" s="1"/>
  <c r="C41" i="92"/>
  <c r="H41" i="92" s="1"/>
  <c r="N9" i="92" s="1"/>
  <c r="P29" i="92"/>
  <c r="Z29" i="92" s="1"/>
  <c r="N29" i="92"/>
  <c r="X29" i="92" s="1"/>
  <c r="P16" i="92"/>
  <c r="N16" i="92"/>
  <c r="P12" i="92"/>
  <c r="N12" i="92"/>
  <c r="I10" i="92"/>
  <c r="K9" i="92"/>
  <c r="I9" i="92"/>
  <c r="I8" i="92"/>
  <c r="I7" i="92"/>
  <c r="K6" i="92"/>
  <c r="I6" i="92"/>
  <c r="D19" i="92"/>
  <c r="D18" i="92"/>
  <c r="D17" i="92"/>
  <c r="D16" i="92"/>
  <c r="D15" i="92"/>
  <c r="D14" i="92"/>
  <c r="D13" i="92"/>
  <c r="F10" i="92"/>
  <c r="F9" i="92"/>
  <c r="F8" i="92"/>
  <c r="F6" i="92"/>
  <c r="K29" i="92" s="1"/>
  <c r="D10" i="92"/>
  <c r="D9" i="92"/>
  <c r="D8" i="92"/>
  <c r="D6" i="92"/>
  <c r="I29" i="92" s="1"/>
  <c r="L17" i="91"/>
  <c r="L15" i="91"/>
  <c r="L14" i="91"/>
  <c r="L13" i="91"/>
  <c r="L12" i="91"/>
  <c r="L11" i="91"/>
  <c r="L10" i="91"/>
  <c r="L9" i="91"/>
  <c r="L8" i="91"/>
  <c r="L7" i="91"/>
  <c r="L6" i="91"/>
  <c r="L5" i="91"/>
  <c r="J17" i="91"/>
  <c r="J15" i="91"/>
  <c r="J14" i="91"/>
  <c r="J13" i="91"/>
  <c r="J12" i="91"/>
  <c r="J11" i="91"/>
  <c r="J10" i="91"/>
  <c r="J9" i="91"/>
  <c r="J8" i="91"/>
  <c r="J7" i="91"/>
  <c r="J6" i="91"/>
  <c r="J5" i="91"/>
  <c r="E45" i="91"/>
  <c r="C45" i="91"/>
  <c r="E44" i="91"/>
  <c r="C44" i="91"/>
  <c r="C8" i="91"/>
  <c r="I26" i="91" s="1"/>
  <c r="C7" i="91"/>
  <c r="H34" i="91" s="1"/>
  <c r="M43" i="91" s="1"/>
  <c r="O8" i="90"/>
  <c r="M8" i="90"/>
  <c r="Q44" i="90" s="1"/>
  <c r="E71" i="90"/>
  <c r="C71" i="90"/>
  <c r="E68" i="90"/>
  <c r="E67" i="90"/>
  <c r="C68" i="90"/>
  <c r="C67" i="90"/>
  <c r="E56" i="90"/>
  <c r="E55" i="90"/>
  <c r="E54" i="90"/>
  <c r="C56" i="90"/>
  <c r="S14" i="90" s="1"/>
  <c r="C55" i="90"/>
  <c r="S13" i="90" s="1"/>
  <c r="C54" i="90"/>
  <c r="S9" i="90" s="1"/>
  <c r="C60" i="90"/>
  <c r="C53" i="90"/>
  <c r="S8" i="90" s="1"/>
  <c r="U44" i="90"/>
  <c r="S10" i="90" s="1"/>
  <c r="M14" i="90"/>
  <c r="S30" i="90" s="1"/>
  <c r="M13" i="90"/>
  <c r="S29" i="90" s="1"/>
  <c r="K45" i="90"/>
  <c r="M9" i="90"/>
  <c r="I45" i="90" s="1"/>
  <c r="M44" i="90" s="1"/>
  <c r="U45" i="90" s="1"/>
  <c r="O196" i="45"/>
  <c r="N196" i="45"/>
  <c r="L196" i="45"/>
  <c r="K196" i="45"/>
  <c r="J196" i="45"/>
  <c r="F15" i="90"/>
  <c r="F14" i="90"/>
  <c r="D15" i="90"/>
  <c r="D14" i="90"/>
  <c r="AA28" i="90" s="1"/>
  <c r="F9" i="33"/>
  <c r="D9" i="33"/>
  <c r="F9" i="90"/>
  <c r="E61" i="90" s="1"/>
  <c r="D9" i="90"/>
  <c r="C61" i="90" s="1"/>
  <c r="D8" i="33"/>
  <c r="D8" i="90"/>
  <c r="I29" i="90" s="1"/>
  <c r="F7" i="90"/>
  <c r="K28" i="90" s="1"/>
  <c r="D7" i="90"/>
  <c r="I28" i="90" s="1"/>
  <c r="F6" i="90"/>
  <c r="D6" i="90"/>
  <c r="S347" i="45"/>
  <c r="R347" i="45"/>
  <c r="Q347" i="45"/>
  <c r="O347" i="45"/>
  <c r="N347" i="45"/>
  <c r="L347" i="45"/>
  <c r="K347" i="45"/>
  <c r="J347" i="45"/>
  <c r="J346" i="45"/>
  <c r="S425" i="45"/>
  <c r="R425" i="45"/>
  <c r="Q425" i="45"/>
  <c r="O425" i="45"/>
  <c r="N425" i="45"/>
  <c r="L425" i="45"/>
  <c r="K425" i="45"/>
  <c r="J425" i="45"/>
  <c r="S304" i="45"/>
  <c r="R304" i="45"/>
  <c r="Q304" i="45"/>
  <c r="O304" i="45"/>
  <c r="N304" i="45"/>
  <c r="L304" i="45"/>
  <c r="K304" i="45"/>
  <c r="J304" i="45"/>
  <c r="O44" i="33"/>
  <c r="M44" i="33"/>
  <c r="S267" i="45"/>
  <c r="R267" i="45"/>
  <c r="Q267" i="45"/>
  <c r="O267" i="45"/>
  <c r="N267" i="45"/>
  <c r="L267" i="45"/>
  <c r="K267" i="45"/>
  <c r="J267" i="45"/>
  <c r="J388" i="45"/>
  <c r="K388" i="45"/>
  <c r="L388" i="45"/>
  <c r="S257" i="45"/>
  <c r="S256" i="45"/>
  <c r="R257" i="45"/>
  <c r="R256" i="45"/>
  <c r="Q257" i="45"/>
  <c r="Q256" i="45"/>
  <c r="O256" i="45"/>
  <c r="N257" i="45"/>
  <c r="N256" i="45"/>
  <c r="L257" i="45"/>
  <c r="L256" i="45"/>
  <c r="K257" i="45"/>
  <c r="K256" i="45"/>
  <c r="J257" i="45"/>
  <c r="J256" i="45"/>
  <c r="I10" i="93"/>
  <c r="G10" i="93"/>
  <c r="G9" i="93"/>
  <c r="I35" i="93"/>
  <c r="I9" i="93" s="1"/>
  <c r="I6" i="93"/>
  <c r="G6" i="93"/>
  <c r="G5" i="93"/>
  <c r="I5" i="93"/>
  <c r="E41" i="92"/>
  <c r="J41" i="92" s="1"/>
  <c r="P9" i="92" s="1"/>
  <c r="C28" i="92"/>
  <c r="C27" i="92"/>
  <c r="P8" i="92"/>
  <c r="P7" i="92"/>
  <c r="H35" i="91"/>
  <c r="E26" i="91"/>
  <c r="E36" i="91" s="1"/>
  <c r="C26" i="91"/>
  <c r="C36" i="91" s="1"/>
  <c r="C23" i="91"/>
  <c r="C33" i="91" s="1"/>
  <c r="E12" i="91"/>
  <c r="C12" i="91"/>
  <c r="I28" i="91" s="1"/>
  <c r="E10" i="91"/>
  <c r="F11" i="92" s="1"/>
  <c r="C10" i="91"/>
  <c r="D11" i="92" s="1"/>
  <c r="J34" i="91"/>
  <c r="O43" i="91" s="1"/>
  <c r="R6" i="91"/>
  <c r="R5" i="91"/>
  <c r="I4" i="91"/>
  <c r="W46" i="90"/>
  <c r="U46" i="90"/>
  <c r="W45" i="90"/>
  <c r="C45" i="90"/>
  <c r="Y29" i="90"/>
  <c r="W29" i="90"/>
  <c r="U19" i="90"/>
  <c r="F293" i="45" s="1"/>
  <c r="S19" i="90"/>
  <c r="E293" i="45" s="1"/>
  <c r="U18" i="90"/>
  <c r="F292" i="45" s="1"/>
  <c r="F371" i="74" s="1"/>
  <c r="S18" i="90"/>
  <c r="E292" i="45" s="1"/>
  <c r="E371" i="74" s="1"/>
  <c r="U14" i="90"/>
  <c r="U13" i="90"/>
  <c r="F12" i="90"/>
  <c r="D12" i="90"/>
  <c r="U9" i="90"/>
  <c r="U8" i="90"/>
  <c r="D39" i="93"/>
  <c r="G41" i="45"/>
  <c r="G40" i="45"/>
  <c r="G39" i="45"/>
  <c r="G38" i="45"/>
  <c r="G355" i="45"/>
  <c r="D5" i="93" s="1"/>
  <c r="G349" i="45"/>
  <c r="J7" i="92" s="1"/>
  <c r="S346" i="45"/>
  <c r="R346" i="45"/>
  <c r="Q346" i="45"/>
  <c r="O346" i="45"/>
  <c r="N346" i="45"/>
  <c r="L346" i="45"/>
  <c r="K346" i="45"/>
  <c r="G342" i="45"/>
  <c r="D51" i="92" s="1"/>
  <c r="G341" i="45"/>
  <c r="D50" i="92" s="1"/>
  <c r="G340" i="45"/>
  <c r="D49" i="92" s="1"/>
  <c r="G339" i="45"/>
  <c r="D48" i="92" s="1"/>
  <c r="G338" i="45"/>
  <c r="D47" i="92" s="1"/>
  <c r="G337" i="45"/>
  <c r="D46" i="92" s="1"/>
  <c r="G336" i="45"/>
  <c r="D45" i="92" s="1"/>
  <c r="G335" i="45"/>
  <c r="E19" i="92" s="1"/>
  <c r="G334" i="45"/>
  <c r="E18" i="92" s="1"/>
  <c r="G333" i="45"/>
  <c r="E17" i="92" s="1"/>
  <c r="G332" i="45"/>
  <c r="E16" i="92" s="1"/>
  <c r="G331" i="45"/>
  <c r="E15" i="92" s="1"/>
  <c r="G330" i="45"/>
  <c r="E14" i="92" s="1"/>
  <c r="G329" i="45"/>
  <c r="E13" i="92" s="1"/>
  <c r="G328" i="45"/>
  <c r="D40" i="92" s="1"/>
  <c r="G325" i="45"/>
  <c r="G324" i="45"/>
  <c r="G323" i="45"/>
  <c r="E9" i="92" s="1"/>
  <c r="G322" i="45"/>
  <c r="G30" i="99" s="1" a="1"/>
  <c r="G321" i="45"/>
  <c r="G312" i="45"/>
  <c r="D45" i="91" s="1"/>
  <c r="S311" i="45"/>
  <c r="R311" i="45"/>
  <c r="Q311" i="45"/>
  <c r="O311" i="45"/>
  <c r="N311" i="45"/>
  <c r="L311" i="45"/>
  <c r="K311" i="45"/>
  <c r="J311" i="45"/>
  <c r="G310" i="45"/>
  <c r="D8" i="91" s="1"/>
  <c r="G309" i="45"/>
  <c r="G308" i="45"/>
  <c r="G307" i="45"/>
  <c r="K8" i="91" s="1"/>
  <c r="G306" i="45"/>
  <c r="K7" i="91" s="1"/>
  <c r="G305" i="45"/>
  <c r="K6" i="91" s="1"/>
  <c r="G297" i="45"/>
  <c r="D54" i="90" s="1"/>
  <c r="S296" i="45"/>
  <c r="R296" i="45"/>
  <c r="Q296" i="45"/>
  <c r="O296" i="45"/>
  <c r="N296" i="45"/>
  <c r="L296" i="45"/>
  <c r="K296" i="45"/>
  <c r="R294" i="45"/>
  <c r="Q294" i="45"/>
  <c r="O294" i="45"/>
  <c r="N294" i="45"/>
  <c r="L294" i="45"/>
  <c r="K294" i="45"/>
  <c r="J294" i="45"/>
  <c r="G283" i="45"/>
  <c r="D56" i="90" s="1"/>
  <c r="S280" i="45"/>
  <c r="R280" i="45"/>
  <c r="Q280" i="45"/>
  <c r="O280" i="45"/>
  <c r="N280" i="45"/>
  <c r="L280" i="45"/>
  <c r="K280" i="45"/>
  <c r="J280" i="45"/>
  <c r="G279" i="45"/>
  <c r="N14" i="90" s="1"/>
  <c r="G278" i="45"/>
  <c r="G274" i="45"/>
  <c r="N9" i="90" s="1"/>
  <c r="J45" i="90" s="1"/>
  <c r="G273" i="45"/>
  <c r="E15" i="90" s="1"/>
  <c r="G268" i="45"/>
  <c r="J8" i="92" s="1"/>
  <c r="G266" i="45"/>
  <c r="G265" i="45"/>
  <c r="G264" i="45"/>
  <c r="J6" i="92" s="1"/>
  <c r="S263" i="45"/>
  <c r="R263" i="45"/>
  <c r="Q263" i="45"/>
  <c r="O263" i="45"/>
  <c r="N263" i="45"/>
  <c r="L263" i="45"/>
  <c r="K263" i="45"/>
  <c r="J263" i="45"/>
  <c r="G262" i="45"/>
  <c r="G258" i="45"/>
  <c r="N13" i="90" l="1"/>
  <c r="G30" i="99"/>
  <c r="H30" i="99"/>
  <c r="C29" i="102" a="1"/>
  <c r="D29" i="102" s="1"/>
  <c r="I30" i="99"/>
  <c r="D36" i="93"/>
  <c r="D36" i="70"/>
  <c r="D51" i="71"/>
  <c r="E41" i="54"/>
  <c r="C69" i="33"/>
  <c r="E366" i="74"/>
  <c r="E69" i="33"/>
  <c r="F366" i="74"/>
  <c r="C6" i="94"/>
  <c r="C37" i="101" a="1"/>
  <c r="C29" i="100" a="1"/>
  <c r="C29" i="101" a="1"/>
  <c r="E6" i="92"/>
  <c r="C30" i="99" a="1"/>
  <c r="L199" i="45"/>
  <c r="L200" i="45"/>
  <c r="O199" i="45"/>
  <c r="O200" i="45"/>
  <c r="N199" i="45"/>
  <c r="N200" i="45"/>
  <c r="K199" i="45"/>
  <c r="K200" i="45"/>
  <c r="J199" i="45"/>
  <c r="J200" i="45"/>
  <c r="E351" i="45"/>
  <c r="C40" i="92" s="1"/>
  <c r="F4" i="92"/>
  <c r="C29" i="90"/>
  <c r="S37" i="90" s="1"/>
  <c r="M53" i="90"/>
  <c r="E29" i="90"/>
  <c r="U37" i="90" s="1"/>
  <c r="O53" i="90"/>
  <c r="G281" i="45"/>
  <c r="D67" i="90" s="1"/>
  <c r="G295" i="45"/>
  <c r="D71" i="90" s="1"/>
  <c r="G263" i="45"/>
  <c r="J10" i="92" s="1"/>
  <c r="G296" i="45"/>
  <c r="D53" i="90" s="1"/>
  <c r="G311" i="45"/>
  <c r="D44" i="91" s="1"/>
  <c r="G304" i="45"/>
  <c r="K5" i="91" s="1"/>
  <c r="G256" i="45"/>
  <c r="G267" i="45"/>
  <c r="G347" i="45"/>
  <c r="J9" i="92" s="1"/>
  <c r="G346" i="45"/>
  <c r="E8" i="92" s="1"/>
  <c r="G270" i="45"/>
  <c r="E6" i="90" s="1"/>
  <c r="G280" i="45"/>
  <c r="D68" i="90" s="1"/>
  <c r="G294" i="45"/>
  <c r="N8" i="90" s="1"/>
  <c r="E350" i="45"/>
  <c r="O26" i="91"/>
  <c r="E28" i="92" s="1"/>
  <c r="G26" i="45"/>
  <c r="G26" i="99" s="1" a="1"/>
  <c r="E29" i="102" l="1"/>
  <c r="C29" i="102"/>
  <c r="H26" i="99"/>
  <c r="G26" i="99"/>
  <c r="C25" i="102" a="1"/>
  <c r="C25" i="102" s="1"/>
  <c r="I26" i="99"/>
  <c r="J272" i="45"/>
  <c r="J271" i="45" s="1"/>
  <c r="S272" i="45"/>
  <c r="S271" i="45" s="1"/>
  <c r="R272" i="45"/>
  <c r="R271" i="45" s="1"/>
  <c r="Q272" i="45"/>
  <c r="Q271" i="45" s="1"/>
  <c r="O272" i="45"/>
  <c r="O271" i="45" s="1"/>
  <c r="N272" i="45"/>
  <c r="N271" i="45" s="1"/>
  <c r="L272" i="45"/>
  <c r="L271" i="45" s="1"/>
  <c r="K272" i="45"/>
  <c r="K271" i="45" s="1"/>
  <c r="C4" i="94"/>
  <c r="S282" i="45"/>
  <c r="L282" i="45"/>
  <c r="R282" i="45"/>
  <c r="O282" i="45"/>
  <c r="K282" i="45"/>
  <c r="J282" i="45"/>
  <c r="Q282" i="45"/>
  <c r="N282" i="45"/>
  <c r="E26" i="102"/>
  <c r="D29" i="101"/>
  <c r="C29" i="101"/>
  <c r="E29" i="101"/>
  <c r="C26" i="99" a="1"/>
  <c r="C26" i="99" s="1"/>
  <c r="C25" i="100" a="1"/>
  <c r="C25" i="101" a="1"/>
  <c r="C29" i="100"/>
  <c r="E29" i="100"/>
  <c r="D29" i="100"/>
  <c r="C37" i="101"/>
  <c r="D37" i="101"/>
  <c r="E37" i="101"/>
  <c r="E59" i="101" s="1"/>
  <c r="D30" i="99"/>
  <c r="C30" i="99"/>
  <c r="E30" i="99"/>
  <c r="B27" i="94"/>
  <c r="E117" i="74" s="1"/>
  <c r="E238" i="74" s="1"/>
  <c r="S29" i="92"/>
  <c r="N45" i="90"/>
  <c r="J53" i="90" s="1"/>
  <c r="J54" i="90" s="1"/>
  <c r="N53" i="90"/>
  <c r="C39" i="92"/>
  <c r="B13" i="94"/>
  <c r="E103" i="74" s="1"/>
  <c r="E199" i="74" s="1"/>
  <c r="E25" i="102" l="1"/>
  <c r="E27" i="102"/>
  <c r="D27" i="102"/>
  <c r="D26" i="102"/>
  <c r="C26" i="102"/>
  <c r="D25" i="102"/>
  <c r="C27" i="102"/>
  <c r="G282" i="45"/>
  <c r="D55" i="90" s="1"/>
  <c r="J55" i="90" s="1"/>
  <c r="G272" i="45"/>
  <c r="E14" i="90" s="1"/>
  <c r="E26" i="99"/>
  <c r="D26" i="99"/>
  <c r="C26" i="100"/>
  <c r="C25" i="100"/>
  <c r="E25" i="100"/>
  <c r="C27" i="100"/>
  <c r="D26" i="100"/>
  <c r="E26" i="100"/>
  <c r="D25" i="100"/>
  <c r="D27" i="100"/>
  <c r="E27" i="100"/>
  <c r="C25" i="101"/>
  <c r="D25" i="101"/>
  <c r="D26" i="101"/>
  <c r="E26" i="101"/>
  <c r="C27" i="101"/>
  <c r="D27" i="101"/>
  <c r="E27" i="101"/>
  <c r="E25" i="101"/>
  <c r="C26" i="101"/>
  <c r="R44" i="90"/>
  <c r="K287" i="45"/>
  <c r="S287" i="45"/>
  <c r="R287" i="45"/>
  <c r="Q287" i="45"/>
  <c r="O287" i="45"/>
  <c r="L287" i="45"/>
  <c r="J287" i="45"/>
  <c r="N287" i="45"/>
  <c r="J56" i="90" l="1"/>
  <c r="J57" i="90"/>
  <c r="T15" i="90" s="1"/>
  <c r="T13" i="90"/>
  <c r="R288" i="45" s="1"/>
  <c r="AF30" i="90"/>
  <c r="D10" i="91" s="1"/>
  <c r="G271" i="45"/>
  <c r="E7" i="90" s="1"/>
  <c r="G287" i="45"/>
  <c r="R298" i="45"/>
  <c r="Q298" i="45"/>
  <c r="S298" i="45"/>
  <c r="O298" i="45"/>
  <c r="J298" i="45"/>
  <c r="N298" i="45"/>
  <c r="L298" i="45"/>
  <c r="K298" i="45"/>
  <c r="T9" i="90"/>
  <c r="T8" i="90"/>
  <c r="S289" i="45" l="1"/>
  <c r="R289" i="45"/>
  <c r="L289" i="45"/>
  <c r="Q289" i="45"/>
  <c r="N289" i="45"/>
  <c r="K289" i="45"/>
  <c r="O289" i="45"/>
  <c r="J289" i="45"/>
  <c r="K288" i="45"/>
  <c r="Q288" i="45"/>
  <c r="O288" i="45"/>
  <c r="N288" i="45"/>
  <c r="J288" i="45"/>
  <c r="S288" i="45"/>
  <c r="L288" i="45"/>
  <c r="O301" i="45"/>
  <c r="N301" i="45"/>
  <c r="L301" i="45"/>
  <c r="K301" i="45"/>
  <c r="J301" i="45"/>
  <c r="S301" i="45"/>
  <c r="R301" i="45"/>
  <c r="Q301" i="45"/>
  <c r="G298" i="45"/>
  <c r="Q300" i="45"/>
  <c r="O300" i="45"/>
  <c r="L300" i="45"/>
  <c r="J300" i="45"/>
  <c r="S300" i="45"/>
  <c r="K300" i="45"/>
  <c r="R300" i="45"/>
  <c r="N300" i="45"/>
  <c r="B5" i="76"/>
  <c r="B6" i="76"/>
  <c r="B4" i="76"/>
  <c r="S379" i="45"/>
  <c r="R379" i="45"/>
  <c r="Q379" i="45"/>
  <c r="S110" i="45"/>
  <c r="R110" i="45"/>
  <c r="Q110" i="45"/>
  <c r="B5" i="82"/>
  <c r="B6" i="82"/>
  <c r="B4" i="82"/>
  <c r="C59" i="33"/>
  <c r="I28" i="33"/>
  <c r="G289" i="45" l="1"/>
  <c r="G288" i="45"/>
  <c r="E257" i="74"/>
  <c r="F47" i="74"/>
  <c r="F257" i="74" s="1"/>
  <c r="C22" i="62" l="1"/>
  <c r="AV47" i="87"/>
  <c r="AV61" i="87" s="1"/>
  <c r="AY53" i="87" a="1"/>
  <c r="AZ53" i="87" s="1"/>
  <c r="AR48" i="87"/>
  <c r="AN48" i="87"/>
  <c r="AN49" i="87" s="1"/>
  <c r="AN50" i="87" s="1"/>
  <c r="AN51" i="87" s="1"/>
  <c r="AN52" i="87" s="1"/>
  <c r="AN53" i="87" s="1"/>
  <c r="AN54" i="87" s="1"/>
  <c r="AN55" i="87" s="1"/>
  <c r="AN56" i="87" s="1"/>
  <c r="AN57" i="87" s="1"/>
  <c r="AN58" i="87" s="1"/>
  <c r="AN59" i="87" s="1"/>
  <c r="AO47" i="87"/>
  <c r="AO48" i="87" s="1"/>
  <c r="AO49" i="87" s="1"/>
  <c r="AO50" i="87" s="1"/>
  <c r="AO51" i="87" s="1"/>
  <c r="AO52" i="87" s="1"/>
  <c r="AO53" i="87" s="1"/>
  <c r="AO54" i="87" s="1"/>
  <c r="AO55" i="87" s="1"/>
  <c r="AO56" i="87" s="1"/>
  <c r="AO57" i="87" s="1"/>
  <c r="AO58" i="87" s="1"/>
  <c r="AO59" i="87" s="1"/>
  <c r="AP59" i="87" s="1"/>
  <c r="AQ59" i="87" s="1"/>
  <c r="G110" i="45"/>
  <c r="C39" i="100" s="1" a="1"/>
  <c r="C39" i="100" s="1"/>
  <c r="G150" i="52"/>
  <c r="F151" i="52" s="1"/>
  <c r="O378" i="45" s="1"/>
  <c r="G147" i="52"/>
  <c r="F148" i="52" s="1"/>
  <c r="O257" i="45" s="1"/>
  <c r="G257" i="45" s="1"/>
  <c r="C5" i="94" s="1"/>
  <c r="F145" i="52"/>
  <c r="O109" i="45" s="1"/>
  <c r="F143" i="52"/>
  <c r="G143" i="52" s="1"/>
  <c r="F142" i="52"/>
  <c r="D39" i="100" l="1"/>
  <c r="E39" i="100"/>
  <c r="E59" i="100" s="1"/>
  <c r="AP55" i="87"/>
  <c r="AQ55" i="87" s="1"/>
  <c r="AP49" i="87"/>
  <c r="AQ49" i="87" s="1"/>
  <c r="AP57" i="87"/>
  <c r="AQ57" i="87" s="1"/>
  <c r="AY51" i="87" a="1"/>
  <c r="BD51" i="87" s="1"/>
  <c r="AP53" i="87"/>
  <c r="AQ53" i="87" s="1"/>
  <c r="BG53" i="87"/>
  <c r="AY53" i="87"/>
  <c r="BF53" i="87"/>
  <c r="BE53" i="87"/>
  <c r="BD53" i="87"/>
  <c r="BK53" i="87"/>
  <c r="BL53" i="87" s="1"/>
  <c r="BM53" i="87" s="1"/>
  <c r="BN53" i="87" s="1"/>
  <c r="BO53" i="87" s="1"/>
  <c r="BP53" i="87" s="1"/>
  <c r="BQ53" i="87" s="1"/>
  <c r="BR53" i="87" s="1"/>
  <c r="BS53" i="87" s="1"/>
  <c r="BT53" i="87" s="1"/>
  <c r="BU53" i="87" s="1"/>
  <c r="BV53" i="87" s="1"/>
  <c r="BW53" i="87" s="1"/>
  <c r="BX53" i="87" s="1"/>
  <c r="BY53" i="87" s="1"/>
  <c r="BZ53" i="87" s="1"/>
  <c r="CA53" i="87" s="1"/>
  <c r="CB53" i="87" s="1"/>
  <c r="CC53" i="87" s="1"/>
  <c r="CD53" i="87" s="1"/>
  <c r="CE53" i="87" s="1"/>
  <c r="CF53" i="87" s="1"/>
  <c r="CG53" i="87" s="1"/>
  <c r="BC53" i="87"/>
  <c r="BJ53" i="87"/>
  <c r="BB53" i="87"/>
  <c r="BI53" i="87"/>
  <c r="BA53" i="87"/>
  <c r="BH53" i="87"/>
  <c r="AP56" i="87"/>
  <c r="AQ56" i="87" s="1"/>
  <c r="AP48" i="87"/>
  <c r="AQ48" i="87" s="1"/>
  <c r="AS48" i="87" s="1"/>
  <c r="AT48" i="87" s="1"/>
  <c r="AP54" i="87"/>
  <c r="AQ54" i="87" s="1"/>
  <c r="AP47" i="87"/>
  <c r="AP52" i="87"/>
  <c r="AQ52" i="87" s="1"/>
  <c r="AP51" i="87"/>
  <c r="AQ51" i="87" s="1"/>
  <c r="AP58" i="87"/>
  <c r="AQ58" i="87" s="1"/>
  <c r="AP50" i="87"/>
  <c r="AQ50" i="87" s="1"/>
  <c r="AR49" i="87"/>
  <c r="AY51" i="87" l="1"/>
  <c r="BJ51" i="87"/>
  <c r="BH51" i="87"/>
  <c r="BG51" i="87"/>
  <c r="BC51" i="87"/>
  <c r="BE51" i="87"/>
  <c r="BA51" i="87"/>
  <c r="BK51" i="87"/>
  <c r="BL51" i="87" s="1"/>
  <c r="BM51" i="87" s="1"/>
  <c r="BN51" i="87" s="1"/>
  <c r="BO51" i="87" s="1"/>
  <c r="BP51" i="87" s="1"/>
  <c r="BQ51" i="87" s="1"/>
  <c r="BR51" i="87" s="1"/>
  <c r="BS51" i="87" s="1"/>
  <c r="BT51" i="87" s="1"/>
  <c r="BU51" i="87" s="1"/>
  <c r="BV51" i="87" s="1"/>
  <c r="BW51" i="87" s="1"/>
  <c r="BX51" i="87" s="1"/>
  <c r="BY51" i="87" s="1"/>
  <c r="BZ51" i="87" s="1"/>
  <c r="CA51" i="87" s="1"/>
  <c r="CB51" i="87" s="1"/>
  <c r="CC51" i="87" s="1"/>
  <c r="CD51" i="87" s="1"/>
  <c r="CE51" i="87" s="1"/>
  <c r="CF51" i="87" s="1"/>
  <c r="CG51" i="87" s="1"/>
  <c r="CH51" i="87" s="1"/>
  <c r="CI51" i="87" s="1"/>
  <c r="CJ51" i="87" s="1"/>
  <c r="CK51" i="87" s="1"/>
  <c r="CL51" i="87" s="1"/>
  <c r="CM51" i="87" s="1"/>
  <c r="CN51" i="87" s="1"/>
  <c r="CO51" i="87" s="1"/>
  <c r="CP51" i="87" s="1"/>
  <c r="CQ51" i="87" s="1"/>
  <c r="CR51" i="87" s="1"/>
  <c r="CS51" i="87" s="1"/>
  <c r="CT51" i="87" s="1"/>
  <c r="CU51" i="87" s="1"/>
  <c r="CV51" i="87" s="1"/>
  <c r="BF51" i="87"/>
  <c r="BI51" i="87"/>
  <c r="BB51" i="87"/>
  <c r="AZ51" i="87"/>
  <c r="AQ47" i="87"/>
  <c r="AS49" i="87"/>
  <c r="AT49" i="87" s="1"/>
  <c r="AR50" i="87"/>
  <c r="AS47" i="87" l="1"/>
  <c r="AR51" i="87"/>
  <c r="AS50" i="87"/>
  <c r="AT50" i="87" s="1"/>
  <c r="AT47" i="87" l="1"/>
  <c r="AS51" i="87"/>
  <c r="AT51" i="87" s="1"/>
  <c r="AR52" i="87"/>
  <c r="AS52" i="87" l="1"/>
  <c r="AT52" i="87" s="1"/>
  <c r="AR53" i="87"/>
  <c r="AS53" i="87" l="1"/>
  <c r="AT53" i="87" s="1"/>
  <c r="AR54" i="87"/>
  <c r="AS54" i="87" l="1"/>
  <c r="AT54" i="87" s="1"/>
  <c r="AR55" i="87"/>
  <c r="AR56" i="87" l="1"/>
  <c r="AS55" i="87"/>
  <c r="AT55" i="87" s="1"/>
  <c r="AR57" i="87" l="1"/>
  <c r="AS56" i="87"/>
  <c r="AT56" i="87" s="1"/>
  <c r="AS57" i="87" l="1"/>
  <c r="AT57" i="87" s="1"/>
  <c r="AR58" i="87"/>
  <c r="AS58" i="87" l="1"/>
  <c r="AT58" i="87" s="1"/>
  <c r="AR59" i="87"/>
  <c r="AX47" i="87" l="1"/>
  <c r="AR61" i="87"/>
  <c r="AY52" i="87" a="1"/>
  <c r="AS59" i="87"/>
  <c r="AT59" i="87" s="1"/>
  <c r="BB52" i="87" l="1"/>
  <c r="BB54" i="87" s="1"/>
  <c r="BA52" i="87"/>
  <c r="BA54" i="87" s="1"/>
  <c r="BE52" i="87"/>
  <c r="BE54" i="87" s="1"/>
  <c r="BH52" i="87"/>
  <c r="BH54" i="87" s="1"/>
  <c r="AZ52" i="87"/>
  <c r="AZ54" i="87" s="1"/>
  <c r="BG52" i="87"/>
  <c r="BG54" i="87" s="1"/>
  <c r="BK52" i="87"/>
  <c r="BJ52" i="87"/>
  <c r="BJ54" i="87" s="1"/>
  <c r="BI52" i="87"/>
  <c r="BI54" i="87" s="1"/>
  <c r="AY52" i="87"/>
  <c r="AY54" i="87" s="1"/>
  <c r="BD52" i="87"/>
  <c r="BD54" i="87" s="1"/>
  <c r="BF52" i="87"/>
  <c r="BF54" i="87" s="1"/>
  <c r="BC52" i="87"/>
  <c r="BC54" i="87" s="1"/>
  <c r="L57" i="45"/>
  <c r="L495" i="45" s="1"/>
  <c r="K57" i="45"/>
  <c r="K495" i="45" s="1"/>
  <c r="J57" i="45"/>
  <c r="J495" i="45" s="1"/>
  <c r="O57" i="45"/>
  <c r="O495" i="45" s="1"/>
  <c r="N57" i="45"/>
  <c r="S57" i="45"/>
  <c r="S495" i="45" s="1"/>
  <c r="R57" i="45"/>
  <c r="R495" i="45" s="1"/>
  <c r="Q57" i="45"/>
  <c r="Q495" i="45" s="1"/>
  <c r="R101" i="45" l="1"/>
  <c r="R248" i="45"/>
  <c r="R250" i="45"/>
  <c r="Q101" i="45"/>
  <c r="Q248" i="45"/>
  <c r="Q250" i="45"/>
  <c r="S101" i="45"/>
  <c r="S248" i="45"/>
  <c r="S250" i="45"/>
  <c r="O101" i="45"/>
  <c r="O250" i="45"/>
  <c r="O248" i="45"/>
  <c r="J101" i="45"/>
  <c r="J248" i="45"/>
  <c r="J250" i="45"/>
  <c r="K101" i="45"/>
  <c r="K248" i="45"/>
  <c r="K250" i="45"/>
  <c r="L101" i="45"/>
  <c r="L248" i="45"/>
  <c r="L250" i="45"/>
  <c r="G57" i="45"/>
  <c r="G41" i="99" s="1" a="1"/>
  <c r="J99" i="45"/>
  <c r="J34" i="45"/>
  <c r="J252" i="45" s="1"/>
  <c r="N34" i="45"/>
  <c r="K34" i="45"/>
  <c r="K252" i="45" s="1"/>
  <c r="K99" i="45"/>
  <c r="O34" i="45"/>
  <c r="O99" i="45"/>
  <c r="L34" i="45"/>
  <c r="L252" i="45" s="1"/>
  <c r="L99" i="45"/>
  <c r="BL52" i="87"/>
  <c r="BK54" i="87"/>
  <c r="C44" i="33"/>
  <c r="AF4" i="86"/>
  <c r="AF5" i="86"/>
  <c r="AF6" i="86"/>
  <c r="AF7" i="86"/>
  <c r="AF8" i="86"/>
  <c r="AF9" i="86"/>
  <c r="AF10" i="86"/>
  <c r="AF11" i="86"/>
  <c r="AF12" i="86"/>
  <c r="AF13" i="86"/>
  <c r="AF14" i="86"/>
  <c r="AF15" i="86"/>
  <c r="AF16" i="86"/>
  <c r="AF17" i="86"/>
  <c r="AF18" i="86"/>
  <c r="AF19" i="86"/>
  <c r="AF20" i="86"/>
  <c r="AF21" i="86"/>
  <c r="AF22" i="86"/>
  <c r="AF23" i="86"/>
  <c r="AF24" i="86"/>
  <c r="AF25" i="86"/>
  <c r="AF26" i="86"/>
  <c r="AF27" i="86"/>
  <c r="AF28" i="86"/>
  <c r="AF29" i="86"/>
  <c r="AF30" i="86"/>
  <c r="AF31" i="86"/>
  <c r="AF32" i="86"/>
  <c r="AF33" i="86"/>
  <c r="AF34" i="86"/>
  <c r="AF35" i="86"/>
  <c r="AF36" i="86"/>
  <c r="AF37" i="86"/>
  <c r="AF38" i="86"/>
  <c r="AF39" i="86"/>
  <c r="AF40" i="86"/>
  <c r="AF41" i="86"/>
  <c r="AF42" i="86"/>
  <c r="AF43" i="86"/>
  <c r="AF44" i="86"/>
  <c r="AF45" i="86"/>
  <c r="AF46" i="86"/>
  <c r="AF47" i="86"/>
  <c r="AF48" i="86"/>
  <c r="AF49" i="86"/>
  <c r="AF50" i="86"/>
  <c r="AF51" i="86"/>
  <c r="AF52" i="86"/>
  <c r="AF53" i="86"/>
  <c r="AF54" i="86"/>
  <c r="AF55" i="86"/>
  <c r="AF56" i="86"/>
  <c r="AF57" i="86"/>
  <c r="AF58" i="86"/>
  <c r="AF59" i="86"/>
  <c r="AF60" i="86"/>
  <c r="AF61" i="86"/>
  <c r="AF62" i="86"/>
  <c r="AF63" i="86"/>
  <c r="AF64" i="86"/>
  <c r="AF65" i="86"/>
  <c r="AF66" i="86"/>
  <c r="AF67" i="86"/>
  <c r="AF68" i="86"/>
  <c r="AF69" i="86"/>
  <c r="AF70" i="86"/>
  <c r="AF71" i="86"/>
  <c r="AF72" i="86"/>
  <c r="AF73" i="86"/>
  <c r="AF74" i="86"/>
  <c r="AF75" i="86"/>
  <c r="AF76" i="86"/>
  <c r="AF77" i="86"/>
  <c r="AF78" i="86"/>
  <c r="AF79" i="86"/>
  <c r="AF80" i="86"/>
  <c r="AF81" i="86"/>
  <c r="AF82" i="86"/>
  <c r="AF83" i="86"/>
  <c r="AF84" i="86"/>
  <c r="AF85" i="86"/>
  <c r="AF86" i="86"/>
  <c r="AF87" i="86"/>
  <c r="AF88" i="86"/>
  <c r="AF89" i="86"/>
  <c r="AF90" i="86"/>
  <c r="AF91" i="86"/>
  <c r="AF92" i="86"/>
  <c r="AF93" i="86"/>
  <c r="AF94" i="86"/>
  <c r="AF95" i="86"/>
  <c r="AF96" i="86"/>
  <c r="AF97" i="86"/>
  <c r="AF98" i="86"/>
  <c r="AF99" i="86"/>
  <c r="AF100" i="86"/>
  <c r="AF101" i="86"/>
  <c r="AF102" i="86"/>
  <c r="AF103" i="86"/>
  <c r="AF104" i="86"/>
  <c r="AF105" i="86"/>
  <c r="AF106" i="86"/>
  <c r="AF107" i="86"/>
  <c r="AF108" i="86"/>
  <c r="AF109" i="86"/>
  <c r="AF110" i="86"/>
  <c r="AF111" i="86"/>
  <c r="AF112" i="86"/>
  <c r="AF113" i="86"/>
  <c r="AF114" i="86"/>
  <c r="AF115" i="86"/>
  <c r="AF116" i="86"/>
  <c r="AF117" i="86"/>
  <c r="AF118" i="86"/>
  <c r="AF119" i="86"/>
  <c r="AF120" i="86"/>
  <c r="AF121" i="86"/>
  <c r="AF122" i="86"/>
  <c r="AF123" i="86"/>
  <c r="AF124" i="86"/>
  <c r="AF125" i="86"/>
  <c r="AF126" i="86"/>
  <c r="AF127" i="86"/>
  <c r="AF128" i="86"/>
  <c r="AF129" i="86"/>
  <c r="AF130" i="86"/>
  <c r="AF131" i="86"/>
  <c r="AF132" i="86"/>
  <c r="AF133" i="86"/>
  <c r="AF134" i="86"/>
  <c r="AF135" i="86"/>
  <c r="AF136" i="86"/>
  <c r="AF137" i="86"/>
  <c r="AF138" i="86"/>
  <c r="AF139" i="86"/>
  <c r="AF140" i="86"/>
  <c r="AF141" i="86"/>
  <c r="AF142" i="86"/>
  <c r="AF143" i="86"/>
  <c r="AF144" i="86"/>
  <c r="AF145" i="86"/>
  <c r="AF146" i="86"/>
  <c r="AF147" i="86"/>
  <c r="AF148" i="86"/>
  <c r="AF149" i="86"/>
  <c r="AF150" i="86"/>
  <c r="AF151" i="86"/>
  <c r="AF152" i="86"/>
  <c r="AF153" i="86"/>
  <c r="AF154" i="86"/>
  <c r="AF155" i="86"/>
  <c r="AF156" i="86"/>
  <c r="AF157" i="86"/>
  <c r="AF158" i="86"/>
  <c r="AF159" i="86"/>
  <c r="AF160" i="86"/>
  <c r="AF161" i="86"/>
  <c r="AF162" i="86"/>
  <c r="AF163" i="86"/>
  <c r="AF164" i="86"/>
  <c r="AF165" i="86"/>
  <c r="AF166" i="86"/>
  <c r="AF167" i="86"/>
  <c r="AF168" i="86"/>
  <c r="AF169" i="86"/>
  <c r="AF170" i="86"/>
  <c r="AF171" i="86"/>
  <c r="AF172" i="86"/>
  <c r="AF173" i="86"/>
  <c r="AF174" i="86"/>
  <c r="AF175" i="86"/>
  <c r="AF176" i="86"/>
  <c r="AF177" i="86"/>
  <c r="AF178" i="86"/>
  <c r="AF179" i="86"/>
  <c r="AF180" i="86"/>
  <c r="AF181" i="86"/>
  <c r="AF182" i="86"/>
  <c r="AF183" i="86"/>
  <c r="AF184" i="86"/>
  <c r="AF185" i="86"/>
  <c r="AF186" i="86"/>
  <c r="AF187" i="86"/>
  <c r="AF188" i="86"/>
  <c r="AF189" i="86"/>
  <c r="AF190" i="86"/>
  <c r="AF191" i="86"/>
  <c r="AF192" i="86"/>
  <c r="AF193" i="86"/>
  <c r="AF194" i="86"/>
  <c r="AF195" i="86"/>
  <c r="AF196" i="86"/>
  <c r="AF197" i="86"/>
  <c r="AF198" i="86"/>
  <c r="AF199" i="86"/>
  <c r="AF200" i="86"/>
  <c r="AF201" i="86"/>
  <c r="AF202" i="86"/>
  <c r="AF203" i="86"/>
  <c r="AF204" i="86"/>
  <c r="AF205" i="86"/>
  <c r="AF206" i="86"/>
  <c r="AF207" i="86"/>
  <c r="AF208" i="86"/>
  <c r="AF209" i="86"/>
  <c r="AF210" i="86"/>
  <c r="AF211" i="86"/>
  <c r="AF212" i="86"/>
  <c r="AF213" i="86"/>
  <c r="AF214" i="86"/>
  <c r="AF215" i="86"/>
  <c r="AF216" i="86"/>
  <c r="AF217" i="86"/>
  <c r="AF218" i="86"/>
  <c r="AF219" i="86"/>
  <c r="AF220" i="86"/>
  <c r="AF221" i="86"/>
  <c r="AF222" i="86"/>
  <c r="AF223" i="86"/>
  <c r="AF224" i="86"/>
  <c r="AF225" i="86"/>
  <c r="AF226" i="86"/>
  <c r="AF227" i="86"/>
  <c r="AF228" i="86"/>
  <c r="AF229" i="86"/>
  <c r="AF230" i="86"/>
  <c r="AF231" i="86"/>
  <c r="AF232" i="86"/>
  <c r="AF233" i="86"/>
  <c r="AF234" i="86"/>
  <c r="AF235" i="86"/>
  <c r="AF236" i="86"/>
  <c r="AF237" i="86"/>
  <c r="AF238" i="86"/>
  <c r="AF239" i="86"/>
  <c r="AF240" i="86"/>
  <c r="AF241" i="86"/>
  <c r="AF242" i="86"/>
  <c r="AF243" i="86"/>
  <c r="AF244" i="86"/>
  <c r="AF245" i="86"/>
  <c r="AF246" i="86"/>
  <c r="AF247" i="86"/>
  <c r="AF248" i="86"/>
  <c r="AF249" i="86"/>
  <c r="AF250" i="86"/>
  <c r="AF251" i="86"/>
  <c r="AF252" i="86"/>
  <c r="AF253" i="86"/>
  <c r="AF254" i="86"/>
  <c r="AF255" i="86"/>
  <c r="AF256" i="86"/>
  <c r="AF257" i="86"/>
  <c r="AF258" i="86"/>
  <c r="AF259" i="86"/>
  <c r="AF260" i="86"/>
  <c r="AF261" i="86"/>
  <c r="AF262" i="86"/>
  <c r="AF263" i="86"/>
  <c r="AF264" i="86"/>
  <c r="AF265" i="86"/>
  <c r="AF266" i="86"/>
  <c r="AF267" i="86"/>
  <c r="AF268" i="86"/>
  <c r="AF269" i="86"/>
  <c r="AF270" i="86"/>
  <c r="AF271" i="86"/>
  <c r="AF272" i="86"/>
  <c r="AF273" i="86"/>
  <c r="AF274" i="86"/>
  <c r="AF275" i="86"/>
  <c r="AF276" i="86"/>
  <c r="AF277" i="86"/>
  <c r="AF278" i="86"/>
  <c r="AF279" i="86"/>
  <c r="AF280" i="86"/>
  <c r="AF281" i="86"/>
  <c r="AF282" i="86"/>
  <c r="AF283" i="86"/>
  <c r="AF284" i="86"/>
  <c r="AF285" i="86"/>
  <c r="AF286" i="86"/>
  <c r="AF287" i="86"/>
  <c r="AF288" i="86"/>
  <c r="AF289" i="86"/>
  <c r="AF290" i="86"/>
  <c r="AF291" i="86"/>
  <c r="AF292" i="86"/>
  <c r="AF293" i="86"/>
  <c r="AF294" i="86"/>
  <c r="AF295" i="86"/>
  <c r="AF296" i="86"/>
  <c r="AF297" i="86"/>
  <c r="AF298" i="86"/>
  <c r="AF299" i="86"/>
  <c r="AF300" i="86"/>
  <c r="AF301" i="86"/>
  <c r="AF302" i="86"/>
  <c r="AF303" i="86"/>
  <c r="AF304" i="86"/>
  <c r="AF305" i="86"/>
  <c r="AF306" i="86"/>
  <c r="AF307" i="86"/>
  <c r="AF308" i="86"/>
  <c r="AF309" i="86"/>
  <c r="AF310" i="86"/>
  <c r="AF311" i="86"/>
  <c r="AF312" i="86"/>
  <c r="AF313" i="86"/>
  <c r="AF314" i="86"/>
  <c r="AF315" i="86"/>
  <c r="AF316" i="86"/>
  <c r="AF317" i="86"/>
  <c r="AF318" i="86"/>
  <c r="AF319" i="86"/>
  <c r="AF320" i="86"/>
  <c r="AF321" i="86"/>
  <c r="AF322" i="86"/>
  <c r="AF323" i="86"/>
  <c r="AF324" i="86"/>
  <c r="AF325" i="86"/>
  <c r="AF326" i="86"/>
  <c r="AF327" i="86"/>
  <c r="AF328" i="86"/>
  <c r="AF329" i="86"/>
  <c r="AF330" i="86"/>
  <c r="AF331" i="86"/>
  <c r="AF332" i="86"/>
  <c r="AF333" i="86"/>
  <c r="AF334" i="86"/>
  <c r="AF335" i="86"/>
  <c r="AF336" i="86"/>
  <c r="AF337" i="86"/>
  <c r="AF338" i="86"/>
  <c r="AF339" i="86"/>
  <c r="AF340" i="86"/>
  <c r="AF341" i="86"/>
  <c r="AF342" i="86"/>
  <c r="AF343" i="86"/>
  <c r="AF344" i="86"/>
  <c r="AF345" i="86"/>
  <c r="AF346" i="86"/>
  <c r="AF347" i="86"/>
  <c r="AF348" i="86"/>
  <c r="AF349" i="86"/>
  <c r="AF350" i="86"/>
  <c r="AF351" i="86"/>
  <c r="AF352" i="86"/>
  <c r="AF353" i="86"/>
  <c r="AF354" i="86"/>
  <c r="AF355" i="86"/>
  <c r="AF356" i="86"/>
  <c r="AF357" i="86"/>
  <c r="AF358" i="86"/>
  <c r="AF359" i="86"/>
  <c r="AF360" i="86"/>
  <c r="AF361" i="86"/>
  <c r="AF362" i="86"/>
  <c r="AF363" i="86"/>
  <c r="AF364" i="86"/>
  <c r="AF365" i="86"/>
  <c r="AF366" i="86"/>
  <c r="AF367" i="86"/>
  <c r="AF368" i="86"/>
  <c r="AF369" i="86"/>
  <c r="AF370" i="86"/>
  <c r="AF371" i="86"/>
  <c r="AF372" i="86"/>
  <c r="AF373" i="86"/>
  <c r="AF374" i="86"/>
  <c r="AF375" i="86"/>
  <c r="AF376" i="86"/>
  <c r="AF377" i="86"/>
  <c r="AF378" i="86"/>
  <c r="AF379" i="86"/>
  <c r="AF380" i="86"/>
  <c r="AF381" i="86"/>
  <c r="AF382" i="86"/>
  <c r="AF383" i="86"/>
  <c r="AF384" i="86"/>
  <c r="AF385" i="86"/>
  <c r="AF386" i="86"/>
  <c r="AF387" i="86"/>
  <c r="AF388" i="86"/>
  <c r="AF389" i="86"/>
  <c r="AF390" i="86"/>
  <c r="AF391" i="86"/>
  <c r="AF392" i="86"/>
  <c r="AF393" i="86"/>
  <c r="AF394" i="86"/>
  <c r="AF395" i="86"/>
  <c r="AF396" i="86"/>
  <c r="AF397" i="86"/>
  <c r="AF398" i="86"/>
  <c r="AF399" i="86"/>
  <c r="AF400" i="86"/>
  <c r="AF401" i="86"/>
  <c r="AF402" i="86"/>
  <c r="AF403" i="86"/>
  <c r="AF404" i="86"/>
  <c r="AF405" i="86"/>
  <c r="AF406" i="86"/>
  <c r="AF407" i="86"/>
  <c r="AF408" i="86"/>
  <c r="AF409" i="86"/>
  <c r="AF410" i="86"/>
  <c r="AF411" i="86"/>
  <c r="AF412" i="86"/>
  <c r="AF413" i="86"/>
  <c r="AF414" i="86"/>
  <c r="AF415" i="86"/>
  <c r="AF416" i="86"/>
  <c r="AF417" i="86"/>
  <c r="AF418" i="86"/>
  <c r="AF419" i="86"/>
  <c r="AF420" i="86"/>
  <c r="AF421" i="86"/>
  <c r="AF422" i="86"/>
  <c r="AF423" i="86"/>
  <c r="AF424" i="86"/>
  <c r="AF425" i="86"/>
  <c r="AF426" i="86"/>
  <c r="AF427" i="86"/>
  <c r="AF428" i="86"/>
  <c r="AF429" i="86"/>
  <c r="AF430" i="86"/>
  <c r="AF431" i="86"/>
  <c r="AF432" i="86"/>
  <c r="AF433" i="86"/>
  <c r="AF434" i="86"/>
  <c r="AF435" i="86"/>
  <c r="AF436" i="86"/>
  <c r="AF437" i="86"/>
  <c r="AF438" i="86"/>
  <c r="AF439" i="86"/>
  <c r="AF440" i="86"/>
  <c r="AF441" i="86"/>
  <c r="AF442" i="86"/>
  <c r="AF443" i="86"/>
  <c r="AF444" i="86"/>
  <c r="AF445" i="86"/>
  <c r="AF446" i="86"/>
  <c r="AF447" i="86"/>
  <c r="AF448" i="86"/>
  <c r="AF449" i="86"/>
  <c r="AF450" i="86"/>
  <c r="AF451" i="86"/>
  <c r="AF452" i="86"/>
  <c r="AF453" i="86"/>
  <c r="AF454" i="86"/>
  <c r="AF455" i="86"/>
  <c r="AF456" i="86"/>
  <c r="AF457" i="86"/>
  <c r="AF458" i="86"/>
  <c r="AF459" i="86"/>
  <c r="AF460" i="86"/>
  <c r="AF461" i="86"/>
  <c r="AF462" i="86"/>
  <c r="AF463" i="86"/>
  <c r="AF464" i="86"/>
  <c r="AF465" i="86"/>
  <c r="AF466" i="86"/>
  <c r="AF467" i="86"/>
  <c r="AF468" i="86"/>
  <c r="AF469" i="86"/>
  <c r="AF470" i="86"/>
  <c r="AF471" i="86"/>
  <c r="AF472" i="86"/>
  <c r="AF473" i="86"/>
  <c r="AF474" i="86"/>
  <c r="AF475" i="86"/>
  <c r="AF476" i="86"/>
  <c r="AF477" i="86"/>
  <c r="AF478" i="86"/>
  <c r="AF479" i="86"/>
  <c r="AF480" i="86"/>
  <c r="AF481" i="86"/>
  <c r="AF482" i="86"/>
  <c r="AF483" i="86"/>
  <c r="AF484" i="86"/>
  <c r="AF485" i="86"/>
  <c r="AF486" i="86"/>
  <c r="AF487" i="86"/>
  <c r="AF488" i="86"/>
  <c r="AF489" i="86"/>
  <c r="AF490" i="86"/>
  <c r="AF491" i="86"/>
  <c r="AF492" i="86"/>
  <c r="AF493" i="86"/>
  <c r="AF494" i="86"/>
  <c r="AF495" i="86"/>
  <c r="AF496" i="86"/>
  <c r="AF497" i="86"/>
  <c r="AF498" i="86"/>
  <c r="AF499" i="86"/>
  <c r="AF500" i="86"/>
  <c r="AF501" i="86"/>
  <c r="AF502" i="86"/>
  <c r="AF503" i="86"/>
  <c r="AF504" i="86"/>
  <c r="AF505" i="86"/>
  <c r="AF506" i="86"/>
  <c r="AF507" i="86"/>
  <c r="AF508" i="86"/>
  <c r="AF509" i="86"/>
  <c r="AF510" i="86"/>
  <c r="AF511" i="86"/>
  <c r="AF512" i="86"/>
  <c r="AF513" i="86"/>
  <c r="AF514" i="86"/>
  <c r="AF515" i="86"/>
  <c r="AF516" i="86"/>
  <c r="AF517" i="86"/>
  <c r="AF518" i="86"/>
  <c r="AF519" i="86"/>
  <c r="AF520" i="86"/>
  <c r="AF521" i="86"/>
  <c r="AF522" i="86"/>
  <c r="AF523" i="86"/>
  <c r="AF524" i="86"/>
  <c r="AF525" i="86"/>
  <c r="AF526" i="86"/>
  <c r="AF527" i="86"/>
  <c r="AF528" i="86"/>
  <c r="AF529" i="86"/>
  <c r="AF530" i="86"/>
  <c r="AF531" i="86"/>
  <c r="AF532" i="86"/>
  <c r="AF533" i="86"/>
  <c r="AF534" i="86"/>
  <c r="AF535" i="86"/>
  <c r="AF536" i="86"/>
  <c r="AF537" i="86"/>
  <c r="AF538" i="86"/>
  <c r="AF539" i="86"/>
  <c r="AF540" i="86"/>
  <c r="AF541" i="86"/>
  <c r="AF542" i="86"/>
  <c r="AF543" i="86"/>
  <c r="AF544" i="86"/>
  <c r="AF545" i="86"/>
  <c r="AF546" i="86"/>
  <c r="AF547" i="86"/>
  <c r="AF548" i="86"/>
  <c r="AF549" i="86"/>
  <c r="AF550" i="86"/>
  <c r="AF551" i="86"/>
  <c r="AF552" i="86"/>
  <c r="AF553" i="86"/>
  <c r="AF554" i="86"/>
  <c r="AF555" i="86"/>
  <c r="AF556" i="86"/>
  <c r="AF557" i="86"/>
  <c r="AF558" i="86"/>
  <c r="AF559" i="86"/>
  <c r="AF560" i="86"/>
  <c r="AF561" i="86"/>
  <c r="AF562" i="86"/>
  <c r="AF563" i="86"/>
  <c r="AF564" i="86"/>
  <c r="AF565" i="86"/>
  <c r="AF566" i="86"/>
  <c r="AF567" i="86"/>
  <c r="AF568" i="86"/>
  <c r="AF569" i="86"/>
  <c r="AF570" i="86"/>
  <c r="AF571" i="86"/>
  <c r="AF572" i="86"/>
  <c r="AF573" i="86"/>
  <c r="AF574" i="86"/>
  <c r="AF575" i="86"/>
  <c r="AF576" i="86"/>
  <c r="AF577" i="86"/>
  <c r="AF578" i="86"/>
  <c r="AF579" i="86"/>
  <c r="AF580" i="86"/>
  <c r="AF581" i="86"/>
  <c r="AF582" i="86"/>
  <c r="AF583" i="86"/>
  <c r="AF584" i="86"/>
  <c r="AF585" i="86"/>
  <c r="AF586" i="86"/>
  <c r="AF587" i="86"/>
  <c r="AF588" i="86"/>
  <c r="AF589" i="86"/>
  <c r="AF590" i="86"/>
  <c r="AF591" i="86"/>
  <c r="AF592" i="86"/>
  <c r="AF593" i="86"/>
  <c r="AF594" i="86"/>
  <c r="AF595" i="86"/>
  <c r="AF596" i="86"/>
  <c r="AF597" i="86"/>
  <c r="AF598" i="86"/>
  <c r="AF599" i="86"/>
  <c r="AF600" i="86"/>
  <c r="AF601" i="86"/>
  <c r="AF602" i="86"/>
  <c r="AF603" i="86"/>
  <c r="AF604" i="86"/>
  <c r="AF605" i="86"/>
  <c r="AF606" i="86"/>
  <c r="AF607" i="86"/>
  <c r="AF608" i="86"/>
  <c r="AF609" i="86"/>
  <c r="AF610" i="86"/>
  <c r="AF611" i="86"/>
  <c r="AF612" i="86"/>
  <c r="AF613" i="86"/>
  <c r="AF614" i="86"/>
  <c r="AF615" i="86"/>
  <c r="AF616" i="86"/>
  <c r="AF617" i="86"/>
  <c r="AF618" i="86"/>
  <c r="AF619" i="86"/>
  <c r="AF620" i="86"/>
  <c r="AF621" i="86"/>
  <c r="AF622" i="86"/>
  <c r="AF623" i="86"/>
  <c r="AF624" i="86"/>
  <c r="AF625" i="86"/>
  <c r="AF626" i="86"/>
  <c r="AF627" i="86"/>
  <c r="AF628" i="86"/>
  <c r="AF629" i="86"/>
  <c r="AF630" i="86"/>
  <c r="AF631" i="86"/>
  <c r="AF632" i="86"/>
  <c r="AF633" i="86"/>
  <c r="AF634" i="86"/>
  <c r="AF635" i="86"/>
  <c r="AF636" i="86"/>
  <c r="AF637" i="86"/>
  <c r="AF638" i="86"/>
  <c r="AF639" i="86"/>
  <c r="AF640" i="86"/>
  <c r="AF641" i="86"/>
  <c r="AF642" i="86"/>
  <c r="AF643" i="86"/>
  <c r="AF644" i="86"/>
  <c r="AF645" i="86"/>
  <c r="AF646" i="86"/>
  <c r="AF647" i="86"/>
  <c r="AF648" i="86"/>
  <c r="AF649" i="86"/>
  <c r="AF650" i="86"/>
  <c r="AF651" i="86"/>
  <c r="AF652" i="86"/>
  <c r="AF653" i="86"/>
  <c r="AF654" i="86"/>
  <c r="AF655" i="86"/>
  <c r="AF656" i="86"/>
  <c r="AF657" i="86"/>
  <c r="AF658" i="86"/>
  <c r="AF659" i="86"/>
  <c r="AF660" i="86"/>
  <c r="AF661" i="86"/>
  <c r="AF662" i="86"/>
  <c r="AF663" i="86"/>
  <c r="AF664" i="86"/>
  <c r="AF665" i="86"/>
  <c r="AF666" i="86"/>
  <c r="AF667" i="86"/>
  <c r="AF668" i="86"/>
  <c r="AF669" i="86"/>
  <c r="AF670" i="86"/>
  <c r="AF671" i="86"/>
  <c r="AF672" i="86"/>
  <c r="AF673" i="86"/>
  <c r="AF674" i="86"/>
  <c r="AF675" i="86"/>
  <c r="AF676" i="86"/>
  <c r="AF677" i="86"/>
  <c r="AF678" i="86"/>
  <c r="AF679" i="86"/>
  <c r="AF680" i="86"/>
  <c r="AF681" i="86"/>
  <c r="AF682" i="86"/>
  <c r="AF683" i="86"/>
  <c r="AF684" i="86"/>
  <c r="AF685" i="86"/>
  <c r="AF686" i="86"/>
  <c r="AF687" i="86"/>
  <c r="AF688" i="86"/>
  <c r="AF689" i="86"/>
  <c r="AF690" i="86"/>
  <c r="AF691" i="86"/>
  <c r="AF692" i="86"/>
  <c r="AF693" i="86"/>
  <c r="AF694" i="86"/>
  <c r="AF695" i="86"/>
  <c r="AF696" i="86"/>
  <c r="AF697" i="86"/>
  <c r="AF698" i="86"/>
  <c r="AF699" i="86"/>
  <c r="AF700" i="86"/>
  <c r="AF701" i="86"/>
  <c r="AF702" i="86"/>
  <c r="AF703" i="86"/>
  <c r="AF704" i="86"/>
  <c r="AF705" i="86"/>
  <c r="AF706" i="86"/>
  <c r="AF707" i="86"/>
  <c r="AF708" i="86"/>
  <c r="AF709" i="86"/>
  <c r="AF710" i="86"/>
  <c r="AF711" i="86"/>
  <c r="AF712" i="86"/>
  <c r="AF713" i="86"/>
  <c r="AF714" i="86"/>
  <c r="AF715" i="86"/>
  <c r="AF716" i="86"/>
  <c r="AF717" i="86"/>
  <c r="AF718" i="86"/>
  <c r="AF719" i="86"/>
  <c r="AF720" i="86"/>
  <c r="AF721" i="86"/>
  <c r="AF722" i="86"/>
  <c r="AF723" i="86"/>
  <c r="AF724" i="86"/>
  <c r="AF725" i="86"/>
  <c r="AF726" i="86"/>
  <c r="AF727" i="86"/>
  <c r="AF728" i="86"/>
  <c r="AF729" i="86"/>
  <c r="AF730" i="86"/>
  <c r="AF731" i="86"/>
  <c r="AF732" i="86"/>
  <c r="AF733" i="86"/>
  <c r="AF734" i="86"/>
  <c r="AF735" i="86"/>
  <c r="AF736" i="86"/>
  <c r="AF737" i="86"/>
  <c r="AF738" i="86"/>
  <c r="AF739" i="86"/>
  <c r="AF740" i="86"/>
  <c r="AF741" i="86"/>
  <c r="AF742" i="86"/>
  <c r="AF743" i="86"/>
  <c r="AF744" i="86"/>
  <c r="AF745" i="86"/>
  <c r="AF746" i="86"/>
  <c r="AF747" i="86"/>
  <c r="AF748" i="86"/>
  <c r="AF749" i="86"/>
  <c r="AF750" i="86"/>
  <c r="AF751" i="86"/>
  <c r="AF752" i="86"/>
  <c r="AF753" i="86"/>
  <c r="AF754" i="86"/>
  <c r="AF755" i="86"/>
  <c r="AF756" i="86"/>
  <c r="AF757" i="86"/>
  <c r="AF758" i="86"/>
  <c r="AF759" i="86"/>
  <c r="AF760" i="86"/>
  <c r="AF761" i="86"/>
  <c r="AF762" i="86"/>
  <c r="AF763" i="86"/>
  <c r="AF764" i="86"/>
  <c r="AF765" i="86"/>
  <c r="AF766" i="86"/>
  <c r="AF767" i="86"/>
  <c r="AF768" i="86"/>
  <c r="AF769" i="86"/>
  <c r="AF770" i="86"/>
  <c r="AF771" i="86"/>
  <c r="AF772" i="86"/>
  <c r="AF773" i="86"/>
  <c r="AF774" i="86"/>
  <c r="AF775" i="86"/>
  <c r="AF776" i="86"/>
  <c r="AF777" i="86"/>
  <c r="AF778" i="86"/>
  <c r="AF779" i="86"/>
  <c r="AF780" i="86"/>
  <c r="AF781" i="86"/>
  <c r="AF782" i="86"/>
  <c r="AF783" i="86"/>
  <c r="AF784" i="86"/>
  <c r="AF785" i="86"/>
  <c r="AF786" i="86"/>
  <c r="AF787" i="86"/>
  <c r="AF788" i="86"/>
  <c r="AF789" i="86"/>
  <c r="AF790" i="86"/>
  <c r="AF791" i="86"/>
  <c r="AF792" i="86"/>
  <c r="AF793" i="86"/>
  <c r="AF794" i="86"/>
  <c r="AF795" i="86"/>
  <c r="AF796" i="86"/>
  <c r="AF797" i="86"/>
  <c r="AF798" i="86"/>
  <c r="AF799" i="86"/>
  <c r="AF800" i="86"/>
  <c r="AF801" i="86"/>
  <c r="AF802" i="86"/>
  <c r="AF803" i="86"/>
  <c r="AF804" i="86"/>
  <c r="AF805" i="86"/>
  <c r="AF806" i="86"/>
  <c r="AF807" i="86"/>
  <c r="AF808" i="86"/>
  <c r="AF809" i="86"/>
  <c r="AF810" i="86"/>
  <c r="AF811" i="86"/>
  <c r="AF812" i="86"/>
  <c r="AF813" i="86"/>
  <c r="AF814" i="86"/>
  <c r="AF815" i="86"/>
  <c r="AF816" i="86"/>
  <c r="AF817" i="86"/>
  <c r="AF818" i="86"/>
  <c r="AF819" i="86"/>
  <c r="AF820" i="86"/>
  <c r="AF821" i="86"/>
  <c r="AF822" i="86"/>
  <c r="AF823" i="86"/>
  <c r="AF824" i="86"/>
  <c r="AF825" i="86"/>
  <c r="AF826" i="86"/>
  <c r="AF827" i="86"/>
  <c r="AF828" i="86"/>
  <c r="AF829" i="86"/>
  <c r="AF830" i="86"/>
  <c r="AF831" i="86"/>
  <c r="AF832" i="86"/>
  <c r="AF833" i="86"/>
  <c r="AF834" i="86"/>
  <c r="AF835" i="86"/>
  <c r="AF836" i="86"/>
  <c r="AF837" i="86"/>
  <c r="AF838" i="86"/>
  <c r="AF839" i="86"/>
  <c r="AF840" i="86"/>
  <c r="AF841" i="86"/>
  <c r="AF842" i="86"/>
  <c r="AF843" i="86"/>
  <c r="AF844" i="86"/>
  <c r="AF845" i="86"/>
  <c r="AF846" i="86"/>
  <c r="AF847" i="86"/>
  <c r="AF848" i="86"/>
  <c r="AF849" i="86"/>
  <c r="AF850" i="86"/>
  <c r="AF851" i="86"/>
  <c r="AF852" i="86"/>
  <c r="AF853" i="86"/>
  <c r="AF854" i="86"/>
  <c r="AF855" i="86"/>
  <c r="AF856" i="86"/>
  <c r="AF857" i="86"/>
  <c r="AF858" i="86"/>
  <c r="AF859" i="86"/>
  <c r="AF860" i="86"/>
  <c r="AF861" i="86"/>
  <c r="AF862" i="86"/>
  <c r="AF863" i="86"/>
  <c r="AF864" i="86"/>
  <c r="AF865" i="86"/>
  <c r="AF866" i="86"/>
  <c r="AF867" i="86"/>
  <c r="AF868" i="86"/>
  <c r="AF869" i="86"/>
  <c r="AF870" i="86"/>
  <c r="AF871" i="86"/>
  <c r="AF872" i="86"/>
  <c r="AF873" i="86"/>
  <c r="AF874" i="86"/>
  <c r="AF875" i="86"/>
  <c r="AF876" i="86"/>
  <c r="AF877" i="86"/>
  <c r="AF878" i="86"/>
  <c r="AF879" i="86"/>
  <c r="AF880" i="86"/>
  <c r="AF881" i="86"/>
  <c r="AF882" i="86"/>
  <c r="AF883" i="86"/>
  <c r="AF884" i="86"/>
  <c r="AF885" i="86"/>
  <c r="AF886" i="86"/>
  <c r="AF887" i="86"/>
  <c r="AF888" i="86"/>
  <c r="AF889" i="86"/>
  <c r="AF890" i="86"/>
  <c r="AF891" i="86"/>
  <c r="AF892" i="86"/>
  <c r="AF893" i="86"/>
  <c r="AF894" i="86"/>
  <c r="AF895" i="86"/>
  <c r="AF896" i="86"/>
  <c r="AF897" i="86"/>
  <c r="AF898" i="86"/>
  <c r="AF899" i="86"/>
  <c r="AF900" i="86"/>
  <c r="AF901" i="86"/>
  <c r="AF902" i="86"/>
  <c r="AF903" i="86"/>
  <c r="AF904" i="86"/>
  <c r="AF905" i="86"/>
  <c r="AF906" i="86"/>
  <c r="AF907" i="86"/>
  <c r="AF908" i="86"/>
  <c r="AF909" i="86"/>
  <c r="AF910" i="86"/>
  <c r="AF911" i="86"/>
  <c r="AF912" i="86"/>
  <c r="AF913" i="86"/>
  <c r="AF914" i="86"/>
  <c r="AF915" i="86"/>
  <c r="AF916" i="86"/>
  <c r="AF917" i="86"/>
  <c r="AF918" i="86"/>
  <c r="AF919" i="86"/>
  <c r="AF920" i="86"/>
  <c r="AF921" i="86"/>
  <c r="AF922" i="86"/>
  <c r="AF923" i="86"/>
  <c r="AF924" i="86"/>
  <c r="AF925" i="86"/>
  <c r="AF926" i="86"/>
  <c r="AF927" i="86"/>
  <c r="AF928" i="86"/>
  <c r="AF929" i="86"/>
  <c r="AF930" i="86"/>
  <c r="AF931" i="86"/>
  <c r="AF932" i="86"/>
  <c r="AF933" i="86"/>
  <c r="AF934" i="86"/>
  <c r="AF935" i="86"/>
  <c r="AF936" i="86"/>
  <c r="AF937" i="86"/>
  <c r="AF938" i="86"/>
  <c r="AF939" i="86"/>
  <c r="AF940" i="86"/>
  <c r="AF941" i="86"/>
  <c r="AF942" i="86"/>
  <c r="AF943" i="86"/>
  <c r="AF944" i="86"/>
  <c r="AF945" i="86"/>
  <c r="AF946" i="86"/>
  <c r="AF947" i="86"/>
  <c r="AF948" i="86"/>
  <c r="AF949" i="86"/>
  <c r="AF950" i="86"/>
  <c r="AF951" i="86"/>
  <c r="AF952" i="86"/>
  <c r="AF953" i="86"/>
  <c r="AF954" i="86"/>
  <c r="AF955" i="86"/>
  <c r="AF956" i="86"/>
  <c r="AF957" i="86"/>
  <c r="AF958" i="86"/>
  <c r="AF959" i="86"/>
  <c r="AF960" i="86"/>
  <c r="AF961" i="86"/>
  <c r="AF962" i="86"/>
  <c r="AF963" i="86"/>
  <c r="AF964" i="86"/>
  <c r="AF965" i="86"/>
  <c r="AF966" i="86"/>
  <c r="AF967" i="86"/>
  <c r="AF968" i="86"/>
  <c r="AF969" i="86"/>
  <c r="AF970" i="86"/>
  <c r="AF971" i="86"/>
  <c r="AF972" i="86"/>
  <c r="AF973" i="86"/>
  <c r="AF974" i="86"/>
  <c r="AF975" i="86"/>
  <c r="AF976" i="86"/>
  <c r="AF977" i="86"/>
  <c r="AF978" i="86"/>
  <c r="AF979" i="86"/>
  <c r="AF980" i="86"/>
  <c r="AF981" i="86"/>
  <c r="AF982" i="86"/>
  <c r="AF983" i="86"/>
  <c r="AF984" i="86"/>
  <c r="AF985" i="86"/>
  <c r="AF986" i="86"/>
  <c r="AF987" i="86"/>
  <c r="AF988" i="86"/>
  <c r="AF989" i="86"/>
  <c r="AF990" i="86"/>
  <c r="AF991" i="86"/>
  <c r="AF992" i="86"/>
  <c r="AF993" i="86"/>
  <c r="AF994" i="86"/>
  <c r="AF995" i="86"/>
  <c r="AF996" i="86"/>
  <c r="AF997" i="86"/>
  <c r="AF998" i="86"/>
  <c r="AF999" i="86"/>
  <c r="AF1000" i="86"/>
  <c r="AF1001" i="86"/>
  <c r="AF1002" i="86"/>
  <c r="AF1003" i="86"/>
  <c r="AF1004" i="86"/>
  <c r="AF1005" i="86"/>
  <c r="AF1006" i="86"/>
  <c r="AF1007" i="86"/>
  <c r="AF1008" i="86"/>
  <c r="AF1009" i="86"/>
  <c r="AF1010" i="86"/>
  <c r="AF1011" i="86"/>
  <c r="AF1012" i="86"/>
  <c r="AF1013" i="86"/>
  <c r="AF1014" i="86"/>
  <c r="AF1015" i="86"/>
  <c r="AF1016" i="86"/>
  <c r="AF1017" i="86"/>
  <c r="AF1018" i="86"/>
  <c r="AF1019" i="86"/>
  <c r="AF1020" i="86"/>
  <c r="AF1021" i="86"/>
  <c r="AF1022" i="86"/>
  <c r="AF1023" i="86"/>
  <c r="AF1024" i="86"/>
  <c r="AF1025" i="86"/>
  <c r="AF1026" i="86"/>
  <c r="AF1027" i="86"/>
  <c r="AF1028" i="86"/>
  <c r="AF1029" i="86"/>
  <c r="AF1030" i="86"/>
  <c r="AF1031" i="86"/>
  <c r="AF1032" i="86"/>
  <c r="AF1033" i="86"/>
  <c r="AF1034" i="86"/>
  <c r="AF1035" i="86"/>
  <c r="AF1036" i="86"/>
  <c r="AF1037" i="86"/>
  <c r="AF1038" i="86"/>
  <c r="AF1039" i="86"/>
  <c r="AF1040" i="86"/>
  <c r="AF1041" i="86"/>
  <c r="AF1042" i="86"/>
  <c r="AF1043" i="86"/>
  <c r="AF1044" i="86"/>
  <c r="AF1045" i="86"/>
  <c r="AF1046" i="86"/>
  <c r="AF1047" i="86"/>
  <c r="AF1048" i="86"/>
  <c r="AF1049" i="86"/>
  <c r="AF1050" i="86"/>
  <c r="AF1051" i="86"/>
  <c r="AF1052" i="86"/>
  <c r="AF1053" i="86"/>
  <c r="AF1054" i="86"/>
  <c r="AF1055" i="86"/>
  <c r="AF1056" i="86"/>
  <c r="AF1057" i="86"/>
  <c r="AF1058" i="86"/>
  <c r="AF1059" i="86"/>
  <c r="AF1060" i="86"/>
  <c r="AF1061" i="86"/>
  <c r="AF1062" i="86"/>
  <c r="AF1063" i="86"/>
  <c r="AF1064" i="86"/>
  <c r="AF1065" i="86"/>
  <c r="AF1066" i="86"/>
  <c r="AF1067" i="86"/>
  <c r="AF1068" i="86"/>
  <c r="AF1069" i="86"/>
  <c r="AF1070" i="86"/>
  <c r="AF1071" i="86"/>
  <c r="AF1072" i="86"/>
  <c r="AF1073" i="86"/>
  <c r="AF1074" i="86"/>
  <c r="AF1075" i="86"/>
  <c r="AF1076" i="86"/>
  <c r="AF1077" i="86"/>
  <c r="AF1078" i="86"/>
  <c r="AF1079" i="86"/>
  <c r="AF1080" i="86"/>
  <c r="AF1081" i="86"/>
  <c r="AF1082" i="86"/>
  <c r="AF1083" i="86"/>
  <c r="AF1084" i="86"/>
  <c r="AF1085" i="86"/>
  <c r="AF1086" i="86"/>
  <c r="AF1087" i="86"/>
  <c r="AF1088" i="86"/>
  <c r="AF1089" i="86"/>
  <c r="AF1090" i="86"/>
  <c r="AF1091" i="86"/>
  <c r="AF1092" i="86"/>
  <c r="AF1093" i="86"/>
  <c r="AF1094" i="86"/>
  <c r="AF1095" i="86"/>
  <c r="AF1096" i="86"/>
  <c r="AF1097" i="86"/>
  <c r="AF1098" i="86"/>
  <c r="AF1099" i="86"/>
  <c r="AF1100" i="86"/>
  <c r="AF1101" i="86"/>
  <c r="AF1102" i="86"/>
  <c r="AF1103" i="86"/>
  <c r="AF1104" i="86"/>
  <c r="AF1105" i="86"/>
  <c r="AF1106" i="86"/>
  <c r="AF1107" i="86"/>
  <c r="AF1108" i="86"/>
  <c r="AF1109" i="86"/>
  <c r="AF1110" i="86"/>
  <c r="AF1111" i="86"/>
  <c r="AF1112" i="86"/>
  <c r="AF1113" i="86"/>
  <c r="AF1114" i="86"/>
  <c r="AF1115" i="86"/>
  <c r="AF1116" i="86"/>
  <c r="AF1117" i="86"/>
  <c r="AF1118" i="86"/>
  <c r="AF1119" i="86"/>
  <c r="AF1120" i="86"/>
  <c r="AF1121" i="86"/>
  <c r="AF1122" i="86"/>
  <c r="AF1123" i="86"/>
  <c r="AF1124" i="86"/>
  <c r="AF1125" i="86"/>
  <c r="AF1126" i="86"/>
  <c r="AF1127" i="86"/>
  <c r="AF1128" i="86"/>
  <c r="AF1129" i="86"/>
  <c r="AF1130" i="86"/>
  <c r="AF1131" i="86"/>
  <c r="AF1132" i="86"/>
  <c r="AF1133" i="86"/>
  <c r="AF1134" i="86"/>
  <c r="AF1135" i="86"/>
  <c r="AF1136" i="86"/>
  <c r="AF1137" i="86"/>
  <c r="AF1138" i="86"/>
  <c r="AF1139" i="86"/>
  <c r="AF1140" i="86"/>
  <c r="AF1141" i="86"/>
  <c r="AF1142" i="86"/>
  <c r="AF1143" i="86"/>
  <c r="AF1144" i="86"/>
  <c r="AF1145" i="86"/>
  <c r="AF1146" i="86"/>
  <c r="AF1147" i="86"/>
  <c r="AF1148" i="86"/>
  <c r="AF1149" i="86"/>
  <c r="AF1150" i="86"/>
  <c r="AF1151" i="86"/>
  <c r="AF1152" i="86"/>
  <c r="AF1153" i="86"/>
  <c r="AF1154" i="86"/>
  <c r="AF1155" i="86"/>
  <c r="AF1156" i="86"/>
  <c r="AF1157" i="86"/>
  <c r="AF1158" i="86"/>
  <c r="AF1159" i="86"/>
  <c r="AF1160" i="86"/>
  <c r="AF1161" i="86"/>
  <c r="AF1162" i="86"/>
  <c r="AF1163" i="86"/>
  <c r="AF1164" i="86"/>
  <c r="AF1165" i="86"/>
  <c r="AF1166" i="86"/>
  <c r="AF1167" i="86"/>
  <c r="AF1168" i="86"/>
  <c r="AF1169" i="86"/>
  <c r="AF1170" i="86"/>
  <c r="AF1171" i="86"/>
  <c r="AF1172" i="86"/>
  <c r="AF1173" i="86"/>
  <c r="AF1174" i="86"/>
  <c r="AF1175" i="86"/>
  <c r="AF1176" i="86"/>
  <c r="AF1177" i="86"/>
  <c r="AF1178" i="86"/>
  <c r="AF1179" i="86"/>
  <c r="AF1180" i="86"/>
  <c r="AF1181" i="86"/>
  <c r="AF1182" i="86"/>
  <c r="AF1183" i="86"/>
  <c r="AF1184" i="86"/>
  <c r="AF1185" i="86"/>
  <c r="AF1186" i="86"/>
  <c r="AF1187" i="86"/>
  <c r="AF1188" i="86"/>
  <c r="AF1189" i="86"/>
  <c r="AF1190" i="86"/>
  <c r="AF1191" i="86"/>
  <c r="AF1192" i="86"/>
  <c r="AF1193" i="86"/>
  <c r="AF1194" i="86"/>
  <c r="AF1195" i="86"/>
  <c r="AF1196" i="86"/>
  <c r="AF1197" i="86"/>
  <c r="AF1198" i="86"/>
  <c r="AF1199" i="86"/>
  <c r="AF1200" i="86"/>
  <c r="AF1201" i="86"/>
  <c r="AF1202" i="86"/>
  <c r="AF1203" i="86"/>
  <c r="AF1204" i="86"/>
  <c r="AF1205" i="86"/>
  <c r="AF1206" i="86"/>
  <c r="AF1207" i="86"/>
  <c r="AF1208" i="86"/>
  <c r="AF1209" i="86"/>
  <c r="AF1210" i="86"/>
  <c r="AF1211" i="86"/>
  <c r="AF1212" i="86"/>
  <c r="AF1213" i="86"/>
  <c r="AF1214" i="86"/>
  <c r="AF1215" i="86"/>
  <c r="AF1216" i="86"/>
  <c r="AF1217" i="86"/>
  <c r="AF1218" i="86"/>
  <c r="AF1219" i="86"/>
  <c r="AF1220" i="86"/>
  <c r="AF1221" i="86"/>
  <c r="AF1222" i="86"/>
  <c r="AF1223" i="86"/>
  <c r="AF1224" i="86"/>
  <c r="AF1225" i="86"/>
  <c r="AF1226" i="86"/>
  <c r="AF1227" i="86"/>
  <c r="AF1228" i="86"/>
  <c r="AF1229" i="86"/>
  <c r="AF1230" i="86"/>
  <c r="AF1231" i="86"/>
  <c r="AF1232" i="86"/>
  <c r="AF1233" i="86"/>
  <c r="AF1234" i="86"/>
  <c r="AF1235" i="86"/>
  <c r="AF1236" i="86"/>
  <c r="AF1237" i="86"/>
  <c r="AF1238" i="86"/>
  <c r="AF1239" i="86"/>
  <c r="AF1240" i="86"/>
  <c r="AF1241" i="86"/>
  <c r="AF1242" i="86"/>
  <c r="AF1243" i="86"/>
  <c r="AF1244" i="86"/>
  <c r="AF1245" i="86"/>
  <c r="AF1246" i="86"/>
  <c r="AF1247" i="86"/>
  <c r="AF1248" i="86"/>
  <c r="AF1249" i="86"/>
  <c r="AF1250" i="86"/>
  <c r="AF1251" i="86"/>
  <c r="AF1252" i="86"/>
  <c r="AF1253" i="86"/>
  <c r="AF1254" i="86"/>
  <c r="AF1255" i="86"/>
  <c r="AF1256" i="86"/>
  <c r="AF1257" i="86"/>
  <c r="AF1258" i="86"/>
  <c r="AF1259" i="86"/>
  <c r="AF1260" i="86"/>
  <c r="AF1261" i="86"/>
  <c r="AF1262" i="86"/>
  <c r="AF1263" i="86"/>
  <c r="AF1264" i="86"/>
  <c r="AF1265" i="86"/>
  <c r="AF1266" i="86"/>
  <c r="AF1267" i="86"/>
  <c r="AF1268" i="86"/>
  <c r="AF1269" i="86"/>
  <c r="AF1270" i="86"/>
  <c r="AF1271" i="86"/>
  <c r="AF1272" i="86"/>
  <c r="AF1273" i="86"/>
  <c r="AF1274" i="86"/>
  <c r="AF1275" i="86"/>
  <c r="AF1276" i="86"/>
  <c r="AF1277" i="86"/>
  <c r="AF1278" i="86"/>
  <c r="AF1279" i="86"/>
  <c r="AF1280" i="86"/>
  <c r="AF1281" i="86"/>
  <c r="AF1282" i="86"/>
  <c r="AF1283" i="86"/>
  <c r="AF1284" i="86"/>
  <c r="AF1285" i="86"/>
  <c r="AF1286" i="86"/>
  <c r="AF1287" i="86"/>
  <c r="AF1288" i="86"/>
  <c r="AF1289" i="86"/>
  <c r="AF1290" i="86"/>
  <c r="AF1291" i="86"/>
  <c r="AF1292" i="86"/>
  <c r="AF1293" i="86"/>
  <c r="AF1294" i="86"/>
  <c r="AF1295" i="86"/>
  <c r="AF1296" i="86"/>
  <c r="AF1297" i="86"/>
  <c r="AF1298" i="86"/>
  <c r="AF1299" i="86"/>
  <c r="AF1300" i="86"/>
  <c r="AF1301" i="86"/>
  <c r="AF1302" i="86"/>
  <c r="AF1303" i="86"/>
  <c r="AF1304" i="86"/>
  <c r="AF1305" i="86"/>
  <c r="AF1306" i="86"/>
  <c r="AF1307" i="86"/>
  <c r="AF1308" i="86"/>
  <c r="AF1309" i="86"/>
  <c r="AF1310" i="86"/>
  <c r="AF1311" i="86"/>
  <c r="AF1312" i="86"/>
  <c r="AF1313" i="86"/>
  <c r="AF1314" i="86"/>
  <c r="AF1315" i="86"/>
  <c r="AF1316" i="86"/>
  <c r="AF1317" i="86"/>
  <c r="AF1318" i="86"/>
  <c r="AF1319" i="86"/>
  <c r="AF1320" i="86"/>
  <c r="AF1321" i="86"/>
  <c r="AF1322" i="86"/>
  <c r="AF1323" i="86"/>
  <c r="AF1324" i="86"/>
  <c r="AF1325" i="86"/>
  <c r="AF1326" i="86"/>
  <c r="AF1327" i="86"/>
  <c r="AF1328" i="86"/>
  <c r="AF1329" i="86"/>
  <c r="AF1330" i="86"/>
  <c r="AF1331" i="86"/>
  <c r="AF1332" i="86"/>
  <c r="AF1333" i="86"/>
  <c r="AF1334" i="86"/>
  <c r="AF1335" i="86"/>
  <c r="AF1336" i="86"/>
  <c r="AF1337" i="86"/>
  <c r="AF1338" i="86"/>
  <c r="AF1339" i="86"/>
  <c r="AF1340" i="86"/>
  <c r="AF1341" i="86"/>
  <c r="AF1342" i="86"/>
  <c r="AF1343" i="86"/>
  <c r="AF1344" i="86"/>
  <c r="AF1345" i="86"/>
  <c r="AF1346" i="86"/>
  <c r="AF1347" i="86"/>
  <c r="AF1348" i="86"/>
  <c r="AF1349" i="86"/>
  <c r="AF1350" i="86"/>
  <c r="AF1351" i="86"/>
  <c r="AF1352" i="86"/>
  <c r="AF1353" i="86"/>
  <c r="AF1354" i="86"/>
  <c r="AF1355" i="86"/>
  <c r="AF1356" i="86"/>
  <c r="AF1357" i="86"/>
  <c r="AF1358" i="86"/>
  <c r="AF1359" i="86"/>
  <c r="AF1360" i="86"/>
  <c r="AF1361" i="86"/>
  <c r="AF1362" i="86"/>
  <c r="AF1363" i="86"/>
  <c r="AF1364" i="86"/>
  <c r="AF1365" i="86"/>
  <c r="AF1366" i="86"/>
  <c r="AF1367" i="86"/>
  <c r="AF1368" i="86"/>
  <c r="AF1369" i="86"/>
  <c r="AF1370" i="86"/>
  <c r="AF1371" i="86"/>
  <c r="AF1372" i="86"/>
  <c r="AF1373" i="86"/>
  <c r="AF1374" i="86"/>
  <c r="AF1375" i="86"/>
  <c r="AF1376" i="86"/>
  <c r="AF1377" i="86"/>
  <c r="AF1378" i="86"/>
  <c r="AF1379" i="86"/>
  <c r="AF1380" i="86"/>
  <c r="AF1381" i="86"/>
  <c r="AF1382" i="86"/>
  <c r="AF1383" i="86"/>
  <c r="AF1384" i="86"/>
  <c r="AF1385" i="86"/>
  <c r="AF1386" i="86"/>
  <c r="AF1387" i="86"/>
  <c r="AF1388" i="86"/>
  <c r="AF1389" i="86"/>
  <c r="AF1390" i="86"/>
  <c r="AF1391" i="86"/>
  <c r="AF1392" i="86"/>
  <c r="AF1393" i="86"/>
  <c r="AF1394" i="86"/>
  <c r="AF1395" i="86"/>
  <c r="AF1396" i="86"/>
  <c r="AF1397" i="86"/>
  <c r="AF1398" i="86"/>
  <c r="AF1399" i="86"/>
  <c r="AF1400" i="86"/>
  <c r="AF1401" i="86"/>
  <c r="AF1402" i="86"/>
  <c r="AF1403" i="86"/>
  <c r="AF1404" i="86"/>
  <c r="AF1405" i="86"/>
  <c r="AF1406" i="86"/>
  <c r="AF1407" i="86"/>
  <c r="AF1408" i="86"/>
  <c r="AF1409" i="86"/>
  <c r="AF1410" i="86"/>
  <c r="AF1411" i="86"/>
  <c r="AF1412" i="86"/>
  <c r="AF1413" i="86"/>
  <c r="AF1414" i="86"/>
  <c r="AF1415" i="86"/>
  <c r="AF1416" i="86"/>
  <c r="AF1417" i="86"/>
  <c r="AF1418" i="86"/>
  <c r="AF1419" i="86"/>
  <c r="AF1420" i="86"/>
  <c r="AF1421" i="86"/>
  <c r="AF1422" i="86"/>
  <c r="AF1423" i="86"/>
  <c r="AF1424" i="86"/>
  <c r="AF1425" i="86"/>
  <c r="AF1426" i="86"/>
  <c r="AF1427" i="86"/>
  <c r="AF1428" i="86"/>
  <c r="AF1429" i="86"/>
  <c r="AF1430" i="86"/>
  <c r="AF1431" i="86"/>
  <c r="AF1432" i="86"/>
  <c r="AF1433" i="86"/>
  <c r="AF1434" i="86"/>
  <c r="AF1435" i="86"/>
  <c r="AF1436" i="86"/>
  <c r="AF1437" i="86"/>
  <c r="AF1438" i="86"/>
  <c r="AF1439" i="86"/>
  <c r="AF1440" i="86"/>
  <c r="AF1441" i="86"/>
  <c r="AF1442" i="86"/>
  <c r="AF1443" i="86"/>
  <c r="AF1444" i="86"/>
  <c r="AF1445" i="86"/>
  <c r="AF1446" i="86"/>
  <c r="AF1447" i="86"/>
  <c r="AF1448" i="86"/>
  <c r="AF1449" i="86"/>
  <c r="AF1450" i="86"/>
  <c r="AF1451" i="86"/>
  <c r="AF1452" i="86"/>
  <c r="AF1453" i="86"/>
  <c r="AF1454" i="86"/>
  <c r="AF1455" i="86"/>
  <c r="AF1456" i="86"/>
  <c r="AF1457" i="86"/>
  <c r="AF1458" i="86"/>
  <c r="AF1459" i="86"/>
  <c r="AF1460" i="86"/>
  <c r="AF1461" i="86"/>
  <c r="AF1462" i="86"/>
  <c r="AF1463" i="86"/>
  <c r="AF1464" i="86"/>
  <c r="AF1465" i="86"/>
  <c r="AF1466" i="86"/>
  <c r="AF1467" i="86"/>
  <c r="AF1468" i="86"/>
  <c r="AF1469" i="86"/>
  <c r="AF1470" i="86"/>
  <c r="AF1471" i="86"/>
  <c r="AF1472" i="86"/>
  <c r="AF1473" i="86"/>
  <c r="AF1474" i="86"/>
  <c r="AF1475" i="86"/>
  <c r="AF1476" i="86"/>
  <c r="AF1477" i="86"/>
  <c r="AF1478" i="86"/>
  <c r="AF1479" i="86"/>
  <c r="AF1480" i="86"/>
  <c r="AF1481" i="86"/>
  <c r="AF1482" i="86"/>
  <c r="AF1483" i="86"/>
  <c r="AF1484" i="86"/>
  <c r="AF1485" i="86"/>
  <c r="AF1486" i="86"/>
  <c r="AF1487" i="86"/>
  <c r="AF1488" i="86"/>
  <c r="AF1489" i="86"/>
  <c r="AF1490" i="86"/>
  <c r="AF1491" i="86"/>
  <c r="AF1492" i="86"/>
  <c r="AF1493" i="86"/>
  <c r="AF1494" i="86"/>
  <c r="AF1495" i="86"/>
  <c r="AF1496" i="86"/>
  <c r="AF1497" i="86"/>
  <c r="AF1498" i="86"/>
  <c r="AF1499" i="86"/>
  <c r="AF1500" i="86"/>
  <c r="AF1501" i="86"/>
  <c r="AF1502" i="86"/>
  <c r="AF1503" i="86"/>
  <c r="AF1504" i="86"/>
  <c r="AF1505" i="86"/>
  <c r="AF1506" i="86"/>
  <c r="AF1507" i="86"/>
  <c r="AF1508" i="86"/>
  <c r="AF1509" i="86"/>
  <c r="AF1510" i="86"/>
  <c r="AF1511" i="86"/>
  <c r="AF1512" i="86"/>
  <c r="AF1513" i="86"/>
  <c r="AF1514" i="86"/>
  <c r="AF1515" i="86"/>
  <c r="AF1516" i="86"/>
  <c r="AF1517" i="86"/>
  <c r="AF1518" i="86"/>
  <c r="AF1519" i="86"/>
  <c r="AF1520" i="86"/>
  <c r="AF1521" i="86"/>
  <c r="AF1522" i="86"/>
  <c r="AF1523" i="86"/>
  <c r="AF1524" i="86"/>
  <c r="AF1525" i="86"/>
  <c r="AF1526" i="86"/>
  <c r="AF1527" i="86"/>
  <c r="AF1528" i="86"/>
  <c r="AF1529" i="86"/>
  <c r="AF1530" i="86"/>
  <c r="AF1531" i="86"/>
  <c r="AF1532" i="86"/>
  <c r="AF1533" i="86"/>
  <c r="AF1534" i="86"/>
  <c r="AF1535" i="86"/>
  <c r="AF1536" i="86"/>
  <c r="AF1537" i="86"/>
  <c r="AF1538" i="86"/>
  <c r="AF1539" i="86"/>
  <c r="AF1540" i="86"/>
  <c r="AF1541" i="86"/>
  <c r="AF1542" i="86"/>
  <c r="AF1543" i="86"/>
  <c r="AF1544" i="86"/>
  <c r="AF1545" i="86"/>
  <c r="AF1546" i="86"/>
  <c r="AF1547" i="86"/>
  <c r="AF1548" i="86"/>
  <c r="AF1549" i="86"/>
  <c r="AF1550" i="86"/>
  <c r="AF1551" i="86"/>
  <c r="AF1552" i="86"/>
  <c r="AF1553" i="86"/>
  <c r="AF1554" i="86"/>
  <c r="AF1555" i="86"/>
  <c r="AF1556" i="86"/>
  <c r="AF1557" i="86"/>
  <c r="AF1558" i="86"/>
  <c r="AF1559" i="86"/>
  <c r="AF1560" i="86"/>
  <c r="AF1561" i="86"/>
  <c r="AF1562" i="86"/>
  <c r="AF1563" i="86"/>
  <c r="AF1564" i="86"/>
  <c r="AF1565" i="86"/>
  <c r="AF1566" i="86"/>
  <c r="AF1567" i="86"/>
  <c r="AF1568" i="86"/>
  <c r="AF1569" i="86"/>
  <c r="AF1570" i="86"/>
  <c r="AF1571" i="86"/>
  <c r="AF1572" i="86"/>
  <c r="AF1573" i="86"/>
  <c r="AF1574" i="86"/>
  <c r="AF1575" i="86"/>
  <c r="AF1576" i="86"/>
  <c r="AF1577" i="86"/>
  <c r="AF1578" i="86"/>
  <c r="AF1579" i="86"/>
  <c r="AF1580" i="86"/>
  <c r="AF1581" i="86"/>
  <c r="AF1582" i="86"/>
  <c r="AF1583" i="86"/>
  <c r="AF1584" i="86"/>
  <c r="AF1585" i="86"/>
  <c r="AF1586" i="86"/>
  <c r="AF1587" i="86"/>
  <c r="AF1588" i="86"/>
  <c r="AF1589" i="86"/>
  <c r="AF1590" i="86"/>
  <c r="AF1591" i="86"/>
  <c r="AF1592" i="86"/>
  <c r="AF1593" i="86"/>
  <c r="AF1594" i="86"/>
  <c r="AF1595" i="86"/>
  <c r="AF1596" i="86"/>
  <c r="AF1597" i="86"/>
  <c r="AF1598" i="86"/>
  <c r="AF1599" i="86"/>
  <c r="AF1600" i="86"/>
  <c r="AF1601" i="86"/>
  <c r="AF1602" i="86"/>
  <c r="AF1603" i="86"/>
  <c r="AF1604" i="86"/>
  <c r="AF1605" i="86"/>
  <c r="AF1606" i="86"/>
  <c r="AF1607" i="86"/>
  <c r="AF1608" i="86"/>
  <c r="AF1609" i="86"/>
  <c r="AF1610" i="86"/>
  <c r="AF1611" i="86"/>
  <c r="AF1612" i="86"/>
  <c r="AF1613" i="86"/>
  <c r="AF1614" i="86"/>
  <c r="AF1615" i="86"/>
  <c r="AF1616" i="86"/>
  <c r="AF1617" i="86"/>
  <c r="AF1618" i="86"/>
  <c r="AF1619" i="86"/>
  <c r="AF1620" i="86"/>
  <c r="AF1621" i="86"/>
  <c r="AF1622" i="86"/>
  <c r="AF1623" i="86"/>
  <c r="AF1624" i="86"/>
  <c r="AF1625" i="86"/>
  <c r="AF1626" i="86"/>
  <c r="AF1627" i="86"/>
  <c r="AF1628" i="86"/>
  <c r="AF1629" i="86"/>
  <c r="AF1630" i="86"/>
  <c r="AF1631" i="86"/>
  <c r="AF1632" i="86"/>
  <c r="AF1633" i="86"/>
  <c r="AF1634" i="86"/>
  <c r="AF1635" i="86"/>
  <c r="AF1636" i="86"/>
  <c r="AF1637" i="86"/>
  <c r="AF1638" i="86"/>
  <c r="AF1639" i="86"/>
  <c r="AF1640" i="86"/>
  <c r="AF1641" i="86"/>
  <c r="AF1642" i="86"/>
  <c r="AF1643" i="86"/>
  <c r="AF1644" i="86"/>
  <c r="AF1645" i="86"/>
  <c r="AF1646" i="86"/>
  <c r="AF1647" i="86"/>
  <c r="AF1648" i="86"/>
  <c r="AF1649" i="86"/>
  <c r="AF1650" i="86"/>
  <c r="AF1651" i="86"/>
  <c r="AF1652" i="86"/>
  <c r="AF1653" i="86"/>
  <c r="AF1654" i="86"/>
  <c r="AF1655" i="86"/>
  <c r="AF1656" i="86"/>
  <c r="AF1657" i="86"/>
  <c r="AF1658" i="86"/>
  <c r="AF1659" i="86"/>
  <c r="AF1660" i="86"/>
  <c r="AF1661" i="86"/>
  <c r="AF1662" i="86"/>
  <c r="AF1663" i="86"/>
  <c r="AF1664" i="86"/>
  <c r="AF1665" i="86"/>
  <c r="AF1666" i="86"/>
  <c r="AF1667" i="86"/>
  <c r="AF1668" i="86"/>
  <c r="AF1669" i="86"/>
  <c r="AF1670" i="86"/>
  <c r="AF1671" i="86"/>
  <c r="AF1672" i="86"/>
  <c r="AF1673" i="86"/>
  <c r="AF1674" i="86"/>
  <c r="AF1675" i="86"/>
  <c r="AF1676" i="86"/>
  <c r="AF1677" i="86"/>
  <c r="AF1678" i="86"/>
  <c r="AF1679" i="86"/>
  <c r="AF1680" i="86"/>
  <c r="AF1681" i="86"/>
  <c r="AF1682" i="86"/>
  <c r="AF1683" i="86"/>
  <c r="AF1684" i="86"/>
  <c r="AF1685" i="86"/>
  <c r="AF1686" i="86"/>
  <c r="AF1687" i="86"/>
  <c r="AF1688" i="86"/>
  <c r="AF1689" i="86"/>
  <c r="AF1690" i="86"/>
  <c r="AF1691" i="86"/>
  <c r="AF1692" i="86"/>
  <c r="AF1693" i="86"/>
  <c r="AF1694" i="86"/>
  <c r="AF1695" i="86"/>
  <c r="AF1696" i="86"/>
  <c r="AF1697" i="86"/>
  <c r="AF1698" i="86"/>
  <c r="AF1699" i="86"/>
  <c r="AF1700" i="86"/>
  <c r="AF1701" i="86"/>
  <c r="AF1702" i="86"/>
  <c r="AF1703" i="86"/>
  <c r="AF1704" i="86"/>
  <c r="AF1705" i="86"/>
  <c r="AF1706" i="86"/>
  <c r="AF1707" i="86"/>
  <c r="AF1708" i="86"/>
  <c r="AF1709" i="86"/>
  <c r="AF1710" i="86"/>
  <c r="AF1711" i="86"/>
  <c r="AF1712" i="86"/>
  <c r="AF1713" i="86"/>
  <c r="AF1714" i="86"/>
  <c r="AF1715" i="86"/>
  <c r="AF1716" i="86"/>
  <c r="AF1717" i="86"/>
  <c r="AF1718" i="86"/>
  <c r="AF1719" i="86"/>
  <c r="AF1720" i="86"/>
  <c r="AF1721" i="86"/>
  <c r="AF1722" i="86"/>
  <c r="AF1723" i="86"/>
  <c r="AF1724" i="86"/>
  <c r="AF1725" i="86"/>
  <c r="AF1726" i="86"/>
  <c r="AF1727" i="86"/>
  <c r="AF1728" i="86"/>
  <c r="AF1729" i="86"/>
  <c r="AF1730" i="86"/>
  <c r="AF1731" i="86"/>
  <c r="AF1732" i="86"/>
  <c r="AF1733" i="86"/>
  <c r="AF1734" i="86"/>
  <c r="AF1735" i="86"/>
  <c r="AF1736" i="86"/>
  <c r="AF1737" i="86"/>
  <c r="AF1738" i="86"/>
  <c r="AF1739" i="86"/>
  <c r="AF1740" i="86"/>
  <c r="AF1741" i="86"/>
  <c r="AF1742" i="86"/>
  <c r="AF1743" i="86"/>
  <c r="AF1744" i="86"/>
  <c r="AF1745" i="86"/>
  <c r="AF1746" i="86"/>
  <c r="AF1747" i="86"/>
  <c r="AF1748" i="86"/>
  <c r="AF1749" i="86"/>
  <c r="AF1750" i="86"/>
  <c r="AF1751" i="86"/>
  <c r="AF1752" i="86"/>
  <c r="AF1753" i="86"/>
  <c r="AF1754" i="86"/>
  <c r="AF1755" i="86"/>
  <c r="AF1756" i="86"/>
  <c r="AF1757" i="86"/>
  <c r="AF1758" i="86"/>
  <c r="AF1759" i="86"/>
  <c r="AF1760" i="86"/>
  <c r="AF1761" i="86"/>
  <c r="AF1762" i="86"/>
  <c r="AF1763" i="86"/>
  <c r="AF1764" i="86"/>
  <c r="AF1765" i="86"/>
  <c r="AF1766" i="86"/>
  <c r="AF1767" i="86"/>
  <c r="AF1768" i="86"/>
  <c r="AF1769" i="86"/>
  <c r="AF1770" i="86"/>
  <c r="AF1771" i="86"/>
  <c r="AF1772" i="86"/>
  <c r="AF1773" i="86"/>
  <c r="AF1774" i="86"/>
  <c r="AF1775" i="86"/>
  <c r="AF1776" i="86"/>
  <c r="AF1777" i="86"/>
  <c r="AF1778" i="86"/>
  <c r="AF1779" i="86"/>
  <c r="AF1780" i="86"/>
  <c r="AF1781" i="86"/>
  <c r="AF1782" i="86"/>
  <c r="AF1783" i="86"/>
  <c r="AF1784" i="86"/>
  <c r="AF1785" i="86"/>
  <c r="AF1786" i="86"/>
  <c r="AF1787" i="86"/>
  <c r="AF1788" i="86"/>
  <c r="AF1789" i="86"/>
  <c r="AF1790" i="86"/>
  <c r="AF1791" i="86"/>
  <c r="AF1792" i="86"/>
  <c r="AF1793" i="86"/>
  <c r="AF1794" i="86"/>
  <c r="AF1795" i="86"/>
  <c r="AF1796" i="86"/>
  <c r="AF1797" i="86"/>
  <c r="AF1798" i="86"/>
  <c r="AF1799" i="86"/>
  <c r="AF1800" i="86"/>
  <c r="AF1801" i="86"/>
  <c r="AF1802" i="86"/>
  <c r="AF1803" i="86"/>
  <c r="AF1804" i="86"/>
  <c r="AF1805" i="86"/>
  <c r="AF1806" i="86"/>
  <c r="AF1807" i="86"/>
  <c r="AF1808" i="86"/>
  <c r="AF1809" i="86"/>
  <c r="AF1810" i="86"/>
  <c r="AF1811" i="86"/>
  <c r="AF1812" i="86"/>
  <c r="AF1813" i="86"/>
  <c r="AF1814" i="86"/>
  <c r="AF1815" i="86"/>
  <c r="AF1816" i="86"/>
  <c r="AF1817" i="86"/>
  <c r="AF1818" i="86"/>
  <c r="AF1819" i="86"/>
  <c r="AF1820" i="86"/>
  <c r="AF1821" i="86"/>
  <c r="AF1822" i="86"/>
  <c r="AF1823" i="86"/>
  <c r="AF1824" i="86"/>
  <c r="AF1825" i="86"/>
  <c r="AF1826" i="86"/>
  <c r="AF1827" i="86"/>
  <c r="AF1828" i="86"/>
  <c r="AF1829" i="86"/>
  <c r="AF1830" i="86"/>
  <c r="AF1831" i="86"/>
  <c r="AF1832" i="86"/>
  <c r="AF1833" i="86"/>
  <c r="AF1834" i="86"/>
  <c r="AF1835" i="86"/>
  <c r="AF1836" i="86"/>
  <c r="AF1837" i="86"/>
  <c r="AF1838" i="86"/>
  <c r="AF1839" i="86"/>
  <c r="AF1840" i="86"/>
  <c r="AF1841" i="86"/>
  <c r="AF1842" i="86"/>
  <c r="AF1843" i="86"/>
  <c r="AF1844" i="86"/>
  <c r="AF1845" i="86"/>
  <c r="AF1846" i="86"/>
  <c r="AF1847" i="86"/>
  <c r="AF1848" i="86"/>
  <c r="AF1849" i="86"/>
  <c r="AF1850" i="86"/>
  <c r="AF1851" i="86"/>
  <c r="AF1852" i="86"/>
  <c r="AF1853" i="86"/>
  <c r="AF1854" i="86"/>
  <c r="AF1855" i="86"/>
  <c r="AF1856" i="86"/>
  <c r="AF1857" i="86"/>
  <c r="AF1858" i="86"/>
  <c r="AF1859" i="86"/>
  <c r="AF1860" i="86"/>
  <c r="AF1861" i="86"/>
  <c r="AF1862" i="86"/>
  <c r="AF1863" i="86"/>
  <c r="AF1864" i="86"/>
  <c r="AF1865" i="86"/>
  <c r="AF1866" i="86"/>
  <c r="AF1867" i="86"/>
  <c r="AF1868" i="86"/>
  <c r="AF1869" i="86"/>
  <c r="AF1870" i="86"/>
  <c r="AF1871" i="86"/>
  <c r="AF1872" i="86"/>
  <c r="AF1873" i="86"/>
  <c r="AF1874" i="86"/>
  <c r="AF1875" i="86"/>
  <c r="AF1876" i="86"/>
  <c r="AF1877" i="86"/>
  <c r="AF1878" i="86"/>
  <c r="AF1879" i="86"/>
  <c r="AF1880" i="86"/>
  <c r="AF1881" i="86"/>
  <c r="AF1882" i="86"/>
  <c r="AF1883" i="86"/>
  <c r="AF1884" i="86"/>
  <c r="AF1885" i="86"/>
  <c r="AF1886" i="86"/>
  <c r="AF1887" i="86"/>
  <c r="AF1888" i="86"/>
  <c r="AF1889" i="86"/>
  <c r="AF1890" i="86"/>
  <c r="AF1891" i="86"/>
  <c r="AF1892" i="86"/>
  <c r="AF1893" i="86"/>
  <c r="AF1894" i="86"/>
  <c r="AF1895" i="86"/>
  <c r="AF1896" i="86"/>
  <c r="AF1897" i="86"/>
  <c r="AF1898" i="86"/>
  <c r="AF1899" i="86"/>
  <c r="AF1900" i="86"/>
  <c r="AF1901" i="86"/>
  <c r="AF1902" i="86"/>
  <c r="AF1903" i="86"/>
  <c r="AF1904" i="86"/>
  <c r="AF1905" i="86"/>
  <c r="AF1906" i="86"/>
  <c r="AF1907" i="86"/>
  <c r="AF1908" i="86"/>
  <c r="AF1909" i="86"/>
  <c r="AF1910" i="86"/>
  <c r="AF1911" i="86"/>
  <c r="AF1912" i="86"/>
  <c r="AF1913" i="86"/>
  <c r="AF1914" i="86"/>
  <c r="AF1915" i="86"/>
  <c r="AF1916" i="86"/>
  <c r="AF1917" i="86"/>
  <c r="AF1918" i="86"/>
  <c r="AF1919" i="86"/>
  <c r="AF1920" i="86"/>
  <c r="AF1921" i="86"/>
  <c r="AF1922" i="86"/>
  <c r="AF1923" i="86"/>
  <c r="AF1924" i="86"/>
  <c r="AF1925" i="86"/>
  <c r="AF1926" i="86"/>
  <c r="AF1927" i="86"/>
  <c r="AF1928" i="86"/>
  <c r="AF1929" i="86"/>
  <c r="AF1930" i="86"/>
  <c r="AF1931" i="86"/>
  <c r="AF1932" i="86"/>
  <c r="AF1933" i="86"/>
  <c r="AF1934" i="86"/>
  <c r="AF1935" i="86"/>
  <c r="AF1936" i="86"/>
  <c r="AF1937" i="86"/>
  <c r="AF1938" i="86"/>
  <c r="AF1939" i="86"/>
  <c r="AF1940" i="86"/>
  <c r="AF1941" i="86"/>
  <c r="AF1942" i="86"/>
  <c r="AF1943" i="86"/>
  <c r="AF1944" i="86"/>
  <c r="AF1945" i="86"/>
  <c r="AF1946" i="86"/>
  <c r="AF1947" i="86"/>
  <c r="AF1948" i="86"/>
  <c r="AF1949" i="86"/>
  <c r="AF1950" i="86"/>
  <c r="AF1951" i="86"/>
  <c r="AF1952" i="86"/>
  <c r="AF1953" i="86"/>
  <c r="AF1954" i="86"/>
  <c r="AF1955" i="86"/>
  <c r="AF1956" i="86"/>
  <c r="AF1957" i="86"/>
  <c r="AF1958" i="86"/>
  <c r="AF1959" i="86"/>
  <c r="AF1960" i="86"/>
  <c r="AF1961" i="86"/>
  <c r="AF1962" i="86"/>
  <c r="AF1963" i="86"/>
  <c r="AF1964" i="86"/>
  <c r="AF1965" i="86"/>
  <c r="AF1966" i="86"/>
  <c r="AF1967" i="86"/>
  <c r="AF1968" i="86"/>
  <c r="AF1969" i="86"/>
  <c r="AF1970" i="86"/>
  <c r="AF1971" i="86"/>
  <c r="AF1972" i="86"/>
  <c r="AF1973" i="86"/>
  <c r="AF1974" i="86"/>
  <c r="AF1975" i="86"/>
  <c r="AF1976" i="86"/>
  <c r="AF1977" i="86"/>
  <c r="AF1978" i="86"/>
  <c r="AF1979" i="86"/>
  <c r="AF1980" i="86"/>
  <c r="AF1981" i="86"/>
  <c r="AF1982" i="86"/>
  <c r="AF1983" i="86"/>
  <c r="AF1984" i="86"/>
  <c r="AF1985" i="86"/>
  <c r="AF1986" i="86"/>
  <c r="AF1987" i="86"/>
  <c r="AF1988" i="86"/>
  <c r="AF1989" i="86"/>
  <c r="AF1990" i="86"/>
  <c r="AF1991" i="86"/>
  <c r="AF1992" i="86"/>
  <c r="AF1993" i="86"/>
  <c r="AF1994" i="86"/>
  <c r="AF1995" i="86"/>
  <c r="AF1996" i="86"/>
  <c r="AF1997" i="86"/>
  <c r="AF1998" i="86"/>
  <c r="AF1999" i="86"/>
  <c r="AF2000" i="86"/>
  <c r="AF2001" i="86"/>
  <c r="AF2002" i="86"/>
  <c r="AF2003" i="86"/>
  <c r="AF2004" i="86"/>
  <c r="AF2005" i="86"/>
  <c r="AF2006" i="86"/>
  <c r="AF2007" i="86"/>
  <c r="AF2008" i="86"/>
  <c r="AF2009" i="86"/>
  <c r="AF2010" i="86"/>
  <c r="AF2011" i="86"/>
  <c r="AF2012" i="86"/>
  <c r="AF2013" i="86"/>
  <c r="AF2014" i="86"/>
  <c r="AF2015" i="86"/>
  <c r="AF2016" i="86"/>
  <c r="AF2017" i="86"/>
  <c r="AF2018" i="86"/>
  <c r="AF2019" i="86"/>
  <c r="AF2020" i="86"/>
  <c r="AF2021" i="86"/>
  <c r="AF2022" i="86"/>
  <c r="AF2023" i="86"/>
  <c r="AF2024" i="86"/>
  <c r="AF2025" i="86"/>
  <c r="AF2026" i="86"/>
  <c r="AF2027" i="86"/>
  <c r="AF2028" i="86"/>
  <c r="AF2029" i="86"/>
  <c r="AF2030" i="86"/>
  <c r="AF2031" i="86"/>
  <c r="AF2032" i="86"/>
  <c r="AF2033" i="86"/>
  <c r="AF2034" i="86"/>
  <c r="AF2035" i="86"/>
  <c r="AF2036" i="86"/>
  <c r="AF2037" i="86"/>
  <c r="AF2038" i="86"/>
  <c r="AF2039" i="86"/>
  <c r="AF2040" i="86"/>
  <c r="AF2041" i="86"/>
  <c r="AF2042" i="86"/>
  <c r="AF2043" i="86"/>
  <c r="AF2044" i="86"/>
  <c r="AF2045" i="86"/>
  <c r="AF2046" i="86"/>
  <c r="AF2047" i="86"/>
  <c r="AF2048" i="86"/>
  <c r="AF2049" i="86"/>
  <c r="AF2050" i="86"/>
  <c r="AF2051" i="86"/>
  <c r="AF2052" i="86"/>
  <c r="AF2053" i="86"/>
  <c r="AF2054" i="86"/>
  <c r="AF2055" i="86"/>
  <c r="AF2056" i="86"/>
  <c r="AF2057" i="86"/>
  <c r="AF2058" i="86"/>
  <c r="AF2059" i="86"/>
  <c r="AF2060" i="86"/>
  <c r="AF2061" i="86"/>
  <c r="AF2062" i="86"/>
  <c r="AF2063" i="86"/>
  <c r="AF2064" i="86"/>
  <c r="AF2065" i="86"/>
  <c r="AF2066" i="86"/>
  <c r="AF2067" i="86"/>
  <c r="AF2068" i="86"/>
  <c r="AF2069" i="86"/>
  <c r="AF2070" i="86"/>
  <c r="AF2071" i="86"/>
  <c r="AF2072" i="86"/>
  <c r="AF2073" i="86"/>
  <c r="AF2074" i="86"/>
  <c r="AF2075" i="86"/>
  <c r="AF2076" i="86"/>
  <c r="AF2077" i="86"/>
  <c r="AF2078" i="86"/>
  <c r="AF2079" i="86"/>
  <c r="AF2080" i="86"/>
  <c r="AF2081" i="86"/>
  <c r="AF2082" i="86"/>
  <c r="AF2083" i="86"/>
  <c r="AF2084" i="86"/>
  <c r="AF2085" i="86"/>
  <c r="AF2086" i="86"/>
  <c r="AF2087" i="86"/>
  <c r="AF2088" i="86"/>
  <c r="AF2089" i="86"/>
  <c r="AF2090" i="86"/>
  <c r="AF2091" i="86"/>
  <c r="AF2092" i="86"/>
  <c r="AF2093" i="86"/>
  <c r="AF2094" i="86"/>
  <c r="AF2095" i="86"/>
  <c r="AF2096" i="86"/>
  <c r="AF2097" i="86"/>
  <c r="AF2098" i="86"/>
  <c r="AF2099" i="86"/>
  <c r="AF2100" i="86"/>
  <c r="AF2101" i="86"/>
  <c r="AF2102" i="86"/>
  <c r="AF2103" i="86"/>
  <c r="AF2104" i="86"/>
  <c r="AF2105" i="86"/>
  <c r="AF2106" i="86"/>
  <c r="AF2107" i="86"/>
  <c r="AF2108" i="86"/>
  <c r="AF2109" i="86"/>
  <c r="AF2110" i="86"/>
  <c r="AF2111" i="86"/>
  <c r="AF2112" i="86"/>
  <c r="AF2113" i="86"/>
  <c r="AF2114" i="86"/>
  <c r="AF2115" i="86"/>
  <c r="AF2116" i="86"/>
  <c r="AF2117" i="86"/>
  <c r="AF2118" i="86"/>
  <c r="AF2119" i="86"/>
  <c r="AF2120" i="86"/>
  <c r="AF2121" i="86"/>
  <c r="AF2122" i="86"/>
  <c r="AF2123" i="86"/>
  <c r="AF2124" i="86"/>
  <c r="AF2125" i="86"/>
  <c r="AF2126" i="86"/>
  <c r="AF2127" i="86"/>
  <c r="AF2128" i="86"/>
  <c r="AF2129" i="86"/>
  <c r="AF2130" i="86"/>
  <c r="AF2131" i="86"/>
  <c r="AF2132" i="86"/>
  <c r="AF2133" i="86"/>
  <c r="AF2134" i="86"/>
  <c r="AF2135" i="86"/>
  <c r="AF2136" i="86"/>
  <c r="AF2137" i="86"/>
  <c r="AF2138" i="86"/>
  <c r="AF2139" i="86"/>
  <c r="AF2140" i="86"/>
  <c r="AF2141" i="86"/>
  <c r="AF2142" i="86"/>
  <c r="AF2143" i="86"/>
  <c r="AF2144" i="86"/>
  <c r="AF2145" i="86"/>
  <c r="AF2146" i="86"/>
  <c r="AF2147" i="86"/>
  <c r="AF2148" i="86"/>
  <c r="AF2149" i="86"/>
  <c r="AF2150" i="86"/>
  <c r="AF2151" i="86"/>
  <c r="AF2152" i="86"/>
  <c r="AF2153" i="86"/>
  <c r="AF2154" i="86"/>
  <c r="AF2155" i="86"/>
  <c r="AF2156" i="86"/>
  <c r="AF2157" i="86"/>
  <c r="AF2158" i="86"/>
  <c r="AF2159" i="86"/>
  <c r="AF2160" i="86"/>
  <c r="AF2161" i="86"/>
  <c r="AF2162" i="86"/>
  <c r="AF2163" i="86"/>
  <c r="AF2164" i="86"/>
  <c r="AF2165" i="86"/>
  <c r="AF2166" i="86"/>
  <c r="AF2167" i="86"/>
  <c r="AF2168" i="86"/>
  <c r="AF2169" i="86"/>
  <c r="AF2170" i="86"/>
  <c r="AF2171" i="86"/>
  <c r="AF2172" i="86"/>
  <c r="AF2173" i="86"/>
  <c r="AF2174" i="86"/>
  <c r="AF2175" i="86"/>
  <c r="AF2176" i="86"/>
  <c r="AF2177" i="86"/>
  <c r="AF2178" i="86"/>
  <c r="AF2179" i="86"/>
  <c r="AF2180" i="86"/>
  <c r="AF2181" i="86"/>
  <c r="AF2182" i="86"/>
  <c r="AF2183" i="86"/>
  <c r="AF2184" i="86"/>
  <c r="AF2185" i="86"/>
  <c r="AF2186" i="86"/>
  <c r="AF2187" i="86"/>
  <c r="AF2188" i="86"/>
  <c r="AF2189" i="86"/>
  <c r="AF2190" i="86"/>
  <c r="AF2191" i="86"/>
  <c r="AF2192" i="86"/>
  <c r="AF2193" i="86"/>
  <c r="AF2194" i="86"/>
  <c r="AF2195" i="86"/>
  <c r="AF2196" i="86"/>
  <c r="AF2197" i="86"/>
  <c r="AF2198" i="86"/>
  <c r="AF2199" i="86"/>
  <c r="AF2200" i="86"/>
  <c r="AF2201" i="86"/>
  <c r="AF2202" i="86"/>
  <c r="AF2203" i="86"/>
  <c r="AF2204" i="86"/>
  <c r="AF2205" i="86"/>
  <c r="AF2206" i="86"/>
  <c r="AF2207" i="86"/>
  <c r="AF2208" i="86"/>
  <c r="AF2209" i="86"/>
  <c r="AF2210" i="86"/>
  <c r="AF2211" i="86"/>
  <c r="AF2212" i="86"/>
  <c r="AF2213" i="86"/>
  <c r="AF2214" i="86"/>
  <c r="AF2215" i="86"/>
  <c r="AF2216" i="86"/>
  <c r="AF2217" i="86"/>
  <c r="AF2218" i="86"/>
  <c r="AF2219" i="86"/>
  <c r="AF2220" i="86"/>
  <c r="AF2221" i="86"/>
  <c r="AF2222" i="86"/>
  <c r="AF2223" i="86"/>
  <c r="AF2224" i="86"/>
  <c r="AF2225" i="86"/>
  <c r="AF2226" i="86"/>
  <c r="AF2227" i="86"/>
  <c r="AF2228" i="86"/>
  <c r="AF2229" i="86"/>
  <c r="AF2230" i="86"/>
  <c r="AF2231" i="86"/>
  <c r="AF2232" i="86"/>
  <c r="AF2233" i="86"/>
  <c r="AF2234" i="86"/>
  <c r="AF2235" i="86"/>
  <c r="AF2236" i="86"/>
  <c r="AF2237" i="86"/>
  <c r="AF2238" i="86"/>
  <c r="AF2239" i="86"/>
  <c r="AF2240" i="86"/>
  <c r="AF2241" i="86"/>
  <c r="AF2242" i="86"/>
  <c r="AF2243" i="86"/>
  <c r="AF2244" i="86"/>
  <c r="AF2245" i="86"/>
  <c r="AF2246" i="86"/>
  <c r="AF2247" i="86"/>
  <c r="AF2248" i="86"/>
  <c r="AF2249" i="86"/>
  <c r="AF2250" i="86"/>
  <c r="AF2251" i="86"/>
  <c r="AF2252" i="86"/>
  <c r="AF2253" i="86"/>
  <c r="AF2254" i="86"/>
  <c r="AF2255" i="86"/>
  <c r="AF2256" i="86"/>
  <c r="AF2257" i="86"/>
  <c r="AF2258" i="86"/>
  <c r="AF2259" i="86"/>
  <c r="AF2260" i="86"/>
  <c r="AF2261" i="86"/>
  <c r="AF2262" i="86"/>
  <c r="AF2263" i="86"/>
  <c r="AF2264" i="86"/>
  <c r="AF2265" i="86"/>
  <c r="AF2266" i="86"/>
  <c r="AF2267" i="86"/>
  <c r="AF2268" i="86"/>
  <c r="AF2269" i="86"/>
  <c r="AF2270" i="86"/>
  <c r="AF2271" i="86"/>
  <c r="AF2272" i="86"/>
  <c r="AF2273" i="86"/>
  <c r="AF2274" i="86"/>
  <c r="AF2275" i="86"/>
  <c r="AF2276" i="86"/>
  <c r="AF2277" i="86"/>
  <c r="AF2278" i="86"/>
  <c r="AF2279" i="86"/>
  <c r="AF2280" i="86"/>
  <c r="AF2281" i="86"/>
  <c r="AF2282" i="86"/>
  <c r="AF2283" i="86"/>
  <c r="AF2284" i="86"/>
  <c r="AF2285" i="86"/>
  <c r="AF2286" i="86"/>
  <c r="AF2287" i="86"/>
  <c r="AF2288" i="86"/>
  <c r="AF2289" i="86"/>
  <c r="AF2290" i="86"/>
  <c r="AF2291" i="86"/>
  <c r="AF2292" i="86"/>
  <c r="AF2293" i="86"/>
  <c r="AF2294" i="86"/>
  <c r="AF2295" i="86"/>
  <c r="AF2296" i="86"/>
  <c r="AF2297" i="86"/>
  <c r="AF2298" i="86"/>
  <c r="AF2299" i="86"/>
  <c r="AF2300" i="86"/>
  <c r="AF2301" i="86"/>
  <c r="AF2302" i="86"/>
  <c r="AF2303" i="86"/>
  <c r="AF2304" i="86"/>
  <c r="AF2305" i="86"/>
  <c r="AF2306" i="86"/>
  <c r="AF2307" i="86"/>
  <c r="AF2308" i="86"/>
  <c r="AF2309" i="86"/>
  <c r="AF2310" i="86"/>
  <c r="AF2311" i="86"/>
  <c r="AF2312" i="86"/>
  <c r="AF2313" i="86"/>
  <c r="AF2314" i="86"/>
  <c r="AF2315" i="86"/>
  <c r="AF2316" i="86"/>
  <c r="AF2317" i="86"/>
  <c r="AF2318" i="86"/>
  <c r="AF2319" i="86"/>
  <c r="AF2320" i="86"/>
  <c r="AF2321" i="86"/>
  <c r="AF2322" i="86"/>
  <c r="AF2323" i="86"/>
  <c r="AF2324" i="86"/>
  <c r="AF2325" i="86"/>
  <c r="AF2326" i="86"/>
  <c r="AF2327" i="86"/>
  <c r="AF2328" i="86"/>
  <c r="AF2329" i="86"/>
  <c r="AF2330" i="86"/>
  <c r="AF2331" i="86"/>
  <c r="AF2332" i="86"/>
  <c r="AF2333" i="86"/>
  <c r="AF2334" i="86"/>
  <c r="AF2335" i="86"/>
  <c r="AF2336" i="86"/>
  <c r="AF2337" i="86"/>
  <c r="AF2338" i="86"/>
  <c r="AF2339" i="86"/>
  <c r="AF2340" i="86"/>
  <c r="AF2341" i="86"/>
  <c r="AF2342" i="86"/>
  <c r="AF2343" i="86"/>
  <c r="AF2344" i="86"/>
  <c r="AF2345" i="86"/>
  <c r="AF2346" i="86"/>
  <c r="AF2347" i="86"/>
  <c r="AF2348" i="86"/>
  <c r="AF2349" i="86"/>
  <c r="AF2350" i="86"/>
  <c r="AF2351" i="86"/>
  <c r="AF2352" i="86"/>
  <c r="AF2353" i="86"/>
  <c r="AF2354" i="86"/>
  <c r="AF2355" i="86"/>
  <c r="AF2356" i="86"/>
  <c r="AF2357" i="86"/>
  <c r="AF2358" i="86"/>
  <c r="AF2359" i="86"/>
  <c r="AF2360" i="86"/>
  <c r="AF2361" i="86"/>
  <c r="AF2362" i="86"/>
  <c r="AF2363" i="86"/>
  <c r="AF2364" i="86"/>
  <c r="AF2365" i="86"/>
  <c r="AF2366" i="86"/>
  <c r="AF2367" i="86"/>
  <c r="AF2368" i="86"/>
  <c r="AF2369" i="86"/>
  <c r="AF2370" i="86"/>
  <c r="AF2371" i="86"/>
  <c r="AF2372" i="86"/>
  <c r="AF2373" i="86"/>
  <c r="AF2374" i="86"/>
  <c r="AF2375" i="86"/>
  <c r="AF2376" i="86"/>
  <c r="AF2377" i="86"/>
  <c r="AF2378" i="86"/>
  <c r="AF2379" i="86"/>
  <c r="AF2380" i="86"/>
  <c r="AF2381" i="86"/>
  <c r="AF2382" i="86"/>
  <c r="AF2383" i="86"/>
  <c r="AF2384" i="86"/>
  <c r="AF2385" i="86"/>
  <c r="AF2386" i="86"/>
  <c r="AF2387" i="86"/>
  <c r="AF2388" i="86"/>
  <c r="AF2389" i="86"/>
  <c r="AF2390" i="86"/>
  <c r="AF2391" i="86"/>
  <c r="AF2392" i="86"/>
  <c r="AF2393" i="86"/>
  <c r="AF2394" i="86"/>
  <c r="AF2395" i="86"/>
  <c r="AF2396" i="86"/>
  <c r="AF2397" i="86"/>
  <c r="AF2398" i="86"/>
  <c r="AF2399" i="86"/>
  <c r="AF2400" i="86"/>
  <c r="AF2401" i="86"/>
  <c r="AF2402" i="86"/>
  <c r="AF2403" i="86"/>
  <c r="AF2404" i="86"/>
  <c r="AF2405" i="86"/>
  <c r="AF2406" i="86"/>
  <c r="AF2407" i="86"/>
  <c r="AF2408" i="86"/>
  <c r="AF2409" i="86"/>
  <c r="AF2410" i="86"/>
  <c r="AF2411" i="86"/>
  <c r="AF2412" i="86"/>
  <c r="AF2413" i="86"/>
  <c r="AF2414" i="86"/>
  <c r="AF2415" i="86"/>
  <c r="AF2416" i="86"/>
  <c r="AF2417" i="86"/>
  <c r="AF2418" i="86"/>
  <c r="AF2419" i="86"/>
  <c r="AF2420" i="86"/>
  <c r="AF2421" i="86"/>
  <c r="AF2422" i="86"/>
  <c r="AF2423" i="86"/>
  <c r="AF2424" i="86"/>
  <c r="AF2425" i="86"/>
  <c r="AF2426" i="86"/>
  <c r="AF2427" i="86"/>
  <c r="AF2428" i="86"/>
  <c r="AF2429" i="86"/>
  <c r="AF2430" i="86"/>
  <c r="AF2431" i="86"/>
  <c r="AF2432" i="86"/>
  <c r="AF2433" i="86"/>
  <c r="AF2434" i="86"/>
  <c r="AF2435" i="86"/>
  <c r="AF2436" i="86"/>
  <c r="AF2437" i="86"/>
  <c r="AF2438" i="86"/>
  <c r="AF2439" i="86"/>
  <c r="AF2440" i="86"/>
  <c r="AF2441" i="86"/>
  <c r="AF2442" i="86"/>
  <c r="AF2443" i="86"/>
  <c r="AF2444" i="86"/>
  <c r="AF2445" i="86"/>
  <c r="AF2446" i="86"/>
  <c r="AF2447" i="86"/>
  <c r="AF2448" i="86"/>
  <c r="AF2449" i="86"/>
  <c r="AF2450" i="86"/>
  <c r="AF2451" i="86"/>
  <c r="AF2452" i="86"/>
  <c r="AF2453" i="86"/>
  <c r="AF2454" i="86"/>
  <c r="AF2455" i="86"/>
  <c r="AF2456" i="86"/>
  <c r="AF2457" i="86"/>
  <c r="AF2458" i="86"/>
  <c r="AF2459" i="86"/>
  <c r="AF2460" i="86"/>
  <c r="AF2461" i="86"/>
  <c r="AF2462" i="86"/>
  <c r="AF2463" i="86"/>
  <c r="AF2464" i="86"/>
  <c r="AF2465" i="86"/>
  <c r="AF2466" i="86"/>
  <c r="AF2467" i="86"/>
  <c r="AF2468" i="86"/>
  <c r="AF2469" i="86"/>
  <c r="AF2470" i="86"/>
  <c r="AF2471" i="86"/>
  <c r="AF2472" i="86"/>
  <c r="AF2473" i="86"/>
  <c r="AF2474" i="86"/>
  <c r="AF2475" i="86"/>
  <c r="AF2476" i="86"/>
  <c r="AF2477" i="86"/>
  <c r="AF2478" i="86"/>
  <c r="AF2479" i="86"/>
  <c r="AF2480" i="86"/>
  <c r="AF2481" i="86"/>
  <c r="AF2482" i="86"/>
  <c r="AF2483" i="86"/>
  <c r="AF2484" i="86"/>
  <c r="AF2485" i="86"/>
  <c r="AF2486" i="86"/>
  <c r="AF2487" i="86"/>
  <c r="AF2488" i="86"/>
  <c r="AF2489" i="86"/>
  <c r="AF2490" i="86"/>
  <c r="AF2491" i="86"/>
  <c r="AF2492" i="86"/>
  <c r="AF2493" i="86"/>
  <c r="AF2494" i="86"/>
  <c r="AF2495" i="86"/>
  <c r="AF2496" i="86"/>
  <c r="AF2497" i="86"/>
  <c r="AF2498" i="86"/>
  <c r="AF2499" i="86"/>
  <c r="AF2500" i="86"/>
  <c r="AF2501" i="86"/>
  <c r="AF2502" i="86"/>
  <c r="AF2503" i="86"/>
  <c r="AF2504" i="86"/>
  <c r="AF2505" i="86"/>
  <c r="AF2506" i="86"/>
  <c r="AF2507" i="86"/>
  <c r="AF2508" i="86"/>
  <c r="AF2509" i="86"/>
  <c r="AF2510" i="86"/>
  <c r="AF2511" i="86"/>
  <c r="AF2512" i="86"/>
  <c r="AF2513" i="86"/>
  <c r="AF2514" i="86"/>
  <c r="AF2515" i="86"/>
  <c r="AF2516" i="86"/>
  <c r="AF2517" i="86"/>
  <c r="AF2518" i="86"/>
  <c r="AF2519" i="86"/>
  <c r="AF2520" i="86"/>
  <c r="AF2521" i="86"/>
  <c r="AF2522" i="86"/>
  <c r="AF2523" i="86"/>
  <c r="AF2524" i="86"/>
  <c r="AF2525" i="86"/>
  <c r="AF2526" i="86"/>
  <c r="AF2527" i="86"/>
  <c r="AF2528" i="86"/>
  <c r="AF2529" i="86"/>
  <c r="AF2530" i="86"/>
  <c r="AF2531" i="86"/>
  <c r="AF2532" i="86"/>
  <c r="AF2533" i="86"/>
  <c r="AF2534" i="86"/>
  <c r="AF2535" i="86"/>
  <c r="AF2536" i="86"/>
  <c r="AF2537" i="86"/>
  <c r="AF2538" i="86"/>
  <c r="AF2539" i="86"/>
  <c r="AF2540" i="86"/>
  <c r="AF2541" i="86"/>
  <c r="AF2542" i="86"/>
  <c r="AF2543" i="86"/>
  <c r="AF2544" i="86"/>
  <c r="AF2545" i="86"/>
  <c r="AF2546" i="86"/>
  <c r="AF2547" i="86"/>
  <c r="AF2548" i="86"/>
  <c r="AF2549" i="86"/>
  <c r="AF2550" i="86"/>
  <c r="AF2551" i="86"/>
  <c r="AF2552" i="86"/>
  <c r="AF2553" i="86"/>
  <c r="AF2554" i="86"/>
  <c r="AF2555" i="86"/>
  <c r="AF2556" i="86"/>
  <c r="AF2557" i="86"/>
  <c r="AF2558" i="86"/>
  <c r="AF2559" i="86"/>
  <c r="AF2560" i="86"/>
  <c r="AF2561" i="86"/>
  <c r="AF2562" i="86"/>
  <c r="AF2563" i="86"/>
  <c r="AF2564" i="86"/>
  <c r="AF2565" i="86"/>
  <c r="AF2566" i="86"/>
  <c r="AF2567" i="86"/>
  <c r="AF2568" i="86"/>
  <c r="AF2569" i="86"/>
  <c r="AF2570" i="86"/>
  <c r="AF2571" i="86"/>
  <c r="AF2572" i="86"/>
  <c r="AF2573" i="86"/>
  <c r="AF2574" i="86"/>
  <c r="AF2575" i="86"/>
  <c r="AF2576" i="86"/>
  <c r="AF2577" i="86"/>
  <c r="AF2578" i="86"/>
  <c r="AF2579" i="86"/>
  <c r="AF2580" i="86"/>
  <c r="AF2581" i="86"/>
  <c r="AF2582" i="86"/>
  <c r="AF2583" i="86"/>
  <c r="AF2584" i="86"/>
  <c r="AF2585" i="86"/>
  <c r="AF2586" i="86"/>
  <c r="AF2587" i="86"/>
  <c r="AF2588" i="86"/>
  <c r="AF2589" i="86"/>
  <c r="AF2590" i="86"/>
  <c r="AF2591" i="86"/>
  <c r="AF2592" i="86"/>
  <c r="AF2593" i="86"/>
  <c r="AF2594" i="86"/>
  <c r="AF2595" i="86"/>
  <c r="AF2596" i="86"/>
  <c r="AF2597" i="86"/>
  <c r="AF2598" i="86"/>
  <c r="AF2599" i="86"/>
  <c r="AF2600" i="86"/>
  <c r="AF2601" i="86"/>
  <c r="AF2602" i="86"/>
  <c r="AF2603" i="86"/>
  <c r="AF2604" i="86"/>
  <c r="AF2605" i="86"/>
  <c r="AF2606" i="86"/>
  <c r="AF2607" i="86"/>
  <c r="AF2608" i="86"/>
  <c r="AF2609" i="86"/>
  <c r="AF2610" i="86"/>
  <c r="AF2611" i="86"/>
  <c r="AF2612" i="86"/>
  <c r="AF2613" i="86"/>
  <c r="AF2614" i="86"/>
  <c r="AF2615" i="86"/>
  <c r="AF3" i="86"/>
  <c r="C2615" i="86"/>
  <c r="C2614" i="86"/>
  <c r="C2613" i="86"/>
  <c r="C2612" i="86"/>
  <c r="C2611" i="86"/>
  <c r="C2610" i="86"/>
  <c r="C2609" i="86"/>
  <c r="C2608" i="86"/>
  <c r="C2607" i="86"/>
  <c r="C2606" i="86"/>
  <c r="C2605" i="86"/>
  <c r="C2604" i="86"/>
  <c r="C2603" i="86"/>
  <c r="C2602" i="86"/>
  <c r="C2601" i="86"/>
  <c r="C2600" i="86"/>
  <c r="C2599" i="86"/>
  <c r="C2598" i="86"/>
  <c r="C2597" i="86"/>
  <c r="C2596" i="86"/>
  <c r="C2595" i="86"/>
  <c r="C2594" i="86"/>
  <c r="C2593" i="86"/>
  <c r="C2592" i="86"/>
  <c r="C2591" i="86"/>
  <c r="C2590" i="86"/>
  <c r="C2589" i="86"/>
  <c r="C2588" i="86"/>
  <c r="C2587" i="86"/>
  <c r="C2586" i="86"/>
  <c r="C2585" i="86"/>
  <c r="C2584" i="86"/>
  <c r="C2583" i="86"/>
  <c r="C2582" i="86"/>
  <c r="C2581" i="86"/>
  <c r="C2580" i="86"/>
  <c r="C2579" i="86"/>
  <c r="C2578" i="86"/>
  <c r="C2577" i="86"/>
  <c r="C2576" i="86"/>
  <c r="C2575" i="86"/>
  <c r="C2574" i="86"/>
  <c r="C2573" i="86"/>
  <c r="C2572" i="86"/>
  <c r="C2571" i="86"/>
  <c r="C2570" i="86"/>
  <c r="C2569" i="86"/>
  <c r="C2568" i="86"/>
  <c r="C2567" i="86"/>
  <c r="C2566" i="86"/>
  <c r="C2565" i="86"/>
  <c r="C2564" i="86"/>
  <c r="C2563" i="86"/>
  <c r="C2562" i="86"/>
  <c r="C2561" i="86"/>
  <c r="C2560" i="86"/>
  <c r="C2559" i="86"/>
  <c r="C2558" i="86"/>
  <c r="C2557" i="86"/>
  <c r="C2556" i="86"/>
  <c r="C2555" i="86"/>
  <c r="C2554" i="86"/>
  <c r="C2553" i="86"/>
  <c r="C2552" i="86"/>
  <c r="C2551" i="86"/>
  <c r="C2550" i="86"/>
  <c r="C2549" i="86"/>
  <c r="C2548" i="86"/>
  <c r="C2547" i="86"/>
  <c r="C2546" i="86"/>
  <c r="C2545" i="86"/>
  <c r="C2544" i="86"/>
  <c r="C2543" i="86"/>
  <c r="C2542" i="86"/>
  <c r="C2541" i="86"/>
  <c r="C2540" i="86"/>
  <c r="C2539" i="86"/>
  <c r="C2538" i="86"/>
  <c r="C2537" i="86"/>
  <c r="C2536" i="86"/>
  <c r="C2535" i="86"/>
  <c r="C2534" i="86"/>
  <c r="C2533" i="86"/>
  <c r="C2532" i="86"/>
  <c r="C2531" i="86"/>
  <c r="C2530" i="86"/>
  <c r="C2529" i="86"/>
  <c r="C2528" i="86"/>
  <c r="C2527" i="86"/>
  <c r="C2526" i="86"/>
  <c r="C2525" i="86"/>
  <c r="C2524" i="86"/>
  <c r="C2523" i="86"/>
  <c r="C2522" i="86"/>
  <c r="C2521" i="86"/>
  <c r="C2520" i="86"/>
  <c r="C2519" i="86"/>
  <c r="C2518" i="86"/>
  <c r="C2517" i="86"/>
  <c r="C2516" i="86"/>
  <c r="C2515" i="86"/>
  <c r="C2514" i="86"/>
  <c r="C2513" i="86"/>
  <c r="C2512" i="86"/>
  <c r="C2511" i="86"/>
  <c r="C2510" i="86"/>
  <c r="C2509" i="86"/>
  <c r="C2508" i="86"/>
  <c r="C2507" i="86"/>
  <c r="C2506" i="86"/>
  <c r="C2505" i="86"/>
  <c r="C2504" i="86"/>
  <c r="C2503" i="86"/>
  <c r="C2502" i="86"/>
  <c r="C2501" i="86"/>
  <c r="C2500" i="86"/>
  <c r="C2499" i="86"/>
  <c r="C2498" i="86"/>
  <c r="C2497" i="86"/>
  <c r="C2496" i="86"/>
  <c r="C2495" i="86"/>
  <c r="C2494" i="86"/>
  <c r="C2493" i="86"/>
  <c r="C2492" i="86"/>
  <c r="C2491" i="86"/>
  <c r="C2490" i="86"/>
  <c r="C2489" i="86"/>
  <c r="C2488" i="86"/>
  <c r="C2487" i="86"/>
  <c r="C2486" i="86"/>
  <c r="C2485" i="86"/>
  <c r="C2484" i="86"/>
  <c r="C2483" i="86"/>
  <c r="C2482" i="86"/>
  <c r="C2481" i="86"/>
  <c r="C2480" i="86"/>
  <c r="C2479" i="86"/>
  <c r="C2478" i="86"/>
  <c r="C2477" i="86"/>
  <c r="C2476" i="86"/>
  <c r="C2475" i="86"/>
  <c r="C2474" i="86"/>
  <c r="C2473" i="86"/>
  <c r="C2472" i="86"/>
  <c r="C2471" i="86"/>
  <c r="C2470" i="86"/>
  <c r="C2469" i="86"/>
  <c r="C2468" i="86"/>
  <c r="C2467" i="86"/>
  <c r="C2466" i="86"/>
  <c r="C2465" i="86"/>
  <c r="C2464" i="86"/>
  <c r="C2463" i="86"/>
  <c r="C2462" i="86"/>
  <c r="C2461" i="86"/>
  <c r="C2460" i="86"/>
  <c r="C2459" i="86"/>
  <c r="C2458" i="86"/>
  <c r="C2457" i="86"/>
  <c r="C2456" i="86"/>
  <c r="C2455" i="86"/>
  <c r="C2454" i="86"/>
  <c r="C2453" i="86"/>
  <c r="C2452" i="86"/>
  <c r="C2451" i="86"/>
  <c r="C2450" i="86"/>
  <c r="C2449" i="86"/>
  <c r="C2448" i="86"/>
  <c r="C2447" i="86"/>
  <c r="C2446" i="86"/>
  <c r="C2445" i="86"/>
  <c r="C2444" i="86"/>
  <c r="C2443" i="86"/>
  <c r="C2442" i="86"/>
  <c r="C2441" i="86"/>
  <c r="C2440" i="86"/>
  <c r="C2439" i="86"/>
  <c r="C2438" i="86"/>
  <c r="C2437" i="86"/>
  <c r="C2436" i="86"/>
  <c r="C2435" i="86"/>
  <c r="C2434" i="86"/>
  <c r="C2433" i="86"/>
  <c r="C2432" i="86"/>
  <c r="C2431" i="86"/>
  <c r="C2430" i="86"/>
  <c r="C2429" i="86"/>
  <c r="C2428" i="86"/>
  <c r="C2427" i="86"/>
  <c r="C2426" i="86"/>
  <c r="C2425" i="86"/>
  <c r="C2424" i="86"/>
  <c r="C2423" i="86"/>
  <c r="C2422" i="86"/>
  <c r="C2421" i="86"/>
  <c r="C2420" i="86"/>
  <c r="C2419" i="86"/>
  <c r="C2418" i="86"/>
  <c r="C2417" i="86"/>
  <c r="C2416" i="86"/>
  <c r="C2415" i="86"/>
  <c r="C2414" i="86"/>
  <c r="C2413" i="86"/>
  <c r="C2412" i="86"/>
  <c r="C2411" i="86"/>
  <c r="C2410" i="86"/>
  <c r="C2409" i="86"/>
  <c r="C2408" i="86"/>
  <c r="C2407" i="86"/>
  <c r="C2406" i="86"/>
  <c r="C2405" i="86"/>
  <c r="C2404" i="86"/>
  <c r="C2403" i="86"/>
  <c r="C2402" i="86"/>
  <c r="C2401" i="86"/>
  <c r="C2400" i="86"/>
  <c r="C2399" i="86"/>
  <c r="C2398" i="86"/>
  <c r="C2397" i="86"/>
  <c r="C2396" i="86"/>
  <c r="C2395" i="86"/>
  <c r="C2394" i="86"/>
  <c r="C2393" i="86"/>
  <c r="C2392" i="86"/>
  <c r="C2391" i="86"/>
  <c r="C2390" i="86"/>
  <c r="C2389" i="86"/>
  <c r="C2388" i="86"/>
  <c r="C2387" i="86"/>
  <c r="C2386" i="86"/>
  <c r="C2385" i="86"/>
  <c r="C2384" i="86"/>
  <c r="C2383" i="86"/>
  <c r="C2382" i="86"/>
  <c r="C2381" i="86"/>
  <c r="C2380" i="86"/>
  <c r="C2379" i="86"/>
  <c r="C2378" i="86"/>
  <c r="C2377" i="86"/>
  <c r="C2376" i="86"/>
  <c r="C2375" i="86"/>
  <c r="C2374" i="86"/>
  <c r="C2373" i="86"/>
  <c r="C2372" i="86"/>
  <c r="C2371" i="86"/>
  <c r="C2370" i="86"/>
  <c r="C2369" i="86"/>
  <c r="C2368" i="86"/>
  <c r="C2367" i="86"/>
  <c r="C2366" i="86"/>
  <c r="C2365" i="86"/>
  <c r="C2364" i="86"/>
  <c r="C2363" i="86"/>
  <c r="C2362" i="86"/>
  <c r="C2361" i="86"/>
  <c r="C2360" i="86"/>
  <c r="C2359" i="86"/>
  <c r="C2358" i="86"/>
  <c r="C2357" i="86"/>
  <c r="C2356" i="86"/>
  <c r="C2355" i="86"/>
  <c r="C2354" i="86"/>
  <c r="C2353" i="86"/>
  <c r="C2352" i="86"/>
  <c r="C2351" i="86"/>
  <c r="C2350" i="86"/>
  <c r="C2349" i="86"/>
  <c r="C2348" i="86"/>
  <c r="C2347" i="86"/>
  <c r="C2346" i="86"/>
  <c r="C2345" i="86"/>
  <c r="C2344" i="86"/>
  <c r="C2343" i="86"/>
  <c r="C2342" i="86"/>
  <c r="C2341" i="86"/>
  <c r="C2340" i="86"/>
  <c r="C2339" i="86"/>
  <c r="C2338" i="86"/>
  <c r="C2337" i="86"/>
  <c r="C2336" i="86"/>
  <c r="C2335" i="86"/>
  <c r="C2334" i="86"/>
  <c r="C2333" i="86"/>
  <c r="C2332" i="86"/>
  <c r="C2331" i="86"/>
  <c r="C2330" i="86"/>
  <c r="C2329" i="86"/>
  <c r="C2328" i="86"/>
  <c r="C2327" i="86"/>
  <c r="C2326" i="86"/>
  <c r="C2325" i="86"/>
  <c r="C2324" i="86"/>
  <c r="C2323" i="86"/>
  <c r="C2322" i="86"/>
  <c r="C2321" i="86"/>
  <c r="C2320" i="86"/>
  <c r="C2319" i="86"/>
  <c r="C2318" i="86"/>
  <c r="C2317" i="86"/>
  <c r="C2316" i="86"/>
  <c r="C2315" i="86"/>
  <c r="C2314" i="86"/>
  <c r="C2313" i="86"/>
  <c r="C2312" i="86"/>
  <c r="C2311" i="86"/>
  <c r="C2310" i="86"/>
  <c r="C2309" i="86"/>
  <c r="C2308" i="86"/>
  <c r="C2307" i="86"/>
  <c r="C2306" i="86"/>
  <c r="C2305" i="86"/>
  <c r="C2304" i="86"/>
  <c r="C2303" i="86"/>
  <c r="C2302" i="86"/>
  <c r="C2301" i="86"/>
  <c r="C2300" i="86"/>
  <c r="C2299" i="86"/>
  <c r="C2298" i="86"/>
  <c r="C2297" i="86"/>
  <c r="C2296" i="86"/>
  <c r="C2295" i="86"/>
  <c r="C2294" i="86"/>
  <c r="C2293" i="86"/>
  <c r="C2292" i="86"/>
  <c r="C2291" i="86"/>
  <c r="C2290" i="86"/>
  <c r="C2289" i="86"/>
  <c r="C2288" i="86"/>
  <c r="C2287" i="86"/>
  <c r="C2286" i="86"/>
  <c r="C2285" i="86"/>
  <c r="C2284" i="86"/>
  <c r="C2283" i="86"/>
  <c r="C2282" i="86"/>
  <c r="C2281" i="86"/>
  <c r="C2280" i="86"/>
  <c r="C2279" i="86"/>
  <c r="C2278" i="86"/>
  <c r="C2277" i="86"/>
  <c r="C2276" i="86"/>
  <c r="C2275" i="86"/>
  <c r="C2274" i="86"/>
  <c r="C2273" i="86"/>
  <c r="C2272" i="86"/>
  <c r="C2271" i="86"/>
  <c r="C2270" i="86"/>
  <c r="C2269" i="86"/>
  <c r="C2268" i="86"/>
  <c r="C2267" i="86"/>
  <c r="C2266" i="86"/>
  <c r="C2265" i="86"/>
  <c r="C2264" i="86"/>
  <c r="C2263" i="86"/>
  <c r="C2262" i="86"/>
  <c r="C2261" i="86"/>
  <c r="C2260" i="86"/>
  <c r="C2259" i="86"/>
  <c r="C2258" i="86"/>
  <c r="C2257" i="86"/>
  <c r="C2256" i="86"/>
  <c r="C2255" i="86"/>
  <c r="C2254" i="86"/>
  <c r="C2253" i="86"/>
  <c r="C2252" i="86"/>
  <c r="C2251" i="86"/>
  <c r="C2250" i="86"/>
  <c r="C2249" i="86"/>
  <c r="C2248" i="86"/>
  <c r="C2247" i="86"/>
  <c r="C2246" i="86"/>
  <c r="C2245" i="86"/>
  <c r="C2244" i="86"/>
  <c r="C2243" i="86"/>
  <c r="C2242" i="86"/>
  <c r="C2241" i="86"/>
  <c r="C2240" i="86"/>
  <c r="C2239" i="86"/>
  <c r="C2238" i="86"/>
  <c r="C2237" i="86"/>
  <c r="C2236" i="86"/>
  <c r="C2235" i="86"/>
  <c r="C2234" i="86"/>
  <c r="C2233" i="86"/>
  <c r="C2232" i="86"/>
  <c r="C2231" i="86"/>
  <c r="C2230" i="86"/>
  <c r="C2229" i="86"/>
  <c r="C2228" i="86"/>
  <c r="C2227" i="86"/>
  <c r="C2226" i="86"/>
  <c r="C2225" i="86"/>
  <c r="C2224" i="86"/>
  <c r="C2223" i="86"/>
  <c r="C2222" i="86"/>
  <c r="C2221" i="86"/>
  <c r="C2220" i="86"/>
  <c r="C2219" i="86"/>
  <c r="C2218" i="86"/>
  <c r="C2217" i="86"/>
  <c r="C2216" i="86"/>
  <c r="C2215" i="86"/>
  <c r="C2214" i="86"/>
  <c r="C2213" i="86"/>
  <c r="C2212" i="86"/>
  <c r="C2211" i="86"/>
  <c r="C2210" i="86"/>
  <c r="C2209" i="86"/>
  <c r="C2208" i="86"/>
  <c r="C2207" i="86"/>
  <c r="C2206" i="86"/>
  <c r="C2205" i="86"/>
  <c r="C2204" i="86"/>
  <c r="C2203" i="86"/>
  <c r="C2202" i="86"/>
  <c r="C2201" i="86"/>
  <c r="C2200" i="86"/>
  <c r="C2199" i="86"/>
  <c r="C2198" i="86"/>
  <c r="C2197" i="86"/>
  <c r="C2196" i="86"/>
  <c r="C2195" i="86"/>
  <c r="C2194" i="86"/>
  <c r="C2193" i="86"/>
  <c r="C2192" i="86"/>
  <c r="C2191" i="86"/>
  <c r="C2190" i="86"/>
  <c r="C2189" i="86"/>
  <c r="C2188" i="86"/>
  <c r="C2187" i="86"/>
  <c r="C2186" i="86"/>
  <c r="C2185" i="86"/>
  <c r="C2184" i="86"/>
  <c r="C2183" i="86"/>
  <c r="C2182" i="86"/>
  <c r="C2181" i="86"/>
  <c r="C2180" i="86"/>
  <c r="C2179" i="86"/>
  <c r="C2178" i="86"/>
  <c r="C2177" i="86"/>
  <c r="C2176" i="86"/>
  <c r="C2175" i="86"/>
  <c r="C2174" i="86"/>
  <c r="C2173" i="86"/>
  <c r="C2172" i="86"/>
  <c r="C2171" i="86"/>
  <c r="C2170" i="86"/>
  <c r="C2169" i="86"/>
  <c r="C2168" i="86"/>
  <c r="C2167" i="86"/>
  <c r="C2166" i="86"/>
  <c r="C2165" i="86"/>
  <c r="C2164" i="86"/>
  <c r="C2163" i="86"/>
  <c r="C2162" i="86"/>
  <c r="C2161" i="86"/>
  <c r="C2160" i="86"/>
  <c r="C2159" i="86"/>
  <c r="C2158" i="86"/>
  <c r="C2157" i="86"/>
  <c r="C2156" i="86"/>
  <c r="C2155" i="86"/>
  <c r="C2154" i="86"/>
  <c r="C2153" i="86"/>
  <c r="C2152" i="86"/>
  <c r="C2151" i="86"/>
  <c r="C2150" i="86"/>
  <c r="C2149" i="86"/>
  <c r="C2148" i="86"/>
  <c r="C2147" i="86"/>
  <c r="C2146" i="86"/>
  <c r="C2145" i="86"/>
  <c r="C2144" i="86"/>
  <c r="C2143" i="86"/>
  <c r="C2142" i="86"/>
  <c r="C2141" i="86"/>
  <c r="C2140" i="86"/>
  <c r="C2139" i="86"/>
  <c r="C2138" i="86"/>
  <c r="C2137" i="86"/>
  <c r="C2136" i="86"/>
  <c r="C2135" i="86"/>
  <c r="C2134" i="86"/>
  <c r="C2133" i="86"/>
  <c r="C2132" i="86"/>
  <c r="C2131" i="86"/>
  <c r="C2130" i="86"/>
  <c r="C2129" i="86"/>
  <c r="C2128" i="86"/>
  <c r="C2127" i="86"/>
  <c r="C2126" i="86"/>
  <c r="C2125" i="86"/>
  <c r="C2124" i="86"/>
  <c r="C2123" i="86"/>
  <c r="C2122" i="86"/>
  <c r="C2121" i="86"/>
  <c r="C2120" i="86"/>
  <c r="C2119" i="86"/>
  <c r="C2118" i="86"/>
  <c r="C2117" i="86"/>
  <c r="C2116" i="86"/>
  <c r="C2115" i="86"/>
  <c r="C2114" i="86"/>
  <c r="C2113" i="86"/>
  <c r="C2112" i="86"/>
  <c r="C2111" i="86"/>
  <c r="C2110" i="86"/>
  <c r="C2109" i="86"/>
  <c r="C2108" i="86"/>
  <c r="C2107" i="86"/>
  <c r="C2106" i="86"/>
  <c r="C2105" i="86"/>
  <c r="C2104" i="86"/>
  <c r="C2103" i="86"/>
  <c r="C2102" i="86"/>
  <c r="C2101" i="86"/>
  <c r="C2100" i="86"/>
  <c r="C2099" i="86"/>
  <c r="C2098" i="86"/>
  <c r="C2097" i="86"/>
  <c r="C2096" i="86"/>
  <c r="C2095" i="86"/>
  <c r="C2094" i="86"/>
  <c r="C2093" i="86"/>
  <c r="C2092" i="86"/>
  <c r="C2091" i="86"/>
  <c r="C2090" i="86"/>
  <c r="C2089" i="86"/>
  <c r="C2088" i="86"/>
  <c r="C2087" i="86"/>
  <c r="C2086" i="86"/>
  <c r="C2085" i="86"/>
  <c r="C2084" i="86"/>
  <c r="C2083" i="86"/>
  <c r="C2082" i="86"/>
  <c r="C2081" i="86"/>
  <c r="C2080" i="86"/>
  <c r="C2079" i="86"/>
  <c r="C2078" i="86"/>
  <c r="C2077" i="86"/>
  <c r="C2076" i="86"/>
  <c r="C2075" i="86"/>
  <c r="C2074" i="86"/>
  <c r="C2073" i="86"/>
  <c r="C2072" i="86"/>
  <c r="C2071" i="86"/>
  <c r="C2070" i="86"/>
  <c r="C2069" i="86"/>
  <c r="C2068" i="86"/>
  <c r="C2067" i="86"/>
  <c r="C2066" i="86"/>
  <c r="C2065" i="86"/>
  <c r="C2064" i="86"/>
  <c r="C2063" i="86"/>
  <c r="C2062" i="86"/>
  <c r="C2061" i="86"/>
  <c r="C2060" i="86"/>
  <c r="C2059" i="86"/>
  <c r="C2058" i="86"/>
  <c r="C2057" i="86"/>
  <c r="C2056" i="86"/>
  <c r="C2055" i="86"/>
  <c r="C2054" i="86"/>
  <c r="C2053" i="86"/>
  <c r="C2052" i="86"/>
  <c r="C2051" i="86"/>
  <c r="C2050" i="86"/>
  <c r="C2049" i="86"/>
  <c r="C2048" i="86"/>
  <c r="C2047" i="86"/>
  <c r="C2046" i="86"/>
  <c r="C2045" i="86"/>
  <c r="C2044" i="86"/>
  <c r="C2043" i="86"/>
  <c r="C2042" i="86"/>
  <c r="C2041" i="86"/>
  <c r="C2040" i="86"/>
  <c r="C2039" i="86"/>
  <c r="C2038" i="86"/>
  <c r="C2037" i="86"/>
  <c r="C2036" i="86"/>
  <c r="C2035" i="86"/>
  <c r="C2034" i="86"/>
  <c r="C2033" i="86"/>
  <c r="C2032" i="86"/>
  <c r="C2031" i="86"/>
  <c r="C2030" i="86"/>
  <c r="C2029" i="86"/>
  <c r="C2028" i="86"/>
  <c r="C2027" i="86"/>
  <c r="C2026" i="86"/>
  <c r="C2025" i="86"/>
  <c r="C2024" i="86"/>
  <c r="C2023" i="86"/>
  <c r="C2022" i="86"/>
  <c r="C2021" i="86"/>
  <c r="C2020" i="86"/>
  <c r="C2019" i="86"/>
  <c r="C2018" i="86"/>
  <c r="C2017" i="86"/>
  <c r="C2016" i="86"/>
  <c r="C2015" i="86"/>
  <c r="C2014" i="86"/>
  <c r="C2013" i="86"/>
  <c r="C2012" i="86"/>
  <c r="C2011" i="86"/>
  <c r="C2010" i="86"/>
  <c r="C2009" i="86"/>
  <c r="C2008" i="86"/>
  <c r="C2007" i="86"/>
  <c r="C2006" i="86"/>
  <c r="C2005" i="86"/>
  <c r="C2004" i="86"/>
  <c r="C2003" i="86"/>
  <c r="C2002" i="86"/>
  <c r="C2001" i="86"/>
  <c r="C2000" i="86"/>
  <c r="C1999" i="86"/>
  <c r="C1998" i="86"/>
  <c r="C1997" i="86"/>
  <c r="C1996" i="86"/>
  <c r="C1995" i="86"/>
  <c r="C1994" i="86"/>
  <c r="C1993" i="86"/>
  <c r="C1992" i="86"/>
  <c r="C1991" i="86"/>
  <c r="C1990" i="86"/>
  <c r="C1989" i="86"/>
  <c r="C1988" i="86"/>
  <c r="C1987" i="86"/>
  <c r="C1986" i="86"/>
  <c r="C1985" i="86"/>
  <c r="C1984" i="86"/>
  <c r="C1983" i="86"/>
  <c r="C1982" i="86"/>
  <c r="C1981" i="86"/>
  <c r="C1980" i="86"/>
  <c r="C1979" i="86"/>
  <c r="C1978" i="86"/>
  <c r="C1977" i="86"/>
  <c r="C1976" i="86"/>
  <c r="C1975" i="86"/>
  <c r="C1974" i="86"/>
  <c r="C1973" i="86"/>
  <c r="C1972" i="86"/>
  <c r="C1971" i="86"/>
  <c r="C1970" i="86"/>
  <c r="C1969" i="86"/>
  <c r="C1968" i="86"/>
  <c r="C1967" i="86"/>
  <c r="C1966" i="86"/>
  <c r="C1965" i="86"/>
  <c r="C1964" i="86"/>
  <c r="C1963" i="86"/>
  <c r="C1962" i="86"/>
  <c r="C1961" i="86"/>
  <c r="C1960" i="86"/>
  <c r="C1959" i="86"/>
  <c r="C1958" i="86"/>
  <c r="C1957" i="86"/>
  <c r="C1956" i="86"/>
  <c r="C1955" i="86"/>
  <c r="C1954" i="86"/>
  <c r="C1953" i="86"/>
  <c r="C1952" i="86"/>
  <c r="C1951" i="86"/>
  <c r="C1950" i="86"/>
  <c r="C1949" i="86"/>
  <c r="C1948" i="86"/>
  <c r="C1947" i="86"/>
  <c r="C1946" i="86"/>
  <c r="C1945" i="86"/>
  <c r="C1944" i="86"/>
  <c r="C1943" i="86"/>
  <c r="C1942" i="86"/>
  <c r="C1941" i="86"/>
  <c r="C1940" i="86"/>
  <c r="C1939" i="86"/>
  <c r="C1938" i="86"/>
  <c r="C1937" i="86"/>
  <c r="C1936" i="86"/>
  <c r="C1935" i="86"/>
  <c r="C1934" i="86"/>
  <c r="C1933" i="86"/>
  <c r="C1932" i="86"/>
  <c r="C1931" i="86"/>
  <c r="C1930" i="86"/>
  <c r="C1929" i="86"/>
  <c r="C1928" i="86"/>
  <c r="C1927" i="86"/>
  <c r="C1926" i="86"/>
  <c r="C1925" i="86"/>
  <c r="C1924" i="86"/>
  <c r="C1923" i="86"/>
  <c r="C1922" i="86"/>
  <c r="C1921" i="86"/>
  <c r="C1920" i="86"/>
  <c r="C1919" i="86"/>
  <c r="C1918" i="86"/>
  <c r="C1917" i="86"/>
  <c r="C1916" i="86"/>
  <c r="C1915" i="86"/>
  <c r="C1914" i="86"/>
  <c r="C1913" i="86"/>
  <c r="C1912" i="86"/>
  <c r="C1911" i="86"/>
  <c r="C1910" i="86"/>
  <c r="C1909" i="86"/>
  <c r="C1908" i="86"/>
  <c r="C1907" i="86"/>
  <c r="C1906" i="86"/>
  <c r="C1905" i="86"/>
  <c r="C1904" i="86"/>
  <c r="C1903" i="86"/>
  <c r="C1902" i="86"/>
  <c r="C1901" i="86"/>
  <c r="C1900" i="86"/>
  <c r="C1899" i="86"/>
  <c r="C1898" i="86"/>
  <c r="C1897" i="86"/>
  <c r="C1896" i="86"/>
  <c r="C1895" i="86"/>
  <c r="C1894" i="86"/>
  <c r="C1893" i="86"/>
  <c r="C1892" i="86"/>
  <c r="C1891" i="86"/>
  <c r="C1890" i="86"/>
  <c r="C1889" i="86"/>
  <c r="C1888" i="86"/>
  <c r="C1887" i="86"/>
  <c r="C1886" i="86"/>
  <c r="C1885" i="86"/>
  <c r="C1884" i="86"/>
  <c r="C1883" i="86"/>
  <c r="C1882" i="86"/>
  <c r="C1881" i="86"/>
  <c r="C1880" i="86"/>
  <c r="C1879" i="86"/>
  <c r="C1878" i="86"/>
  <c r="C1877" i="86"/>
  <c r="C1876" i="86"/>
  <c r="C1875" i="86"/>
  <c r="C1874" i="86"/>
  <c r="C1873" i="86"/>
  <c r="C1872" i="86"/>
  <c r="C1871" i="86"/>
  <c r="C1870" i="86"/>
  <c r="C1869" i="86"/>
  <c r="C1868" i="86"/>
  <c r="C1867" i="86"/>
  <c r="C1866" i="86"/>
  <c r="C1865" i="86"/>
  <c r="C1864" i="86"/>
  <c r="C1863" i="86"/>
  <c r="C1862" i="86"/>
  <c r="C1861" i="86"/>
  <c r="C1860" i="86"/>
  <c r="C1859" i="86"/>
  <c r="C1858" i="86"/>
  <c r="C1857" i="86"/>
  <c r="C1856" i="86"/>
  <c r="C1855" i="86"/>
  <c r="C1854" i="86"/>
  <c r="C1853" i="86"/>
  <c r="C1852" i="86"/>
  <c r="C1851" i="86"/>
  <c r="C1850" i="86"/>
  <c r="C1849" i="86"/>
  <c r="C1848" i="86"/>
  <c r="C1847" i="86"/>
  <c r="C1846" i="86"/>
  <c r="C1845" i="86"/>
  <c r="C1844" i="86"/>
  <c r="C1843" i="86"/>
  <c r="C1842" i="86"/>
  <c r="C1841" i="86"/>
  <c r="C1840" i="86"/>
  <c r="C1839" i="86"/>
  <c r="C1838" i="86"/>
  <c r="C1837" i="86"/>
  <c r="C1836" i="86"/>
  <c r="C1835" i="86"/>
  <c r="C1834" i="86"/>
  <c r="C1833" i="86"/>
  <c r="C1832" i="86"/>
  <c r="C1831" i="86"/>
  <c r="C1830" i="86"/>
  <c r="C1829" i="86"/>
  <c r="C1828" i="86"/>
  <c r="C1827" i="86"/>
  <c r="C1826" i="86"/>
  <c r="C1825" i="86"/>
  <c r="C1824" i="86"/>
  <c r="C1823" i="86"/>
  <c r="C1822" i="86"/>
  <c r="C1821" i="86"/>
  <c r="C1820" i="86"/>
  <c r="C1819" i="86"/>
  <c r="C1818" i="86"/>
  <c r="C1817" i="86"/>
  <c r="C1816" i="86"/>
  <c r="C1815" i="86"/>
  <c r="C1814" i="86"/>
  <c r="C1813" i="86"/>
  <c r="C1812" i="86"/>
  <c r="C1811" i="86"/>
  <c r="C1810" i="86"/>
  <c r="C1809" i="86"/>
  <c r="C1808" i="86"/>
  <c r="C1807" i="86"/>
  <c r="C1806" i="86"/>
  <c r="C1805" i="86"/>
  <c r="C1804" i="86"/>
  <c r="C1803" i="86"/>
  <c r="C1802" i="86"/>
  <c r="C1801" i="86"/>
  <c r="C1800" i="86"/>
  <c r="C1799" i="86"/>
  <c r="C1798" i="86"/>
  <c r="C1797" i="86"/>
  <c r="C1796" i="86"/>
  <c r="C1795" i="86"/>
  <c r="C1794" i="86"/>
  <c r="C1793" i="86"/>
  <c r="C1792" i="86"/>
  <c r="C1791" i="86"/>
  <c r="C1790" i="86"/>
  <c r="C1789" i="86"/>
  <c r="C1788" i="86"/>
  <c r="C1787" i="86"/>
  <c r="C1786" i="86"/>
  <c r="C1785" i="86"/>
  <c r="C1784" i="86"/>
  <c r="C1783" i="86"/>
  <c r="C1782" i="86"/>
  <c r="C1781" i="86"/>
  <c r="C1780" i="86"/>
  <c r="C1779" i="86"/>
  <c r="C1778" i="86"/>
  <c r="C1777" i="86"/>
  <c r="C1776" i="86"/>
  <c r="C1775" i="86"/>
  <c r="C1774" i="86"/>
  <c r="C1773" i="86"/>
  <c r="C1772" i="86"/>
  <c r="C1771" i="86"/>
  <c r="C1770" i="86"/>
  <c r="C1769" i="86"/>
  <c r="C1768" i="86"/>
  <c r="C1767" i="86"/>
  <c r="C1766" i="86"/>
  <c r="C1765" i="86"/>
  <c r="C1764" i="86"/>
  <c r="C1763" i="86"/>
  <c r="C1762" i="86"/>
  <c r="C1761" i="86"/>
  <c r="C1760" i="86"/>
  <c r="C1759" i="86"/>
  <c r="C1758" i="86"/>
  <c r="C1757" i="86"/>
  <c r="C1756" i="86"/>
  <c r="C1755" i="86"/>
  <c r="C1754" i="86"/>
  <c r="C1753" i="86"/>
  <c r="C1752" i="86"/>
  <c r="C1751" i="86"/>
  <c r="C1750" i="86"/>
  <c r="C1749" i="86"/>
  <c r="C1748" i="86"/>
  <c r="C1747" i="86"/>
  <c r="C1746" i="86"/>
  <c r="C1745" i="86"/>
  <c r="C1744" i="86"/>
  <c r="C1743" i="86"/>
  <c r="C1742" i="86"/>
  <c r="C1741" i="86"/>
  <c r="C1740" i="86"/>
  <c r="C1739" i="86"/>
  <c r="C1738" i="86"/>
  <c r="C1737" i="86"/>
  <c r="C1736" i="86"/>
  <c r="C1735" i="86"/>
  <c r="C1734" i="86"/>
  <c r="C1733" i="86"/>
  <c r="C1732" i="86"/>
  <c r="C1731" i="86"/>
  <c r="C1730" i="86"/>
  <c r="C1729" i="86"/>
  <c r="C1728" i="86"/>
  <c r="C1727" i="86"/>
  <c r="C1726" i="86"/>
  <c r="C1725" i="86"/>
  <c r="C1724" i="86"/>
  <c r="C1723" i="86"/>
  <c r="C1722" i="86"/>
  <c r="C1721" i="86"/>
  <c r="C1720" i="86"/>
  <c r="C1719" i="86"/>
  <c r="C1718" i="86"/>
  <c r="C1717" i="86"/>
  <c r="C1716" i="86"/>
  <c r="C1715" i="86"/>
  <c r="C1714" i="86"/>
  <c r="C1713" i="86"/>
  <c r="C1712" i="86"/>
  <c r="C1711" i="86"/>
  <c r="C1710" i="86"/>
  <c r="C1709" i="86"/>
  <c r="C1708" i="86"/>
  <c r="C1707" i="86"/>
  <c r="C1706" i="86"/>
  <c r="C1705" i="86"/>
  <c r="C1704" i="86"/>
  <c r="C1703" i="86"/>
  <c r="C1702" i="86"/>
  <c r="C1701" i="86"/>
  <c r="C1700" i="86"/>
  <c r="C1699" i="86"/>
  <c r="C1698" i="86"/>
  <c r="C1697" i="86"/>
  <c r="C1696" i="86"/>
  <c r="C1695" i="86"/>
  <c r="C1694" i="86"/>
  <c r="C1693" i="86"/>
  <c r="C1692" i="86"/>
  <c r="C1691" i="86"/>
  <c r="C1690" i="86"/>
  <c r="C1689" i="86"/>
  <c r="C1688" i="86"/>
  <c r="C1687" i="86"/>
  <c r="C1686" i="86"/>
  <c r="C1685" i="86"/>
  <c r="C1684" i="86"/>
  <c r="C1683" i="86"/>
  <c r="C1682" i="86"/>
  <c r="C1681" i="86"/>
  <c r="C1680" i="86"/>
  <c r="C1679" i="86"/>
  <c r="C1678" i="86"/>
  <c r="C1677" i="86"/>
  <c r="C1676" i="86"/>
  <c r="C1675" i="86"/>
  <c r="C1674" i="86"/>
  <c r="C1673" i="86"/>
  <c r="C1672" i="86"/>
  <c r="C1671" i="86"/>
  <c r="C1670" i="86"/>
  <c r="C1669" i="86"/>
  <c r="C1668" i="86"/>
  <c r="C1667" i="86"/>
  <c r="C1666" i="86"/>
  <c r="C1665" i="86"/>
  <c r="C1664" i="86"/>
  <c r="C1663" i="86"/>
  <c r="C1662" i="86"/>
  <c r="C1661" i="86"/>
  <c r="C1660" i="86"/>
  <c r="C1659" i="86"/>
  <c r="C1658" i="86"/>
  <c r="C1657" i="86"/>
  <c r="C1656" i="86"/>
  <c r="C1655" i="86"/>
  <c r="C1654" i="86"/>
  <c r="C1653" i="86"/>
  <c r="C1652" i="86"/>
  <c r="C1651" i="86"/>
  <c r="C1650" i="86"/>
  <c r="C1649" i="86"/>
  <c r="C1648" i="86"/>
  <c r="C1647" i="86"/>
  <c r="C1646" i="86"/>
  <c r="C1645" i="86"/>
  <c r="C1644" i="86"/>
  <c r="C1643" i="86"/>
  <c r="C1642" i="86"/>
  <c r="C1641" i="86"/>
  <c r="C1640" i="86"/>
  <c r="C1639" i="86"/>
  <c r="C1638" i="86"/>
  <c r="C1637" i="86"/>
  <c r="C1636" i="86"/>
  <c r="C1635" i="86"/>
  <c r="C1634" i="86"/>
  <c r="C1633" i="86"/>
  <c r="C1632" i="86"/>
  <c r="C1631" i="86"/>
  <c r="C1630" i="86"/>
  <c r="C1629" i="86"/>
  <c r="C1628" i="86"/>
  <c r="C1627" i="86"/>
  <c r="C1626" i="86"/>
  <c r="C1625" i="86"/>
  <c r="C1624" i="86"/>
  <c r="C1623" i="86"/>
  <c r="C1622" i="86"/>
  <c r="C1621" i="86"/>
  <c r="C1620" i="86"/>
  <c r="C1619" i="86"/>
  <c r="C1618" i="86"/>
  <c r="C1617" i="86"/>
  <c r="C1616" i="86"/>
  <c r="C1615" i="86"/>
  <c r="C1614" i="86"/>
  <c r="C1613" i="86"/>
  <c r="C1612" i="86"/>
  <c r="C1611" i="86"/>
  <c r="C1610" i="86"/>
  <c r="C1609" i="86"/>
  <c r="C1608" i="86"/>
  <c r="C1607" i="86"/>
  <c r="C1606" i="86"/>
  <c r="C1605" i="86"/>
  <c r="C1604" i="86"/>
  <c r="C1603" i="86"/>
  <c r="C1602" i="86"/>
  <c r="C1601" i="86"/>
  <c r="C1600" i="86"/>
  <c r="C1599" i="86"/>
  <c r="C1598" i="86"/>
  <c r="C1597" i="86"/>
  <c r="C1596" i="86"/>
  <c r="C1595" i="86"/>
  <c r="C1594" i="86"/>
  <c r="C1593" i="86"/>
  <c r="C1592" i="86"/>
  <c r="C1591" i="86"/>
  <c r="C1590" i="86"/>
  <c r="C1589" i="86"/>
  <c r="C1588" i="86"/>
  <c r="C1587" i="86"/>
  <c r="C1586" i="86"/>
  <c r="C1585" i="86"/>
  <c r="C1584" i="86"/>
  <c r="C1583" i="86"/>
  <c r="C1582" i="86"/>
  <c r="C1581" i="86"/>
  <c r="C1580" i="86"/>
  <c r="C1579" i="86"/>
  <c r="C1578" i="86"/>
  <c r="C1577" i="86"/>
  <c r="C1576" i="86"/>
  <c r="C1575" i="86"/>
  <c r="C1574" i="86"/>
  <c r="C1573" i="86"/>
  <c r="C1572" i="86"/>
  <c r="C1571" i="86"/>
  <c r="C1570" i="86"/>
  <c r="C1569" i="86"/>
  <c r="C1568" i="86"/>
  <c r="C1567" i="86"/>
  <c r="C1566" i="86"/>
  <c r="C1565" i="86"/>
  <c r="C1564" i="86"/>
  <c r="C1563" i="86"/>
  <c r="C1562" i="86"/>
  <c r="C1561" i="86"/>
  <c r="C1560" i="86"/>
  <c r="C1559" i="86"/>
  <c r="C1558" i="86"/>
  <c r="C1557" i="86"/>
  <c r="C1556" i="86"/>
  <c r="C1555" i="86"/>
  <c r="C1554" i="86"/>
  <c r="C1553" i="86"/>
  <c r="C1552" i="86"/>
  <c r="C1551" i="86"/>
  <c r="C1550" i="86"/>
  <c r="C1549" i="86"/>
  <c r="C1548" i="86"/>
  <c r="C1547" i="86"/>
  <c r="C1546" i="86"/>
  <c r="C1545" i="86"/>
  <c r="C1544" i="86"/>
  <c r="C1543" i="86"/>
  <c r="C1542" i="86"/>
  <c r="C1541" i="86"/>
  <c r="C1540" i="86"/>
  <c r="C1539" i="86"/>
  <c r="C1538" i="86"/>
  <c r="C1537" i="86"/>
  <c r="C1536" i="86"/>
  <c r="C1535" i="86"/>
  <c r="C1534" i="86"/>
  <c r="C1533" i="86"/>
  <c r="C1532" i="86"/>
  <c r="C1531" i="86"/>
  <c r="C1530" i="86"/>
  <c r="C1529" i="86"/>
  <c r="C1528" i="86"/>
  <c r="C1527" i="86"/>
  <c r="C1526" i="86"/>
  <c r="C1525" i="86"/>
  <c r="C1524" i="86"/>
  <c r="C1523" i="86"/>
  <c r="C1522" i="86"/>
  <c r="C1521" i="86"/>
  <c r="C1520" i="86"/>
  <c r="C1519" i="86"/>
  <c r="C1518" i="86"/>
  <c r="C1517" i="86"/>
  <c r="C1516" i="86"/>
  <c r="C1515" i="86"/>
  <c r="C1514" i="86"/>
  <c r="C1513" i="86"/>
  <c r="C1512" i="86"/>
  <c r="C1511" i="86"/>
  <c r="C1510" i="86"/>
  <c r="C1509" i="86"/>
  <c r="C1508" i="86"/>
  <c r="C1507" i="86"/>
  <c r="C1506" i="86"/>
  <c r="C1505" i="86"/>
  <c r="C1504" i="86"/>
  <c r="C1503" i="86"/>
  <c r="C1502" i="86"/>
  <c r="C1501" i="86"/>
  <c r="C1500" i="86"/>
  <c r="C1499" i="86"/>
  <c r="C1498" i="86"/>
  <c r="C1497" i="86"/>
  <c r="C1496" i="86"/>
  <c r="C1495" i="86"/>
  <c r="C1494" i="86"/>
  <c r="C1493" i="86"/>
  <c r="C1492" i="86"/>
  <c r="C1491" i="86"/>
  <c r="C1490" i="86"/>
  <c r="C1489" i="86"/>
  <c r="C1488" i="86"/>
  <c r="C1487" i="86"/>
  <c r="C1486" i="86"/>
  <c r="C1485" i="86"/>
  <c r="C1484" i="86"/>
  <c r="C1483" i="86"/>
  <c r="C1482" i="86"/>
  <c r="C1481" i="86"/>
  <c r="C1480" i="86"/>
  <c r="C1479" i="86"/>
  <c r="C1478" i="86"/>
  <c r="C1477" i="86"/>
  <c r="C1476" i="86"/>
  <c r="C1475" i="86"/>
  <c r="C1474" i="86"/>
  <c r="C1473" i="86"/>
  <c r="C1472" i="86"/>
  <c r="C1471" i="86"/>
  <c r="C1470" i="86"/>
  <c r="C1469" i="86"/>
  <c r="C1468" i="86"/>
  <c r="C1467" i="86"/>
  <c r="C1466" i="86"/>
  <c r="C1465" i="86"/>
  <c r="C1464" i="86"/>
  <c r="C1463" i="86"/>
  <c r="C1462" i="86"/>
  <c r="C1461" i="86"/>
  <c r="C1460" i="86"/>
  <c r="C1459" i="86"/>
  <c r="C1458" i="86"/>
  <c r="C1457" i="86"/>
  <c r="C1456" i="86"/>
  <c r="C1455" i="86"/>
  <c r="C1454" i="86"/>
  <c r="C1453" i="86"/>
  <c r="C1452" i="86"/>
  <c r="C1451" i="86"/>
  <c r="C1450" i="86"/>
  <c r="C1449" i="86"/>
  <c r="C1448" i="86"/>
  <c r="C1447" i="86"/>
  <c r="C1446" i="86"/>
  <c r="C1445" i="86"/>
  <c r="C1444" i="86"/>
  <c r="C1443" i="86"/>
  <c r="C1442" i="86"/>
  <c r="C1441" i="86"/>
  <c r="C1440" i="86"/>
  <c r="C1439" i="86"/>
  <c r="C1438" i="86"/>
  <c r="C1437" i="86"/>
  <c r="C1436" i="86"/>
  <c r="C1435" i="86"/>
  <c r="C1434" i="86"/>
  <c r="C1433" i="86"/>
  <c r="C1432" i="86"/>
  <c r="C1431" i="86"/>
  <c r="C1430" i="86"/>
  <c r="C1429" i="86"/>
  <c r="C1428" i="86"/>
  <c r="C1427" i="86"/>
  <c r="C1426" i="86"/>
  <c r="C1425" i="86"/>
  <c r="C1424" i="86"/>
  <c r="C1423" i="86"/>
  <c r="C1422" i="86"/>
  <c r="C1421" i="86"/>
  <c r="C1420" i="86"/>
  <c r="C1419" i="86"/>
  <c r="C1418" i="86"/>
  <c r="C1417" i="86"/>
  <c r="C1416" i="86"/>
  <c r="C1415" i="86"/>
  <c r="C1414" i="86"/>
  <c r="C1413" i="86"/>
  <c r="C1412" i="86"/>
  <c r="C1411" i="86"/>
  <c r="C1410" i="86"/>
  <c r="C1409" i="86"/>
  <c r="C1408" i="86"/>
  <c r="C1407" i="86"/>
  <c r="C1406" i="86"/>
  <c r="C1405" i="86"/>
  <c r="C1404" i="86"/>
  <c r="C1403" i="86"/>
  <c r="C1402" i="86"/>
  <c r="C1401" i="86"/>
  <c r="C1400" i="86"/>
  <c r="C1399" i="86"/>
  <c r="C1398" i="86"/>
  <c r="C1397" i="86"/>
  <c r="C1396" i="86"/>
  <c r="C1395" i="86"/>
  <c r="C1394" i="86"/>
  <c r="C1393" i="86"/>
  <c r="C1392" i="86"/>
  <c r="C1391" i="86"/>
  <c r="C1390" i="86"/>
  <c r="C1389" i="86"/>
  <c r="C1388" i="86"/>
  <c r="C1387" i="86"/>
  <c r="C1386" i="86"/>
  <c r="C1385" i="86"/>
  <c r="C1384" i="86"/>
  <c r="C1383" i="86"/>
  <c r="C1382" i="86"/>
  <c r="C1381" i="86"/>
  <c r="C1380" i="86"/>
  <c r="C1379" i="86"/>
  <c r="C1378" i="86"/>
  <c r="C1377" i="86"/>
  <c r="C1376" i="86"/>
  <c r="C1375" i="86"/>
  <c r="C1374" i="86"/>
  <c r="C1373" i="86"/>
  <c r="C1372" i="86"/>
  <c r="C1371" i="86"/>
  <c r="C1370" i="86"/>
  <c r="C1369" i="86"/>
  <c r="C1368" i="86"/>
  <c r="C1367" i="86"/>
  <c r="C1366" i="86"/>
  <c r="C1365" i="86"/>
  <c r="C1364" i="86"/>
  <c r="C1363" i="86"/>
  <c r="C1362" i="86"/>
  <c r="C1361" i="86"/>
  <c r="C1360" i="86"/>
  <c r="C1359" i="86"/>
  <c r="C1358" i="86"/>
  <c r="C1357" i="86"/>
  <c r="C1356" i="86"/>
  <c r="C1355" i="86"/>
  <c r="C1354" i="86"/>
  <c r="C1353" i="86"/>
  <c r="C1352" i="86"/>
  <c r="C1351" i="86"/>
  <c r="C1350" i="86"/>
  <c r="C1349" i="86"/>
  <c r="C1348" i="86"/>
  <c r="C1347" i="86"/>
  <c r="C1346" i="86"/>
  <c r="C1345" i="86"/>
  <c r="C1344" i="86"/>
  <c r="C1343" i="86"/>
  <c r="C1342" i="86"/>
  <c r="C1341" i="86"/>
  <c r="C1340" i="86"/>
  <c r="C1339" i="86"/>
  <c r="C1338" i="86"/>
  <c r="C1337" i="86"/>
  <c r="C1336" i="86"/>
  <c r="C1335" i="86"/>
  <c r="C1334" i="86"/>
  <c r="C1333" i="86"/>
  <c r="C1332" i="86"/>
  <c r="C1331" i="86"/>
  <c r="C1330" i="86"/>
  <c r="C1329" i="86"/>
  <c r="C1328" i="86"/>
  <c r="C1327" i="86"/>
  <c r="C1326" i="86"/>
  <c r="C1325" i="86"/>
  <c r="C1324" i="86"/>
  <c r="C1323" i="86"/>
  <c r="C1322" i="86"/>
  <c r="C1321" i="86"/>
  <c r="C1320" i="86"/>
  <c r="C1319" i="86"/>
  <c r="C1318" i="86"/>
  <c r="C1317" i="86"/>
  <c r="C1316" i="86"/>
  <c r="C1315" i="86"/>
  <c r="C1314" i="86"/>
  <c r="C1313" i="86"/>
  <c r="C1312" i="86"/>
  <c r="C1311" i="86"/>
  <c r="C1310" i="86"/>
  <c r="C1309" i="86"/>
  <c r="C1308" i="86"/>
  <c r="C1307" i="86"/>
  <c r="C1306" i="86"/>
  <c r="C1305" i="86"/>
  <c r="C1304" i="86"/>
  <c r="C1303" i="86"/>
  <c r="C1302" i="86"/>
  <c r="C1301" i="86"/>
  <c r="C1300" i="86"/>
  <c r="C1299" i="86"/>
  <c r="C1298" i="86"/>
  <c r="C1297" i="86"/>
  <c r="C1296" i="86"/>
  <c r="C1295" i="86"/>
  <c r="C1294" i="86"/>
  <c r="C1293" i="86"/>
  <c r="C1292" i="86"/>
  <c r="C1291" i="86"/>
  <c r="C1290" i="86"/>
  <c r="C1289" i="86"/>
  <c r="C1288" i="86"/>
  <c r="C1287" i="86"/>
  <c r="C1286" i="86"/>
  <c r="C1285" i="86"/>
  <c r="C1284" i="86"/>
  <c r="C1283" i="86"/>
  <c r="C1282" i="86"/>
  <c r="C1281" i="86"/>
  <c r="C1280" i="86"/>
  <c r="C1279" i="86"/>
  <c r="C1278" i="86"/>
  <c r="C1277" i="86"/>
  <c r="C1276" i="86"/>
  <c r="C1275" i="86"/>
  <c r="C1274" i="86"/>
  <c r="C1273" i="86"/>
  <c r="C1272" i="86"/>
  <c r="C1271" i="86"/>
  <c r="C1270" i="86"/>
  <c r="C1269" i="86"/>
  <c r="C1268" i="86"/>
  <c r="C1267" i="86"/>
  <c r="C1266" i="86"/>
  <c r="C1265" i="86"/>
  <c r="C1264" i="86"/>
  <c r="C1263" i="86"/>
  <c r="C1262" i="86"/>
  <c r="C1261" i="86"/>
  <c r="C1260" i="86"/>
  <c r="C1259" i="86"/>
  <c r="C1258" i="86"/>
  <c r="C1257" i="86"/>
  <c r="C1256" i="86"/>
  <c r="C1255" i="86"/>
  <c r="C1254" i="86"/>
  <c r="C1253" i="86"/>
  <c r="C1252" i="86"/>
  <c r="C1251" i="86"/>
  <c r="C1250" i="86"/>
  <c r="C1249" i="86"/>
  <c r="C1248" i="86"/>
  <c r="C1247" i="86"/>
  <c r="C1246" i="86"/>
  <c r="C1245" i="86"/>
  <c r="C1244" i="86"/>
  <c r="C1243" i="86"/>
  <c r="C1242" i="86"/>
  <c r="C1241" i="86"/>
  <c r="C1240" i="86"/>
  <c r="C1239" i="86"/>
  <c r="C1238" i="86"/>
  <c r="C1237" i="86"/>
  <c r="C1236" i="86"/>
  <c r="C1235" i="86"/>
  <c r="C1234" i="86"/>
  <c r="C1233" i="86"/>
  <c r="C1232" i="86"/>
  <c r="C1231" i="86"/>
  <c r="C1230" i="86"/>
  <c r="C1229" i="86"/>
  <c r="C1228" i="86"/>
  <c r="C1227" i="86"/>
  <c r="C1226" i="86"/>
  <c r="C1225" i="86"/>
  <c r="C1224" i="86"/>
  <c r="C1223" i="86"/>
  <c r="C1222" i="86"/>
  <c r="C1221" i="86"/>
  <c r="C1220" i="86"/>
  <c r="C1219" i="86"/>
  <c r="C1218" i="86"/>
  <c r="C1217" i="86"/>
  <c r="C1216" i="86"/>
  <c r="C1215" i="86"/>
  <c r="C1214" i="86"/>
  <c r="C1213" i="86"/>
  <c r="C1212" i="86"/>
  <c r="C1211" i="86"/>
  <c r="C1210" i="86"/>
  <c r="C1209" i="86"/>
  <c r="C1208" i="86"/>
  <c r="C1207" i="86"/>
  <c r="C1206" i="86"/>
  <c r="C1205" i="86"/>
  <c r="C1204" i="86"/>
  <c r="C1203" i="86"/>
  <c r="C1202" i="86"/>
  <c r="C1201" i="86"/>
  <c r="C1200" i="86"/>
  <c r="C1199" i="86"/>
  <c r="C1198" i="86"/>
  <c r="C1197" i="86"/>
  <c r="C1196" i="86"/>
  <c r="C1195" i="86"/>
  <c r="C1194" i="86"/>
  <c r="C1193" i="86"/>
  <c r="C1192" i="86"/>
  <c r="C1191" i="86"/>
  <c r="C1190" i="86"/>
  <c r="C1189" i="86"/>
  <c r="C1188" i="86"/>
  <c r="C1187" i="86"/>
  <c r="C1186" i="86"/>
  <c r="C1185" i="86"/>
  <c r="C1184" i="86"/>
  <c r="C1183" i="86"/>
  <c r="C1182" i="86"/>
  <c r="C1181" i="86"/>
  <c r="C1180" i="86"/>
  <c r="C1179" i="86"/>
  <c r="C1178" i="86"/>
  <c r="C1177" i="86"/>
  <c r="C1176" i="86"/>
  <c r="C1175" i="86"/>
  <c r="C1174" i="86"/>
  <c r="C1173" i="86"/>
  <c r="C1172" i="86"/>
  <c r="C1171" i="86"/>
  <c r="C1170" i="86"/>
  <c r="C1169" i="86"/>
  <c r="C1168" i="86"/>
  <c r="C1167" i="86"/>
  <c r="C1166" i="86"/>
  <c r="C1165" i="86"/>
  <c r="C1164" i="86"/>
  <c r="C1163" i="86"/>
  <c r="C1162" i="86"/>
  <c r="C1161" i="86"/>
  <c r="C1160" i="86"/>
  <c r="C1159" i="86"/>
  <c r="C1158" i="86"/>
  <c r="C1157" i="86"/>
  <c r="C1156" i="86"/>
  <c r="C1155" i="86"/>
  <c r="C1154" i="86"/>
  <c r="C1153" i="86"/>
  <c r="C1152" i="86"/>
  <c r="C1151" i="86"/>
  <c r="C1150" i="86"/>
  <c r="C1149" i="86"/>
  <c r="C1148" i="86"/>
  <c r="C1147" i="86"/>
  <c r="C1146" i="86"/>
  <c r="C1145" i="86"/>
  <c r="C1144" i="86"/>
  <c r="C1143" i="86"/>
  <c r="C1142" i="86"/>
  <c r="C1141" i="86"/>
  <c r="C1140" i="86"/>
  <c r="C1139" i="86"/>
  <c r="C1138" i="86"/>
  <c r="C1137" i="86"/>
  <c r="C1136" i="86"/>
  <c r="C1135" i="86"/>
  <c r="C1134" i="86"/>
  <c r="C1133" i="86"/>
  <c r="C1132" i="86"/>
  <c r="C1131" i="86"/>
  <c r="C1130" i="86"/>
  <c r="C1129" i="86"/>
  <c r="C1128" i="86"/>
  <c r="C1127" i="86"/>
  <c r="C1126" i="86"/>
  <c r="C1125" i="86"/>
  <c r="C1124" i="86"/>
  <c r="C1123" i="86"/>
  <c r="C1122" i="86"/>
  <c r="C1121" i="86"/>
  <c r="C1120" i="86"/>
  <c r="C1119" i="86"/>
  <c r="C1118" i="86"/>
  <c r="C1117" i="86"/>
  <c r="C1116" i="86"/>
  <c r="C1115" i="86"/>
  <c r="C1114" i="86"/>
  <c r="C1113" i="86"/>
  <c r="C1112" i="86"/>
  <c r="C1111" i="86"/>
  <c r="C1110" i="86"/>
  <c r="C1109" i="86"/>
  <c r="C1108" i="86"/>
  <c r="C1107" i="86"/>
  <c r="C1106" i="86"/>
  <c r="C1105" i="86"/>
  <c r="C1104" i="86"/>
  <c r="C1103" i="86"/>
  <c r="C1102" i="86"/>
  <c r="C1101" i="86"/>
  <c r="C1100" i="86"/>
  <c r="C1099" i="86"/>
  <c r="C1098" i="86"/>
  <c r="C1097" i="86"/>
  <c r="C1096" i="86"/>
  <c r="C1095" i="86"/>
  <c r="C1094" i="86"/>
  <c r="C1093" i="86"/>
  <c r="C1092" i="86"/>
  <c r="C1091" i="86"/>
  <c r="C1090" i="86"/>
  <c r="C1089" i="86"/>
  <c r="C1088" i="86"/>
  <c r="C1087" i="86"/>
  <c r="C1086" i="86"/>
  <c r="C1085" i="86"/>
  <c r="C1084" i="86"/>
  <c r="C1083" i="86"/>
  <c r="C1082" i="86"/>
  <c r="C1081" i="86"/>
  <c r="C1080" i="86"/>
  <c r="C1079" i="86"/>
  <c r="C1078" i="86"/>
  <c r="C1077" i="86"/>
  <c r="C1076" i="86"/>
  <c r="C1075" i="86"/>
  <c r="C1074" i="86"/>
  <c r="C1073" i="86"/>
  <c r="C1072" i="86"/>
  <c r="C1071" i="86"/>
  <c r="C1070" i="86"/>
  <c r="C1069" i="86"/>
  <c r="C1068" i="86"/>
  <c r="C1067" i="86"/>
  <c r="C1066" i="86"/>
  <c r="C1065" i="86"/>
  <c r="C1064" i="86"/>
  <c r="C1063" i="86"/>
  <c r="C1062" i="86"/>
  <c r="C1061" i="86"/>
  <c r="C1060" i="86"/>
  <c r="C1059" i="86"/>
  <c r="C1058" i="86"/>
  <c r="C1057" i="86"/>
  <c r="C1056" i="86"/>
  <c r="C1055" i="86"/>
  <c r="C1054" i="86"/>
  <c r="C1053" i="86"/>
  <c r="C1052" i="86"/>
  <c r="C1051" i="86"/>
  <c r="C1050" i="86"/>
  <c r="C1049" i="86"/>
  <c r="C1048" i="86"/>
  <c r="C1047" i="86"/>
  <c r="C1046" i="86"/>
  <c r="C1045" i="86"/>
  <c r="C1044" i="86"/>
  <c r="C1043" i="86"/>
  <c r="C1042" i="86"/>
  <c r="C1041" i="86"/>
  <c r="C1040" i="86"/>
  <c r="C1039" i="86"/>
  <c r="C1038" i="86"/>
  <c r="C1037" i="86"/>
  <c r="C1036" i="86"/>
  <c r="C1035" i="86"/>
  <c r="C1034" i="86"/>
  <c r="C1033" i="86"/>
  <c r="C1032" i="86"/>
  <c r="C1031" i="86"/>
  <c r="C1030" i="86"/>
  <c r="C1029" i="86"/>
  <c r="C1028" i="86"/>
  <c r="C1027" i="86"/>
  <c r="C1026" i="86"/>
  <c r="C1025" i="86"/>
  <c r="C1024" i="86"/>
  <c r="C1023" i="86"/>
  <c r="C1022" i="86"/>
  <c r="C1021" i="86"/>
  <c r="C1020" i="86"/>
  <c r="C1019" i="86"/>
  <c r="C1018" i="86"/>
  <c r="C1017" i="86"/>
  <c r="C1016" i="86"/>
  <c r="C1015" i="86"/>
  <c r="C1014" i="86"/>
  <c r="C1013" i="86"/>
  <c r="C1012" i="86"/>
  <c r="C1011" i="86"/>
  <c r="C1010" i="86"/>
  <c r="C1009" i="86"/>
  <c r="C1008" i="86"/>
  <c r="C1007" i="86"/>
  <c r="C1006" i="86"/>
  <c r="C1005" i="86"/>
  <c r="C1004" i="86"/>
  <c r="C1003" i="86"/>
  <c r="C1002" i="86"/>
  <c r="C1001" i="86"/>
  <c r="C1000" i="86"/>
  <c r="C999" i="86"/>
  <c r="C998" i="86"/>
  <c r="C997" i="86"/>
  <c r="C996" i="86"/>
  <c r="C995" i="86"/>
  <c r="C994" i="86"/>
  <c r="C993" i="86"/>
  <c r="C992" i="86"/>
  <c r="C991" i="86"/>
  <c r="C990" i="86"/>
  <c r="C989" i="86"/>
  <c r="C988" i="86"/>
  <c r="C987" i="86"/>
  <c r="C986" i="86"/>
  <c r="C985" i="86"/>
  <c r="C984" i="86"/>
  <c r="C983" i="86"/>
  <c r="C982" i="86"/>
  <c r="C981" i="86"/>
  <c r="C980" i="86"/>
  <c r="C979" i="86"/>
  <c r="C978" i="86"/>
  <c r="C977" i="86"/>
  <c r="C976" i="86"/>
  <c r="C975" i="86"/>
  <c r="C974" i="86"/>
  <c r="C973" i="86"/>
  <c r="C972" i="86"/>
  <c r="C971" i="86"/>
  <c r="C970" i="86"/>
  <c r="C969" i="86"/>
  <c r="C968" i="86"/>
  <c r="C967" i="86"/>
  <c r="C966" i="86"/>
  <c r="C965" i="86"/>
  <c r="C964" i="86"/>
  <c r="C963" i="86"/>
  <c r="C962" i="86"/>
  <c r="C961" i="86"/>
  <c r="C960" i="86"/>
  <c r="C959" i="86"/>
  <c r="C958" i="86"/>
  <c r="C957" i="86"/>
  <c r="C956" i="86"/>
  <c r="C955" i="86"/>
  <c r="C954" i="86"/>
  <c r="C953" i="86"/>
  <c r="C952" i="86"/>
  <c r="C951" i="86"/>
  <c r="C950" i="86"/>
  <c r="C949" i="86"/>
  <c r="C948" i="86"/>
  <c r="C947" i="86"/>
  <c r="C946" i="86"/>
  <c r="C945" i="86"/>
  <c r="C944" i="86"/>
  <c r="C943" i="86"/>
  <c r="C942" i="86"/>
  <c r="C941" i="86"/>
  <c r="C940" i="86"/>
  <c r="C939" i="86"/>
  <c r="C938" i="86"/>
  <c r="C937" i="86"/>
  <c r="C936" i="86"/>
  <c r="C935" i="86"/>
  <c r="C934" i="86"/>
  <c r="C933" i="86"/>
  <c r="C932" i="86"/>
  <c r="C931" i="86"/>
  <c r="C930" i="86"/>
  <c r="C929" i="86"/>
  <c r="C928" i="86"/>
  <c r="C927" i="86"/>
  <c r="C926" i="86"/>
  <c r="C925" i="86"/>
  <c r="C924" i="86"/>
  <c r="C923" i="86"/>
  <c r="C922" i="86"/>
  <c r="C921" i="86"/>
  <c r="C920" i="86"/>
  <c r="C919" i="86"/>
  <c r="C918" i="86"/>
  <c r="C917" i="86"/>
  <c r="C916" i="86"/>
  <c r="C915" i="86"/>
  <c r="C914" i="86"/>
  <c r="C913" i="86"/>
  <c r="C912" i="86"/>
  <c r="C911" i="86"/>
  <c r="C910" i="86"/>
  <c r="C909" i="86"/>
  <c r="C908" i="86"/>
  <c r="C907" i="86"/>
  <c r="C906" i="86"/>
  <c r="C905" i="86"/>
  <c r="C904" i="86"/>
  <c r="C903" i="86"/>
  <c r="C902" i="86"/>
  <c r="C901" i="86"/>
  <c r="C900" i="86"/>
  <c r="C899" i="86"/>
  <c r="C898" i="86"/>
  <c r="C897" i="86"/>
  <c r="C896" i="86"/>
  <c r="C895" i="86"/>
  <c r="C894" i="86"/>
  <c r="C893" i="86"/>
  <c r="C892" i="86"/>
  <c r="C891" i="86"/>
  <c r="C890" i="86"/>
  <c r="C889" i="86"/>
  <c r="C888" i="86"/>
  <c r="C887" i="86"/>
  <c r="C886" i="86"/>
  <c r="C885" i="86"/>
  <c r="C884" i="86"/>
  <c r="C883" i="86"/>
  <c r="C882" i="86"/>
  <c r="C881" i="86"/>
  <c r="C880" i="86"/>
  <c r="C879" i="86"/>
  <c r="C878" i="86"/>
  <c r="C877" i="86"/>
  <c r="C876" i="86"/>
  <c r="C875" i="86"/>
  <c r="C874" i="86"/>
  <c r="C873" i="86"/>
  <c r="C872" i="86"/>
  <c r="C871" i="86"/>
  <c r="C870" i="86"/>
  <c r="C869" i="86"/>
  <c r="C868" i="86"/>
  <c r="C867" i="86"/>
  <c r="C866" i="86"/>
  <c r="C865" i="86"/>
  <c r="C864" i="86"/>
  <c r="C863" i="86"/>
  <c r="C862" i="86"/>
  <c r="C861" i="86"/>
  <c r="C860" i="86"/>
  <c r="C859" i="86"/>
  <c r="C858" i="86"/>
  <c r="C857" i="86"/>
  <c r="C856" i="86"/>
  <c r="C855" i="86"/>
  <c r="C854" i="86"/>
  <c r="C853" i="86"/>
  <c r="C852" i="86"/>
  <c r="C851" i="86"/>
  <c r="C850" i="86"/>
  <c r="C849" i="86"/>
  <c r="C848" i="86"/>
  <c r="C847" i="86"/>
  <c r="C846" i="86"/>
  <c r="C845" i="86"/>
  <c r="C844" i="86"/>
  <c r="C843" i="86"/>
  <c r="C842" i="86"/>
  <c r="C841" i="86"/>
  <c r="C840" i="86"/>
  <c r="C839" i="86"/>
  <c r="C838" i="86"/>
  <c r="C837" i="86"/>
  <c r="C836" i="86"/>
  <c r="C835" i="86"/>
  <c r="C834" i="86"/>
  <c r="C833" i="86"/>
  <c r="C832" i="86"/>
  <c r="C831" i="86"/>
  <c r="C830" i="86"/>
  <c r="C829" i="86"/>
  <c r="C828" i="86"/>
  <c r="C827" i="86"/>
  <c r="C826" i="86"/>
  <c r="C825" i="86"/>
  <c r="C824" i="86"/>
  <c r="C823" i="86"/>
  <c r="C822" i="86"/>
  <c r="C821" i="86"/>
  <c r="C820" i="86"/>
  <c r="C819" i="86"/>
  <c r="C818" i="86"/>
  <c r="C817" i="86"/>
  <c r="C816" i="86"/>
  <c r="C815" i="86"/>
  <c r="C814" i="86"/>
  <c r="C813" i="86"/>
  <c r="C812" i="86"/>
  <c r="C811" i="86"/>
  <c r="C810" i="86"/>
  <c r="C809" i="86"/>
  <c r="C808" i="86"/>
  <c r="C807" i="86"/>
  <c r="C806" i="86"/>
  <c r="C805" i="86"/>
  <c r="C804" i="86"/>
  <c r="C803" i="86"/>
  <c r="C802" i="86"/>
  <c r="C801" i="86"/>
  <c r="C800" i="86"/>
  <c r="C799" i="86"/>
  <c r="C798" i="86"/>
  <c r="C797" i="86"/>
  <c r="C796" i="86"/>
  <c r="C795" i="86"/>
  <c r="C794" i="86"/>
  <c r="C793" i="86"/>
  <c r="C792" i="86"/>
  <c r="C791" i="86"/>
  <c r="C790" i="86"/>
  <c r="C789" i="86"/>
  <c r="C788" i="86"/>
  <c r="C787" i="86"/>
  <c r="C786" i="86"/>
  <c r="C785" i="86"/>
  <c r="C784" i="86"/>
  <c r="C783" i="86"/>
  <c r="C782" i="86"/>
  <c r="C781" i="86"/>
  <c r="C780" i="86"/>
  <c r="C779" i="86"/>
  <c r="C778" i="86"/>
  <c r="C777" i="86"/>
  <c r="C776" i="86"/>
  <c r="C775" i="86"/>
  <c r="C774" i="86"/>
  <c r="C773" i="86"/>
  <c r="C772" i="86"/>
  <c r="C771" i="86"/>
  <c r="C770" i="86"/>
  <c r="C769" i="86"/>
  <c r="C768" i="86"/>
  <c r="C767" i="86"/>
  <c r="C766" i="86"/>
  <c r="C765" i="86"/>
  <c r="C764" i="86"/>
  <c r="C763" i="86"/>
  <c r="C762" i="86"/>
  <c r="C761" i="86"/>
  <c r="C760" i="86"/>
  <c r="C759" i="86"/>
  <c r="C758" i="86"/>
  <c r="C757" i="86"/>
  <c r="C756" i="86"/>
  <c r="C755" i="86"/>
  <c r="C754" i="86"/>
  <c r="C753" i="86"/>
  <c r="C752" i="86"/>
  <c r="C751" i="86"/>
  <c r="C750" i="86"/>
  <c r="C749" i="86"/>
  <c r="C748" i="86"/>
  <c r="C747" i="86"/>
  <c r="C746" i="86"/>
  <c r="C745" i="86"/>
  <c r="C744" i="86"/>
  <c r="C743" i="86"/>
  <c r="C742" i="86"/>
  <c r="C741" i="86"/>
  <c r="C740" i="86"/>
  <c r="C739" i="86"/>
  <c r="C738" i="86"/>
  <c r="C737" i="86"/>
  <c r="C736" i="86"/>
  <c r="C735" i="86"/>
  <c r="C734" i="86"/>
  <c r="C733" i="86"/>
  <c r="C732" i="86"/>
  <c r="C731" i="86"/>
  <c r="C730" i="86"/>
  <c r="C729" i="86"/>
  <c r="C728" i="86"/>
  <c r="C727" i="86"/>
  <c r="C726" i="86"/>
  <c r="C725" i="86"/>
  <c r="C724" i="86"/>
  <c r="C723" i="86"/>
  <c r="C722" i="86"/>
  <c r="C721" i="86"/>
  <c r="C720" i="86"/>
  <c r="C719" i="86"/>
  <c r="C718" i="86"/>
  <c r="C717" i="86"/>
  <c r="C716" i="86"/>
  <c r="C715" i="86"/>
  <c r="C714" i="86"/>
  <c r="C713" i="86"/>
  <c r="C712" i="86"/>
  <c r="C711" i="86"/>
  <c r="C710" i="86"/>
  <c r="C709" i="86"/>
  <c r="C708" i="86"/>
  <c r="C707" i="86"/>
  <c r="C706" i="86"/>
  <c r="C705" i="86"/>
  <c r="C704" i="86"/>
  <c r="C703" i="86"/>
  <c r="C702" i="86"/>
  <c r="C701" i="86"/>
  <c r="C700" i="86"/>
  <c r="C699" i="86"/>
  <c r="C698" i="86"/>
  <c r="C697" i="86"/>
  <c r="C696" i="86"/>
  <c r="C695" i="86"/>
  <c r="C694" i="86"/>
  <c r="C693" i="86"/>
  <c r="C692" i="86"/>
  <c r="C691" i="86"/>
  <c r="C690" i="86"/>
  <c r="C689" i="86"/>
  <c r="C688" i="86"/>
  <c r="C687" i="86"/>
  <c r="C686" i="86"/>
  <c r="C685" i="86"/>
  <c r="C684" i="86"/>
  <c r="C683" i="86"/>
  <c r="C682" i="86"/>
  <c r="C681" i="86"/>
  <c r="C680" i="86"/>
  <c r="C679" i="86"/>
  <c r="C678" i="86"/>
  <c r="C677" i="86"/>
  <c r="C676" i="86"/>
  <c r="C675" i="86"/>
  <c r="C674" i="86"/>
  <c r="C673" i="86"/>
  <c r="C672" i="86"/>
  <c r="C671" i="86"/>
  <c r="C670" i="86"/>
  <c r="C669" i="86"/>
  <c r="C668" i="86"/>
  <c r="C667" i="86"/>
  <c r="C666" i="86"/>
  <c r="C665" i="86"/>
  <c r="C664" i="86"/>
  <c r="C663" i="86"/>
  <c r="C662" i="86"/>
  <c r="C661" i="86"/>
  <c r="C660" i="86"/>
  <c r="C659" i="86"/>
  <c r="C658" i="86"/>
  <c r="C657" i="86"/>
  <c r="C656" i="86"/>
  <c r="C655" i="86"/>
  <c r="C654" i="86"/>
  <c r="C653" i="86"/>
  <c r="C652" i="86"/>
  <c r="C651" i="86"/>
  <c r="C650" i="86"/>
  <c r="C649" i="86"/>
  <c r="C648" i="86"/>
  <c r="C647" i="86"/>
  <c r="C646" i="86"/>
  <c r="C645" i="86"/>
  <c r="C644" i="86"/>
  <c r="C643" i="86"/>
  <c r="C642" i="86"/>
  <c r="C641" i="86"/>
  <c r="C640" i="86"/>
  <c r="C639" i="86"/>
  <c r="C638" i="86"/>
  <c r="C637" i="86"/>
  <c r="C636" i="86"/>
  <c r="C635" i="86"/>
  <c r="C634" i="86"/>
  <c r="C633" i="86"/>
  <c r="C632" i="86"/>
  <c r="C631" i="86"/>
  <c r="C630" i="86"/>
  <c r="C629" i="86"/>
  <c r="C628" i="86"/>
  <c r="C627" i="86"/>
  <c r="C626" i="86"/>
  <c r="C625" i="86"/>
  <c r="C624" i="86"/>
  <c r="C623" i="86"/>
  <c r="C622" i="86"/>
  <c r="C621" i="86"/>
  <c r="C620" i="86"/>
  <c r="C619" i="86"/>
  <c r="C618" i="86"/>
  <c r="C617" i="86"/>
  <c r="C616" i="86"/>
  <c r="C615" i="86"/>
  <c r="C614" i="86"/>
  <c r="C613" i="86"/>
  <c r="C612" i="86"/>
  <c r="C611" i="86"/>
  <c r="C610" i="86"/>
  <c r="C609" i="86"/>
  <c r="C608" i="86"/>
  <c r="C607" i="86"/>
  <c r="C606" i="86"/>
  <c r="C605" i="86"/>
  <c r="C604" i="86"/>
  <c r="C603" i="86"/>
  <c r="C602" i="86"/>
  <c r="C601" i="86"/>
  <c r="C600" i="86"/>
  <c r="C599" i="86"/>
  <c r="C598" i="86"/>
  <c r="C597" i="86"/>
  <c r="C596" i="86"/>
  <c r="C595" i="86"/>
  <c r="C594" i="86"/>
  <c r="C593" i="86"/>
  <c r="C592" i="86"/>
  <c r="C591" i="86"/>
  <c r="C590" i="86"/>
  <c r="C589" i="86"/>
  <c r="C588" i="86"/>
  <c r="C587" i="86"/>
  <c r="C586" i="86"/>
  <c r="C585" i="86"/>
  <c r="C584" i="86"/>
  <c r="C583" i="86"/>
  <c r="C582" i="86"/>
  <c r="C581" i="86"/>
  <c r="C580" i="86"/>
  <c r="C579" i="86"/>
  <c r="C578" i="86"/>
  <c r="C577" i="86"/>
  <c r="C576" i="86"/>
  <c r="C575" i="86"/>
  <c r="C574" i="86"/>
  <c r="C573" i="86"/>
  <c r="C572" i="86"/>
  <c r="C571" i="86"/>
  <c r="C570" i="86"/>
  <c r="C569" i="86"/>
  <c r="C568" i="86"/>
  <c r="C567" i="86"/>
  <c r="C566" i="86"/>
  <c r="C565" i="86"/>
  <c r="C564" i="86"/>
  <c r="C563" i="86"/>
  <c r="C562" i="86"/>
  <c r="C561" i="86"/>
  <c r="C560" i="86"/>
  <c r="C559" i="86"/>
  <c r="C558" i="86"/>
  <c r="C557" i="86"/>
  <c r="C556" i="86"/>
  <c r="C555" i="86"/>
  <c r="C554" i="86"/>
  <c r="C553" i="86"/>
  <c r="C552" i="86"/>
  <c r="C551" i="86"/>
  <c r="C550" i="86"/>
  <c r="C549" i="86"/>
  <c r="C548" i="86"/>
  <c r="C547" i="86"/>
  <c r="C546" i="86"/>
  <c r="C545" i="86"/>
  <c r="C544" i="86"/>
  <c r="C543" i="86"/>
  <c r="C542" i="86"/>
  <c r="C541" i="86"/>
  <c r="C540" i="86"/>
  <c r="C539" i="86"/>
  <c r="C538" i="86"/>
  <c r="C537" i="86"/>
  <c r="C536" i="86"/>
  <c r="C535" i="86"/>
  <c r="C534" i="86"/>
  <c r="C533" i="86"/>
  <c r="C532" i="86"/>
  <c r="C531" i="86"/>
  <c r="C530" i="86"/>
  <c r="C529" i="86"/>
  <c r="C528" i="86"/>
  <c r="C527" i="86"/>
  <c r="C526" i="86"/>
  <c r="C525" i="86"/>
  <c r="C524" i="86"/>
  <c r="C523" i="86"/>
  <c r="C522" i="86"/>
  <c r="C521" i="86"/>
  <c r="C520" i="86"/>
  <c r="C519" i="86"/>
  <c r="C518" i="86"/>
  <c r="C517" i="86"/>
  <c r="C516" i="86"/>
  <c r="C515" i="86"/>
  <c r="C514" i="86"/>
  <c r="C513" i="86"/>
  <c r="C512" i="86"/>
  <c r="C511" i="86"/>
  <c r="C510" i="86"/>
  <c r="C509" i="86"/>
  <c r="C508" i="86"/>
  <c r="C507" i="86"/>
  <c r="C506" i="86"/>
  <c r="C505" i="86"/>
  <c r="C504" i="86"/>
  <c r="C503" i="86"/>
  <c r="C502" i="86"/>
  <c r="C501" i="86"/>
  <c r="C500" i="86"/>
  <c r="C499" i="86"/>
  <c r="C498" i="86"/>
  <c r="C497" i="86"/>
  <c r="C496" i="86"/>
  <c r="C495" i="86"/>
  <c r="C494" i="86"/>
  <c r="C493" i="86"/>
  <c r="C492" i="86"/>
  <c r="C491" i="86"/>
  <c r="C490" i="86"/>
  <c r="C489" i="86"/>
  <c r="C488" i="86"/>
  <c r="C487" i="86"/>
  <c r="C486" i="86"/>
  <c r="C485" i="86"/>
  <c r="C484" i="86"/>
  <c r="C483" i="86"/>
  <c r="C482" i="86"/>
  <c r="C481" i="86"/>
  <c r="C480" i="86"/>
  <c r="C479" i="86"/>
  <c r="C478" i="86"/>
  <c r="C477" i="86"/>
  <c r="C476" i="86"/>
  <c r="C475" i="86"/>
  <c r="C474" i="86"/>
  <c r="C473" i="86"/>
  <c r="C472" i="86"/>
  <c r="C471" i="86"/>
  <c r="C470" i="86"/>
  <c r="C469" i="86"/>
  <c r="C468" i="86"/>
  <c r="C467" i="86"/>
  <c r="C466" i="86"/>
  <c r="C465" i="86"/>
  <c r="C464" i="86"/>
  <c r="C463" i="86"/>
  <c r="C462" i="86"/>
  <c r="C461" i="86"/>
  <c r="C460" i="86"/>
  <c r="C459" i="86"/>
  <c r="C458" i="86"/>
  <c r="C457" i="86"/>
  <c r="C456" i="86"/>
  <c r="C455" i="86"/>
  <c r="C454" i="86"/>
  <c r="C453" i="86"/>
  <c r="C452" i="86"/>
  <c r="C451" i="86"/>
  <c r="C450" i="86"/>
  <c r="C449" i="86"/>
  <c r="C448" i="86"/>
  <c r="C447" i="86"/>
  <c r="C446" i="86"/>
  <c r="C445" i="86"/>
  <c r="C444" i="86"/>
  <c r="C443" i="86"/>
  <c r="C442" i="86"/>
  <c r="C441" i="86"/>
  <c r="C440" i="86"/>
  <c r="C439" i="86"/>
  <c r="C438" i="86"/>
  <c r="C437" i="86"/>
  <c r="C436" i="86"/>
  <c r="C435" i="86"/>
  <c r="C434" i="86"/>
  <c r="C433" i="86"/>
  <c r="C432" i="86"/>
  <c r="C431" i="86"/>
  <c r="C430" i="86"/>
  <c r="C429" i="86"/>
  <c r="C428" i="86"/>
  <c r="C427" i="86"/>
  <c r="C426" i="86"/>
  <c r="C425" i="86"/>
  <c r="C424" i="86"/>
  <c r="C423" i="86"/>
  <c r="C422" i="86"/>
  <c r="C421" i="86"/>
  <c r="C420" i="86"/>
  <c r="C419" i="86"/>
  <c r="C418" i="86"/>
  <c r="C417" i="86"/>
  <c r="C416" i="86"/>
  <c r="C415" i="86"/>
  <c r="C414" i="86"/>
  <c r="C413" i="86"/>
  <c r="C412" i="86"/>
  <c r="C411" i="86"/>
  <c r="C410" i="86"/>
  <c r="C409" i="86"/>
  <c r="C408" i="86"/>
  <c r="C407" i="86"/>
  <c r="C406" i="86"/>
  <c r="C405" i="86"/>
  <c r="C404" i="86"/>
  <c r="C403" i="86"/>
  <c r="C402" i="86"/>
  <c r="C401" i="86"/>
  <c r="C400" i="86"/>
  <c r="C399" i="86"/>
  <c r="C398" i="86"/>
  <c r="C397" i="86"/>
  <c r="C396" i="86"/>
  <c r="C395" i="86"/>
  <c r="C394" i="86"/>
  <c r="C393" i="86"/>
  <c r="C392" i="86"/>
  <c r="C391" i="86"/>
  <c r="C390" i="86"/>
  <c r="C389" i="86"/>
  <c r="C388" i="86"/>
  <c r="C387" i="86"/>
  <c r="C386" i="86"/>
  <c r="C385" i="86"/>
  <c r="C384" i="86"/>
  <c r="C383" i="86"/>
  <c r="C382" i="86"/>
  <c r="C381" i="86"/>
  <c r="C380" i="86"/>
  <c r="C379" i="86"/>
  <c r="C378" i="86"/>
  <c r="C377" i="86"/>
  <c r="C376" i="86"/>
  <c r="C375" i="86"/>
  <c r="C374" i="86"/>
  <c r="C373" i="86"/>
  <c r="C372" i="86"/>
  <c r="C371" i="86"/>
  <c r="C370" i="86"/>
  <c r="C369" i="86"/>
  <c r="C368" i="86"/>
  <c r="C367" i="86"/>
  <c r="C366" i="86"/>
  <c r="C365" i="86"/>
  <c r="C364" i="86"/>
  <c r="C363" i="86"/>
  <c r="C362" i="86"/>
  <c r="C361" i="86"/>
  <c r="C360" i="86"/>
  <c r="C359" i="86"/>
  <c r="C358" i="86"/>
  <c r="C357" i="86"/>
  <c r="C356" i="86"/>
  <c r="C355" i="86"/>
  <c r="C354" i="86"/>
  <c r="C353" i="86"/>
  <c r="C352" i="86"/>
  <c r="C351" i="86"/>
  <c r="C350" i="86"/>
  <c r="C349" i="86"/>
  <c r="C348" i="86"/>
  <c r="C347" i="86"/>
  <c r="C346" i="86"/>
  <c r="C345" i="86"/>
  <c r="C344" i="86"/>
  <c r="C343" i="86"/>
  <c r="C342" i="86"/>
  <c r="C341" i="86"/>
  <c r="C340" i="86"/>
  <c r="C339" i="86"/>
  <c r="C338" i="86"/>
  <c r="C337" i="86"/>
  <c r="C336" i="86"/>
  <c r="C335" i="86"/>
  <c r="C334" i="86"/>
  <c r="C333" i="86"/>
  <c r="C332" i="86"/>
  <c r="C331" i="86"/>
  <c r="C330" i="86"/>
  <c r="C329" i="86"/>
  <c r="C328" i="86"/>
  <c r="C327" i="86"/>
  <c r="C326" i="86"/>
  <c r="C325" i="86"/>
  <c r="C324" i="86"/>
  <c r="C323" i="86"/>
  <c r="C322" i="86"/>
  <c r="C321" i="86"/>
  <c r="C320" i="86"/>
  <c r="C319" i="86"/>
  <c r="C318" i="86"/>
  <c r="C317" i="86"/>
  <c r="C316" i="86"/>
  <c r="C315" i="86"/>
  <c r="C314" i="86"/>
  <c r="C313" i="86"/>
  <c r="C312" i="86"/>
  <c r="C311" i="86"/>
  <c r="C310" i="86"/>
  <c r="C309" i="86"/>
  <c r="C308" i="86"/>
  <c r="C307" i="86"/>
  <c r="C306" i="86"/>
  <c r="C305" i="86"/>
  <c r="C304" i="86"/>
  <c r="C303" i="86"/>
  <c r="C302" i="86"/>
  <c r="C301" i="86"/>
  <c r="C300" i="86"/>
  <c r="C299" i="86"/>
  <c r="C298" i="86"/>
  <c r="C297" i="86"/>
  <c r="C296" i="86"/>
  <c r="C295" i="86"/>
  <c r="C294" i="86"/>
  <c r="C293" i="86"/>
  <c r="C292" i="86"/>
  <c r="C291" i="86"/>
  <c r="C290" i="86"/>
  <c r="C289" i="86"/>
  <c r="C288" i="86"/>
  <c r="C287" i="86"/>
  <c r="C286" i="86"/>
  <c r="C285" i="86"/>
  <c r="C284" i="86"/>
  <c r="C283" i="86"/>
  <c r="C282" i="86"/>
  <c r="C281" i="86"/>
  <c r="C280" i="86"/>
  <c r="C279" i="86"/>
  <c r="C278" i="86"/>
  <c r="C277" i="86"/>
  <c r="C276" i="86"/>
  <c r="C275" i="86"/>
  <c r="C274" i="86"/>
  <c r="C273" i="86"/>
  <c r="C272" i="86"/>
  <c r="C271" i="86"/>
  <c r="C270" i="86"/>
  <c r="C269" i="86"/>
  <c r="C268" i="86"/>
  <c r="C267" i="86"/>
  <c r="C266" i="86"/>
  <c r="C265" i="86"/>
  <c r="C264" i="86"/>
  <c r="C263" i="86"/>
  <c r="C262" i="86"/>
  <c r="C261" i="86"/>
  <c r="C260" i="86"/>
  <c r="C259" i="86"/>
  <c r="C258" i="86"/>
  <c r="C257" i="86"/>
  <c r="C256" i="86"/>
  <c r="C255" i="86"/>
  <c r="C254" i="86"/>
  <c r="C253" i="86"/>
  <c r="C252" i="86"/>
  <c r="C251" i="86"/>
  <c r="C250" i="86"/>
  <c r="C249" i="86"/>
  <c r="C248" i="86"/>
  <c r="C247" i="86"/>
  <c r="C246" i="86"/>
  <c r="C245" i="86"/>
  <c r="C244" i="86"/>
  <c r="C243" i="86"/>
  <c r="C242" i="86"/>
  <c r="C241" i="86"/>
  <c r="C240" i="86"/>
  <c r="C239" i="86"/>
  <c r="C238" i="86"/>
  <c r="C237" i="86"/>
  <c r="C236" i="86"/>
  <c r="C235" i="86"/>
  <c r="C234" i="86"/>
  <c r="C233" i="86"/>
  <c r="C232" i="86"/>
  <c r="C231" i="86"/>
  <c r="C230" i="86"/>
  <c r="C229" i="86"/>
  <c r="C228" i="86"/>
  <c r="C227" i="86"/>
  <c r="C226" i="86"/>
  <c r="C225" i="86"/>
  <c r="C224" i="86"/>
  <c r="C223" i="86"/>
  <c r="C222" i="86"/>
  <c r="C221" i="86"/>
  <c r="C220" i="86"/>
  <c r="C219" i="86"/>
  <c r="C218" i="86"/>
  <c r="C217" i="86"/>
  <c r="C216" i="86"/>
  <c r="C215" i="86"/>
  <c r="C214" i="86"/>
  <c r="C213" i="86"/>
  <c r="C212" i="86"/>
  <c r="C211" i="86"/>
  <c r="C210" i="86"/>
  <c r="C209" i="86"/>
  <c r="C208" i="86"/>
  <c r="C207" i="86"/>
  <c r="C206" i="86"/>
  <c r="C205" i="86"/>
  <c r="C204" i="86"/>
  <c r="C203" i="86"/>
  <c r="C202" i="86"/>
  <c r="C201" i="86"/>
  <c r="C200" i="86"/>
  <c r="C199" i="86"/>
  <c r="C198" i="86"/>
  <c r="C197" i="86"/>
  <c r="C196" i="86"/>
  <c r="C195" i="86"/>
  <c r="C194" i="86"/>
  <c r="C193" i="86"/>
  <c r="C192" i="86"/>
  <c r="C191" i="86"/>
  <c r="C190" i="86"/>
  <c r="C189" i="86"/>
  <c r="C188" i="86"/>
  <c r="C187" i="86"/>
  <c r="C186" i="86"/>
  <c r="C185" i="86"/>
  <c r="C184" i="86"/>
  <c r="C183" i="86"/>
  <c r="C182" i="86"/>
  <c r="C181" i="86"/>
  <c r="C180" i="86"/>
  <c r="C179" i="86"/>
  <c r="C178" i="86"/>
  <c r="C177" i="86"/>
  <c r="C176" i="86"/>
  <c r="C175" i="86"/>
  <c r="C174" i="86"/>
  <c r="C173" i="86"/>
  <c r="C172" i="86"/>
  <c r="C171" i="86"/>
  <c r="C170" i="86"/>
  <c r="C169" i="86"/>
  <c r="C168" i="86"/>
  <c r="C167" i="86"/>
  <c r="C166" i="86"/>
  <c r="C165" i="86"/>
  <c r="C164" i="86"/>
  <c r="C163" i="86"/>
  <c r="C162" i="86"/>
  <c r="C161" i="86"/>
  <c r="C160" i="86"/>
  <c r="C159" i="86"/>
  <c r="C158" i="86"/>
  <c r="C157" i="86"/>
  <c r="C156" i="86"/>
  <c r="C155" i="86"/>
  <c r="C154" i="86"/>
  <c r="C153" i="86"/>
  <c r="C152" i="86"/>
  <c r="C151" i="86"/>
  <c r="C150" i="86"/>
  <c r="C149" i="86"/>
  <c r="C148" i="86"/>
  <c r="C147" i="86"/>
  <c r="C146" i="86"/>
  <c r="C145" i="86"/>
  <c r="C144" i="86"/>
  <c r="C143" i="86"/>
  <c r="C142" i="86"/>
  <c r="C141" i="86"/>
  <c r="C140" i="86"/>
  <c r="C139" i="86"/>
  <c r="C138" i="86"/>
  <c r="C137" i="86"/>
  <c r="C136" i="86"/>
  <c r="C135" i="86"/>
  <c r="C134" i="86"/>
  <c r="C133" i="86"/>
  <c r="C132" i="86"/>
  <c r="C131" i="86"/>
  <c r="C130" i="86"/>
  <c r="C129" i="86"/>
  <c r="C128" i="86"/>
  <c r="C127" i="86"/>
  <c r="C126" i="86"/>
  <c r="C125" i="86"/>
  <c r="C124" i="86"/>
  <c r="C123" i="86"/>
  <c r="C122" i="86"/>
  <c r="C121" i="86"/>
  <c r="C120" i="86"/>
  <c r="C119" i="86"/>
  <c r="C118" i="86"/>
  <c r="C117" i="86"/>
  <c r="C116" i="86"/>
  <c r="C115" i="86"/>
  <c r="C114" i="86"/>
  <c r="C113" i="86"/>
  <c r="C112" i="86"/>
  <c r="C111" i="86"/>
  <c r="C110" i="86"/>
  <c r="C109" i="86"/>
  <c r="C108" i="86"/>
  <c r="C107" i="86"/>
  <c r="C106" i="86"/>
  <c r="C105" i="86"/>
  <c r="C104" i="86"/>
  <c r="C103" i="86"/>
  <c r="C102" i="86"/>
  <c r="C101" i="86"/>
  <c r="C100" i="86"/>
  <c r="C99" i="86"/>
  <c r="C98" i="86"/>
  <c r="C97" i="86"/>
  <c r="C96" i="86"/>
  <c r="C95" i="86"/>
  <c r="C94" i="86"/>
  <c r="C93" i="86"/>
  <c r="C92" i="86"/>
  <c r="C91" i="86"/>
  <c r="C90" i="86"/>
  <c r="C89" i="86"/>
  <c r="C88" i="86"/>
  <c r="C87" i="86"/>
  <c r="C86" i="86"/>
  <c r="C85" i="86"/>
  <c r="C84" i="86"/>
  <c r="C83" i="86"/>
  <c r="C82" i="86"/>
  <c r="C81" i="86"/>
  <c r="C80" i="86"/>
  <c r="C79" i="86"/>
  <c r="C78" i="86"/>
  <c r="C77" i="86"/>
  <c r="C76" i="86"/>
  <c r="C75" i="86"/>
  <c r="C74" i="86"/>
  <c r="C73" i="86"/>
  <c r="C72" i="86"/>
  <c r="C71" i="86"/>
  <c r="C70" i="86"/>
  <c r="C69" i="86"/>
  <c r="C68" i="86"/>
  <c r="C67" i="86"/>
  <c r="C66" i="86"/>
  <c r="C65" i="86"/>
  <c r="C64" i="86"/>
  <c r="C63" i="86"/>
  <c r="C62" i="86"/>
  <c r="C61" i="86"/>
  <c r="C60" i="86"/>
  <c r="C59" i="86"/>
  <c r="C58" i="86"/>
  <c r="C57" i="86"/>
  <c r="C56" i="86"/>
  <c r="C55" i="86"/>
  <c r="C54" i="86"/>
  <c r="C53" i="86"/>
  <c r="C52" i="86"/>
  <c r="C51" i="86"/>
  <c r="C50" i="86"/>
  <c r="C49" i="86"/>
  <c r="C48" i="86"/>
  <c r="C47" i="86"/>
  <c r="C46" i="86"/>
  <c r="C45" i="86"/>
  <c r="C44" i="86"/>
  <c r="C43" i="86"/>
  <c r="C42" i="86"/>
  <c r="C41" i="86"/>
  <c r="C40" i="86"/>
  <c r="C39" i="86"/>
  <c r="C38" i="86"/>
  <c r="C37" i="86"/>
  <c r="C36" i="86"/>
  <c r="C35" i="86"/>
  <c r="C34" i="86"/>
  <c r="C33" i="86"/>
  <c r="C32" i="86"/>
  <c r="C31" i="86"/>
  <c r="C30" i="86"/>
  <c r="C29" i="86"/>
  <c r="C28" i="86"/>
  <c r="C27" i="86"/>
  <c r="C26" i="86"/>
  <c r="C25" i="86"/>
  <c r="C24" i="86"/>
  <c r="C23" i="86"/>
  <c r="C22" i="86"/>
  <c r="C21" i="86"/>
  <c r="C20" i="86"/>
  <c r="C19" i="86"/>
  <c r="C18" i="86"/>
  <c r="C17" i="86"/>
  <c r="C16" i="86"/>
  <c r="C15" i="86"/>
  <c r="C14" i="86"/>
  <c r="C13" i="86"/>
  <c r="C12" i="86"/>
  <c r="C11" i="86"/>
  <c r="C10" i="86"/>
  <c r="C9" i="86"/>
  <c r="C8" i="86"/>
  <c r="C7" i="86"/>
  <c r="C6" i="86"/>
  <c r="C5" i="86"/>
  <c r="C4" i="86"/>
  <c r="C3" i="86"/>
  <c r="G41" i="99" l="1"/>
  <c r="H41" i="99"/>
  <c r="C41" i="99" a="1"/>
  <c r="C41" i="99" s="1"/>
  <c r="I41" i="99"/>
  <c r="I60" i="99" s="1"/>
  <c r="K371" i="45"/>
  <c r="K493" i="45" s="1"/>
  <c r="L371" i="45"/>
  <c r="L493" i="45" s="1"/>
  <c r="O371" i="45"/>
  <c r="O493" i="45" s="1"/>
  <c r="J371" i="45"/>
  <c r="BM52" i="87"/>
  <c r="BL54" i="87"/>
  <c r="F317" i="74"/>
  <c r="F316" i="74"/>
  <c r="F315" i="74"/>
  <c r="F314" i="74"/>
  <c r="F313" i="74"/>
  <c r="F312" i="74"/>
  <c r="F311" i="74"/>
  <c r="F310" i="74"/>
  <c r="F309" i="74"/>
  <c r="E309" i="74"/>
  <c r="E312" i="74"/>
  <c r="E306" i="74"/>
  <c r="E41" i="99" l="1"/>
  <c r="E60" i="99" s="1"/>
  <c r="D41" i="99"/>
  <c r="J493" i="45"/>
  <c r="BN52" i="87"/>
  <c r="BM54" i="87"/>
  <c r="C152" i="84"/>
  <c r="BO52" i="87" l="1"/>
  <c r="BN54" i="87"/>
  <c r="S56" i="45"/>
  <c r="S58" i="45" s="1"/>
  <c r="S54" i="45"/>
  <c r="R56" i="45"/>
  <c r="R58" i="45" s="1"/>
  <c r="Q56" i="45"/>
  <c r="Q58" i="45" s="1"/>
  <c r="Q54" i="45"/>
  <c r="R54" i="45"/>
  <c r="O54" i="45"/>
  <c r="N54" i="45"/>
  <c r="L54" i="45"/>
  <c r="K54" i="45"/>
  <c r="J54" i="45"/>
  <c r="L10" i="45"/>
  <c r="K10" i="45"/>
  <c r="J10" i="45"/>
  <c r="O10" i="45"/>
  <c r="N10" i="45"/>
  <c r="S10" i="45"/>
  <c r="R10" i="45"/>
  <c r="Q10" i="45"/>
  <c r="BP52" i="87" l="1"/>
  <c r="BO54" i="87"/>
  <c r="N77" i="45"/>
  <c r="N81" i="45"/>
  <c r="S81" i="45"/>
  <c r="S77" i="45"/>
  <c r="J77" i="45"/>
  <c r="J81" i="45"/>
  <c r="K81" i="45"/>
  <c r="K77" i="45"/>
  <c r="L81" i="45"/>
  <c r="L77" i="45"/>
  <c r="R81" i="45"/>
  <c r="R77" i="45"/>
  <c r="Q80" i="45"/>
  <c r="Q83" i="45"/>
  <c r="R80" i="45"/>
  <c r="R83" i="45"/>
  <c r="O81" i="45"/>
  <c r="O77" i="45"/>
  <c r="S83" i="45"/>
  <c r="S80" i="45"/>
  <c r="Q81" i="45"/>
  <c r="Q77" i="45"/>
  <c r="I108" i="12"/>
  <c r="G108" i="12"/>
  <c r="I103" i="12"/>
  <c r="G103" i="12"/>
  <c r="S378" i="45"/>
  <c r="R378" i="45"/>
  <c r="S377" i="45"/>
  <c r="G377" i="45" s="1"/>
  <c r="R377" i="45"/>
  <c r="Q378" i="45"/>
  <c r="G378" i="45" s="1"/>
  <c r="S109" i="45"/>
  <c r="R109" i="45"/>
  <c r="Q109" i="45"/>
  <c r="S108" i="45"/>
  <c r="R108" i="45"/>
  <c r="Q108" i="45"/>
  <c r="R403" i="45" l="1"/>
  <c r="L393" i="45"/>
  <c r="L392" i="45" s="1"/>
  <c r="Q403" i="45"/>
  <c r="Q393" i="45"/>
  <c r="Q392" i="45" s="1"/>
  <c r="S403" i="45"/>
  <c r="O393" i="45"/>
  <c r="O392" i="45" s="1"/>
  <c r="O403" i="45"/>
  <c r="N393" i="45"/>
  <c r="N392" i="45" s="1"/>
  <c r="N403" i="45"/>
  <c r="K393" i="45"/>
  <c r="K392" i="45" s="1"/>
  <c r="L403" i="45"/>
  <c r="J393" i="45"/>
  <c r="J392" i="45" s="1"/>
  <c r="R393" i="45"/>
  <c r="R392" i="45" s="1"/>
  <c r="S393" i="45"/>
  <c r="S392" i="45" s="1"/>
  <c r="K403" i="45"/>
  <c r="J403" i="45"/>
  <c r="G109" i="45"/>
  <c r="O117" i="45" s="1"/>
  <c r="Q99" i="45"/>
  <c r="Q34" i="45"/>
  <c r="Q252" i="45" s="1"/>
  <c r="R99" i="45"/>
  <c r="R371" i="45" s="1"/>
  <c r="R493" i="45" s="1"/>
  <c r="R34" i="45"/>
  <c r="S34" i="45"/>
  <c r="S252" i="45" s="1"/>
  <c r="S99" i="45"/>
  <c r="S371" i="45" s="1"/>
  <c r="S493" i="45" s="1"/>
  <c r="BQ52" i="87"/>
  <c r="BP54" i="87"/>
  <c r="B22" i="76"/>
  <c r="J117" i="45" l="1"/>
  <c r="N117" i="45"/>
  <c r="G117" i="45" s="1"/>
  <c r="S117" i="45"/>
  <c r="R117" i="45"/>
  <c r="K117" i="45"/>
  <c r="Q117" i="45"/>
  <c r="L117" i="45"/>
  <c r="D17" i="12"/>
  <c r="D42" i="12" s="1"/>
  <c r="Q371" i="45"/>
  <c r="BR52" i="87"/>
  <c r="BQ54" i="87"/>
  <c r="U17" i="33"/>
  <c r="F413" i="45" s="1"/>
  <c r="F383" i="74" s="1"/>
  <c r="U18" i="33"/>
  <c r="F414" i="45" s="1"/>
  <c r="F378" i="74" s="1"/>
  <c r="S18" i="33"/>
  <c r="E414" i="45" s="1"/>
  <c r="E378" i="74" s="1"/>
  <c r="S17" i="33"/>
  <c r="E413" i="45" s="1"/>
  <c r="E383" i="74" s="1"/>
  <c r="P13" i="34"/>
  <c r="E440" i="45" s="1"/>
  <c r="E379" i="74" s="1"/>
  <c r="R13" i="34"/>
  <c r="F440" i="45" s="1"/>
  <c r="F379" i="74" s="1"/>
  <c r="P14" i="34"/>
  <c r="E441" i="45" s="1"/>
  <c r="E384" i="74" s="1"/>
  <c r="R14" i="34"/>
  <c r="F441" i="45" s="1"/>
  <c r="F384" i="74" s="1"/>
  <c r="I4" i="34"/>
  <c r="W28" i="33"/>
  <c r="C58" i="33"/>
  <c r="Q493" i="45" l="1"/>
  <c r="BS52" i="87"/>
  <c r="BR54" i="87"/>
  <c r="U15" i="33"/>
  <c r="G14" i="45"/>
  <c r="F12" i="33"/>
  <c r="D12" i="33"/>
  <c r="BT52" i="87" l="1"/>
  <c r="BS54" i="87"/>
  <c r="N54" i="33"/>
  <c r="E12" i="33"/>
  <c r="D12" i="91"/>
  <c r="J28" i="91" s="1"/>
  <c r="E12" i="90"/>
  <c r="N53" i="33"/>
  <c r="F5" i="33"/>
  <c r="D5" i="33"/>
  <c r="D7" i="33"/>
  <c r="AG1" i="86" s="1"/>
  <c r="G392" i="45"/>
  <c r="D70" i="33" l="1"/>
  <c r="BU52" i="87"/>
  <c r="BT54" i="87"/>
  <c r="E7" i="33"/>
  <c r="AH1" i="86" s="1"/>
  <c r="AG202" i="86" s="1"/>
  <c r="J28" i="90"/>
  <c r="K27" i="33"/>
  <c r="AI1" i="86"/>
  <c r="AG2" i="86"/>
  <c r="AH2" i="86"/>
  <c r="O9" i="83"/>
  <c r="P9" i="83"/>
  <c r="Q9" i="83"/>
  <c r="R9" i="83"/>
  <c r="S9" i="83"/>
  <c r="T9" i="83"/>
  <c r="U9" i="83"/>
  <c r="V9" i="83"/>
  <c r="W9" i="83"/>
  <c r="X9" i="83"/>
  <c r="Y9" i="83"/>
  <c r="Z9" i="83"/>
  <c r="AA9" i="83"/>
  <c r="AB9" i="83"/>
  <c r="AC9" i="83"/>
  <c r="AD9" i="83"/>
  <c r="AE9" i="83"/>
  <c r="AF9" i="83"/>
  <c r="AG9" i="83"/>
  <c r="AH9" i="83"/>
  <c r="AI9" i="83"/>
  <c r="AJ11" i="83"/>
  <c r="AK11" i="83" s="1"/>
  <c r="AL11" i="83" s="1"/>
  <c r="AM11" i="83" s="1"/>
  <c r="AN11" i="83" s="1"/>
  <c r="AO11" i="83" s="1"/>
  <c r="AP11" i="83" s="1"/>
  <c r="AQ11" i="83" s="1"/>
  <c r="AR11" i="83" s="1"/>
  <c r="AS11" i="83" s="1"/>
  <c r="AT11" i="83" s="1"/>
  <c r="AU11" i="83" s="1"/>
  <c r="AV11" i="83" s="1"/>
  <c r="AW11" i="83" s="1"/>
  <c r="AX11" i="83" s="1"/>
  <c r="AG571" i="86" l="1"/>
  <c r="AG726" i="86"/>
  <c r="AG1601" i="86"/>
  <c r="AG786" i="86"/>
  <c r="AG420" i="86"/>
  <c r="AG821" i="86"/>
  <c r="AG979" i="86"/>
  <c r="AG1823" i="86"/>
  <c r="AH2435" i="86"/>
  <c r="AG1374" i="86"/>
  <c r="AG1979" i="86"/>
  <c r="AG1333" i="86"/>
  <c r="AG721" i="86"/>
  <c r="AG2240" i="86"/>
  <c r="AG1454" i="86"/>
  <c r="AG959" i="86"/>
  <c r="AG1317" i="86"/>
  <c r="AG1275" i="86"/>
  <c r="AG2114" i="86"/>
  <c r="AH1888" i="86"/>
  <c r="AG641" i="86"/>
  <c r="AG84" i="86"/>
  <c r="AH2182" i="86"/>
  <c r="AG914" i="86"/>
  <c r="AG487" i="86"/>
  <c r="AG1917" i="86"/>
  <c r="AG159" i="86"/>
  <c r="AG450" i="86"/>
  <c r="AG865" i="86"/>
  <c r="AG211" i="86"/>
  <c r="J27" i="33"/>
  <c r="AG1345" i="86"/>
  <c r="AG753" i="86"/>
  <c r="AG789" i="86"/>
  <c r="AG122" i="86"/>
  <c r="AG90" i="86"/>
  <c r="AG373" i="86"/>
  <c r="AG725" i="86"/>
  <c r="AG1239" i="86"/>
  <c r="AG985" i="86"/>
  <c r="AG1552" i="86"/>
  <c r="AG915" i="86"/>
  <c r="AG1380" i="86"/>
  <c r="AG1281" i="86"/>
  <c r="AH2170" i="86"/>
  <c r="AG2217" i="86"/>
  <c r="AG88" i="86"/>
  <c r="AG1596" i="86"/>
  <c r="AG1650" i="86"/>
  <c r="AG1609" i="86"/>
  <c r="AG1166" i="86"/>
  <c r="AG1624" i="86"/>
  <c r="AG217" i="86"/>
  <c r="AG1607" i="86"/>
  <c r="AG209" i="86"/>
  <c r="AG1204" i="86"/>
  <c r="AG1265" i="86"/>
  <c r="AG1713" i="86"/>
  <c r="AG2535" i="86"/>
  <c r="AG689" i="86"/>
  <c r="AG1300" i="86"/>
  <c r="AG2320" i="86"/>
  <c r="AG144" i="86"/>
  <c r="AG2182" i="86"/>
  <c r="AG1063" i="86"/>
  <c r="AG948" i="86"/>
  <c r="AG452" i="86"/>
  <c r="AG857" i="86"/>
  <c r="AG1410" i="86"/>
  <c r="AG1013" i="86"/>
  <c r="AG2198" i="86"/>
  <c r="AG2256" i="86"/>
  <c r="AG108" i="86"/>
  <c r="AG128" i="86"/>
  <c r="AG736" i="86"/>
  <c r="AH1357" i="86"/>
  <c r="AG2439" i="86"/>
  <c r="AG294" i="86"/>
  <c r="AG70" i="86"/>
  <c r="AG701" i="86"/>
  <c r="AG2345" i="86"/>
  <c r="AG372" i="86"/>
  <c r="AG1336" i="86"/>
  <c r="AH1413" i="86"/>
  <c r="AG323" i="86"/>
  <c r="AG1668" i="86"/>
  <c r="AG1632" i="86"/>
  <c r="AG113" i="86"/>
  <c r="AG483" i="86"/>
  <c r="AG2333" i="86"/>
  <c r="AG1321" i="86"/>
  <c r="AG1657" i="86"/>
  <c r="AG2550" i="86"/>
  <c r="AG27" i="86"/>
  <c r="AG510" i="86"/>
  <c r="AG2291" i="86"/>
  <c r="AG674" i="86"/>
  <c r="AG124" i="86"/>
  <c r="AG1098" i="86"/>
  <c r="AG929" i="86"/>
  <c r="AG1331" i="86"/>
  <c r="AG1749" i="86"/>
  <c r="AG1755" i="86"/>
  <c r="AG1308" i="86"/>
  <c r="AG593" i="86"/>
  <c r="AG1385" i="86"/>
  <c r="AG963" i="86"/>
  <c r="AG2473" i="86"/>
  <c r="AG396" i="86"/>
  <c r="AG771" i="86"/>
  <c r="AG1641" i="86"/>
  <c r="AG398" i="86"/>
  <c r="AG661" i="86"/>
  <c r="AG2594" i="86"/>
  <c r="AG1512" i="86"/>
  <c r="AG2072" i="86"/>
  <c r="AG327" i="86"/>
  <c r="AG2276" i="86"/>
  <c r="AG1355" i="86"/>
  <c r="AG107" i="86"/>
  <c r="AG1295" i="86"/>
  <c r="AG2385" i="86"/>
  <c r="AG1737" i="86"/>
  <c r="AG1865" i="86"/>
  <c r="AG1120" i="86"/>
  <c r="AG1140" i="86"/>
  <c r="AG542" i="86"/>
  <c r="AG1811" i="86"/>
  <c r="AG2146" i="86"/>
  <c r="AG2058" i="86"/>
  <c r="AG1808" i="86"/>
  <c r="AH2088" i="86"/>
  <c r="AG817" i="86"/>
  <c r="AG798" i="86"/>
  <c r="AG639" i="86"/>
  <c r="AG466" i="86"/>
  <c r="AG762" i="86"/>
  <c r="AG623" i="86"/>
  <c r="AG1356" i="86"/>
  <c r="AG2268" i="86"/>
  <c r="AG538" i="86"/>
  <c r="AG937" i="86"/>
  <c r="AG2170" i="86"/>
  <c r="AG123" i="86"/>
  <c r="AH1905" i="86"/>
  <c r="AG1433" i="86"/>
  <c r="AG1000" i="86"/>
  <c r="AG987" i="86"/>
  <c r="AG26" i="86"/>
  <c r="AG1251" i="86"/>
  <c r="AG653" i="86"/>
  <c r="AG1071" i="86"/>
  <c r="AG773" i="86"/>
  <c r="AG158" i="86"/>
  <c r="AG138" i="86"/>
  <c r="AG540" i="86"/>
  <c r="AG1581" i="86"/>
  <c r="AG1282" i="86"/>
  <c r="AG888" i="86"/>
  <c r="AG813" i="86"/>
  <c r="AG310" i="86"/>
  <c r="AG1896" i="86"/>
  <c r="AG347" i="86"/>
  <c r="AG523" i="86"/>
  <c r="AG2053" i="86"/>
  <c r="AG1347" i="86"/>
  <c r="AG1572" i="86"/>
  <c r="AG414" i="86"/>
  <c r="AG551" i="86"/>
  <c r="AG143" i="86"/>
  <c r="AG2081" i="86"/>
  <c r="AG1090" i="86"/>
  <c r="AG805" i="86"/>
  <c r="AG976" i="86"/>
  <c r="AG1389" i="86"/>
  <c r="AG1020" i="86"/>
  <c r="AG2436" i="86"/>
  <c r="AG1171" i="86"/>
  <c r="AG1625" i="86"/>
  <c r="AG350" i="86"/>
  <c r="AG2567" i="86"/>
  <c r="AG687" i="86"/>
  <c r="AG1439" i="86"/>
  <c r="AG2327" i="86"/>
  <c r="AG251" i="86"/>
  <c r="AG690" i="86"/>
  <c r="AG279" i="86"/>
  <c r="AG419" i="86"/>
  <c r="AH951" i="86"/>
  <c r="AG198" i="86"/>
  <c r="AG1021" i="86"/>
  <c r="AG399" i="86"/>
  <c r="AG1221" i="86"/>
  <c r="AG839" i="86"/>
  <c r="AG1611" i="86"/>
  <c r="AG1623" i="86"/>
  <c r="AG1405" i="86"/>
  <c r="AG1330" i="86"/>
  <c r="AG1501" i="86"/>
  <c r="AG1189" i="86"/>
  <c r="AG744" i="86"/>
  <c r="AH2579" i="86"/>
  <c r="AG307" i="86"/>
  <c r="AG554" i="86"/>
  <c r="AG2574" i="86"/>
  <c r="AG351" i="86"/>
  <c r="AG431" i="86"/>
  <c r="AG2216" i="86"/>
  <c r="AG584" i="86"/>
  <c r="AG1070" i="86"/>
  <c r="AG371" i="86"/>
  <c r="AG1179" i="86"/>
  <c r="AG2184" i="86"/>
  <c r="AG140" i="86"/>
  <c r="AH2572" i="86"/>
  <c r="AH2404" i="86"/>
  <c r="AG2204" i="86"/>
  <c r="AG1728" i="86"/>
  <c r="AG1814" i="86"/>
  <c r="AG627" i="86"/>
  <c r="AG696" i="86"/>
  <c r="AG2104" i="86"/>
  <c r="AG1489" i="86"/>
  <c r="AG793" i="86"/>
  <c r="AG748" i="86"/>
  <c r="AG654" i="86"/>
  <c r="AG1583" i="86"/>
  <c r="AG1801" i="86"/>
  <c r="AG1190" i="86"/>
  <c r="AG1390" i="86"/>
  <c r="AG1137" i="86"/>
  <c r="AG98" i="86"/>
  <c r="AG1887" i="86"/>
  <c r="AG1072" i="86"/>
  <c r="AG591" i="86"/>
  <c r="AG1037" i="86"/>
  <c r="AG2499" i="86"/>
  <c r="AG2123" i="86"/>
  <c r="AG1404" i="86"/>
  <c r="AG2552" i="86"/>
  <c r="AG2557" i="86"/>
  <c r="AG1074" i="86"/>
  <c r="AG1626" i="86"/>
  <c r="AG1494" i="86"/>
  <c r="AG2283" i="86"/>
  <c r="AH2436" i="86"/>
  <c r="AG1042" i="86"/>
  <c r="AG1515" i="86"/>
  <c r="AG413" i="86"/>
  <c r="AG277" i="86"/>
  <c r="AG1176" i="86"/>
  <c r="AG873" i="86"/>
  <c r="AG1542" i="86"/>
  <c r="AG1722" i="86"/>
  <c r="AG727" i="86"/>
  <c r="AG425" i="86"/>
  <c r="AG1960" i="86"/>
  <c r="AG1661" i="86"/>
  <c r="AG760" i="86"/>
  <c r="AG933" i="86"/>
  <c r="AG656" i="86"/>
  <c r="AG2294" i="86"/>
  <c r="AG2007" i="86"/>
  <c r="AG1695" i="86"/>
  <c r="AG886" i="86"/>
  <c r="AH2510" i="86"/>
  <c r="AG950" i="86"/>
  <c r="AG588" i="86"/>
  <c r="AG630" i="86"/>
  <c r="AG106" i="86"/>
  <c r="AG2378" i="86"/>
  <c r="AG531" i="86"/>
  <c r="AG785" i="86"/>
  <c r="AG822" i="86"/>
  <c r="AG505" i="86"/>
  <c r="AG176" i="86"/>
  <c r="AG2540" i="86"/>
  <c r="AG2169" i="86"/>
  <c r="AG1373" i="86"/>
  <c r="AG1045" i="86"/>
  <c r="AG1229" i="86"/>
  <c r="AG1793" i="86"/>
  <c r="AG1442" i="86"/>
  <c r="AG1215" i="86"/>
  <c r="AG995" i="86"/>
  <c r="AH2515" i="86"/>
  <c r="AG467" i="86"/>
  <c r="AG1287" i="86"/>
  <c r="AG1597" i="86"/>
  <c r="AG1990" i="86"/>
  <c r="AG686" i="86"/>
  <c r="AG1116" i="86"/>
  <c r="AG2183" i="86"/>
  <c r="AG823" i="86"/>
  <c r="AG2403" i="86"/>
  <c r="AG2076" i="86"/>
  <c r="AG303" i="86"/>
  <c r="AG988" i="86"/>
  <c r="AH2424" i="86"/>
  <c r="AG2490" i="86"/>
  <c r="AG1094" i="86"/>
  <c r="AG1050" i="86"/>
  <c r="AG1401" i="86"/>
  <c r="AG1193" i="86"/>
  <c r="AG596" i="86"/>
  <c r="AG1922" i="86"/>
  <c r="AH2605" i="86"/>
  <c r="AG1950" i="86"/>
  <c r="AG983" i="86"/>
  <c r="AG270" i="86"/>
  <c r="AG52" i="86"/>
  <c r="AG1145" i="86"/>
  <c r="AG1683" i="86"/>
  <c r="AG1943" i="86"/>
  <c r="AH1399" i="86"/>
  <c r="AG1752" i="86"/>
  <c r="AG1986" i="86"/>
  <c r="AH2030" i="86"/>
  <c r="AG250" i="86"/>
  <c r="AG2111" i="86"/>
  <c r="AG1832" i="86"/>
  <c r="AG1030" i="86"/>
  <c r="AG986" i="86"/>
  <c r="AG112" i="86"/>
  <c r="AG2003" i="86"/>
  <c r="AG1118" i="86"/>
  <c r="AG1384" i="86"/>
  <c r="AG572" i="86"/>
  <c r="AG286" i="86"/>
  <c r="AH2240" i="86"/>
  <c r="AG2437" i="86"/>
  <c r="AG1800" i="86"/>
  <c r="AG378" i="86"/>
  <c r="AG516" i="86"/>
  <c r="AG2065" i="86"/>
  <c r="AH1338" i="86"/>
  <c r="AG1371" i="86"/>
  <c r="AG1127" i="86"/>
  <c r="AG58" i="86"/>
  <c r="AG629" i="86"/>
  <c r="AG739" i="86"/>
  <c r="AG1216" i="86"/>
  <c r="AG2438" i="86"/>
  <c r="AG1059" i="86"/>
  <c r="AG2282" i="86"/>
  <c r="AG1170" i="86"/>
  <c r="AH2472" i="86"/>
  <c r="AG1061" i="86"/>
  <c r="AG1889" i="86"/>
  <c r="AG229" i="86"/>
  <c r="AG468" i="86"/>
  <c r="AG893" i="86"/>
  <c r="AG184" i="86"/>
  <c r="AG1187" i="86"/>
  <c r="AG332" i="86"/>
  <c r="AG1721" i="86"/>
  <c r="AH847" i="86"/>
  <c r="AG1432" i="86"/>
  <c r="AG1219" i="86"/>
  <c r="AG871" i="86"/>
  <c r="AG498" i="86"/>
  <c r="AH1906" i="86"/>
  <c r="AG1696" i="86"/>
  <c r="AG2613" i="86"/>
  <c r="AG2075" i="86"/>
  <c r="AG606" i="86"/>
  <c r="AG1874" i="86"/>
  <c r="AG557" i="86"/>
  <c r="AG1764" i="86"/>
  <c r="AG1365" i="86"/>
  <c r="AG342" i="86"/>
  <c r="AH2270" i="86"/>
  <c r="AG1237" i="86"/>
  <c r="AG1703" i="86"/>
  <c r="AG659" i="86"/>
  <c r="AG716" i="86"/>
  <c r="AG624" i="86"/>
  <c r="AG367" i="86"/>
  <c r="AG1075" i="86"/>
  <c r="AG1033" i="86"/>
  <c r="AG1010" i="86"/>
  <c r="AG1414" i="86"/>
  <c r="AG1335" i="86"/>
  <c r="AG482" i="86"/>
  <c r="AG1277" i="86"/>
  <c r="AG1669" i="86"/>
  <c r="AG305" i="86"/>
  <c r="AG1349" i="86"/>
  <c r="AG2497" i="86"/>
  <c r="AG1418" i="86"/>
  <c r="AG2099" i="86"/>
  <c r="AG2492" i="86"/>
  <c r="AG1883" i="86"/>
  <c r="AG713" i="86"/>
  <c r="AG2319" i="86"/>
  <c r="AG1662" i="86"/>
  <c r="AG18" i="86"/>
  <c r="AG1598" i="86"/>
  <c r="AG1925" i="86"/>
  <c r="AG464" i="86"/>
  <c r="AG1332" i="86"/>
  <c r="AG1026" i="86"/>
  <c r="AH2567" i="86"/>
  <c r="AG1666" i="86"/>
  <c r="AG2370" i="86"/>
  <c r="AG1976" i="86"/>
  <c r="AG1353" i="86"/>
  <c r="AG781" i="86"/>
  <c r="AH2411" i="86"/>
  <c r="AG2543" i="86"/>
  <c r="AG249" i="86"/>
  <c r="AH1180" i="86"/>
  <c r="AG1451" i="86"/>
  <c r="AG36" i="86"/>
  <c r="AH2482" i="86"/>
  <c r="AG1503" i="86"/>
  <c r="AG230" i="86"/>
  <c r="AG363" i="86"/>
  <c r="AG485" i="86"/>
  <c r="AG437" i="86"/>
  <c r="AG875" i="86"/>
  <c r="AG481" i="86"/>
  <c r="AG1123" i="86"/>
  <c r="AG2160" i="86"/>
  <c r="AG393" i="86"/>
  <c r="AG820" i="86"/>
  <c r="AG833" i="86"/>
  <c r="AG291" i="86"/>
  <c r="AH2598" i="86"/>
  <c r="AG1996" i="86"/>
  <c r="AG1817" i="86"/>
  <c r="AG1462" i="86"/>
  <c r="AG1829" i="86"/>
  <c r="AG349" i="86"/>
  <c r="AG324" i="86"/>
  <c r="AG1174" i="86"/>
  <c r="AG565" i="86"/>
  <c r="AG1685" i="86"/>
  <c r="AG2603" i="86"/>
  <c r="AG1844" i="86"/>
  <c r="AH2538" i="86"/>
  <c r="AG263" i="86"/>
  <c r="AG1751" i="86"/>
  <c r="AG610" i="86"/>
  <c r="AG1445" i="86"/>
  <c r="AG1085" i="86"/>
  <c r="AG1719" i="86"/>
  <c r="AG1848" i="86"/>
  <c r="AH2124" i="86"/>
  <c r="AG553" i="86"/>
  <c r="AG964" i="86"/>
  <c r="AG626" i="86"/>
  <c r="AG1152" i="86"/>
  <c r="AG1593" i="86"/>
  <c r="AG1916" i="86"/>
  <c r="AG2514" i="86"/>
  <c r="AG233" i="86"/>
  <c r="AG1062" i="86"/>
  <c r="AG1559" i="86"/>
  <c r="AG455" i="86"/>
  <c r="AH2533" i="86"/>
  <c r="AG811" i="86"/>
  <c r="AG1296" i="86"/>
  <c r="AG643" i="86"/>
  <c r="AG1177" i="86"/>
  <c r="AG2252" i="86"/>
  <c r="AG2565" i="86"/>
  <c r="AH2204" i="86"/>
  <c r="AH2508" i="86"/>
  <c r="AG423" i="86"/>
  <c r="AG1261" i="86"/>
  <c r="AG461" i="86"/>
  <c r="AG1967" i="86"/>
  <c r="AG2412" i="86"/>
  <c r="AG2197" i="86"/>
  <c r="AG1671" i="86"/>
  <c r="AG778" i="86"/>
  <c r="AG1621" i="86"/>
  <c r="AG1612" i="86"/>
  <c r="AG1458" i="86"/>
  <c r="AG2021" i="86"/>
  <c r="AG1294" i="86"/>
  <c r="AG658" i="86"/>
  <c r="AG160" i="86"/>
  <c r="AG1873" i="86"/>
  <c r="AH2494" i="86"/>
  <c r="AG2151" i="86"/>
  <c r="AG2339" i="86"/>
  <c r="AH1847" i="86"/>
  <c r="AG750" i="86"/>
  <c r="AG304" i="86"/>
  <c r="AG1291" i="86"/>
  <c r="AG1428" i="86"/>
  <c r="AG2010" i="86"/>
  <c r="AG9" i="86"/>
  <c r="AG1106" i="86"/>
  <c r="AG1485" i="86"/>
  <c r="AG1081" i="86"/>
  <c r="AH2390" i="86"/>
  <c r="AH2562" i="86"/>
  <c r="AG2103" i="86"/>
  <c r="AG2016" i="86"/>
  <c r="AH2524" i="86"/>
  <c r="AG2482" i="86"/>
  <c r="AG925" i="86"/>
  <c r="AG910" i="86"/>
  <c r="AG772" i="86"/>
  <c r="AH1618" i="86"/>
  <c r="AG1756" i="86"/>
  <c r="AG475" i="86"/>
  <c r="AG1040" i="86"/>
  <c r="AG1634" i="86"/>
  <c r="AG2433" i="86"/>
  <c r="AG306" i="86"/>
  <c r="AG1589" i="86"/>
  <c r="AG1824" i="86"/>
  <c r="AG1272" i="86"/>
  <c r="AG728" i="86"/>
  <c r="AH2608" i="86"/>
  <c r="AG1628" i="86"/>
  <c r="AG1548" i="86"/>
  <c r="AG922" i="86"/>
  <c r="AG2410" i="86"/>
  <c r="AH2271" i="86"/>
  <c r="AG720" i="86"/>
  <c r="AG1382" i="86"/>
  <c r="AG2364" i="86"/>
  <c r="AH1760" i="86"/>
  <c r="AG2235" i="86"/>
  <c r="AH2522" i="86"/>
  <c r="AG533" i="86"/>
  <c r="AG1574" i="86"/>
  <c r="AG2525" i="86"/>
  <c r="AG1125" i="86"/>
  <c r="AG1715" i="86"/>
  <c r="AG1789" i="86"/>
  <c r="AG171" i="86"/>
  <c r="AG2292" i="86"/>
  <c r="AG1188" i="86"/>
  <c r="AG1809" i="86"/>
  <c r="AG665" i="86"/>
  <c r="AH2558" i="86"/>
  <c r="AG1066" i="86"/>
  <c r="AG43" i="86"/>
  <c r="AG1302" i="86"/>
  <c r="AG2301" i="86"/>
  <c r="AG880" i="86"/>
  <c r="AG1192" i="86"/>
  <c r="AG1086" i="86"/>
  <c r="AG1579" i="86"/>
  <c r="AG1763" i="86"/>
  <c r="AG261" i="86"/>
  <c r="AG1516" i="86"/>
  <c r="AG650" i="86"/>
  <c r="AH565" i="86"/>
  <c r="AG1653" i="86"/>
  <c r="AG862" i="86"/>
  <c r="AG31" i="86"/>
  <c r="AG1533" i="86"/>
  <c r="AH1772" i="86"/>
  <c r="AG1872" i="86"/>
  <c r="AG859" i="86"/>
  <c r="AG1416" i="86"/>
  <c r="AG1435" i="86"/>
  <c r="AH2532" i="86"/>
  <c r="AG609" i="86"/>
  <c r="AG2150" i="86"/>
  <c r="AG1036" i="86"/>
  <c r="AG141" i="86"/>
  <c r="AG2233" i="86"/>
  <c r="AG1223" i="86"/>
  <c r="AG317" i="86"/>
  <c r="AG2161" i="86"/>
  <c r="AG809" i="86"/>
  <c r="AH2550" i="86"/>
  <c r="AG1299" i="86"/>
  <c r="AG1980" i="86"/>
  <c r="AH2478" i="86"/>
  <c r="AG2109" i="86"/>
  <c r="AG1397" i="86"/>
  <c r="AG417" i="86"/>
  <c r="AG1739" i="86"/>
  <c r="AG622" i="86"/>
  <c r="AH1217" i="86"/>
  <c r="AG1618" i="86"/>
  <c r="AG830" i="86"/>
  <c r="AG151" i="86"/>
  <c r="AG1490" i="86"/>
  <c r="AH2228" i="86"/>
  <c r="AG2188" i="86"/>
  <c r="AG2532" i="86"/>
  <c r="AG1934" i="86"/>
  <c r="AG1673" i="86"/>
  <c r="AG585" i="86"/>
  <c r="AG2091" i="86"/>
  <c r="AG1006" i="86"/>
  <c r="AG267" i="86"/>
  <c r="AG2541" i="86"/>
  <c r="AG1393" i="86"/>
  <c r="AG634" i="86"/>
  <c r="AH354" i="86"/>
  <c r="AG1470" i="86"/>
  <c r="AH2371" i="86"/>
  <c r="AH676" i="86"/>
  <c r="AG1340" i="86"/>
  <c r="AG252" i="86"/>
  <c r="AG1796" i="86"/>
  <c r="AG2138" i="86"/>
  <c r="AG1860" i="86"/>
  <c r="AH2437" i="86"/>
  <c r="AG917" i="86"/>
  <c r="AG1426" i="86"/>
  <c r="AG1143" i="86"/>
  <c r="AG1833" i="86"/>
  <c r="AG2326" i="86"/>
  <c r="AG360" i="86"/>
  <c r="AG1324" i="86"/>
  <c r="AG2338" i="86"/>
  <c r="AG899" i="86"/>
  <c r="AG1456" i="86"/>
  <c r="AG1111" i="86"/>
  <c r="AH2594" i="86"/>
  <c r="AG1065" i="86"/>
  <c r="AG669" i="86"/>
  <c r="AG1534" i="86"/>
  <c r="AG492" i="86"/>
  <c r="AG1958" i="86"/>
  <c r="AG877" i="86"/>
  <c r="AH2540" i="86"/>
  <c r="AG846" i="86"/>
  <c r="AG1900" i="86"/>
  <c r="AH1666" i="86"/>
  <c r="AH221" i="86"/>
  <c r="AG784" i="86"/>
  <c r="AG2511" i="86"/>
  <c r="AG1162" i="86"/>
  <c r="AH2520" i="86"/>
  <c r="AG1258" i="86"/>
  <c r="AG478" i="86"/>
  <c r="AH2590" i="86"/>
  <c r="AG1444" i="86"/>
  <c r="AG677" i="86"/>
  <c r="AH2580" i="86"/>
  <c r="AG1284" i="86"/>
  <c r="AG2026" i="86"/>
  <c r="AG1570" i="86"/>
  <c r="AH1923" i="86"/>
  <c r="AH1846" i="86"/>
  <c r="AG2305" i="86"/>
  <c r="AG1727" i="86"/>
  <c r="AG429" i="86"/>
  <c r="AG1761" i="86"/>
  <c r="AG832" i="86"/>
  <c r="AH538" i="86"/>
  <c r="AG1908" i="86"/>
  <c r="AG845" i="86"/>
  <c r="AG163" i="86"/>
  <c r="AG1788" i="86"/>
  <c r="AH2041" i="86"/>
  <c r="AG2224" i="86"/>
  <c r="AG1069" i="86"/>
  <c r="AG1644" i="86"/>
  <c r="AG1868" i="86"/>
  <c r="AG1880" i="86"/>
  <c r="AG1135" i="86"/>
  <c r="AG237" i="86"/>
  <c r="AG1225" i="86"/>
  <c r="AG449" i="86"/>
  <c r="AH1619" i="86"/>
  <c r="AG1409" i="86"/>
  <c r="AG648" i="86"/>
  <c r="AG7" i="86"/>
  <c r="AG932" i="86"/>
  <c r="AG1914" i="86"/>
  <c r="AG2055" i="86"/>
  <c r="AG1110" i="86"/>
  <c r="AG170" i="86"/>
  <c r="AG879" i="86"/>
  <c r="AH2496" i="86"/>
  <c r="AG1930" i="86"/>
  <c r="AG759" i="86"/>
  <c r="AG1472" i="86"/>
  <c r="AG273" i="86"/>
  <c r="AG21" i="86"/>
  <c r="AG691" i="86"/>
  <c r="AH1417" i="86"/>
  <c r="AG2044" i="86"/>
  <c r="AG552" i="86"/>
  <c r="AG887" i="86"/>
  <c r="AG1053" i="86"/>
  <c r="AG2261" i="86"/>
  <c r="AG331" i="86"/>
  <c r="AG1055" i="86"/>
  <c r="AG1319" i="86"/>
  <c r="AG2025" i="86"/>
  <c r="AG1441" i="86"/>
  <c r="AG1481" i="86"/>
  <c r="AH1288" i="86"/>
  <c r="AG662" i="86"/>
  <c r="AG1511" i="86"/>
  <c r="AG1839" i="86"/>
  <c r="AG1394" i="86"/>
  <c r="AG2534" i="86"/>
  <c r="AG2578" i="86"/>
  <c r="AG280" i="86"/>
  <c r="AG1206" i="86"/>
  <c r="AG2566" i="86"/>
  <c r="AG791" i="86"/>
  <c r="AG1810" i="86"/>
  <c r="AG896" i="86"/>
  <c r="AG2457" i="86"/>
  <c r="AG405" i="86"/>
  <c r="AG1430" i="86"/>
  <c r="AG434" i="86"/>
  <c r="AG2173" i="86"/>
  <c r="AG1002" i="86"/>
  <c r="AG139" i="86"/>
  <c r="AG1224" i="86"/>
  <c r="AG1936" i="86"/>
  <c r="AG1505" i="86"/>
  <c r="AG573" i="86"/>
  <c r="AH2317" i="86"/>
  <c r="AG1318" i="86"/>
  <c r="AG2423" i="86"/>
  <c r="AG515" i="86"/>
  <c r="AG1584" i="86"/>
  <c r="AG2068" i="86"/>
  <c r="AG680" i="86"/>
  <c r="AG2213" i="86"/>
  <c r="AG741" i="86"/>
  <c r="AG1488" i="86"/>
  <c r="AG397" i="86"/>
  <c r="AG1440" i="86"/>
  <c r="AG923" i="86"/>
  <c r="AG402" i="86"/>
  <c r="AG870" i="86"/>
  <c r="AH2112" i="86"/>
  <c r="AG1733" i="86"/>
  <c r="AG2259" i="86"/>
  <c r="AG22" i="86"/>
  <c r="AG105" i="86"/>
  <c r="AG1372" i="86"/>
  <c r="AG692" i="86"/>
  <c r="AG1647" i="86"/>
  <c r="AG246" i="86"/>
  <c r="AG1202" i="86"/>
  <c r="AG1576" i="86"/>
  <c r="AG454" i="86"/>
  <c r="AG1656" i="86"/>
  <c r="AG502" i="86"/>
  <c r="AG1139" i="86"/>
  <c r="AG192" i="86"/>
  <c r="AG972" i="86"/>
  <c r="AG1377" i="86"/>
  <c r="AG752" i="86"/>
  <c r="AG1902" i="86"/>
  <c r="AG2050" i="86"/>
  <c r="AG41" i="86"/>
  <c r="AG758" i="86"/>
  <c r="AG2032" i="86"/>
  <c r="AH2615" i="86"/>
  <c r="AG918" i="86"/>
  <c r="AH2416" i="86"/>
  <c r="AG990" i="86"/>
  <c r="AG1790" i="86"/>
  <c r="AG570" i="86"/>
  <c r="AG919" i="86"/>
  <c r="AG541" i="86"/>
  <c r="AG194" i="86"/>
  <c r="AG2579" i="86"/>
  <c r="AG480" i="86"/>
  <c r="AG1242" i="86"/>
  <c r="AG536" i="86"/>
  <c r="AG598" i="86"/>
  <c r="AH2087" i="86"/>
  <c r="AG1461" i="86"/>
  <c r="AG127" i="86"/>
  <c r="AG815" i="86"/>
  <c r="AG295" i="86"/>
  <c r="AG1134" i="86"/>
  <c r="AH2344" i="86"/>
  <c r="AG851" i="86"/>
  <c r="AG1197" i="86"/>
  <c r="AG2614" i="86"/>
  <c r="AG1266" i="86"/>
  <c r="AG2316" i="86"/>
  <c r="AG787" i="86"/>
  <c r="AG509" i="86"/>
  <c r="AG566" i="86"/>
  <c r="AG511" i="86"/>
  <c r="AG2510" i="86"/>
  <c r="AG1270" i="86"/>
  <c r="AG602" i="86"/>
  <c r="AG1563" i="86"/>
  <c r="AG156" i="86"/>
  <c r="AG1126" i="86"/>
  <c r="AG1493" i="86"/>
  <c r="AG401" i="86"/>
  <c r="AG2145" i="86"/>
  <c r="AG1173" i="86"/>
  <c r="AG534" i="86"/>
  <c r="AG1482" i="86"/>
  <c r="AG142" i="86"/>
  <c r="AG1102" i="86"/>
  <c r="AG1467" i="86"/>
  <c r="AG384" i="86"/>
  <c r="AG1545" i="86"/>
  <c r="AH1942" i="86"/>
  <c r="AG1039" i="86"/>
  <c r="AG268" i="86"/>
  <c r="AG73" i="86"/>
  <c r="AG1893" i="86"/>
  <c r="AG1027" i="86"/>
  <c r="AG1226" i="86"/>
  <c r="AG1740" i="86"/>
  <c r="AG74" i="86"/>
  <c r="AH2511" i="86"/>
  <c r="AG157" i="86"/>
  <c r="AG325" i="86"/>
  <c r="AG2278" i="86"/>
  <c r="AG676" i="86"/>
  <c r="AG1487" i="86"/>
  <c r="AG1648" i="86"/>
  <c r="AH1969" i="86"/>
  <c r="AG672" i="86"/>
  <c r="AG1770" i="86"/>
  <c r="AG2387" i="86"/>
  <c r="AG819" i="86"/>
  <c r="AG2548" i="86"/>
  <c r="AG889" i="86"/>
  <c r="AG1654" i="86"/>
  <c r="AG500" i="86"/>
  <c r="AG1121" i="86"/>
  <c r="AG1981" i="86"/>
  <c r="AG989" i="86"/>
  <c r="AG1836" i="86"/>
  <c r="AG1707" i="86"/>
  <c r="AH2425" i="86"/>
  <c r="AG200" i="86"/>
  <c r="AG2512" i="86"/>
  <c r="AG1297" i="86"/>
  <c r="AG1222" i="86"/>
  <c r="AG663" i="86"/>
  <c r="AH976" i="86"/>
  <c r="AG506" i="86"/>
  <c r="AG1875" i="86"/>
  <c r="AG1610" i="86"/>
  <c r="AG2368" i="86"/>
  <c r="AH2498" i="86"/>
  <c r="AH2438" i="86"/>
  <c r="AH2521" i="86"/>
  <c r="AG187" i="86"/>
  <c r="AG2057" i="86"/>
  <c r="AG1437" i="86"/>
  <c r="AG1328" i="86"/>
  <c r="AG645" i="86"/>
  <c r="AG849" i="86"/>
  <c r="AG1932" i="86"/>
  <c r="AG175" i="86"/>
  <c r="AG827" i="86"/>
  <c r="AG1087" i="86"/>
  <c r="AG1184" i="86"/>
  <c r="AG874" i="86"/>
  <c r="AG1241" i="86"/>
  <c r="AG2606" i="86"/>
  <c r="AG490" i="86"/>
  <c r="AG1263" i="86"/>
  <c r="AG1547" i="86"/>
  <c r="AG1154" i="86"/>
  <c r="AG1709" i="86"/>
  <c r="AG2122" i="86"/>
  <c r="AG129" i="86"/>
  <c r="AG1019" i="86"/>
  <c r="AG1758" i="86"/>
  <c r="AG2377" i="86"/>
  <c r="AG1278" i="86"/>
  <c r="AH2057" i="86"/>
  <c r="AG1369" i="86"/>
  <c r="AG213" i="86"/>
  <c r="AG1210" i="86"/>
  <c r="AG117" i="86"/>
  <c r="AG1853" i="86"/>
  <c r="AG814" i="86"/>
  <c r="AG2530" i="86"/>
  <c r="AG997" i="86"/>
  <c r="AG2595" i="86"/>
  <c r="AG1259" i="86"/>
  <c r="AG254" i="86"/>
  <c r="AG1518" i="86"/>
  <c r="AG714" i="86"/>
  <c r="AG1679" i="86"/>
  <c r="AG262" i="86"/>
  <c r="AG1228" i="86"/>
  <c r="AG1606" i="86"/>
  <c r="AG470" i="86"/>
  <c r="AG1686" i="86"/>
  <c r="AG519" i="86"/>
  <c r="AG1165" i="86"/>
  <c r="AG174" i="86"/>
  <c r="AG2413" i="86"/>
  <c r="AG1554" i="86"/>
  <c r="AG775" i="86"/>
  <c r="AG210" i="86"/>
  <c r="AG426" i="86"/>
  <c r="AG928" i="86"/>
  <c r="AG761" i="86"/>
  <c r="AG1011" i="86"/>
  <c r="AG446" i="86"/>
  <c r="AG890" i="86"/>
  <c r="AG326" i="86"/>
  <c r="AG1234" i="86"/>
  <c r="AH1731" i="86"/>
  <c r="AG901" i="86"/>
  <c r="AG1246" i="86"/>
  <c r="AH2495" i="86"/>
  <c r="AG1322" i="86"/>
  <c r="AG2430" i="86"/>
  <c r="AG838" i="86"/>
  <c r="AG451" i="86"/>
  <c r="AG178" i="86"/>
  <c r="AG539" i="86"/>
  <c r="AH1198" i="86"/>
  <c r="AH2479" i="86"/>
  <c r="AG1264" i="86"/>
  <c r="AG311" i="86"/>
  <c r="AG278" i="86"/>
  <c r="AG1573" i="86"/>
  <c r="AG380" i="86"/>
  <c r="AG718" i="86"/>
  <c r="AG660" i="86"/>
  <c r="AG1558" i="86"/>
  <c r="AG2312" i="86"/>
  <c r="AH2417" i="86"/>
  <c r="AG287" i="86"/>
  <c r="AG1449" i="86"/>
  <c r="AG2307" i="86"/>
  <c r="AG479" i="86"/>
  <c r="AG603" i="86"/>
  <c r="AG1041" i="86"/>
  <c r="AG969" i="86"/>
  <c r="AG2134" i="86"/>
  <c r="AG99" i="86"/>
  <c r="AH2460" i="86"/>
  <c r="AG1777" i="86"/>
  <c r="AG1732" i="86"/>
  <c r="AG1191" i="86"/>
  <c r="AG607" i="86"/>
  <c r="AG834" i="86"/>
  <c r="AH1822" i="86"/>
  <c r="AG1015" i="86"/>
  <c r="AG2200" i="86"/>
  <c r="AG597" i="86"/>
  <c r="AG2397" i="86"/>
  <c r="AG2607" i="86"/>
  <c r="AG293" i="86"/>
  <c r="AG907" i="86"/>
  <c r="AG2260" i="86"/>
  <c r="AG1049" i="86"/>
  <c r="AG1784" i="86"/>
  <c r="AG1750" i="86"/>
  <c r="AG1553" i="86"/>
  <c r="AG864" i="86"/>
  <c r="AG569" i="86"/>
  <c r="AH720" i="86"/>
  <c r="AG952" i="86"/>
  <c r="AG2009" i="86"/>
  <c r="AG1186" i="86"/>
  <c r="AG1009" i="86"/>
  <c r="AG499" i="86"/>
  <c r="AG1918" i="86"/>
  <c r="AG2379" i="86"/>
  <c r="AG599" i="86"/>
  <c r="AG89" i="86"/>
  <c r="AG72" i="86"/>
  <c r="AG2154" i="86"/>
  <c r="AG1517" i="86"/>
  <c r="AG574" i="86"/>
  <c r="AG774" i="86"/>
  <c r="AG126" i="86"/>
  <c r="AG2046" i="86"/>
  <c r="AH2260" i="86"/>
  <c r="AG1830" i="86"/>
  <c r="AG768" i="86"/>
  <c r="AG601" i="86"/>
  <c r="AG962" i="86"/>
  <c r="AG288" i="86"/>
  <c r="AG1077" i="86"/>
  <c r="AH675" i="86"/>
  <c r="AG38" i="86"/>
  <c r="AG1731" i="86"/>
  <c r="AG517" i="86"/>
  <c r="AG2209" i="86"/>
  <c r="AG1968" i="86"/>
  <c r="AG843" i="86"/>
  <c r="AG799" i="86"/>
  <c r="AG395" i="86"/>
  <c r="AH1525" i="86"/>
  <c r="AH1968" i="86"/>
  <c r="AG1674" i="86"/>
  <c r="AG869" i="86"/>
  <c r="AG825" i="86"/>
  <c r="AG445" i="86"/>
  <c r="AH223" i="86"/>
  <c r="AH1523" i="86"/>
  <c r="AG2066" i="86"/>
  <c r="AG938" i="86"/>
  <c r="AG970" i="86"/>
  <c r="AG1089" i="86"/>
  <c r="AG675" i="86"/>
  <c r="AH2500" i="86"/>
  <c r="AG1523" i="86"/>
  <c r="AG1502" i="86"/>
  <c r="AG734" i="86"/>
  <c r="AG620" i="86"/>
  <c r="AG2358" i="86"/>
  <c r="AH2554" i="86"/>
  <c r="AG977" i="86"/>
  <c r="AG248" i="86"/>
  <c r="AH1509" i="86"/>
  <c r="AG4" i="86"/>
  <c r="AG876" i="86"/>
  <c r="AG1024" i="86"/>
  <c r="AG476" i="86"/>
  <c r="AG1114" i="86"/>
  <c r="AG697" i="86"/>
  <c r="AH2563" i="86"/>
  <c r="AG1549" i="86"/>
  <c r="AG1528" i="86"/>
  <c r="AG1158" i="86"/>
  <c r="AG673" i="86"/>
  <c r="AH1840" i="86"/>
  <c r="AG2456" i="86"/>
  <c r="AG587" i="86"/>
  <c r="AG1014" i="86"/>
  <c r="AG945" i="86"/>
  <c r="AG2080" i="86"/>
  <c r="AG85" i="86"/>
  <c r="AG2304" i="86"/>
  <c r="AG1022" i="86"/>
  <c r="AG826" i="86"/>
  <c r="AG1391" i="86"/>
  <c r="AG193" i="86"/>
  <c r="AG863" i="86"/>
  <c r="AG1350" i="86"/>
  <c r="AG1273" i="86"/>
  <c r="AG12" i="86"/>
  <c r="AG343" i="86"/>
  <c r="AG619" i="86"/>
  <c r="AG2158" i="86"/>
  <c r="AG2098" i="86"/>
  <c r="AG1600" i="86"/>
  <c r="AG801" i="86"/>
  <c r="AG1109" i="86"/>
  <c r="AG1048" i="86"/>
  <c r="AG1243" i="86"/>
  <c r="AG2569" i="86"/>
  <c r="AG847" i="86"/>
  <c r="AG841" i="86"/>
  <c r="AG19" i="86"/>
  <c r="AG463" i="86"/>
  <c r="AG2008" i="86"/>
  <c r="AH2506" i="86"/>
  <c r="AG1238" i="86"/>
  <c r="AG2176" i="86"/>
  <c r="AG2313" i="86"/>
  <c r="AG1847" i="86"/>
  <c r="AG1274" i="86"/>
  <c r="AG810" i="86"/>
  <c r="AG866" i="86"/>
  <c r="AG1201" i="86"/>
  <c r="AH2448" i="86"/>
  <c r="AG1680" i="86"/>
  <c r="AG1479" i="86"/>
  <c r="AG177" i="86"/>
  <c r="AG1084" i="86"/>
  <c r="AG285" i="86"/>
  <c r="AG1888" i="86"/>
  <c r="AG1616" i="86"/>
  <c r="AG359" i="86"/>
  <c r="AG837" i="86"/>
  <c r="AG1230" i="86"/>
  <c r="AG1631" i="86"/>
  <c r="AG1909" i="86"/>
  <c r="AG1097" i="86"/>
  <c r="AG694" i="86"/>
  <c r="AG693" i="86"/>
  <c r="AG1161" i="86"/>
  <c r="AG682" i="86"/>
  <c r="AG2390" i="86"/>
  <c r="AG2416" i="86"/>
  <c r="AG56" i="86"/>
  <c r="AG2298" i="86"/>
  <c r="AG1293" i="86"/>
  <c r="AG1315" i="86"/>
  <c r="AG2314" i="86"/>
  <c r="AH1730" i="86"/>
  <c r="AG1469" i="86"/>
  <c r="AG2144" i="86"/>
  <c r="AG2258" i="86"/>
  <c r="AG1402" i="86"/>
  <c r="AG966" i="86"/>
  <c r="AG2465" i="86"/>
  <c r="AG1338" i="86"/>
  <c r="AH2463" i="86"/>
  <c r="AG1073" i="86"/>
  <c r="AG2234" i="86"/>
  <c r="AG346" i="86"/>
  <c r="AG1254" i="86"/>
  <c r="AG2293" i="86"/>
  <c r="AG319" i="86"/>
  <c r="AG1068" i="86"/>
  <c r="AG2207" i="86"/>
  <c r="AG913" i="86"/>
  <c r="AH2185" i="86"/>
  <c r="AG1723" i="86"/>
  <c r="AG361" i="86"/>
  <c r="AG1431" i="86"/>
  <c r="AG984" i="86"/>
  <c r="AG2504" i="86"/>
  <c r="AG1361" i="86"/>
  <c r="AG2090" i="86"/>
  <c r="AG1092" i="86"/>
  <c r="AG2274" i="86"/>
  <c r="AG706" i="86"/>
  <c r="AG1982" i="86"/>
  <c r="AG334" i="86"/>
  <c r="AG1309" i="86"/>
  <c r="AG681" i="86"/>
  <c r="AH821" i="86"/>
  <c r="AG2568" i="86"/>
  <c r="AG1108" i="86"/>
  <c r="AG1138" i="86"/>
  <c r="AG2108" i="86"/>
  <c r="AH2231" i="86"/>
  <c r="AG2308" i="86"/>
  <c r="AG1288" i="86"/>
  <c r="AG895" i="86"/>
  <c r="AG352" i="86"/>
  <c r="AG1498" i="86"/>
  <c r="AG226" i="86"/>
  <c r="AG1892" i="86"/>
  <c r="AG377" i="86"/>
  <c r="AG2210" i="86"/>
  <c r="AG428" i="86"/>
  <c r="AG1283" i="86"/>
  <c r="AH2528" i="86"/>
  <c r="AG1664" i="86"/>
  <c r="AG2277" i="86"/>
  <c r="AG1620" i="86"/>
  <c r="AG2004" i="86"/>
  <c r="AG974" i="86"/>
  <c r="AH1668" i="86"/>
  <c r="AH539" i="86"/>
  <c r="AH1585" i="86"/>
  <c r="AH803" i="86"/>
  <c r="AG1175" i="86"/>
  <c r="AG2250" i="86"/>
  <c r="AH2086" i="86"/>
  <c r="AG2355" i="86"/>
  <c r="AG1326" i="86"/>
  <c r="AG1527" i="86"/>
  <c r="AH448" i="86"/>
  <c r="AG936" i="86"/>
  <c r="AG389" i="86"/>
  <c r="AG525" i="86"/>
  <c r="AG1386" i="86"/>
  <c r="AG2450" i="86"/>
  <c r="AG2054" i="86"/>
  <c r="AG2452" i="86"/>
  <c r="AG1560" i="86"/>
  <c r="AG2484" i="86"/>
  <c r="AG2528" i="86"/>
  <c r="AG628" i="86"/>
  <c r="AH2410" i="86"/>
  <c r="AG508" i="86"/>
  <c r="AG2186" i="86"/>
  <c r="AH2069" i="86"/>
  <c r="AG1919" i="86"/>
  <c r="AG1129" i="86"/>
  <c r="AG1113" i="86"/>
  <c r="AG362" i="86"/>
  <c r="AG991" i="86"/>
  <c r="AH2610" i="86"/>
  <c r="AG403" i="86"/>
  <c r="AG1911" i="86"/>
  <c r="AH2126" i="86"/>
  <c r="AG1957" i="86"/>
  <c r="AG715" i="86"/>
  <c r="AG2089" i="86"/>
  <c r="AG1613" i="86"/>
  <c r="AG1954" i="86"/>
  <c r="AG766" i="86"/>
  <c r="AG432" i="86"/>
  <c r="AG1564" i="86"/>
  <c r="AG1629" i="86"/>
  <c r="AH2535" i="86"/>
  <c r="AG2087" i="86"/>
  <c r="AG2343" i="86"/>
  <c r="AG776" i="86"/>
  <c r="AG1262" i="86"/>
  <c r="AG2555" i="86"/>
  <c r="AG2097" i="86"/>
  <c r="AG2597" i="86"/>
  <c r="AG2341" i="86"/>
  <c r="AG1969" i="86"/>
  <c r="AG1812" i="86"/>
  <c r="AG1387" i="86"/>
  <c r="AH1064" i="86"/>
  <c r="AG55" i="86"/>
  <c r="AG892" i="86"/>
  <c r="AG1692" i="86"/>
  <c r="AG33" i="86"/>
  <c r="AG679" i="86"/>
  <c r="AG1551" i="86"/>
  <c r="AG465" i="86"/>
  <c r="AG1499" i="86"/>
  <c r="AG2447" i="86"/>
  <c r="AG2288" i="86"/>
  <c r="AG807" i="86"/>
  <c r="AG379" i="86"/>
  <c r="AG2429" i="86"/>
  <c r="AG695" i="86"/>
  <c r="AG1965" i="86"/>
  <c r="AG1346" i="86"/>
  <c r="AG212" i="86"/>
  <c r="AG1714" i="86"/>
  <c r="AG348" i="86"/>
  <c r="AG1569" i="86"/>
  <c r="AG1227" i="86"/>
  <c r="AG2605" i="86"/>
  <c r="AG1486" i="86"/>
  <c r="AG1403" i="86"/>
  <c r="AG1940" i="86"/>
  <c r="AG1514" i="86"/>
  <c r="AG1131" i="86"/>
  <c r="AG1269" i="86"/>
  <c r="AG2446" i="86"/>
  <c r="AG1323" i="86"/>
  <c r="AH2001" i="86"/>
  <c r="AG411" i="86"/>
  <c r="AG1539" i="86"/>
  <c r="AG1659" i="86"/>
  <c r="AG228" i="86"/>
  <c r="AG2255" i="86"/>
  <c r="AG71" i="86"/>
  <c r="AG2088" i="86"/>
  <c r="AG2478" i="86"/>
  <c r="AG911" i="86"/>
  <c r="AG763" i="86"/>
  <c r="AG2262" i="86"/>
  <c r="AH2447" i="86"/>
  <c r="AH2459" i="86"/>
  <c r="AG2411" i="86"/>
  <c r="AG1977" i="86"/>
  <c r="AG2238" i="86"/>
  <c r="AG2529" i="86"/>
  <c r="AG861" i="86"/>
  <c r="AH2470" i="86"/>
  <c r="AG1688" i="86"/>
  <c r="AG1556" i="86"/>
  <c r="AG2591" i="86"/>
  <c r="AH1045" i="86"/>
  <c r="AG2201" i="86"/>
  <c r="AH167" i="86"/>
  <c r="AG2472" i="86"/>
  <c r="AG2489" i="86"/>
  <c r="AG556" i="86"/>
  <c r="AG2435" i="86"/>
  <c r="AH2217" i="86"/>
  <c r="AH2085" i="86"/>
  <c r="AG1804" i="86"/>
  <c r="AG1044" i="86"/>
  <c r="AG225" i="86"/>
  <c r="AG1578" i="86"/>
  <c r="AG1303" i="86"/>
  <c r="AG2038" i="86"/>
  <c r="AG340" i="86"/>
  <c r="AG1921" i="86"/>
  <c r="AG2133" i="86"/>
  <c r="AG496" i="86"/>
  <c r="AG1615" i="86"/>
  <c r="AG2584" i="86"/>
  <c r="AH948" i="86"/>
  <c r="AH1092" i="86"/>
  <c r="AG973" i="86"/>
  <c r="AG2384" i="86"/>
  <c r="AG1658" i="86"/>
  <c r="AH2595" i="86"/>
  <c r="AG2172" i="86"/>
  <c r="AH396" i="86"/>
  <c r="AG1876" i="86"/>
  <c r="AG2218" i="86"/>
  <c r="AH198" i="86"/>
  <c r="AH859" i="86"/>
  <c r="BV52" i="87"/>
  <c r="BU54" i="87"/>
  <c r="AG1724" i="86"/>
  <c r="AH4" i="86"/>
  <c r="AH1463" i="86"/>
  <c r="AG1867" i="86"/>
  <c r="AH2490" i="86"/>
  <c r="AH1676" i="86"/>
  <c r="AH2044" i="86"/>
  <c r="AG1209" i="86"/>
  <c r="AG769" i="86"/>
  <c r="AG1702" i="86"/>
  <c r="AH2345" i="86"/>
  <c r="AG1871" i="86"/>
  <c r="AG1997" i="86"/>
  <c r="AH2145" i="86"/>
  <c r="AG1334" i="86"/>
  <c r="AG1383" i="86"/>
  <c r="AG2454" i="86"/>
  <c r="AG2302" i="86"/>
  <c r="AG1412" i="86"/>
  <c r="AG1663" i="86"/>
  <c r="AH2596" i="86"/>
  <c r="AG1320" i="86"/>
  <c r="AG1771" i="86"/>
  <c r="AH1899" i="86"/>
  <c r="AG2400" i="86"/>
  <c r="AH2445" i="86"/>
  <c r="AG2357" i="86"/>
  <c r="AH195" i="86"/>
  <c r="AH1775" i="86"/>
  <c r="AG2181" i="86"/>
  <c r="AG2536" i="86"/>
  <c r="AG2141" i="86"/>
  <c r="AG2421" i="86"/>
  <c r="AH2301" i="86"/>
  <c r="AH1344" i="86"/>
  <c r="AH2096" i="86"/>
  <c r="AG2367" i="86"/>
  <c r="AH2492" i="86"/>
  <c r="AG2325" i="86"/>
  <c r="AH2514" i="86"/>
  <c r="AG364" i="86"/>
  <c r="AH1449" i="86"/>
  <c r="AG2064" i="86"/>
  <c r="AG1220" i="86"/>
  <c r="AG1471" i="86"/>
  <c r="AG2356" i="86"/>
  <c r="AG1104" i="86"/>
  <c r="AG2324" i="86"/>
  <c r="AG2223" i="86"/>
  <c r="AG1352" i="86"/>
  <c r="AG1603" i="86"/>
  <c r="AG2544" i="86"/>
  <c r="AG1248" i="86"/>
  <c r="AH2121" i="86"/>
  <c r="AH2318" i="86"/>
  <c r="AG2315" i="86"/>
  <c r="AH2547" i="86"/>
  <c r="AG2273" i="86"/>
  <c r="AH2600" i="86"/>
  <c r="AG328" i="86"/>
  <c r="AG513" i="86"/>
  <c r="AH2402" i="86"/>
  <c r="AG795" i="86"/>
  <c r="AG406" i="86"/>
  <c r="AG783" i="86"/>
  <c r="AG733" i="86"/>
  <c r="AG2248" i="86"/>
  <c r="AG447" i="86"/>
  <c r="AG2513" i="86"/>
  <c r="AG1311" i="86"/>
  <c r="AG754" i="86"/>
  <c r="AG1144" i="86"/>
  <c r="AG1167" i="86"/>
  <c r="AG747" i="86"/>
  <c r="AG912" i="86"/>
  <c r="AG216" i="86"/>
  <c r="AG460" i="86"/>
  <c r="AG1360" i="86"/>
  <c r="AG1757" i="86"/>
  <c r="AG1971" i="86"/>
  <c r="AG1422" i="86"/>
  <c r="AH2451" i="86"/>
  <c r="AG1886" i="86"/>
  <c r="AG2386" i="86"/>
  <c r="AH2356" i="86"/>
  <c r="AG1994" i="86"/>
  <c r="AG796" i="86"/>
  <c r="AH1253" i="86"/>
  <c r="AH1320" i="86"/>
  <c r="AH2444" i="86"/>
  <c r="AH683" i="86"/>
  <c r="AH1997" i="86"/>
  <c r="AG737" i="86"/>
  <c r="AG333" i="86"/>
  <c r="AH1776" i="86"/>
  <c r="AH2084" i="86"/>
  <c r="AG1712" i="86"/>
  <c r="AG1826" i="86"/>
  <c r="AH2575" i="86"/>
  <c r="AG1169" i="86"/>
  <c r="AG1214" i="86"/>
  <c r="AH790" i="86"/>
  <c r="AG2121" i="86"/>
  <c r="AG1268" i="86"/>
  <c r="AG1519" i="86"/>
  <c r="AG2424" i="86"/>
  <c r="AG1156" i="86"/>
  <c r="AH2266" i="86"/>
  <c r="AH1683" i="86"/>
  <c r="AG2196" i="86"/>
  <c r="AG2554" i="86"/>
  <c r="AG2157" i="86"/>
  <c r="AH2153" i="86"/>
  <c r="AH1094" i="86"/>
  <c r="AG2000" i="86"/>
  <c r="AG2330" i="86"/>
  <c r="AG1964" i="86"/>
  <c r="AG2120" i="86"/>
  <c r="AG2509" i="86"/>
  <c r="AH975" i="86"/>
  <c r="AH1861" i="86"/>
  <c r="AG2164" i="86"/>
  <c r="AG2518" i="86"/>
  <c r="AG2125" i="86"/>
  <c r="AG2394" i="86"/>
  <c r="AH2385" i="86"/>
  <c r="AH2343" i="86"/>
  <c r="AG1907" i="86"/>
  <c r="AG1076" i="86"/>
  <c r="AG1327" i="86"/>
  <c r="AG2156" i="86"/>
  <c r="AG947" i="86"/>
  <c r="AH1617" i="86"/>
  <c r="AG2051" i="86"/>
  <c r="AG1208" i="86"/>
  <c r="AG1459" i="86"/>
  <c r="AG2340" i="86"/>
  <c r="AG1091" i="86"/>
  <c r="AH1993" i="86"/>
  <c r="AH2068" i="86"/>
  <c r="AG2117" i="86"/>
  <c r="AG2469" i="86"/>
  <c r="AG2079" i="86"/>
  <c r="AG2318" i="86"/>
  <c r="AH2502" i="86"/>
  <c r="AG369" i="86"/>
  <c r="AH143" i="86"/>
  <c r="AG561" i="86"/>
  <c r="AG241" i="86"/>
  <c r="AG605" i="86"/>
  <c r="AH2505" i="86"/>
  <c r="AG1858" i="86"/>
  <c r="AG247" i="86"/>
  <c r="AG1895" i="86"/>
  <c r="AG1031" i="86"/>
  <c r="AG564" i="86"/>
  <c r="AG955" i="86"/>
  <c r="AG941" i="86"/>
  <c r="AH2570" i="86"/>
  <c r="AG638" i="86"/>
  <c r="AG40" i="86"/>
  <c r="AG2082" i="86"/>
  <c r="AG1146" i="86"/>
  <c r="AG1530" i="86"/>
  <c r="AG1635" i="86"/>
  <c r="AG1181" i="86"/>
  <c r="AG1306" i="86"/>
  <c r="AG1586" i="86"/>
  <c r="AG2036" i="86"/>
  <c r="AG2344" i="86"/>
  <c r="AG1649" i="86"/>
  <c r="AG2475" i="86"/>
  <c r="AH662" i="86"/>
  <c r="AH2607" i="86"/>
  <c r="AH1900" i="86"/>
  <c r="AH2125" i="86"/>
  <c r="AG2533" i="86"/>
  <c r="AG1427" i="86"/>
  <c r="AH1627" i="86"/>
  <c r="AG2017" i="86"/>
  <c r="AH2523" i="86"/>
  <c r="AG1568" i="86"/>
  <c r="AG1675" i="86"/>
  <c r="AG2442" i="86"/>
  <c r="AG1012" i="86"/>
  <c r="AG1057" i="86"/>
  <c r="AH2144" i="86"/>
  <c r="AG1959" i="86"/>
  <c r="AG1124" i="86"/>
  <c r="AG1375" i="86"/>
  <c r="AG2220" i="86"/>
  <c r="AG999" i="86"/>
  <c r="AH1980" i="86"/>
  <c r="AH827" i="86"/>
  <c r="AG2014" i="86"/>
  <c r="AG2346" i="86"/>
  <c r="AG1978" i="86"/>
  <c r="AH1782" i="86"/>
  <c r="AH2256" i="86"/>
  <c r="AG1827" i="86"/>
  <c r="AG2132" i="86"/>
  <c r="AG1792" i="86"/>
  <c r="AG1859" i="86"/>
  <c r="AG2199" i="86"/>
  <c r="AH2327" i="86"/>
  <c r="AH1337" i="86"/>
  <c r="AG1984" i="86"/>
  <c r="AH2239" i="86"/>
  <c r="AH1839" i="86"/>
  <c r="AG2572" i="86"/>
  <c r="AH947" i="86"/>
  <c r="AG2231" i="86"/>
  <c r="AG2257" i="86"/>
  <c r="AH2403" i="86"/>
  <c r="AH2578" i="86"/>
  <c r="AG2505" i="86"/>
  <c r="AG1424" i="86"/>
  <c r="AG1531" i="86"/>
  <c r="AG2236" i="86"/>
  <c r="AG700" i="86"/>
  <c r="AG900" i="86"/>
  <c r="AH2582" i="86"/>
  <c r="AG1802" i="86"/>
  <c r="AG980" i="86"/>
  <c r="AH945" i="86"/>
  <c r="AG2033" i="86"/>
  <c r="AG842" i="86"/>
  <c r="AH997" i="86"/>
  <c r="AH2198" i="86"/>
  <c r="AG1842" i="86"/>
  <c r="AG2147" i="86"/>
  <c r="AG1806" i="86"/>
  <c r="AH2168" i="86"/>
  <c r="AH2576" i="86"/>
  <c r="AG1676" i="86"/>
  <c r="AG1955" i="86"/>
  <c r="AH519" i="86"/>
  <c r="AG1636" i="86"/>
  <c r="AG1931" i="86"/>
  <c r="AH2186" i="86"/>
  <c r="AH2302" i="86"/>
  <c r="AG1813" i="86"/>
  <c r="AG2116" i="86"/>
  <c r="AG1779" i="86"/>
  <c r="AG1837" i="86"/>
  <c r="AG2175" i="86"/>
  <c r="AG2336" i="86"/>
  <c r="AH2443" i="86"/>
  <c r="AG788" i="86"/>
  <c r="AH2497" i="86"/>
  <c r="AG1805" i="86"/>
  <c r="AG640" i="86"/>
  <c r="AG2571" i="86"/>
  <c r="AH1530" i="86"/>
  <c r="AG920" i="86"/>
  <c r="AH1863" i="86"/>
  <c r="AG1962" i="86"/>
  <c r="AG777" i="86"/>
  <c r="AH2245" i="86"/>
  <c r="AH2420" i="86"/>
  <c r="AG1773" i="86"/>
  <c r="AG2069" i="86"/>
  <c r="AG1742" i="86"/>
  <c r="AG1775" i="86"/>
  <c r="AG2105" i="86"/>
  <c r="AH2483" i="86"/>
  <c r="AH2099" i="86"/>
  <c r="AH1561" i="86"/>
  <c r="AH2008" i="86"/>
  <c r="AG265" i="86"/>
  <c r="AH1283" i="86"/>
  <c r="AH1034" i="86"/>
  <c r="AH1386" i="86"/>
  <c r="AH2336" i="86"/>
  <c r="AH15" i="86"/>
  <c r="AG2245" i="86"/>
  <c r="AH2546" i="86"/>
  <c r="AH2507" i="86"/>
  <c r="AG2481" i="86"/>
  <c r="AG2135" i="86"/>
  <c r="AG1136" i="86"/>
  <c r="AH2348" i="86"/>
  <c r="AG1717" i="86"/>
  <c r="AG412" i="86"/>
  <c r="AH48" i="86"/>
  <c r="AG2178" i="86"/>
  <c r="AH2602" i="86"/>
  <c r="AH1101" i="86"/>
  <c r="AG2581" i="86"/>
  <c r="AG1705" i="86"/>
  <c r="AG544" i="86"/>
  <c r="AH2171" i="86"/>
  <c r="AG2474" i="86"/>
  <c r="AG1544" i="86"/>
  <c r="AG1798" i="86"/>
  <c r="AH2290" i="86"/>
  <c r="AG2402" i="86"/>
  <c r="AG2269" i="86"/>
  <c r="AG1388" i="86"/>
  <c r="AG1639" i="86"/>
  <c r="AG2600" i="86"/>
  <c r="AG1290" i="86"/>
  <c r="AG1513" i="86"/>
  <c r="AH2364" i="86"/>
  <c r="AG2444" i="86"/>
  <c r="AG1520" i="86"/>
  <c r="AG1772" i="86"/>
  <c r="AH2398" i="86"/>
  <c r="AG1450" i="86"/>
  <c r="AH1677" i="86"/>
  <c r="AH2152" i="86"/>
  <c r="AG2351" i="86"/>
  <c r="AH2509" i="86"/>
  <c r="AG2306" i="86"/>
  <c r="AH2544" i="86"/>
  <c r="AH1743" i="86"/>
  <c r="AH440" i="86"/>
  <c r="AH605" i="86"/>
  <c r="AG2491" i="86"/>
  <c r="AH1602" i="86"/>
  <c r="AH2134" i="86"/>
  <c r="AG1316" i="86"/>
  <c r="AG2070" i="86"/>
  <c r="AG2247" i="86"/>
  <c r="AH497" i="86"/>
  <c r="AG1972" i="86"/>
  <c r="AG848" i="86"/>
  <c r="AG2601" i="86"/>
  <c r="AH2340" i="86"/>
  <c r="AH1945" i="86"/>
  <c r="AG1915" i="86"/>
  <c r="AH1815" i="86"/>
  <c r="AG2418" i="86"/>
  <c r="AH2413" i="86"/>
  <c r="AG2374" i="86"/>
  <c r="AH2407" i="86"/>
  <c r="AG400" i="86"/>
  <c r="AG2415" i="86"/>
  <c r="AG2286" i="86"/>
  <c r="AG1400" i="86"/>
  <c r="AG1651" i="86"/>
  <c r="AH2614" i="86"/>
  <c r="AH1263" i="86"/>
  <c r="AG2092" i="86"/>
  <c r="AG1244" i="86"/>
  <c r="AG1495" i="86"/>
  <c r="AG2391" i="86"/>
  <c r="AG1130" i="86"/>
  <c r="AG1341" i="86"/>
  <c r="AG2389" i="86"/>
  <c r="AG2254" i="86"/>
  <c r="AG1376" i="86"/>
  <c r="AG1627" i="86"/>
  <c r="AG2580" i="86"/>
  <c r="AG1276" i="86"/>
  <c r="AH1440" i="86"/>
  <c r="AH1944" i="86"/>
  <c r="AG2148" i="86"/>
  <c r="AG2501" i="86"/>
  <c r="AG2110" i="86"/>
  <c r="AG2369" i="86"/>
  <c r="AH1935" i="86"/>
  <c r="AH1316" i="86"/>
  <c r="AH1881" i="86"/>
  <c r="AH1428" i="86"/>
  <c r="AH2285" i="86"/>
  <c r="AH1828" i="86"/>
  <c r="AG2495" i="86"/>
  <c r="AG2034" i="86"/>
  <c r="AG1694" i="86"/>
  <c r="AH1729" i="86"/>
  <c r="AG2229" i="86"/>
  <c r="AG2382" i="86"/>
  <c r="AG1835" i="86"/>
  <c r="AG1684" i="86"/>
  <c r="AG1745" i="86"/>
  <c r="AH891" i="86"/>
  <c r="AH2541" i="86"/>
  <c r="AG1700" i="86"/>
  <c r="AG1983" i="86"/>
  <c r="AG1670" i="86"/>
  <c r="AG1667" i="86"/>
  <c r="AG1974" i="86"/>
  <c r="AG2414" i="86"/>
  <c r="AH2326" i="86"/>
  <c r="AG824" i="86"/>
  <c r="AH2431" i="86"/>
  <c r="AH658" i="86"/>
  <c r="AG2152" i="86"/>
  <c r="AG2592" i="86"/>
  <c r="AH1560" i="86"/>
  <c r="AG2547" i="86"/>
  <c r="AG1681" i="86"/>
  <c r="AG520" i="86"/>
  <c r="AG705" i="86"/>
  <c r="AG2375" i="86"/>
  <c r="AH2412" i="86"/>
  <c r="AG800" i="86"/>
  <c r="AH2480" i="86"/>
  <c r="AG1820" i="86"/>
  <c r="AG652" i="86"/>
  <c r="AH2461" i="86"/>
  <c r="AG2426" i="86"/>
  <c r="AG1508" i="86"/>
  <c r="AG1759" i="86"/>
  <c r="AH2433" i="86"/>
  <c r="AG1434" i="86"/>
  <c r="AH1556" i="86"/>
  <c r="AG2604" i="86"/>
  <c r="AG1640" i="86"/>
  <c r="AG1912" i="86"/>
  <c r="AH1474" i="86"/>
  <c r="AG1594" i="86"/>
  <c r="AG1866" i="86"/>
  <c r="AG2309" i="86"/>
  <c r="AH2487" i="86"/>
  <c r="AG764" i="86"/>
  <c r="AH1911" i="86"/>
  <c r="AH2110" i="86"/>
  <c r="AG2417" i="86"/>
  <c r="AH1291" i="86"/>
  <c r="AG2392" i="86"/>
  <c r="AG1995" i="86"/>
  <c r="AH2243" i="86"/>
  <c r="AG1992" i="86"/>
  <c r="AH1496" i="86"/>
  <c r="AG1256" i="86"/>
  <c r="AG2019" i="86"/>
  <c r="AG1532" i="86"/>
  <c r="AG2005" i="86"/>
  <c r="AH1712" i="86"/>
  <c r="AG1232" i="86"/>
  <c r="AG2373" i="86"/>
  <c r="AH316" i="86"/>
  <c r="AG1970" i="86"/>
  <c r="AG1935" i="86"/>
  <c r="AH1747" i="86"/>
  <c r="AG1894" i="86"/>
  <c r="AG2485" i="86"/>
  <c r="AG2140" i="86"/>
  <c r="AH2474" i="86"/>
  <c r="AH1707" i="86"/>
  <c r="AG1196" i="86"/>
  <c r="AG2477" i="86"/>
  <c r="AG1406" i="86"/>
  <c r="AG1122" i="86"/>
  <c r="AG722" i="86"/>
  <c r="AG2040" i="86"/>
  <c r="AG1565" i="86"/>
  <c r="AG961" i="86"/>
  <c r="AG1312" i="86"/>
  <c r="AG1538" i="86"/>
  <c r="AG1693" i="86"/>
  <c r="AG1379" i="86"/>
  <c r="AG1342" i="86"/>
  <c r="AH2548" i="86"/>
  <c r="AG1289" i="86"/>
  <c r="AG1510" i="86"/>
  <c r="AG2063" i="86"/>
  <c r="AG1602" i="86"/>
  <c r="AG1128" i="86"/>
  <c r="AG698" i="86"/>
  <c r="AH1199" i="86"/>
  <c r="AG309" i="86"/>
  <c r="AH2450" i="86"/>
  <c r="AG1614" i="86"/>
  <c r="AG711" i="86"/>
  <c r="AH2449" i="86"/>
  <c r="AG501" i="86"/>
  <c r="AG189" i="86"/>
  <c r="AG547" i="86"/>
  <c r="AG2561" i="86"/>
  <c r="AG1743" i="86"/>
  <c r="AG185" i="86"/>
  <c r="AH926" i="86"/>
  <c r="AH1564" i="86"/>
  <c r="AG2407" i="86"/>
  <c r="AH2592" i="86"/>
  <c r="AG2317" i="86"/>
  <c r="AG2187" i="86"/>
  <c r="AG1557" i="86"/>
  <c r="AG2212" i="86"/>
  <c r="AG1821" i="86"/>
  <c r="AH1749" i="86"/>
  <c r="AG1112" i="86"/>
  <c r="AH810" i="86"/>
  <c r="AG1100" i="86"/>
  <c r="AG1834" i="86"/>
  <c r="AH638" i="86"/>
  <c r="AG1088" i="86"/>
  <c r="AG2171" i="86"/>
  <c r="AH1225" i="86"/>
  <c r="AG1799" i="86"/>
  <c r="AG1766" i="86"/>
  <c r="AH1049" i="86"/>
  <c r="AH2469" i="86"/>
  <c r="AG2279" i="86"/>
  <c r="AG1791" i="86"/>
  <c r="AG2432" i="86"/>
  <c r="AG2586" i="86"/>
  <c r="AG1052" i="86"/>
  <c r="AG1906" i="86"/>
  <c r="AG1235" i="86"/>
  <c r="AG965" i="86"/>
  <c r="AG2502" i="86"/>
  <c r="AG1637" i="86"/>
  <c r="AG1358" i="86"/>
  <c r="AG2265" i="86"/>
  <c r="AG1079" i="86"/>
  <c r="AG1211" i="86"/>
  <c r="AG1478" i="86"/>
  <c r="AG1163" i="86"/>
  <c r="AG767" i="86"/>
  <c r="AG2226" i="86"/>
  <c r="AG1060" i="86"/>
  <c r="AG1185" i="86"/>
  <c r="AH1848" i="86"/>
  <c r="AG942" i="86"/>
  <c r="AG940" i="86"/>
  <c r="AH2589" i="86"/>
  <c r="AH1798" i="86"/>
  <c r="AH2146" i="86"/>
  <c r="AG1734" i="86"/>
  <c r="AG1367" i="86"/>
  <c r="AG2582" i="86"/>
  <c r="AG1760" i="86"/>
  <c r="AG297" i="86"/>
  <c r="AG45" i="86"/>
  <c r="AG374" i="86"/>
  <c r="AG2127" i="86"/>
  <c r="AG1476" i="86"/>
  <c r="AG13" i="86"/>
  <c r="AH1536" i="86"/>
  <c r="AH2105" i="86"/>
  <c r="AG1741" i="86"/>
  <c r="AH2173" i="86"/>
  <c r="AG2006" i="86"/>
  <c r="AG743" i="86"/>
  <c r="AG2028" i="86"/>
  <c r="AH2213" i="86"/>
  <c r="AH1175" i="86"/>
  <c r="AG968" i="86"/>
  <c r="AH2315" i="86"/>
  <c r="AG956" i="86"/>
  <c r="AH2484" i="86"/>
  <c r="AH1330" i="86"/>
  <c r="AG944" i="86"/>
  <c r="AG1991" i="86"/>
  <c r="AH1249" i="86"/>
  <c r="AG1652" i="86"/>
  <c r="AH1270" i="86"/>
  <c r="AH1869" i="86"/>
  <c r="AG2538" i="86"/>
  <c r="AG2085" i="86"/>
  <c r="AH1416" i="86"/>
  <c r="AG2129" i="86"/>
  <c r="AG2396" i="86"/>
  <c r="AG908" i="86"/>
  <c r="AH1638" i="86"/>
  <c r="AG1078" i="86"/>
  <c r="AG808" i="86"/>
  <c r="AG2461" i="86"/>
  <c r="AG1395" i="86"/>
  <c r="AG1159" i="86"/>
  <c r="AH829" i="86"/>
  <c r="AG853" i="86"/>
  <c r="AG906" i="86"/>
  <c r="AG532" i="86"/>
  <c r="AG958" i="86"/>
  <c r="AG590" i="86"/>
  <c r="AH1475" i="86"/>
  <c r="AG835" i="86"/>
  <c r="AG883" i="86"/>
  <c r="AG1392" i="86"/>
  <c r="AG738" i="86"/>
  <c r="AG751" i="86"/>
  <c r="AG2190" i="86"/>
  <c r="AG1928" i="86"/>
  <c r="AH1870" i="86"/>
  <c r="AH477" i="86"/>
  <c r="AH1087" i="86"/>
  <c r="AH2584" i="86"/>
  <c r="AG1682" i="86"/>
  <c r="AH2092" i="86"/>
  <c r="AG1857" i="86"/>
  <c r="AG1862" i="86"/>
  <c r="AH2230" i="86"/>
  <c r="AH1398" i="86"/>
  <c r="AH2258" i="86"/>
  <c r="AG812" i="86"/>
  <c r="AG1464" i="86"/>
  <c r="AH2288" i="86"/>
  <c r="AH1716" i="86"/>
  <c r="AH321" i="86"/>
  <c r="AG2363" i="86"/>
  <c r="AG1364" i="86"/>
  <c r="AG2562" i="86"/>
  <c r="AH2529" i="86"/>
  <c r="AG2331" i="86"/>
  <c r="AG1747" i="86"/>
  <c r="AH2571" i="86"/>
  <c r="AH2148" i="86"/>
  <c r="AG2208" i="86"/>
  <c r="AH2029" i="86"/>
  <c r="AH2481" i="86"/>
  <c r="AG921" i="86"/>
  <c r="AG657" i="86"/>
  <c r="AG1765" i="86"/>
  <c r="AG1178" i="86"/>
  <c r="AG971" i="86"/>
  <c r="AG2523" i="86"/>
  <c r="AH2577" i="86"/>
  <c r="AG637" i="86"/>
  <c r="AG2153" i="86"/>
  <c r="AG391" i="86"/>
  <c r="AG418" i="86"/>
  <c r="AG2487" i="86"/>
  <c r="AG2593" i="86"/>
  <c r="AG618" i="86"/>
  <c r="AG1571" i="86"/>
  <c r="AG550" i="86"/>
  <c r="AG576" i="86"/>
  <c r="AH1802" i="86"/>
  <c r="AG2246" i="86"/>
  <c r="AG1344" i="86"/>
  <c r="AG1307" i="86"/>
  <c r="AG903" i="86"/>
  <c r="AG1768" i="86"/>
  <c r="AG1730" i="86"/>
  <c r="AG2329" i="86"/>
  <c r="AH2493" i="86"/>
  <c r="AG67" i="86"/>
  <c r="AG2372" i="86"/>
  <c r="AG1003" i="86"/>
  <c r="AG1787" i="86"/>
  <c r="AG1884" i="86"/>
  <c r="AH2377" i="86"/>
  <c r="AH2485" i="86"/>
  <c r="AG199" i="86"/>
  <c r="AH2372" i="86"/>
  <c r="AG1212" i="86"/>
  <c r="AG2380" i="86"/>
  <c r="AG453" i="86"/>
  <c r="AG165" i="86"/>
  <c r="AG518" i="86"/>
  <c r="AG2488" i="86"/>
  <c r="AG1689" i="86"/>
  <c r="AG2193" i="86"/>
  <c r="AG441" i="86"/>
  <c r="AG153" i="86"/>
  <c r="AG504" i="86"/>
  <c r="AG2449" i="86"/>
  <c r="AG1665" i="86"/>
  <c r="AG1149" i="86"/>
  <c r="AG636" i="86"/>
  <c r="AG1034" i="86"/>
  <c r="AG1035" i="86"/>
  <c r="AH2115" i="86"/>
  <c r="AG829" i="86"/>
  <c r="AG1465" i="86"/>
  <c r="AG1882" i="86"/>
  <c r="AG2130" i="86"/>
  <c r="AG1526" i="86"/>
  <c r="AH1816" i="86"/>
  <c r="AH1285" i="86"/>
  <c r="AH1578" i="86"/>
  <c r="AG2608" i="86"/>
  <c r="AG2042" i="86"/>
  <c r="AG2498" i="86"/>
  <c r="AH2401" i="86"/>
  <c r="AG836" i="86"/>
  <c r="AG2168" i="86"/>
  <c r="AG2165" i="86"/>
  <c r="AG1507" i="86"/>
  <c r="AG2401" i="86"/>
  <c r="AG1785" i="86"/>
  <c r="AG816" i="86"/>
  <c r="AG2126" i="86"/>
  <c r="AG1941" i="86"/>
  <c r="AG1622" i="86"/>
  <c r="AG2113" i="86"/>
  <c r="AH1823" i="86"/>
  <c r="AH989" i="86"/>
  <c r="AG2322" i="86"/>
  <c r="AG1956" i="86"/>
  <c r="AH2518" i="86"/>
  <c r="AG2052" i="86"/>
  <c r="AH132" i="86"/>
  <c r="AG1881" i="86"/>
  <c r="AG1898" i="86"/>
  <c r="AG2321" i="86"/>
  <c r="AG616" i="86"/>
  <c r="AG2360" i="86"/>
  <c r="AG604" i="86"/>
  <c r="AG770" i="86"/>
  <c r="AG115" i="86"/>
  <c r="AG1726" i="86"/>
  <c r="AG1566" i="86"/>
  <c r="AG231" i="86"/>
  <c r="AG756" i="86"/>
  <c r="AG81" i="86"/>
  <c r="AG103" i="86"/>
  <c r="AG1701" i="86"/>
  <c r="AG1540" i="86"/>
  <c r="AG2462" i="86"/>
  <c r="AG1005" i="86"/>
  <c r="AG215" i="86"/>
  <c r="AG239" i="86"/>
  <c r="AG2024" i="86"/>
  <c r="AG388" i="86"/>
  <c r="AG927" i="86"/>
  <c r="AG924" i="86"/>
  <c r="AG2596" i="86"/>
  <c r="AG1249" i="86"/>
  <c r="AH293" i="86"/>
  <c r="AH591" i="86"/>
  <c r="AG884" i="86"/>
  <c r="AG2202" i="86"/>
  <c r="AG1280" i="86"/>
  <c r="AG2189" i="86"/>
  <c r="AH2027" i="86"/>
  <c r="AG2570" i="86"/>
  <c r="AG1901" i="86"/>
  <c r="AH2559" i="86"/>
  <c r="AG1363" i="86"/>
  <c r="AH1979" i="86"/>
  <c r="AG1351" i="86"/>
  <c r="AG664" i="86"/>
  <c r="AH2593" i="86"/>
  <c r="AG1483" i="86"/>
  <c r="AG1117" i="86"/>
  <c r="AH1465" i="86"/>
  <c r="AG2295" i="86"/>
  <c r="AG2073" i="86"/>
  <c r="AG2100" i="86"/>
  <c r="AG1786" i="86"/>
  <c r="AG2496" i="86"/>
  <c r="AG1794" i="86"/>
  <c r="AH2555" i="86"/>
  <c r="AH1690" i="86"/>
  <c r="AG1735" i="86"/>
  <c r="AG2124" i="86"/>
  <c r="AG472" i="86"/>
  <c r="AG2015" i="86"/>
  <c r="AG2225" i="86"/>
  <c r="AG578" i="86"/>
  <c r="AH1733" i="86"/>
  <c r="AG1466" i="86"/>
  <c r="AG1236" i="86"/>
  <c r="AG54" i="86"/>
  <c r="AG549" i="86"/>
  <c r="AH2156" i="86"/>
  <c r="AH1996" i="86"/>
  <c r="AG1443" i="86"/>
  <c r="AG1213" i="86"/>
  <c r="AG1851" i="86"/>
  <c r="AG730" i="86"/>
  <c r="AG69" i="86"/>
  <c r="AG91" i="86"/>
  <c r="AG1677" i="86"/>
  <c r="AG1953" i="86"/>
  <c r="AG708" i="86"/>
  <c r="AG735" i="86"/>
  <c r="AG2159" i="86"/>
  <c r="AG1023" i="86"/>
  <c r="AG2563" i="86"/>
  <c r="AH185" i="86"/>
  <c r="AG1567" i="86"/>
  <c r="AG2524" i="86"/>
  <c r="AH708" i="86"/>
  <c r="AG1923" i="86"/>
  <c r="AG2427" i="86"/>
  <c r="AG2366" i="86"/>
  <c r="AG1492" i="86"/>
  <c r="AG2106" i="86"/>
  <c r="AH1265" i="86"/>
  <c r="AG2459" i="86"/>
  <c r="AH1458" i="86"/>
  <c r="AG376" i="86"/>
  <c r="AG2078" i="86"/>
  <c r="AG1339" i="86"/>
  <c r="AG960" i="86"/>
  <c r="AH2351" i="86"/>
  <c r="AG2101" i="86"/>
  <c r="AG1816" i="86"/>
  <c r="AH2268" i="86"/>
  <c r="AG1496" i="86"/>
  <c r="AG2290" i="86"/>
  <c r="AG1420" i="86"/>
  <c r="AG2297" i="86"/>
  <c r="AG2521" i="86"/>
  <c r="AG1591" i="86"/>
  <c r="AG1948" i="86"/>
  <c r="AG2405" i="86"/>
  <c r="AG1716" i="86"/>
  <c r="AG1643" i="86"/>
  <c r="AG93" i="86"/>
  <c r="AG2458" i="86"/>
  <c r="AG1218" i="86"/>
  <c r="AG935" i="86"/>
  <c r="AH2293" i="86"/>
  <c r="AG357" i="86"/>
  <c r="AH2296" i="86"/>
  <c r="AG2420" i="86"/>
  <c r="AG1200" i="86"/>
  <c r="AG430" i="86"/>
  <c r="AG1474" i="86"/>
  <c r="AG537" i="86"/>
  <c r="AH2284" i="86"/>
  <c r="AH2201" i="86"/>
  <c r="AG954" i="86"/>
  <c r="AG1541" i="86"/>
  <c r="AG535" i="86"/>
  <c r="AG562" i="86"/>
  <c r="AH2054" i="86"/>
  <c r="AG1869" i="86"/>
  <c r="AG1910" i="86"/>
  <c r="AG1115" i="86"/>
  <c r="AG1497" i="86"/>
  <c r="AG1595" i="86"/>
  <c r="AG1142" i="86"/>
  <c r="AG1457" i="86"/>
  <c r="AG567" i="86"/>
  <c r="AH2202" i="86"/>
  <c r="AH79" i="86"/>
  <c r="AH2127" i="86"/>
  <c r="AH1966" i="86"/>
  <c r="AH2374" i="86"/>
  <c r="AG1506" i="86"/>
  <c r="AH1450" i="86"/>
  <c r="AG2162" i="86"/>
  <c r="AG688" i="86"/>
  <c r="AG1946" i="86"/>
  <c r="AG2564" i="86"/>
  <c r="AG1933" i="86"/>
  <c r="AH2455" i="86"/>
  <c r="AG1691" i="86"/>
  <c r="AG1920" i="86"/>
  <c r="AH1635" i="86"/>
  <c r="AG803" i="86"/>
  <c r="AH2612" i="86"/>
  <c r="AG1926" i="86"/>
  <c r="AG1608" i="86"/>
  <c r="AH2012" i="86"/>
  <c r="AG1064" i="86"/>
  <c r="AG2094" i="86"/>
  <c r="AG934" i="86"/>
  <c r="AH1711" i="86"/>
  <c r="AG1942" i="86"/>
  <c r="AG1447" i="86"/>
  <c r="AG1778" i="86"/>
  <c r="AG1846" i="86"/>
  <c r="AG1500" i="86"/>
  <c r="AG1325" i="86"/>
  <c r="AH2157" i="86"/>
  <c r="AG2031" i="86"/>
  <c r="AG994" i="86"/>
  <c r="AG655" i="86"/>
  <c r="AH2361" i="86"/>
  <c r="AH1808" i="86"/>
  <c r="AG2448" i="86"/>
  <c r="AG2002" i="86"/>
  <c r="AG975" i="86"/>
  <c r="AG232" i="86"/>
  <c r="AH2165" i="86"/>
  <c r="AG321" i="86"/>
  <c r="AH2396" i="86"/>
  <c r="AG2381" i="86"/>
  <c r="AG729" i="86"/>
  <c r="AH1948" i="86"/>
  <c r="AH1498" i="86"/>
  <c r="AH2242" i="86"/>
  <c r="AG2440" i="86"/>
  <c r="AG2180" i="86"/>
  <c r="AG2588" i="86"/>
  <c r="AH2140" i="86"/>
  <c r="AH2397" i="86"/>
  <c r="AG2560" i="86"/>
  <c r="AG2609" i="86"/>
  <c r="AG2408" i="86"/>
  <c r="AH2373" i="86"/>
  <c r="AH2354" i="86"/>
  <c r="AG1018" i="86"/>
  <c r="AG2573" i="86"/>
  <c r="AG1949" i="86"/>
  <c r="AG2483" i="86"/>
  <c r="AH1362" i="86"/>
  <c r="AH1759" i="86"/>
  <c r="AG790" i="86"/>
  <c r="AH2393" i="86"/>
  <c r="AH1931" i="86"/>
  <c r="AG1754" i="86"/>
  <c r="AG484" i="86"/>
  <c r="AG2558" i="86"/>
  <c r="AG1484" i="86"/>
  <c r="AH1981" i="86"/>
  <c r="AG2030" i="86"/>
  <c r="AG1455" i="86"/>
  <c r="AG1099" i="86"/>
  <c r="AG381" i="86"/>
  <c r="AG2115" i="86"/>
  <c r="AG1429" i="86"/>
  <c r="AH2531" i="86"/>
  <c r="AG2590" i="86"/>
  <c r="AH2566" i="86"/>
  <c r="AG1989" i="86"/>
  <c r="AG1780" i="86"/>
  <c r="AG1407" i="86"/>
  <c r="AG1825" i="86"/>
  <c r="AG2531" i="86"/>
  <c r="AG2102" i="86"/>
  <c r="AG2422" i="86"/>
  <c r="AG2061" i="86"/>
  <c r="AG1150" i="86"/>
  <c r="AG2174" i="86"/>
  <c r="AG717" i="86"/>
  <c r="AG57" i="86"/>
  <c r="AG79" i="86"/>
  <c r="AG1164" i="86"/>
  <c r="AG858" i="86"/>
  <c r="AG978" i="86"/>
  <c r="AG521" i="86"/>
  <c r="AG909" i="86"/>
  <c r="AG885" i="86"/>
  <c r="AG2542" i="86"/>
  <c r="AG586" i="86"/>
  <c r="AH645" i="86"/>
  <c r="AH1938" i="86"/>
  <c r="AH468" i="86"/>
  <c r="AH91" i="86"/>
  <c r="AH1111" i="86"/>
  <c r="AG1537" i="86"/>
  <c r="AH2192" i="86"/>
  <c r="AG488" i="86"/>
  <c r="AH1884" i="86"/>
  <c r="AH349" i="86"/>
  <c r="AH1573" i="86"/>
  <c r="AH2025" i="86"/>
  <c r="AH1500" i="86"/>
  <c r="AH1223" i="86"/>
  <c r="AH216" i="86"/>
  <c r="AG162" i="86"/>
  <c r="AH1783" i="86"/>
  <c r="AH2457" i="86"/>
  <c r="AH1366" i="86"/>
  <c r="AH1985" i="86"/>
  <c r="AG1855" i="86"/>
  <c r="AH1379" i="86"/>
  <c r="AH887" i="86"/>
  <c r="AH1794" i="86"/>
  <c r="AH486" i="86"/>
  <c r="AG6" i="86"/>
  <c r="AH1691" i="86"/>
  <c r="AH883" i="86"/>
  <c r="AH729" i="86"/>
  <c r="AH706" i="86"/>
  <c r="AH1343" i="86"/>
  <c r="AG2551" i="86"/>
  <c r="AH995" i="86"/>
  <c r="AH1282" i="86"/>
  <c r="AH178" i="86"/>
  <c r="AG135" i="86"/>
  <c r="AH2588" i="86"/>
  <c r="AH137" i="86"/>
  <c r="AH1930" i="86"/>
  <c r="AH52" i="86"/>
  <c r="AH1704" i="86"/>
  <c r="AH2123" i="86"/>
  <c r="AH1571" i="86"/>
  <c r="AH724" i="86"/>
  <c r="AH1669" i="86"/>
  <c r="AH2294" i="86"/>
  <c r="AH1667" i="86"/>
  <c r="AH1436" i="86"/>
  <c r="AH124" i="86"/>
  <c r="AG580" i="86"/>
  <c r="AH487" i="86"/>
  <c r="AG2177" i="86"/>
  <c r="AH1978" i="86"/>
  <c r="AH34" i="86"/>
  <c r="AH1349" i="86"/>
  <c r="AG2107" i="86"/>
  <c r="AH2419" i="86"/>
  <c r="AH1821" i="86"/>
  <c r="AG2035" i="86"/>
  <c r="AH1615" i="86"/>
  <c r="AH1534" i="86"/>
  <c r="AH112" i="86"/>
  <c r="AG855" i="86"/>
  <c r="AG2048" i="86"/>
  <c r="AH374" i="86"/>
  <c r="AG992" i="86"/>
  <c r="AG1815" i="86"/>
  <c r="AH2543" i="86"/>
  <c r="AG2013" i="86"/>
  <c r="AG2241" i="86"/>
  <c r="AG939" i="86"/>
  <c r="AG2493" i="86"/>
  <c r="AH1244" i="86"/>
  <c r="AH1895" i="86"/>
  <c r="AH2249" i="86"/>
  <c r="AH1314" i="86"/>
  <c r="AH1811" i="86"/>
  <c r="AH915" i="86"/>
  <c r="AH2568" i="86"/>
  <c r="AH808" i="86"/>
  <c r="AH1610" i="86"/>
  <c r="AG804" i="86"/>
  <c r="AG444" i="86"/>
  <c r="AH1444" i="86"/>
  <c r="AH633" i="86"/>
  <c r="AH1143" i="86"/>
  <c r="AH450" i="86"/>
  <c r="AH1105" i="86"/>
  <c r="AH536" i="86"/>
  <c r="AG2275" i="86"/>
  <c r="AH1777" i="86"/>
  <c r="AH1937" i="86"/>
  <c r="AH1642" i="86"/>
  <c r="AH1940" i="86"/>
  <c r="AH298" i="86"/>
  <c r="AH616" i="86"/>
  <c r="AH1112" i="86"/>
  <c r="AH1826" i="86"/>
  <c r="AH1150" i="86"/>
  <c r="AH1164" i="86"/>
  <c r="AH117" i="86"/>
  <c r="AH2007" i="86"/>
  <c r="AH138" i="86"/>
  <c r="AH353" i="86"/>
  <c r="AH2409" i="86"/>
  <c r="AH1703" i="86"/>
  <c r="AH2103" i="86"/>
  <c r="AH709" i="86"/>
  <c r="AH1411" i="86"/>
  <c r="AH1932" i="86"/>
  <c r="AG2468" i="86"/>
  <c r="AH348" i="86"/>
  <c r="AH2053" i="86"/>
  <c r="AH1959" i="86"/>
  <c r="AH2033" i="86"/>
  <c r="AH86" i="86"/>
  <c r="AH1799" i="86"/>
  <c r="AH1429" i="86"/>
  <c r="AH1632" i="86"/>
  <c r="AH1641" i="86"/>
  <c r="AH1515" i="86"/>
  <c r="AH2235" i="86"/>
  <c r="AH2097" i="86"/>
  <c r="AH1953" i="86"/>
  <c r="AH41" i="86"/>
  <c r="AH2585" i="86"/>
  <c r="AH491" i="86"/>
  <c r="AH2295" i="86"/>
  <c r="AH1483" i="86"/>
  <c r="AH1427" i="86"/>
  <c r="AH2516" i="86"/>
  <c r="AH2120" i="86"/>
  <c r="AH2091" i="86"/>
  <c r="AH1958" i="86"/>
  <c r="AH400" i="86"/>
  <c r="AH2187" i="86"/>
  <c r="AH1021" i="86"/>
  <c r="AG2215" i="86"/>
  <c r="AH1603" i="86"/>
  <c r="AH881" i="86"/>
  <c r="AH2045" i="86"/>
  <c r="AH2383" i="86"/>
  <c r="AG2376" i="86"/>
  <c r="AH10" i="86"/>
  <c r="AG2270" i="86"/>
  <c r="AH2527" i="86"/>
  <c r="AG740" i="86"/>
  <c r="AH2574" i="86"/>
  <c r="AG1753" i="86"/>
  <c r="AG592" i="86"/>
  <c r="AG782" i="86"/>
  <c r="AH1849" i="86"/>
  <c r="AH1965" i="86"/>
  <c r="AG1899" i="86"/>
  <c r="AG2211" i="86"/>
  <c r="AG1863" i="86"/>
  <c r="AG1966" i="86"/>
  <c r="AG2328" i="86"/>
  <c r="AH520" i="86"/>
  <c r="AH1757" i="86"/>
  <c r="AG2522" i="86"/>
  <c r="AG1580" i="86"/>
  <c r="AG1840" i="86"/>
  <c r="AH2060" i="86"/>
  <c r="AG1522" i="86"/>
  <c r="AH1658" i="86"/>
  <c r="AG514" i="86"/>
  <c r="AG1587" i="86"/>
  <c r="AH673" i="86"/>
  <c r="AH288" i="86"/>
  <c r="AH1298" i="86"/>
  <c r="AH1091" i="86"/>
  <c r="AG204" i="86"/>
  <c r="AH1118" i="86"/>
  <c r="AH1238" i="86"/>
  <c r="AH1247" i="86"/>
  <c r="AH1851" i="86"/>
  <c r="AH1803" i="86"/>
  <c r="AH1201" i="86"/>
  <c r="AH1137" i="86"/>
  <c r="AH876" i="86"/>
  <c r="AH1504" i="86"/>
  <c r="AH1020" i="86"/>
  <c r="AH1340" i="86"/>
  <c r="AH434" i="86"/>
  <c r="AH1029" i="86"/>
  <c r="AH2181" i="86"/>
  <c r="AH1507" i="86"/>
  <c r="AH1795" i="86"/>
  <c r="AG2337" i="86"/>
  <c r="AH1957" i="86"/>
  <c r="AH2277" i="86"/>
  <c r="AH1998" i="86"/>
  <c r="AH1723" i="86"/>
  <c r="AH2117" i="86"/>
  <c r="AG2310" i="86"/>
  <c r="AH1069" i="86"/>
  <c r="AH2225" i="86"/>
  <c r="AH2312" i="86"/>
  <c r="AH2207" i="86"/>
  <c r="AH910" i="86"/>
  <c r="AH2199" i="86"/>
  <c r="AH2048" i="86"/>
  <c r="AH1897" i="86"/>
  <c r="AH2101" i="86"/>
  <c r="AH513" i="86"/>
  <c r="AH1123" i="86"/>
  <c r="AH2434" i="86"/>
  <c r="AH2304" i="86"/>
  <c r="AH1577" i="86"/>
  <c r="AG2455" i="86"/>
  <c r="AH1167" i="86"/>
  <c r="AH2456" i="86"/>
  <c r="AH1785" i="86"/>
  <c r="AH1988" i="86"/>
  <c r="AG2559" i="86"/>
  <c r="AH2350" i="86"/>
  <c r="AH2265" i="86"/>
  <c r="AH2137" i="86"/>
  <c r="AH1113" i="86"/>
  <c r="AH77" i="86"/>
  <c r="AH1471" i="86"/>
  <c r="AG2071" i="86"/>
  <c r="AH1875" i="86"/>
  <c r="AH1387" i="86"/>
  <c r="AH2219" i="86"/>
  <c r="AH2565" i="86"/>
  <c r="AG2219" i="86"/>
  <c r="AG2611" i="86"/>
  <c r="AH1181" i="86"/>
  <c r="AG2486" i="86"/>
  <c r="AH2174" i="86"/>
  <c r="AG2445" i="86"/>
  <c r="AH2002" i="86"/>
  <c r="AG448" i="86"/>
  <c r="AG633" i="86"/>
  <c r="AH2074" i="86"/>
  <c r="AH2488" i="86"/>
  <c r="AG1736" i="86"/>
  <c r="AG2027" i="86"/>
  <c r="AG1706" i="86"/>
  <c r="AG1720" i="86"/>
  <c r="AG2039" i="86"/>
  <c r="AH2587" i="86"/>
  <c r="AG2520" i="86"/>
  <c r="AG2332" i="86"/>
  <c r="AG1436" i="86"/>
  <c r="AG1687" i="86"/>
  <c r="AH2557" i="86"/>
  <c r="AG1348" i="86"/>
  <c r="AG2059" i="86"/>
  <c r="AH2066" i="86"/>
  <c r="AG313" i="86"/>
  <c r="AG16" i="86"/>
  <c r="AG1199" i="86"/>
  <c r="AG1359" i="86"/>
  <c r="AH1093" i="86"/>
  <c r="AH64" i="86"/>
  <c r="AH934" i="86"/>
  <c r="AH1183" i="86"/>
  <c r="AH249" i="86"/>
  <c r="AH1260" i="86"/>
  <c r="AH2248" i="86"/>
  <c r="AH929" i="86"/>
  <c r="AH2191" i="86"/>
  <c r="AH470" i="86"/>
  <c r="AH386" i="86"/>
  <c r="AH1699" i="86"/>
  <c r="AH959" i="86"/>
  <c r="AH1792" i="86"/>
  <c r="AH1856" i="86"/>
  <c r="AH1442" i="86"/>
  <c r="AH2556" i="86"/>
  <c r="AH2195" i="86"/>
  <c r="AH2056" i="86"/>
  <c r="AH2308" i="86"/>
  <c r="AH1302" i="86"/>
  <c r="AH610" i="86"/>
  <c r="AH2150" i="86"/>
  <c r="AH2452" i="86"/>
  <c r="AH1665" i="86"/>
  <c r="AH1788" i="86"/>
  <c r="AH657" i="86"/>
  <c r="AH530" i="86"/>
  <c r="AH1030" i="86"/>
  <c r="AH1718" i="86"/>
  <c r="AG2598" i="86"/>
  <c r="AH2537" i="86"/>
  <c r="AH2267" i="86"/>
  <c r="AH1304" i="86"/>
  <c r="AH1038" i="86"/>
  <c r="AH1521" i="86"/>
  <c r="AH1010" i="86"/>
  <c r="AH2526" i="86"/>
  <c r="AH108" i="86"/>
  <c r="AG2251" i="86"/>
  <c r="AH1545" i="86"/>
  <c r="AH766" i="86"/>
  <c r="AH2017" i="86"/>
  <c r="AH2332" i="86"/>
  <c r="AH510" i="86"/>
  <c r="AH2597" i="86"/>
  <c r="AH563" i="86"/>
  <c r="AH2309" i="86"/>
  <c r="AH1510" i="86"/>
  <c r="AH1482" i="86"/>
  <c r="AH1868" i="86"/>
  <c r="AG1927" i="86"/>
  <c r="AH2078" i="86"/>
  <c r="AH1706" i="86"/>
  <c r="AH2388" i="86"/>
  <c r="AH781" i="86"/>
  <c r="AH1394" i="86"/>
  <c r="AH695" i="86"/>
  <c r="AH373" i="86"/>
  <c r="AG2280" i="86"/>
  <c r="AH2586" i="86"/>
  <c r="AG2237" i="86"/>
  <c r="AG2577" i="86"/>
  <c r="AH1301" i="86"/>
  <c r="AG489" i="86"/>
  <c r="AH1506" i="86"/>
  <c r="AG2537" i="86"/>
  <c r="AG1592" i="86"/>
  <c r="AG1856" i="86"/>
  <c r="AH1982" i="86"/>
  <c r="AG1536" i="86"/>
  <c r="AG1782" i="86"/>
  <c r="AG2267" i="86"/>
  <c r="AG2206" i="86"/>
  <c r="AG2149" i="86"/>
  <c r="AG1292" i="86"/>
  <c r="AG1543" i="86"/>
  <c r="AG2460" i="86"/>
  <c r="AG1182" i="86"/>
  <c r="AH1896" i="86"/>
  <c r="AG1233" i="86"/>
  <c r="AG190" i="86"/>
  <c r="AH428" i="86"/>
  <c r="AG1938" i="86"/>
  <c r="AG684" i="86"/>
  <c r="AG392" i="86"/>
  <c r="AH527" i="86"/>
  <c r="AH1624" i="86"/>
  <c r="AH642" i="86"/>
  <c r="AH996" i="86"/>
  <c r="AH893" i="86"/>
  <c r="AH2561" i="86"/>
  <c r="AH1817" i="86"/>
  <c r="AH2335" i="86"/>
  <c r="AH1643" i="86"/>
  <c r="AH669" i="86"/>
  <c r="AH1853" i="86"/>
  <c r="AH1276" i="86"/>
  <c r="AH921" i="86"/>
  <c r="AH248" i="86"/>
  <c r="AH1750" i="86"/>
  <c r="AG2205" i="86"/>
  <c r="AH1036" i="86"/>
  <c r="AH2387" i="86"/>
  <c r="AH432" i="86"/>
  <c r="AH1907" i="86"/>
  <c r="AH1695" i="86"/>
  <c r="AH2324" i="86"/>
  <c r="AH1363" i="86"/>
  <c r="AH2114" i="86"/>
  <c r="AH2019" i="86"/>
  <c r="AH1264" i="86"/>
  <c r="AH1186" i="86"/>
  <c r="AH1462" i="86"/>
  <c r="AH1970" i="86"/>
  <c r="AG2441" i="86"/>
  <c r="AG2479" i="86"/>
  <c r="AH2432" i="86"/>
  <c r="AH1909" i="86"/>
  <c r="AH1862" i="86"/>
  <c r="AH1812" i="86"/>
  <c r="AH1762" i="86"/>
  <c r="AH1554" i="86"/>
  <c r="AH931" i="86"/>
  <c r="AG2095" i="86"/>
  <c r="AH1835" i="86"/>
  <c r="AH1321" i="86"/>
  <c r="AH2189" i="86"/>
  <c r="AH2539" i="86"/>
  <c r="AH337" i="86"/>
  <c r="AG2443" i="86"/>
  <c r="AH1210" i="86"/>
  <c r="AH2468" i="86"/>
  <c r="AH1809" i="86"/>
  <c r="AH2016" i="86"/>
  <c r="AH1325" i="86"/>
  <c r="AG1783" i="86"/>
  <c r="AH2252" i="86"/>
  <c r="AH1960" i="86"/>
  <c r="AH874" i="86"/>
  <c r="AH1705" i="86"/>
  <c r="AH1967" i="86"/>
  <c r="AH2339" i="86"/>
  <c r="AH2184" i="86"/>
  <c r="AG2086" i="86"/>
  <c r="AG2434" i="86"/>
  <c r="AG2049" i="86"/>
  <c r="AG2266" i="86"/>
  <c r="AH2560" i="86"/>
  <c r="AG345" i="86"/>
  <c r="AG2546" i="86"/>
  <c r="AG2348" i="86"/>
  <c r="AG1448" i="86"/>
  <c r="AG1699" i="86"/>
  <c r="AH2536" i="86"/>
  <c r="AG1362" i="86"/>
  <c r="AG1585" i="86"/>
  <c r="AG1937" i="86"/>
  <c r="AH2000" i="86"/>
  <c r="AG1985" i="86"/>
  <c r="AG1148" i="86"/>
  <c r="AG1399" i="86"/>
  <c r="AG2253" i="86"/>
  <c r="AG1025" i="86"/>
  <c r="AH1414" i="86"/>
  <c r="AG512" i="86"/>
  <c r="AH692" i="86"/>
  <c r="AH534" i="86"/>
  <c r="AH489" i="86"/>
  <c r="AH437" i="86"/>
  <c r="AH668" i="86"/>
  <c r="AH13" i="86"/>
  <c r="AH1397" i="86"/>
  <c r="AH180" i="86"/>
  <c r="AH1082" i="86"/>
  <c r="AH1135" i="86"/>
  <c r="AH815" i="86"/>
  <c r="AH2264" i="86"/>
  <c r="AH1645" i="86"/>
  <c r="AH2094" i="86"/>
  <c r="AH1122" i="86"/>
  <c r="AH1697" i="86"/>
  <c r="AH1974" i="86"/>
  <c r="AH735" i="86"/>
  <c r="AH1819" i="86"/>
  <c r="AH2341" i="86"/>
  <c r="AH319" i="86"/>
  <c r="AH2009" i="86"/>
  <c r="AG2192" i="86"/>
  <c r="AH1522" i="86"/>
  <c r="AH1426" i="86"/>
  <c r="AH1865" i="86"/>
  <c r="AH1173" i="86"/>
  <c r="AH54" i="86"/>
  <c r="AH1102" i="86"/>
  <c r="AH192" i="86"/>
  <c r="AH1376" i="86"/>
  <c r="AH674" i="86"/>
  <c r="AH2006" i="86"/>
  <c r="AH2319" i="86"/>
  <c r="AH936" i="86"/>
  <c r="AG2119" i="86"/>
  <c r="AH1258" i="86"/>
  <c r="AH2512" i="86"/>
  <c r="AH101" i="86"/>
  <c r="AH2208" i="86"/>
  <c r="AH2003" i="86"/>
  <c r="AH2052" i="86"/>
  <c r="AH1535" i="86"/>
  <c r="AG1951" i="86"/>
  <c r="AH2050" i="86"/>
  <c r="AH1662" i="86"/>
  <c r="AH2362" i="86"/>
  <c r="AH451" i="86"/>
  <c r="AH627" i="86"/>
  <c r="AG2227" i="86"/>
  <c r="AH1572" i="86"/>
  <c r="AH823" i="86"/>
  <c r="AH2031" i="86"/>
  <c r="AH2359" i="86"/>
  <c r="AH245" i="86"/>
  <c r="AH749" i="86"/>
  <c r="AH130" i="86"/>
  <c r="AH2139" i="86"/>
  <c r="AH1734" i="86"/>
  <c r="AH2138" i="86"/>
  <c r="AH2316" i="86"/>
  <c r="AH1569" i="86"/>
  <c r="AH1883" i="86"/>
  <c r="AG1913" i="86"/>
  <c r="AG2228" i="86"/>
  <c r="AG1877" i="86"/>
  <c r="AG1988" i="86"/>
  <c r="AG2354" i="86"/>
  <c r="AG201" i="86"/>
  <c r="AG2232" i="86"/>
  <c r="AG2163" i="86"/>
  <c r="AG1304" i="86"/>
  <c r="AG1555" i="86"/>
  <c r="AG2476" i="86"/>
  <c r="AG1195" i="86"/>
  <c r="AG1413" i="86"/>
  <c r="AG1655" i="86"/>
  <c r="AH2517" i="86"/>
  <c r="AG1828" i="86"/>
  <c r="AG1004" i="86"/>
  <c r="AG1255" i="86"/>
  <c r="AG2062" i="86"/>
  <c r="AG868" i="86"/>
  <c r="AH2233" i="86"/>
  <c r="AG749" i="86"/>
  <c r="AG51" i="86"/>
  <c r="AH1576" i="86"/>
  <c r="AH309" i="86"/>
  <c r="AH332" i="86"/>
  <c r="AH585" i="86"/>
  <c r="AH393" i="86"/>
  <c r="AH1332" i="86"/>
  <c r="AH2166" i="86"/>
  <c r="AH1109" i="86"/>
  <c r="AH297" i="86"/>
  <c r="AH813" i="86"/>
  <c r="AH1153" i="86"/>
  <c r="AH307" i="86"/>
  <c r="AH1484" i="86"/>
  <c r="AH933" i="86"/>
  <c r="AH1657" i="86"/>
  <c r="AH602" i="86"/>
  <c r="AH1630" i="86"/>
  <c r="AH1354" i="86"/>
  <c r="AH2441" i="86"/>
  <c r="AH2414" i="86"/>
  <c r="AH1833" i="86"/>
  <c r="AH2089" i="86"/>
  <c r="AH569" i="86"/>
  <c r="AH366" i="86"/>
  <c r="AH2160" i="86"/>
  <c r="AG2539" i="86"/>
  <c r="AH2392" i="86"/>
  <c r="AH1784" i="86"/>
  <c r="AH651" i="86"/>
  <c r="AH2164" i="86"/>
  <c r="AH2464" i="86"/>
  <c r="AH1402" i="86"/>
  <c r="AH1604" i="86"/>
  <c r="AH1590" i="86"/>
  <c r="AG2453" i="86"/>
  <c r="AH1543" i="86"/>
  <c r="AH2421" i="86"/>
  <c r="AH1392" i="86"/>
  <c r="AH2320" i="86"/>
  <c r="AH2378" i="86"/>
  <c r="AH2175" i="86"/>
  <c r="AH2384" i="86"/>
  <c r="AH1289" i="86"/>
  <c r="AG1807" i="86"/>
  <c r="AH2222" i="86"/>
  <c r="AH1921" i="86"/>
  <c r="AH581" i="86"/>
  <c r="AH1605" i="86"/>
  <c r="AH1256" i="86"/>
  <c r="AG2083" i="86"/>
  <c r="AH1857" i="86"/>
  <c r="AH1360" i="86"/>
  <c r="AH2205" i="86"/>
  <c r="AH2552" i="86"/>
  <c r="AH1562" i="86"/>
  <c r="AH1308" i="86"/>
  <c r="AH922" i="86"/>
  <c r="AH2313" i="86"/>
  <c r="AH2158" i="86"/>
  <c r="AH455" i="86"/>
  <c r="AH2530" i="86"/>
  <c r="AH1591" i="86"/>
  <c r="AH2471" i="86"/>
  <c r="AG1748" i="86"/>
  <c r="AG2041" i="86"/>
  <c r="AG1718" i="86"/>
  <c r="AG1738" i="86"/>
  <c r="AG2060" i="86"/>
  <c r="AH2551" i="86"/>
  <c r="AH1929" i="86"/>
  <c r="AG1998" i="86"/>
  <c r="AG1160" i="86"/>
  <c r="AG1411" i="86"/>
  <c r="AG2272" i="86"/>
  <c r="AG1038" i="86"/>
  <c r="AG1240" i="86"/>
  <c r="AG1446" i="86"/>
  <c r="AG2466" i="86"/>
  <c r="AH2098" i="86"/>
  <c r="AG860" i="86"/>
  <c r="AH2289" i="86"/>
  <c r="AG1890" i="86"/>
  <c r="AG712" i="86"/>
  <c r="AG37" i="86"/>
  <c r="AG2112" i="86"/>
  <c r="AH1720" i="86"/>
  <c r="AH151" i="86"/>
  <c r="AH273" i="86"/>
  <c r="AH343" i="86"/>
  <c r="AH588" i="86"/>
  <c r="AH2010" i="86"/>
  <c r="AH589" i="86"/>
  <c r="AH1373" i="86"/>
  <c r="AH1752" i="86"/>
  <c r="AH1161" i="86"/>
  <c r="AH599" i="86"/>
  <c r="AH732" i="86"/>
  <c r="AH1829" i="86"/>
  <c r="AH1659" i="86"/>
  <c r="AH1962" i="86"/>
  <c r="AH474" i="86"/>
  <c r="AH2083" i="86"/>
  <c r="AH1503" i="86"/>
  <c r="AG2599" i="86"/>
  <c r="AH1824" i="86"/>
  <c r="AH2176" i="86"/>
  <c r="AH2261" i="86"/>
  <c r="AH1841" i="86"/>
  <c r="AH1090" i="86"/>
  <c r="AH2458" i="86"/>
  <c r="AG2335" i="86"/>
  <c r="AH444" i="86"/>
  <c r="AH2188" i="86"/>
  <c r="AH1709" i="86"/>
  <c r="AH2338" i="86"/>
  <c r="AH1425" i="86"/>
  <c r="AH2004" i="86"/>
  <c r="AH1876" i="86"/>
  <c r="AH2073" i="86"/>
  <c r="AG2296" i="86"/>
  <c r="AH1834" i="86"/>
  <c r="AH787" i="86"/>
  <c r="AH1148" i="86"/>
  <c r="AG2467" i="86"/>
  <c r="AH1319" i="86"/>
  <c r="AH399" i="86"/>
  <c r="AH1446" i="86"/>
  <c r="AH159" i="86"/>
  <c r="AH614" i="86"/>
  <c r="AH2391" i="86"/>
  <c r="AH2111" i="86"/>
  <c r="AH1640" i="86"/>
  <c r="AH2080" i="86"/>
  <c r="AH1715" i="86"/>
  <c r="AG1939" i="86"/>
  <c r="AH2064" i="86"/>
  <c r="AH1682" i="86"/>
  <c r="AH2375" i="86"/>
  <c r="AH607" i="86"/>
  <c r="AH479" i="86"/>
  <c r="AH1651" i="86"/>
  <c r="AH1412" i="86"/>
  <c r="AH226" i="86"/>
  <c r="AH1127" i="86"/>
  <c r="AH1608" i="86"/>
  <c r="AG2545" i="86"/>
  <c r="AH1393" i="86"/>
  <c r="AG2553" i="86"/>
  <c r="AG1604" i="86"/>
  <c r="AG1870" i="86"/>
  <c r="AH1887" i="86"/>
  <c r="AG1550" i="86"/>
  <c r="AG1803" i="86"/>
  <c r="AG2300" i="86"/>
  <c r="AH2504" i="86"/>
  <c r="AG1841" i="86"/>
  <c r="AG1016" i="86"/>
  <c r="AG1267" i="86"/>
  <c r="AG2077" i="86"/>
  <c r="AG881" i="86"/>
  <c r="AG1083" i="86"/>
  <c r="AH1315" i="86"/>
  <c r="AG2244" i="86"/>
  <c r="AH2564" i="86"/>
  <c r="AH170" i="86"/>
  <c r="AH2613" i="86"/>
  <c r="AG1729" i="86"/>
  <c r="AG568" i="86"/>
  <c r="AG2352" i="86"/>
  <c r="AG1577" i="86"/>
  <c r="AH1649" i="86"/>
  <c r="AH1673" i="86"/>
  <c r="AH430" i="86"/>
  <c r="AH1125" i="86"/>
  <c r="AH636" i="86"/>
  <c r="AH21" i="86"/>
  <c r="AH994" i="86"/>
  <c r="AH2034" i="86"/>
  <c r="AH2190" i="86"/>
  <c r="AH1404" i="86"/>
  <c r="AH1028" i="86"/>
  <c r="AH1480" i="86"/>
  <c r="AH1307" i="86"/>
  <c r="AH1820" i="86"/>
  <c r="AH2250" i="86"/>
  <c r="AH871" i="86"/>
  <c r="AH2227" i="86"/>
  <c r="AH991" i="86"/>
  <c r="AG2047" i="86"/>
  <c r="AH2216" i="86"/>
  <c r="AH2453" i="86"/>
  <c r="AH1224" i="86"/>
  <c r="AH1014" i="86"/>
  <c r="AH1497" i="86"/>
  <c r="AG2615" i="86"/>
  <c r="AG2155" i="86"/>
  <c r="AH1128" i="86"/>
  <c r="AH2473" i="86"/>
  <c r="AH1108" i="86"/>
  <c r="AH564" i="86"/>
  <c r="AH1983" i="86"/>
  <c r="AH2292" i="86"/>
  <c r="AH2079" i="86"/>
  <c r="AH2400" i="86"/>
  <c r="AG2139" i="86"/>
  <c r="AH2049" i="86"/>
  <c r="AH171" i="86"/>
  <c r="AH1845" i="86"/>
  <c r="AG2263" i="86"/>
  <c r="AH2109" i="86"/>
  <c r="AH1586" i="86"/>
  <c r="AH1259" i="86"/>
  <c r="AH1532" i="86"/>
  <c r="AH1243" i="86"/>
  <c r="AH819" i="86"/>
  <c r="AH2283" i="86"/>
  <c r="AH2100" i="86"/>
  <c r="AH82" i="86"/>
  <c r="AH1306" i="86"/>
  <c r="AG1795" i="86"/>
  <c r="AH2236" i="86"/>
  <c r="AH1943" i="86"/>
  <c r="AH726" i="86"/>
  <c r="AH1655" i="86"/>
  <c r="AH1719" i="86"/>
  <c r="AH1917" i="86"/>
  <c r="AH1724" i="86"/>
  <c r="AH998" i="86"/>
  <c r="AH1825" i="86"/>
  <c r="AH1447" i="86"/>
  <c r="AG2388" i="86"/>
  <c r="AG2612" i="86"/>
  <c r="AG2365" i="86"/>
  <c r="AG1460" i="86"/>
  <c r="AG1711" i="86"/>
  <c r="AH2519" i="86"/>
  <c r="AG1378" i="86"/>
  <c r="AG1599" i="86"/>
  <c r="AG1961" i="86"/>
  <c r="AG2480" i="86"/>
  <c r="AH2013" i="86"/>
  <c r="AG872" i="86"/>
  <c r="AH2212" i="86"/>
  <c r="AG1905" i="86"/>
  <c r="AG724" i="86"/>
  <c r="AG926" i="86"/>
  <c r="AG2203" i="86"/>
  <c r="AH1508" i="86"/>
  <c r="AG2451" i="86"/>
  <c r="AH2328" i="86"/>
  <c r="AG2409" i="86"/>
  <c r="AH2232" i="86"/>
  <c r="AG424" i="86"/>
  <c r="AG678" i="86"/>
  <c r="AG20" i="86"/>
  <c r="AH992" i="86"/>
  <c r="AH584" i="86"/>
  <c r="AH551" i="86"/>
  <c r="AH263" i="86"/>
  <c r="AH1002" i="86"/>
  <c r="AH707" i="86"/>
  <c r="AH1568" i="86"/>
  <c r="AH1855" i="86"/>
  <c r="AH1867" i="86"/>
  <c r="AH1549" i="86"/>
  <c r="AH1422" i="86"/>
  <c r="AH67" i="86"/>
  <c r="AH938" i="86"/>
  <c r="AH1813" i="86"/>
  <c r="AH1779" i="86"/>
  <c r="AH1516" i="86"/>
  <c r="AH1689" i="86"/>
  <c r="AH1986" i="86"/>
  <c r="AH1378" i="86"/>
  <c r="AH1646" i="86"/>
  <c r="AH103" i="86"/>
  <c r="AH2303" i="86"/>
  <c r="AG2347" i="86"/>
  <c r="AH2197" i="86"/>
  <c r="AH2254" i="86"/>
  <c r="AH269" i="86"/>
  <c r="AH2039" i="86"/>
  <c r="AH1920" i="86"/>
  <c r="AH1990" i="86"/>
  <c r="AH1858" i="86"/>
  <c r="AH2043" i="86"/>
  <c r="AG2311" i="86"/>
  <c r="AH570" i="86"/>
  <c r="AH2246" i="86"/>
  <c r="AH1005" i="86"/>
  <c r="AH1072" i="86"/>
  <c r="AH1742" i="86"/>
  <c r="AG2585" i="86"/>
  <c r="AG1819" i="86"/>
  <c r="AH719" i="86"/>
  <c r="AH1692" i="86"/>
  <c r="AH2257" i="86"/>
  <c r="AH1542" i="86"/>
  <c r="AH1873" i="86"/>
  <c r="AH1679" i="86"/>
  <c r="AH890" i="86"/>
  <c r="AH1736" i="86"/>
  <c r="AH1329" i="86"/>
  <c r="AH1547" i="86"/>
  <c r="AH1280" i="86"/>
  <c r="AH873" i="86"/>
  <c r="AH2297" i="86"/>
  <c r="AH2128" i="86"/>
  <c r="AH301" i="86"/>
  <c r="AH2389" i="86"/>
  <c r="AH2279" i="86"/>
  <c r="AH2151" i="86"/>
  <c r="AH1155" i="86"/>
  <c r="AH244" i="86"/>
  <c r="AH2342" i="86"/>
  <c r="AG2074" i="86"/>
  <c r="AH1885" i="86"/>
  <c r="AG2012" i="86"/>
  <c r="AG1172" i="86"/>
  <c r="AG1423" i="86"/>
  <c r="AG2289" i="86"/>
  <c r="AG1051" i="86"/>
  <c r="AG1253" i="86"/>
  <c r="AG2395" i="86"/>
  <c r="AH1361" i="86"/>
  <c r="AG2470" i="86"/>
  <c r="AH2259" i="86"/>
  <c r="AG2425" i="86"/>
  <c r="AH2116" i="86"/>
  <c r="AG436" i="86"/>
  <c r="AG621" i="86"/>
  <c r="AH935" i="86"/>
  <c r="AH2300" i="86"/>
  <c r="AG2056" i="86"/>
  <c r="AG2399" i="86"/>
  <c r="AG2020" i="86"/>
  <c r="AG2214" i="86"/>
  <c r="AH3" i="86"/>
  <c r="AG166" i="86"/>
  <c r="AG314" i="86"/>
  <c r="AH235" i="86"/>
  <c r="AH862" i="86"/>
  <c r="AG1305" i="86"/>
  <c r="AH145" i="86"/>
  <c r="AH981" i="86"/>
  <c r="AH1071" i="86"/>
  <c r="AH804" i="86"/>
  <c r="AH1583" i="86"/>
  <c r="AH1163" i="86"/>
  <c r="AH2023" i="86"/>
  <c r="AH1926" i="86"/>
  <c r="AH594" i="86"/>
  <c r="AH778" i="86"/>
  <c r="AH1686" i="86"/>
  <c r="AH546" i="86"/>
  <c r="AH880" i="86"/>
  <c r="AH104" i="86"/>
  <c r="AH2418" i="86"/>
  <c r="AH2307" i="86"/>
  <c r="AH1035" i="86"/>
  <c r="AH1972" i="86"/>
  <c r="AH2442" i="86"/>
  <c r="AG1879" i="86"/>
  <c r="AH522" i="86"/>
  <c r="AH649" i="86"/>
  <c r="AH1461" i="86"/>
  <c r="AH2381" i="86"/>
  <c r="AH1147" i="86"/>
  <c r="AH2489" i="86"/>
  <c r="AH2237" i="86"/>
  <c r="AH1141" i="86"/>
  <c r="AG1987" i="86"/>
  <c r="AH1579" i="86"/>
  <c r="AG2576" i="86"/>
  <c r="AH2430" i="86"/>
  <c r="AH1789" i="86"/>
  <c r="AH2161" i="86"/>
  <c r="AG2271" i="86"/>
  <c r="AH559" i="86"/>
  <c r="AH1290" i="86"/>
  <c r="AH2439" i="86"/>
  <c r="AH2503" i="86"/>
  <c r="AH2104" i="86"/>
  <c r="AH2077" i="86"/>
  <c r="AH1941" i="86"/>
  <c r="AH324" i="86"/>
  <c r="AH2159" i="86"/>
  <c r="AH1924" i="86"/>
  <c r="AH265" i="86"/>
  <c r="AH1626" i="86"/>
  <c r="AH1380" i="86"/>
  <c r="AH144" i="86"/>
  <c r="AH1007" i="86"/>
  <c r="AH903" i="86"/>
  <c r="AH2609" i="86"/>
  <c r="AH631" i="86"/>
  <c r="AH2325" i="86"/>
  <c r="AH1538" i="86"/>
  <c r="AH1537" i="86"/>
  <c r="AH2542" i="86"/>
  <c r="AH2038" i="86"/>
  <c r="AH2491" i="86"/>
  <c r="AG1854" i="86"/>
  <c r="AG1028" i="86"/>
  <c r="AG1279" i="86"/>
  <c r="AG2093" i="86"/>
  <c r="AG894" i="86"/>
  <c r="AG1096" i="86"/>
  <c r="AH1281" i="86"/>
  <c r="AH723" i="86"/>
  <c r="AG2264" i="86"/>
  <c r="AH2603" i="86"/>
  <c r="AG2221" i="86"/>
  <c r="AG2549" i="86"/>
  <c r="AH1584" i="86"/>
  <c r="AG477" i="86"/>
  <c r="AH2061" i="86"/>
  <c r="AH2026" i="86"/>
  <c r="AG1885" i="86"/>
  <c r="AG2195" i="86"/>
  <c r="AG1849" i="86"/>
  <c r="AG1944" i="86"/>
  <c r="AG2303" i="86"/>
  <c r="AG1452" i="86"/>
  <c r="AG375" i="86"/>
  <c r="AG256" i="86"/>
  <c r="AG583" i="86"/>
  <c r="AG526" i="86"/>
  <c r="AH925" i="86"/>
  <c r="AH285" i="86"/>
  <c r="AH313" i="86"/>
  <c r="AH744" i="86"/>
  <c r="AG746" i="86"/>
  <c r="AH1528" i="86"/>
  <c r="AH375" i="86"/>
  <c r="AH830" i="86"/>
  <c r="AH392" i="86"/>
  <c r="AH1831" i="86"/>
  <c r="AH276" i="86"/>
  <c r="AH745" i="86"/>
  <c r="AH801" i="86"/>
  <c r="AH111" i="86"/>
  <c r="AH314" i="86"/>
  <c r="AH2334" i="86"/>
  <c r="AH88" i="86"/>
  <c r="AH1765" i="86"/>
  <c r="AH1872" i="86"/>
  <c r="AH834" i="86"/>
  <c r="AH1622" i="86"/>
  <c r="AH1708" i="86"/>
  <c r="AH1390" i="86"/>
  <c r="AH410" i="86"/>
  <c r="AH1312" i="86"/>
  <c r="AH916" i="86"/>
  <c r="AH1768" i="86"/>
  <c r="AH2394" i="86"/>
  <c r="AH1309" i="86"/>
  <c r="AH1138" i="86"/>
  <c r="AH543" i="86"/>
  <c r="AH590" i="86"/>
  <c r="AH1540" i="86"/>
  <c r="AH1293" i="86"/>
  <c r="AH1317" i="86"/>
  <c r="AG1903" i="86"/>
  <c r="AH2353" i="86"/>
  <c r="AH2273" i="86"/>
  <c r="AH2367" i="86"/>
  <c r="AG2179" i="86"/>
  <c r="AH2021" i="86"/>
  <c r="AH1864" i="86"/>
  <c r="AH317" i="86"/>
  <c r="AH1933" i="86"/>
  <c r="AH2136" i="86"/>
  <c r="AH1797" i="86"/>
  <c r="AH2440" i="86"/>
  <c r="AH1240" i="86"/>
  <c r="AH2251" i="86"/>
  <c r="AG2011" i="86"/>
  <c r="AH1977" i="86"/>
  <c r="AH1524" i="86"/>
  <c r="AH2291" i="86"/>
  <c r="AG2602" i="86"/>
  <c r="AH655" i="86"/>
  <c r="AH1877" i="86"/>
  <c r="AH1489" i="86"/>
  <c r="AH1216" i="86"/>
  <c r="AH2395" i="86"/>
  <c r="AH243" i="86"/>
  <c r="AH156" i="86"/>
  <c r="AH2501" i="86"/>
  <c r="AH271" i="86"/>
  <c r="AH2253" i="86"/>
  <c r="AH1401" i="86"/>
  <c r="AH1229" i="86"/>
  <c r="AH2476" i="86"/>
  <c r="AH1633" i="86"/>
  <c r="AH2306" i="86"/>
  <c r="AH2221" i="86"/>
  <c r="AH2093" i="86"/>
  <c r="AH952" i="86"/>
  <c r="AH2422" i="86"/>
  <c r="AH2229" i="86"/>
  <c r="AH1336" i="86"/>
  <c r="AG1963" i="86"/>
  <c r="AH2036" i="86"/>
  <c r="AH1634" i="86"/>
  <c r="AH2349" i="86"/>
  <c r="AH278" i="86"/>
  <c r="AG828" i="86"/>
  <c r="AG1904" i="86"/>
  <c r="AG2136" i="86"/>
  <c r="AG612" i="86"/>
  <c r="AG1198" i="86"/>
  <c r="AG443" i="86"/>
  <c r="AH122" i="86"/>
  <c r="AH449" i="86"/>
  <c r="AH58" i="86"/>
  <c r="AH331" i="86"/>
  <c r="AG358" i="86"/>
  <c r="AH57" i="86"/>
  <c r="AH820" i="86"/>
  <c r="AG757" i="86"/>
  <c r="AH382" i="86"/>
  <c r="AH961" i="86"/>
  <c r="AH191" i="86"/>
  <c r="AH576" i="86"/>
  <c r="AH725" i="86"/>
  <c r="AH1369" i="86"/>
  <c r="AH2143" i="86"/>
  <c r="AH1396" i="86"/>
  <c r="AH347" i="86"/>
  <c r="AH689" i="86"/>
  <c r="AH1879" i="86"/>
  <c r="AG172" i="86"/>
  <c r="AH1614" i="86"/>
  <c r="AH1961" i="86"/>
  <c r="AH738" i="86"/>
  <c r="AH1233" i="86"/>
  <c r="AH363" i="86"/>
  <c r="AH1950" i="86"/>
  <c r="AH55" i="86"/>
  <c r="AH415" i="86"/>
  <c r="AH1927" i="86"/>
  <c r="AH1377" i="86"/>
  <c r="AH485" i="86"/>
  <c r="AH1830" i="86"/>
  <c r="AH1844" i="86"/>
  <c r="AH1284" i="86"/>
  <c r="AH2130" i="86"/>
  <c r="AH484" i="86"/>
  <c r="AH2135" i="86"/>
  <c r="AH2169" i="86"/>
  <c r="AH2591" i="86"/>
  <c r="AH523" i="86"/>
  <c r="AH912" i="86"/>
  <c r="AH1473" i="86"/>
  <c r="AH765" i="86"/>
  <c r="AG2349" i="86"/>
  <c r="AG2023" i="86"/>
  <c r="AH1124" i="86"/>
  <c r="AH2368" i="86"/>
  <c r="AH2272" i="86"/>
  <c r="AH1037" i="86"/>
  <c r="AH1076" i="86"/>
  <c r="AH1015" i="86"/>
  <c r="AH496" i="86"/>
  <c r="AH2211" i="86"/>
  <c r="AH1947" i="86"/>
  <c r="AH2282" i="86"/>
  <c r="AH2429" i="86"/>
  <c r="AH2278" i="86"/>
  <c r="AH2193" i="86"/>
  <c r="AH2065" i="86"/>
  <c r="AH851" i="86"/>
  <c r="AH2380" i="86"/>
  <c r="AH2286" i="86"/>
  <c r="AG2131" i="86"/>
  <c r="AH1770" i="86"/>
  <c r="AH1218" i="86"/>
  <c r="AH2147" i="86"/>
  <c r="AH2499" i="86"/>
  <c r="AG2284" i="86"/>
  <c r="AH1368" i="86"/>
  <c r="AG2299" i="86"/>
  <c r="AH1490" i="86"/>
  <c r="AH640" i="86"/>
  <c r="AH1989" i="86"/>
  <c r="AH2276" i="86"/>
  <c r="AG2428" i="86"/>
  <c r="AH1367" i="86"/>
  <c r="AH1207" i="86"/>
  <c r="AH761" i="86"/>
  <c r="AH2269" i="86"/>
  <c r="AH2072" i="86"/>
  <c r="AG218" i="86"/>
  <c r="AG1744" i="86"/>
  <c r="AG2353" i="86"/>
  <c r="AG161" i="86"/>
  <c r="AH194" i="86"/>
  <c r="AH445" i="86"/>
  <c r="AH691" i="86"/>
  <c r="AH1013" i="86"/>
  <c r="AH574" i="86"/>
  <c r="AH201" i="86"/>
  <c r="AH770" i="86"/>
  <c r="AG2361" i="86"/>
  <c r="AH83" i="86"/>
  <c r="AH505" i="86"/>
  <c r="AH1589" i="86"/>
  <c r="AH291" i="86"/>
  <c r="AH750" i="86"/>
  <c r="AH1403" i="86"/>
  <c r="AH1637" i="86"/>
  <c r="AH1754" i="86"/>
  <c r="AH1421" i="86"/>
  <c r="AH1767" i="86"/>
  <c r="AH232" i="86"/>
  <c r="AH1424" i="86"/>
  <c r="AH909" i="86"/>
  <c r="AH250" i="86"/>
  <c r="AH2428" i="86"/>
  <c r="AH854" i="86"/>
  <c r="AH453" i="86"/>
  <c r="AH794" i="86"/>
  <c r="AH1162" i="86"/>
  <c r="AG1425" i="86"/>
  <c r="AH641" i="86"/>
  <c r="AH967" i="86"/>
  <c r="AH1955" i="86"/>
  <c r="AH208" i="86"/>
  <c r="AH2262" i="86"/>
  <c r="AH330" i="86"/>
  <c r="AH467" i="86"/>
  <c r="AH471" i="86"/>
  <c r="AH87" i="86"/>
  <c r="AH760" i="86"/>
  <c r="AH609" i="86"/>
  <c r="AH2196" i="86"/>
  <c r="AH1700" i="86"/>
  <c r="AH2149" i="86"/>
  <c r="AH2183" i="86"/>
  <c r="AH2604" i="86"/>
  <c r="AH850" i="86"/>
  <c r="AH1434" i="86"/>
  <c r="AH1814" i="86"/>
  <c r="AH1194" i="86"/>
  <c r="AH1984" i="86"/>
  <c r="AH1664" i="86"/>
  <c r="AH1159" i="86"/>
  <c r="AH1769" i="86"/>
  <c r="AH1546" i="86"/>
  <c r="AH592" i="86"/>
  <c r="AH1477" i="86"/>
  <c r="AH789" i="86"/>
  <c r="AH1804" i="86"/>
  <c r="AG2503" i="86"/>
  <c r="AH974" i="86"/>
  <c r="AH2405" i="86"/>
  <c r="AH1694" i="86"/>
  <c r="AH1827" i="86"/>
  <c r="AH977" i="86"/>
  <c r="AG1843" i="86"/>
  <c r="AH2180" i="86"/>
  <c r="AH1860" i="86"/>
  <c r="AH47" i="86"/>
  <c r="AH1441" i="86"/>
  <c r="AH1758" i="86"/>
  <c r="AH1054" i="86"/>
  <c r="AG1975" i="86"/>
  <c r="AH2020" i="86"/>
  <c r="AH1606" i="86"/>
  <c r="AH2333" i="86"/>
  <c r="AH81" i="86"/>
  <c r="AH1057" i="86"/>
  <c r="AH1460" i="86"/>
  <c r="AH1852" i="86"/>
  <c r="AH1654" i="86"/>
  <c r="AH844" i="86"/>
  <c r="AH1680" i="86"/>
  <c r="AG818" i="86"/>
  <c r="AG1993" i="86"/>
  <c r="AG68" i="86"/>
  <c r="AH1130" i="86"/>
  <c r="AH1142" i="86"/>
  <c r="AH892" i="86"/>
  <c r="AG80" i="86"/>
  <c r="AH870" i="86"/>
  <c r="AH358" i="86"/>
  <c r="AH927" i="86"/>
  <c r="AH224" i="86"/>
  <c r="AH397" i="86"/>
  <c r="AH39" i="86"/>
  <c r="AH35" i="86"/>
  <c r="AH1132" i="86"/>
  <c r="AH1000" i="86"/>
  <c r="AH1595" i="86"/>
  <c r="AH965" i="86"/>
  <c r="AH277" i="86"/>
  <c r="AH119" i="86"/>
  <c r="AH1149" i="86"/>
  <c r="AH1433" i="86"/>
  <c r="AH1616" i="86"/>
  <c r="AH1261" i="86"/>
  <c r="AH1740" i="86"/>
  <c r="AG421" i="86"/>
  <c r="AH422" i="86"/>
  <c r="AH1448" i="86"/>
  <c r="AH1492" i="86"/>
  <c r="AH1405" i="86"/>
  <c r="AH567" i="86"/>
  <c r="AH1326" i="86"/>
  <c r="AH1832" i="86"/>
  <c r="AH409" i="86"/>
  <c r="AH693" i="86"/>
  <c r="AH2406" i="86"/>
  <c r="AH1088" i="86"/>
  <c r="AH841" i="86"/>
  <c r="AH1453" i="86"/>
  <c r="AH700" i="86"/>
  <c r="AH1918" i="86"/>
  <c r="AH1241" i="86"/>
  <c r="AH786" i="86"/>
  <c r="AH1963" i="86"/>
  <c r="AH2321" i="86"/>
  <c r="AH1146" i="86"/>
  <c r="AH1837" i="86"/>
  <c r="AH1327" i="86"/>
  <c r="AH1745" i="86"/>
  <c r="AH2037" i="86"/>
  <c r="AH746" i="86"/>
  <c r="AH2331" i="86"/>
  <c r="AH2113" i="86"/>
  <c r="AH1971" i="86"/>
  <c r="AH2005" i="86"/>
  <c r="AH1836" i="86"/>
  <c r="AH1228" i="86"/>
  <c r="AH2015" i="86"/>
  <c r="AH1710" i="86"/>
  <c r="AH960" i="86"/>
  <c r="AG2323" i="86"/>
  <c r="AH1435" i="86"/>
  <c r="AH518" i="86"/>
  <c r="AH1954" i="86"/>
  <c r="AH2218" i="86"/>
  <c r="AH1838" i="86"/>
  <c r="AH418" i="86"/>
  <c r="AH2352" i="86"/>
  <c r="AH2067" i="86"/>
  <c r="AH1476" i="86"/>
  <c r="AH1994" i="86"/>
  <c r="AH2172" i="86"/>
  <c r="AH1012" i="86"/>
  <c r="AG1831" i="86"/>
  <c r="AH2194" i="86"/>
  <c r="AH1882" i="86"/>
  <c r="AH225" i="86"/>
  <c r="AH1495" i="86"/>
  <c r="AH1801" i="86"/>
  <c r="AH2062" i="86"/>
  <c r="AH2063" i="86"/>
  <c r="AH1919" i="86"/>
  <c r="AH264" i="86"/>
  <c r="AH2129" i="86"/>
  <c r="AG1762" i="86"/>
  <c r="AG271" i="86"/>
  <c r="AG1141" i="86"/>
  <c r="AG253" i="86"/>
  <c r="AH670" i="86"/>
  <c r="AH671" i="86"/>
  <c r="AH1074" i="86"/>
  <c r="AG298" i="86"/>
  <c r="AG2029" i="86"/>
  <c r="AH424" i="86"/>
  <c r="AH798" i="86"/>
  <c r="AH512" i="86"/>
  <c r="AH306" i="86"/>
  <c r="AH361" i="86"/>
  <c r="AH730" i="86"/>
  <c r="AH1901" i="86"/>
  <c r="AH1539" i="86"/>
  <c r="AH1810" i="86"/>
  <c r="AH773" i="86"/>
  <c r="AH1574" i="86"/>
  <c r="AH526" i="86"/>
  <c r="AH1400" i="86"/>
  <c r="AH694" i="86"/>
  <c r="AH826" i="86"/>
  <c r="AH1152" i="86"/>
  <c r="AH2035" i="86"/>
  <c r="AH193" i="86"/>
  <c r="AH867" i="86"/>
  <c r="AH1639" i="86"/>
  <c r="AH818" i="86"/>
  <c r="AH1915" i="86"/>
  <c r="AH29" i="86"/>
  <c r="AH503" i="86"/>
  <c r="AH1976" i="86"/>
  <c r="AH217" i="86"/>
  <c r="AH441" i="86"/>
  <c r="AH1213" i="86"/>
  <c r="AH637" i="86"/>
  <c r="AH686" i="86"/>
  <c r="AH1644" i="86"/>
  <c r="AH1725" i="86"/>
  <c r="AH2108" i="86"/>
  <c r="AH1593" i="86"/>
  <c r="AH2055" i="86"/>
  <c r="AH1526" i="86"/>
  <c r="AH1678" i="86"/>
  <c r="AH677" i="86"/>
  <c r="AH2224" i="86"/>
  <c r="AH406" i="86"/>
  <c r="AH1991" i="86"/>
  <c r="AH2209" i="86"/>
  <c r="AH1305" i="86"/>
  <c r="AH886" i="86"/>
  <c r="AH2426" i="86"/>
  <c r="AH2234" i="86"/>
  <c r="AH2177" i="86"/>
  <c r="AH2051" i="86"/>
  <c r="AH797" i="86"/>
  <c r="AH2357" i="86"/>
  <c r="AH2141" i="86"/>
  <c r="AH2142" i="86"/>
  <c r="AG2143" i="86"/>
  <c r="AH1746" i="86"/>
  <c r="AH1176" i="86"/>
  <c r="AH2133" i="86"/>
  <c r="AH2486" i="86"/>
  <c r="AH1331" i="86"/>
  <c r="AH1121" i="86"/>
  <c r="AH634" i="86"/>
  <c r="AH2241" i="86"/>
  <c r="AH2014" i="86"/>
  <c r="AH2337" i="86"/>
  <c r="AH2462" i="86"/>
  <c r="AH1850" i="86"/>
  <c r="AH490" i="86"/>
  <c r="AH2365" i="86"/>
  <c r="AH2081" i="86"/>
  <c r="AH1531" i="86"/>
  <c r="AH2024" i="86"/>
  <c r="AH2200" i="86"/>
  <c r="AG94" i="86"/>
  <c r="AG60" i="86"/>
  <c r="AG507" i="86"/>
  <c r="AG1301" i="86"/>
  <c r="AH1208" i="86"/>
  <c r="AH840" i="86"/>
  <c r="AH483" i="86"/>
  <c r="AH884" i="86"/>
  <c r="AH188" i="86"/>
  <c r="AH131" i="86"/>
  <c r="AH986" i="86"/>
  <c r="AH944" i="86"/>
  <c r="AH953" i="86"/>
  <c r="AH900" i="86"/>
  <c r="AH660" i="86"/>
  <c r="AH2018" i="86"/>
  <c r="AH1351" i="86"/>
  <c r="AH2032" i="86"/>
  <c r="AH1022" i="86"/>
  <c r="AH1184" i="86"/>
  <c r="AH1252" i="86"/>
  <c r="AH1211" i="86"/>
  <c r="AH549" i="86"/>
  <c r="AH1415" i="86"/>
  <c r="AH1468" i="86"/>
  <c r="AH2179" i="86"/>
  <c r="AH924" i="86"/>
  <c r="AH1437" i="86"/>
  <c r="AH1272" i="86"/>
  <c r="AH99" i="86"/>
  <c r="AH2203" i="86"/>
  <c r="AH533" i="86"/>
  <c r="AH930" i="86"/>
  <c r="AH1478" i="86"/>
  <c r="AH51" i="86"/>
  <c r="AH355" i="86"/>
  <c r="AH1438" i="86"/>
  <c r="AH1089" i="86"/>
  <c r="AH937" i="86"/>
  <c r="AH1806" i="86"/>
  <c r="AH2162" i="86"/>
  <c r="AH274" i="86"/>
  <c r="AH2247" i="86"/>
  <c r="AH2386" i="86"/>
  <c r="AH739" i="86"/>
  <c r="AH1936" i="86"/>
  <c r="AH1271" i="86"/>
  <c r="AH1609" i="86"/>
  <c r="AH2107" i="86"/>
  <c r="AH865" i="86"/>
  <c r="AH2379" i="86"/>
  <c r="AH1647" i="86"/>
  <c r="AH1737" i="86"/>
  <c r="AH407" i="86"/>
  <c r="AH2477" i="86"/>
  <c r="AH118" i="86"/>
  <c r="AH2223" i="86"/>
  <c r="AH1339" i="86"/>
  <c r="AH1009" i="86"/>
  <c r="AH2446" i="86"/>
  <c r="AH165" i="86"/>
  <c r="AG1999" i="86"/>
  <c r="AH1992" i="86"/>
  <c r="AH1555" i="86"/>
  <c r="AH2305" i="86"/>
  <c r="AG2589" i="86"/>
  <c r="AH1889" i="86"/>
  <c r="AH1513" i="86"/>
  <c r="AH1246" i="86"/>
  <c r="AH2408" i="86"/>
  <c r="AH442" i="86"/>
  <c r="AH1324" i="86"/>
  <c r="AG2610" i="86"/>
  <c r="AH1350" i="86"/>
  <c r="AH1165" i="86"/>
  <c r="AH696" i="86"/>
  <c r="AH2255" i="86"/>
  <c r="AH2042" i="86"/>
  <c r="AH2360" i="86"/>
  <c r="AH1104" i="86"/>
  <c r="AH2549" i="86"/>
  <c r="AH419" i="86"/>
  <c r="AH2281" i="86"/>
  <c r="AH1459" i="86"/>
  <c r="AG486" i="86"/>
  <c r="AG474" i="86"/>
  <c r="AG24" i="86"/>
  <c r="AG92" i="86"/>
  <c r="AG732" i="86"/>
  <c r="AG1524" i="86"/>
  <c r="AG2393" i="86"/>
  <c r="AG82" i="86"/>
  <c r="AG292" i="86"/>
  <c r="AG595" i="86"/>
  <c r="AG765" i="86"/>
  <c r="AG48" i="86"/>
  <c r="AG1660" i="86"/>
  <c r="AG76" i="86"/>
  <c r="AH665" i="86"/>
  <c r="AH1177" i="86"/>
  <c r="AG1638" i="86"/>
  <c r="AH521" i="86"/>
  <c r="AH1047" i="86"/>
  <c r="AH1661" i="86"/>
  <c r="AH716" i="86"/>
  <c r="AH36" i="86"/>
  <c r="AH857" i="86"/>
  <c r="AG1008" i="86"/>
  <c r="AH61" i="86"/>
  <c r="AH164" i="86"/>
  <c r="AH682" i="86"/>
  <c r="AH608" i="86"/>
  <c r="AH1190" i="86"/>
  <c r="AH659" i="86"/>
  <c r="AH350" i="86"/>
  <c r="AH200" i="86"/>
  <c r="AH340" i="86"/>
  <c r="AH326" i="86"/>
  <c r="AH214" i="86"/>
  <c r="AH1080" i="86"/>
  <c r="AH762" i="86"/>
  <c r="AH438" i="86"/>
  <c r="AH80" i="86"/>
  <c r="AH155" i="86"/>
  <c r="AG154" i="86"/>
  <c r="AH554" i="86"/>
  <c r="AH771" i="86"/>
  <c r="AH816" i="86"/>
  <c r="AH1408" i="86"/>
  <c r="AH315" i="86"/>
  <c r="AH1117" i="86"/>
  <c r="AH362" i="86"/>
  <c r="AH1533" i="86"/>
  <c r="AH2263" i="86"/>
  <c r="AH1874" i="86"/>
  <c r="AH2363" i="86"/>
  <c r="AH126" i="86"/>
  <c r="AH535" i="86"/>
  <c r="AH1878" i="86"/>
  <c r="AH251" i="86"/>
  <c r="AH328" i="86"/>
  <c r="AH2206" i="86"/>
  <c r="AH295" i="86"/>
  <c r="AH623" i="86"/>
  <c r="AH1236" i="86"/>
  <c r="AH2322" i="86"/>
  <c r="AH780" i="86"/>
  <c r="AH1898" i="86"/>
  <c r="AH653" i="86"/>
  <c r="AH1648" i="86"/>
  <c r="AH792" i="86"/>
  <c r="AH2046" i="86"/>
  <c r="AH2299" i="86"/>
  <c r="AH1592" i="86"/>
  <c r="AH1570" i="86"/>
  <c r="AH699" i="86"/>
  <c r="AH507" i="86"/>
  <c r="AH805" i="86"/>
  <c r="AH1352" i="86"/>
  <c r="AH1781" i="86"/>
  <c r="AH1451" i="86"/>
  <c r="AG2527" i="86"/>
  <c r="AH287" i="86"/>
  <c r="AH40" i="86"/>
  <c r="AH378" i="86"/>
  <c r="AH1110" i="86"/>
  <c r="AH1631" i="86"/>
  <c r="AH1251" i="86"/>
  <c r="AH2573" i="86"/>
  <c r="AG1463" i="86"/>
  <c r="AG1357" i="86"/>
  <c r="AG878" i="86"/>
  <c r="AG577" i="86"/>
  <c r="AG1529" i="86"/>
  <c r="AG227" i="86"/>
  <c r="AG173" i="86"/>
  <c r="AG458" i="86"/>
  <c r="AG710" i="86"/>
  <c r="AG1477" i="86"/>
  <c r="AG2096" i="86"/>
  <c r="AG17" i="86"/>
  <c r="AG1690" i="86"/>
  <c r="AG1468" i="86"/>
  <c r="AH109" i="86"/>
  <c r="AH846" i="86"/>
  <c r="AH234" i="86"/>
  <c r="AH279" i="86"/>
  <c r="AH687" i="86"/>
  <c r="AH1588" i="86"/>
  <c r="AG224" i="86"/>
  <c r="AH849" i="86"/>
  <c r="AH1371" i="86"/>
  <c r="AH577" i="86"/>
  <c r="AH215" i="86"/>
  <c r="AG613" i="86"/>
  <c r="AH246" i="86"/>
  <c r="AG66" i="86"/>
  <c r="AH731" i="86"/>
  <c r="AH476" i="86"/>
  <c r="AH713" i="86"/>
  <c r="AG102" i="86"/>
  <c r="AH129" i="86"/>
  <c r="AH114" i="86"/>
  <c r="AH212" i="86"/>
  <c r="AH1079" i="86"/>
  <c r="AH784" i="86"/>
  <c r="AH598" i="86"/>
  <c r="AG136" i="86"/>
  <c r="AH698" i="86"/>
  <c r="AH928" i="86"/>
  <c r="AH812" i="86"/>
  <c r="AH1103" i="86"/>
  <c r="AH1182" i="86"/>
  <c r="AH1151" i="86"/>
  <c r="AH1481" i="86"/>
  <c r="AH446" i="86"/>
  <c r="AH553" i="86"/>
  <c r="AH1527" i="86"/>
  <c r="AH1277" i="86"/>
  <c r="AH684" i="86"/>
  <c r="AH1488" i="86"/>
  <c r="AH1169" i="86"/>
  <c r="AH1044" i="86"/>
  <c r="AH203" i="86"/>
  <c r="AH1688" i="86"/>
  <c r="AH1364" i="86"/>
  <c r="AH1114" i="86"/>
  <c r="AH338" i="86"/>
  <c r="AH1042" i="86"/>
  <c r="AH90" i="86"/>
  <c r="AH1739" i="86"/>
  <c r="AH1999" i="86"/>
  <c r="AH1126" i="86"/>
  <c r="AG1525" i="86"/>
  <c r="AH120" i="86"/>
  <c r="AH625" i="86"/>
  <c r="AH1389" i="86"/>
  <c r="AH1714" i="86"/>
  <c r="AH322" i="86"/>
  <c r="AH1790" i="86"/>
  <c r="AH389" i="86"/>
  <c r="AH755" i="86"/>
  <c r="AH1267" i="86"/>
  <c r="AH2346" i="86"/>
  <c r="AH843" i="86"/>
  <c r="AH1922" i="86"/>
  <c r="AH2076" i="86"/>
  <c r="AH1273" i="86"/>
  <c r="AH261" i="86"/>
  <c r="AH1078" i="86"/>
  <c r="AH2214" i="86"/>
  <c r="AH431" i="86"/>
  <c r="AH1787" i="86"/>
  <c r="AH1894" i="86"/>
  <c r="AG1366" i="86"/>
  <c r="AG1257" i="86"/>
  <c r="AG608" i="86"/>
  <c r="AG383" i="86"/>
  <c r="AG1343" i="86"/>
  <c r="AG2398" i="86"/>
  <c r="AG114" i="86"/>
  <c r="AG415" i="86"/>
  <c r="AG611" i="86"/>
  <c r="AG1203" i="86"/>
  <c r="AG1575" i="86"/>
  <c r="AG1924" i="86"/>
  <c r="AG356" i="86"/>
  <c r="AG530" i="86"/>
  <c r="AH266" i="86"/>
  <c r="AH1196" i="86"/>
  <c r="AH46" i="86"/>
  <c r="AH436" i="86"/>
  <c r="AH1060" i="86"/>
  <c r="AH1732" i="86"/>
  <c r="AG957" i="86"/>
  <c r="AH1006" i="86"/>
  <c r="AH458" i="86"/>
  <c r="AG63" i="86"/>
  <c r="AH76" i="86"/>
  <c r="AG1151" i="86"/>
  <c r="AH561" i="86"/>
  <c r="AG283" i="86"/>
  <c r="AH1043" i="86"/>
  <c r="AH620" i="86"/>
  <c r="AH1053" i="86"/>
  <c r="AG320" i="86"/>
  <c r="AH757" i="86"/>
  <c r="AH352" i="86"/>
  <c r="AH500" i="86"/>
  <c r="AH147" i="86"/>
  <c r="AG64" i="86"/>
  <c r="AG1217" i="86"/>
  <c r="AG35" i="86"/>
  <c r="AG238" i="86"/>
  <c r="AG335" i="86"/>
  <c r="AG3" i="86"/>
  <c r="AG1822" i="86"/>
  <c r="AG2516" i="86"/>
  <c r="AG704" i="86"/>
  <c r="AG2500" i="86"/>
  <c r="AH980" i="86"/>
  <c r="AH552" i="86"/>
  <c r="AH2545" i="86"/>
  <c r="AH481" i="86"/>
  <c r="AH555" i="86"/>
  <c r="AH606" i="86"/>
  <c r="AH1222" i="86"/>
  <c r="AH8" i="86"/>
  <c r="AH1166" i="86"/>
  <c r="AH89" i="86"/>
  <c r="AH896" i="86"/>
  <c r="AG86" i="86"/>
  <c r="AH525" i="86"/>
  <c r="AH488" i="86"/>
  <c r="AH369" i="86"/>
  <c r="AH68" i="86"/>
  <c r="AH141" i="86"/>
  <c r="AH733" i="86"/>
  <c r="AG167" i="86"/>
  <c r="AH541" i="86"/>
  <c r="AG850" i="86"/>
  <c r="AH711" i="86"/>
  <c r="AH177" i="86"/>
  <c r="AH595" i="86"/>
  <c r="AH1328" i="86"/>
  <c r="AH197" i="86"/>
  <c r="AH511" i="86"/>
  <c r="AH2154" i="86"/>
  <c r="AH1550" i="86"/>
  <c r="AH327" i="86"/>
  <c r="AH737" i="86"/>
  <c r="AH946" i="86"/>
  <c r="AH2310" i="86"/>
  <c r="AH1892" i="86"/>
  <c r="AH402" i="86"/>
  <c r="AH617" i="86"/>
  <c r="AH1063" i="86"/>
  <c r="AH247" i="86"/>
  <c r="AH1519" i="86"/>
  <c r="AH763" i="86"/>
  <c r="AH495" i="86"/>
  <c r="AH206" i="86"/>
  <c r="AH1419" i="86"/>
  <c r="AH1052" i="86"/>
  <c r="AH1916" i="86"/>
  <c r="AH558" i="86"/>
  <c r="AH1056" i="86"/>
  <c r="AH1008" i="86"/>
  <c r="AH1914" i="86"/>
  <c r="AH394" i="86"/>
  <c r="AH894" i="86"/>
  <c r="AG2383" i="86"/>
  <c r="AH231" i="86"/>
  <c r="AH229" i="86"/>
  <c r="AH2070" i="86"/>
  <c r="AH1215" i="86"/>
  <c r="AH1466" i="86"/>
  <c r="AH253" i="86"/>
  <c r="AH754" i="86"/>
  <c r="AH1048" i="86"/>
  <c r="AH1629" i="86"/>
  <c r="AH1903" i="86"/>
  <c r="AH889" i="86"/>
  <c r="AH1973" i="86"/>
  <c r="AH987" i="86"/>
  <c r="AH1239" i="86"/>
  <c r="AH1467" i="86"/>
  <c r="AH342" i="86"/>
  <c r="AH1257" i="86"/>
  <c r="AH582" i="86"/>
  <c r="AH1018" i="86"/>
  <c r="AH1254" i="86"/>
  <c r="AH1479" i="86"/>
  <c r="AH379" i="86"/>
  <c r="AH1278" i="86"/>
  <c r="AG49" i="86"/>
  <c r="AG196" i="86"/>
  <c r="AG8" i="86"/>
  <c r="AG206" i="86"/>
  <c r="AG30" i="86"/>
  <c r="AH2314" i="86"/>
  <c r="AG2517" i="86"/>
  <c r="AG1475" i="86"/>
  <c r="AG104" i="86"/>
  <c r="AG1017" i="86"/>
  <c r="AH333" i="86"/>
  <c r="AH1062" i="86"/>
  <c r="AH560" i="86"/>
  <c r="AH238" i="86"/>
  <c r="AH391" i="86"/>
  <c r="AH63" i="86"/>
  <c r="AH1041" i="86"/>
  <c r="AH296" i="86"/>
  <c r="AH516" i="86"/>
  <c r="AH1031" i="86"/>
  <c r="AH174" i="86"/>
  <c r="AG1864" i="86"/>
  <c r="AH106" i="86"/>
  <c r="AH43" i="86"/>
  <c r="AH782" i="86"/>
  <c r="AH788" i="86"/>
  <c r="AH601" i="86"/>
  <c r="AH982" i="86"/>
  <c r="AG410" i="86"/>
  <c r="AH136" i="86"/>
  <c r="AG1473" i="86"/>
  <c r="AH149" i="86"/>
  <c r="AH426" i="86"/>
  <c r="AH793" i="86"/>
  <c r="AH1625" i="86"/>
  <c r="AH722" i="86"/>
  <c r="AH904" i="86"/>
  <c r="AH2298" i="86"/>
  <c r="AH1728" i="86"/>
  <c r="AH1786" i="86"/>
  <c r="AH1157" i="86"/>
  <c r="AH457" i="86"/>
  <c r="AH60" i="86"/>
  <c r="AH242" i="86"/>
  <c r="AH1512" i="86"/>
  <c r="AH1195" i="86"/>
  <c r="AH1409" i="86"/>
  <c r="AH741" i="86"/>
  <c r="AH1701" i="86"/>
  <c r="AH1381" i="86"/>
  <c r="AH1262" i="86"/>
  <c r="AH667" i="86"/>
  <c r="AH1563" i="86"/>
  <c r="AH1333" i="86"/>
  <c r="AH791" i="86"/>
  <c r="AH1200" i="86"/>
  <c r="AH179" i="86"/>
  <c r="AH172" i="86"/>
  <c r="AH2058" i="86"/>
  <c r="AH1193" i="86"/>
  <c r="AH1230" i="86"/>
  <c r="AG2239" i="86"/>
  <c r="AH710" i="86"/>
  <c r="AH573" i="86"/>
  <c r="AH2358" i="86"/>
  <c r="AH1439" i="86"/>
  <c r="AH1656" i="86"/>
  <c r="AH966" i="86"/>
  <c r="AH1171" i="86"/>
  <c r="AH255" i="86"/>
  <c r="AH1791" i="86"/>
  <c r="AH2047" i="86"/>
  <c r="AH1227" i="86"/>
  <c r="AH748" i="86"/>
  <c r="AH1311" i="86"/>
  <c r="AH1493" i="86"/>
  <c r="AH1611" i="86"/>
  <c r="AH806" i="86"/>
  <c r="AH1472" i="86"/>
  <c r="AH990" i="86"/>
  <c r="AH1335" i="86"/>
  <c r="AH1541" i="86"/>
  <c r="AH1623" i="86"/>
  <c r="AH839" i="86"/>
  <c r="AH1487" i="86"/>
  <c r="AH1663" i="86"/>
  <c r="AG1001" i="86"/>
  <c r="AG2037" i="86"/>
  <c r="AH1859" i="86"/>
  <c r="AG2018" i="86"/>
  <c r="AG1708" i="86"/>
  <c r="AG1509" i="86"/>
  <c r="AG779" i="86"/>
  <c r="AG589" i="86"/>
  <c r="AG223" i="86"/>
  <c r="AG2118" i="86"/>
  <c r="AH427" i="86"/>
  <c r="AH413" i="86"/>
  <c r="AH593" i="86"/>
  <c r="AH1359" i="86"/>
  <c r="AH281" i="86"/>
  <c r="AH42" i="86"/>
  <c r="AH1297" i="86"/>
  <c r="AH872" i="86"/>
  <c r="AG1850" i="86"/>
  <c r="AH1027" i="86"/>
  <c r="AH84" i="86"/>
  <c r="AH764" i="86"/>
  <c r="AH1129" i="86"/>
  <c r="AH515" i="86"/>
  <c r="AH568" i="86"/>
  <c r="AH528" i="86"/>
  <c r="AH1156" i="86"/>
  <c r="AH310" i="86"/>
  <c r="AG1314" i="86"/>
  <c r="AH626" i="86"/>
  <c r="AG1370" i="86"/>
  <c r="AH482" i="86"/>
  <c r="AH1017" i="86"/>
  <c r="AH774" i="86"/>
  <c r="AH604" i="86"/>
  <c r="AH38" i="86"/>
  <c r="AH978" i="86"/>
  <c r="AH963" i="86"/>
  <c r="AH1544" i="86"/>
  <c r="AH2513" i="86"/>
  <c r="AH622" i="86"/>
  <c r="AH1219" i="86"/>
  <c r="AH1501" i="86"/>
  <c r="AH1735" i="86"/>
  <c r="AH2376" i="86"/>
  <c r="AH169" i="86"/>
  <c r="AH157" i="86"/>
  <c r="AH1566" i="86"/>
  <c r="AH2287" i="86"/>
  <c r="AH376" i="86"/>
  <c r="AH831" i="86"/>
  <c r="AH1685" i="86"/>
  <c r="AH1133" i="86"/>
  <c r="AH2011" i="86"/>
  <c r="AH1761" i="86"/>
  <c r="AH968" i="86"/>
  <c r="AH1420" i="86"/>
  <c r="AH1059" i="86"/>
  <c r="AH702" i="86"/>
  <c r="AH1928" i="86"/>
  <c r="AH1949" i="86"/>
  <c r="AH809" i="86"/>
  <c r="AH1684" i="86"/>
  <c r="AH1443" i="86"/>
  <c r="AH1374" i="86"/>
  <c r="AH405" i="86"/>
  <c r="AH679" i="86"/>
  <c r="AH1322" i="86"/>
  <c r="AH283" i="86"/>
  <c r="AH1097" i="86"/>
  <c r="AH2226" i="86"/>
  <c r="AH472" i="86"/>
  <c r="AH1800" i="86"/>
  <c r="AH1912" i="86"/>
  <c r="AH1098" i="86"/>
  <c r="AH339" i="86"/>
  <c r="AH1231" i="86"/>
  <c r="AH1597" i="86"/>
  <c r="AG930" i="86"/>
  <c r="AG308" i="86"/>
  <c r="AG996" i="86"/>
  <c r="AG1155" i="86"/>
  <c r="AG1067" i="86"/>
  <c r="AG981" i="86"/>
  <c r="AG558" i="86"/>
  <c r="AG316" i="86"/>
  <c r="AG255" i="86"/>
  <c r="AG65" i="86"/>
  <c r="AG494" i="86"/>
  <c r="AH465" i="86"/>
  <c r="AG29" i="86"/>
  <c r="AH26" i="86"/>
  <c r="AH575" i="86"/>
  <c r="AH140" i="86"/>
  <c r="AH703" i="86"/>
  <c r="AH1206" i="86"/>
  <c r="AH547" i="86"/>
  <c r="AH740" i="86"/>
  <c r="AG97" i="86"/>
  <c r="AH509" i="86"/>
  <c r="AH115" i="86"/>
  <c r="AH939" i="86"/>
  <c r="AH1067" i="86"/>
  <c r="AG386" i="86"/>
  <c r="AH299" i="86"/>
  <c r="AH1299" i="86"/>
  <c r="AH1601" i="86"/>
  <c r="AH368" i="86"/>
  <c r="AH166" i="86"/>
  <c r="AH236" i="86"/>
  <c r="AH183" i="86"/>
  <c r="AH621" i="86"/>
  <c r="AH1696" i="86"/>
  <c r="AH204" i="86"/>
  <c r="AH1612" i="86"/>
  <c r="AH160" i="86"/>
  <c r="AH1975" i="86"/>
  <c r="AH769" i="86"/>
  <c r="AG462" i="86"/>
  <c r="AH66" i="86"/>
  <c r="AH1077" i="86"/>
  <c r="AH2275" i="86"/>
  <c r="AH1160" i="86"/>
  <c r="AG2419" i="86"/>
  <c r="AH94" i="86"/>
  <c r="AH480" i="86"/>
  <c r="AH2178" i="86"/>
  <c r="AH1391" i="86"/>
  <c r="AH1418" i="86"/>
  <c r="AH681" i="86"/>
  <c r="AH988" i="86"/>
  <c r="AH1902" i="86"/>
  <c r="AH807" i="86"/>
  <c r="AH866" i="86"/>
  <c r="AH751" i="86"/>
  <c r="AH1120" i="86"/>
  <c r="AH341" i="86"/>
  <c r="AH1727" i="86"/>
  <c r="AH1179" i="86"/>
  <c r="AH1594" i="86"/>
  <c r="AH429" i="86"/>
  <c r="AH1445" i="86"/>
  <c r="AH1185" i="86"/>
  <c r="AH1891" i="86"/>
  <c r="AH1430" i="86"/>
  <c r="AH2090" i="86"/>
  <c r="AH1275" i="86"/>
  <c r="AH1469" i="86"/>
  <c r="AH1599" i="86"/>
  <c r="AH777" i="86"/>
  <c r="AH1454" i="86"/>
  <c r="AH958" i="86"/>
  <c r="AH12" i="86"/>
  <c r="AH1187" i="86"/>
  <c r="AH303" i="86"/>
  <c r="AH1805" i="86"/>
  <c r="AH2059" i="86"/>
  <c r="AH1245" i="86"/>
  <c r="AH199" i="86"/>
  <c r="AH1220" i="86"/>
  <c r="AH329" i="86"/>
  <c r="AH1818" i="86"/>
  <c r="AH2071" i="86"/>
  <c r="AH1266" i="86"/>
  <c r="AG683" i="86"/>
  <c r="AG338" i="86"/>
  <c r="AG1725" i="86"/>
  <c r="AG235" i="86"/>
  <c r="AG646" i="86"/>
  <c r="AG755" i="86"/>
  <c r="AG495" i="86"/>
  <c r="AH1347" i="86"/>
  <c r="AH207" i="86"/>
  <c r="AH121" i="86"/>
  <c r="AH999" i="86"/>
  <c r="AG276" i="86"/>
  <c r="AG1710" i="86"/>
  <c r="AG594" i="86"/>
  <c r="AH345" i="86"/>
  <c r="AG649" i="86"/>
  <c r="AH85" i="86"/>
  <c r="AH357" i="86"/>
  <c r="AH858" i="86"/>
  <c r="AH70" i="86"/>
  <c r="AG2281" i="86"/>
  <c r="AH1106" i="86"/>
  <c r="AH1023" i="86"/>
  <c r="AH24" i="86"/>
  <c r="AH1203" i="86"/>
  <c r="AH1086" i="86"/>
  <c r="AG2575" i="86"/>
  <c r="AH1613" i="86"/>
  <c r="AH1843" i="86"/>
  <c r="AH1764" i="86"/>
  <c r="AH612" i="86"/>
  <c r="AH1407" i="86"/>
  <c r="AH300" i="86"/>
  <c r="AH1925" i="86"/>
  <c r="AH463" i="86"/>
  <c r="AH163" i="86"/>
  <c r="AH1910" i="86"/>
  <c r="AH1248" i="86"/>
  <c r="AH1431" i="86"/>
  <c r="AH2167" i="86"/>
  <c r="AH611" i="86"/>
  <c r="AH715" i="86"/>
  <c r="AH1587" i="86"/>
  <c r="AH2323" i="86"/>
  <c r="AH1279" i="86"/>
  <c r="AH1084" i="86"/>
  <c r="AH1296" i="86"/>
  <c r="AH1582" i="86"/>
  <c r="AH1946" i="86"/>
  <c r="AH1346" i="86"/>
  <c r="AH759" i="86"/>
  <c r="AH2238" i="86"/>
  <c r="AH1964" i="86"/>
  <c r="AH173" i="86"/>
  <c r="AH838" i="86"/>
  <c r="AH1255" i="86"/>
  <c r="AH2215" i="86"/>
  <c r="AH107" i="86"/>
  <c r="AG2404" i="86"/>
  <c r="AH412" i="86"/>
  <c r="AH802" i="86"/>
  <c r="AH1485" i="86"/>
  <c r="AH1793" i="86"/>
  <c r="AH162" i="86"/>
  <c r="AH919" i="86"/>
  <c r="AH1174" i="86"/>
  <c r="AH1687" i="86"/>
  <c r="AH1951" i="86"/>
  <c r="AH882" i="86"/>
  <c r="AG2371" i="86"/>
  <c r="AH1318" i="86"/>
  <c r="AH222" i="86"/>
  <c r="AH1871" i="86"/>
  <c r="AH2102" i="86"/>
  <c r="AG2507" i="86"/>
  <c r="AH941" i="86"/>
  <c r="AG2587" i="86"/>
  <c r="AH811" i="86"/>
  <c r="AH2366" i="86"/>
  <c r="AH1620" i="86"/>
  <c r="AH1693" i="86"/>
  <c r="AH2581" i="86"/>
  <c r="AH2210" i="86"/>
  <c r="AH2220" i="86"/>
  <c r="AH2163" i="86"/>
  <c r="AG433" i="86"/>
  <c r="AG242" i="86"/>
  <c r="AG1153" i="86"/>
  <c r="AG169" i="86"/>
  <c r="AG545" i="86"/>
  <c r="AG546" i="86"/>
  <c r="AG11" i="86"/>
  <c r="AH190" i="86"/>
  <c r="AH835" i="86"/>
  <c r="AH1372" i="86"/>
  <c r="AH275" i="86"/>
  <c r="AG244" i="86"/>
  <c r="AH452" i="86"/>
  <c r="AH320" i="86"/>
  <c r="AH254" i="86"/>
  <c r="AH56" i="86"/>
  <c r="AH747" i="86"/>
  <c r="AH913" i="86"/>
  <c r="AH1100" i="86"/>
  <c r="AH384" i="86"/>
  <c r="AH92" i="86"/>
  <c r="AH1250" i="86"/>
  <c r="AH1552" i="86"/>
  <c r="AH1116" i="86"/>
  <c r="AH1382" i="86"/>
  <c r="AH1353" i="86"/>
  <c r="AG2287" i="86"/>
  <c r="AH127" i="86"/>
  <c r="AH2131" i="86"/>
  <c r="AH1913" i="86"/>
  <c r="AH964" i="86"/>
  <c r="AH1551" i="86"/>
  <c r="AH1140" i="86"/>
  <c r="AH824" i="86"/>
  <c r="AH184" i="86"/>
  <c r="AH661" i="86"/>
  <c r="AH421" i="86"/>
  <c r="AH268" i="86"/>
  <c r="AH1575" i="86"/>
  <c r="AH2311" i="86"/>
  <c r="AH1242" i="86"/>
  <c r="AH1070" i="86"/>
  <c r="AH833" i="86"/>
  <c r="AH869" i="86"/>
  <c r="AH1621" i="86"/>
  <c r="AH335" i="86"/>
  <c r="AH1455" i="86"/>
  <c r="AH1753" i="86"/>
  <c r="AH542" i="86"/>
  <c r="AH517" i="86"/>
  <c r="AH1085" i="86"/>
  <c r="AH2382" i="86"/>
  <c r="AH494" i="86"/>
  <c r="AH1001" i="86"/>
  <c r="AH153" i="86"/>
  <c r="AH1470" i="86"/>
  <c r="AH23" i="86"/>
  <c r="AH615" i="86"/>
  <c r="AH5" i="86"/>
  <c r="AH898" i="86"/>
  <c r="AH1139" i="86"/>
  <c r="AH1671" i="86"/>
  <c r="AH1939" i="86"/>
  <c r="AH603" i="86"/>
  <c r="AH1313" i="86"/>
  <c r="AH381" i="86"/>
  <c r="AH1842" i="86"/>
  <c r="AH2095" i="86"/>
  <c r="AH1518" i="86"/>
  <c r="AG2191" i="86"/>
  <c r="AH1652" i="86"/>
  <c r="AH984" i="86"/>
  <c r="AH2075" i="86"/>
  <c r="AH2423" i="86"/>
  <c r="AG2350" i="86"/>
  <c r="AH1192" i="86"/>
  <c r="AG2359" i="86"/>
  <c r="AH1348" i="86"/>
  <c r="AH290" i="86"/>
  <c r="AH1893" i="86"/>
  <c r="AH2132" i="86"/>
  <c r="AG2494" i="86"/>
  <c r="AH785" i="86"/>
  <c r="AH2465" i="86"/>
  <c r="AH33" i="86"/>
  <c r="AG2243" i="86"/>
  <c r="AG10" i="86"/>
  <c r="AG2194" i="86"/>
  <c r="AG416" i="86"/>
  <c r="AG1415" i="86"/>
  <c r="AG75" i="86"/>
  <c r="AG186" i="86"/>
  <c r="AG2526" i="86"/>
  <c r="AH943" i="86"/>
  <c r="AH814" i="86"/>
  <c r="AG258" i="86"/>
  <c r="AH9" i="86"/>
  <c r="AH148" i="86"/>
  <c r="AH318" i="86"/>
  <c r="AH398" i="86"/>
  <c r="AH587" i="86"/>
  <c r="AH672" i="86"/>
  <c r="AG120" i="86"/>
  <c r="AH1310" i="86"/>
  <c r="AH1065" i="86"/>
  <c r="AH783" i="86"/>
  <c r="AH240" i="86"/>
  <c r="AH1334" i="86"/>
  <c r="AH643" i="86"/>
  <c r="AH529" i="86"/>
  <c r="AH1713" i="86"/>
  <c r="AH1722" i="86"/>
  <c r="AH550" i="86"/>
  <c r="AH1395" i="86"/>
  <c r="AH1375" i="86"/>
  <c r="AH2525" i="86"/>
  <c r="AH1636" i="86"/>
  <c r="AH1890" i="86"/>
  <c r="AH1904" i="86"/>
  <c r="AH1235" i="86"/>
  <c r="AH1039" i="86"/>
  <c r="AH2155" i="86"/>
  <c r="AH1628" i="86"/>
  <c r="AH1660" i="86"/>
  <c r="AH1596" i="86"/>
  <c r="AH367" i="86"/>
  <c r="AH2415" i="86"/>
  <c r="AH775" i="86"/>
  <c r="AH1778" i="86"/>
  <c r="AH853" i="86"/>
  <c r="AG2515" i="86"/>
  <c r="AH795" i="86"/>
  <c r="AH1212" i="86"/>
  <c r="AH905" i="86"/>
  <c r="AH1670" i="86"/>
  <c r="AH360" i="86"/>
  <c r="AH1115" i="86"/>
  <c r="AH1766" i="86"/>
  <c r="AH1653" i="86"/>
  <c r="AH401" i="86"/>
  <c r="AH779" i="86"/>
  <c r="AH2106" i="86"/>
  <c r="AH1675" i="86"/>
  <c r="AH1514" i="86"/>
  <c r="AH1032" i="86"/>
  <c r="AH1780" i="86"/>
  <c r="AH917" i="86"/>
  <c r="AH2118" i="86"/>
  <c r="AH75" i="86"/>
  <c r="AH73" i="86"/>
  <c r="AH506" i="86"/>
  <c r="AH1168" i="86"/>
  <c r="AH2274" i="86"/>
  <c r="AH630" i="86"/>
  <c r="AH1511" i="86"/>
  <c r="AH27" i="86"/>
  <c r="AH2280" i="86"/>
  <c r="AH1995" i="86"/>
  <c r="AH1107" i="86"/>
  <c r="AH1796" i="86"/>
  <c r="AH2028" i="86"/>
  <c r="AH139" i="86"/>
  <c r="AG1891" i="86"/>
  <c r="AH2122" i="86"/>
  <c r="AH1773" i="86"/>
  <c r="AH2427" i="86"/>
  <c r="AH1145" i="86"/>
  <c r="AH1558" i="86"/>
  <c r="AH1854" i="86"/>
  <c r="AG2167" i="86"/>
  <c r="AG312" i="86"/>
  <c r="AH1755" i="86"/>
  <c r="AG575" i="86"/>
  <c r="AG2001" i="86"/>
  <c r="AG234" i="86"/>
  <c r="AG642" i="86"/>
  <c r="AG155" i="86"/>
  <c r="AH7" i="86"/>
  <c r="AH1717" i="86"/>
  <c r="AH1209" i="86"/>
  <c r="AH860" i="86"/>
  <c r="AH1099" i="86"/>
  <c r="AH270" i="86"/>
  <c r="AH856" i="86"/>
  <c r="AG116" i="86"/>
  <c r="AH767" i="86"/>
  <c r="AH540" i="86"/>
  <c r="AH371" i="86"/>
  <c r="AH562" i="86"/>
  <c r="AG719" i="86"/>
  <c r="AH571" i="86"/>
  <c r="AH325" i="86"/>
  <c r="AH1323" i="86"/>
  <c r="AH758" i="86"/>
  <c r="AH1024" i="86"/>
  <c r="AH545" i="86"/>
  <c r="AH1388" i="86"/>
  <c r="AH65" i="86"/>
  <c r="AH1548" i="86"/>
  <c r="AH1559" i="86"/>
  <c r="AG898" i="86"/>
  <c r="AH414" i="86"/>
  <c r="AH628" i="86"/>
  <c r="AH1748" i="86"/>
  <c r="AH664" i="86"/>
  <c r="AH772" i="86"/>
  <c r="AH1406" i="86"/>
  <c r="AH2599" i="86"/>
  <c r="AH14" i="86"/>
  <c r="AH213" i="86"/>
  <c r="AH1607" i="86"/>
  <c r="AH96" i="86"/>
  <c r="AH239" i="86"/>
  <c r="AH743" i="86"/>
  <c r="AH1934" i="86"/>
  <c r="AH845" i="86"/>
  <c r="AH624" i="86"/>
  <c r="AH2082" i="86"/>
  <c r="AH1807" i="86"/>
  <c r="AH1650" i="86"/>
  <c r="AH1756" i="86"/>
  <c r="AH895" i="86"/>
  <c r="AH2347" i="86"/>
  <c r="AH1292" i="86"/>
  <c r="AH383" i="86"/>
  <c r="AH897" i="86"/>
  <c r="AH1189" i="86"/>
  <c r="AH537" i="86"/>
  <c r="AH25" i="86"/>
  <c r="AH1075" i="86"/>
  <c r="AH1269" i="86"/>
  <c r="AH1491" i="86"/>
  <c r="AH425" i="86"/>
  <c r="AH1295" i="86"/>
  <c r="AH22" i="86"/>
  <c r="AH1565" i="86"/>
  <c r="AH59" i="86"/>
  <c r="AH902" i="86"/>
  <c r="AH1520" i="86"/>
  <c r="AH911" i="86"/>
  <c r="AH1698" i="86"/>
  <c r="AH1464" i="86"/>
  <c r="AH395" i="86"/>
  <c r="AH1303" i="86"/>
  <c r="AH302" i="86"/>
  <c r="AG2519" i="86"/>
  <c r="AH1738" i="86"/>
  <c r="AH1410" i="86"/>
  <c r="AH1073" i="86"/>
  <c r="AH2355" i="86"/>
  <c r="AH2244" i="86"/>
  <c r="AH906" i="86"/>
  <c r="AH2569" i="86"/>
  <c r="AH1681" i="86"/>
  <c r="AH186" i="86"/>
  <c r="AG275" i="86"/>
  <c r="AG1746" i="86"/>
  <c r="AG336" i="86"/>
  <c r="AG1329" i="86"/>
  <c r="AG137" i="86"/>
  <c r="AG543" i="86"/>
  <c r="AG951" i="86"/>
  <c r="AH799" i="86"/>
  <c r="AG207" i="86"/>
  <c r="AH647" i="86"/>
  <c r="AH1004" i="86"/>
  <c r="AH1744" i="86"/>
  <c r="AH478" i="86"/>
  <c r="AH69" i="86"/>
  <c r="AG337" i="86"/>
  <c r="AH334" i="86"/>
  <c r="AH727" i="86"/>
  <c r="AH280" i="86"/>
  <c r="AH949" i="86"/>
  <c r="AG2142" i="86"/>
  <c r="AH756" i="86"/>
  <c r="AH796" i="86"/>
  <c r="AH146" i="86"/>
  <c r="AH864" i="86"/>
  <c r="AH1342" i="86"/>
  <c r="AH1674" i="86"/>
  <c r="AH1751" i="86"/>
  <c r="AH1355" i="86"/>
  <c r="AH2022" i="86"/>
  <c r="AH1886" i="86"/>
  <c r="AH680" i="86"/>
  <c r="AH579" i="86"/>
  <c r="AH1025" i="86"/>
  <c r="AH832" i="86"/>
  <c r="AH1119" i="86"/>
  <c r="AH1581" i="86"/>
  <c r="AH1598" i="86"/>
  <c r="AH652" i="86"/>
  <c r="AH211" i="86"/>
  <c r="AH1083" i="86"/>
  <c r="AH1774" i="86"/>
  <c r="AH158" i="86"/>
  <c r="AH717" i="86"/>
  <c r="AH1567" i="86"/>
  <c r="AH501" i="86"/>
  <c r="AH499" i="86"/>
  <c r="AH289" i="86"/>
  <c r="AH2370" i="86"/>
  <c r="AH1952" i="86"/>
  <c r="AG806" i="86"/>
  <c r="AH336" i="86"/>
  <c r="AH1452" i="86"/>
  <c r="AH514" i="86"/>
  <c r="AH1499" i="86"/>
  <c r="AH879" i="86"/>
  <c r="AH1134" i="86"/>
  <c r="AH1423" i="86"/>
  <c r="AH950" i="86"/>
  <c r="AH852" i="86"/>
  <c r="AH1383" i="86"/>
  <c r="AH1553" i="86"/>
  <c r="AH16" i="86"/>
  <c r="AH868" i="86"/>
  <c r="AH1502" i="86"/>
  <c r="AH492" i="86"/>
  <c r="AH311" i="86"/>
  <c r="AH586" i="86"/>
  <c r="AH1232" i="86"/>
  <c r="AH1702" i="86"/>
  <c r="AH1763" i="86"/>
  <c r="AH1956" i="86"/>
  <c r="AH1771" i="86"/>
  <c r="AH1095" i="86"/>
  <c r="AH1908" i="86"/>
  <c r="AH1557" i="86"/>
  <c r="AG2362" i="86"/>
  <c r="AH969" i="86"/>
  <c r="AH1721" i="86"/>
  <c r="AH1494" i="86"/>
  <c r="AH454" i="86"/>
  <c r="AH1365" i="86"/>
  <c r="AH473" i="86"/>
  <c r="AG2506" i="86"/>
  <c r="AH1050" i="86"/>
  <c r="AH973" i="86"/>
  <c r="AG1183" i="86"/>
  <c r="AG1095" i="86"/>
  <c r="AG14" i="86"/>
  <c r="AG631" i="86"/>
  <c r="AG1697" i="86"/>
  <c r="AH2553" i="86"/>
  <c r="AG524" i="86"/>
  <c r="AG1408" i="86"/>
  <c r="AG1080" i="86"/>
  <c r="AG179" i="86"/>
  <c r="AG1421" i="86"/>
  <c r="AG299" i="86"/>
  <c r="AG1617" i="86"/>
  <c r="AG370" i="86"/>
  <c r="AG1838" i="86"/>
  <c r="AG457" i="86"/>
  <c r="AG1945" i="86"/>
  <c r="AG493" i="86"/>
  <c r="AG1929" i="86"/>
  <c r="AG491" i="86"/>
  <c r="AG438" i="86"/>
  <c r="AG1774" i="86"/>
  <c r="AG1103" i="86"/>
  <c r="AG130" i="86"/>
  <c r="AG949" i="86"/>
  <c r="AH423" i="86"/>
  <c r="AH1274" i="86"/>
  <c r="AH420" i="86"/>
  <c r="AH1356" i="86"/>
  <c r="AG473" i="86"/>
  <c r="AH31" i="86"/>
  <c r="AH6" i="86"/>
  <c r="AH209" i="86"/>
  <c r="AH435" i="86"/>
  <c r="AG1047" i="86"/>
  <c r="AH135" i="86"/>
  <c r="AH252" i="86"/>
  <c r="AH878" i="86"/>
  <c r="AH1456" i="86"/>
  <c r="AG582" i="86"/>
  <c r="AH462" i="86"/>
  <c r="AH666" i="86"/>
  <c r="AG50" i="86"/>
  <c r="AH228" i="86"/>
  <c r="AH1178" i="86"/>
  <c r="AG1107" i="86"/>
  <c r="AH259" i="86"/>
  <c r="AG671" i="86"/>
  <c r="AH908" i="86"/>
  <c r="AH1055" i="86"/>
  <c r="AH1286" i="86"/>
  <c r="AG1207" i="86"/>
  <c r="AH110" i="86"/>
  <c r="AH899" i="86"/>
  <c r="AH955" i="86"/>
  <c r="AG1260" i="86"/>
  <c r="AH685" i="86"/>
  <c r="AH556" i="86"/>
  <c r="AH134" i="86"/>
  <c r="AH150" i="86"/>
  <c r="AH1300" i="86"/>
  <c r="AG797" i="86"/>
  <c r="AH656" i="86"/>
  <c r="AH312" i="86"/>
  <c r="AG183" i="86"/>
  <c r="AH380" i="86"/>
  <c r="AH11" i="86"/>
  <c r="AH942" i="86"/>
  <c r="AH408" i="86"/>
  <c r="AH205" i="86"/>
  <c r="AH1136" i="86"/>
  <c r="AH504" i="86"/>
  <c r="AH918" i="86"/>
  <c r="AH100" i="86"/>
  <c r="AH1051" i="86"/>
  <c r="AH1486" i="86"/>
  <c r="AH1880" i="86"/>
  <c r="AH1580" i="86"/>
  <c r="AG2431" i="86"/>
  <c r="AH578" i="86"/>
  <c r="AH387" i="86"/>
  <c r="AH701" i="86"/>
  <c r="AH1294" i="86"/>
  <c r="AH1741" i="86"/>
  <c r="AG1007" i="86"/>
  <c r="AG651" i="86"/>
  <c r="AG527" i="86"/>
  <c r="AG1310" i="86"/>
  <c r="AG2463" i="86"/>
  <c r="AG427" i="86"/>
  <c r="AG548" i="86"/>
  <c r="AG902" i="86"/>
  <c r="AG118" i="86"/>
  <c r="AG1245" i="86"/>
  <c r="AG236" i="86"/>
  <c r="AG1419" i="86"/>
  <c r="AG296" i="86"/>
  <c r="AG1605" i="86"/>
  <c r="AG366" i="86"/>
  <c r="AG1678" i="86"/>
  <c r="AG404" i="86"/>
  <c r="AG1672" i="86"/>
  <c r="AG394" i="86"/>
  <c r="AG42" i="86"/>
  <c r="AG699" i="86"/>
  <c r="AG353" i="86"/>
  <c r="AG289" i="86"/>
  <c r="AH2399" i="86"/>
  <c r="AH18" i="86"/>
  <c r="AH237" i="86"/>
  <c r="AH825" i="86"/>
  <c r="AH1505" i="86"/>
  <c r="AG905" i="86"/>
  <c r="AH346" i="86"/>
  <c r="AH256" i="86"/>
  <c r="AH439" i="86"/>
  <c r="AH962" i="86"/>
  <c r="AG1698" i="86"/>
  <c r="AH292" i="86"/>
  <c r="AH650" i="86"/>
  <c r="AH1061" i="86"/>
  <c r="AH1600" i="86"/>
  <c r="AG1769" i="86"/>
  <c r="AH619" i="86"/>
  <c r="AH842" i="86"/>
  <c r="AG560" i="86"/>
  <c r="AH385" i="86"/>
  <c r="AH72" i="86"/>
  <c r="AH32" i="86"/>
  <c r="AH417" i="86"/>
  <c r="AG1250" i="86"/>
  <c r="AH30" i="86"/>
  <c r="AH323" i="86"/>
  <c r="AH93" i="86"/>
  <c r="AG1952" i="86"/>
  <c r="AH267" i="86"/>
  <c r="AH1066" i="86"/>
  <c r="AH1287" i="86"/>
  <c r="AG2045" i="86"/>
  <c r="AH123" i="86"/>
  <c r="AH742" i="86"/>
  <c r="AH370" i="86"/>
  <c r="AH459" i="86"/>
  <c r="AH1457" i="86"/>
  <c r="AG1417" i="86"/>
  <c r="AH800" i="86"/>
  <c r="AH469" i="86"/>
  <c r="AG439" i="86"/>
  <c r="AH524" i="86"/>
  <c r="AH168" i="86"/>
  <c r="AG528" i="86"/>
  <c r="AG2464" i="86"/>
  <c r="AG385" i="86"/>
  <c r="AG709" i="86"/>
  <c r="AG1535" i="86"/>
  <c r="AG302" i="86"/>
  <c r="AH2583" i="86"/>
  <c r="AG670" i="86"/>
  <c r="AG2583" i="86"/>
  <c r="AG982" i="86"/>
  <c r="AG83" i="86"/>
  <c r="AG1147" i="86"/>
  <c r="AG145" i="86"/>
  <c r="AG1313" i="86"/>
  <c r="AG197" i="86"/>
  <c r="AG1396" i="86"/>
  <c r="AG222" i="86"/>
  <c r="AG1381" i="86"/>
  <c r="AG220" i="86"/>
  <c r="AG1818" i="86"/>
  <c r="AG780" i="86"/>
  <c r="AG2084" i="86"/>
  <c r="AG281" i="86"/>
  <c r="AG856" i="86"/>
  <c r="AH351" i="86"/>
  <c r="AH861" i="86"/>
  <c r="AH817" i="86"/>
  <c r="AH531" i="86"/>
  <c r="AH272" i="86"/>
  <c r="AH678" i="86"/>
  <c r="AH877" i="86"/>
  <c r="AH1191" i="86"/>
  <c r="AH262" i="86"/>
  <c r="AG503" i="86"/>
  <c r="AH202" i="86"/>
  <c r="AH28" i="86"/>
  <c r="AH230" i="86"/>
  <c r="AH734" i="86"/>
  <c r="AG1646" i="86"/>
  <c r="AH372" i="86"/>
  <c r="AH49" i="86"/>
  <c r="AH308" i="86"/>
  <c r="AH403" i="86"/>
  <c r="AH736" i="86"/>
  <c r="AH752" i="86"/>
  <c r="AH888" i="86"/>
  <c r="AG617" i="86"/>
  <c r="AH97" i="86"/>
  <c r="AH885" i="86"/>
  <c r="AH753" i="86"/>
  <c r="AH344" i="86"/>
  <c r="AH443" i="86"/>
  <c r="AH583" i="86"/>
  <c r="AH544" i="86"/>
  <c r="AH356" i="86"/>
  <c r="AH142" i="86"/>
  <c r="AH1226" i="86"/>
  <c r="AH972" i="86"/>
  <c r="AH1384" i="86"/>
  <c r="AH714" i="86"/>
  <c r="AG368" i="86"/>
  <c r="AH227" i="86"/>
  <c r="AH940" i="86"/>
  <c r="AG2508" i="86"/>
  <c r="AH956" i="86"/>
  <c r="AH639" i="86"/>
  <c r="AH196" i="86"/>
  <c r="AH1170" i="86"/>
  <c r="AH1237" i="86"/>
  <c r="AH182" i="86"/>
  <c r="AH957" i="86"/>
  <c r="AH1341" i="86"/>
  <c r="AH433" i="86"/>
  <c r="AH1866" i="86"/>
  <c r="AH2119" i="86"/>
  <c r="AH1345" i="86"/>
  <c r="AH1068" i="86"/>
  <c r="AH181" i="86"/>
  <c r="AH1003" i="86"/>
  <c r="AH62" i="86"/>
  <c r="AH1726" i="86"/>
  <c r="AH1987" i="86"/>
  <c r="AH1096" i="86"/>
  <c r="AH2475" i="86"/>
  <c r="AG387" i="86"/>
  <c r="AG1642" i="86"/>
  <c r="AG181" i="86"/>
  <c r="AG497" i="86"/>
  <c r="AG1252" i="86"/>
  <c r="AG180" i="86"/>
  <c r="AG2022" i="86"/>
  <c r="AG469" i="86"/>
  <c r="AH2040" i="86"/>
  <c r="AG668" i="86"/>
  <c r="AG5" i="86"/>
  <c r="AG802" i="86"/>
  <c r="AG53" i="86"/>
  <c r="AG967" i="86"/>
  <c r="AG110" i="86"/>
  <c r="AG1032" i="86"/>
  <c r="AG132" i="86"/>
  <c r="AG1029" i="86"/>
  <c r="AG131" i="86"/>
  <c r="AG195" i="86"/>
  <c r="AG1132" i="86"/>
  <c r="AG600" i="86"/>
  <c r="AG1398" i="86"/>
  <c r="AH260" i="86"/>
  <c r="AH822" i="86"/>
  <c r="AH219" i="86"/>
  <c r="AH1268" i="86"/>
  <c r="AH365" i="86"/>
  <c r="AH848" i="86"/>
  <c r="AH993" i="86"/>
  <c r="AH1221" i="86"/>
  <c r="AH1081" i="86"/>
  <c r="AH74" i="86"/>
  <c r="AG1590" i="86"/>
  <c r="AH377" i="86"/>
  <c r="AH498" i="86"/>
  <c r="AH663" i="86"/>
  <c r="AH1529" i="86"/>
  <c r="AH152" i="86"/>
  <c r="AH233" i="86"/>
  <c r="AH907" i="86"/>
  <c r="AH596" i="86"/>
  <c r="AH718" i="86"/>
  <c r="AG644" i="86"/>
  <c r="AH17" i="86"/>
  <c r="AH95" i="86"/>
  <c r="AH44" i="86"/>
  <c r="AH411" i="86"/>
  <c r="AH1202" i="86"/>
  <c r="AG133" i="86"/>
  <c r="AH776" i="86"/>
  <c r="AH914" i="86"/>
  <c r="AH970" i="86"/>
  <c r="AG149" i="86"/>
  <c r="AH644" i="86"/>
  <c r="AH456" i="86"/>
  <c r="AH388" i="86"/>
  <c r="AH105" i="86"/>
  <c r="AH1672" i="86"/>
  <c r="AH557" i="86"/>
  <c r="AG2471" i="86"/>
  <c r="AG344" i="86"/>
  <c r="AG1453" i="86"/>
  <c r="AG150" i="86"/>
  <c r="AG408" i="86"/>
  <c r="AG1082" i="86"/>
  <c r="AG119" i="86"/>
  <c r="AG1861" i="86"/>
  <c r="AG382" i="86"/>
  <c r="AH2601" i="86"/>
  <c r="AG563" i="86"/>
  <c r="AG1588" i="86"/>
  <c r="AG667" i="86"/>
  <c r="AG28" i="86"/>
  <c r="AG794" i="86"/>
  <c r="AG78" i="86"/>
  <c r="AG854" i="86"/>
  <c r="AG101" i="86"/>
  <c r="AG852" i="86"/>
  <c r="AG100" i="86"/>
  <c r="AG2342" i="86"/>
  <c r="AG647" i="86"/>
  <c r="AG134" i="86"/>
  <c r="AG867" i="86"/>
  <c r="AH548" i="86"/>
  <c r="AH979" i="86"/>
  <c r="AH654" i="86"/>
  <c r="AH1432" i="86"/>
  <c r="AG1168" i="86"/>
  <c r="AG290" i="86"/>
  <c r="AG62" i="86"/>
  <c r="AG1180" i="86"/>
  <c r="AG95" i="86"/>
  <c r="AG2067" i="86"/>
  <c r="AG840" i="86"/>
  <c r="AG245" i="86"/>
  <c r="AH2534" i="86"/>
  <c r="AG1093" i="86"/>
  <c r="AG339" i="86"/>
  <c r="AH2330" i="86"/>
  <c r="AG456" i="86"/>
  <c r="AG2222" i="86"/>
  <c r="AG904" i="86"/>
  <c r="AG272" i="86"/>
  <c r="AG953" i="86"/>
  <c r="AG1630" i="86"/>
  <c r="AG615" i="86"/>
  <c r="AG147" i="86"/>
  <c r="AG2185" i="86"/>
  <c r="AG897" i="86"/>
  <c r="AG269" i="86"/>
  <c r="AH2606" i="86"/>
  <c r="AG1056" i="86"/>
  <c r="AG330" i="86"/>
  <c r="AG1133" i="86"/>
  <c r="AG1231" i="86"/>
  <c r="AG409" i="86"/>
  <c r="AG25" i="86"/>
  <c r="AG1298" i="86"/>
  <c r="AG442" i="86"/>
  <c r="AG46" i="86"/>
  <c r="AG1286" i="86"/>
  <c r="AG440" i="86"/>
  <c r="AG44" i="86"/>
  <c r="AG1205" i="86"/>
  <c r="AG1194" i="86"/>
  <c r="AG164" i="86"/>
  <c r="AG2556" i="86"/>
  <c r="AG1491" i="86"/>
  <c r="AG257" i="86"/>
  <c r="AG1480" i="86"/>
  <c r="AH580" i="86"/>
  <c r="AH218" i="86"/>
  <c r="AH1046" i="86"/>
  <c r="AH629" i="86"/>
  <c r="AH98" i="86"/>
  <c r="AH648" i="86"/>
  <c r="AH128" i="86"/>
  <c r="AH189" i="86"/>
  <c r="AH635" i="86"/>
  <c r="AH1370" i="86"/>
  <c r="AH1026" i="86"/>
  <c r="AH712" i="86"/>
  <c r="AH1158" i="86"/>
  <c r="AH2329" i="86"/>
  <c r="AH45" i="86"/>
  <c r="AH461" i="86"/>
  <c r="AH1234" i="86"/>
  <c r="AH855" i="86"/>
  <c r="AH460" i="86"/>
  <c r="AG1101" i="86"/>
  <c r="AH728" i="86"/>
  <c r="AH390" i="86"/>
  <c r="AH53" i="86"/>
  <c r="AG264" i="86"/>
  <c r="AH161" i="86"/>
  <c r="AH875" i="86"/>
  <c r="AH532" i="86"/>
  <c r="AG1781" i="86"/>
  <c r="AH646" i="86"/>
  <c r="AH304" i="86"/>
  <c r="AG301" i="86"/>
  <c r="AH187" i="86"/>
  <c r="AH901" i="86"/>
  <c r="AH566" i="86"/>
  <c r="AG707" i="86"/>
  <c r="AH632" i="86"/>
  <c r="AH286" i="86"/>
  <c r="AH1214" i="86"/>
  <c r="AH768" i="86"/>
  <c r="AG2242" i="86"/>
  <c r="AH932" i="86"/>
  <c r="AH613" i="86"/>
  <c r="AH154" i="86"/>
  <c r="AH1144" i="86"/>
  <c r="AH1205" i="86"/>
  <c r="AH125" i="86"/>
  <c r="AG1767" i="86"/>
  <c r="AG685" i="86"/>
  <c r="AG182" i="86"/>
  <c r="AG2230" i="86"/>
  <c r="AG916" i="86"/>
  <c r="AG274" i="86"/>
  <c r="AG1973" i="86"/>
  <c r="AG365" i="86"/>
  <c r="AG1878" i="86"/>
  <c r="AG742" i="86"/>
  <c r="AG208" i="86"/>
  <c r="AG322" i="86"/>
  <c r="AG1438" i="86"/>
  <c r="AG522" i="86"/>
  <c r="AG87" i="86"/>
  <c r="AG1852" i="86"/>
  <c r="AG731" i="86"/>
  <c r="AG205" i="86"/>
  <c r="AG2166" i="86"/>
  <c r="AG891" i="86"/>
  <c r="AG266" i="86"/>
  <c r="AH2611" i="86"/>
  <c r="AG1054" i="86"/>
  <c r="AG329" i="86"/>
  <c r="AH2454" i="86"/>
  <c r="AG1119" i="86"/>
  <c r="AG355" i="86"/>
  <c r="AH2466" i="86"/>
  <c r="AG1105" i="86"/>
  <c r="AG354" i="86"/>
  <c r="AH1058" i="86"/>
  <c r="AG407" i="86"/>
  <c r="AG390" i="86"/>
  <c r="AG1947" i="86"/>
  <c r="AG1043" i="86"/>
  <c r="AG2249" i="86"/>
  <c r="AG844" i="86"/>
  <c r="AH116" i="86"/>
  <c r="AH175" i="86"/>
  <c r="AH618" i="86"/>
  <c r="AH1358" i="86"/>
  <c r="AH1011" i="86"/>
  <c r="AH690" i="86"/>
  <c r="AG240" i="86"/>
  <c r="AH416" i="86"/>
  <c r="AH50" i="86"/>
  <c r="AH985" i="86"/>
  <c r="AH466" i="86"/>
  <c r="AH282" i="86"/>
  <c r="AH1188" i="86"/>
  <c r="AG47" i="86"/>
  <c r="AH284" i="86"/>
  <c r="AH359" i="86"/>
  <c r="AH828" i="86"/>
  <c r="AH257" i="86"/>
  <c r="AH1204" i="86"/>
  <c r="AH983" i="86"/>
  <c r="AG34" i="86"/>
  <c r="AH1016" i="86"/>
  <c r="AH705" i="86"/>
  <c r="AH294" i="86"/>
  <c r="AG1058" i="86"/>
  <c r="AH475" i="86"/>
  <c r="AH78" i="86"/>
  <c r="AH923" i="86"/>
  <c r="AH176" i="86"/>
  <c r="AH241" i="86"/>
  <c r="AH697" i="86"/>
  <c r="AG1157" i="86"/>
  <c r="AH502" i="86"/>
  <c r="AH113" i="86"/>
  <c r="AH954" i="86"/>
  <c r="AG2128" i="86"/>
  <c r="AH920" i="86"/>
  <c r="AH600" i="86"/>
  <c r="AH133" i="86"/>
  <c r="AH1131" i="86"/>
  <c r="AG341" i="86"/>
  <c r="AG1645" i="86"/>
  <c r="AG632" i="86"/>
  <c r="AG152" i="86"/>
  <c r="AG2043" i="86"/>
  <c r="AG831" i="86"/>
  <c r="AG243" i="86"/>
  <c r="AG1561" i="86"/>
  <c r="AG581" i="86"/>
  <c r="AG125" i="86"/>
  <c r="AG1897" i="86"/>
  <c r="AG745" i="86"/>
  <c r="AG214" i="86"/>
  <c r="AG1504" i="86"/>
  <c r="AG259" i="86"/>
  <c r="AG1633" i="86"/>
  <c r="AG625" i="86"/>
  <c r="AG148" i="86"/>
  <c r="AG109" i="86"/>
  <c r="AG1247" i="86"/>
  <c r="AG422" i="86"/>
  <c r="AG32" i="86"/>
  <c r="AG1619" i="86"/>
  <c r="AG614" i="86"/>
  <c r="AG146" i="86"/>
  <c r="AG1845" i="86"/>
  <c r="AG723" i="86"/>
  <c r="AG203" i="86"/>
  <c r="AG2137" i="86"/>
  <c r="AG882" i="86"/>
  <c r="AG260" i="86"/>
  <c r="AG2334" i="86"/>
  <c r="AG946" i="86"/>
  <c r="AG284" i="86"/>
  <c r="AG2285" i="86"/>
  <c r="AG943" i="86"/>
  <c r="AG282" i="86"/>
  <c r="AG1285" i="86"/>
  <c r="AG23" i="86"/>
  <c r="AG15" i="86"/>
  <c r="AH2467" i="86"/>
  <c r="AG318" i="86"/>
  <c r="AG931" i="86"/>
  <c r="AG221" i="86"/>
  <c r="AH404" i="86"/>
  <c r="AH37" i="86"/>
  <c r="AH971" i="86"/>
  <c r="AH447" i="86"/>
  <c r="AH258" i="86"/>
  <c r="AH1172" i="86"/>
  <c r="AG998" i="86"/>
  <c r="AH704" i="86"/>
  <c r="AH364" i="86"/>
  <c r="AH19" i="86"/>
  <c r="AH863" i="86"/>
  <c r="AH837" i="86"/>
  <c r="AH1517" i="86"/>
  <c r="AG555" i="86"/>
  <c r="AH572" i="86"/>
  <c r="AH220" i="86"/>
  <c r="AH1154" i="86"/>
  <c r="AH688" i="86"/>
  <c r="AH597" i="86"/>
  <c r="AH1385" i="86"/>
  <c r="AG529" i="86"/>
  <c r="AH305" i="86"/>
  <c r="AH1019" i="86"/>
  <c r="AH721" i="86"/>
  <c r="AH20" i="86"/>
  <c r="AH71" i="86"/>
  <c r="AH493" i="86"/>
  <c r="AG315" i="86"/>
  <c r="AH464" i="86"/>
  <c r="AH102" i="86"/>
  <c r="AH1040" i="86"/>
  <c r="AH1197" i="86"/>
  <c r="AG1271" i="86"/>
  <c r="AG435" i="86"/>
  <c r="AG39" i="86"/>
  <c r="AG1546" i="86"/>
  <c r="AG579" i="86"/>
  <c r="AG121" i="86"/>
  <c r="AG1046" i="86"/>
  <c r="AG77" i="86"/>
  <c r="AG1354" i="86"/>
  <c r="AG471" i="86"/>
  <c r="AG61" i="86"/>
  <c r="AG2406" i="86"/>
  <c r="AG993" i="86"/>
  <c r="AG300" i="86"/>
  <c r="AG792" i="86"/>
  <c r="AG1337" i="86"/>
  <c r="AG459" i="86"/>
  <c r="AG59" i="86"/>
  <c r="AG1521" i="86"/>
  <c r="AG559" i="86"/>
  <c r="AG111" i="86"/>
  <c r="AG1704" i="86"/>
  <c r="AG666" i="86"/>
  <c r="AG168" i="86"/>
  <c r="AG1797" i="86"/>
  <c r="AG703" i="86"/>
  <c r="AG191" i="86"/>
  <c r="AG1776" i="86"/>
  <c r="AG702" i="86"/>
  <c r="AG188" i="86"/>
  <c r="AG219" i="86"/>
  <c r="AG1368" i="86"/>
  <c r="AH2369" i="86"/>
  <c r="AG635" i="86"/>
  <c r="AG1562" i="86"/>
  <c r="AG96" i="86"/>
  <c r="AG1582" i="86"/>
  <c r="AH836" i="86"/>
  <c r="AH508" i="86"/>
  <c r="AH210" i="86"/>
  <c r="AH1033" i="86"/>
  <c r="L63" i="11"/>
  <c r="C15" i="11"/>
  <c r="C59" i="11" s="1"/>
  <c r="F80" i="9"/>
  <c r="K65" i="9"/>
  <c r="BW52" i="87" l="1"/>
  <c r="BV54" i="87"/>
  <c r="AP12" i="86"/>
  <c r="AM14" i="86"/>
  <c r="AO12" i="86"/>
  <c r="AO11" i="86"/>
  <c r="AP9" i="86"/>
  <c r="AP10" i="86"/>
  <c r="AK14" i="86"/>
  <c r="AL14" i="86" s="1"/>
  <c r="AO10" i="86"/>
  <c r="AM11" i="86"/>
  <c r="AP11" i="86"/>
  <c r="AM8" i="86"/>
  <c r="AK11" i="86"/>
  <c r="AL11" i="86" s="1"/>
  <c r="AP3" i="86"/>
  <c r="AP5" i="86"/>
  <c r="AM9" i="86"/>
  <c r="AO9" i="86"/>
  <c r="AK13" i="86"/>
  <c r="AL13" i="86" s="1"/>
  <c r="AO8" i="86"/>
  <c r="AP14" i="86"/>
  <c r="AK8" i="86"/>
  <c r="AL8" i="86" s="1"/>
  <c r="AK9" i="86"/>
  <c r="AL9" i="86" s="1"/>
  <c r="AK12" i="86"/>
  <c r="AL12" i="86" s="1"/>
  <c r="AO5" i="86"/>
  <c r="AP7" i="86"/>
  <c r="AO6" i="86"/>
  <c r="AK4" i="86"/>
  <c r="AL4" i="86" s="1"/>
  <c r="AM10" i="86"/>
  <c r="AO4" i="86"/>
  <c r="AO7" i="86"/>
  <c r="AP13" i="86"/>
  <c r="AM5" i="86"/>
  <c r="AP4" i="86"/>
  <c r="AP6" i="86"/>
  <c r="AM4" i="86"/>
  <c r="AK6" i="86"/>
  <c r="AL6" i="86" s="1"/>
  <c r="AK7" i="86"/>
  <c r="AL7" i="86" s="1"/>
  <c r="AM3" i="86"/>
  <c r="AM6" i="86"/>
  <c r="AP8" i="86"/>
  <c r="AM12" i="86"/>
  <c r="AM13" i="86"/>
  <c r="AO3" i="86"/>
  <c r="AO14" i="86"/>
  <c r="AK5" i="86"/>
  <c r="AL5" i="86" s="1"/>
  <c r="AO13" i="86"/>
  <c r="AK10" i="86"/>
  <c r="AL10" i="86" s="1"/>
  <c r="AK3" i="86"/>
  <c r="AL3" i="86" s="1"/>
  <c r="AM7" i="86"/>
  <c r="M63" i="9"/>
  <c r="K63" i="9"/>
  <c r="AO15" i="86" l="1"/>
  <c r="BX52" i="87"/>
  <c r="BW54" i="87"/>
  <c r="AL15" i="86"/>
  <c r="E205" i="74"/>
  <c r="F308" i="74" s="1"/>
  <c r="E182" i="74"/>
  <c r="F307" i="74" s="1"/>
  <c r="E175" i="74"/>
  <c r="F306" i="74" s="1"/>
  <c r="F157" i="74"/>
  <c r="F252" i="74" s="1"/>
  <c r="F136" i="74"/>
  <c r="F137" i="74"/>
  <c r="F206" i="74" s="1"/>
  <c r="F138" i="74"/>
  <c r="F207" i="74" s="1"/>
  <c r="F139" i="74"/>
  <c r="F208" i="74" s="1"/>
  <c r="F140" i="74"/>
  <c r="F209" i="74" s="1"/>
  <c r="F141" i="74"/>
  <c r="F210" i="74" s="1"/>
  <c r="F142" i="74"/>
  <c r="F211" i="74" s="1"/>
  <c r="F145" i="74"/>
  <c r="F214" i="74" s="1"/>
  <c r="F147" i="74"/>
  <c r="F148" i="74"/>
  <c r="F243" i="74" s="1"/>
  <c r="F149" i="74"/>
  <c r="F244" i="74" s="1"/>
  <c r="F150" i="74"/>
  <c r="F245" i="74" s="1"/>
  <c r="F151" i="74"/>
  <c r="F246" i="74" s="1"/>
  <c r="F152" i="74"/>
  <c r="F247" i="74" s="1"/>
  <c r="F153" i="74"/>
  <c r="F248" i="74" s="1"/>
  <c r="F154" i="74"/>
  <c r="F249" i="74" s="1"/>
  <c r="F156" i="74"/>
  <c r="F251" i="74" s="1"/>
  <c r="F159" i="74"/>
  <c r="F160" i="74"/>
  <c r="F265" i="74" s="1"/>
  <c r="F161" i="74"/>
  <c r="F164" i="74"/>
  <c r="F165" i="74"/>
  <c r="H165" i="74"/>
  <c r="F167" i="74"/>
  <c r="G167" i="74"/>
  <c r="H167" i="74"/>
  <c r="F168" i="74"/>
  <c r="G168" i="74"/>
  <c r="H168" i="74"/>
  <c r="E147" i="74"/>
  <c r="E159" i="74"/>
  <c r="E164" i="74"/>
  <c r="E165" i="74"/>
  <c r="E167" i="74"/>
  <c r="E168" i="74"/>
  <c r="E136" i="74"/>
  <c r="F60" i="74"/>
  <c r="F61" i="74"/>
  <c r="F183" i="74" s="1"/>
  <c r="F62" i="74"/>
  <c r="F184" i="74" s="1"/>
  <c r="F63" i="74"/>
  <c r="F185" i="74" s="1"/>
  <c r="F64" i="74"/>
  <c r="F186" i="74" s="1"/>
  <c r="F65" i="74"/>
  <c r="F187" i="74" s="1"/>
  <c r="F66" i="74"/>
  <c r="F188" i="74" s="1"/>
  <c r="F67" i="74"/>
  <c r="F189" i="74" s="1"/>
  <c r="F68" i="74"/>
  <c r="F190" i="74" s="1"/>
  <c r="F69" i="74"/>
  <c r="F191" i="74" s="1"/>
  <c r="F74" i="74"/>
  <c r="F75" i="74"/>
  <c r="F222" i="74" s="1"/>
  <c r="F76" i="74"/>
  <c r="F223" i="74" s="1"/>
  <c r="F77" i="74"/>
  <c r="F224" i="74" s="1"/>
  <c r="F78" i="74"/>
  <c r="F225" i="74" s="1"/>
  <c r="F79" i="74"/>
  <c r="F226" i="74" s="1"/>
  <c r="F83" i="74"/>
  <c r="F230" i="74" s="1"/>
  <c r="F86" i="74"/>
  <c r="F87" i="74"/>
  <c r="F260" i="74" s="1"/>
  <c r="F91" i="74"/>
  <c r="F92" i="74"/>
  <c r="H92" i="74"/>
  <c r="F94" i="74"/>
  <c r="G94" i="74"/>
  <c r="H94" i="74"/>
  <c r="F95" i="74"/>
  <c r="G95" i="74"/>
  <c r="H95" i="74"/>
  <c r="E95" i="74"/>
  <c r="E94" i="74"/>
  <c r="E92" i="74"/>
  <c r="E91" i="74"/>
  <c r="H6" i="74"/>
  <c r="F30" i="74"/>
  <c r="F31" i="74"/>
  <c r="F176" i="74" s="1"/>
  <c r="F33" i="74"/>
  <c r="F177" i="74" s="1"/>
  <c r="F34" i="74"/>
  <c r="F178" i="74" s="1"/>
  <c r="F38" i="74"/>
  <c r="F39" i="74"/>
  <c r="F44" i="74"/>
  <c r="F45" i="74"/>
  <c r="F255" i="74" s="1"/>
  <c r="F46" i="74"/>
  <c r="F256" i="74" s="1"/>
  <c r="F49" i="74"/>
  <c r="F50" i="74"/>
  <c r="F258" i="74" s="1"/>
  <c r="F52" i="74"/>
  <c r="F53" i="74"/>
  <c r="F55" i="74"/>
  <c r="H55" i="74"/>
  <c r="F56" i="74"/>
  <c r="G56" i="74"/>
  <c r="H56" i="74"/>
  <c r="F57" i="74"/>
  <c r="G57" i="74"/>
  <c r="H57" i="74"/>
  <c r="E30" i="74"/>
  <c r="E31" i="74"/>
  <c r="E176" i="74" s="1"/>
  <c r="E33" i="74"/>
  <c r="E177" i="74" s="1"/>
  <c r="E34" i="74"/>
  <c r="E178" i="74" s="1"/>
  <c r="E217" i="74"/>
  <c r="E255" i="74"/>
  <c r="E256" i="74"/>
  <c r="E258" i="74"/>
  <c r="G3" i="74"/>
  <c r="BY52" i="87" l="1"/>
  <c r="BX54" i="87"/>
  <c r="S406" i="45"/>
  <c r="R406" i="45"/>
  <c r="Q406" i="45"/>
  <c r="O406" i="45"/>
  <c r="N406" i="45"/>
  <c r="J406" i="45"/>
  <c r="L406" i="45"/>
  <c r="K406" i="45"/>
  <c r="S285" i="45"/>
  <c r="R285" i="45"/>
  <c r="Q285" i="45"/>
  <c r="O285" i="45"/>
  <c r="N285" i="45"/>
  <c r="L285" i="45"/>
  <c r="K285" i="45"/>
  <c r="J285" i="45"/>
  <c r="S405" i="45"/>
  <c r="R405" i="45"/>
  <c r="Q405" i="45"/>
  <c r="L405" i="45"/>
  <c r="O405" i="45"/>
  <c r="N405" i="45"/>
  <c r="K405" i="45"/>
  <c r="J405" i="45"/>
  <c r="S284" i="45"/>
  <c r="R284" i="45"/>
  <c r="Q284" i="45"/>
  <c r="O284" i="45"/>
  <c r="N284" i="45"/>
  <c r="J284" i="45"/>
  <c r="L284" i="45"/>
  <c r="K284" i="45"/>
  <c r="E58" i="54"/>
  <c r="G406" i="45" l="1"/>
  <c r="G405" i="45"/>
  <c r="E8" i="33" s="1"/>
  <c r="J28" i="33" s="1"/>
  <c r="G284" i="45"/>
  <c r="E8" i="90" s="1"/>
  <c r="J29" i="90" s="1"/>
  <c r="G285" i="45"/>
  <c r="E9" i="90" s="1"/>
  <c r="D61" i="90" s="1"/>
  <c r="BZ52" i="87"/>
  <c r="BY54" i="87"/>
  <c r="E59" i="33"/>
  <c r="Q119" i="45"/>
  <c r="O37" i="12"/>
  <c r="E9" i="33" l="1"/>
  <c r="D59" i="33" s="1"/>
  <c r="CA52" i="87"/>
  <c r="BZ54" i="87"/>
  <c r="B33" i="82"/>
  <c r="B29" i="82"/>
  <c r="B28" i="82"/>
  <c r="B25" i="82"/>
  <c r="B26" i="82"/>
  <c r="B18" i="82"/>
  <c r="E69" i="74" s="1"/>
  <c r="B17" i="82"/>
  <c r="E68" i="74" s="1"/>
  <c r="B16" i="82"/>
  <c r="E67" i="74" s="1"/>
  <c r="B15" i="82"/>
  <c r="E66" i="74" s="1"/>
  <c r="B14" i="82"/>
  <c r="E65" i="74" s="1"/>
  <c r="B13" i="82"/>
  <c r="E64" i="74" s="1"/>
  <c r="B12" i="82"/>
  <c r="E63" i="74" s="1"/>
  <c r="B11" i="82"/>
  <c r="E62" i="74" s="1"/>
  <c r="B10" i="82"/>
  <c r="E61" i="74" s="1"/>
  <c r="S468" i="45"/>
  <c r="S467" i="45"/>
  <c r="S432" i="45"/>
  <c r="S417" i="45"/>
  <c r="S415" i="45"/>
  <c r="S388" i="45"/>
  <c r="S384" i="45"/>
  <c r="S194" i="45"/>
  <c r="S193" i="45"/>
  <c r="S190" i="45"/>
  <c r="S188" i="45"/>
  <c r="S196" i="45"/>
  <c r="S173" i="45"/>
  <c r="S172" i="45"/>
  <c r="S152" i="45"/>
  <c r="S146" i="45"/>
  <c r="S124" i="45"/>
  <c r="S138" i="45"/>
  <c r="S137" i="45"/>
  <c r="S119" i="45"/>
  <c r="S113" i="45"/>
  <c r="S61" i="45"/>
  <c r="S50" i="45"/>
  <c r="S16" i="45"/>
  <c r="L468" i="45"/>
  <c r="L467" i="45"/>
  <c r="L432" i="45"/>
  <c r="L417" i="45"/>
  <c r="L415" i="45"/>
  <c r="L384" i="45"/>
  <c r="L194" i="45"/>
  <c r="L193" i="45"/>
  <c r="L190" i="45"/>
  <c r="L188" i="45"/>
  <c r="L173" i="45"/>
  <c r="L172" i="45"/>
  <c r="L152" i="45"/>
  <c r="L170" i="45"/>
  <c r="L146" i="45"/>
  <c r="L124" i="45"/>
  <c r="L138" i="45"/>
  <c r="L137" i="45"/>
  <c r="L119" i="45"/>
  <c r="L113" i="45"/>
  <c r="L70" i="45"/>
  <c r="L61" i="45"/>
  <c r="L50" i="45"/>
  <c r="L46" i="45"/>
  <c r="L16" i="45"/>
  <c r="L62" i="45" l="1"/>
  <c r="S62" i="45"/>
  <c r="BA23" i="88"/>
  <c r="AS23" i="88"/>
  <c r="AK23" i="88"/>
  <c r="AC23" i="88"/>
  <c r="U23" i="88"/>
  <c r="M23" i="88"/>
  <c r="AZ23" i="88"/>
  <c r="AR23" i="88"/>
  <c r="AJ23" i="88"/>
  <c r="AB23" i="88"/>
  <c r="T23" i="88"/>
  <c r="L23" i="88"/>
  <c r="AY23" i="88"/>
  <c r="AQ23" i="88"/>
  <c r="AI23" i="88"/>
  <c r="AA23" i="88"/>
  <c r="S23" i="88"/>
  <c r="K23" i="88"/>
  <c r="AX23" i="88"/>
  <c r="AP23" i="88"/>
  <c r="AH23" i="88"/>
  <c r="Z23" i="88"/>
  <c r="R23" i="88"/>
  <c r="J23" i="88"/>
  <c r="AW23" i="88"/>
  <c r="AO23" i="88"/>
  <c r="AG23" i="88"/>
  <c r="Y23" i="88"/>
  <c r="Q23" i="88"/>
  <c r="I23" i="88"/>
  <c r="AV23" i="88"/>
  <c r="AN23" i="88"/>
  <c r="AF23" i="88"/>
  <c r="X23" i="88"/>
  <c r="P23" i="88"/>
  <c r="H23" i="88"/>
  <c r="F23" i="88"/>
  <c r="AU23" i="88"/>
  <c r="AM23" i="88"/>
  <c r="AE23" i="88"/>
  <c r="W23" i="88"/>
  <c r="O23" i="88"/>
  <c r="G23" i="88"/>
  <c r="AT23" i="88"/>
  <c r="AL23" i="88"/>
  <c r="AD23" i="88"/>
  <c r="V23" i="88"/>
  <c r="N23" i="88"/>
  <c r="E76" i="74"/>
  <c r="E223" i="74" s="1"/>
  <c r="E77" i="74"/>
  <c r="E224" i="74" s="1"/>
  <c r="E78" i="74"/>
  <c r="E225" i="74" s="1"/>
  <c r="E79" i="74"/>
  <c r="E226" i="74" s="1"/>
  <c r="E83" i="74"/>
  <c r="E230" i="74" s="1"/>
  <c r="E87" i="74"/>
  <c r="E260" i="74" s="1"/>
  <c r="S199" i="45"/>
  <c r="S200" i="45"/>
  <c r="CB52" i="87"/>
  <c r="CA54" i="87"/>
  <c r="E187" i="74"/>
  <c r="E188" i="74"/>
  <c r="E189" i="74"/>
  <c r="E190" i="74"/>
  <c r="E191" i="74"/>
  <c r="E183" i="74"/>
  <c r="E184" i="74"/>
  <c r="E185" i="74"/>
  <c r="E186" i="74"/>
  <c r="S51" i="45"/>
  <c r="L51" i="45"/>
  <c r="D23" i="88" l="1"/>
  <c r="CC52" i="87"/>
  <c r="CB54" i="87"/>
  <c r="CD52" i="87" l="1"/>
  <c r="CC54" i="87"/>
  <c r="C68" i="81" a="1"/>
  <c r="C68" i="81" s="1"/>
  <c r="C85" i="81" a="1"/>
  <c r="C85" i="81" s="1"/>
  <c r="C61" i="81" a="1"/>
  <c r="C61" i="81" s="1"/>
  <c r="C93" i="81" a="1"/>
  <c r="C93" i="81" s="1"/>
  <c r="C50" i="81" a="1"/>
  <c r="C50" i="81" s="1"/>
  <c r="C29" i="81" a="1"/>
  <c r="C29" i="81" s="1"/>
  <c r="C48" i="81" a="1"/>
  <c r="C48" i="81" s="1"/>
  <c r="C63" i="81" a="1"/>
  <c r="C63" i="81" s="1"/>
  <c r="C74" i="81" a="1"/>
  <c r="C74" i="81" s="1"/>
  <c r="C77" i="81" a="1"/>
  <c r="C77" i="81" s="1"/>
  <c r="C17" i="81" a="1"/>
  <c r="C17" i="81" s="1"/>
  <c r="C53" i="81" a="1"/>
  <c r="C53" i="81" s="1"/>
  <c r="C60" i="81" a="1"/>
  <c r="C60" i="81" s="1"/>
  <c r="C100" i="81" a="1"/>
  <c r="C100" i="81" s="1"/>
  <c r="C36" i="81" a="1"/>
  <c r="C36" i="81" s="1"/>
  <c r="C95" i="81" a="1"/>
  <c r="C95" i="81" s="1"/>
  <c r="C55" i="81" a="1"/>
  <c r="C55" i="81" s="1"/>
  <c r="C70" i="81" a="1"/>
  <c r="C70" i="81" s="1"/>
  <c r="C8" i="81" a="1"/>
  <c r="C8" i="81" s="1"/>
  <c r="C99" i="81" a="1"/>
  <c r="C99" i="81" s="1"/>
  <c r="C73" i="81" a="1"/>
  <c r="C73" i="81" s="1"/>
  <c r="C9" i="81" a="1"/>
  <c r="C9" i="81" s="1"/>
  <c r="C45" i="81" a="1"/>
  <c r="C45" i="81" s="1"/>
  <c r="C52" i="81" a="1"/>
  <c r="C52" i="81" s="1"/>
  <c r="C92" i="81" a="1"/>
  <c r="C92" i="81" s="1"/>
  <c r="C28" i="81" a="1"/>
  <c r="C28" i="81" s="1"/>
  <c r="C71" i="81" a="1"/>
  <c r="C71" i="81" s="1"/>
  <c r="C91" i="81" a="1"/>
  <c r="C91" i="81" s="1"/>
  <c r="C47" i="81" a="1"/>
  <c r="C47" i="81" s="1"/>
  <c r="C98" i="81" a="1"/>
  <c r="C98" i="81" s="1"/>
  <c r="C66" i="81" a="1"/>
  <c r="C66" i="81" s="1"/>
  <c r="C25" i="81" a="1"/>
  <c r="C25" i="81" s="1"/>
  <c r="C65" i="81" a="1"/>
  <c r="C65" i="81" s="1"/>
  <c r="C101" i="81" a="1"/>
  <c r="C101" i="81" s="1"/>
  <c r="C37" i="81" a="1"/>
  <c r="C37" i="81" s="1"/>
  <c r="C44" i="81" a="1"/>
  <c r="C44" i="81" s="1"/>
  <c r="C88" i="81" a="1"/>
  <c r="C88" i="81" s="1"/>
  <c r="C20" i="81" a="1"/>
  <c r="C20" i="81" s="1"/>
  <c r="C59" i="81" a="1"/>
  <c r="C59" i="81" s="1"/>
  <c r="C87" i="81" a="1"/>
  <c r="C87" i="81" s="1"/>
  <c r="C39" i="81" a="1"/>
  <c r="C39" i="81" s="1"/>
  <c r="C94" i="81" a="1"/>
  <c r="C94" i="81" s="1"/>
  <c r="C62" i="81" a="1"/>
  <c r="C62" i="81" s="1"/>
  <c r="C57" i="81" a="1"/>
  <c r="C57" i="81" s="1"/>
  <c r="C40" i="81" a="1"/>
  <c r="C40" i="81" s="1"/>
  <c r="C80" i="81" a="1"/>
  <c r="C80" i="81" s="1"/>
  <c r="C12" i="81" a="1"/>
  <c r="C12" i="81" s="1"/>
  <c r="C51" i="81" a="1"/>
  <c r="C51" i="81" s="1"/>
  <c r="C83" i="81" a="1"/>
  <c r="C83" i="81" s="1"/>
  <c r="C31" i="81" a="1"/>
  <c r="C31" i="81" s="1"/>
  <c r="C90" i="81" a="1"/>
  <c r="C90" i="81" s="1"/>
  <c r="C58" i="81" a="1"/>
  <c r="C58" i="81" s="1"/>
  <c r="C89" i="81" a="1"/>
  <c r="C89" i="81" s="1"/>
  <c r="C21" i="81" a="1"/>
  <c r="C21" i="81" s="1"/>
  <c r="C96" i="81" a="1"/>
  <c r="C96" i="81" s="1"/>
  <c r="C32" i="81" a="1"/>
  <c r="C32" i="81" s="1"/>
  <c r="C72" i="81" a="1"/>
  <c r="C72" i="81" s="1"/>
  <c r="C4" i="81" a="1"/>
  <c r="C4" i="81" s="1"/>
  <c r="C43" i="81" a="1"/>
  <c r="C43" i="81" s="1"/>
  <c r="C79" i="81" a="1"/>
  <c r="C79" i="81" s="1"/>
  <c r="C23" i="81" a="1"/>
  <c r="C23" i="81" s="1"/>
  <c r="C86" i="81" a="1"/>
  <c r="C86" i="81" s="1"/>
  <c r="C54" i="81" a="1"/>
  <c r="C54" i="81" s="1"/>
  <c r="C49" i="81" a="1"/>
  <c r="C49" i="81" s="1"/>
  <c r="C41" i="81" a="1"/>
  <c r="C41" i="81" s="1"/>
  <c r="C81" i="81" a="1"/>
  <c r="C81" i="81" s="1"/>
  <c r="C13" i="81" a="1"/>
  <c r="C13" i="81" s="1"/>
  <c r="C84" i="81" a="1"/>
  <c r="C84" i="81" s="1"/>
  <c r="C24" i="81" a="1"/>
  <c r="C24" i="81" s="1"/>
  <c r="C64" i="81" a="1"/>
  <c r="C64" i="81" s="1"/>
  <c r="C35" i="81" a="1"/>
  <c r="C35" i="81" s="1"/>
  <c r="C75" i="81" a="1"/>
  <c r="C75" i="81" s="1"/>
  <c r="C82" i="81" a="1"/>
  <c r="C82" i="81" s="1"/>
  <c r="C19" i="81" a="1"/>
  <c r="C19" i="81" s="1"/>
  <c r="C38" i="81" a="1"/>
  <c r="C38" i="81" s="1"/>
  <c r="C30" i="81" a="1"/>
  <c r="C30" i="81" s="1"/>
  <c r="C6" i="81" a="1"/>
  <c r="C6" i="81" s="1"/>
  <c r="C7" i="81" a="1"/>
  <c r="C7" i="81" s="1"/>
  <c r="C22" i="81" a="1"/>
  <c r="C22" i="81" s="1"/>
  <c r="C3" i="81" a="1"/>
  <c r="C3" i="81" s="1"/>
  <c r="C14" i="81" a="1"/>
  <c r="C14" i="81" s="1"/>
  <c r="C42" i="81" a="1"/>
  <c r="C42" i="81" s="1"/>
  <c r="C10" i="81" a="1"/>
  <c r="C10" i="81" s="1"/>
  <c r="C15" i="81" a="1"/>
  <c r="C15" i="81" s="1"/>
  <c r="C34" i="81" a="1"/>
  <c r="C34" i="81" s="1"/>
  <c r="C2" i="81" a="1"/>
  <c r="C2" i="81" s="1"/>
  <c r="C11" i="81" a="1"/>
  <c r="C11" i="81" s="1"/>
  <c r="C18" i="81" a="1"/>
  <c r="C18" i="81" s="1"/>
  <c r="C46" i="81" a="1"/>
  <c r="C46" i="81" s="1"/>
  <c r="C26" i="81" a="1"/>
  <c r="C26" i="81" s="1"/>
  <c r="C33" i="81" a="1"/>
  <c r="C33" i="81" s="1"/>
  <c r="C69" i="81" a="1"/>
  <c r="C69" i="81" s="1"/>
  <c r="C5" i="81" a="1"/>
  <c r="C5" i="81" s="1"/>
  <c r="C76" i="81" a="1"/>
  <c r="C76" i="81" s="1"/>
  <c r="C16" i="81" a="1"/>
  <c r="C16" i="81" s="1"/>
  <c r="C56" i="81" a="1"/>
  <c r="C56" i="81" s="1"/>
  <c r="C27" i="81" a="1"/>
  <c r="C27" i="81" s="1"/>
  <c r="C67" i="81" a="1"/>
  <c r="C67" i="81" s="1"/>
  <c r="C78" i="81" a="1"/>
  <c r="C78" i="81" s="1"/>
  <c r="C97" i="81" a="1"/>
  <c r="C97" i="81" s="1"/>
  <c r="CE52" i="87" l="1"/>
  <c r="CD54" i="87"/>
  <c r="E161" i="74"/>
  <c r="E160" i="74"/>
  <c r="E265" i="74" s="1"/>
  <c r="B16" i="76"/>
  <c r="E145" i="74" s="1"/>
  <c r="E214" i="74" s="1"/>
  <c r="B30" i="76"/>
  <c r="E157" i="74" s="1"/>
  <c r="E252" i="74" s="1"/>
  <c r="B29" i="76"/>
  <c r="E156" i="74" s="1"/>
  <c r="E251" i="74" s="1"/>
  <c r="B26" i="76"/>
  <c r="E153" i="74" s="1"/>
  <c r="E248" i="74" s="1"/>
  <c r="B25" i="76"/>
  <c r="E152" i="74" s="1"/>
  <c r="E247" i="74" s="1"/>
  <c r="B24" i="76"/>
  <c r="E151" i="74" s="1"/>
  <c r="E246" i="74" s="1"/>
  <c r="B23" i="76"/>
  <c r="E150" i="74" s="1"/>
  <c r="E245" i="74" s="1"/>
  <c r="E149" i="74"/>
  <c r="E244" i="74" s="1"/>
  <c r="B21" i="76"/>
  <c r="E148" i="74" s="1"/>
  <c r="E243" i="74" s="1"/>
  <c r="B15" i="76"/>
  <c r="E142" i="74" s="1"/>
  <c r="E211" i="74" s="1"/>
  <c r="B14" i="76"/>
  <c r="E141" i="74" s="1"/>
  <c r="E210" i="74" s="1"/>
  <c r="B12" i="76"/>
  <c r="E139" i="74" s="1"/>
  <c r="E208" i="74" s="1"/>
  <c r="B11" i="76"/>
  <c r="E138" i="74" s="1"/>
  <c r="E207" i="74" s="1"/>
  <c r="B10" i="76"/>
  <c r="E137" i="74" s="1"/>
  <c r="E206" i="74" s="1"/>
  <c r="CF52" i="87" l="1"/>
  <c r="CE54" i="87"/>
  <c r="H285" i="52"/>
  <c r="H284" i="52"/>
  <c r="H281" i="52"/>
  <c r="H276" i="52"/>
  <c r="H273" i="52"/>
  <c r="H272" i="52"/>
  <c r="J271" i="52"/>
  <c r="J288" i="52" s="1"/>
  <c r="H252" i="52"/>
  <c r="H251" i="52"/>
  <c r="H248" i="52"/>
  <c r="H246" i="52"/>
  <c r="H244" i="52"/>
  <c r="H243" i="52"/>
  <c r="H240" i="52"/>
  <c r="H239" i="52"/>
  <c r="J238" i="52"/>
  <c r="J255" i="52" s="1"/>
  <c r="H219" i="52"/>
  <c r="H218" i="52"/>
  <c r="H215" i="52"/>
  <c r="H210" i="52"/>
  <c r="H209" i="52"/>
  <c r="H208" i="52"/>
  <c r="H207" i="52"/>
  <c r="H206" i="52"/>
  <c r="J205" i="52"/>
  <c r="J222" i="52" s="1"/>
  <c r="H187" i="52"/>
  <c r="H186" i="52"/>
  <c r="H183" i="52"/>
  <c r="H180" i="52"/>
  <c r="H178" i="52"/>
  <c r="H175" i="52"/>
  <c r="H174" i="52"/>
  <c r="J173" i="52"/>
  <c r="J190" i="52" s="1"/>
  <c r="G160" i="52"/>
  <c r="G159" i="52"/>
  <c r="G158" i="52"/>
  <c r="G157" i="52"/>
  <c r="H153" i="52"/>
  <c r="H152" i="52"/>
  <c r="H149" i="52"/>
  <c r="H144" i="52"/>
  <c r="O56" i="45"/>
  <c r="O58" i="45" s="1"/>
  <c r="H141" i="52"/>
  <c r="H140" i="52"/>
  <c r="J139" i="52"/>
  <c r="J156" i="52" s="1"/>
  <c r="G126" i="52"/>
  <c r="N379" i="45" s="1"/>
  <c r="G379" i="45" s="1"/>
  <c r="G125" i="52"/>
  <c r="G124" i="52"/>
  <c r="G123" i="52"/>
  <c r="H119" i="52"/>
  <c r="H118" i="52"/>
  <c r="F126" i="52"/>
  <c r="H115" i="52"/>
  <c r="H112" i="52"/>
  <c r="H110" i="52"/>
  <c r="N56" i="45"/>
  <c r="N58" i="45" s="1"/>
  <c r="H107" i="52"/>
  <c r="H106" i="52"/>
  <c r="J105" i="52"/>
  <c r="J122" i="52" s="1"/>
  <c r="G93" i="52"/>
  <c r="G92" i="52"/>
  <c r="G91" i="52"/>
  <c r="H87" i="52"/>
  <c r="H86" i="52"/>
  <c r="H83" i="52"/>
  <c r="H78" i="52"/>
  <c r="L56" i="45"/>
  <c r="L58" i="45" s="1"/>
  <c r="H75" i="52"/>
  <c r="H74" i="52"/>
  <c r="J73" i="52"/>
  <c r="J90" i="52" s="1"/>
  <c r="G59" i="52"/>
  <c r="G58" i="52"/>
  <c r="H54" i="52"/>
  <c r="H53" i="52"/>
  <c r="H50" i="52"/>
  <c r="F60" i="52"/>
  <c r="H45" i="52"/>
  <c r="H42" i="52"/>
  <c r="H41" i="52"/>
  <c r="J40" i="52"/>
  <c r="J57" i="52" s="1"/>
  <c r="N495" i="45" l="1"/>
  <c r="G495" i="45" s="1"/>
  <c r="N99" i="45"/>
  <c r="G99" i="45" s="1"/>
  <c r="N101" i="45"/>
  <c r="G101" i="45" s="1"/>
  <c r="N250" i="45"/>
  <c r="G250" i="45" s="1"/>
  <c r="N248" i="45"/>
  <c r="G248" i="45" s="1"/>
  <c r="CG52" i="87"/>
  <c r="CG54" i="87" s="1"/>
  <c r="CF54" i="87"/>
  <c r="F58" i="52"/>
  <c r="H58" i="52" s="1"/>
  <c r="K56" i="45"/>
  <c r="K58" i="45" s="1"/>
  <c r="N83" i="45"/>
  <c r="N80" i="45"/>
  <c r="O83" i="45"/>
  <c r="O80" i="45"/>
  <c r="L83" i="45"/>
  <c r="L80" i="45"/>
  <c r="K105" i="52"/>
  <c r="K122" i="52" s="1"/>
  <c r="F91" i="52"/>
  <c r="H91" i="52" s="1"/>
  <c r="F158" i="52"/>
  <c r="H145" i="52"/>
  <c r="F160" i="52"/>
  <c r="H177" i="52"/>
  <c r="H108" i="52"/>
  <c r="H213" i="52"/>
  <c r="H214" i="52"/>
  <c r="H176" i="52"/>
  <c r="K173" i="52"/>
  <c r="H211" i="52"/>
  <c r="H275" i="52"/>
  <c r="K271" i="52"/>
  <c r="L271" i="52" s="1"/>
  <c r="H280" i="52"/>
  <c r="H282" i="52"/>
  <c r="H274" i="52"/>
  <c r="H278" i="52"/>
  <c r="H277" i="52"/>
  <c r="H279" i="52"/>
  <c r="H258" i="52"/>
  <c r="K238" i="52"/>
  <c r="H247" i="52"/>
  <c r="H241" i="52"/>
  <c r="H245" i="52"/>
  <c r="H249" i="52"/>
  <c r="H216" i="52"/>
  <c r="K205" i="52"/>
  <c r="H212" i="52"/>
  <c r="H179" i="52"/>
  <c r="H182" i="52"/>
  <c r="H181" i="52"/>
  <c r="H184" i="52"/>
  <c r="H147" i="52"/>
  <c r="K139" i="52"/>
  <c r="H142" i="52"/>
  <c r="F157" i="52"/>
  <c r="H146" i="52"/>
  <c r="H150" i="52"/>
  <c r="F123" i="52"/>
  <c r="H113" i="52"/>
  <c r="H111" i="52"/>
  <c r="F124" i="52"/>
  <c r="H117" i="52"/>
  <c r="H126" i="52"/>
  <c r="H116" i="52"/>
  <c r="H77" i="52"/>
  <c r="H76" i="52"/>
  <c r="H80" i="52"/>
  <c r="F92" i="52"/>
  <c r="K73" i="52"/>
  <c r="H79" i="52"/>
  <c r="H81" i="52"/>
  <c r="H85" i="52"/>
  <c r="H94" i="52"/>
  <c r="H84" i="52"/>
  <c r="H49" i="52"/>
  <c r="H43" i="52"/>
  <c r="H47" i="52"/>
  <c r="H51" i="52"/>
  <c r="K40" i="52"/>
  <c r="H60" i="52"/>
  <c r="F59" i="52"/>
  <c r="H46" i="52"/>
  <c r="H48" i="52"/>
  <c r="G67" i="45"/>
  <c r="G66" i="45"/>
  <c r="G10" i="45"/>
  <c r="G8" i="94" s="1"/>
  <c r="R16" i="45"/>
  <c r="Q16" i="45"/>
  <c r="O16" i="45"/>
  <c r="N16" i="45"/>
  <c r="K16" i="45"/>
  <c r="G17" i="54"/>
  <c r="G19" i="45"/>
  <c r="E17" i="54" s="1"/>
  <c r="G18" i="45"/>
  <c r="F17" i="54" s="1"/>
  <c r="N371" i="45" l="1"/>
  <c r="G18" i="94"/>
  <c r="H59" i="52"/>
  <c r="H194" i="52"/>
  <c r="H160" i="52"/>
  <c r="H123" i="52"/>
  <c r="H289" i="52"/>
  <c r="H191" i="52"/>
  <c r="H192" i="52"/>
  <c r="H291" i="52"/>
  <c r="H193" i="52"/>
  <c r="H158" i="52"/>
  <c r="H290" i="52"/>
  <c r="H259" i="52"/>
  <c r="H92" i="52"/>
  <c r="G50" i="94"/>
  <c r="H8" i="94"/>
  <c r="H185" i="52"/>
  <c r="L105" i="52"/>
  <c r="L122" i="52" s="1"/>
  <c r="K80" i="45"/>
  <c r="K83" i="45"/>
  <c r="H151" i="52"/>
  <c r="D6" i="54"/>
  <c r="G8" i="82"/>
  <c r="G8" i="76"/>
  <c r="G77" i="45"/>
  <c r="D33" i="54"/>
  <c r="D34" i="54"/>
  <c r="K288" i="52"/>
  <c r="H250" i="52"/>
  <c r="H109" i="52"/>
  <c r="K190" i="52"/>
  <c r="L173" i="52"/>
  <c r="M271" i="52"/>
  <c r="L288" i="52"/>
  <c r="H283" i="52"/>
  <c r="H257" i="52"/>
  <c r="H242" i="52"/>
  <c r="L238" i="52"/>
  <c r="K255" i="52"/>
  <c r="H256" i="52"/>
  <c r="H223" i="52"/>
  <c r="H217" i="52"/>
  <c r="K222" i="52"/>
  <c r="L205" i="52"/>
  <c r="H225" i="52"/>
  <c r="H224" i="52"/>
  <c r="H143" i="52"/>
  <c r="L139" i="52"/>
  <c r="K156" i="52"/>
  <c r="H157" i="52"/>
  <c r="H148" i="52"/>
  <c r="F159" i="52"/>
  <c r="H124" i="52"/>
  <c r="H114" i="52"/>
  <c r="F125" i="52"/>
  <c r="H82" i="52"/>
  <c r="F93" i="52"/>
  <c r="L73" i="52"/>
  <c r="K90" i="52"/>
  <c r="H44" i="52"/>
  <c r="H52" i="52"/>
  <c r="L40" i="52"/>
  <c r="K57" i="52"/>
  <c r="G16" i="45"/>
  <c r="E16" i="54" s="1"/>
  <c r="C18" i="62" s="1"/>
  <c r="J106" i="74" l="1"/>
  <c r="J202" i="74" s="1"/>
  <c r="G21" i="82"/>
  <c r="N493" i="45"/>
  <c r="G493" i="45" s="1"/>
  <c r="C6" i="102" s="1" a="1"/>
  <c r="G371" i="45"/>
  <c r="C6" i="101" s="1" a="1"/>
  <c r="H18" i="94"/>
  <c r="M105" i="52"/>
  <c r="M122" i="52" s="1"/>
  <c r="G55" i="82"/>
  <c r="G52" i="94"/>
  <c r="J325" i="74" s="1"/>
  <c r="G51" i="94"/>
  <c r="J324" i="74" s="1"/>
  <c r="G49" i="76"/>
  <c r="H50" i="94"/>
  <c r="I8" i="94"/>
  <c r="L190" i="52"/>
  <c r="M173" i="52"/>
  <c r="H8" i="76"/>
  <c r="H292" i="52"/>
  <c r="M288" i="52"/>
  <c r="N271" i="52"/>
  <c r="L255" i="52"/>
  <c r="M238" i="52"/>
  <c r="L222" i="52"/>
  <c r="M205" i="52"/>
  <c r="H226" i="52"/>
  <c r="L156" i="52"/>
  <c r="M139" i="52"/>
  <c r="H159" i="52"/>
  <c r="H125" i="52"/>
  <c r="L90" i="52"/>
  <c r="M73" i="52"/>
  <c r="H93" i="52"/>
  <c r="H61" i="52"/>
  <c r="M40" i="52"/>
  <c r="L57" i="52"/>
  <c r="E24" i="54"/>
  <c r="E6" i="74"/>
  <c r="N105" i="52" l="1"/>
  <c r="N122" i="52" s="1"/>
  <c r="K106" i="74"/>
  <c r="K202" i="74" s="1"/>
  <c r="C7" i="101"/>
  <c r="E10" i="101"/>
  <c r="D6" i="101"/>
  <c r="C8" i="101"/>
  <c r="E6" i="101"/>
  <c r="D8" i="101"/>
  <c r="E8" i="101"/>
  <c r="E61" i="101" s="1"/>
  <c r="D10" i="101"/>
  <c r="C10" i="101"/>
  <c r="D9" i="101"/>
  <c r="C9" i="101"/>
  <c r="D7" i="101"/>
  <c r="E7" i="101"/>
  <c r="E60" i="101" s="1"/>
  <c r="C6" i="101"/>
  <c r="E9" i="101"/>
  <c r="E62" i="101" s="1"/>
  <c r="E10" i="102"/>
  <c r="E7" i="102"/>
  <c r="E60" i="102" s="1"/>
  <c r="D6" i="102"/>
  <c r="C6" i="102"/>
  <c r="C8" i="102"/>
  <c r="D9" i="102"/>
  <c r="E9" i="102"/>
  <c r="E62" i="102" s="1"/>
  <c r="C9" i="102"/>
  <c r="C7" i="102"/>
  <c r="E6" i="102"/>
  <c r="E8" i="102"/>
  <c r="E61" i="102" s="1"/>
  <c r="C10" i="102"/>
  <c r="D10" i="102"/>
  <c r="D8" i="102"/>
  <c r="D7" i="102"/>
  <c r="I18" i="94"/>
  <c r="O105" i="52"/>
  <c r="P105" i="52" s="1"/>
  <c r="H52" i="94"/>
  <c r="K325" i="74" s="1"/>
  <c r="H53" i="94"/>
  <c r="K326" i="74" s="1"/>
  <c r="H51" i="94"/>
  <c r="K324" i="74" s="1"/>
  <c r="H49" i="76"/>
  <c r="H54" i="94"/>
  <c r="K340" i="74" s="1"/>
  <c r="I50" i="94"/>
  <c r="J8" i="94"/>
  <c r="N173" i="52"/>
  <c r="M190" i="52"/>
  <c r="I8" i="76"/>
  <c r="N288" i="52"/>
  <c r="O271" i="52"/>
  <c r="M255" i="52"/>
  <c r="N238" i="52"/>
  <c r="M222" i="52"/>
  <c r="N205" i="52"/>
  <c r="M156" i="52"/>
  <c r="N139" i="52"/>
  <c r="M90" i="52"/>
  <c r="N73" i="52"/>
  <c r="M57" i="52"/>
  <c r="N40" i="52"/>
  <c r="C43" i="76"/>
  <c r="E19" i="76" s="1"/>
  <c r="G13" i="45"/>
  <c r="G15" i="45"/>
  <c r="G17" i="45"/>
  <c r="G21" i="45"/>
  <c r="G47" i="45"/>
  <c r="G48" i="45"/>
  <c r="G49" i="45"/>
  <c r="G52" i="45"/>
  <c r="G53" i="45"/>
  <c r="G54" i="45"/>
  <c r="D9" i="54" s="1"/>
  <c r="D11" i="54" s="1"/>
  <c r="G59" i="45"/>
  <c r="G60" i="45"/>
  <c r="G63" i="45"/>
  <c r="G64" i="45"/>
  <c r="G65" i="45"/>
  <c r="G68" i="45"/>
  <c r="G73" i="45"/>
  <c r="D38" i="54" s="1"/>
  <c r="G81" i="45"/>
  <c r="G82" i="45"/>
  <c r="G108" i="45"/>
  <c r="C4" i="82" s="1"/>
  <c r="C6" i="82"/>
  <c r="G111" i="45"/>
  <c r="G112" i="45"/>
  <c r="G114" i="45"/>
  <c r="D15" i="9" s="1"/>
  <c r="D26" i="9" s="1"/>
  <c r="G120" i="45"/>
  <c r="G121" i="45"/>
  <c r="G122" i="45"/>
  <c r="G123" i="45"/>
  <c r="G125" i="45"/>
  <c r="G126" i="45"/>
  <c r="G131" i="45"/>
  <c r="D8" i="71" s="1"/>
  <c r="H27" i="71" s="1"/>
  <c r="G129" i="45"/>
  <c r="G132" i="45"/>
  <c r="G136" i="45"/>
  <c r="G147" i="45"/>
  <c r="D15" i="11" s="1"/>
  <c r="G148" i="45"/>
  <c r="G150" i="45"/>
  <c r="G29" i="99" s="1" a="1"/>
  <c r="G151" i="45"/>
  <c r="G153" i="45"/>
  <c r="G154" i="45"/>
  <c r="G155" i="45"/>
  <c r="G156" i="45"/>
  <c r="G157" i="45"/>
  <c r="G158" i="45"/>
  <c r="G159" i="45"/>
  <c r="G160" i="45"/>
  <c r="G161" i="45"/>
  <c r="G162" i="45"/>
  <c r="G163" i="45"/>
  <c r="G164" i="45"/>
  <c r="G165" i="45"/>
  <c r="G166" i="45"/>
  <c r="G167" i="45"/>
  <c r="G168" i="45"/>
  <c r="G169" i="45"/>
  <c r="G181" i="45"/>
  <c r="G182" i="45"/>
  <c r="G183" i="45"/>
  <c r="G187" i="45"/>
  <c r="G195" i="45"/>
  <c r="G219" i="45"/>
  <c r="D7" i="12" s="1"/>
  <c r="G229" i="45"/>
  <c r="G230" i="45"/>
  <c r="G231" i="45"/>
  <c r="G232" i="45"/>
  <c r="C4" i="76"/>
  <c r="C5" i="76"/>
  <c r="G383" i="45"/>
  <c r="K17" i="91" s="1"/>
  <c r="G385" i="45"/>
  <c r="K15" i="91" s="1"/>
  <c r="G386" i="45"/>
  <c r="K9" i="91" s="1"/>
  <c r="G387" i="45"/>
  <c r="K10" i="91" s="1"/>
  <c r="G389" i="45"/>
  <c r="K13" i="91" s="1"/>
  <c r="G393" i="45"/>
  <c r="AB28" i="90" s="1"/>
  <c r="G394" i="45"/>
  <c r="G399" i="45"/>
  <c r="T29" i="90" s="1"/>
  <c r="G400" i="45"/>
  <c r="T30" i="90" s="1"/>
  <c r="G418" i="45"/>
  <c r="G403" i="45"/>
  <c r="G404" i="45"/>
  <c r="G425" i="45"/>
  <c r="G426" i="45"/>
  <c r="G427" i="45"/>
  <c r="G428" i="45"/>
  <c r="G429" i="45"/>
  <c r="K11" i="91" s="1"/>
  <c r="G430" i="45"/>
  <c r="K14" i="91" s="1"/>
  <c r="G431" i="45"/>
  <c r="J26" i="91" s="1"/>
  <c r="G433" i="45"/>
  <c r="G442" i="45"/>
  <c r="F4" i="35" s="1"/>
  <c r="G443" i="45"/>
  <c r="G444" i="45"/>
  <c r="G445" i="45"/>
  <c r="G446" i="45"/>
  <c r="G470" i="45"/>
  <c r="G449" i="45"/>
  <c r="G450" i="45"/>
  <c r="G451" i="45"/>
  <c r="G452" i="45"/>
  <c r="G453" i="45"/>
  <c r="G454" i="45"/>
  <c r="G455" i="45"/>
  <c r="G456" i="45"/>
  <c r="G457" i="45"/>
  <c r="G458" i="45"/>
  <c r="G459" i="45"/>
  <c r="G460" i="45"/>
  <c r="G461" i="45"/>
  <c r="G462" i="45"/>
  <c r="G463" i="45"/>
  <c r="G476" i="45"/>
  <c r="D39" i="70"/>
  <c r="G11" i="45"/>
  <c r="D13" i="54" s="1"/>
  <c r="O122" i="52" l="1"/>
  <c r="G10" i="94"/>
  <c r="H10" i="94"/>
  <c r="K100" i="74" s="1"/>
  <c r="K196" i="74" s="1"/>
  <c r="J10" i="94"/>
  <c r="M100" i="74" s="1"/>
  <c r="M196" i="74" s="1"/>
  <c r="I10" i="94"/>
  <c r="L100" i="74" s="1"/>
  <c r="L196" i="74" s="1"/>
  <c r="I24" i="94"/>
  <c r="L114" i="74" s="1"/>
  <c r="L235" i="74" s="1"/>
  <c r="S343" i="45"/>
  <c r="R343" i="45"/>
  <c r="O343" i="45"/>
  <c r="N343" i="45"/>
  <c r="L343" i="45"/>
  <c r="K343" i="45"/>
  <c r="J343" i="45"/>
  <c r="Q343" i="45"/>
  <c r="I25" i="94"/>
  <c r="L115" i="74" s="1"/>
  <c r="L236" i="74" s="1"/>
  <c r="I26" i="94"/>
  <c r="I29" i="94"/>
  <c r="L119" i="74" s="1"/>
  <c r="L240" i="74" s="1"/>
  <c r="I33" i="94"/>
  <c r="I17" i="94"/>
  <c r="L107" i="74" s="1"/>
  <c r="L203" i="74" s="1"/>
  <c r="G29" i="94"/>
  <c r="G33" i="94"/>
  <c r="G26" i="94"/>
  <c r="G30" i="94"/>
  <c r="G25" i="94"/>
  <c r="G24" i="94"/>
  <c r="G27" i="94"/>
  <c r="G28" i="94"/>
  <c r="G22" i="94"/>
  <c r="H33" i="94"/>
  <c r="H27" i="94"/>
  <c r="K117" i="74" s="1"/>
  <c r="K238" i="74" s="1"/>
  <c r="H26" i="94"/>
  <c r="H30" i="94"/>
  <c r="K120" i="74" s="1"/>
  <c r="K241" i="74" s="1"/>
  <c r="H25" i="94"/>
  <c r="K115" i="74" s="1"/>
  <c r="K236" i="74" s="1"/>
  <c r="H28" i="94"/>
  <c r="K118" i="74" s="1"/>
  <c r="K239" i="74" s="1"/>
  <c r="H24" i="94"/>
  <c r="K114" i="74" s="1"/>
  <c r="K235" i="74" s="1"/>
  <c r="H22" i="94"/>
  <c r="K112" i="74" s="1"/>
  <c r="K233" i="74" s="1"/>
  <c r="H29" i="94"/>
  <c r="K119" i="74" s="1"/>
  <c r="K240" i="74" s="1"/>
  <c r="I28" i="94"/>
  <c r="L118" i="74" s="1"/>
  <c r="L239" i="74" s="1"/>
  <c r="G32" i="82"/>
  <c r="I30" i="94"/>
  <c r="L120" i="74" s="1"/>
  <c r="L241" i="74" s="1"/>
  <c r="I27" i="94"/>
  <c r="L117" i="74" s="1"/>
  <c r="L238" i="74" s="1"/>
  <c r="I22" i="94"/>
  <c r="L112" i="74" s="1"/>
  <c r="L233" i="74" s="1"/>
  <c r="J27" i="94"/>
  <c r="M117" i="74" s="1"/>
  <c r="M238" i="74" s="1"/>
  <c r="J22" i="94"/>
  <c r="M112" i="74" s="1"/>
  <c r="M233" i="74" s="1"/>
  <c r="J30" i="94"/>
  <c r="M120" i="74" s="1"/>
  <c r="M241" i="74" s="1"/>
  <c r="J26" i="94"/>
  <c r="J28" i="94"/>
  <c r="M118" i="74" s="1"/>
  <c r="M239" i="74" s="1"/>
  <c r="J33" i="94"/>
  <c r="J25" i="94"/>
  <c r="M115" i="74" s="1"/>
  <c r="M236" i="74" s="1"/>
  <c r="J29" i="94"/>
  <c r="M119" i="74" s="1"/>
  <c r="M240" i="74" s="1"/>
  <c r="J24" i="94"/>
  <c r="M114" i="74" s="1"/>
  <c r="M235" i="74" s="1"/>
  <c r="G29" i="99"/>
  <c r="H29" i="99"/>
  <c r="D5" i="11"/>
  <c r="I29" i="99"/>
  <c r="G20" i="82"/>
  <c r="G17" i="76"/>
  <c r="J17" i="94"/>
  <c r="M107" i="74" s="1"/>
  <c r="M203" i="74" s="1"/>
  <c r="L106" i="74"/>
  <c r="L202" i="74" s="1"/>
  <c r="I17" i="76"/>
  <c r="L144" i="74" s="1"/>
  <c r="L213" i="74" s="1"/>
  <c r="G17" i="94"/>
  <c r="H17" i="94"/>
  <c r="K107" i="74" s="1"/>
  <c r="K203" i="74" s="1"/>
  <c r="H17" i="76"/>
  <c r="K144" i="74" s="1"/>
  <c r="K213" i="74" s="1"/>
  <c r="E63" i="102"/>
  <c r="E64" i="102"/>
  <c r="E63" i="101"/>
  <c r="E64" i="101"/>
  <c r="J18" i="94"/>
  <c r="C28" i="102" a="1"/>
  <c r="D28" i="102" s="1"/>
  <c r="C6" i="76"/>
  <c r="G26" i="76" s="1"/>
  <c r="C37" i="102" a="1"/>
  <c r="C28" i="100" a="1"/>
  <c r="C28" i="101" a="1"/>
  <c r="C29" i="99" a="1"/>
  <c r="C150" i="84"/>
  <c r="S29" i="35"/>
  <c r="O464" i="45"/>
  <c r="L464" i="45"/>
  <c r="S464" i="45"/>
  <c r="N464" i="45"/>
  <c r="K464" i="45"/>
  <c r="R464" i="45"/>
  <c r="J464" i="45"/>
  <c r="Q464" i="45"/>
  <c r="I51" i="94"/>
  <c r="L324" i="74" s="1"/>
  <c r="I52" i="94"/>
  <c r="L325" i="74" s="1"/>
  <c r="I53" i="94"/>
  <c r="L326" i="74" s="1"/>
  <c r="I49" i="76"/>
  <c r="I54" i="94"/>
  <c r="L340" i="74" s="1"/>
  <c r="J50" i="94"/>
  <c r="I14" i="94"/>
  <c r="L104" i="74" s="1"/>
  <c r="L200" i="74" s="1"/>
  <c r="H13" i="76"/>
  <c r="I12" i="94"/>
  <c r="L102" i="74" s="1"/>
  <c r="L198" i="74" s="1"/>
  <c r="I15" i="94"/>
  <c r="L105" i="74" s="1"/>
  <c r="L201" i="74" s="1"/>
  <c r="H11" i="76"/>
  <c r="H15" i="76"/>
  <c r="H14" i="76"/>
  <c r="J100" i="74"/>
  <c r="J196" i="74" s="1"/>
  <c r="G15" i="94"/>
  <c r="H11" i="94"/>
  <c r="K101" i="74" s="1"/>
  <c r="K197" i="74" s="1"/>
  <c r="H13" i="94"/>
  <c r="K103" i="74" s="1"/>
  <c r="K199" i="74" s="1"/>
  <c r="H16" i="94"/>
  <c r="K108" i="74" s="1"/>
  <c r="K204" i="74" s="1"/>
  <c r="H14" i="94"/>
  <c r="K104" i="74" s="1"/>
  <c r="K200" i="74" s="1"/>
  <c r="H12" i="94"/>
  <c r="K102" i="74" s="1"/>
  <c r="K198" i="74" s="1"/>
  <c r="H15" i="94"/>
  <c r="K105" i="74" s="1"/>
  <c r="K201" i="74" s="1"/>
  <c r="I13" i="94"/>
  <c r="L103" i="74" s="1"/>
  <c r="L199" i="74" s="1"/>
  <c r="H16" i="76"/>
  <c r="I16" i="94"/>
  <c r="L108" i="74" s="1"/>
  <c r="L204" i="74" s="1"/>
  <c r="I11" i="94"/>
  <c r="L101" i="74" s="1"/>
  <c r="L197" i="74" s="1"/>
  <c r="J11" i="94"/>
  <c r="M101" i="74" s="1"/>
  <c r="M197" i="74" s="1"/>
  <c r="J14" i="94"/>
  <c r="M104" i="74" s="1"/>
  <c r="M200" i="74" s="1"/>
  <c r="J12" i="94"/>
  <c r="M102" i="74" s="1"/>
  <c r="M198" i="74" s="1"/>
  <c r="J15" i="94"/>
  <c r="M105" i="74" s="1"/>
  <c r="M201" i="74" s="1"/>
  <c r="J13" i="94"/>
  <c r="M103" i="74" s="1"/>
  <c r="M199" i="74" s="1"/>
  <c r="J16" i="94"/>
  <c r="M108" i="74" s="1"/>
  <c r="M204" i="74" s="1"/>
  <c r="I16" i="76"/>
  <c r="I13" i="76"/>
  <c r="I15" i="76"/>
  <c r="I12" i="76"/>
  <c r="I14" i="76"/>
  <c r="I11" i="76"/>
  <c r="H12" i="76"/>
  <c r="D7" i="92"/>
  <c r="I30" i="92" s="1"/>
  <c r="E7" i="92"/>
  <c r="J30" i="92" s="1"/>
  <c r="I50" i="92"/>
  <c r="I49" i="92"/>
  <c r="I47" i="92"/>
  <c r="D15" i="54"/>
  <c r="C48" i="82"/>
  <c r="C43" i="94"/>
  <c r="K8" i="94"/>
  <c r="K10" i="94" s="1"/>
  <c r="I48" i="92"/>
  <c r="I51" i="92"/>
  <c r="H5" i="93"/>
  <c r="E5" i="33"/>
  <c r="I46" i="92"/>
  <c r="I45" i="92"/>
  <c r="C5" i="82"/>
  <c r="H8" i="82"/>
  <c r="H32" i="82" s="1"/>
  <c r="D59" i="11"/>
  <c r="D32" i="54"/>
  <c r="E50" i="54"/>
  <c r="D31" i="54"/>
  <c r="D30" i="54"/>
  <c r="D27" i="54"/>
  <c r="D64" i="54"/>
  <c r="D26" i="54"/>
  <c r="D62" i="54"/>
  <c r="D61" i="54"/>
  <c r="D14" i="54"/>
  <c r="B7" i="103" s="1"/>
  <c r="N190" i="52"/>
  <c r="O173" i="52"/>
  <c r="J8" i="76"/>
  <c r="O288" i="52"/>
  <c r="P271" i="52"/>
  <c r="N255" i="52"/>
  <c r="O238" i="52"/>
  <c r="N222" i="52"/>
  <c r="O205" i="52"/>
  <c r="N156" i="52"/>
  <c r="O139" i="52"/>
  <c r="P122" i="52"/>
  <c r="Q105" i="52"/>
  <c r="N90" i="52"/>
  <c r="O73" i="52"/>
  <c r="N57" i="52"/>
  <c r="O40" i="52"/>
  <c r="G16" i="54"/>
  <c r="F16" i="54"/>
  <c r="J105" i="74" l="1"/>
  <c r="J201" i="74" s="1"/>
  <c r="J144" i="74"/>
  <c r="J213" i="74" s="1"/>
  <c r="J71" i="74"/>
  <c r="J193" i="74" s="1"/>
  <c r="J120" i="74"/>
  <c r="J241" i="74" s="1"/>
  <c r="J10" i="76"/>
  <c r="H10" i="76"/>
  <c r="G10" i="76"/>
  <c r="I10" i="76"/>
  <c r="G22" i="76"/>
  <c r="H25" i="76"/>
  <c r="I33" i="76"/>
  <c r="I32" i="76" s="1"/>
  <c r="G29" i="76"/>
  <c r="G33" i="76"/>
  <c r="I22" i="76"/>
  <c r="I25" i="76"/>
  <c r="H27" i="76"/>
  <c r="H26" i="76"/>
  <c r="H29" i="76"/>
  <c r="I28" i="76"/>
  <c r="L155" i="74" s="1"/>
  <c r="L250" i="74" s="1"/>
  <c r="I24" i="76"/>
  <c r="G28" i="76"/>
  <c r="H28" i="76"/>
  <c r="K155" i="74" s="1"/>
  <c r="K250" i="74" s="1"/>
  <c r="I27" i="76"/>
  <c r="I30" i="76"/>
  <c r="G25" i="76"/>
  <c r="H33" i="76"/>
  <c r="H32" i="76" s="1"/>
  <c r="G24" i="76"/>
  <c r="H22" i="76"/>
  <c r="I26" i="76"/>
  <c r="G27" i="76"/>
  <c r="I29" i="76"/>
  <c r="H30" i="76"/>
  <c r="G30" i="76"/>
  <c r="H24" i="76"/>
  <c r="J17" i="76"/>
  <c r="M144" i="74" s="1"/>
  <c r="M213" i="74" s="1"/>
  <c r="J30" i="76"/>
  <c r="J28" i="76"/>
  <c r="M155" i="74" s="1"/>
  <c r="M250" i="74" s="1"/>
  <c r="J25" i="76"/>
  <c r="J22" i="76"/>
  <c r="J29" i="76"/>
  <c r="J26" i="76"/>
  <c r="J33" i="76"/>
  <c r="J32" i="76" s="1"/>
  <c r="J24" i="76"/>
  <c r="J27" i="76"/>
  <c r="K24" i="94"/>
  <c r="N114" i="74" s="1"/>
  <c r="N235" i="74" s="1"/>
  <c r="K28" i="94"/>
  <c r="N118" i="74" s="1"/>
  <c r="N239" i="74" s="1"/>
  <c r="K30" i="94"/>
  <c r="N120" i="74" s="1"/>
  <c r="N241" i="74" s="1"/>
  <c r="K27" i="94"/>
  <c r="N117" i="74" s="1"/>
  <c r="N238" i="74" s="1"/>
  <c r="K26" i="94"/>
  <c r="K25" i="94"/>
  <c r="N115" i="74" s="1"/>
  <c r="N236" i="74" s="1"/>
  <c r="K33" i="94"/>
  <c r="K22" i="94"/>
  <c r="N112" i="74" s="1"/>
  <c r="N233" i="74" s="1"/>
  <c r="K29" i="94"/>
  <c r="N119" i="74" s="1"/>
  <c r="N240" i="74" s="1"/>
  <c r="H25" i="82"/>
  <c r="H26" i="82"/>
  <c r="H27" i="82"/>
  <c r="H29" i="82"/>
  <c r="H38" i="82"/>
  <c r="H28" i="82"/>
  <c r="H30" i="82"/>
  <c r="K80" i="74" s="1"/>
  <c r="K227" i="74" s="1"/>
  <c r="H33" i="82"/>
  <c r="H31" i="82"/>
  <c r="K81" i="74" s="1"/>
  <c r="K228" i="74" s="1"/>
  <c r="K82" i="74"/>
  <c r="K229" i="74" s="1"/>
  <c r="G25" i="82"/>
  <c r="G26" i="82"/>
  <c r="G38" i="82"/>
  <c r="G27" i="82"/>
  <c r="G28" i="82"/>
  <c r="G29" i="82"/>
  <c r="G30" i="82"/>
  <c r="G31" i="82"/>
  <c r="G33" i="82"/>
  <c r="E65" i="102"/>
  <c r="J107" i="74"/>
  <c r="J203" i="74" s="1"/>
  <c r="M106" i="74"/>
  <c r="M202" i="74" s="1"/>
  <c r="M195" i="74" s="1"/>
  <c r="K17" i="94"/>
  <c r="N107" i="74" s="1"/>
  <c r="N203" i="74" s="1"/>
  <c r="H21" i="82"/>
  <c r="H20" i="82"/>
  <c r="K71" i="74" s="1"/>
  <c r="K193" i="74" s="1"/>
  <c r="E65" i="101"/>
  <c r="J82" i="74"/>
  <c r="J229" i="74" s="1"/>
  <c r="H19" i="82"/>
  <c r="K70" i="74" s="1"/>
  <c r="C28" i="102"/>
  <c r="E28" i="102"/>
  <c r="H51" i="76"/>
  <c r="K328" i="74" s="1"/>
  <c r="G464" i="45"/>
  <c r="D43" i="35" s="1"/>
  <c r="G50" i="76"/>
  <c r="J327" i="74" s="1"/>
  <c r="H52" i="76"/>
  <c r="K329" i="74" s="1"/>
  <c r="H53" i="76"/>
  <c r="K341" i="74" s="1"/>
  <c r="K342" i="74" s="1"/>
  <c r="I52" i="76"/>
  <c r="L329" i="74" s="1"/>
  <c r="H50" i="76"/>
  <c r="K327" i="74" s="1"/>
  <c r="C37" i="102"/>
  <c r="D37" i="102"/>
  <c r="E37" i="102"/>
  <c r="E59" i="102" s="1"/>
  <c r="J18" i="76" s="1"/>
  <c r="M143" i="74" s="1"/>
  <c r="D28" i="101"/>
  <c r="C28" i="101"/>
  <c r="E28" i="101"/>
  <c r="C28" i="100"/>
  <c r="D28" i="100"/>
  <c r="E28" i="100"/>
  <c r="K18" i="94"/>
  <c r="E29" i="99"/>
  <c r="C29" i="99"/>
  <c r="D29" i="99"/>
  <c r="G343" i="45"/>
  <c r="D43" i="92" s="1"/>
  <c r="K116" i="74"/>
  <c r="K237" i="74" s="1"/>
  <c r="L116" i="74"/>
  <c r="L237" i="74" s="1"/>
  <c r="M116" i="74"/>
  <c r="M237" i="74" s="1"/>
  <c r="I50" i="76"/>
  <c r="L327" i="74" s="1"/>
  <c r="H55" i="82"/>
  <c r="H57" i="82" s="1"/>
  <c r="K338" i="74" s="1"/>
  <c r="I51" i="76"/>
  <c r="L328" i="74" s="1"/>
  <c r="I53" i="76"/>
  <c r="L341" i="74" s="1"/>
  <c r="L342" i="74" s="1"/>
  <c r="J53" i="94"/>
  <c r="M326" i="74" s="1"/>
  <c r="J52" i="94"/>
  <c r="M325" i="74" s="1"/>
  <c r="J51" i="94"/>
  <c r="M324" i="74" s="1"/>
  <c r="J49" i="76"/>
  <c r="J52" i="76" s="1"/>
  <c r="M329" i="74" s="1"/>
  <c r="I32" i="94"/>
  <c r="L122" i="74" s="1"/>
  <c r="L123" i="74"/>
  <c r="L262" i="74" s="1"/>
  <c r="L261" i="74" s="1"/>
  <c r="K195" i="74"/>
  <c r="J32" i="94"/>
  <c r="M122" i="74" s="1"/>
  <c r="M123" i="74"/>
  <c r="M262" i="74" s="1"/>
  <c r="M261" i="74" s="1"/>
  <c r="L195" i="74"/>
  <c r="H32" i="94"/>
  <c r="K122" i="74" s="1"/>
  <c r="K123" i="74"/>
  <c r="K262" i="74" s="1"/>
  <c r="K261" i="74" s="1"/>
  <c r="J54" i="94"/>
  <c r="M340" i="74" s="1"/>
  <c r="K50" i="94"/>
  <c r="K15" i="94"/>
  <c r="N105" i="74" s="1"/>
  <c r="N201" i="74" s="1"/>
  <c r="N100" i="74"/>
  <c r="N196" i="74" s="1"/>
  <c r="J16" i="76"/>
  <c r="J13" i="76"/>
  <c r="J14" i="76"/>
  <c r="J12" i="76"/>
  <c r="J15" i="76"/>
  <c r="J11" i="76"/>
  <c r="E41" i="82"/>
  <c r="H9" i="94"/>
  <c r="K99" i="74" s="1"/>
  <c r="O12" i="92"/>
  <c r="J9" i="94"/>
  <c r="M99" i="74" s="1"/>
  <c r="I9" i="94"/>
  <c r="L99" i="74" s="1"/>
  <c r="L8" i="94"/>
  <c r="L10" i="94" s="1"/>
  <c r="E36" i="94"/>
  <c r="E19" i="94"/>
  <c r="J29" i="92"/>
  <c r="H16" i="82"/>
  <c r="H13" i="82"/>
  <c r="H10" i="82"/>
  <c r="H18" i="82"/>
  <c r="H15" i="82"/>
  <c r="H12" i="82"/>
  <c r="H17" i="82"/>
  <c r="H11" i="82"/>
  <c r="H14" i="82"/>
  <c r="C161" i="84"/>
  <c r="I8" i="82"/>
  <c r="I32" i="82" s="1"/>
  <c r="L139" i="74"/>
  <c r="L208" i="74" s="1"/>
  <c r="L140" i="74"/>
  <c r="L209" i="74" s="1"/>
  <c r="L137" i="74"/>
  <c r="L206" i="74" s="1"/>
  <c r="L142" i="74"/>
  <c r="L211" i="74" s="1"/>
  <c r="L138" i="74"/>
  <c r="L207" i="74" s="1"/>
  <c r="L141" i="74"/>
  <c r="L210" i="74" s="1"/>
  <c r="L145" i="74"/>
  <c r="L214" i="74" s="1"/>
  <c r="P173" i="52"/>
  <c r="O190" i="52"/>
  <c r="E36" i="76"/>
  <c r="K8" i="76"/>
  <c r="K10" i="76" s="1"/>
  <c r="P288" i="52"/>
  <c r="Q271" i="52"/>
  <c r="P238" i="52"/>
  <c r="O255" i="52"/>
  <c r="O222" i="52"/>
  <c r="P205" i="52"/>
  <c r="P139" i="52"/>
  <c r="O156" i="52"/>
  <c r="Q122" i="52"/>
  <c r="R105" i="52"/>
  <c r="O90" i="52"/>
  <c r="P73" i="52"/>
  <c r="P40" i="52"/>
  <c r="O57" i="52"/>
  <c r="P6" i="45" a="1"/>
  <c r="O6" i="45" a="1"/>
  <c r="J6" i="45" a="1"/>
  <c r="R6" i="45" a="1"/>
  <c r="K6" i="45" a="1"/>
  <c r="N6" i="45" a="1"/>
  <c r="M6" i="45" a="1"/>
  <c r="Q6" i="45" a="1"/>
  <c r="K72" i="74" l="1"/>
  <c r="K192" i="74" s="1"/>
  <c r="G32" i="76"/>
  <c r="K28" i="76"/>
  <c r="N155" i="74" s="1"/>
  <c r="N250" i="74" s="1"/>
  <c r="K25" i="76"/>
  <c r="K22" i="76"/>
  <c r="K29" i="76"/>
  <c r="K26" i="76"/>
  <c r="K33" i="76"/>
  <c r="K32" i="76" s="1"/>
  <c r="K30" i="76"/>
  <c r="K24" i="76"/>
  <c r="K27" i="76"/>
  <c r="L17" i="94"/>
  <c r="L30" i="94"/>
  <c r="I20" i="82"/>
  <c r="L71" i="74" s="1"/>
  <c r="L193" i="74" s="1"/>
  <c r="I25" i="82"/>
  <c r="I26" i="82"/>
  <c r="I27" i="82"/>
  <c r="I38" i="82"/>
  <c r="I28" i="82"/>
  <c r="I30" i="82"/>
  <c r="L80" i="74" s="1"/>
  <c r="L227" i="74" s="1"/>
  <c r="I29" i="82"/>
  <c r="I31" i="82"/>
  <c r="L81" i="74" s="1"/>
  <c r="L228" i="74" s="1"/>
  <c r="I33" i="82"/>
  <c r="M212" i="74"/>
  <c r="N106" i="74"/>
  <c r="N202" i="74" s="1"/>
  <c r="K17" i="76"/>
  <c r="I21" i="82"/>
  <c r="L72" i="74" s="1"/>
  <c r="L192" i="74" s="1"/>
  <c r="K194" i="74"/>
  <c r="H56" i="82"/>
  <c r="I19" i="82"/>
  <c r="L70" i="74" s="1"/>
  <c r="G18" i="76"/>
  <c r="H18" i="76"/>
  <c r="I18" i="76"/>
  <c r="L143" i="74" s="1"/>
  <c r="K18" i="76"/>
  <c r="N143" i="74" s="1"/>
  <c r="L18" i="94"/>
  <c r="N116" i="74"/>
  <c r="N237" i="74" s="1"/>
  <c r="I55" i="82"/>
  <c r="I56" i="82" s="1"/>
  <c r="J53" i="76"/>
  <c r="M341" i="74" s="1"/>
  <c r="M342" i="74" s="1"/>
  <c r="J51" i="76"/>
  <c r="M328" i="74" s="1"/>
  <c r="J50" i="76"/>
  <c r="M327" i="74" s="1"/>
  <c r="K53" i="94"/>
  <c r="N326" i="74" s="1"/>
  <c r="K52" i="94"/>
  <c r="N325" i="74" s="1"/>
  <c r="K51" i="94"/>
  <c r="N324" i="74" s="1"/>
  <c r="K32" i="94"/>
  <c r="N122" i="74" s="1"/>
  <c r="N123" i="74"/>
  <c r="N262" i="74" s="1"/>
  <c r="N261" i="74" s="1"/>
  <c r="K49" i="76"/>
  <c r="K50" i="76" s="1"/>
  <c r="N327" i="74" s="1"/>
  <c r="S354" i="45"/>
  <c r="R354" i="45"/>
  <c r="Q354" i="45"/>
  <c r="O354" i="45"/>
  <c r="N354" i="45"/>
  <c r="L354" i="45"/>
  <c r="K354" i="45"/>
  <c r="J354" i="45"/>
  <c r="K54" i="94"/>
  <c r="N340" i="74" s="1"/>
  <c r="L50" i="94"/>
  <c r="K14" i="76"/>
  <c r="K13" i="76"/>
  <c r="K15" i="76"/>
  <c r="K11" i="76"/>
  <c r="K12" i="76"/>
  <c r="K16" i="76"/>
  <c r="M8" i="94"/>
  <c r="M10" i="94" s="1"/>
  <c r="I17" i="82"/>
  <c r="L68" i="74" s="1"/>
  <c r="L190" i="74" s="1"/>
  <c r="I16" i="82"/>
  <c r="L67" i="74" s="1"/>
  <c r="L189" i="74" s="1"/>
  <c r="I13" i="82"/>
  <c r="L64" i="74" s="1"/>
  <c r="L186" i="74" s="1"/>
  <c r="I10" i="82"/>
  <c r="I14" i="82"/>
  <c r="L65" i="74" s="1"/>
  <c r="L187" i="74" s="1"/>
  <c r="I15" i="82"/>
  <c r="L66" i="74" s="1"/>
  <c r="L188" i="74" s="1"/>
  <c r="I12" i="82"/>
  <c r="L63" i="74" s="1"/>
  <c r="L185" i="74" s="1"/>
  <c r="I18" i="82"/>
  <c r="L69" i="74" s="1"/>
  <c r="L191" i="74" s="1"/>
  <c r="I11" i="82"/>
  <c r="L62" i="74" s="1"/>
  <c r="L184" i="74" s="1"/>
  <c r="J8" i="82"/>
  <c r="J32" i="82" s="1"/>
  <c r="M141" i="74"/>
  <c r="M210" i="74" s="1"/>
  <c r="M139" i="74"/>
  <c r="M208" i="74" s="1"/>
  <c r="M140" i="74"/>
  <c r="M209" i="74" s="1"/>
  <c r="M145" i="74"/>
  <c r="M214" i="74" s="1"/>
  <c r="M137" i="74"/>
  <c r="M206" i="74" s="1"/>
  <c r="M142" i="74"/>
  <c r="M211" i="74" s="1"/>
  <c r="M138" i="74"/>
  <c r="M207" i="74" s="1"/>
  <c r="Q173" i="52"/>
  <c r="P190" i="52"/>
  <c r="J9" i="76"/>
  <c r="L8" i="76"/>
  <c r="L10" i="76" s="1"/>
  <c r="Q288" i="52"/>
  <c r="R271" i="52"/>
  <c r="P255" i="52"/>
  <c r="Q238" i="52"/>
  <c r="P222" i="52"/>
  <c r="Q205" i="52"/>
  <c r="P156" i="52"/>
  <c r="Q139" i="52"/>
  <c r="R122" i="52"/>
  <c r="S105" i="52"/>
  <c r="P90" i="52"/>
  <c r="Q73" i="52"/>
  <c r="P57" i="52"/>
  <c r="Q40" i="52"/>
  <c r="O6" i="45"/>
  <c r="K6" i="45"/>
  <c r="R6" i="45"/>
  <c r="N6" i="45"/>
  <c r="Q6" i="45"/>
  <c r="M6" i="45"/>
  <c r="P6" i="45"/>
  <c r="J6" i="45"/>
  <c r="O107" i="74" l="1"/>
  <c r="O203" i="74" s="1"/>
  <c r="O120" i="74"/>
  <c r="O241" i="74" s="1"/>
  <c r="J143" i="74"/>
  <c r="L28" i="76"/>
  <c r="L25" i="76"/>
  <c r="L22" i="76"/>
  <c r="L29" i="76"/>
  <c r="L26" i="76"/>
  <c r="L33" i="76"/>
  <c r="L30" i="76"/>
  <c r="L24" i="76"/>
  <c r="L27" i="76"/>
  <c r="M17" i="94"/>
  <c r="P107" i="74" s="1"/>
  <c r="P203" i="74" s="1"/>
  <c r="M30" i="94"/>
  <c r="J20" i="82"/>
  <c r="J26" i="82"/>
  <c r="J27" i="82"/>
  <c r="J38" i="82"/>
  <c r="J28" i="82"/>
  <c r="J31" i="82"/>
  <c r="J29" i="82"/>
  <c r="J30" i="82"/>
  <c r="M82" i="74"/>
  <c r="M229" i="74" s="1"/>
  <c r="J33" i="82"/>
  <c r="J25" i="82"/>
  <c r="N212" i="74"/>
  <c r="K143" i="74"/>
  <c r="K212" i="74" s="1"/>
  <c r="I9" i="76"/>
  <c r="L136" i="74" s="1"/>
  <c r="L212" i="74"/>
  <c r="L205" i="74" s="1"/>
  <c r="N144" i="74"/>
  <c r="N213" i="74" s="1"/>
  <c r="O106" i="74"/>
  <c r="O202" i="74" s="1"/>
  <c r="L17" i="76"/>
  <c r="O144" i="74" s="1"/>
  <c r="O213" i="74" s="1"/>
  <c r="J21" i="82"/>
  <c r="L194" i="74"/>
  <c r="L82" i="74"/>
  <c r="L229" i="74" s="1"/>
  <c r="J19" i="82"/>
  <c r="M70" i="74" s="1"/>
  <c r="M18" i="94"/>
  <c r="L18" i="76"/>
  <c r="O143" i="74" s="1"/>
  <c r="I57" i="82"/>
  <c r="L338" i="74" s="1"/>
  <c r="J55" i="82"/>
  <c r="J56" i="82" s="1"/>
  <c r="L52" i="94"/>
  <c r="O325" i="74" s="1"/>
  <c r="L51" i="94"/>
  <c r="O324" i="74" s="1"/>
  <c r="K53" i="76"/>
  <c r="N341" i="74" s="1"/>
  <c r="N342" i="74" s="1"/>
  <c r="K52" i="76"/>
  <c r="N329" i="74" s="1"/>
  <c r="K51" i="76"/>
  <c r="N328" i="74" s="1"/>
  <c r="L49" i="76"/>
  <c r="L52" i="76" s="1"/>
  <c r="O329" i="74" s="1"/>
  <c r="M50" i="94"/>
  <c r="L14" i="76"/>
  <c r="L11" i="76"/>
  <c r="L12" i="76"/>
  <c r="L15" i="76"/>
  <c r="L16" i="76"/>
  <c r="L13" i="76"/>
  <c r="M15" i="94"/>
  <c r="P105" i="74" s="1"/>
  <c r="P201" i="74" s="1"/>
  <c r="M12" i="94"/>
  <c r="P102" i="74" s="1"/>
  <c r="P198" i="74" s="1"/>
  <c r="M14" i="94"/>
  <c r="P104" i="74" s="1"/>
  <c r="P200" i="74" s="1"/>
  <c r="M13" i="94"/>
  <c r="P103" i="74" s="1"/>
  <c r="P199" i="74" s="1"/>
  <c r="M11" i="94"/>
  <c r="P101" i="74" s="1"/>
  <c r="P197" i="74" s="1"/>
  <c r="M16" i="94"/>
  <c r="P108" i="74" s="1"/>
  <c r="P204" i="74" s="1"/>
  <c r="P100" i="74"/>
  <c r="P196" i="74" s="1"/>
  <c r="N8" i="94"/>
  <c r="N10" i="94" s="1"/>
  <c r="J16" i="82"/>
  <c r="M67" i="74" s="1"/>
  <c r="M189" i="74" s="1"/>
  <c r="J13" i="82"/>
  <c r="M64" i="74" s="1"/>
  <c r="M186" i="74" s="1"/>
  <c r="J10" i="82"/>
  <c r="J17" i="82"/>
  <c r="M68" i="74" s="1"/>
  <c r="M190" i="74" s="1"/>
  <c r="J14" i="82"/>
  <c r="M65" i="74" s="1"/>
  <c r="M187" i="74" s="1"/>
  <c r="J18" i="82"/>
  <c r="M69" i="74" s="1"/>
  <c r="M191" i="74" s="1"/>
  <c r="J15" i="82"/>
  <c r="M66" i="74" s="1"/>
  <c r="M188" i="74" s="1"/>
  <c r="J12" i="82"/>
  <c r="M63" i="74" s="1"/>
  <c r="M185" i="74" s="1"/>
  <c r="J11" i="82"/>
  <c r="M62" i="74" s="1"/>
  <c r="M184" i="74" s="1"/>
  <c r="K8" i="82"/>
  <c r="K32" i="82" s="1"/>
  <c r="L61" i="74"/>
  <c r="L183" i="74" s="1"/>
  <c r="I9" i="82"/>
  <c r="L60" i="74" s="1"/>
  <c r="M205" i="74"/>
  <c r="M136" i="74"/>
  <c r="N145" i="74"/>
  <c r="N214" i="74" s="1"/>
  <c r="N139" i="74"/>
  <c r="N208" i="74" s="1"/>
  <c r="N141" i="74"/>
  <c r="N210" i="74" s="1"/>
  <c r="N140" i="74"/>
  <c r="N209" i="74" s="1"/>
  <c r="N137" i="74"/>
  <c r="N206" i="74" s="1"/>
  <c r="N142" i="74"/>
  <c r="N211" i="74" s="1"/>
  <c r="N138" i="74"/>
  <c r="N207" i="74" s="1"/>
  <c r="Q190" i="52"/>
  <c r="R173" i="52"/>
  <c r="K9" i="76"/>
  <c r="M8" i="76"/>
  <c r="M10" i="76" s="1"/>
  <c r="R288" i="52"/>
  <c r="S271" i="52"/>
  <c r="Q255" i="52"/>
  <c r="R238" i="52"/>
  <c r="Q222" i="52"/>
  <c r="R205" i="52"/>
  <c r="Q156" i="52"/>
  <c r="R139" i="52"/>
  <c r="T105" i="52"/>
  <c r="S122" i="52"/>
  <c r="Q90" i="52"/>
  <c r="R73" i="52"/>
  <c r="Q57" i="52"/>
  <c r="R40" i="52"/>
  <c r="R468" i="45"/>
  <c r="R467" i="45"/>
  <c r="R432" i="45"/>
  <c r="R417" i="45"/>
  <c r="R415" i="45"/>
  <c r="R388" i="45"/>
  <c r="R384" i="45"/>
  <c r="Q468" i="45"/>
  <c r="Q467" i="45"/>
  <c r="Q432" i="45"/>
  <c r="Q417" i="45"/>
  <c r="Q415" i="45"/>
  <c r="Q388" i="45"/>
  <c r="Q384" i="45"/>
  <c r="O468" i="45"/>
  <c r="O467" i="45"/>
  <c r="O432" i="45"/>
  <c r="O417" i="45"/>
  <c r="O415" i="45"/>
  <c r="O388" i="45"/>
  <c r="O384" i="45"/>
  <c r="N468" i="45"/>
  <c r="N467" i="45"/>
  <c r="N432" i="45"/>
  <c r="N417" i="45"/>
  <c r="N415" i="45"/>
  <c r="N388" i="45"/>
  <c r="N384" i="45"/>
  <c r="K468" i="45"/>
  <c r="K467" i="45"/>
  <c r="K432" i="45"/>
  <c r="K417" i="45"/>
  <c r="K415" i="45"/>
  <c r="K384" i="45"/>
  <c r="J468" i="45"/>
  <c r="J467" i="45"/>
  <c r="J432" i="45"/>
  <c r="J417" i="45"/>
  <c r="J415" i="45"/>
  <c r="J384" i="45"/>
  <c r="R196" i="45"/>
  <c r="R194" i="45"/>
  <c r="R193" i="45"/>
  <c r="R190" i="45"/>
  <c r="R188" i="45"/>
  <c r="R173" i="45"/>
  <c r="R172" i="45"/>
  <c r="R152" i="45"/>
  <c r="R146" i="45"/>
  <c r="R124" i="45"/>
  <c r="R138" i="45"/>
  <c r="R137" i="45"/>
  <c r="R119" i="45"/>
  <c r="R113" i="45"/>
  <c r="Q194" i="45"/>
  <c r="Q193" i="45"/>
  <c r="Q190" i="45"/>
  <c r="Q188" i="45"/>
  <c r="Q173" i="45"/>
  <c r="Q172" i="45"/>
  <c r="Q152" i="45"/>
  <c r="Q146" i="45"/>
  <c r="Q124" i="45"/>
  <c r="Q138" i="45"/>
  <c r="Q137" i="45"/>
  <c r="Q113" i="45"/>
  <c r="O194" i="45"/>
  <c r="O193" i="45"/>
  <c r="O190" i="45"/>
  <c r="O188" i="45"/>
  <c r="O173" i="45"/>
  <c r="O172" i="45"/>
  <c r="O152" i="45"/>
  <c r="O170" i="45"/>
  <c r="O146" i="45"/>
  <c r="O124" i="45"/>
  <c r="O138" i="45"/>
  <c r="O137" i="45"/>
  <c r="O119" i="45"/>
  <c r="O113" i="45"/>
  <c r="N194" i="45"/>
  <c r="N193" i="45"/>
  <c r="N190" i="45"/>
  <c r="N188" i="45"/>
  <c r="N173" i="45"/>
  <c r="N172" i="45"/>
  <c r="N152" i="45"/>
  <c r="N170" i="45"/>
  <c r="N146" i="45"/>
  <c r="N124" i="45"/>
  <c r="N138" i="45"/>
  <c r="N137" i="45"/>
  <c r="N119" i="45"/>
  <c r="N113" i="45"/>
  <c r="K194" i="45"/>
  <c r="K193" i="45"/>
  <c r="K190" i="45"/>
  <c r="K188" i="45"/>
  <c r="K173" i="45"/>
  <c r="K172" i="45"/>
  <c r="K152" i="45"/>
  <c r="K170" i="45"/>
  <c r="K146" i="45"/>
  <c r="K124" i="45"/>
  <c r="K138" i="45"/>
  <c r="K137" i="45"/>
  <c r="K119" i="45"/>
  <c r="K113" i="45"/>
  <c r="J194" i="45"/>
  <c r="J193" i="45"/>
  <c r="J190" i="45"/>
  <c r="J188" i="45"/>
  <c r="J173" i="45"/>
  <c r="J172" i="45"/>
  <c r="J152" i="45"/>
  <c r="J170" i="45"/>
  <c r="J146" i="45"/>
  <c r="J124" i="45"/>
  <c r="J138" i="45"/>
  <c r="J137" i="45"/>
  <c r="J119" i="45"/>
  <c r="J113" i="45"/>
  <c r="M71" i="74" l="1"/>
  <c r="M193" i="74" s="1"/>
  <c r="L32" i="76"/>
  <c r="O155" i="74"/>
  <c r="O250" i="74" s="1"/>
  <c r="M80" i="74"/>
  <c r="M227" i="74" s="1"/>
  <c r="M28" i="76"/>
  <c r="P155" i="74" s="1"/>
  <c r="P250" i="74" s="1"/>
  <c r="M25" i="76"/>
  <c r="M22" i="76"/>
  <c r="M29" i="76"/>
  <c r="M26" i="76"/>
  <c r="M33" i="76"/>
  <c r="M32" i="76" s="1"/>
  <c r="M30" i="76"/>
  <c r="M24" i="76"/>
  <c r="M27" i="76"/>
  <c r="N17" i="94"/>
  <c r="N30" i="94"/>
  <c r="K20" i="82"/>
  <c r="N71" i="74" s="1"/>
  <c r="N193" i="74" s="1"/>
  <c r="K27" i="82"/>
  <c r="K38" i="82"/>
  <c r="K28" i="82"/>
  <c r="K29" i="82"/>
  <c r="K30" i="82"/>
  <c r="K31" i="82"/>
  <c r="N81" i="74" s="1"/>
  <c r="N228" i="74" s="1"/>
  <c r="K33" i="82"/>
  <c r="K25" i="82"/>
  <c r="K26" i="82"/>
  <c r="O212" i="74"/>
  <c r="P106" i="74"/>
  <c r="P202" i="74" s="1"/>
  <c r="P195" i="74" s="1"/>
  <c r="M17" i="76"/>
  <c r="P144" i="74" s="1"/>
  <c r="P213" i="74" s="1"/>
  <c r="M72" i="74"/>
  <c r="M192" i="74" s="1"/>
  <c r="K21" i="82"/>
  <c r="N72" i="74" s="1"/>
  <c r="N192" i="74" s="1"/>
  <c r="L182" i="74"/>
  <c r="M194" i="74"/>
  <c r="M81" i="74"/>
  <c r="M228" i="74" s="1"/>
  <c r="K19" i="82"/>
  <c r="N70" i="74" s="1"/>
  <c r="G417" i="45"/>
  <c r="N18" i="94"/>
  <c r="M18" i="76"/>
  <c r="P143" i="74" s="1"/>
  <c r="G199" i="45"/>
  <c r="D9" i="12" s="1"/>
  <c r="D87" i="12" s="1"/>
  <c r="Q200" i="45"/>
  <c r="R199" i="45"/>
  <c r="R200" i="45"/>
  <c r="J57" i="82"/>
  <c r="M338" i="74" s="1"/>
  <c r="K55" i="82"/>
  <c r="K56" i="82" s="1"/>
  <c r="M52" i="94"/>
  <c r="P325" i="74" s="1"/>
  <c r="M51" i="94"/>
  <c r="P324" i="74" s="1"/>
  <c r="L50" i="76"/>
  <c r="O327" i="74" s="1"/>
  <c r="L51" i="76"/>
  <c r="O328" i="74" s="1"/>
  <c r="L53" i="76"/>
  <c r="O341" i="74" s="1"/>
  <c r="M49" i="76"/>
  <c r="M53" i="76" s="1"/>
  <c r="P341" i="74" s="1"/>
  <c r="N50" i="94"/>
  <c r="G415" i="45"/>
  <c r="G468" i="45"/>
  <c r="G113" i="45"/>
  <c r="G384" i="45"/>
  <c r="G119" i="45"/>
  <c r="G128" i="45"/>
  <c r="G172" i="45"/>
  <c r="G432" i="45"/>
  <c r="G137" i="45"/>
  <c r="G173" i="45"/>
  <c r="G395" i="45"/>
  <c r="N9" i="33" s="1"/>
  <c r="G467" i="45"/>
  <c r="M15" i="76"/>
  <c r="M12" i="76"/>
  <c r="M14" i="76"/>
  <c r="M11" i="76"/>
  <c r="M13" i="76"/>
  <c r="M16" i="76"/>
  <c r="M9" i="94"/>
  <c r="P99" i="74" s="1"/>
  <c r="O8" i="94"/>
  <c r="O10" i="94" s="1"/>
  <c r="K16" i="82"/>
  <c r="N67" i="74" s="1"/>
  <c r="N189" i="74" s="1"/>
  <c r="K13" i="82"/>
  <c r="N64" i="74" s="1"/>
  <c r="N186" i="74" s="1"/>
  <c r="K10" i="82"/>
  <c r="K18" i="82"/>
  <c r="N69" i="74" s="1"/>
  <c r="N191" i="74" s="1"/>
  <c r="K15" i="82"/>
  <c r="N66" i="74" s="1"/>
  <c r="N188" i="74" s="1"/>
  <c r="K12" i="82"/>
  <c r="N63" i="74" s="1"/>
  <c r="N185" i="74" s="1"/>
  <c r="K17" i="82"/>
  <c r="N68" i="74" s="1"/>
  <c r="N190" i="74" s="1"/>
  <c r="K14" i="82"/>
  <c r="N65" i="74" s="1"/>
  <c r="N187" i="74" s="1"/>
  <c r="K11" i="82"/>
  <c r="N62" i="74" s="1"/>
  <c r="N184" i="74" s="1"/>
  <c r="G138" i="45"/>
  <c r="G124" i="45"/>
  <c r="G388" i="45"/>
  <c r="K12" i="91" s="1"/>
  <c r="D7" i="91" s="1"/>
  <c r="G194" i="45"/>
  <c r="G152" i="45"/>
  <c r="G170" i="45"/>
  <c r="G196" i="45"/>
  <c r="G146" i="45"/>
  <c r="L8" i="82"/>
  <c r="L32" i="82" s="1"/>
  <c r="M61" i="74"/>
  <c r="M183" i="74" s="1"/>
  <c r="J9" i="82"/>
  <c r="M60" i="74" s="1"/>
  <c r="G188" i="45"/>
  <c r="G190" i="45"/>
  <c r="G189" i="45"/>
  <c r="G193" i="45"/>
  <c r="N136" i="74"/>
  <c r="N205" i="74"/>
  <c r="O137" i="74"/>
  <c r="O206" i="74" s="1"/>
  <c r="O140" i="74"/>
  <c r="O209" i="74" s="1"/>
  <c r="O145" i="74"/>
  <c r="O214" i="74" s="1"/>
  <c r="O138" i="74"/>
  <c r="O207" i="74" s="1"/>
  <c r="O141" i="74"/>
  <c r="O210" i="74" s="1"/>
  <c r="O142" i="74"/>
  <c r="O211" i="74" s="1"/>
  <c r="O139" i="74"/>
  <c r="O208" i="74" s="1"/>
  <c r="R190" i="52"/>
  <c r="S173" i="52"/>
  <c r="L9" i="76"/>
  <c r="N8" i="76"/>
  <c r="N10" i="76" s="1"/>
  <c r="T271" i="52"/>
  <c r="S288" i="52"/>
  <c r="R255" i="52"/>
  <c r="S238" i="52"/>
  <c r="R222" i="52"/>
  <c r="S205" i="52"/>
  <c r="R156" i="52"/>
  <c r="S139" i="52"/>
  <c r="T122" i="52"/>
  <c r="U105" i="52"/>
  <c r="R90" i="52"/>
  <c r="S73" i="52"/>
  <c r="R57" i="52"/>
  <c r="S40" i="52"/>
  <c r="I51" i="71"/>
  <c r="I12" i="71" s="1"/>
  <c r="G51" i="71"/>
  <c r="G12" i="71" s="1"/>
  <c r="G50" i="71"/>
  <c r="G11" i="71" s="1"/>
  <c r="E54" i="71"/>
  <c r="D54" i="71"/>
  <c r="C54" i="71"/>
  <c r="I50" i="71"/>
  <c r="I11" i="71" s="1"/>
  <c r="E15" i="71"/>
  <c r="M49" i="71" s="1"/>
  <c r="C15" i="71"/>
  <c r="K49" i="71" s="1"/>
  <c r="E14" i="71"/>
  <c r="C14" i="71"/>
  <c r="C6" i="71"/>
  <c r="C5" i="71"/>
  <c r="D5" i="71"/>
  <c r="I58" i="71"/>
  <c r="I8" i="71" s="1"/>
  <c r="G58" i="71"/>
  <c r="G8" i="71" s="1"/>
  <c r="I57" i="71"/>
  <c r="I5" i="71" s="1"/>
  <c r="G57" i="71"/>
  <c r="G5" i="71" s="1"/>
  <c r="I36" i="70"/>
  <c r="I10" i="70" s="1"/>
  <c r="G36" i="70"/>
  <c r="G10" i="70" s="1"/>
  <c r="G35" i="70"/>
  <c r="G9" i="70" s="1"/>
  <c r="Q107" i="74" l="1"/>
  <c r="Q203" i="74" s="1"/>
  <c r="N80" i="74"/>
  <c r="N227" i="74" s="1"/>
  <c r="N29" i="76"/>
  <c r="N26" i="76"/>
  <c r="N33" i="76"/>
  <c r="N30" i="76"/>
  <c r="N27" i="76"/>
  <c r="N24" i="76"/>
  <c r="N28" i="76"/>
  <c r="Q155" i="74" s="1"/>
  <c r="Q250" i="74" s="1"/>
  <c r="N22" i="76"/>
  <c r="N25" i="76"/>
  <c r="O17" i="94"/>
  <c r="O30" i="94"/>
  <c r="L20" i="82"/>
  <c r="O71" i="74" s="1"/>
  <c r="O193" i="74" s="1"/>
  <c r="L38" i="82"/>
  <c r="L28" i="82"/>
  <c r="L29" i="82"/>
  <c r="L30" i="82"/>
  <c r="L33" i="82"/>
  <c r="L31" i="82"/>
  <c r="O82" i="74"/>
  <c r="O229" i="74" s="1"/>
  <c r="L26" i="82"/>
  <c r="L27" i="82"/>
  <c r="L25" i="82"/>
  <c r="P212" i="74"/>
  <c r="Q106" i="74"/>
  <c r="Q202" i="74" s="1"/>
  <c r="N17" i="76"/>
  <c r="L21" i="82"/>
  <c r="M182" i="74"/>
  <c r="N194" i="74"/>
  <c r="N82" i="74"/>
  <c r="N229" i="74" s="1"/>
  <c r="L19" i="82"/>
  <c r="O70" i="74" s="1"/>
  <c r="O18" i="94"/>
  <c r="N18" i="76"/>
  <c r="K57" i="82"/>
  <c r="N338" i="74" s="1"/>
  <c r="L55" i="82"/>
  <c r="L56" i="82" s="1"/>
  <c r="N52" i="94"/>
  <c r="Q325" i="74" s="1"/>
  <c r="N51" i="94"/>
  <c r="Q324" i="74" s="1"/>
  <c r="M52" i="76"/>
  <c r="P329" i="74" s="1"/>
  <c r="M51" i="76"/>
  <c r="P328" i="74" s="1"/>
  <c r="M50" i="76"/>
  <c r="P327" i="74" s="1"/>
  <c r="N49" i="76"/>
  <c r="N51" i="76" s="1"/>
  <c r="Q328" i="74" s="1"/>
  <c r="R315" i="45"/>
  <c r="K315" i="45"/>
  <c r="Q315" i="45"/>
  <c r="O315" i="45"/>
  <c r="N315" i="45"/>
  <c r="L315" i="45"/>
  <c r="J315" i="45"/>
  <c r="S315" i="45"/>
  <c r="I44" i="91"/>
  <c r="O50" i="94"/>
  <c r="I34" i="91"/>
  <c r="N43" i="91" s="1"/>
  <c r="N47" i="91" s="1"/>
  <c r="Q10" i="91" s="1"/>
  <c r="H108" i="12"/>
  <c r="L65" i="9"/>
  <c r="O16" i="94"/>
  <c r="R108" i="74" s="1"/>
  <c r="R204" i="74" s="1"/>
  <c r="O13" i="94"/>
  <c r="R103" i="74" s="1"/>
  <c r="R199" i="74" s="1"/>
  <c r="O14" i="94"/>
  <c r="R104" i="74" s="1"/>
  <c r="R200" i="74" s="1"/>
  <c r="O12" i="94"/>
  <c r="R102" i="74" s="1"/>
  <c r="R198" i="74" s="1"/>
  <c r="O11" i="94"/>
  <c r="R101" i="74" s="1"/>
  <c r="R197" i="74" s="1"/>
  <c r="R100" i="74"/>
  <c r="R196" i="74" s="1"/>
  <c r="O15" i="94"/>
  <c r="R105" i="74" s="1"/>
  <c r="R201" i="74" s="1"/>
  <c r="N15" i="76"/>
  <c r="N12" i="76"/>
  <c r="N13" i="76"/>
  <c r="N11" i="76"/>
  <c r="N14" i="76"/>
  <c r="N16" i="76"/>
  <c r="P8" i="94"/>
  <c r="P10" i="94" s="1"/>
  <c r="D29" i="90"/>
  <c r="L18" i="82"/>
  <c r="O69" i="74" s="1"/>
  <c r="O191" i="74" s="1"/>
  <c r="L15" i="82"/>
  <c r="O66" i="74" s="1"/>
  <c r="O188" i="74" s="1"/>
  <c r="L12" i="82"/>
  <c r="O63" i="74" s="1"/>
  <c r="O185" i="74" s="1"/>
  <c r="L17" i="82"/>
  <c r="O68" i="74" s="1"/>
  <c r="O190" i="74" s="1"/>
  <c r="L14" i="82"/>
  <c r="O65" i="74" s="1"/>
  <c r="O187" i="74" s="1"/>
  <c r="L11" i="82"/>
  <c r="O62" i="74" s="1"/>
  <c r="O184" i="74" s="1"/>
  <c r="L10" i="82"/>
  <c r="L13" i="82"/>
  <c r="O64" i="74" s="1"/>
  <c r="O186" i="74" s="1"/>
  <c r="L16" i="82"/>
  <c r="O67" i="74" s="1"/>
  <c r="O189" i="74" s="1"/>
  <c r="N61" i="74"/>
  <c r="N183" i="74" s="1"/>
  <c r="K9" i="82"/>
  <c r="N60" i="74" s="1"/>
  <c r="M8" i="82"/>
  <c r="M32" i="82" s="1"/>
  <c r="O136" i="74"/>
  <c r="O205" i="74"/>
  <c r="P137" i="74"/>
  <c r="P206" i="74" s="1"/>
  <c r="P141" i="74"/>
  <c r="P210" i="74" s="1"/>
  <c r="P139" i="74"/>
  <c r="P208" i="74" s="1"/>
  <c r="P145" i="74"/>
  <c r="P214" i="74" s="1"/>
  <c r="P140" i="74"/>
  <c r="P209" i="74" s="1"/>
  <c r="P142" i="74"/>
  <c r="P211" i="74" s="1"/>
  <c r="P138" i="74"/>
  <c r="P207" i="74" s="1"/>
  <c r="S190" i="52"/>
  <c r="T173" i="52"/>
  <c r="M9" i="76"/>
  <c r="O8" i="76"/>
  <c r="O10" i="76" s="1"/>
  <c r="U271" i="52"/>
  <c r="T288" i="52"/>
  <c r="T238" i="52"/>
  <c r="S255" i="52"/>
  <c r="S222" i="52"/>
  <c r="T205" i="52"/>
  <c r="T139" i="52"/>
  <c r="S156" i="52"/>
  <c r="U122" i="52"/>
  <c r="V105" i="52"/>
  <c r="S90" i="52"/>
  <c r="T73" i="52"/>
  <c r="T40" i="52"/>
  <c r="S57" i="52"/>
  <c r="I35" i="70"/>
  <c r="I9" i="70" s="1"/>
  <c r="O81" i="74" l="1"/>
  <c r="O228" i="74" s="1"/>
  <c r="R107" i="74"/>
  <c r="R203" i="74" s="1"/>
  <c r="O80" i="74"/>
  <c r="O227" i="74" s="1"/>
  <c r="Q143" i="74"/>
  <c r="Q212" i="74" s="1"/>
  <c r="N32" i="76"/>
  <c r="O72" i="74"/>
  <c r="O192" i="74" s="1"/>
  <c r="O29" i="76"/>
  <c r="O26" i="76"/>
  <c r="O33" i="76"/>
  <c r="O32" i="76" s="1"/>
  <c r="O30" i="76"/>
  <c r="O27" i="76"/>
  <c r="O24" i="76"/>
  <c r="O22" i="76"/>
  <c r="O28" i="76"/>
  <c r="O25" i="76"/>
  <c r="P17" i="94"/>
  <c r="P30" i="94"/>
  <c r="M29" i="82"/>
  <c r="M30" i="82"/>
  <c r="P80" i="74" s="1"/>
  <c r="P227" i="74" s="1"/>
  <c r="M31" i="82"/>
  <c r="M33" i="82"/>
  <c r="M25" i="82"/>
  <c r="M27" i="82"/>
  <c r="M38" i="82"/>
  <c r="M28" i="82"/>
  <c r="M26" i="82"/>
  <c r="Q144" i="74"/>
  <c r="Q213" i="74" s="1"/>
  <c r="R106" i="74"/>
  <c r="R202" i="74" s="1"/>
  <c r="O17" i="76"/>
  <c r="R144" i="74" s="1"/>
  <c r="R213" i="74" s="1"/>
  <c r="M21" i="82"/>
  <c r="P72" i="74" s="1"/>
  <c r="P192" i="74" s="1"/>
  <c r="N182" i="74"/>
  <c r="O194" i="74"/>
  <c r="P18" i="94"/>
  <c r="O18" i="76"/>
  <c r="R143" i="74" s="1"/>
  <c r="S320" i="45"/>
  <c r="R320" i="45"/>
  <c r="Q320" i="45"/>
  <c r="O320" i="45"/>
  <c r="N320" i="45"/>
  <c r="J320" i="45"/>
  <c r="L320" i="45"/>
  <c r="K320" i="45"/>
  <c r="L57" i="82"/>
  <c r="O338" i="74" s="1"/>
  <c r="M55" i="82"/>
  <c r="M56" i="82" s="1"/>
  <c r="N52" i="76"/>
  <c r="Q329" i="74" s="1"/>
  <c r="N50" i="76"/>
  <c r="Q327" i="74" s="1"/>
  <c r="N53" i="76"/>
  <c r="Q341" i="74" s="1"/>
  <c r="O52" i="94"/>
  <c r="R325" i="74" s="1"/>
  <c r="O51" i="94"/>
  <c r="R324" i="74" s="1"/>
  <c r="O49" i="76"/>
  <c r="O53" i="76" s="1"/>
  <c r="R341" i="74" s="1"/>
  <c r="Q5" i="91"/>
  <c r="I45" i="91"/>
  <c r="Q6" i="91" s="1"/>
  <c r="P50" i="94"/>
  <c r="N29" i="90"/>
  <c r="O16" i="76"/>
  <c r="O13" i="76"/>
  <c r="O12" i="76"/>
  <c r="O14" i="76"/>
  <c r="O11" i="76"/>
  <c r="O15" i="76"/>
  <c r="P15" i="94"/>
  <c r="S105" i="74" s="1"/>
  <c r="S201" i="74" s="1"/>
  <c r="P12" i="94"/>
  <c r="S102" i="74" s="1"/>
  <c r="S198" i="74" s="1"/>
  <c r="P13" i="94"/>
  <c r="S103" i="74" s="1"/>
  <c r="S199" i="74" s="1"/>
  <c r="P11" i="94"/>
  <c r="S101" i="74" s="1"/>
  <c r="S197" i="74" s="1"/>
  <c r="S100" i="74"/>
  <c r="S196" i="74" s="1"/>
  <c r="P16" i="94"/>
  <c r="S108" i="74" s="1"/>
  <c r="S204" i="74" s="1"/>
  <c r="P14" i="94"/>
  <c r="S104" i="74" s="1"/>
  <c r="S200" i="74" s="1"/>
  <c r="O9" i="94"/>
  <c r="R99" i="74" s="1"/>
  <c r="Q8" i="94"/>
  <c r="Q10" i="94" s="1"/>
  <c r="O61" i="74"/>
  <c r="O183" i="74" s="1"/>
  <c r="L9" i="82"/>
  <c r="O60" i="74" s="1"/>
  <c r="N8" i="82"/>
  <c r="N32" i="82" s="1"/>
  <c r="P136" i="74"/>
  <c r="P205" i="74"/>
  <c r="Q141" i="74"/>
  <c r="Q210" i="74" s="1"/>
  <c r="Q138" i="74"/>
  <c r="Q207" i="74" s="1"/>
  <c r="Q140" i="74"/>
  <c r="Q209" i="74" s="1"/>
  <c r="Q142" i="74"/>
  <c r="Q211" i="74" s="1"/>
  <c r="Q139" i="74"/>
  <c r="Q208" i="74" s="1"/>
  <c r="Q137" i="74"/>
  <c r="Q206" i="74" s="1"/>
  <c r="Q145" i="74"/>
  <c r="Q214" i="74" s="1"/>
  <c r="T190" i="52"/>
  <c r="U173" i="52"/>
  <c r="N9" i="76"/>
  <c r="P8" i="76"/>
  <c r="U288" i="52"/>
  <c r="V271" i="52"/>
  <c r="T255" i="52"/>
  <c r="U238" i="52"/>
  <c r="T222" i="52"/>
  <c r="U205" i="52"/>
  <c r="T156" i="52"/>
  <c r="U139" i="52"/>
  <c r="V122" i="52"/>
  <c r="W105" i="52"/>
  <c r="T90" i="52"/>
  <c r="U73" i="52"/>
  <c r="U40" i="52"/>
  <c r="T57" i="52"/>
  <c r="P81" i="74" l="1"/>
  <c r="P228" i="74" s="1"/>
  <c r="S107" i="74"/>
  <c r="S203" i="74" s="1"/>
  <c r="R195" i="74"/>
  <c r="R155" i="74"/>
  <c r="R250" i="74" s="1"/>
  <c r="P29" i="76"/>
  <c r="P26" i="76"/>
  <c r="P33" i="76"/>
  <c r="P30" i="76"/>
  <c r="P27" i="76"/>
  <c r="P24" i="76"/>
  <c r="P22" i="76"/>
  <c r="P25" i="76"/>
  <c r="P28" i="76"/>
  <c r="Q17" i="94"/>
  <c r="Q30" i="94"/>
  <c r="N20" i="82"/>
  <c r="Q71" i="74" s="1"/>
  <c r="Q193" i="74" s="1"/>
  <c r="N30" i="82"/>
  <c r="N31" i="82"/>
  <c r="Q81" i="74" s="1"/>
  <c r="Q228" i="74" s="1"/>
  <c r="N33" i="82"/>
  <c r="N26" i="82"/>
  <c r="N25" i="82"/>
  <c r="N38" i="82"/>
  <c r="N28" i="82"/>
  <c r="N29" i="82"/>
  <c r="N27" i="82"/>
  <c r="R212" i="74"/>
  <c r="O182" i="74"/>
  <c r="S106" i="74"/>
  <c r="S202" i="74" s="1"/>
  <c r="S195" i="74" s="1"/>
  <c r="N21" i="82"/>
  <c r="Q72" i="74" s="1"/>
  <c r="Q192" i="74" s="1"/>
  <c r="Q82" i="74"/>
  <c r="Q229" i="74" s="1"/>
  <c r="P82" i="74"/>
  <c r="P229" i="74" s="1"/>
  <c r="T37" i="90"/>
  <c r="T28" i="90"/>
  <c r="I35" i="91" s="1"/>
  <c r="N34" i="91" s="1"/>
  <c r="N19" i="82"/>
  <c r="Q70" i="74" s="1"/>
  <c r="G320" i="45"/>
  <c r="Q18" i="94"/>
  <c r="P18" i="76"/>
  <c r="S143" i="74" s="1"/>
  <c r="M57" i="82"/>
  <c r="P338" i="74" s="1"/>
  <c r="N55" i="82"/>
  <c r="N56" i="82" s="1"/>
  <c r="O52" i="76"/>
  <c r="R329" i="74" s="1"/>
  <c r="O51" i="76"/>
  <c r="R328" i="74" s="1"/>
  <c r="O50" i="76"/>
  <c r="R327" i="74" s="1"/>
  <c r="P51" i="94"/>
  <c r="S324" i="74" s="1"/>
  <c r="P52" i="94"/>
  <c r="S325" i="74" s="1"/>
  <c r="P49" i="76"/>
  <c r="P53" i="76" s="1"/>
  <c r="S341" i="74" s="1"/>
  <c r="Q318" i="45"/>
  <c r="O318" i="45"/>
  <c r="N318" i="45"/>
  <c r="L318" i="45"/>
  <c r="K318" i="45"/>
  <c r="J318" i="45"/>
  <c r="R318" i="45"/>
  <c r="S318" i="45"/>
  <c r="J317" i="45"/>
  <c r="S317" i="45"/>
  <c r="Q317" i="45"/>
  <c r="R317" i="45"/>
  <c r="O317" i="45"/>
  <c r="N317" i="45"/>
  <c r="L317" i="45"/>
  <c r="K317" i="45"/>
  <c r="Q50" i="94"/>
  <c r="R286" i="45"/>
  <c r="Q286" i="45"/>
  <c r="S286" i="45"/>
  <c r="O286" i="45"/>
  <c r="K286" i="45"/>
  <c r="N286" i="45"/>
  <c r="J286" i="45"/>
  <c r="L286" i="45"/>
  <c r="D60" i="90"/>
  <c r="J60" i="90" s="1"/>
  <c r="T16" i="90" s="1"/>
  <c r="D45" i="90"/>
  <c r="R45" i="90" s="1"/>
  <c r="V44" i="90" s="1"/>
  <c r="X29" i="90"/>
  <c r="AF29" i="90" s="1"/>
  <c r="Q14" i="94"/>
  <c r="T104" i="74" s="1"/>
  <c r="T200" i="74" s="1"/>
  <c r="Q13" i="94"/>
  <c r="T103" i="74" s="1"/>
  <c r="T199" i="74" s="1"/>
  <c r="T100" i="74"/>
  <c r="T196" i="74" s="1"/>
  <c r="Q15" i="94"/>
  <c r="T105" i="74" s="1"/>
  <c r="T201" i="74" s="1"/>
  <c r="Q11" i="94"/>
  <c r="T101" i="74" s="1"/>
  <c r="T197" i="74" s="1"/>
  <c r="Q16" i="94"/>
  <c r="T108" i="74" s="1"/>
  <c r="T204" i="74" s="1"/>
  <c r="Q12" i="94"/>
  <c r="T102" i="74" s="1"/>
  <c r="T198" i="74" s="1"/>
  <c r="P9" i="94"/>
  <c r="S99" i="74" s="1"/>
  <c r="R8" i="94"/>
  <c r="R10" i="94" s="1"/>
  <c r="T14" i="90"/>
  <c r="N54" i="90"/>
  <c r="N55" i="90"/>
  <c r="T19" i="90" s="1"/>
  <c r="N57" i="90"/>
  <c r="T20" i="90" s="1"/>
  <c r="V46" i="90"/>
  <c r="E11" i="92"/>
  <c r="O16" i="92" s="1"/>
  <c r="L54" i="94" s="1"/>
  <c r="O340" i="74" s="1"/>
  <c r="O342" i="74" s="1"/>
  <c r="N16" i="82"/>
  <c r="Q67" i="74" s="1"/>
  <c r="Q189" i="74" s="1"/>
  <c r="N18" i="82"/>
  <c r="Q69" i="74" s="1"/>
  <c r="Q191" i="74" s="1"/>
  <c r="N15" i="82"/>
  <c r="Q66" i="74" s="1"/>
  <c r="Q188" i="74" s="1"/>
  <c r="N12" i="82"/>
  <c r="Q63" i="74" s="1"/>
  <c r="Q185" i="74" s="1"/>
  <c r="N17" i="82"/>
  <c r="Q68" i="74" s="1"/>
  <c r="Q190" i="74" s="1"/>
  <c r="N14" i="82"/>
  <c r="Q65" i="74" s="1"/>
  <c r="Q187" i="74" s="1"/>
  <c r="N11" i="82"/>
  <c r="Q62" i="74" s="1"/>
  <c r="Q184" i="74" s="1"/>
  <c r="N13" i="82"/>
  <c r="Q64" i="74" s="1"/>
  <c r="Q186" i="74" s="1"/>
  <c r="N10" i="82"/>
  <c r="O8" i="82"/>
  <c r="O32" i="82" s="1"/>
  <c r="K79" i="74"/>
  <c r="K226" i="74" s="1"/>
  <c r="Q136" i="74"/>
  <c r="Q205" i="74"/>
  <c r="R139" i="74"/>
  <c r="R208" i="74" s="1"/>
  <c r="R138" i="74"/>
  <c r="R207" i="74" s="1"/>
  <c r="R141" i="74"/>
  <c r="R210" i="74" s="1"/>
  <c r="R145" i="74"/>
  <c r="R214" i="74" s="1"/>
  <c r="R137" i="74"/>
  <c r="R206" i="74" s="1"/>
  <c r="R140" i="74"/>
  <c r="R209" i="74" s="1"/>
  <c r="R142" i="74"/>
  <c r="R211" i="74" s="1"/>
  <c r="V173" i="52"/>
  <c r="U190" i="52"/>
  <c r="O9" i="76"/>
  <c r="Q8" i="76"/>
  <c r="Q10" i="76" s="1"/>
  <c r="V288" i="52"/>
  <c r="W271" i="52"/>
  <c r="U255" i="52"/>
  <c r="V238" i="52"/>
  <c r="U222" i="52"/>
  <c r="V205" i="52"/>
  <c r="U156" i="52"/>
  <c r="V139" i="52"/>
  <c r="W122" i="52"/>
  <c r="X105" i="52"/>
  <c r="U90" i="52"/>
  <c r="V73" i="52"/>
  <c r="U57" i="52"/>
  <c r="V40" i="52"/>
  <c r="E13" i="70"/>
  <c r="M34" i="70" s="1"/>
  <c r="C13" i="70"/>
  <c r="K34" i="70" s="1"/>
  <c r="E12" i="70"/>
  <c r="C12" i="70"/>
  <c r="D6" i="70"/>
  <c r="D5" i="70"/>
  <c r="I6" i="70"/>
  <c r="G6" i="70"/>
  <c r="I5" i="70"/>
  <c r="G5" i="70"/>
  <c r="C6" i="70"/>
  <c r="C5" i="70"/>
  <c r="C88" i="12"/>
  <c r="I91" i="12"/>
  <c r="I12" i="12" s="1"/>
  <c r="G91" i="12"/>
  <c r="G12" i="12" s="1"/>
  <c r="E92" i="12"/>
  <c r="C92" i="12"/>
  <c r="D24" i="12"/>
  <c r="C24" i="12"/>
  <c r="D92" i="12"/>
  <c r="T107" i="74" l="1"/>
  <c r="T203" i="74" s="1"/>
  <c r="Q80" i="74"/>
  <c r="Q227" i="74" s="1"/>
  <c r="S155" i="74"/>
  <c r="S250" i="74" s="1"/>
  <c r="P32" i="76"/>
  <c r="Q17" i="76"/>
  <c r="T144" i="74" s="1"/>
  <c r="T213" i="74" s="1"/>
  <c r="R17" i="94"/>
  <c r="R30" i="94"/>
  <c r="O20" i="82"/>
  <c r="R71" i="74" s="1"/>
  <c r="R193" i="74" s="1"/>
  <c r="O31" i="82"/>
  <c r="R81" i="74" s="1"/>
  <c r="R228" i="74" s="1"/>
  <c r="O33" i="82"/>
  <c r="O38" i="82"/>
  <c r="O25" i="82"/>
  <c r="O26" i="82"/>
  <c r="O27" i="82"/>
  <c r="O29" i="82"/>
  <c r="O30" i="82"/>
  <c r="R80" i="74" s="1"/>
  <c r="R227" i="74" s="1"/>
  <c r="O28" i="82"/>
  <c r="T106" i="74"/>
  <c r="T202" i="74" s="1"/>
  <c r="T195" i="74" s="1"/>
  <c r="O21" i="82"/>
  <c r="R72" i="74" s="1"/>
  <c r="R192" i="74" s="1"/>
  <c r="Q194" i="74"/>
  <c r="D72" i="90"/>
  <c r="N58" i="90" s="1"/>
  <c r="T21" i="90" s="1"/>
  <c r="O19" i="82"/>
  <c r="R70" i="74" s="1"/>
  <c r="P54" i="94"/>
  <c r="S340" i="74" s="1"/>
  <c r="S342" i="74" s="1"/>
  <c r="G54" i="94"/>
  <c r="J340" i="74" s="1"/>
  <c r="R18" i="94"/>
  <c r="Q18" i="76"/>
  <c r="Q302" i="45"/>
  <c r="S302" i="45"/>
  <c r="R302" i="45"/>
  <c r="N302" i="45"/>
  <c r="O302" i="45"/>
  <c r="L302" i="45"/>
  <c r="K302" i="45"/>
  <c r="J302" i="45"/>
  <c r="S293" i="45"/>
  <c r="R293" i="45"/>
  <c r="Q293" i="45"/>
  <c r="O293" i="45"/>
  <c r="N293" i="45"/>
  <c r="J293" i="45"/>
  <c r="L293" i="45"/>
  <c r="K293" i="45"/>
  <c r="N57" i="82"/>
  <c r="Q338" i="74" s="1"/>
  <c r="J291" i="45"/>
  <c r="O55" i="82"/>
  <c r="O56" i="82" s="1"/>
  <c r="P51" i="76"/>
  <c r="S328" i="74" s="1"/>
  <c r="P50" i="76"/>
  <c r="S327" i="74" s="1"/>
  <c r="P52" i="76"/>
  <c r="S329" i="74" s="1"/>
  <c r="Q52" i="94"/>
  <c r="T325" i="74" s="1"/>
  <c r="Q51" i="94"/>
  <c r="T324" i="74" s="1"/>
  <c r="G286" i="45"/>
  <c r="Q49" i="76"/>
  <c r="Q50" i="76" s="1"/>
  <c r="T327" i="74" s="1"/>
  <c r="D26" i="91"/>
  <c r="E10" i="92"/>
  <c r="O326" i="45" s="1"/>
  <c r="M54" i="94"/>
  <c r="P340" i="74" s="1"/>
  <c r="P342" i="74" s="1"/>
  <c r="N54" i="94"/>
  <c r="Q340" i="74" s="1"/>
  <c r="Q342" i="74" s="1"/>
  <c r="O54" i="94"/>
  <c r="R340" i="74" s="1"/>
  <c r="R342" i="74" s="1"/>
  <c r="Q54" i="94"/>
  <c r="T340" i="74" s="1"/>
  <c r="S345" i="45"/>
  <c r="R345" i="45"/>
  <c r="J345" i="45"/>
  <c r="Q345" i="45"/>
  <c r="O345" i="45"/>
  <c r="N345" i="45"/>
  <c r="L345" i="45"/>
  <c r="K345" i="45"/>
  <c r="R50" i="94"/>
  <c r="K290" i="45"/>
  <c r="Q290" i="45"/>
  <c r="L290" i="45"/>
  <c r="J290" i="45"/>
  <c r="O290" i="45"/>
  <c r="N290" i="45"/>
  <c r="S290" i="45"/>
  <c r="R290" i="45"/>
  <c r="N44" i="90"/>
  <c r="V45" i="90" s="1"/>
  <c r="Q14" i="76"/>
  <c r="Q11" i="76"/>
  <c r="Q16" i="76"/>
  <c r="Q13" i="76"/>
  <c r="Q15" i="76"/>
  <c r="Q12" i="76"/>
  <c r="R15" i="94"/>
  <c r="U105" i="74" s="1"/>
  <c r="U201" i="74" s="1"/>
  <c r="R13" i="94"/>
  <c r="U103" i="74" s="1"/>
  <c r="U199" i="74" s="1"/>
  <c r="R11" i="94"/>
  <c r="U101" i="74" s="1"/>
  <c r="U197" i="74" s="1"/>
  <c r="U100" i="74"/>
  <c r="U196" i="74" s="1"/>
  <c r="R16" i="94"/>
  <c r="U108" i="74" s="1"/>
  <c r="U204" i="74" s="1"/>
  <c r="R12" i="94"/>
  <c r="U102" i="74" s="1"/>
  <c r="U198" i="74" s="1"/>
  <c r="R14" i="94"/>
  <c r="U104" i="74" s="1"/>
  <c r="U200" i="74" s="1"/>
  <c r="Q9" i="94"/>
  <c r="T99" i="74" s="1"/>
  <c r="S8" i="94"/>
  <c r="S10" i="94" s="1"/>
  <c r="T18" i="90"/>
  <c r="O18" i="82"/>
  <c r="R69" i="74" s="1"/>
  <c r="R191" i="74" s="1"/>
  <c r="O15" i="82"/>
  <c r="R66" i="74" s="1"/>
  <c r="R188" i="74" s="1"/>
  <c r="O12" i="82"/>
  <c r="R63" i="74" s="1"/>
  <c r="R185" i="74" s="1"/>
  <c r="O11" i="82"/>
  <c r="R62" i="74" s="1"/>
  <c r="R184" i="74" s="1"/>
  <c r="O10" i="82"/>
  <c r="O17" i="82"/>
  <c r="R68" i="74" s="1"/>
  <c r="R190" i="74" s="1"/>
  <c r="O14" i="82"/>
  <c r="R65" i="74" s="1"/>
  <c r="R187" i="74" s="1"/>
  <c r="O16" i="82"/>
  <c r="R67" i="74" s="1"/>
  <c r="R189" i="74" s="1"/>
  <c r="O13" i="82"/>
  <c r="R64" i="74" s="1"/>
  <c r="R186" i="74" s="1"/>
  <c r="P8" i="82"/>
  <c r="P32" i="82" s="1"/>
  <c r="Q61" i="74"/>
  <c r="Q183" i="74" s="1"/>
  <c r="N9" i="82"/>
  <c r="Q60" i="74" s="1"/>
  <c r="R136" i="74"/>
  <c r="R205" i="74"/>
  <c r="V190" i="52"/>
  <c r="W173" i="52"/>
  <c r="R8" i="76"/>
  <c r="R10" i="76" s="1"/>
  <c r="W288" i="52"/>
  <c r="X271" i="52"/>
  <c r="V255" i="52"/>
  <c r="W238" i="52"/>
  <c r="V222" i="52"/>
  <c r="W205" i="52"/>
  <c r="V156" i="52"/>
  <c r="W139" i="52"/>
  <c r="X122" i="52"/>
  <c r="Y105" i="52"/>
  <c r="V90" i="52"/>
  <c r="W73" i="52"/>
  <c r="V57" i="52"/>
  <c r="W40" i="52"/>
  <c r="G236" i="45"/>
  <c r="U107" i="74" l="1"/>
  <c r="U203" i="74" s="1"/>
  <c r="T143" i="74"/>
  <c r="R17" i="76"/>
  <c r="U144" i="74" s="1"/>
  <c r="U213" i="74" s="1"/>
  <c r="S17" i="94"/>
  <c r="V107" i="74" s="1"/>
  <c r="V203" i="74" s="1"/>
  <c r="S30" i="94"/>
  <c r="P20" i="82"/>
  <c r="S71" i="74" s="1"/>
  <c r="S193" i="74" s="1"/>
  <c r="P33" i="82"/>
  <c r="P25" i="82"/>
  <c r="P26" i="82"/>
  <c r="P27" i="82"/>
  <c r="P38" i="82"/>
  <c r="P28" i="82"/>
  <c r="P30" i="82"/>
  <c r="S80" i="74" s="1"/>
  <c r="S227" i="74" s="1"/>
  <c r="P31" i="82"/>
  <c r="S81" i="74" s="1"/>
  <c r="S228" i="74" s="1"/>
  <c r="P29" i="82"/>
  <c r="T212" i="74"/>
  <c r="U106" i="74"/>
  <c r="U202" i="74" s="1"/>
  <c r="U195" i="74" s="1"/>
  <c r="Q182" i="74"/>
  <c r="P21" i="82"/>
  <c r="S72" i="74" s="1"/>
  <c r="S192" i="74" s="1"/>
  <c r="R194" i="74"/>
  <c r="R82" i="74"/>
  <c r="R229" i="74" s="1"/>
  <c r="S82" i="74"/>
  <c r="S229" i="74" s="1"/>
  <c r="P19" i="82"/>
  <c r="S70" i="74" s="1"/>
  <c r="G293" i="45"/>
  <c r="D69" i="33" s="1"/>
  <c r="S18" i="94"/>
  <c r="H57" i="71"/>
  <c r="H5" i="71" s="1"/>
  <c r="H5" i="70"/>
  <c r="G302" i="45"/>
  <c r="R18" i="76"/>
  <c r="U143" i="74" s="1"/>
  <c r="R303" i="45"/>
  <c r="S303" i="45"/>
  <c r="Q303" i="45"/>
  <c r="O303" i="45"/>
  <c r="N303" i="45"/>
  <c r="K303" i="45"/>
  <c r="L303" i="45"/>
  <c r="J303" i="45"/>
  <c r="S292" i="45"/>
  <c r="R292" i="45"/>
  <c r="Q292" i="45"/>
  <c r="O292" i="45"/>
  <c r="N292" i="45"/>
  <c r="J292" i="45"/>
  <c r="K292" i="45"/>
  <c r="L292" i="45"/>
  <c r="K291" i="45"/>
  <c r="Q291" i="45"/>
  <c r="R291" i="45"/>
  <c r="N291" i="45"/>
  <c r="L291" i="45"/>
  <c r="O291" i="45"/>
  <c r="O57" i="82"/>
  <c r="R338" i="74" s="1"/>
  <c r="S291" i="45"/>
  <c r="P55" i="82"/>
  <c r="P56" i="82" s="1"/>
  <c r="R52" i="94"/>
  <c r="U325" i="74" s="1"/>
  <c r="R51" i="94"/>
  <c r="U324" i="74" s="1"/>
  <c r="D36" i="91"/>
  <c r="N26" i="91"/>
  <c r="D28" i="92" s="1"/>
  <c r="O29" i="92" s="1"/>
  <c r="Y29" i="92" s="1"/>
  <c r="N326" i="45"/>
  <c r="L348" i="45"/>
  <c r="Q326" i="45"/>
  <c r="J348" i="45"/>
  <c r="S326" i="45"/>
  <c r="K348" i="45"/>
  <c r="R49" i="76"/>
  <c r="K326" i="45"/>
  <c r="J326" i="45"/>
  <c r="R326" i="45"/>
  <c r="L326" i="45"/>
  <c r="R54" i="94"/>
  <c r="U340" i="74" s="1"/>
  <c r="S50" i="94"/>
  <c r="S15" i="94"/>
  <c r="V105" i="74" s="1"/>
  <c r="V201" i="74" s="1"/>
  <c r="S12" i="94"/>
  <c r="V102" i="74" s="1"/>
  <c r="V198" i="74" s="1"/>
  <c r="S13" i="94"/>
  <c r="V103" i="74" s="1"/>
  <c r="V199" i="74" s="1"/>
  <c r="S11" i="94"/>
  <c r="V101" i="74" s="1"/>
  <c r="V197" i="74" s="1"/>
  <c r="V100" i="74"/>
  <c r="V196" i="74" s="1"/>
  <c r="S16" i="94"/>
  <c r="V108" i="74" s="1"/>
  <c r="V204" i="74" s="1"/>
  <c r="S14" i="94"/>
  <c r="V104" i="74" s="1"/>
  <c r="V200" i="74" s="1"/>
  <c r="R14" i="76"/>
  <c r="R11" i="76"/>
  <c r="R16" i="76"/>
  <c r="R13" i="76"/>
  <c r="R12" i="76"/>
  <c r="R15" i="76"/>
  <c r="R9" i="94"/>
  <c r="U99" i="74" s="1"/>
  <c r="T8" i="94"/>
  <c r="T10" i="94" s="1"/>
  <c r="Q7" i="91"/>
  <c r="P18" i="82"/>
  <c r="S69" i="74" s="1"/>
  <c r="S191" i="74" s="1"/>
  <c r="P17" i="82"/>
  <c r="S68" i="74" s="1"/>
  <c r="S190" i="74" s="1"/>
  <c r="P14" i="82"/>
  <c r="S65" i="74" s="1"/>
  <c r="S187" i="74" s="1"/>
  <c r="P11" i="82"/>
  <c r="S62" i="74" s="1"/>
  <c r="S184" i="74" s="1"/>
  <c r="P16" i="82"/>
  <c r="S67" i="74" s="1"/>
  <c r="S189" i="74" s="1"/>
  <c r="P13" i="82"/>
  <c r="S64" i="74" s="1"/>
  <c r="S186" i="74" s="1"/>
  <c r="P10" i="82"/>
  <c r="P12" i="82"/>
  <c r="S63" i="74" s="1"/>
  <c r="S185" i="74" s="1"/>
  <c r="P15" i="82"/>
  <c r="S66" i="74" s="1"/>
  <c r="S188" i="74" s="1"/>
  <c r="R61" i="74"/>
  <c r="R183" i="74" s="1"/>
  <c r="O9" i="82"/>
  <c r="R60" i="74" s="1"/>
  <c r="K83" i="74"/>
  <c r="K230" i="74" s="1"/>
  <c r="Q8" i="82"/>
  <c r="Q32" i="82" s="1"/>
  <c r="T145" i="74"/>
  <c r="T214" i="74" s="1"/>
  <c r="T140" i="74"/>
  <c r="T209" i="74" s="1"/>
  <c r="T138" i="74"/>
  <c r="T207" i="74" s="1"/>
  <c r="T142" i="74"/>
  <c r="T211" i="74" s="1"/>
  <c r="T141" i="74"/>
  <c r="T210" i="74" s="1"/>
  <c r="T137" i="74"/>
  <c r="T206" i="74" s="1"/>
  <c r="T139" i="74"/>
  <c r="T208" i="74" s="1"/>
  <c r="W190" i="52"/>
  <c r="X173" i="52"/>
  <c r="Q9" i="76"/>
  <c r="S8" i="76"/>
  <c r="X288" i="52"/>
  <c r="Y271" i="52"/>
  <c r="W255" i="52"/>
  <c r="X238" i="52"/>
  <c r="W222" i="52"/>
  <c r="X205" i="52"/>
  <c r="W156" i="52"/>
  <c r="X139" i="52"/>
  <c r="Y122" i="52"/>
  <c r="Z105" i="52"/>
  <c r="W90" i="52"/>
  <c r="X73" i="52"/>
  <c r="X40" i="52"/>
  <c r="W57" i="52"/>
  <c r="T17" i="94" l="1"/>
  <c r="W107" i="74" s="1"/>
  <c r="W203" i="74" s="1"/>
  <c r="T30" i="94"/>
  <c r="T82" i="74"/>
  <c r="T229" i="74" s="1"/>
  <c r="U212" i="74"/>
  <c r="R182" i="74"/>
  <c r="V106" i="74"/>
  <c r="V202" i="74" s="1"/>
  <c r="V195" i="74" s="1"/>
  <c r="Q21" i="82"/>
  <c r="T72" i="74" s="1"/>
  <c r="T192" i="74" s="1"/>
  <c r="S194" i="74"/>
  <c r="G292" i="45"/>
  <c r="T18" i="94"/>
  <c r="G303" i="45"/>
  <c r="S18" i="76"/>
  <c r="V143" i="74" s="1"/>
  <c r="N352" i="45"/>
  <c r="N269" i="45" s="1"/>
  <c r="R352" i="45"/>
  <c r="L352" i="45"/>
  <c r="L269" i="45" s="1"/>
  <c r="K352" i="45"/>
  <c r="K269" i="45" s="1"/>
  <c r="J352" i="45"/>
  <c r="J269" i="45" s="1"/>
  <c r="Q352" i="45"/>
  <c r="S352" i="45"/>
  <c r="O352" i="45"/>
  <c r="O269" i="45" s="1"/>
  <c r="I43" i="92"/>
  <c r="O10" i="92" s="1"/>
  <c r="P57" i="82"/>
  <c r="S338" i="74" s="1"/>
  <c r="Q55" i="82"/>
  <c r="S51" i="94"/>
  <c r="V324" i="74" s="1"/>
  <c r="S52" i="94"/>
  <c r="V325" i="74" s="1"/>
  <c r="R50" i="76"/>
  <c r="U327" i="74" s="1"/>
  <c r="S49" i="76"/>
  <c r="S54" i="94"/>
  <c r="V340" i="74" s="1"/>
  <c r="Q316" i="45"/>
  <c r="N316" i="45"/>
  <c r="O316" i="45"/>
  <c r="L316" i="45"/>
  <c r="K316" i="45"/>
  <c r="J316" i="45"/>
  <c r="S316" i="45"/>
  <c r="R316" i="45"/>
  <c r="T50" i="94"/>
  <c r="N15" i="94"/>
  <c r="Q105" i="74" s="1"/>
  <c r="Q201" i="74" s="1"/>
  <c r="L15" i="94"/>
  <c r="T14" i="94"/>
  <c r="W104" i="74" s="1"/>
  <c r="W200" i="74" s="1"/>
  <c r="T11" i="94"/>
  <c r="W101" i="74" s="1"/>
  <c r="W197" i="74" s="1"/>
  <c r="W100" i="74"/>
  <c r="W196" i="74" s="1"/>
  <c r="T16" i="94"/>
  <c r="W108" i="74" s="1"/>
  <c r="W204" i="74" s="1"/>
  <c r="T15" i="94"/>
  <c r="W105" i="74" s="1"/>
  <c r="W201" i="74" s="1"/>
  <c r="T12" i="94"/>
  <c r="W102" i="74" s="1"/>
  <c r="W198" i="74" s="1"/>
  <c r="T13" i="94"/>
  <c r="W103" i="74" s="1"/>
  <c r="W199" i="74" s="1"/>
  <c r="S9" i="94"/>
  <c r="V99" i="74" s="1"/>
  <c r="U8" i="94"/>
  <c r="U10" i="94" s="1"/>
  <c r="S61" i="74"/>
  <c r="S183" i="74" s="1"/>
  <c r="P9" i="82"/>
  <c r="S60" i="74" s="1"/>
  <c r="R8" i="82"/>
  <c r="R32" i="82" s="1"/>
  <c r="T205" i="74"/>
  <c r="T136" i="74"/>
  <c r="U145" i="74"/>
  <c r="U214" i="74" s="1"/>
  <c r="U137" i="74"/>
  <c r="U206" i="74" s="1"/>
  <c r="U138" i="74"/>
  <c r="U207" i="74" s="1"/>
  <c r="U140" i="74"/>
  <c r="U209" i="74" s="1"/>
  <c r="U142" i="74"/>
  <c r="U211" i="74" s="1"/>
  <c r="U141" i="74"/>
  <c r="U210" i="74" s="1"/>
  <c r="U139" i="74"/>
  <c r="U208" i="74" s="1"/>
  <c r="X190" i="52"/>
  <c r="Y173" i="52"/>
  <c r="R9" i="76"/>
  <c r="T8" i="76"/>
  <c r="T10" i="76" s="1"/>
  <c r="Y288" i="52"/>
  <c r="Z271" i="52"/>
  <c r="X255" i="52"/>
  <c r="Y238" i="52"/>
  <c r="X222" i="52"/>
  <c r="Y205" i="52"/>
  <c r="X156" i="52"/>
  <c r="Y139" i="52"/>
  <c r="Z122" i="52"/>
  <c r="AA105" i="52"/>
  <c r="X90" i="52"/>
  <c r="Y73" i="52"/>
  <c r="X57" i="52"/>
  <c r="Y40" i="52"/>
  <c r="I93" i="12"/>
  <c r="I14" i="12" s="1"/>
  <c r="G93" i="12"/>
  <c r="G14" i="12" s="1"/>
  <c r="I92" i="12"/>
  <c r="I11" i="12" s="1"/>
  <c r="G92" i="12"/>
  <c r="G11" i="12" s="1"/>
  <c r="E94" i="12"/>
  <c r="C94" i="12"/>
  <c r="I90" i="12"/>
  <c r="I10" i="12" s="1"/>
  <c r="G90" i="12"/>
  <c r="G10" i="12" s="1"/>
  <c r="E95" i="12"/>
  <c r="C95" i="12"/>
  <c r="I88" i="12"/>
  <c r="I9" i="12" s="1"/>
  <c r="G88" i="12"/>
  <c r="G9" i="12" s="1"/>
  <c r="D91" i="12"/>
  <c r="O105" i="74" l="1"/>
  <c r="O201" i="74" s="1"/>
  <c r="T17" i="76"/>
  <c r="W144" i="74" s="1"/>
  <c r="W213" i="74" s="1"/>
  <c r="U17" i="94"/>
  <c r="X107" i="74" s="1"/>
  <c r="X203" i="74" s="1"/>
  <c r="U30" i="94"/>
  <c r="X120" i="74" s="1"/>
  <c r="X241" i="74" s="1"/>
  <c r="U82" i="74"/>
  <c r="U229" i="74" s="1"/>
  <c r="W106" i="74"/>
  <c r="W202" i="74" s="1"/>
  <c r="W195" i="74" s="1"/>
  <c r="S182" i="74"/>
  <c r="R21" i="82"/>
  <c r="U72" i="74" s="1"/>
  <c r="U192" i="74" s="1"/>
  <c r="R20" i="82"/>
  <c r="U71" i="74" s="1"/>
  <c r="U193" i="74" s="1"/>
  <c r="R19" i="82"/>
  <c r="U70" i="74" s="1"/>
  <c r="U18" i="94"/>
  <c r="T18" i="76"/>
  <c r="W143" i="74" s="1"/>
  <c r="S353" i="45"/>
  <c r="R353" i="45"/>
  <c r="Q353" i="45"/>
  <c r="N353" i="45"/>
  <c r="O353" i="45"/>
  <c r="L353" i="45"/>
  <c r="K353" i="45"/>
  <c r="J353" i="45"/>
  <c r="R55" i="82"/>
  <c r="T51" i="94"/>
  <c r="W324" i="74" s="1"/>
  <c r="T52" i="94"/>
  <c r="W325" i="74" s="1"/>
  <c r="S50" i="76"/>
  <c r="V327" i="74" s="1"/>
  <c r="T49" i="76"/>
  <c r="T54" i="94"/>
  <c r="W340" i="74" s="1"/>
  <c r="U50" i="94"/>
  <c r="P120" i="74"/>
  <c r="P241" i="74" s="1"/>
  <c r="Q120" i="74"/>
  <c r="Q241" i="74" s="1"/>
  <c r="U16" i="94"/>
  <c r="X108" i="74" s="1"/>
  <c r="X204" i="74" s="1"/>
  <c r="U13" i="94"/>
  <c r="X103" i="74" s="1"/>
  <c r="X199" i="74" s="1"/>
  <c r="U11" i="94"/>
  <c r="X101" i="74" s="1"/>
  <c r="X197" i="74" s="1"/>
  <c r="X100" i="74"/>
  <c r="X196" i="74" s="1"/>
  <c r="U14" i="94"/>
  <c r="X104" i="74" s="1"/>
  <c r="X200" i="74" s="1"/>
  <c r="U12" i="94"/>
  <c r="X102" i="74" s="1"/>
  <c r="X198" i="74" s="1"/>
  <c r="U15" i="94"/>
  <c r="X105" i="74" s="1"/>
  <c r="X201" i="74" s="1"/>
  <c r="T15" i="76"/>
  <c r="T12" i="76"/>
  <c r="T13" i="76"/>
  <c r="T16" i="76"/>
  <c r="T11" i="76"/>
  <c r="T14" i="76"/>
  <c r="R120" i="74"/>
  <c r="R241" i="74" s="1"/>
  <c r="S120" i="74"/>
  <c r="S241" i="74" s="1"/>
  <c r="T120" i="74"/>
  <c r="T241" i="74" s="1"/>
  <c r="U120" i="74"/>
  <c r="U241" i="74" s="1"/>
  <c r="V120" i="74"/>
  <c r="V241" i="74" s="1"/>
  <c r="W120" i="74"/>
  <c r="W241" i="74" s="1"/>
  <c r="T9" i="94"/>
  <c r="W99" i="74" s="1"/>
  <c r="V8" i="94"/>
  <c r="V10" i="94" s="1"/>
  <c r="R17" i="82"/>
  <c r="R14" i="82"/>
  <c r="R11" i="82"/>
  <c r="R16" i="82"/>
  <c r="R13" i="82"/>
  <c r="R10" i="82"/>
  <c r="R18" i="82"/>
  <c r="R15" i="82"/>
  <c r="R12" i="82"/>
  <c r="S8" i="82"/>
  <c r="S32" i="82" s="1"/>
  <c r="U136" i="74"/>
  <c r="U205" i="74"/>
  <c r="Y190" i="52"/>
  <c r="Z173" i="52"/>
  <c r="U8" i="76"/>
  <c r="U10" i="76" s="1"/>
  <c r="Z288" i="52"/>
  <c r="AA271" i="52"/>
  <c r="Y255" i="52"/>
  <c r="Z238" i="52"/>
  <c r="Y222" i="52"/>
  <c r="Z205" i="52"/>
  <c r="Y156" i="52"/>
  <c r="Z139" i="52"/>
  <c r="AB105" i="52"/>
  <c r="AA122" i="52"/>
  <c r="Y90" i="52"/>
  <c r="Z73" i="52"/>
  <c r="Y57" i="52"/>
  <c r="Z40" i="52"/>
  <c r="D94" i="12"/>
  <c r="I6" i="9"/>
  <c r="U17" i="76" l="1"/>
  <c r="X144" i="74" s="1"/>
  <c r="X213" i="74" s="1"/>
  <c r="V17" i="94"/>
  <c r="Y107" i="74" s="1"/>
  <c r="Y203" i="74" s="1"/>
  <c r="V30" i="94"/>
  <c r="Y120" i="74" s="1"/>
  <c r="Y241" i="74" s="1"/>
  <c r="W212" i="74"/>
  <c r="X106" i="74"/>
  <c r="X202" i="74" s="1"/>
  <c r="X195" i="74" s="1"/>
  <c r="S21" i="82"/>
  <c r="V72" i="74" s="1"/>
  <c r="V192" i="74" s="1"/>
  <c r="S20" i="82"/>
  <c r="V71" i="74" s="1"/>
  <c r="V193" i="74" s="1"/>
  <c r="U194" i="74"/>
  <c r="V82" i="74"/>
  <c r="V229" i="74" s="1"/>
  <c r="G353" i="45"/>
  <c r="L28" i="94" s="1"/>
  <c r="V18" i="94"/>
  <c r="U18" i="76"/>
  <c r="X143" i="74" s="1"/>
  <c r="S55" i="82"/>
  <c r="T50" i="76"/>
  <c r="W327" i="74" s="1"/>
  <c r="U51" i="94"/>
  <c r="X324" i="74" s="1"/>
  <c r="U52" i="94"/>
  <c r="X325" i="74" s="1"/>
  <c r="U54" i="94"/>
  <c r="X340" i="74" s="1"/>
  <c r="U49" i="76"/>
  <c r="V50" i="94"/>
  <c r="V14" i="94"/>
  <c r="Y104" i="74" s="1"/>
  <c r="Y200" i="74" s="1"/>
  <c r="V15" i="94"/>
  <c r="Y105" i="74" s="1"/>
  <c r="Y201" i="74" s="1"/>
  <c r="V16" i="94"/>
  <c r="Y108" i="74" s="1"/>
  <c r="Y204" i="74" s="1"/>
  <c r="V12" i="94"/>
  <c r="Y102" i="74" s="1"/>
  <c r="Y198" i="74" s="1"/>
  <c r="V13" i="94"/>
  <c r="Y103" i="74" s="1"/>
  <c r="Y199" i="74" s="1"/>
  <c r="V11" i="94"/>
  <c r="Y101" i="74" s="1"/>
  <c r="Y197" i="74" s="1"/>
  <c r="Y100" i="74"/>
  <c r="Y196" i="74" s="1"/>
  <c r="U16" i="76"/>
  <c r="U13" i="76"/>
  <c r="U15" i="76"/>
  <c r="U12" i="76"/>
  <c r="U11" i="76"/>
  <c r="U14" i="76"/>
  <c r="U9" i="94"/>
  <c r="X99" i="74" s="1"/>
  <c r="W8" i="94"/>
  <c r="W10" i="94" s="1"/>
  <c r="T8" i="82"/>
  <c r="T32" i="82" s="1"/>
  <c r="W145" i="74"/>
  <c r="W214" i="74" s="1"/>
  <c r="W138" i="74"/>
  <c r="W207" i="74" s="1"/>
  <c r="W139" i="74"/>
  <c r="W208" i="74" s="1"/>
  <c r="W137" i="74"/>
  <c r="W206" i="74" s="1"/>
  <c r="W142" i="74"/>
  <c r="W211" i="74" s="1"/>
  <c r="W141" i="74"/>
  <c r="W210" i="74" s="1"/>
  <c r="W140" i="74"/>
  <c r="W209" i="74" s="1"/>
  <c r="Z190" i="52"/>
  <c r="AA173" i="52"/>
  <c r="T9" i="76"/>
  <c r="V8" i="76"/>
  <c r="V10" i="76" s="1"/>
  <c r="AB271" i="52"/>
  <c r="AA288" i="52"/>
  <c r="Z255" i="52"/>
  <c r="AA238" i="52"/>
  <c r="Z222" i="52"/>
  <c r="AA205" i="52"/>
  <c r="Z156" i="52"/>
  <c r="AA139" i="52"/>
  <c r="AB122" i="52"/>
  <c r="AC105" i="52"/>
  <c r="Z90" i="52"/>
  <c r="AA73" i="52"/>
  <c r="Z57" i="52"/>
  <c r="AA40" i="52"/>
  <c r="R50" i="45"/>
  <c r="Q50" i="45"/>
  <c r="O50" i="45"/>
  <c r="N50" i="45"/>
  <c r="K50" i="45"/>
  <c r="J50" i="45"/>
  <c r="K46" i="45"/>
  <c r="J46" i="45"/>
  <c r="K70" i="45"/>
  <c r="J70" i="45"/>
  <c r="R61" i="45"/>
  <c r="Q61" i="45"/>
  <c r="V28" i="94" l="1"/>
  <c r="Y118" i="74" s="1"/>
  <c r="Y239" i="74" s="1"/>
  <c r="M28" i="94"/>
  <c r="P118" i="74" s="1"/>
  <c r="P239" i="74" s="1"/>
  <c r="N28" i="94"/>
  <c r="Q118" i="74" s="1"/>
  <c r="Q239" i="74" s="1"/>
  <c r="O28" i="94"/>
  <c r="R118" i="74" s="1"/>
  <c r="R239" i="74" s="1"/>
  <c r="P28" i="94"/>
  <c r="S118" i="74" s="1"/>
  <c r="S239" i="74" s="1"/>
  <c r="Q28" i="94"/>
  <c r="T118" i="74" s="1"/>
  <c r="T239" i="74" s="1"/>
  <c r="R28" i="94"/>
  <c r="U118" i="74" s="1"/>
  <c r="U239" i="74" s="1"/>
  <c r="S28" i="94"/>
  <c r="V118" i="74" s="1"/>
  <c r="V239" i="74" s="1"/>
  <c r="T28" i="94"/>
  <c r="W118" i="74" s="1"/>
  <c r="W239" i="74" s="1"/>
  <c r="U28" i="94"/>
  <c r="X118" i="74" s="1"/>
  <c r="X239" i="74" s="1"/>
  <c r="V17" i="76"/>
  <c r="Y144" i="74" s="1"/>
  <c r="Y213" i="74" s="1"/>
  <c r="W17" i="94"/>
  <c r="Z107" i="74" s="1"/>
  <c r="Z203" i="74" s="1"/>
  <c r="W28" i="94"/>
  <c r="Z118" i="74" s="1"/>
  <c r="Z239" i="74" s="1"/>
  <c r="W30" i="94"/>
  <c r="Z120" i="74" s="1"/>
  <c r="Z241" i="74" s="1"/>
  <c r="W82" i="74"/>
  <c r="W229" i="74" s="1"/>
  <c r="X212" i="74"/>
  <c r="Q62" i="45"/>
  <c r="R62" i="45"/>
  <c r="Y106" i="74"/>
  <c r="Y202" i="74" s="1"/>
  <c r="Y195" i="74" s="1"/>
  <c r="T21" i="82"/>
  <c r="W72" i="74" s="1"/>
  <c r="W192" i="74" s="1"/>
  <c r="AY21" i="88"/>
  <c r="AQ21" i="88"/>
  <c r="AI21" i="88"/>
  <c r="AA21" i="88"/>
  <c r="S21" i="88"/>
  <c r="K21" i="88"/>
  <c r="AX21" i="88"/>
  <c r="AP21" i="88"/>
  <c r="AH21" i="88"/>
  <c r="Z21" i="88"/>
  <c r="R21" i="88"/>
  <c r="J21" i="88"/>
  <c r="AW21" i="88"/>
  <c r="AO21" i="88"/>
  <c r="AG21" i="88"/>
  <c r="Y21" i="88"/>
  <c r="Q21" i="88"/>
  <c r="I21" i="88"/>
  <c r="AV21" i="88"/>
  <c r="AN21" i="88"/>
  <c r="AF21" i="88"/>
  <c r="X21" i="88"/>
  <c r="P21" i="88"/>
  <c r="H21" i="88"/>
  <c r="AU21" i="88"/>
  <c r="AM21" i="88"/>
  <c r="AE21" i="88"/>
  <c r="W21" i="88"/>
  <c r="O21" i="88"/>
  <c r="G21" i="88"/>
  <c r="AT21" i="88"/>
  <c r="AL21" i="88"/>
  <c r="AD21" i="88"/>
  <c r="V21" i="88"/>
  <c r="N21" i="88"/>
  <c r="BA21" i="88"/>
  <c r="AS21" i="88"/>
  <c r="AK21" i="88"/>
  <c r="AC21" i="88"/>
  <c r="U21" i="88"/>
  <c r="M21" i="88"/>
  <c r="AZ21" i="88"/>
  <c r="AR21" i="88"/>
  <c r="AJ21" i="88"/>
  <c r="AB21" i="88"/>
  <c r="T21" i="88"/>
  <c r="L21" i="88"/>
  <c r="F21" i="88"/>
  <c r="AZ22" i="88"/>
  <c r="AR22" i="88"/>
  <c r="AJ22" i="88"/>
  <c r="AB22" i="88"/>
  <c r="T22" i="88"/>
  <c r="L22" i="88"/>
  <c r="AY22" i="88"/>
  <c r="AQ22" i="88"/>
  <c r="AI22" i="88"/>
  <c r="AA22" i="88"/>
  <c r="S22" i="88"/>
  <c r="K22" i="88"/>
  <c r="AX22" i="88"/>
  <c r="AP22" i="88"/>
  <c r="AH22" i="88"/>
  <c r="Z22" i="88"/>
  <c r="R22" i="88"/>
  <c r="J22" i="88"/>
  <c r="AW22" i="88"/>
  <c r="AO22" i="88"/>
  <c r="AG22" i="88"/>
  <c r="Y22" i="88"/>
  <c r="Q22" i="88"/>
  <c r="I22" i="88"/>
  <c r="AV22" i="88"/>
  <c r="AN22" i="88"/>
  <c r="AF22" i="88"/>
  <c r="X22" i="88"/>
  <c r="P22" i="88"/>
  <c r="H22" i="88"/>
  <c r="AU22" i="88"/>
  <c r="AM22" i="88"/>
  <c r="AE22" i="88"/>
  <c r="W22" i="88"/>
  <c r="O22" i="88"/>
  <c r="G22" i="88"/>
  <c r="AT22" i="88"/>
  <c r="AL22" i="88"/>
  <c r="AD22" i="88"/>
  <c r="V22" i="88"/>
  <c r="N22" i="88"/>
  <c r="F22" i="88"/>
  <c r="BA22" i="88"/>
  <c r="AS22" i="88"/>
  <c r="AK22" i="88"/>
  <c r="AC22" i="88"/>
  <c r="U22" i="88"/>
  <c r="M22" i="88"/>
  <c r="O118" i="74"/>
  <c r="O239" i="74" s="1"/>
  <c r="J118" i="74"/>
  <c r="J239" i="74" s="1"/>
  <c r="V18" i="76"/>
  <c r="Y143" i="74" s="1"/>
  <c r="W18" i="94"/>
  <c r="T55" i="82"/>
  <c r="U50" i="76"/>
  <c r="X327" i="74" s="1"/>
  <c r="V51" i="94"/>
  <c r="Y324" i="74" s="1"/>
  <c r="V52" i="94"/>
  <c r="Y325" i="74" s="1"/>
  <c r="V49" i="76"/>
  <c r="V54" i="94"/>
  <c r="Y340" i="74" s="1"/>
  <c r="W50" i="94"/>
  <c r="W14" i="94"/>
  <c r="Z104" i="74" s="1"/>
  <c r="Z200" i="74" s="1"/>
  <c r="W11" i="94"/>
  <c r="Z101" i="74" s="1"/>
  <c r="Z197" i="74" s="1"/>
  <c r="W12" i="94"/>
  <c r="Z102" i="74" s="1"/>
  <c r="Z198" i="74" s="1"/>
  <c r="W16" i="94"/>
  <c r="Z108" i="74" s="1"/>
  <c r="Z204" i="74" s="1"/>
  <c r="W15" i="94"/>
  <c r="Z105" i="74" s="1"/>
  <c r="Z201" i="74" s="1"/>
  <c r="Z100" i="74"/>
  <c r="Z196" i="74" s="1"/>
  <c r="W13" i="94"/>
  <c r="Z103" i="74" s="1"/>
  <c r="Z199" i="74" s="1"/>
  <c r="V16" i="76"/>
  <c r="V13" i="76"/>
  <c r="V12" i="76"/>
  <c r="V14" i="76"/>
  <c r="V11" i="76"/>
  <c r="V15" i="76"/>
  <c r="V9" i="94"/>
  <c r="Y99" i="74" s="1"/>
  <c r="X8" i="94"/>
  <c r="X10" i="94" s="1"/>
  <c r="U8" i="82"/>
  <c r="U32" i="82" s="1"/>
  <c r="G50" i="45"/>
  <c r="D65" i="54" s="1"/>
  <c r="N51" i="45"/>
  <c r="O51" i="45"/>
  <c r="W136" i="74"/>
  <c r="W205" i="74"/>
  <c r="X141" i="74"/>
  <c r="X210" i="74" s="1"/>
  <c r="X137" i="74"/>
  <c r="X206" i="74" s="1"/>
  <c r="X140" i="74"/>
  <c r="X209" i="74" s="1"/>
  <c r="X142" i="74"/>
  <c r="X211" i="74" s="1"/>
  <c r="X139" i="74"/>
  <c r="X208" i="74" s="1"/>
  <c r="X138" i="74"/>
  <c r="X207" i="74" s="1"/>
  <c r="X145" i="74"/>
  <c r="X214" i="74" s="1"/>
  <c r="AB173" i="52"/>
  <c r="AA190" i="52"/>
  <c r="U9" i="76"/>
  <c r="W8" i="76"/>
  <c r="W10" i="76" s="1"/>
  <c r="AC271" i="52"/>
  <c r="AB288" i="52"/>
  <c r="AB238" i="52"/>
  <c r="AA255" i="52"/>
  <c r="AA222" i="52"/>
  <c r="AB205" i="52"/>
  <c r="AB139" i="52"/>
  <c r="AA156" i="52"/>
  <c r="AC122" i="52"/>
  <c r="AD105" i="52"/>
  <c r="AA90" i="52"/>
  <c r="AB73" i="52"/>
  <c r="AB40" i="52"/>
  <c r="AA57" i="52"/>
  <c r="G46" i="45"/>
  <c r="D60" i="54" s="1"/>
  <c r="G70" i="45"/>
  <c r="D21" i="54" s="1"/>
  <c r="K51" i="45"/>
  <c r="Q51" i="45"/>
  <c r="R51" i="45"/>
  <c r="J51" i="45"/>
  <c r="K61" i="45"/>
  <c r="J61" i="45"/>
  <c r="J62" i="45" s="1"/>
  <c r="W17" i="76" l="1"/>
  <c r="Z144" i="74" s="1"/>
  <c r="Z213" i="74" s="1"/>
  <c r="X17" i="94"/>
  <c r="AA107" i="74" s="1"/>
  <c r="AA203" i="74" s="1"/>
  <c r="X18" i="94"/>
  <c r="X30" i="94"/>
  <c r="AA120" i="74" s="1"/>
  <c r="AA241" i="74" s="1"/>
  <c r="X28" i="94"/>
  <c r="AA118" i="74" s="1"/>
  <c r="AA239" i="74" s="1"/>
  <c r="X82" i="74"/>
  <c r="X229" i="74" s="1"/>
  <c r="Y212" i="74"/>
  <c r="K62" i="45"/>
  <c r="Z106" i="74"/>
  <c r="Z202" i="74" s="1"/>
  <c r="Z195" i="74" s="1"/>
  <c r="U21" i="82"/>
  <c r="X72" i="74" s="1"/>
  <c r="X192" i="74" s="1"/>
  <c r="U20" i="82"/>
  <c r="X71" i="74" s="1"/>
  <c r="X193" i="74" s="1"/>
  <c r="D22" i="88"/>
  <c r="D21" i="88"/>
  <c r="BA24" i="88"/>
  <c r="V24" i="88"/>
  <c r="AT24" i="88"/>
  <c r="AM24" i="88"/>
  <c r="AQ24" i="88"/>
  <c r="K24" i="88"/>
  <c r="AI24" i="88"/>
  <c r="AY24" i="88"/>
  <c r="U24" i="88"/>
  <c r="AA24" i="88"/>
  <c r="AP24" i="88"/>
  <c r="X24" i="88"/>
  <c r="N24" i="88"/>
  <c r="AC24" i="88"/>
  <c r="AE24" i="88"/>
  <c r="T24" i="88"/>
  <c r="AV24" i="88"/>
  <c r="Z24" i="88"/>
  <c r="S24" i="88"/>
  <c r="AB24" i="88"/>
  <c r="Q24" i="88"/>
  <c r="M24" i="88"/>
  <c r="AL24" i="88"/>
  <c r="I24" i="88"/>
  <c r="R24" i="88"/>
  <c r="G24" i="88"/>
  <c r="Y24" i="88"/>
  <c r="AX24" i="88"/>
  <c r="J24" i="88"/>
  <c r="P24" i="88"/>
  <c r="AZ24" i="88"/>
  <c r="AG24" i="88"/>
  <c r="AK24" i="88"/>
  <c r="F24" i="88"/>
  <c r="L24" i="88"/>
  <c r="W24" i="88"/>
  <c r="AU24" i="88"/>
  <c r="AW24" i="88"/>
  <c r="H24" i="88"/>
  <c r="AF24" i="88"/>
  <c r="AD24" i="88"/>
  <c r="AS24" i="88"/>
  <c r="AH24" i="88"/>
  <c r="AN24" i="88"/>
  <c r="AJ24" i="88"/>
  <c r="AR24" i="88"/>
  <c r="O24" i="88"/>
  <c r="AO24" i="88"/>
  <c r="W18" i="76"/>
  <c r="Z143" i="74" s="1"/>
  <c r="U55" i="82"/>
  <c r="V50" i="76"/>
  <c r="Y327" i="74" s="1"/>
  <c r="W52" i="94"/>
  <c r="Z325" i="74" s="1"/>
  <c r="W51" i="94"/>
  <c r="Z324" i="74" s="1"/>
  <c r="W49" i="76"/>
  <c r="W54" i="94"/>
  <c r="Z340" i="74" s="1"/>
  <c r="X50" i="94"/>
  <c r="X16" i="94"/>
  <c r="AA108" i="74" s="1"/>
  <c r="AA204" i="74" s="1"/>
  <c r="X13" i="94"/>
  <c r="AA103" i="74" s="1"/>
  <c r="AA199" i="74" s="1"/>
  <c r="X12" i="94"/>
  <c r="AA102" i="74" s="1"/>
  <c r="AA198" i="74" s="1"/>
  <c r="X15" i="94"/>
  <c r="AA105" i="74" s="1"/>
  <c r="AA201" i="74" s="1"/>
  <c r="X14" i="94"/>
  <c r="AA104" i="74" s="1"/>
  <c r="AA200" i="74" s="1"/>
  <c r="AA100" i="74"/>
  <c r="AA196" i="74" s="1"/>
  <c r="X11" i="94"/>
  <c r="AA101" i="74" s="1"/>
  <c r="AA197" i="74" s="1"/>
  <c r="W9" i="94"/>
  <c r="Z99" i="74" s="1"/>
  <c r="Y8" i="94"/>
  <c r="Y10" i="94" s="1"/>
  <c r="U16" i="82"/>
  <c r="X67" i="74" s="1"/>
  <c r="X189" i="74" s="1"/>
  <c r="U17" i="82"/>
  <c r="X68" i="74" s="1"/>
  <c r="X190" i="74" s="1"/>
  <c r="V8" i="82"/>
  <c r="V32" i="82" s="1"/>
  <c r="G51" i="45"/>
  <c r="D66" i="54" s="1"/>
  <c r="X136" i="74"/>
  <c r="X205" i="74"/>
  <c r="Y138" i="74"/>
  <c r="Y207" i="74" s="1"/>
  <c r="Y141" i="74"/>
  <c r="Y210" i="74" s="1"/>
  <c r="Y140" i="74"/>
  <c r="Y209" i="74" s="1"/>
  <c r="Y142" i="74"/>
  <c r="Y211" i="74" s="1"/>
  <c r="Y139" i="74"/>
  <c r="Y208" i="74" s="1"/>
  <c r="Y145" i="74"/>
  <c r="Y214" i="74" s="1"/>
  <c r="Y137" i="74"/>
  <c r="Y206" i="74" s="1"/>
  <c r="AB190" i="52"/>
  <c r="AC173" i="52"/>
  <c r="V9" i="76"/>
  <c r="X8" i="76"/>
  <c r="AC288" i="52"/>
  <c r="AD271" i="52"/>
  <c r="AB255" i="52"/>
  <c r="AC238" i="52"/>
  <c r="AB222" i="52"/>
  <c r="AC205" i="52"/>
  <c r="AB156" i="52"/>
  <c r="AC139" i="52"/>
  <c r="AD122" i="52"/>
  <c r="AE105" i="52"/>
  <c r="AB90" i="52"/>
  <c r="AC73" i="52"/>
  <c r="AC40" i="52"/>
  <c r="AB57" i="52"/>
  <c r="O61" i="45"/>
  <c r="N61" i="45"/>
  <c r="Y17" i="94" l="1"/>
  <c r="AB107" i="74" s="1"/>
  <c r="AB203" i="74" s="1"/>
  <c r="Y28" i="94"/>
  <c r="AB118" i="74" s="1"/>
  <c r="AB239" i="74" s="1"/>
  <c r="Y82" i="74"/>
  <c r="Y229" i="74" s="1"/>
  <c r="N62" i="45"/>
  <c r="G62" i="45" s="1"/>
  <c r="D29" i="54" s="1"/>
  <c r="O62" i="45"/>
  <c r="AA106" i="74"/>
  <c r="AA202" i="74" s="1"/>
  <c r="AA195" i="74" s="1"/>
  <c r="V21" i="82"/>
  <c r="Y72" i="74" s="1"/>
  <c r="Y192" i="74" s="1"/>
  <c r="V20" i="82"/>
  <c r="Y71" i="74" s="1"/>
  <c r="Y193" i="74" s="1"/>
  <c r="V19" i="82"/>
  <c r="Y70" i="74" s="1"/>
  <c r="X18" i="76"/>
  <c r="AA143" i="74" s="1"/>
  <c r="Y18" i="94"/>
  <c r="D24" i="88"/>
  <c r="V55" i="82"/>
  <c r="W50" i="76"/>
  <c r="Z327" i="74" s="1"/>
  <c r="X51" i="94"/>
  <c r="AA324" i="74" s="1"/>
  <c r="X52" i="94"/>
  <c r="AA325" i="74" s="1"/>
  <c r="X49" i="76"/>
  <c r="X54" i="94"/>
  <c r="AA340" i="74" s="1"/>
  <c r="Y50" i="94"/>
  <c r="G61" i="45"/>
  <c r="D28" i="54" s="1"/>
  <c r="Y15" i="94"/>
  <c r="AB105" i="74" s="1"/>
  <c r="AB201" i="74" s="1"/>
  <c r="Y12" i="94"/>
  <c r="AB102" i="74" s="1"/>
  <c r="AB198" i="74" s="1"/>
  <c r="Y16" i="94"/>
  <c r="AB108" i="74" s="1"/>
  <c r="AB204" i="74" s="1"/>
  <c r="AB100" i="74"/>
  <c r="AB196" i="74" s="1"/>
  <c r="Y13" i="94"/>
  <c r="AB103" i="74" s="1"/>
  <c r="AB199" i="74" s="1"/>
  <c r="Y30" i="94"/>
  <c r="AB120" i="74" s="1"/>
  <c r="AB241" i="74" s="1"/>
  <c r="Y14" i="94"/>
  <c r="AB104" i="74" s="1"/>
  <c r="AB200" i="74" s="1"/>
  <c r="Y11" i="94"/>
  <c r="AB101" i="74" s="1"/>
  <c r="AB197" i="74" s="1"/>
  <c r="X9" i="94"/>
  <c r="AA99" i="74" s="1"/>
  <c r="Z8" i="94"/>
  <c r="Z10" i="94" s="1"/>
  <c r="V16" i="82"/>
  <c r="Y67" i="74" s="1"/>
  <c r="Y189" i="74" s="1"/>
  <c r="V13" i="82"/>
  <c r="Y64" i="74" s="1"/>
  <c r="Y186" i="74" s="1"/>
  <c r="V10" i="82"/>
  <c r="V11" i="82"/>
  <c r="Y62" i="74" s="1"/>
  <c r="Y184" i="74" s="1"/>
  <c r="V14" i="82"/>
  <c r="Y65" i="74" s="1"/>
  <c r="Y187" i="74" s="1"/>
  <c r="V18" i="82"/>
  <c r="Y69" i="74" s="1"/>
  <c r="Y191" i="74" s="1"/>
  <c r="V15" i="82"/>
  <c r="Y66" i="74" s="1"/>
  <c r="Y188" i="74" s="1"/>
  <c r="V12" i="82"/>
  <c r="Y63" i="74" s="1"/>
  <c r="Y185" i="74" s="1"/>
  <c r="V17" i="82"/>
  <c r="Y68" i="74" s="1"/>
  <c r="Y190" i="74" s="1"/>
  <c r="W8" i="82"/>
  <c r="W32" i="82" s="1"/>
  <c r="Y136" i="74"/>
  <c r="Y205" i="74"/>
  <c r="AC190" i="52"/>
  <c r="AD173" i="52"/>
  <c r="Y8" i="76"/>
  <c r="Y10" i="76" s="1"/>
  <c r="AD288" i="52"/>
  <c r="AE271" i="52"/>
  <c r="AC255" i="52"/>
  <c r="AD238" i="52"/>
  <c r="AC222" i="52"/>
  <c r="AD205" i="52"/>
  <c r="AC156" i="52"/>
  <c r="AD139" i="52"/>
  <c r="AF105" i="52"/>
  <c r="AE122" i="52"/>
  <c r="AC90" i="52"/>
  <c r="AD73" i="52"/>
  <c r="AC57" i="52"/>
  <c r="AD40" i="52"/>
  <c r="D13" i="64"/>
  <c r="D11" i="63"/>
  <c r="E11" i="63" s="1"/>
  <c r="F11" i="63" s="1"/>
  <c r="G11" i="63" s="1"/>
  <c r="H11" i="63" s="1"/>
  <c r="I11" i="63" s="1"/>
  <c r="J11" i="63" s="1"/>
  <c r="K11" i="63" s="1"/>
  <c r="L11" i="63" s="1"/>
  <c r="M11" i="63" s="1"/>
  <c r="N11" i="63" s="1"/>
  <c r="O11" i="63" s="1"/>
  <c r="P11" i="63" s="1"/>
  <c r="Q11" i="63" s="1"/>
  <c r="R11" i="63" s="1"/>
  <c r="S11" i="63" s="1"/>
  <c r="T11" i="63" s="1"/>
  <c r="U11" i="63" s="1"/>
  <c r="V11" i="63" s="1"/>
  <c r="W11" i="63" s="1"/>
  <c r="X11" i="63" s="1"/>
  <c r="Y11" i="63" s="1"/>
  <c r="Z11" i="63" s="1"/>
  <c r="AA11" i="63" s="1"/>
  <c r="D11" i="62"/>
  <c r="E11" i="62" s="1"/>
  <c r="F11" i="62" s="1"/>
  <c r="G11" i="62" s="1"/>
  <c r="H11" i="62" s="1"/>
  <c r="I11" i="62" s="1"/>
  <c r="J11" i="62" s="1"/>
  <c r="K11" i="62" s="1"/>
  <c r="L11" i="62" s="1"/>
  <c r="M11" i="62" s="1"/>
  <c r="N11" i="62" s="1"/>
  <c r="O11" i="62" s="1"/>
  <c r="P11" i="62" s="1"/>
  <c r="Q11" i="62" s="1"/>
  <c r="R11" i="62" s="1"/>
  <c r="S11" i="62" s="1"/>
  <c r="T11" i="62" s="1"/>
  <c r="U11" i="62" s="1"/>
  <c r="V11" i="62" s="1"/>
  <c r="W11" i="62" s="1"/>
  <c r="X11" i="62" s="1"/>
  <c r="Y11" i="62" s="1"/>
  <c r="Z11" i="62" s="1"/>
  <c r="AA11" i="62" s="1"/>
  <c r="C35" i="60"/>
  <c r="C15" i="60"/>
  <c r="C23" i="60" s="1"/>
  <c r="C63" i="55"/>
  <c r="C22" i="55"/>
  <c r="E61" i="55" s="1"/>
  <c r="G5" i="55"/>
  <c r="C31" i="68"/>
  <c r="P30" i="68"/>
  <c r="O30" i="68"/>
  <c r="N30" i="68"/>
  <c r="M30" i="68"/>
  <c r="L30" i="68"/>
  <c r="K30" i="68"/>
  <c r="J30" i="68"/>
  <c r="I30" i="68"/>
  <c r="H30" i="68"/>
  <c r="H24" i="68" s="1"/>
  <c r="G30" i="68"/>
  <c r="F30" i="68"/>
  <c r="E30" i="68"/>
  <c r="D30" i="68"/>
  <c r="C30" i="68"/>
  <c r="B30" i="68"/>
  <c r="A30" i="68"/>
  <c r="A29" i="68"/>
  <c r="C28" i="68"/>
  <c r="B28" i="68"/>
  <c r="A28" i="68"/>
  <c r="C27" i="68"/>
  <c r="B27" i="68"/>
  <c r="A27" i="68"/>
  <c r="C26" i="68"/>
  <c r="B26" i="68"/>
  <c r="A26" i="68"/>
  <c r="C25" i="68"/>
  <c r="B25" i="68"/>
  <c r="A25" i="68"/>
  <c r="C24" i="68"/>
  <c r="B24" i="68"/>
  <c r="A24" i="68"/>
  <c r="P23" i="68"/>
  <c r="O23" i="68"/>
  <c r="N23" i="68"/>
  <c r="M23" i="68"/>
  <c r="L23" i="68"/>
  <c r="K23" i="68"/>
  <c r="J23" i="68"/>
  <c r="I23" i="68"/>
  <c r="H23" i="68"/>
  <c r="G23" i="68"/>
  <c r="F23" i="68"/>
  <c r="E23" i="68"/>
  <c r="D23" i="68"/>
  <c r="C31" i="67"/>
  <c r="P30" i="67"/>
  <c r="O30" i="67"/>
  <c r="N30" i="67"/>
  <c r="M30" i="67"/>
  <c r="L30" i="67"/>
  <c r="K30" i="67"/>
  <c r="J30" i="67"/>
  <c r="I30" i="67"/>
  <c r="H30" i="67"/>
  <c r="G30" i="67"/>
  <c r="F30" i="67"/>
  <c r="E30" i="67"/>
  <c r="D30" i="67"/>
  <c r="C30" i="67"/>
  <c r="B30" i="67"/>
  <c r="A30" i="67"/>
  <c r="A29" i="67"/>
  <c r="C28" i="67"/>
  <c r="B28" i="67"/>
  <c r="A28" i="67"/>
  <c r="C27" i="67"/>
  <c r="B27" i="67"/>
  <c r="A27" i="67"/>
  <c r="C26" i="67"/>
  <c r="B26" i="67"/>
  <c r="A26" i="67"/>
  <c r="C25" i="67"/>
  <c r="B25" i="67"/>
  <c r="A25" i="67"/>
  <c r="C24" i="67"/>
  <c r="B24" i="67"/>
  <c r="A24" i="67"/>
  <c r="P23" i="67"/>
  <c r="O23" i="67"/>
  <c r="N23" i="67"/>
  <c r="M23" i="67"/>
  <c r="L23" i="67"/>
  <c r="K23" i="67"/>
  <c r="J23" i="67"/>
  <c r="I23" i="67"/>
  <c r="H23" i="67"/>
  <c r="G23" i="67"/>
  <c r="F23" i="67"/>
  <c r="E23" i="67"/>
  <c r="D23" i="67"/>
  <c r="U11" i="67"/>
  <c r="T11" i="67"/>
  <c r="S11" i="67"/>
  <c r="AA38" i="66"/>
  <c r="AA46" i="66" s="1"/>
  <c r="AA54" i="66" s="1"/>
  <c r="Z38" i="66"/>
  <c r="Z46" i="66" s="1"/>
  <c r="Z54" i="66" s="1"/>
  <c r="Y38" i="66"/>
  <c r="Y46" i="66" s="1"/>
  <c r="Y54" i="66" s="1"/>
  <c r="X38" i="66"/>
  <c r="X46" i="66" s="1"/>
  <c r="X54" i="66" s="1"/>
  <c r="W38" i="66"/>
  <c r="W46" i="66" s="1"/>
  <c r="W54" i="66" s="1"/>
  <c r="V38" i="66"/>
  <c r="V46" i="66" s="1"/>
  <c r="V54" i="66" s="1"/>
  <c r="U38" i="66"/>
  <c r="U46" i="66" s="1"/>
  <c r="U54" i="66" s="1"/>
  <c r="T38" i="66"/>
  <c r="T46" i="66" s="1"/>
  <c r="T54" i="66" s="1"/>
  <c r="S38" i="66"/>
  <c r="S46" i="66" s="1"/>
  <c r="S54" i="66" s="1"/>
  <c r="R38" i="66"/>
  <c r="R46" i="66" s="1"/>
  <c r="R54" i="66" s="1"/>
  <c r="Q38" i="66"/>
  <c r="Q46" i="66" s="1"/>
  <c r="Q54" i="66" s="1"/>
  <c r="P38" i="66"/>
  <c r="P46" i="66" s="1"/>
  <c r="P54" i="66" s="1"/>
  <c r="O38" i="66"/>
  <c r="O46" i="66" s="1"/>
  <c r="O54" i="66" s="1"/>
  <c r="N38" i="66"/>
  <c r="N46" i="66" s="1"/>
  <c r="N54" i="66" s="1"/>
  <c r="M38" i="66"/>
  <c r="M46" i="66" s="1"/>
  <c r="M54" i="66" s="1"/>
  <c r="L38" i="66"/>
  <c r="L46" i="66" s="1"/>
  <c r="L54" i="66" s="1"/>
  <c r="K38" i="66"/>
  <c r="K46" i="66" s="1"/>
  <c r="K54" i="66" s="1"/>
  <c r="J38" i="66"/>
  <c r="J46" i="66" s="1"/>
  <c r="J54" i="66" s="1"/>
  <c r="I38" i="66"/>
  <c r="I46" i="66" s="1"/>
  <c r="I54" i="66" s="1"/>
  <c r="H38" i="66"/>
  <c r="H46" i="66" s="1"/>
  <c r="H54" i="66" s="1"/>
  <c r="G38" i="66"/>
  <c r="G46" i="66" s="1"/>
  <c r="G54" i="66" s="1"/>
  <c r="F38" i="66"/>
  <c r="F46" i="66" s="1"/>
  <c r="F54" i="66" s="1"/>
  <c r="E38" i="66"/>
  <c r="E46" i="66" s="1"/>
  <c r="E54" i="66" s="1"/>
  <c r="D46" i="66"/>
  <c r="D54" i="66" s="1"/>
  <c r="A36" i="66"/>
  <c r="Z25" i="64"/>
  <c r="Y25" i="64"/>
  <c r="X25" i="64"/>
  <c r="W25" i="64"/>
  <c r="V25" i="64"/>
  <c r="U25" i="64"/>
  <c r="T25" i="64"/>
  <c r="S25" i="64"/>
  <c r="R25" i="64"/>
  <c r="Q25" i="64"/>
  <c r="P25" i="64"/>
  <c r="O25" i="64"/>
  <c r="N25" i="64"/>
  <c r="M25" i="64"/>
  <c r="L25" i="64"/>
  <c r="K25" i="64"/>
  <c r="J25" i="64"/>
  <c r="I25" i="64"/>
  <c r="H25" i="64"/>
  <c r="G25" i="64"/>
  <c r="F25" i="64"/>
  <c r="E25" i="64"/>
  <c r="D25" i="64"/>
  <c r="C25" i="64"/>
  <c r="F20" i="64"/>
  <c r="H20" i="64" s="1"/>
  <c r="Z24" i="63"/>
  <c r="Y24" i="63"/>
  <c r="X24" i="63"/>
  <c r="W24" i="63"/>
  <c r="V24" i="63"/>
  <c r="U24" i="63"/>
  <c r="T24" i="63"/>
  <c r="S24" i="63"/>
  <c r="R24" i="63"/>
  <c r="Q24" i="63"/>
  <c r="P24" i="63"/>
  <c r="O24" i="63"/>
  <c r="N24" i="63"/>
  <c r="M24" i="63"/>
  <c r="L24" i="63"/>
  <c r="K24" i="63"/>
  <c r="J24" i="63"/>
  <c r="I24" i="63"/>
  <c r="H24" i="63"/>
  <c r="G24" i="63"/>
  <c r="F24" i="63"/>
  <c r="E24" i="63"/>
  <c r="D24" i="63"/>
  <c r="C24" i="63"/>
  <c r="AA23" i="63"/>
  <c r="AB23" i="63" s="1"/>
  <c r="AC23" i="63" s="1"/>
  <c r="AD23" i="63" s="1"/>
  <c r="AE23" i="63" s="1"/>
  <c r="AF23" i="63" s="1"/>
  <c r="AB3" i="63"/>
  <c r="AA24" i="63" s="1"/>
  <c r="BB22" i="62"/>
  <c r="Z22" i="62"/>
  <c r="Y22" i="62"/>
  <c r="X22" i="62"/>
  <c r="W22" i="62"/>
  <c r="V22" i="62"/>
  <c r="U22" i="62"/>
  <c r="T22" i="62"/>
  <c r="S22" i="62"/>
  <c r="R22" i="62"/>
  <c r="Q22" i="62"/>
  <c r="P22" i="62"/>
  <c r="O22" i="62"/>
  <c r="N22" i="62"/>
  <c r="M22" i="62"/>
  <c r="L22" i="62"/>
  <c r="K22" i="62"/>
  <c r="J22" i="62"/>
  <c r="I22" i="62"/>
  <c r="H22" i="62"/>
  <c r="G22" i="62"/>
  <c r="F22" i="62"/>
  <c r="E22" i="62"/>
  <c r="D22" i="62"/>
  <c r="AA21" i="62"/>
  <c r="AB21" i="62" s="1"/>
  <c r="AC21" i="62" s="1"/>
  <c r="AD21" i="62" s="1"/>
  <c r="AE21" i="62" s="1"/>
  <c r="AB3" i="62"/>
  <c r="AA22" i="62" s="1"/>
  <c r="B5" i="61"/>
  <c r="B6" i="61" s="1"/>
  <c r="AT13" i="59"/>
  <c r="AS13" i="59"/>
  <c r="AR13" i="59"/>
  <c r="AQ13" i="59"/>
  <c r="AP13" i="59"/>
  <c r="AO13" i="59"/>
  <c r="AN13" i="59"/>
  <c r="AM13" i="59"/>
  <c r="AL13" i="59"/>
  <c r="AK13" i="59"/>
  <c r="AJ13" i="59"/>
  <c r="AI13" i="59"/>
  <c r="AH13" i="59"/>
  <c r="AG13" i="59"/>
  <c r="AF13" i="59"/>
  <c r="AE13" i="59"/>
  <c r="AD13" i="59"/>
  <c r="AC13" i="59"/>
  <c r="AB13" i="59"/>
  <c r="AA13" i="59"/>
  <c r="Z13" i="59"/>
  <c r="Y13" i="59"/>
  <c r="X13" i="59"/>
  <c r="W13" i="59"/>
  <c r="V13" i="59"/>
  <c r="U13" i="59"/>
  <c r="T13" i="59"/>
  <c r="S13" i="59"/>
  <c r="R13" i="59"/>
  <c r="Q13" i="59"/>
  <c r="P13" i="59"/>
  <c r="O13" i="59"/>
  <c r="N13" i="59"/>
  <c r="M13" i="59"/>
  <c r="L13" i="59"/>
  <c r="K13" i="59"/>
  <c r="J13" i="59"/>
  <c r="I13" i="59"/>
  <c r="H13" i="59"/>
  <c r="G13" i="59"/>
  <c r="F13" i="59"/>
  <c r="D12" i="59"/>
  <c r="D5" i="59"/>
  <c r="AT4" i="59"/>
  <c r="AS4" i="59"/>
  <c r="AR4" i="59"/>
  <c r="AQ4" i="59"/>
  <c r="AP4" i="59"/>
  <c r="AO4" i="59"/>
  <c r="AN4" i="59"/>
  <c r="AM4" i="59"/>
  <c r="AL4" i="59"/>
  <c r="AK4" i="59"/>
  <c r="AJ4" i="59"/>
  <c r="AI4" i="59"/>
  <c r="AH4" i="59"/>
  <c r="AG4" i="59"/>
  <c r="AF4" i="59"/>
  <c r="AE4" i="59"/>
  <c r="AD4" i="59"/>
  <c r="AC4" i="59"/>
  <c r="AB4" i="59"/>
  <c r="AA4" i="59"/>
  <c r="Z4" i="59"/>
  <c r="Y4" i="59"/>
  <c r="X4" i="59"/>
  <c r="W4" i="59"/>
  <c r="V4" i="59"/>
  <c r="U4" i="59"/>
  <c r="T4" i="59"/>
  <c r="S4" i="59"/>
  <c r="R4" i="59"/>
  <c r="Q4" i="59"/>
  <c r="P4" i="59"/>
  <c r="O4" i="59"/>
  <c r="N4" i="59"/>
  <c r="M4" i="59"/>
  <c r="L4" i="59"/>
  <c r="K4" i="59"/>
  <c r="J4" i="59"/>
  <c r="I4" i="59"/>
  <c r="H4" i="59"/>
  <c r="G4" i="59"/>
  <c r="F4" i="59"/>
  <c r="AT5" i="58"/>
  <c r="AT4" i="58" s="1"/>
  <c r="AS5" i="58"/>
  <c r="AR5" i="58"/>
  <c r="AR4" i="58" s="1"/>
  <c r="AQ5" i="58"/>
  <c r="AQ4" i="58" s="1"/>
  <c r="AP5" i="58"/>
  <c r="AP4" i="58" s="1"/>
  <c r="AO5" i="58"/>
  <c r="AO4" i="58" s="1"/>
  <c r="AN5" i="58"/>
  <c r="AN4" i="58" s="1"/>
  <c r="AM5" i="58"/>
  <c r="AM4" i="58" s="1"/>
  <c r="AL5" i="58"/>
  <c r="AL4" i="58" s="1"/>
  <c r="AK5" i="58"/>
  <c r="AK4" i="58" s="1"/>
  <c r="AJ5" i="58"/>
  <c r="AJ4" i="58" s="1"/>
  <c r="AI5" i="58"/>
  <c r="AI4" i="58" s="1"/>
  <c r="AH5" i="58"/>
  <c r="AH4" i="58" s="1"/>
  <c r="AG5" i="58"/>
  <c r="AG4" i="58" s="1"/>
  <c r="AF5" i="58"/>
  <c r="AF4" i="58" s="1"/>
  <c r="AE5" i="58"/>
  <c r="AE4" i="58" s="1"/>
  <c r="AD5" i="58"/>
  <c r="AD4" i="58" s="1"/>
  <c r="AC5" i="58"/>
  <c r="AC4" i="58" s="1"/>
  <c r="AB5" i="58"/>
  <c r="AB4" i="58" s="1"/>
  <c r="AA5" i="58"/>
  <c r="AA4" i="58" s="1"/>
  <c r="Z5" i="58"/>
  <c r="Z4" i="58" s="1"/>
  <c r="Y5" i="58"/>
  <c r="Y4" i="58" s="1"/>
  <c r="X5" i="58"/>
  <c r="X4" i="58" s="1"/>
  <c r="W5" i="58"/>
  <c r="W4" i="58" s="1"/>
  <c r="V5" i="58"/>
  <c r="V4" i="58" s="1"/>
  <c r="U5" i="58"/>
  <c r="U4" i="58" s="1"/>
  <c r="T5" i="58"/>
  <c r="T4" i="58" s="1"/>
  <c r="S5" i="58"/>
  <c r="S4" i="58" s="1"/>
  <c r="R5" i="58"/>
  <c r="R4" i="58" s="1"/>
  <c r="Q5" i="58"/>
  <c r="Q4" i="58" s="1"/>
  <c r="P5" i="58"/>
  <c r="P4" i="58" s="1"/>
  <c r="O5" i="58"/>
  <c r="O4" i="58" s="1"/>
  <c r="N5" i="58"/>
  <c r="N4" i="58" s="1"/>
  <c r="M5" i="58"/>
  <c r="M4" i="58" s="1"/>
  <c r="L5" i="58"/>
  <c r="L4" i="58" s="1"/>
  <c r="K5" i="58"/>
  <c r="K4" i="58" s="1"/>
  <c r="J5" i="58"/>
  <c r="J4" i="58" s="1"/>
  <c r="I5" i="58"/>
  <c r="I4" i="58" s="1"/>
  <c r="H5" i="58"/>
  <c r="H4" i="58" s="1"/>
  <c r="G5" i="58"/>
  <c r="G4" i="58" s="1"/>
  <c r="F5" i="58"/>
  <c r="F4" i="58" s="1"/>
  <c r="AS4" i="58"/>
  <c r="D6" i="57"/>
  <c r="AT5" i="57"/>
  <c r="AS5" i="57"/>
  <c r="AR5" i="57"/>
  <c r="AQ5" i="57"/>
  <c r="AQ4" i="57" s="1"/>
  <c r="AP5" i="57"/>
  <c r="AP4" i="57" s="1"/>
  <c r="AO5" i="57"/>
  <c r="AN5" i="57"/>
  <c r="AM5" i="57"/>
  <c r="AL5" i="57"/>
  <c r="AK5" i="57"/>
  <c r="AK4" i="57" s="1"/>
  <c r="AJ5" i="57"/>
  <c r="AJ4" i="57" s="1"/>
  <c r="AI5" i="57"/>
  <c r="AH5" i="57"/>
  <c r="AG5" i="57"/>
  <c r="AF5" i="57"/>
  <c r="AE5" i="57"/>
  <c r="AD5" i="57"/>
  <c r="AC5" i="57"/>
  <c r="AC4" i="57" s="1"/>
  <c r="AB5" i="57"/>
  <c r="AB4" i="57" s="1"/>
  <c r="AA5" i="57"/>
  <c r="Z5" i="57"/>
  <c r="Y5" i="57"/>
  <c r="X5" i="57"/>
  <c r="W5" i="57"/>
  <c r="W4" i="57" s="1"/>
  <c r="V5" i="57"/>
  <c r="U5" i="57"/>
  <c r="T5" i="57"/>
  <c r="T4" i="57" s="1"/>
  <c r="S5" i="57"/>
  <c r="R5" i="57"/>
  <c r="Q5" i="57"/>
  <c r="P5" i="57"/>
  <c r="O5" i="57"/>
  <c r="N5" i="57"/>
  <c r="M5" i="57"/>
  <c r="L5" i="57"/>
  <c r="L4" i="57" s="1"/>
  <c r="K5" i="57"/>
  <c r="J5" i="57"/>
  <c r="I5" i="57"/>
  <c r="H5" i="57"/>
  <c r="G5" i="57"/>
  <c r="F5" i="57"/>
  <c r="AS4" i="57"/>
  <c r="AR4" i="57"/>
  <c r="AS9" i="56"/>
  <c r="AS8" i="56" s="1"/>
  <c r="AR9" i="56"/>
  <c r="AR8" i="56" s="1"/>
  <c r="AQ9" i="56"/>
  <c r="AQ8" i="56" s="1"/>
  <c r="AP9" i="56"/>
  <c r="AP8" i="56" s="1"/>
  <c r="AO9" i="56"/>
  <c r="AO8" i="56" s="1"/>
  <c r="AN9" i="56"/>
  <c r="AN8" i="56" s="1"/>
  <c r="AM9" i="56"/>
  <c r="AM8" i="56" s="1"/>
  <c r="AL9" i="56"/>
  <c r="AL8" i="56" s="1"/>
  <c r="AK9" i="56"/>
  <c r="AK8" i="56" s="1"/>
  <c r="AJ9" i="56"/>
  <c r="AJ8" i="56" s="1"/>
  <c r="AI9" i="56"/>
  <c r="AI8" i="56" s="1"/>
  <c r="AH9" i="56"/>
  <c r="AH8" i="56" s="1"/>
  <c r="AG9" i="56"/>
  <c r="AG8" i="56" s="1"/>
  <c r="AF9" i="56"/>
  <c r="AF8" i="56" s="1"/>
  <c r="AE9" i="56"/>
  <c r="AE8" i="56" s="1"/>
  <c r="AD9" i="56"/>
  <c r="AD8" i="56" s="1"/>
  <c r="AC9" i="56"/>
  <c r="AC8" i="56" s="1"/>
  <c r="AB9" i="56"/>
  <c r="AB8" i="56" s="1"/>
  <c r="AA9" i="56"/>
  <c r="AA8" i="56" s="1"/>
  <c r="Z9" i="56"/>
  <c r="Z8" i="56" s="1"/>
  <c r="Y9" i="56"/>
  <c r="Y8" i="56" s="1"/>
  <c r="X9" i="56"/>
  <c r="X8" i="56" s="1"/>
  <c r="W9" i="56"/>
  <c r="W8" i="56" s="1"/>
  <c r="V9" i="56"/>
  <c r="V8" i="56" s="1"/>
  <c r="U9" i="56"/>
  <c r="U8" i="56" s="1"/>
  <c r="T9" i="56"/>
  <c r="T8" i="56" s="1"/>
  <c r="S9" i="56"/>
  <c r="S8" i="56" s="1"/>
  <c r="R9" i="56"/>
  <c r="R8" i="56" s="1"/>
  <c r="Q9" i="56"/>
  <c r="Q8" i="56" s="1"/>
  <c r="P9" i="56"/>
  <c r="P8" i="56" s="1"/>
  <c r="O9" i="56"/>
  <c r="O8" i="56" s="1"/>
  <c r="N9" i="56"/>
  <c r="N8" i="56" s="1"/>
  <c r="M9" i="56"/>
  <c r="M8" i="56" s="1"/>
  <c r="L9" i="56"/>
  <c r="L8" i="56" s="1"/>
  <c r="K9" i="56"/>
  <c r="K8" i="56" s="1"/>
  <c r="J9" i="56"/>
  <c r="J8" i="56" s="1"/>
  <c r="I9" i="56"/>
  <c r="I8" i="56" s="1"/>
  <c r="H9" i="56"/>
  <c r="H8" i="56" s="1"/>
  <c r="G9" i="56"/>
  <c r="G8" i="56" s="1"/>
  <c r="F9" i="56"/>
  <c r="F8" i="56" s="1"/>
  <c r="AS6" i="56"/>
  <c r="AS5" i="56" s="1"/>
  <c r="AR6" i="56"/>
  <c r="AR5" i="56" s="1"/>
  <c r="AQ6" i="56"/>
  <c r="AQ5" i="56" s="1"/>
  <c r="AP6" i="56"/>
  <c r="AP5" i="56" s="1"/>
  <c r="AO6" i="56"/>
  <c r="AO5" i="56" s="1"/>
  <c r="AN6" i="56"/>
  <c r="AN5" i="56" s="1"/>
  <c r="AM6" i="56"/>
  <c r="AM5" i="56" s="1"/>
  <c r="AL6" i="56"/>
  <c r="AL5" i="56" s="1"/>
  <c r="AK6" i="56"/>
  <c r="AJ6" i="56"/>
  <c r="AJ5" i="56" s="1"/>
  <c r="AI6" i="56"/>
  <c r="AI5" i="56" s="1"/>
  <c r="AH6" i="56"/>
  <c r="AH5" i="56" s="1"/>
  <c r="AG6" i="56"/>
  <c r="AG5" i="56" s="1"/>
  <c r="AF6" i="56"/>
  <c r="AF5" i="56" s="1"/>
  <c r="AE6" i="56"/>
  <c r="AE5" i="56" s="1"/>
  <c r="AD6" i="56"/>
  <c r="AD5" i="56" s="1"/>
  <c r="AC6" i="56"/>
  <c r="AC5" i="56" s="1"/>
  <c r="AB6" i="56"/>
  <c r="AB5" i="56" s="1"/>
  <c r="AA6" i="56"/>
  <c r="AA5" i="56" s="1"/>
  <c r="Z6" i="56"/>
  <c r="Z5" i="56" s="1"/>
  <c r="Y6" i="56"/>
  <c r="Y5" i="56" s="1"/>
  <c r="X6" i="56"/>
  <c r="X5" i="56" s="1"/>
  <c r="W6" i="56"/>
  <c r="W5" i="56" s="1"/>
  <c r="V6" i="56"/>
  <c r="V5" i="56" s="1"/>
  <c r="U6" i="56"/>
  <c r="U5" i="56" s="1"/>
  <c r="T6" i="56"/>
  <c r="T5" i="56" s="1"/>
  <c r="S6" i="56"/>
  <c r="S5" i="56" s="1"/>
  <c r="R6" i="56"/>
  <c r="R5" i="56" s="1"/>
  <c r="Q6" i="56"/>
  <c r="Q5" i="56" s="1"/>
  <c r="P6" i="56"/>
  <c r="P5" i="56" s="1"/>
  <c r="O6" i="56"/>
  <c r="O5" i="56" s="1"/>
  <c r="N6" i="56"/>
  <c r="N5" i="56" s="1"/>
  <c r="M6" i="56"/>
  <c r="M5" i="56" s="1"/>
  <c r="L6" i="56"/>
  <c r="L5" i="56" s="1"/>
  <c r="K6" i="56"/>
  <c r="K5" i="56" s="1"/>
  <c r="J6" i="56"/>
  <c r="J5" i="56" s="1"/>
  <c r="I6" i="56"/>
  <c r="I5" i="56" s="1"/>
  <c r="H6" i="56"/>
  <c r="H5" i="56" s="1"/>
  <c r="G6" i="56"/>
  <c r="G5" i="56" s="1"/>
  <c r="F6" i="56"/>
  <c r="F5" i="56" s="1"/>
  <c r="AK5" i="56"/>
  <c r="A98" i="55"/>
  <c r="A97" i="55"/>
  <c r="A96" i="55"/>
  <c r="C20" i="64"/>
  <c r="C18" i="63"/>
  <c r="E45" i="55" l="1"/>
  <c r="Y17" i="76"/>
  <c r="AB144" i="74" s="1"/>
  <c r="AB213" i="74" s="1"/>
  <c r="Z17" i="94"/>
  <c r="AC107" i="74" s="1"/>
  <c r="AC203" i="74" s="1"/>
  <c r="Z28" i="94"/>
  <c r="AC118" i="74" s="1"/>
  <c r="AC239" i="74" s="1"/>
  <c r="Z30" i="94"/>
  <c r="AC120" i="74" s="1"/>
  <c r="AC241" i="74" s="1"/>
  <c r="E73" i="55"/>
  <c r="AB106" i="74"/>
  <c r="AB202" i="74" s="1"/>
  <c r="AB195" i="74" s="1"/>
  <c r="W21" i="82"/>
  <c r="Z72" i="74" s="1"/>
  <c r="Z192" i="74" s="1"/>
  <c r="W20" i="82"/>
  <c r="Z71" i="74" s="1"/>
  <c r="Z193" i="74" s="1"/>
  <c r="Y194" i="74"/>
  <c r="Z82" i="74"/>
  <c r="Z229" i="74" s="1"/>
  <c r="BB26" i="64"/>
  <c r="C26" i="64"/>
  <c r="W19" i="82"/>
  <c r="Z70" i="74" s="1"/>
  <c r="V31" i="60"/>
  <c r="AQ31" i="60"/>
  <c r="Z31" i="60"/>
  <c r="I31" i="60"/>
  <c r="AN31" i="60"/>
  <c r="AK31" i="60"/>
  <c r="N31" i="60"/>
  <c r="AU31" i="60"/>
  <c r="AS31" i="60"/>
  <c r="AA31" i="60"/>
  <c r="J31" i="60"/>
  <c r="M31" i="60"/>
  <c r="X31" i="60"/>
  <c r="AM31" i="60"/>
  <c r="R31" i="60"/>
  <c r="AF31" i="60"/>
  <c r="U31" i="60"/>
  <c r="S31" i="60"/>
  <c r="AW31" i="60"/>
  <c r="C31" i="60"/>
  <c r="P31" i="60"/>
  <c r="AE31" i="60"/>
  <c r="Y31" i="60"/>
  <c r="E31" i="60"/>
  <c r="K31" i="60"/>
  <c r="AO31" i="60"/>
  <c r="AJ31" i="60"/>
  <c r="H31" i="60"/>
  <c r="W31" i="60"/>
  <c r="AP31" i="60"/>
  <c r="D31" i="60"/>
  <c r="C38" i="60" s="1"/>
  <c r="AL31" i="60"/>
  <c r="Q31" i="60"/>
  <c r="F31" i="60"/>
  <c r="AI31" i="60"/>
  <c r="AC31" i="60"/>
  <c r="AR31" i="60"/>
  <c r="AX31" i="60"/>
  <c r="AG31" i="60"/>
  <c r="T31" i="60"/>
  <c r="AT31" i="60"/>
  <c r="O31" i="60"/>
  <c r="AB31" i="60"/>
  <c r="AD31" i="60"/>
  <c r="L31" i="60"/>
  <c r="AH31" i="60"/>
  <c r="AV31" i="60"/>
  <c r="G31" i="60"/>
  <c r="Y18" i="76"/>
  <c r="AB143" i="74" s="1"/>
  <c r="D26" i="68"/>
  <c r="Z18" i="94"/>
  <c r="E15" i="55"/>
  <c r="B102" i="55" s="1"/>
  <c r="W55" i="82"/>
  <c r="X50" i="76"/>
  <c r="AA327" i="74" s="1"/>
  <c r="Y51" i="94"/>
  <c r="AB324" i="74" s="1"/>
  <c r="Y52" i="94"/>
  <c r="AB325" i="74" s="1"/>
  <c r="Y54" i="94"/>
  <c r="AB340" i="74" s="1"/>
  <c r="Y49" i="76"/>
  <c r="Y50" i="76" s="1"/>
  <c r="AB327" i="74" s="1"/>
  <c r="Z50" i="94"/>
  <c r="L24" i="68"/>
  <c r="J28" i="67"/>
  <c r="I28" i="68"/>
  <c r="AC100" i="74"/>
  <c r="AC196" i="74" s="1"/>
  <c r="Z16" i="94"/>
  <c r="AC108" i="74" s="1"/>
  <c r="AC204" i="74" s="1"/>
  <c r="Z13" i="94"/>
  <c r="AC103" i="74" s="1"/>
  <c r="AC199" i="74" s="1"/>
  <c r="Z15" i="94"/>
  <c r="AC105" i="74" s="1"/>
  <c r="AC201" i="74" s="1"/>
  <c r="Z14" i="94"/>
  <c r="AC104" i="74" s="1"/>
  <c r="AC200" i="74" s="1"/>
  <c r="Z11" i="94"/>
  <c r="AC101" i="74" s="1"/>
  <c r="AC197" i="74" s="1"/>
  <c r="Z12" i="94"/>
  <c r="AC102" i="74" s="1"/>
  <c r="AC198" i="74" s="1"/>
  <c r="Y15" i="76"/>
  <c r="Y12" i="76"/>
  <c r="Y14" i="76"/>
  <c r="Y11" i="76"/>
  <c r="Y13" i="76"/>
  <c r="Y16" i="76"/>
  <c r="Y9" i="94"/>
  <c r="AB99" i="74" s="1"/>
  <c r="AA8" i="94"/>
  <c r="AA10" i="94" s="1"/>
  <c r="W16" i="82"/>
  <c r="Z67" i="74" s="1"/>
  <c r="Z189" i="74" s="1"/>
  <c r="W13" i="82"/>
  <c r="Z64" i="74" s="1"/>
  <c r="Z186" i="74" s="1"/>
  <c r="W10" i="82"/>
  <c r="W12" i="82"/>
  <c r="Z63" i="74" s="1"/>
  <c r="Z185" i="74" s="1"/>
  <c r="W18" i="82"/>
  <c r="Z69" i="74" s="1"/>
  <c r="Z191" i="74" s="1"/>
  <c r="W15" i="82"/>
  <c r="Z66" i="74" s="1"/>
  <c r="Z188" i="74" s="1"/>
  <c r="W17" i="82"/>
  <c r="Z68" i="74" s="1"/>
  <c r="Z190" i="74" s="1"/>
  <c r="W14" i="82"/>
  <c r="Z65" i="74" s="1"/>
  <c r="Z187" i="74" s="1"/>
  <c r="W11" i="82"/>
  <c r="Z62" i="74" s="1"/>
  <c r="Z184" i="74" s="1"/>
  <c r="F3" i="59"/>
  <c r="F3" i="88"/>
  <c r="C26" i="60" s="1"/>
  <c r="D25" i="68"/>
  <c r="D24" i="68"/>
  <c r="H25" i="68"/>
  <c r="F24" i="68"/>
  <c r="L25" i="68"/>
  <c r="G10" i="62" s="1"/>
  <c r="D27" i="68"/>
  <c r="E26" i="68"/>
  <c r="F27" i="68"/>
  <c r="Y61" i="74"/>
  <c r="Y183" i="74" s="1"/>
  <c r="V9" i="82"/>
  <c r="Y60" i="74" s="1"/>
  <c r="X8" i="82"/>
  <c r="X32" i="82" s="1"/>
  <c r="F26" i="68"/>
  <c r="E24" i="68"/>
  <c r="P28" i="68"/>
  <c r="D26" i="67"/>
  <c r="K26" i="68"/>
  <c r="P27" i="68"/>
  <c r="E13" i="64"/>
  <c r="D26" i="64" s="1"/>
  <c r="G24" i="55"/>
  <c r="G27" i="55" s="1"/>
  <c r="AL14" i="55"/>
  <c r="AL13" i="55" s="1"/>
  <c r="V8" i="55"/>
  <c r="AL8" i="55"/>
  <c r="AF14" i="55"/>
  <c r="AF13" i="55" s="1"/>
  <c r="N8" i="55"/>
  <c r="I4" i="57"/>
  <c r="N14" i="55"/>
  <c r="N13" i="55" s="1"/>
  <c r="T7" i="55"/>
  <c r="H8" i="55"/>
  <c r="L11" i="55"/>
  <c r="L10" i="55" s="1"/>
  <c r="H14" i="55"/>
  <c r="H13" i="55" s="1"/>
  <c r="AQ7" i="55"/>
  <c r="AM8" i="55"/>
  <c r="M8" i="55"/>
  <c r="U8" i="55"/>
  <c r="AC8" i="55"/>
  <c r="AK8" i="55"/>
  <c r="AS8" i="55"/>
  <c r="I11" i="55"/>
  <c r="I10" i="55" s="1"/>
  <c r="Q11" i="55"/>
  <c r="Q10" i="55" s="1"/>
  <c r="Y11" i="55"/>
  <c r="Y10" i="55" s="1"/>
  <c r="AG11" i="55"/>
  <c r="AG10" i="55" s="1"/>
  <c r="AO11" i="55"/>
  <c r="AO10" i="55" s="1"/>
  <c r="G14" i="55"/>
  <c r="G13" i="55" s="1"/>
  <c r="Z14" i="55"/>
  <c r="Z13" i="55" s="1"/>
  <c r="AQ14" i="55"/>
  <c r="AQ13" i="55" s="1"/>
  <c r="M14" i="55"/>
  <c r="M13" i="55" s="1"/>
  <c r="U14" i="55"/>
  <c r="U13" i="55" s="1"/>
  <c r="AC14" i="55"/>
  <c r="AC13" i="55" s="1"/>
  <c r="AK14" i="55"/>
  <c r="AK13" i="55" s="1"/>
  <c r="AS14" i="55"/>
  <c r="AS13" i="55" s="1"/>
  <c r="AN8" i="55"/>
  <c r="AE14" i="55"/>
  <c r="AE13" i="55" s="1"/>
  <c r="N7" i="55"/>
  <c r="W4" i="56"/>
  <c r="AN7" i="55"/>
  <c r="G8" i="55"/>
  <c r="O8" i="55"/>
  <c r="AE8" i="55"/>
  <c r="K11" i="55"/>
  <c r="K10" i="55" s="1"/>
  <c r="R4" i="57"/>
  <c r="Z4" i="57"/>
  <c r="AH4" i="57"/>
  <c r="AQ11" i="55"/>
  <c r="AQ10" i="55" s="1"/>
  <c r="J14" i="55"/>
  <c r="J13" i="55" s="1"/>
  <c r="W14" i="55"/>
  <c r="W13" i="55" s="1"/>
  <c r="AU14" i="55"/>
  <c r="AU13" i="55" s="1"/>
  <c r="AO4" i="57"/>
  <c r="AI4" i="57"/>
  <c r="AN14" i="55"/>
  <c r="AN13" i="55" s="1"/>
  <c r="Q4" i="57"/>
  <c r="AD14" i="55"/>
  <c r="AD13" i="55" s="1"/>
  <c r="Y7" i="55"/>
  <c r="L8" i="55"/>
  <c r="O14" i="55"/>
  <c r="O13" i="55" s="1"/>
  <c r="AH7" i="55"/>
  <c r="R8" i="55"/>
  <c r="I8" i="55"/>
  <c r="Q8" i="55"/>
  <c r="Y8" i="55"/>
  <c r="AG8" i="55"/>
  <c r="AO8" i="55"/>
  <c r="M11" i="55"/>
  <c r="M10" i="55" s="1"/>
  <c r="U11" i="55"/>
  <c r="U10" i="55" s="1"/>
  <c r="AC11" i="55"/>
  <c r="AC10" i="55" s="1"/>
  <c r="AK11" i="55"/>
  <c r="AK10" i="55" s="1"/>
  <c r="AS11" i="55"/>
  <c r="AS10" i="55" s="1"/>
  <c r="Q14" i="55"/>
  <c r="Q13" i="55" s="1"/>
  <c r="AH14" i="55"/>
  <c r="AH13" i="55" s="1"/>
  <c r="AO14" i="55"/>
  <c r="AO13" i="55" s="1"/>
  <c r="M24" i="68"/>
  <c r="M25" i="68"/>
  <c r="H26" i="68"/>
  <c r="D28" i="68"/>
  <c r="G7" i="55"/>
  <c r="AU7" i="55"/>
  <c r="AG4" i="57"/>
  <c r="AT14" i="55"/>
  <c r="AT13" i="55" s="1"/>
  <c r="X8" i="55"/>
  <c r="AA4" i="57"/>
  <c r="X14" i="55"/>
  <c r="X13" i="55" s="1"/>
  <c r="AC7" i="55"/>
  <c r="AI7" i="55"/>
  <c r="J8" i="55"/>
  <c r="Z8" i="55"/>
  <c r="AH8" i="55"/>
  <c r="AP8" i="55"/>
  <c r="N11" i="55"/>
  <c r="N10" i="55" s="1"/>
  <c r="V11" i="55"/>
  <c r="V10" i="55" s="1"/>
  <c r="AD11" i="55"/>
  <c r="AD10" i="55" s="1"/>
  <c r="AL11" i="55"/>
  <c r="AL10" i="55" s="1"/>
  <c r="AT11" i="55"/>
  <c r="AT10" i="55" s="1"/>
  <c r="R14" i="55"/>
  <c r="R13" i="55" s="1"/>
  <c r="P24" i="68"/>
  <c r="P25" i="68"/>
  <c r="L26" i="68"/>
  <c r="H27" i="68"/>
  <c r="H28" i="68"/>
  <c r="E27" i="68"/>
  <c r="M28" i="68"/>
  <c r="AD190" i="52"/>
  <c r="AE173" i="52"/>
  <c r="AM7" i="55"/>
  <c r="AT8" i="55"/>
  <c r="I14" i="55"/>
  <c r="I13" i="55" s="1"/>
  <c r="I7" i="55"/>
  <c r="P8" i="55"/>
  <c r="S4" i="57"/>
  <c r="P14" i="55"/>
  <c r="P13" i="55" s="1"/>
  <c r="AD7" i="55"/>
  <c r="AB7" i="55"/>
  <c r="AJ7" i="55"/>
  <c r="AQ4" i="56"/>
  <c r="W8" i="55"/>
  <c r="K8" i="55"/>
  <c r="S8" i="55"/>
  <c r="AA8" i="55"/>
  <c r="AQ8" i="55"/>
  <c r="N4" i="57"/>
  <c r="V4" i="57"/>
  <c r="AD4" i="57"/>
  <c r="AL4" i="57"/>
  <c r="AT4" i="57"/>
  <c r="S14" i="55"/>
  <c r="S13" i="55" s="1"/>
  <c r="AM14" i="55"/>
  <c r="AM13" i="55" s="1"/>
  <c r="K14" i="55"/>
  <c r="K13" i="55" s="1"/>
  <c r="AA14" i="55"/>
  <c r="AA13" i="55" s="1"/>
  <c r="AI14" i="55"/>
  <c r="AI13" i="55" s="1"/>
  <c r="M26" i="68"/>
  <c r="L27" i="68"/>
  <c r="L28" i="68"/>
  <c r="F25" i="68"/>
  <c r="N26" i="68"/>
  <c r="AD8" i="55"/>
  <c r="Y4" i="57"/>
  <c r="V14" i="55"/>
  <c r="V13" i="55" s="1"/>
  <c r="AF8" i="55"/>
  <c r="AR11" i="55"/>
  <c r="AR10" i="55" s="1"/>
  <c r="AG14" i="55"/>
  <c r="AG13" i="55" s="1"/>
  <c r="U7" i="55"/>
  <c r="AL7" i="55"/>
  <c r="L4" i="56"/>
  <c r="AK7" i="55"/>
  <c r="AS7" i="55"/>
  <c r="T8" i="55"/>
  <c r="AB8" i="55"/>
  <c r="AJ8" i="55"/>
  <c r="AR8" i="55"/>
  <c r="H11" i="55"/>
  <c r="H10" i="55" s="1"/>
  <c r="P11" i="55"/>
  <c r="P10" i="55" s="1"/>
  <c r="X11" i="55"/>
  <c r="X10" i="55" s="1"/>
  <c r="AF11" i="55"/>
  <c r="AF10" i="55" s="1"/>
  <c r="AN11" i="55"/>
  <c r="AN10" i="55" s="1"/>
  <c r="Y14" i="55"/>
  <c r="Y13" i="55" s="1"/>
  <c r="AP14" i="55"/>
  <c r="AP13" i="55" s="1"/>
  <c r="L14" i="55"/>
  <c r="L13" i="55" s="1"/>
  <c r="T14" i="55"/>
  <c r="T13" i="55" s="1"/>
  <c r="AB14" i="55"/>
  <c r="AB13" i="55" s="1"/>
  <c r="AJ14" i="55"/>
  <c r="AJ13" i="55" s="1"/>
  <c r="AR14" i="55"/>
  <c r="AR13" i="55" s="1"/>
  <c r="U12" i="67"/>
  <c r="W11" i="67" s="1"/>
  <c r="P26" i="68"/>
  <c r="M27" i="68"/>
  <c r="G28" i="68"/>
  <c r="O28" i="68"/>
  <c r="Z8" i="76"/>
  <c r="Z10" i="76" s="1"/>
  <c r="AE288" i="52"/>
  <c r="AF271" i="52"/>
  <c r="AD255" i="52"/>
  <c r="AE238" i="52"/>
  <c r="AD222" i="52"/>
  <c r="AE205" i="52"/>
  <c r="AD156" i="52"/>
  <c r="AE139" i="52"/>
  <c r="AF122" i="52"/>
  <c r="AG105" i="52"/>
  <c r="AD90" i="52"/>
  <c r="AE73" i="52"/>
  <c r="AD57" i="52"/>
  <c r="AE40" i="52"/>
  <c r="L7" i="55"/>
  <c r="K4" i="56"/>
  <c r="P28" i="67"/>
  <c r="D4" i="59"/>
  <c r="L27" i="67"/>
  <c r="U4" i="56"/>
  <c r="O4" i="57"/>
  <c r="AM4" i="57"/>
  <c r="AC3" i="62"/>
  <c r="AD3" i="62" s="1"/>
  <c r="AC22" i="62" s="1"/>
  <c r="E28" i="68"/>
  <c r="N4" i="56"/>
  <c r="AE4" i="57"/>
  <c r="H24" i="67"/>
  <c r="D25" i="67"/>
  <c r="K28" i="67"/>
  <c r="N31" i="68"/>
  <c r="AB4" i="56"/>
  <c r="AI4" i="56"/>
  <c r="AJ4" i="56"/>
  <c r="AD4" i="56"/>
  <c r="AR4" i="56"/>
  <c r="AT7" i="55"/>
  <c r="AS4" i="56"/>
  <c r="W7" i="55"/>
  <c r="V4" i="56"/>
  <c r="P7" i="55"/>
  <c r="O4" i="56"/>
  <c r="P4" i="56"/>
  <c r="AF4" i="56"/>
  <c r="AN4" i="56"/>
  <c r="M4" i="56"/>
  <c r="S4" i="56"/>
  <c r="T4" i="56"/>
  <c r="AA4" i="56"/>
  <c r="G4" i="57"/>
  <c r="AF4" i="57"/>
  <c r="U4" i="57"/>
  <c r="K4" i="57"/>
  <c r="M4" i="57"/>
  <c r="J4" i="57"/>
  <c r="H5" i="55"/>
  <c r="H24" i="55" s="1"/>
  <c r="H27" i="55" s="1"/>
  <c r="E9" i="55"/>
  <c r="E12" i="55"/>
  <c r="B100" i="55" s="1"/>
  <c r="D15" i="60"/>
  <c r="E15" i="60" s="1"/>
  <c r="F15" i="60" s="1"/>
  <c r="G15" i="60" s="1"/>
  <c r="H15" i="60" s="1"/>
  <c r="I15" i="60" s="1"/>
  <c r="J15" i="60" s="1"/>
  <c r="K15" i="60" s="1"/>
  <c r="L15" i="60" s="1"/>
  <c r="M15" i="60" s="1"/>
  <c r="N15" i="60" s="1"/>
  <c r="O15" i="60" s="1"/>
  <c r="P15" i="60" s="1"/>
  <c r="Q15" i="60" s="1"/>
  <c r="R15" i="60" s="1"/>
  <c r="S15" i="60" s="1"/>
  <c r="T15" i="60" s="1"/>
  <c r="U15" i="60" s="1"/>
  <c r="V15" i="60" s="1"/>
  <c r="W15" i="60" s="1"/>
  <c r="X15" i="60" s="1"/>
  <c r="Y15" i="60" s="1"/>
  <c r="Z15" i="60" s="1"/>
  <c r="AA15" i="60" s="1"/>
  <c r="AB15" i="60" s="1"/>
  <c r="AC15" i="60" s="1"/>
  <c r="AD15" i="60" s="1"/>
  <c r="AE15" i="60" s="1"/>
  <c r="AF15" i="60" s="1"/>
  <c r="AG15" i="60" s="1"/>
  <c r="AH15" i="60" s="1"/>
  <c r="AI15" i="60" s="1"/>
  <c r="AJ15" i="60" s="1"/>
  <c r="AK15" i="60" s="1"/>
  <c r="AL15" i="60" s="1"/>
  <c r="AM15" i="60" s="1"/>
  <c r="AN15" i="60" s="1"/>
  <c r="AO15" i="60" s="1"/>
  <c r="AP15" i="60" s="1"/>
  <c r="AQ15" i="60" s="1"/>
  <c r="AR15" i="60" s="1"/>
  <c r="AS15" i="60" s="1"/>
  <c r="AT15" i="60" s="1"/>
  <c r="AU15" i="60" s="1"/>
  <c r="AV15" i="60" s="1"/>
  <c r="AW15" i="60" s="1"/>
  <c r="AX15" i="60" s="1"/>
  <c r="H7" i="55"/>
  <c r="G4" i="56"/>
  <c r="J4" i="56"/>
  <c r="K7" i="55"/>
  <c r="AE4" i="56"/>
  <c r="AF7" i="55"/>
  <c r="AH4" i="56"/>
  <c r="AI8" i="55"/>
  <c r="J7" i="55"/>
  <c r="I4" i="56"/>
  <c r="R7" i="55"/>
  <c r="Q4" i="56"/>
  <c r="Z7" i="55"/>
  <c r="Y4" i="56"/>
  <c r="AP7" i="55"/>
  <c r="AO4" i="56"/>
  <c r="R4" i="56"/>
  <c r="S7" i="55"/>
  <c r="Z4" i="56"/>
  <c r="AA7" i="55"/>
  <c r="K24" i="67"/>
  <c r="J25" i="67"/>
  <c r="E9" i="62" s="1"/>
  <c r="H26" i="67"/>
  <c r="D27" i="67"/>
  <c r="J31" i="67"/>
  <c r="K31" i="68"/>
  <c r="F10" i="62" s="1"/>
  <c r="K25" i="68"/>
  <c r="K27" i="68"/>
  <c r="J11" i="55"/>
  <c r="J10" i="55" s="1"/>
  <c r="R11" i="55"/>
  <c r="R10" i="55" s="1"/>
  <c r="Z11" i="55"/>
  <c r="Z10" i="55" s="1"/>
  <c r="AH11" i="55"/>
  <c r="AH10" i="55" s="1"/>
  <c r="AP11" i="55"/>
  <c r="AP10" i="55" s="1"/>
  <c r="L24" i="67"/>
  <c r="K25" i="67"/>
  <c r="J26" i="67"/>
  <c r="H27" i="67"/>
  <c r="D28" i="67"/>
  <c r="J31" i="68"/>
  <c r="L31" i="68"/>
  <c r="AR7" i="55"/>
  <c r="S11" i="55"/>
  <c r="S10" i="55" s="1"/>
  <c r="AA11" i="55"/>
  <c r="AA10" i="55" s="1"/>
  <c r="AI11" i="55"/>
  <c r="AI10" i="55" s="1"/>
  <c r="D5" i="58"/>
  <c r="P24" i="67"/>
  <c r="L25" i="67"/>
  <c r="K26" i="67"/>
  <c r="J27" i="67"/>
  <c r="H28" i="67"/>
  <c r="M7" i="55"/>
  <c r="T11" i="55"/>
  <c r="T10" i="55" s="1"/>
  <c r="AB11" i="55"/>
  <c r="AB10" i="55" s="1"/>
  <c r="AJ11" i="55"/>
  <c r="AJ10" i="55" s="1"/>
  <c r="AK4" i="56"/>
  <c r="X4" i="57"/>
  <c r="L31" i="67"/>
  <c r="P25" i="67"/>
  <c r="L26" i="67"/>
  <c r="K27" i="67"/>
  <c r="E31" i="67"/>
  <c r="M31" i="67"/>
  <c r="N25" i="68"/>
  <c r="L10" i="62" s="1"/>
  <c r="N27" i="68"/>
  <c r="K28" i="68"/>
  <c r="V7" i="55"/>
  <c r="AC4" i="56"/>
  <c r="AM4" i="56"/>
  <c r="D5" i="57"/>
  <c r="P26" i="67"/>
  <c r="F31" i="67"/>
  <c r="N31" i="67"/>
  <c r="K24" i="68"/>
  <c r="O7" i="55"/>
  <c r="AE7" i="55"/>
  <c r="D9" i="56"/>
  <c r="P4" i="57"/>
  <c r="D24" i="67"/>
  <c r="P27" i="67"/>
  <c r="G28" i="67"/>
  <c r="O28" i="67"/>
  <c r="E25" i="68"/>
  <c r="X7" i="55"/>
  <c r="AU8" i="55"/>
  <c r="O11" i="55"/>
  <c r="O10" i="55" s="1"/>
  <c r="W11" i="55"/>
  <c r="W10" i="55" s="1"/>
  <c r="AE11" i="55"/>
  <c r="AE10" i="55" s="1"/>
  <c r="AM11" i="55"/>
  <c r="AM10" i="55" s="1"/>
  <c r="AU11" i="55"/>
  <c r="AU10" i="55" s="1"/>
  <c r="AP4" i="56"/>
  <c r="H31" i="67"/>
  <c r="P31" i="67"/>
  <c r="V9" i="62" s="1"/>
  <c r="Q7" i="55"/>
  <c r="AG7" i="55"/>
  <c r="AO7" i="55"/>
  <c r="AG4" i="56"/>
  <c r="H4" i="56"/>
  <c r="X4" i="56"/>
  <c r="AL4" i="56"/>
  <c r="H4" i="57"/>
  <c r="AN4" i="57"/>
  <c r="J24" i="67"/>
  <c r="H25" i="67"/>
  <c r="I28" i="67"/>
  <c r="N24" i="68"/>
  <c r="F3" i="56"/>
  <c r="F14" i="56" s="1"/>
  <c r="F3" i="57"/>
  <c r="F13" i="57" s="1"/>
  <c r="F3" i="58"/>
  <c r="V5" i="64"/>
  <c r="H31" i="68"/>
  <c r="P31" i="68"/>
  <c r="V10" i="62" s="1"/>
  <c r="F6" i="62"/>
  <c r="G9" i="62"/>
  <c r="D31" i="68"/>
  <c r="G11" i="55"/>
  <c r="D23" i="60"/>
  <c r="J24" i="68"/>
  <c r="J25" i="68"/>
  <c r="E10" i="62" s="1"/>
  <c r="J26" i="68"/>
  <c r="J27" i="68"/>
  <c r="J28" i="68"/>
  <c r="E31" i="68"/>
  <c r="M31" i="68"/>
  <c r="J10" i="62" s="1"/>
  <c r="F31" i="68"/>
  <c r="F28" i="68"/>
  <c r="N28" i="68"/>
  <c r="G31" i="68"/>
  <c r="O31" i="68"/>
  <c r="G24" i="68"/>
  <c r="O24" i="68"/>
  <c r="G25" i="68"/>
  <c r="O25" i="68"/>
  <c r="G26" i="68"/>
  <c r="O26" i="68"/>
  <c r="G27" i="68"/>
  <c r="O27" i="68"/>
  <c r="I31" i="68"/>
  <c r="I24" i="68"/>
  <c r="I25" i="68"/>
  <c r="D10" i="62" s="1"/>
  <c r="I26" i="68"/>
  <c r="I27" i="68"/>
  <c r="D31" i="67"/>
  <c r="L28" i="67"/>
  <c r="K31" i="67"/>
  <c r="F9" i="62" s="1"/>
  <c r="E24" i="67"/>
  <c r="M24" i="67"/>
  <c r="E25" i="67"/>
  <c r="M25" i="67"/>
  <c r="J9" i="62" s="1"/>
  <c r="E26" i="67"/>
  <c r="M26" i="67"/>
  <c r="E27" i="67"/>
  <c r="M27" i="67"/>
  <c r="E28" i="67"/>
  <c r="M28" i="67"/>
  <c r="F24" i="67"/>
  <c r="N24" i="67"/>
  <c r="F25" i="67"/>
  <c r="N25" i="67"/>
  <c r="L9" i="62" s="1"/>
  <c r="F26" i="67"/>
  <c r="N26" i="67"/>
  <c r="F27" i="67"/>
  <c r="N27" i="67"/>
  <c r="F28" i="67"/>
  <c r="N28" i="67"/>
  <c r="G31" i="67"/>
  <c r="O31" i="67"/>
  <c r="G24" i="67"/>
  <c r="O24" i="67"/>
  <c r="G25" i="67"/>
  <c r="O25" i="67"/>
  <c r="G26" i="67"/>
  <c r="O26" i="67"/>
  <c r="G27" i="67"/>
  <c r="O27" i="67"/>
  <c r="I31" i="67"/>
  <c r="I24" i="67"/>
  <c r="I25" i="67"/>
  <c r="I26" i="67"/>
  <c r="I27" i="67"/>
  <c r="D7" i="64"/>
  <c r="E7" i="63"/>
  <c r="L4" i="64"/>
  <c r="H8" i="64"/>
  <c r="D6" i="64"/>
  <c r="G5" i="64"/>
  <c r="D6" i="63"/>
  <c r="V7" i="63"/>
  <c r="J8" i="62"/>
  <c r="I21" i="64"/>
  <c r="H21" i="64"/>
  <c r="AG23" i="63"/>
  <c r="AC3" i="63"/>
  <c r="AF21" i="62"/>
  <c r="D35" i="60"/>
  <c r="D4" i="58"/>
  <c r="F4" i="57"/>
  <c r="D5" i="56"/>
  <c r="F4" i="56"/>
  <c r="D6" i="56"/>
  <c r="D8" i="56"/>
  <c r="E32" i="55"/>
  <c r="E38" i="55"/>
  <c r="E46" i="55"/>
  <c r="D43" i="68" l="1"/>
  <c r="D10" i="64" s="1"/>
  <c r="Z17" i="76"/>
  <c r="AC144" i="74" s="1"/>
  <c r="AC213" i="74" s="1"/>
  <c r="AA17" i="94"/>
  <c r="AD107" i="74" s="1"/>
  <c r="AD203" i="74" s="1"/>
  <c r="AA28" i="94"/>
  <c r="AD118" i="74" s="1"/>
  <c r="AD239" i="74" s="1"/>
  <c r="AA30" i="94"/>
  <c r="AD120" i="74" s="1"/>
  <c r="AD241" i="74" s="1"/>
  <c r="AA82" i="74"/>
  <c r="AA229" i="74" s="1"/>
  <c r="AB212" i="74"/>
  <c r="G31" i="55"/>
  <c r="G70" i="55"/>
  <c r="G72" i="55" s="1"/>
  <c r="H70" i="55"/>
  <c r="H72" i="55" s="1"/>
  <c r="Y182" i="74"/>
  <c r="H30" i="55"/>
  <c r="K35" i="74" s="1"/>
  <c r="K179" i="74" s="1"/>
  <c r="G30" i="55"/>
  <c r="AC106" i="74"/>
  <c r="AC202" i="74" s="1"/>
  <c r="AC195" i="74" s="1"/>
  <c r="X21" i="82"/>
  <c r="AA72" i="74" s="1"/>
  <c r="AA192" i="74" s="1"/>
  <c r="X20" i="82"/>
  <c r="AA71" i="74" s="1"/>
  <c r="AA193" i="74" s="1"/>
  <c r="E43" i="67"/>
  <c r="E9" i="64" s="1"/>
  <c r="D43" i="67"/>
  <c r="D9" i="64" s="1"/>
  <c r="Q42" i="68"/>
  <c r="Z194" i="74"/>
  <c r="X19" i="82"/>
  <c r="AA70" i="74" s="1"/>
  <c r="F15" i="56"/>
  <c r="Q43" i="68"/>
  <c r="AE3" i="62"/>
  <c r="L43" i="67"/>
  <c r="L9" i="64" s="1"/>
  <c r="Z18" i="76"/>
  <c r="AC143" i="74" s="1"/>
  <c r="J32" i="74"/>
  <c r="J180" i="74" s="1"/>
  <c r="H31" i="55"/>
  <c r="K36" i="74" s="1"/>
  <c r="K181" i="74" s="1"/>
  <c r="K32" i="74"/>
  <c r="K180" i="74" s="1"/>
  <c r="AA18" i="94"/>
  <c r="J6" i="74"/>
  <c r="J278" i="74" s="1"/>
  <c r="F8" i="63"/>
  <c r="F5" i="62"/>
  <c r="V8" i="62"/>
  <c r="V5" i="62"/>
  <c r="V8" i="64"/>
  <c r="V4" i="64"/>
  <c r="G43" i="67"/>
  <c r="G9" i="64" s="1"/>
  <c r="L8" i="63"/>
  <c r="J42" i="67"/>
  <c r="J9" i="63" s="1"/>
  <c r="X55" i="82"/>
  <c r="Z51" i="94"/>
  <c r="AC324" i="74" s="1"/>
  <c r="Z52" i="94"/>
  <c r="AC325" i="74" s="1"/>
  <c r="Z49" i="76"/>
  <c r="Z50" i="76" s="1"/>
  <c r="AC327" i="74" s="1"/>
  <c r="Z54" i="94"/>
  <c r="AC340" i="74" s="1"/>
  <c r="AA50" i="94"/>
  <c r="Q43" i="67"/>
  <c r="Q9" i="64" s="1"/>
  <c r="L42" i="67"/>
  <c r="L9" i="63" s="1"/>
  <c r="F7" i="64"/>
  <c r="F4" i="63"/>
  <c r="L42" i="68"/>
  <c r="L10" i="63" s="1"/>
  <c r="K6" i="74"/>
  <c r="G43" i="68"/>
  <c r="G10" i="64" s="1"/>
  <c r="Z15" i="76"/>
  <c r="Z12" i="76"/>
  <c r="Z14" i="76"/>
  <c r="Z11" i="76"/>
  <c r="Z16" i="76"/>
  <c r="Z13" i="76"/>
  <c r="AA16" i="94"/>
  <c r="AD108" i="74" s="1"/>
  <c r="AD204" i="74" s="1"/>
  <c r="AA13" i="94"/>
  <c r="AD103" i="74" s="1"/>
  <c r="AD199" i="74" s="1"/>
  <c r="AD100" i="74"/>
  <c r="AD196" i="74" s="1"/>
  <c r="AA15" i="94"/>
  <c r="AD105" i="74" s="1"/>
  <c r="AD201" i="74" s="1"/>
  <c r="AA11" i="94"/>
  <c r="AD101" i="74" s="1"/>
  <c r="AD197" i="74" s="1"/>
  <c r="AA14" i="94"/>
  <c r="AD104" i="74" s="1"/>
  <c r="AD200" i="74" s="1"/>
  <c r="AA12" i="94"/>
  <c r="AD102" i="74" s="1"/>
  <c r="AD198" i="74" s="1"/>
  <c r="Z9" i="94"/>
  <c r="AC99" i="74" s="1"/>
  <c r="AB8" i="94"/>
  <c r="AB10" i="94" s="1"/>
  <c r="X18" i="82"/>
  <c r="AA69" i="74" s="1"/>
  <c r="AA191" i="74" s="1"/>
  <c r="X15" i="82"/>
  <c r="AA66" i="74" s="1"/>
  <c r="AA188" i="74" s="1"/>
  <c r="X12" i="82"/>
  <c r="AA63" i="74" s="1"/>
  <c r="AA185" i="74" s="1"/>
  <c r="X17" i="82"/>
  <c r="AA68" i="74" s="1"/>
  <c r="AA190" i="74" s="1"/>
  <c r="X14" i="82"/>
  <c r="AA65" i="74" s="1"/>
  <c r="AA187" i="74" s="1"/>
  <c r="X11" i="82"/>
  <c r="AA62" i="74" s="1"/>
  <c r="AA184" i="74" s="1"/>
  <c r="X16" i="82"/>
  <c r="AA67" i="74" s="1"/>
  <c r="AA189" i="74" s="1"/>
  <c r="X10" i="82"/>
  <c r="X13" i="82"/>
  <c r="AA64" i="74" s="1"/>
  <c r="AA186" i="74" s="1"/>
  <c r="G3" i="88"/>
  <c r="D26" i="60" s="1"/>
  <c r="V8" i="63"/>
  <c r="V6" i="62"/>
  <c r="V5" i="63"/>
  <c r="V4" i="62"/>
  <c r="U23" i="62" s="1"/>
  <c r="U8" i="60" s="1"/>
  <c r="L8" i="64"/>
  <c r="V7" i="64"/>
  <c r="V6" i="63"/>
  <c r="AB22" i="62"/>
  <c r="V6" i="64"/>
  <c r="V4" i="63"/>
  <c r="G42" i="67"/>
  <c r="G9" i="63" s="1"/>
  <c r="E42" i="67"/>
  <c r="E9" i="63" s="1"/>
  <c r="H7" i="62"/>
  <c r="Y8" i="82"/>
  <c r="Y32" i="82" s="1"/>
  <c r="Z61" i="74"/>
  <c r="Z183" i="74" s="1"/>
  <c r="W9" i="82"/>
  <c r="Z60" i="74" s="1"/>
  <c r="AD6" i="55"/>
  <c r="AD16" i="55" s="1"/>
  <c r="AB141" i="74"/>
  <c r="AB210" i="74" s="1"/>
  <c r="AB140" i="74"/>
  <c r="AB209" i="74" s="1"/>
  <c r="AB139" i="74"/>
  <c r="AB208" i="74" s="1"/>
  <c r="AB145" i="74"/>
  <c r="AB214" i="74" s="1"/>
  <c r="AB138" i="74"/>
  <c r="AB207" i="74" s="1"/>
  <c r="AB137" i="74"/>
  <c r="AB206" i="74" s="1"/>
  <c r="AB142" i="74"/>
  <c r="AB211" i="74" s="1"/>
  <c r="L6" i="64"/>
  <c r="L7" i="63"/>
  <c r="S6" i="55"/>
  <c r="S16" i="55" s="1"/>
  <c r="F13" i="64"/>
  <c r="E26" i="64" s="1"/>
  <c r="L6" i="55"/>
  <c r="L16" i="55" s="1"/>
  <c r="W6" i="55"/>
  <c r="W16" i="55" s="1"/>
  <c r="R6" i="55"/>
  <c r="R16" i="55" s="1"/>
  <c r="V6" i="55"/>
  <c r="V16" i="55" s="1"/>
  <c r="O6" i="55"/>
  <c r="O16" i="55" s="1"/>
  <c r="M6" i="55"/>
  <c r="M16" i="55" s="1"/>
  <c r="G6" i="55"/>
  <c r="AK6" i="55"/>
  <c r="AK16" i="55" s="1"/>
  <c r="Y6" i="55"/>
  <c r="Y16" i="55" s="1"/>
  <c r="K6" i="55"/>
  <c r="K16" i="55" s="1"/>
  <c r="X6" i="55"/>
  <c r="X16" i="55" s="1"/>
  <c r="Q6" i="55"/>
  <c r="Q16" i="55" s="1"/>
  <c r="AS6" i="55"/>
  <c r="AS16" i="55" s="1"/>
  <c r="AM6" i="55"/>
  <c r="AM16" i="55" s="1"/>
  <c r="AE6" i="55"/>
  <c r="AE16" i="55" s="1"/>
  <c r="AR6" i="55"/>
  <c r="AR16" i="55" s="1"/>
  <c r="AL6" i="55"/>
  <c r="AL16" i="55" s="1"/>
  <c r="AP6" i="55"/>
  <c r="AP16" i="55" s="1"/>
  <c r="AB6" i="55"/>
  <c r="AB16" i="55" s="1"/>
  <c r="N6" i="55"/>
  <c r="N16" i="55" s="1"/>
  <c r="AG6" i="55"/>
  <c r="AG16" i="55" s="1"/>
  <c r="H6" i="55"/>
  <c r="H16" i="55" s="1"/>
  <c r="H17" i="55" s="1"/>
  <c r="AI6" i="55"/>
  <c r="AI16" i="55" s="1"/>
  <c r="AH6" i="55"/>
  <c r="AH16" i="55" s="1"/>
  <c r="T6" i="55"/>
  <c r="T16" i="55" s="1"/>
  <c r="AF6" i="55"/>
  <c r="AF16" i="55" s="1"/>
  <c r="P6" i="55"/>
  <c r="P16" i="55" s="1"/>
  <c r="AQ6" i="55"/>
  <c r="AQ16" i="55" s="1"/>
  <c r="AN6" i="55"/>
  <c r="AN16" i="55" s="1"/>
  <c r="AC6" i="55"/>
  <c r="AC16" i="55" s="1"/>
  <c r="AA6" i="55"/>
  <c r="AA16" i="55" s="1"/>
  <c r="Z6" i="55"/>
  <c r="I6" i="55"/>
  <c r="I16" i="55" s="1"/>
  <c r="AJ6" i="55"/>
  <c r="AJ16" i="55" s="1"/>
  <c r="U6" i="55"/>
  <c r="U16" i="55" s="1"/>
  <c r="AT6" i="55"/>
  <c r="AT16" i="55" s="1"/>
  <c r="AO6" i="55"/>
  <c r="AO16" i="55" s="1"/>
  <c r="F6" i="64"/>
  <c r="F8" i="62"/>
  <c r="L6" i="62"/>
  <c r="E7" i="62"/>
  <c r="E5" i="64"/>
  <c r="L43" i="68"/>
  <c r="L10" i="64" s="1"/>
  <c r="D14" i="55"/>
  <c r="E6" i="62"/>
  <c r="F42" i="68"/>
  <c r="F10" i="63" s="1"/>
  <c r="E8" i="63"/>
  <c r="Q42" i="67"/>
  <c r="E7" i="64"/>
  <c r="G42" i="68"/>
  <c r="G10" i="63" s="1"/>
  <c r="J6" i="55"/>
  <c r="J16" i="55" s="1"/>
  <c r="F7" i="63"/>
  <c r="F4" i="62"/>
  <c r="E23" i="62" s="1"/>
  <c r="F5" i="64"/>
  <c r="F6" i="63"/>
  <c r="F7" i="62"/>
  <c r="L5" i="63"/>
  <c r="E4" i="63"/>
  <c r="V43" i="67"/>
  <c r="V9" i="64" s="1"/>
  <c r="E43" i="68"/>
  <c r="E10" i="64" s="1"/>
  <c r="AF173" i="52"/>
  <c r="AE190" i="52"/>
  <c r="L7" i="62"/>
  <c r="E6" i="63"/>
  <c r="V42" i="67"/>
  <c r="V9" i="63" s="1"/>
  <c r="E42" i="68"/>
  <c r="E10" i="63" s="1"/>
  <c r="F43" i="68"/>
  <c r="F10" i="64" s="1"/>
  <c r="E14" i="55"/>
  <c r="B101" i="55" s="1"/>
  <c r="E8" i="64"/>
  <c r="F8" i="64"/>
  <c r="F4" i="64"/>
  <c r="F5" i="63"/>
  <c r="E4" i="64"/>
  <c r="J43" i="67"/>
  <c r="K43" i="67" s="1"/>
  <c r="K9" i="64" s="1"/>
  <c r="Y9" i="76"/>
  <c r="AA8" i="76"/>
  <c r="AF288" i="52"/>
  <c r="AG271" i="52"/>
  <c r="AF238" i="52"/>
  <c r="AE255" i="52"/>
  <c r="AE222" i="52"/>
  <c r="AF205" i="52"/>
  <c r="AF139" i="52"/>
  <c r="AE156" i="52"/>
  <c r="AG122" i="52"/>
  <c r="AH105" i="52"/>
  <c r="AE90" i="52"/>
  <c r="AF73" i="52"/>
  <c r="AE57" i="52"/>
  <c r="AF40" i="52"/>
  <c r="V43" i="68"/>
  <c r="V10" i="64" s="1"/>
  <c r="V42" i="68"/>
  <c r="V10" i="63" s="1"/>
  <c r="E5" i="63"/>
  <c r="E6" i="64"/>
  <c r="D4" i="63"/>
  <c r="F43" i="67"/>
  <c r="F9" i="64" s="1"/>
  <c r="I5" i="55"/>
  <c r="I24" i="55" s="1"/>
  <c r="D4" i="57"/>
  <c r="D7" i="55"/>
  <c r="D8" i="55"/>
  <c r="G3" i="56"/>
  <c r="G14" i="56" s="1"/>
  <c r="E8" i="55"/>
  <c r="B97" i="55" s="1"/>
  <c r="D11" i="55"/>
  <c r="E7" i="55"/>
  <c r="B96" i="55" s="1"/>
  <c r="L6" i="63"/>
  <c r="AU6" i="55"/>
  <c r="AU16" i="55" s="1"/>
  <c r="D4" i="56"/>
  <c r="J7" i="64"/>
  <c r="D8" i="64"/>
  <c r="I5" i="63"/>
  <c r="V7" i="62"/>
  <c r="D42" i="68"/>
  <c r="D10" i="63" s="1"/>
  <c r="H6" i="62"/>
  <c r="J4" i="64"/>
  <c r="L8" i="62"/>
  <c r="L5" i="64"/>
  <c r="J5" i="63"/>
  <c r="D4" i="64"/>
  <c r="L4" i="62"/>
  <c r="K23" i="62" s="1"/>
  <c r="H41" i="67"/>
  <c r="J6" i="62"/>
  <c r="L7" i="64"/>
  <c r="Q10" i="64"/>
  <c r="D8" i="62"/>
  <c r="G10" i="55"/>
  <c r="E10" i="55" s="1"/>
  <c r="E11" i="55"/>
  <c r="B99" i="55" s="1"/>
  <c r="G3" i="58"/>
  <c r="G3" i="59"/>
  <c r="E23" i="60"/>
  <c r="G3" i="57"/>
  <c r="G13" i="57" s="1"/>
  <c r="K41" i="68"/>
  <c r="K10" i="62" s="1"/>
  <c r="H41" i="68"/>
  <c r="J43" i="68"/>
  <c r="J10" i="64" s="1"/>
  <c r="Q10" i="62"/>
  <c r="J42" i="68"/>
  <c r="J10" i="63" s="1"/>
  <c r="D9" i="62"/>
  <c r="K42" i="67"/>
  <c r="K9" i="63" s="1"/>
  <c r="M41" i="67"/>
  <c r="K41" i="67"/>
  <c r="K9" i="62" s="1"/>
  <c r="F42" i="67"/>
  <c r="F9" i="63" s="1"/>
  <c r="D42" i="67"/>
  <c r="D9" i="63" s="1"/>
  <c r="D5" i="62"/>
  <c r="D6" i="62"/>
  <c r="G4" i="63"/>
  <c r="D5" i="63"/>
  <c r="D5" i="64"/>
  <c r="G6" i="64"/>
  <c r="D7" i="63"/>
  <c r="D4" i="62"/>
  <c r="H5" i="62"/>
  <c r="L4" i="63"/>
  <c r="L5" i="62"/>
  <c r="H7" i="63"/>
  <c r="E8" i="62"/>
  <c r="E5" i="62"/>
  <c r="E4" i="62"/>
  <c r="D23" i="62" s="1"/>
  <c r="D8" i="60" s="1"/>
  <c r="G7" i="64"/>
  <c r="K7" i="64"/>
  <c r="G4" i="62"/>
  <c r="G6" i="63"/>
  <c r="G8" i="64"/>
  <c r="Q7" i="64"/>
  <c r="Q4" i="63"/>
  <c r="G5" i="63"/>
  <c r="Q5" i="64"/>
  <c r="J7" i="63"/>
  <c r="J5" i="62"/>
  <c r="Q4" i="64"/>
  <c r="Q8" i="62"/>
  <c r="G5" i="62"/>
  <c r="G7" i="63"/>
  <c r="H8" i="62"/>
  <c r="H4" i="64"/>
  <c r="Q5" i="63"/>
  <c r="J8" i="64"/>
  <c r="J6" i="63"/>
  <c r="J4" i="62"/>
  <c r="G6" i="62"/>
  <c r="H5" i="64"/>
  <c r="Q6" i="64"/>
  <c r="H4" i="63"/>
  <c r="H6" i="64"/>
  <c r="Q6" i="62"/>
  <c r="Q5" i="62"/>
  <c r="Q4" i="62"/>
  <c r="J6" i="64"/>
  <c r="J4" i="63"/>
  <c r="Q7" i="63"/>
  <c r="G8" i="62"/>
  <c r="G4" i="64"/>
  <c r="H5" i="63"/>
  <c r="H7" i="64"/>
  <c r="R7" i="64"/>
  <c r="J5" i="64"/>
  <c r="Q8" i="64"/>
  <c r="Q6" i="63"/>
  <c r="H4" i="62"/>
  <c r="G23" i="62" s="1"/>
  <c r="G8" i="60" s="1"/>
  <c r="H6" i="63"/>
  <c r="AB24" i="63"/>
  <c r="AD3" i="63"/>
  <c r="AH23" i="63"/>
  <c r="AG21" i="62"/>
  <c r="AD22" i="62"/>
  <c r="AF3" i="62"/>
  <c r="D38" i="60"/>
  <c r="E35" i="60"/>
  <c r="E13" i="55"/>
  <c r="D13" i="55"/>
  <c r="J9" i="64" l="1"/>
  <c r="J8" i="74"/>
  <c r="J35" i="74"/>
  <c r="J179" i="74" s="1"/>
  <c r="J36" i="74"/>
  <c r="J181" i="74" s="1"/>
  <c r="I21" i="94"/>
  <c r="L111" i="74" s="1"/>
  <c r="L232" i="74" s="1"/>
  <c r="I23" i="94"/>
  <c r="L113" i="74" s="1"/>
  <c r="L234" i="74" s="1"/>
  <c r="I23" i="76"/>
  <c r="I21" i="76"/>
  <c r="I24" i="82"/>
  <c r="G23" i="94"/>
  <c r="G21" i="94"/>
  <c r="G23" i="76"/>
  <c r="G21" i="76"/>
  <c r="G24" i="82"/>
  <c r="N23" i="76"/>
  <c r="N21" i="76"/>
  <c r="N24" i="82"/>
  <c r="L23" i="76"/>
  <c r="L21" i="76"/>
  <c r="L24" i="82"/>
  <c r="J23" i="94"/>
  <c r="M113" i="74" s="1"/>
  <c r="M234" i="74" s="1"/>
  <c r="J21" i="94"/>
  <c r="M111" i="74" s="1"/>
  <c r="M232" i="74" s="1"/>
  <c r="J21" i="76"/>
  <c r="J23" i="76"/>
  <c r="J24" i="82"/>
  <c r="H21" i="94"/>
  <c r="K111" i="74" s="1"/>
  <c r="K232" i="74" s="1"/>
  <c r="H23" i="94"/>
  <c r="K113" i="74" s="1"/>
  <c r="K234" i="74" s="1"/>
  <c r="H23" i="76"/>
  <c r="H24" i="82"/>
  <c r="H21" i="76"/>
  <c r="AA17" i="76"/>
  <c r="AD144" i="74" s="1"/>
  <c r="AD213" i="74" s="1"/>
  <c r="AB17" i="94"/>
  <c r="AE107" i="74" s="1"/>
  <c r="AE203" i="74" s="1"/>
  <c r="AB28" i="94"/>
  <c r="AE118" i="74" s="1"/>
  <c r="AE239" i="74" s="1"/>
  <c r="AB30" i="94"/>
  <c r="AE120" i="74" s="1"/>
  <c r="AE241" i="74" s="1"/>
  <c r="AB82" i="74"/>
  <c r="AB229" i="74" s="1"/>
  <c r="AC212" i="74"/>
  <c r="K361" i="74"/>
  <c r="K362" i="74" s="1"/>
  <c r="K278" i="74"/>
  <c r="H71" i="55"/>
  <c r="K7" i="74" s="1"/>
  <c r="K8" i="74"/>
  <c r="G71" i="55"/>
  <c r="I70" i="55"/>
  <c r="I72" i="55" s="1"/>
  <c r="M42" i="68"/>
  <c r="M43" i="67"/>
  <c r="N43" i="67" s="1"/>
  <c r="Q10" i="63"/>
  <c r="M43" i="68"/>
  <c r="I30" i="55"/>
  <c r="L35" i="74" s="1"/>
  <c r="L179" i="74" s="1"/>
  <c r="AD106" i="74"/>
  <c r="AD202" i="74" s="1"/>
  <c r="AD195" i="74" s="1"/>
  <c r="Y21" i="82"/>
  <c r="AB72" i="74" s="1"/>
  <c r="AB192" i="74" s="1"/>
  <c r="Y20" i="82"/>
  <c r="AB71" i="74" s="1"/>
  <c r="AB193" i="74" s="1"/>
  <c r="Z182" i="74"/>
  <c r="H42" i="67"/>
  <c r="I42" i="67" s="1"/>
  <c r="I9" i="63" s="1"/>
  <c r="AA194" i="74"/>
  <c r="J361" i="74"/>
  <c r="J362" i="74" s="1"/>
  <c r="J358" i="74"/>
  <c r="J359" i="74" s="1"/>
  <c r="K358" i="74"/>
  <c r="K359" i="74" s="1"/>
  <c r="Y19" i="82"/>
  <c r="AB70" i="74" s="1"/>
  <c r="G15" i="56"/>
  <c r="E25" i="63"/>
  <c r="AA18" i="76"/>
  <c r="AD143" i="74" s="1"/>
  <c r="K378" i="74"/>
  <c r="K380" i="74"/>
  <c r="K385" i="74"/>
  <c r="K379" i="74"/>
  <c r="K383" i="74"/>
  <c r="K384" i="74"/>
  <c r="J385" i="74"/>
  <c r="J384" i="74"/>
  <c r="J383" i="74"/>
  <c r="J379" i="74"/>
  <c r="J380" i="74"/>
  <c r="J378" i="74"/>
  <c r="K373" i="74"/>
  <c r="K372" i="74"/>
  <c r="K371" i="74"/>
  <c r="J371" i="74"/>
  <c r="J373" i="74"/>
  <c r="J372" i="74"/>
  <c r="K320" i="74"/>
  <c r="K367" i="74"/>
  <c r="K366" i="74"/>
  <c r="K368" i="74"/>
  <c r="J368" i="74"/>
  <c r="J366" i="74"/>
  <c r="J367" i="74"/>
  <c r="AB18" i="94"/>
  <c r="J320" i="74"/>
  <c r="L6" i="74"/>
  <c r="L278" i="74" s="1"/>
  <c r="I31" i="55"/>
  <c r="L36" i="74" s="1"/>
  <c r="L181" i="74" s="1"/>
  <c r="H43" i="67"/>
  <c r="U25" i="63"/>
  <c r="Y55" i="82"/>
  <c r="AA51" i="94"/>
  <c r="AD324" i="74" s="1"/>
  <c r="AA52" i="94"/>
  <c r="AD325" i="74" s="1"/>
  <c r="AA49" i="76"/>
  <c r="AA50" i="76" s="1"/>
  <c r="AD327" i="74" s="1"/>
  <c r="AA54" i="94"/>
  <c r="AD340" i="74" s="1"/>
  <c r="AB50" i="94"/>
  <c r="AA16" i="76"/>
  <c r="AA13" i="76"/>
  <c r="AA14" i="76"/>
  <c r="AA11" i="76"/>
  <c r="AA15" i="76"/>
  <c r="AA12" i="76"/>
  <c r="AB15" i="94"/>
  <c r="AE105" i="74" s="1"/>
  <c r="AE201" i="74" s="1"/>
  <c r="AB14" i="94"/>
  <c r="AE104" i="74" s="1"/>
  <c r="AE200" i="74" s="1"/>
  <c r="AB11" i="94"/>
  <c r="AE101" i="74" s="1"/>
  <c r="AE197" i="74" s="1"/>
  <c r="AE100" i="74"/>
  <c r="AE196" i="74" s="1"/>
  <c r="AB13" i="94"/>
  <c r="AE103" i="74" s="1"/>
  <c r="AE199" i="74" s="1"/>
  <c r="AB16" i="94"/>
  <c r="AE108" i="74" s="1"/>
  <c r="AE204" i="74" s="1"/>
  <c r="AB12" i="94"/>
  <c r="AE102" i="74" s="1"/>
  <c r="AE198" i="74" s="1"/>
  <c r="AA9" i="94"/>
  <c r="AD99" i="74" s="1"/>
  <c r="AC8" i="94"/>
  <c r="AC10" i="94" s="1"/>
  <c r="Y11" i="82"/>
  <c r="AB62" i="74" s="1"/>
  <c r="AB184" i="74" s="1"/>
  <c r="Y13" i="82"/>
  <c r="AB64" i="74" s="1"/>
  <c r="AB186" i="74" s="1"/>
  <c r="Y18" i="82"/>
  <c r="AB69" i="74" s="1"/>
  <c r="AB191" i="74" s="1"/>
  <c r="Y15" i="82"/>
  <c r="AB66" i="74" s="1"/>
  <c r="AB188" i="74" s="1"/>
  <c r="Y12" i="82"/>
  <c r="AB63" i="74" s="1"/>
  <c r="AB185" i="74" s="1"/>
  <c r="Y16" i="82"/>
  <c r="AB67" i="74" s="1"/>
  <c r="AB189" i="74" s="1"/>
  <c r="Y10" i="82"/>
  <c r="Y17" i="82"/>
  <c r="AB68" i="74" s="1"/>
  <c r="AB190" i="74" s="1"/>
  <c r="Y14" i="82"/>
  <c r="AB65" i="74" s="1"/>
  <c r="AB187" i="74" s="1"/>
  <c r="H3" i="57"/>
  <c r="H3" i="88"/>
  <c r="E26" i="60" s="1"/>
  <c r="I8" i="63"/>
  <c r="I6" i="63"/>
  <c r="I4" i="64"/>
  <c r="R43" i="68"/>
  <c r="S43" i="68" s="1"/>
  <c r="I6" i="64"/>
  <c r="I4" i="62"/>
  <c r="H23" i="62" s="1"/>
  <c r="I8" i="62"/>
  <c r="I7" i="63"/>
  <c r="I4" i="63"/>
  <c r="I7" i="64"/>
  <c r="R42" i="68"/>
  <c r="S42" i="68" s="1"/>
  <c r="R43" i="67"/>
  <c r="R9" i="64" s="1"/>
  <c r="I5" i="64"/>
  <c r="K25" i="63"/>
  <c r="Z8" i="82"/>
  <c r="Z32" i="82" s="1"/>
  <c r="AA61" i="74"/>
  <c r="AA183" i="74" s="1"/>
  <c r="X9" i="82"/>
  <c r="AA60" i="74" s="1"/>
  <c r="AB136" i="74"/>
  <c r="AB205" i="74"/>
  <c r="AC145" i="74"/>
  <c r="AC214" i="74" s="1"/>
  <c r="AC138" i="74"/>
  <c r="AC207" i="74" s="1"/>
  <c r="AC141" i="74"/>
  <c r="AC210" i="74" s="1"/>
  <c r="AC137" i="74"/>
  <c r="AC206" i="74" s="1"/>
  <c r="AC142" i="74"/>
  <c r="AC211" i="74" s="1"/>
  <c r="AC140" i="74"/>
  <c r="AC209" i="74" s="1"/>
  <c r="AC139" i="74"/>
  <c r="AC208" i="74" s="1"/>
  <c r="K161" i="74"/>
  <c r="R42" i="67"/>
  <c r="S42" i="67" s="1"/>
  <c r="G13" i="64"/>
  <c r="F26" i="64" s="1"/>
  <c r="D6" i="55"/>
  <c r="Z16" i="55"/>
  <c r="AF190" i="52"/>
  <c r="AG173" i="52"/>
  <c r="M42" i="67"/>
  <c r="N42" i="67" s="1"/>
  <c r="Q9" i="63"/>
  <c r="D25" i="63"/>
  <c r="Z9" i="76"/>
  <c r="AB8" i="76"/>
  <c r="AB10" i="76" s="1"/>
  <c r="G28" i="55"/>
  <c r="O84" i="45"/>
  <c r="AG288" i="52"/>
  <c r="AH271" i="52"/>
  <c r="AF255" i="52"/>
  <c r="AG238" i="52"/>
  <c r="AF222" i="52"/>
  <c r="AG205" i="52"/>
  <c r="AF156" i="52"/>
  <c r="AG139" i="52"/>
  <c r="AH122" i="52"/>
  <c r="AI105" i="52"/>
  <c r="AF90" i="52"/>
  <c r="AG73" i="52"/>
  <c r="AF57" i="52"/>
  <c r="AG40" i="52"/>
  <c r="I17" i="55"/>
  <c r="J5" i="55"/>
  <c r="J17" i="55" s="1"/>
  <c r="K8" i="60"/>
  <c r="E6" i="55"/>
  <c r="F23" i="60"/>
  <c r="H3" i="56"/>
  <c r="C16" i="60"/>
  <c r="P25" i="63"/>
  <c r="Q8" i="63"/>
  <c r="P23" i="62"/>
  <c r="P8" i="60" s="1"/>
  <c r="Q7" i="62"/>
  <c r="I23" i="62"/>
  <c r="J7" i="62"/>
  <c r="C23" i="62"/>
  <c r="C8" i="60" s="1"/>
  <c r="D7" i="62"/>
  <c r="I25" i="63"/>
  <c r="J8" i="63"/>
  <c r="I8" i="64"/>
  <c r="I6" i="62"/>
  <c r="R6" i="63"/>
  <c r="G25" i="63"/>
  <c r="H8" i="63"/>
  <c r="C25" i="63"/>
  <c r="D8" i="63"/>
  <c r="F23" i="62"/>
  <c r="F8" i="60" s="1"/>
  <c r="G7" i="62"/>
  <c r="F25" i="63"/>
  <c r="G8" i="63"/>
  <c r="R6" i="64"/>
  <c r="I7" i="62"/>
  <c r="E8" i="60"/>
  <c r="I5" i="62"/>
  <c r="G16" i="55"/>
  <c r="N42" i="68"/>
  <c r="M10" i="63"/>
  <c r="H9" i="63"/>
  <c r="R41" i="67"/>
  <c r="Q9" i="62"/>
  <c r="N41" i="67"/>
  <c r="M9" i="62"/>
  <c r="N43" i="68"/>
  <c r="M10" i="64"/>
  <c r="R4" i="62"/>
  <c r="I43" i="67"/>
  <c r="I9" i="64" s="1"/>
  <c r="H9" i="64"/>
  <c r="I41" i="68"/>
  <c r="I10" i="62" s="1"/>
  <c r="H10" i="62"/>
  <c r="R8" i="64"/>
  <c r="I41" i="67"/>
  <c r="I9" i="62" s="1"/>
  <c r="H9" i="62"/>
  <c r="R8" i="62"/>
  <c r="R4" i="63"/>
  <c r="D10" i="55"/>
  <c r="H3" i="58"/>
  <c r="H3" i="59"/>
  <c r="K42" i="68"/>
  <c r="K10" i="63" s="1"/>
  <c r="H42" i="68"/>
  <c r="R41" i="68"/>
  <c r="M41" i="68"/>
  <c r="K43" i="68"/>
  <c r="K10" i="64" s="1"/>
  <c r="H43" i="68"/>
  <c r="K4" i="62"/>
  <c r="R7" i="63"/>
  <c r="K5" i="62"/>
  <c r="K6" i="62"/>
  <c r="R5" i="62"/>
  <c r="R4" i="64"/>
  <c r="K7" i="63"/>
  <c r="R6" i="62"/>
  <c r="R5" i="64"/>
  <c r="K6" i="63"/>
  <c r="K8" i="64"/>
  <c r="K8" i="62"/>
  <c r="K4" i="64"/>
  <c r="R5" i="63"/>
  <c r="K5" i="64"/>
  <c r="K4" i="63"/>
  <c r="K6" i="64"/>
  <c r="S6" i="64"/>
  <c r="K5" i="63"/>
  <c r="AI23" i="63"/>
  <c r="AC24" i="63"/>
  <c r="AE3" i="63"/>
  <c r="AE22" i="62"/>
  <c r="AG3" i="62"/>
  <c r="AH21" i="62"/>
  <c r="E38" i="60"/>
  <c r="F35" i="60"/>
  <c r="M9" i="64" l="1"/>
  <c r="J7" i="74"/>
  <c r="J33" i="74"/>
  <c r="J177" i="74" s="1"/>
  <c r="M21" i="76"/>
  <c r="M23" i="76"/>
  <c r="M24" i="82"/>
  <c r="K21" i="94"/>
  <c r="N111" i="74" s="1"/>
  <c r="N232" i="74" s="1"/>
  <c r="K23" i="94"/>
  <c r="N113" i="74" s="1"/>
  <c r="N234" i="74" s="1"/>
  <c r="K23" i="76"/>
  <c r="K21" i="76"/>
  <c r="K24" i="82"/>
  <c r="AB17" i="76"/>
  <c r="AE144" i="74" s="1"/>
  <c r="AE213" i="74" s="1"/>
  <c r="AC17" i="94"/>
  <c r="AF107" i="74" s="1"/>
  <c r="AF203" i="74" s="1"/>
  <c r="AC28" i="94"/>
  <c r="AF118" i="74" s="1"/>
  <c r="AF239" i="74" s="1"/>
  <c r="AC30" i="94"/>
  <c r="AF120" i="74" s="1"/>
  <c r="AF241" i="74" s="1"/>
  <c r="AD212" i="74"/>
  <c r="L361" i="74"/>
  <c r="L362" i="74" s="1"/>
  <c r="I71" i="55"/>
  <c r="L7" i="74" s="1"/>
  <c r="L8" i="74"/>
  <c r="R9" i="63"/>
  <c r="AE106" i="74"/>
  <c r="AE202" i="74" s="1"/>
  <c r="AE195" i="74" s="1"/>
  <c r="Z21" i="82"/>
  <c r="AC72" i="74" s="1"/>
  <c r="AC192" i="74" s="1"/>
  <c r="Z20" i="82"/>
  <c r="AC71" i="74" s="1"/>
  <c r="AC193" i="74" s="1"/>
  <c r="AA182" i="74"/>
  <c r="S43" i="67"/>
  <c r="AB194" i="74"/>
  <c r="AC82" i="74"/>
  <c r="AC229" i="74" s="1"/>
  <c r="L358" i="74"/>
  <c r="L359" i="74" s="1"/>
  <c r="Z19" i="82"/>
  <c r="AC70" i="74" s="1"/>
  <c r="H15" i="56"/>
  <c r="H25" i="63"/>
  <c r="M9" i="63"/>
  <c r="AB18" i="76"/>
  <c r="AE143" i="74" s="1"/>
  <c r="J386" i="74"/>
  <c r="J381" i="74"/>
  <c r="K386" i="74"/>
  <c r="L378" i="74"/>
  <c r="L379" i="74"/>
  <c r="L380" i="74"/>
  <c r="L385" i="74"/>
  <c r="L383" i="74"/>
  <c r="L384" i="74"/>
  <c r="K374" i="74"/>
  <c r="K381" i="74"/>
  <c r="J374" i="74"/>
  <c r="L373" i="74"/>
  <c r="L371" i="74"/>
  <c r="L372" i="74"/>
  <c r="K369" i="74"/>
  <c r="L320" i="74"/>
  <c r="L366" i="74"/>
  <c r="L367" i="74"/>
  <c r="L368" i="74"/>
  <c r="J369" i="74"/>
  <c r="AC18" i="94"/>
  <c r="R10" i="63"/>
  <c r="R10" i="64"/>
  <c r="L231" i="74"/>
  <c r="L271" i="74" s="1"/>
  <c r="L285" i="74" s="1"/>
  <c r="I19" i="55"/>
  <c r="AX19" i="55"/>
  <c r="AV19" i="55"/>
  <c r="AY19" i="55"/>
  <c r="AZ19" i="55"/>
  <c r="BA19" i="55"/>
  <c r="BB19" i="55"/>
  <c r="AW19" i="55"/>
  <c r="H20" i="94"/>
  <c r="M231" i="74"/>
  <c r="M271" i="74" s="1"/>
  <c r="K231" i="74"/>
  <c r="K271" i="74" s="1"/>
  <c r="K285" i="74" s="1"/>
  <c r="Z55" i="82"/>
  <c r="AB51" i="94"/>
  <c r="AE324" i="74" s="1"/>
  <c r="AB52" i="94"/>
  <c r="AE325" i="74" s="1"/>
  <c r="AB49" i="76"/>
  <c r="AB50" i="76" s="1"/>
  <c r="AE327" i="74" s="1"/>
  <c r="AB54" i="94"/>
  <c r="AE340" i="74" s="1"/>
  <c r="AC50" i="94"/>
  <c r="I20" i="94"/>
  <c r="L110" i="74" s="1"/>
  <c r="J20" i="94"/>
  <c r="M110" i="74" s="1"/>
  <c r="AC14" i="94"/>
  <c r="AF104" i="74" s="1"/>
  <c r="AF200" i="74" s="1"/>
  <c r="AC11" i="94"/>
  <c r="AF101" i="74" s="1"/>
  <c r="AF197" i="74" s="1"/>
  <c r="AC15" i="94"/>
  <c r="AF105" i="74" s="1"/>
  <c r="AF201" i="74" s="1"/>
  <c r="AF100" i="74"/>
  <c r="AF196" i="74" s="1"/>
  <c r="AC13" i="94"/>
  <c r="AF103" i="74" s="1"/>
  <c r="AF199" i="74" s="1"/>
  <c r="AC12" i="94"/>
  <c r="AF102" i="74" s="1"/>
  <c r="AF198" i="74" s="1"/>
  <c r="AC16" i="94"/>
  <c r="AF108" i="74" s="1"/>
  <c r="AF204" i="74" s="1"/>
  <c r="AB16" i="76"/>
  <c r="AB13" i="76"/>
  <c r="AB12" i="76"/>
  <c r="AB15" i="76"/>
  <c r="AB11" i="76"/>
  <c r="AB14" i="76"/>
  <c r="AB9" i="94"/>
  <c r="AE99" i="74" s="1"/>
  <c r="AD8" i="94"/>
  <c r="AD10" i="94" s="1"/>
  <c r="I3" i="57"/>
  <c r="Z13" i="82"/>
  <c r="AC64" i="74" s="1"/>
  <c r="AC186" i="74" s="1"/>
  <c r="Z18" i="82"/>
  <c r="AC69" i="74" s="1"/>
  <c r="AC191" i="74" s="1"/>
  <c r="Z15" i="82"/>
  <c r="AC66" i="74" s="1"/>
  <c r="AC188" i="74" s="1"/>
  <c r="Z12" i="82"/>
  <c r="AC63" i="74" s="1"/>
  <c r="AC185" i="74" s="1"/>
  <c r="Z16" i="82"/>
  <c r="AC67" i="74" s="1"/>
  <c r="AC189" i="74" s="1"/>
  <c r="Z10" i="82"/>
  <c r="Z17" i="82"/>
  <c r="AC68" i="74" s="1"/>
  <c r="AC190" i="74" s="1"/>
  <c r="Z14" i="82"/>
  <c r="AC65" i="74" s="1"/>
  <c r="AC187" i="74" s="1"/>
  <c r="Z11" i="82"/>
  <c r="AC62" i="74" s="1"/>
  <c r="AC184" i="74" s="1"/>
  <c r="I3" i="88"/>
  <c r="F26" i="60" s="1"/>
  <c r="AB61" i="74"/>
  <c r="AB183" i="74" s="1"/>
  <c r="Y9" i="82"/>
  <c r="AB60" i="74" s="1"/>
  <c r="AA8" i="82"/>
  <c r="AA32" i="82" s="1"/>
  <c r="AC205" i="74"/>
  <c r="AC136" i="74"/>
  <c r="AD139" i="74"/>
  <c r="AD208" i="74" s="1"/>
  <c r="AD140" i="74"/>
  <c r="AD209" i="74" s="1"/>
  <c r="AD138" i="74"/>
  <c r="AD207" i="74" s="1"/>
  <c r="AD145" i="74"/>
  <c r="AD214" i="74" s="1"/>
  <c r="AD142" i="74"/>
  <c r="AD211" i="74" s="1"/>
  <c r="AD141" i="74"/>
  <c r="AD210" i="74" s="1"/>
  <c r="J161" i="74"/>
  <c r="H13" i="64"/>
  <c r="G26" i="64" s="1"/>
  <c r="K5" i="55"/>
  <c r="K24" i="55" s="1"/>
  <c r="K27" i="55" s="1"/>
  <c r="J24" i="55"/>
  <c r="W4" i="63"/>
  <c r="V25" i="63" s="1"/>
  <c r="AG190" i="52"/>
  <c r="AH173" i="52"/>
  <c r="H28" i="55"/>
  <c r="K33" i="74" s="1"/>
  <c r="K177" i="74" s="1"/>
  <c r="AC8" i="76"/>
  <c r="AC10" i="76" s="1"/>
  <c r="N84" i="45"/>
  <c r="AH288" i="52"/>
  <c r="AI271" i="52"/>
  <c r="AG255" i="52"/>
  <c r="AH238" i="52"/>
  <c r="AG222" i="52"/>
  <c r="AH205" i="52"/>
  <c r="AG156" i="52"/>
  <c r="AH139" i="52"/>
  <c r="AJ105" i="52"/>
  <c r="AI122" i="52"/>
  <c r="AG90" i="52"/>
  <c r="AH73" i="52"/>
  <c r="AG57" i="52"/>
  <c r="AH40" i="52"/>
  <c r="S7" i="63"/>
  <c r="I8" i="60"/>
  <c r="I3" i="56"/>
  <c r="G23" i="60"/>
  <c r="AS19" i="55"/>
  <c r="X19" i="55"/>
  <c r="M19" i="55"/>
  <c r="AU19" i="55"/>
  <c r="N19" i="55"/>
  <c r="V19" i="55"/>
  <c r="Q19" i="55"/>
  <c r="K19" i="55"/>
  <c r="S19" i="55"/>
  <c r="AD19" i="55"/>
  <c r="Y19" i="55"/>
  <c r="D16" i="55"/>
  <c r="AP19" i="55"/>
  <c r="E16" i="55"/>
  <c r="B103" i="55" s="1"/>
  <c r="L19" i="55"/>
  <c r="AJ19" i="55"/>
  <c r="W19" i="55"/>
  <c r="AR19" i="55"/>
  <c r="AE19" i="55"/>
  <c r="AA19" i="55"/>
  <c r="U19" i="55"/>
  <c r="AT19" i="55"/>
  <c r="H19" i="55"/>
  <c r="AG19" i="55"/>
  <c r="AI19" i="55"/>
  <c r="AK19" i="55"/>
  <c r="R19" i="55"/>
  <c r="P19" i="55"/>
  <c r="AO19" i="55"/>
  <c r="J19" i="55"/>
  <c r="G19" i="55"/>
  <c r="T19" i="55"/>
  <c r="Z19" i="55"/>
  <c r="AF19" i="55"/>
  <c r="AH19" i="55"/>
  <c r="AB19" i="55"/>
  <c r="G17" i="55"/>
  <c r="O19" i="55"/>
  <c r="AN19" i="55"/>
  <c r="AQ19" i="55"/>
  <c r="AC19" i="55"/>
  <c r="AL19" i="55"/>
  <c r="AM19" i="55"/>
  <c r="W8" i="63"/>
  <c r="J25" i="63"/>
  <c r="K8" i="63"/>
  <c r="M8" i="63"/>
  <c r="J23" i="62"/>
  <c r="K7" i="62"/>
  <c r="H8" i="60"/>
  <c r="Q23" i="62"/>
  <c r="Q8" i="60" s="1"/>
  <c r="R7" i="62"/>
  <c r="Q25" i="63"/>
  <c r="R8" i="63"/>
  <c r="N41" i="68"/>
  <c r="M10" i="62"/>
  <c r="S8" i="64"/>
  <c r="S41" i="68"/>
  <c r="R10" i="62"/>
  <c r="O41" i="67"/>
  <c r="N9" i="62"/>
  <c r="O42" i="67"/>
  <c r="N9" i="63"/>
  <c r="I42" i="68"/>
  <c r="I10" i="63" s="1"/>
  <c r="H10" i="63"/>
  <c r="S41" i="67"/>
  <c r="R9" i="62"/>
  <c r="O43" i="67"/>
  <c r="N9" i="64"/>
  <c r="W4" i="64"/>
  <c r="T42" i="67"/>
  <c r="S9" i="63"/>
  <c r="T42" i="68"/>
  <c r="S10" i="63"/>
  <c r="T43" i="68"/>
  <c r="S10" i="64"/>
  <c r="S5" i="62"/>
  <c r="M4" i="64"/>
  <c r="I43" i="68"/>
  <c r="I10" i="64" s="1"/>
  <c r="H10" i="64"/>
  <c r="T43" i="67"/>
  <c r="S9" i="64"/>
  <c r="S4" i="62"/>
  <c r="S6" i="63"/>
  <c r="O43" i="68"/>
  <c r="N10" i="64"/>
  <c r="O42" i="68"/>
  <c r="N10" i="63"/>
  <c r="I3" i="58"/>
  <c r="I3" i="59"/>
  <c r="F15" i="59"/>
  <c r="W5" i="64"/>
  <c r="M4" i="62"/>
  <c r="M8" i="62"/>
  <c r="M8" i="64"/>
  <c r="W8" i="62"/>
  <c r="M7" i="64"/>
  <c r="S5" i="63"/>
  <c r="S7" i="64"/>
  <c r="X6" i="64"/>
  <c r="M6" i="64"/>
  <c r="S6" i="62"/>
  <c r="W6" i="64"/>
  <c r="W5" i="63"/>
  <c r="W7" i="64"/>
  <c r="M5" i="63"/>
  <c r="T5" i="63"/>
  <c r="S8" i="62"/>
  <c r="S4" i="64"/>
  <c r="W4" i="62"/>
  <c r="W6" i="63"/>
  <c r="W8" i="64"/>
  <c r="M6" i="62"/>
  <c r="M6" i="63"/>
  <c r="N6" i="64"/>
  <c r="U5" i="64"/>
  <c r="S5" i="64"/>
  <c r="W5" i="62"/>
  <c r="W7" i="63"/>
  <c r="M4" i="63"/>
  <c r="M7" i="63"/>
  <c r="S4" i="63"/>
  <c r="W6" i="62"/>
  <c r="M5" i="62"/>
  <c r="M5" i="64"/>
  <c r="AD24" i="63"/>
  <c r="AF3" i="63"/>
  <c r="AJ23" i="63"/>
  <c r="AI21" i="62"/>
  <c r="AF22" i="62"/>
  <c r="AH3" i="62"/>
  <c r="G35" i="60"/>
  <c r="F38" i="60"/>
  <c r="O23" i="76" l="1"/>
  <c r="O21" i="76"/>
  <c r="O24" i="82"/>
  <c r="AC17" i="76"/>
  <c r="AF144" i="74" s="1"/>
  <c r="AF213" i="74" s="1"/>
  <c r="AD17" i="94"/>
  <c r="AG107" i="74" s="1"/>
  <c r="AG203" i="74" s="1"/>
  <c r="AD28" i="94"/>
  <c r="AG118" i="74" s="1"/>
  <c r="AG239" i="74" s="1"/>
  <c r="AD30" i="94"/>
  <c r="AG120" i="74" s="1"/>
  <c r="AG241" i="74" s="1"/>
  <c r="AD82" i="74"/>
  <c r="AD229" i="74" s="1"/>
  <c r="AE212" i="74"/>
  <c r="H37" i="94"/>
  <c r="H38" i="94" s="1"/>
  <c r="K128" i="74" s="1"/>
  <c r="K110" i="74"/>
  <c r="J70" i="55"/>
  <c r="J72" i="55" s="1"/>
  <c r="K30" i="55"/>
  <c r="N35" i="74" s="1"/>
  <c r="N179" i="74" s="1"/>
  <c r="K70" i="55"/>
  <c r="K72" i="55" s="1"/>
  <c r="J30" i="55"/>
  <c r="AF106" i="74"/>
  <c r="AF202" i="74" s="1"/>
  <c r="AF195" i="74" s="1"/>
  <c r="AA21" i="82"/>
  <c r="AD72" i="74" s="1"/>
  <c r="AD192" i="74" s="1"/>
  <c r="AA20" i="82"/>
  <c r="AD71" i="74" s="1"/>
  <c r="AD193" i="74" s="1"/>
  <c r="AB182" i="74"/>
  <c r="AC194" i="74"/>
  <c r="AA19" i="82"/>
  <c r="AD70" i="74" s="1"/>
  <c r="I15" i="56"/>
  <c r="AC18" i="76"/>
  <c r="AF143" i="74" s="1"/>
  <c r="L386" i="74"/>
  <c r="L381" i="74"/>
  <c r="L374" i="74"/>
  <c r="L369" i="74"/>
  <c r="N32" i="74"/>
  <c r="N180" i="74" s="1"/>
  <c r="AD18" i="94"/>
  <c r="M6" i="74"/>
  <c r="J31" i="55"/>
  <c r="N6" i="74"/>
  <c r="N278" i="74" s="1"/>
  <c r="K31" i="55"/>
  <c r="N36" i="74" s="1"/>
  <c r="N181" i="74" s="1"/>
  <c r="J20" i="55"/>
  <c r="N231" i="74"/>
  <c r="AA55" i="82"/>
  <c r="AC51" i="94"/>
  <c r="AF324" i="74" s="1"/>
  <c r="AC52" i="94"/>
  <c r="AF325" i="74" s="1"/>
  <c r="AC49" i="76"/>
  <c r="AC50" i="76" s="1"/>
  <c r="AF327" i="74" s="1"/>
  <c r="J37" i="94"/>
  <c r="I37" i="94"/>
  <c r="AC54" i="94"/>
  <c r="AF340" i="74" s="1"/>
  <c r="AD50" i="94"/>
  <c r="K20" i="94"/>
  <c r="N110" i="74" s="1"/>
  <c r="AD15" i="94"/>
  <c r="AG105" i="74" s="1"/>
  <c r="AG201" i="74" s="1"/>
  <c r="AD12" i="94"/>
  <c r="AG102" i="74" s="1"/>
  <c r="AG198" i="74" s="1"/>
  <c r="AD13" i="94"/>
  <c r="AG103" i="74" s="1"/>
  <c r="AG199" i="74" s="1"/>
  <c r="AD14" i="94"/>
  <c r="AG104" i="74" s="1"/>
  <c r="AG200" i="74" s="1"/>
  <c r="AD11" i="94"/>
  <c r="AG101" i="74" s="1"/>
  <c r="AG197" i="74" s="1"/>
  <c r="AG100" i="74"/>
  <c r="AG196" i="74" s="1"/>
  <c r="AD16" i="94"/>
  <c r="AG108" i="74" s="1"/>
  <c r="AG204" i="74" s="1"/>
  <c r="AC14" i="76"/>
  <c r="AC11" i="76"/>
  <c r="AC16" i="76"/>
  <c r="AC13" i="76"/>
  <c r="AC12" i="76"/>
  <c r="AC15" i="76"/>
  <c r="J3" i="57"/>
  <c r="AC9" i="94"/>
  <c r="AF99" i="74" s="1"/>
  <c r="AE8" i="94"/>
  <c r="AE10" i="94" s="1"/>
  <c r="AA18" i="82"/>
  <c r="AD69" i="74" s="1"/>
  <c r="AD191" i="74" s="1"/>
  <c r="AA15" i="82"/>
  <c r="AD66" i="74" s="1"/>
  <c r="AD188" i="74" s="1"/>
  <c r="AA12" i="82"/>
  <c r="AD63" i="74" s="1"/>
  <c r="AD185" i="74" s="1"/>
  <c r="AA17" i="82"/>
  <c r="AD68" i="74" s="1"/>
  <c r="AD190" i="74" s="1"/>
  <c r="AA14" i="82"/>
  <c r="AD65" i="74" s="1"/>
  <c r="AD187" i="74" s="1"/>
  <c r="AA11" i="82"/>
  <c r="AD62" i="74" s="1"/>
  <c r="AD184" i="74" s="1"/>
  <c r="AA16" i="82"/>
  <c r="AD67" i="74" s="1"/>
  <c r="AD189" i="74" s="1"/>
  <c r="AA13" i="82"/>
  <c r="AD64" i="74" s="1"/>
  <c r="AD186" i="74" s="1"/>
  <c r="AA10" i="82"/>
  <c r="J3" i="88"/>
  <c r="G26" i="60" s="1"/>
  <c r="L25" i="63"/>
  <c r="AB8" i="82"/>
  <c r="AB32" i="82" s="1"/>
  <c r="AC61" i="74"/>
  <c r="AC183" i="74" s="1"/>
  <c r="Z9" i="82"/>
  <c r="AC60" i="74" s="1"/>
  <c r="AE137" i="74"/>
  <c r="AE206" i="74" s="1"/>
  <c r="AE142" i="74"/>
  <c r="AE211" i="74" s="1"/>
  <c r="AE140" i="74"/>
  <c r="AE209" i="74" s="1"/>
  <c r="AE141" i="74"/>
  <c r="AE210" i="74" s="1"/>
  <c r="AE139" i="74"/>
  <c r="AE208" i="74" s="1"/>
  <c r="AE138" i="74"/>
  <c r="AE207" i="74" s="1"/>
  <c r="AE145" i="74"/>
  <c r="AE214" i="74" s="1"/>
  <c r="T5" i="64"/>
  <c r="T8" i="64"/>
  <c r="I13" i="64"/>
  <c r="H26" i="64" s="1"/>
  <c r="K17" i="55"/>
  <c r="K20" i="55" s="1"/>
  <c r="L5" i="55"/>
  <c r="L24" i="55" s="1"/>
  <c r="L84" i="45"/>
  <c r="AH190" i="52"/>
  <c r="AI173" i="52"/>
  <c r="AB9" i="76"/>
  <c r="I28" i="55"/>
  <c r="AD8" i="76"/>
  <c r="R84" i="45"/>
  <c r="AJ271" i="52"/>
  <c r="AI288" i="52"/>
  <c r="AH255" i="52"/>
  <c r="AI238" i="52"/>
  <c r="AH222" i="52"/>
  <c r="AI205" i="52"/>
  <c r="AH156" i="52"/>
  <c r="AI139" i="52"/>
  <c r="AJ122" i="52"/>
  <c r="AK105" i="52"/>
  <c r="AH90" i="52"/>
  <c r="AI73" i="52"/>
  <c r="AH57" i="52"/>
  <c r="AI40" i="52"/>
  <c r="J8" i="60"/>
  <c r="K84" i="45"/>
  <c r="H23" i="60"/>
  <c r="J3" i="56"/>
  <c r="G20" i="55"/>
  <c r="G15" i="59"/>
  <c r="I20" i="55"/>
  <c r="H20" i="55"/>
  <c r="R25" i="63"/>
  <c r="S8" i="63"/>
  <c r="V23" i="62"/>
  <c r="V8" i="60" s="1"/>
  <c r="W7" i="62"/>
  <c r="L23" i="62"/>
  <c r="M7" i="62"/>
  <c r="R23" i="62"/>
  <c r="R8" i="60" s="1"/>
  <c r="S7" i="62"/>
  <c r="U8" i="62"/>
  <c r="P43" i="67"/>
  <c r="P9" i="64" s="1"/>
  <c r="O9" i="64"/>
  <c r="P41" i="67"/>
  <c r="P9" i="62" s="1"/>
  <c r="O9" i="62"/>
  <c r="U5" i="63"/>
  <c r="U43" i="68"/>
  <c r="U10" i="64" s="1"/>
  <c r="T10" i="64"/>
  <c r="U43" i="67"/>
  <c r="U9" i="64" s="1"/>
  <c r="T9" i="64"/>
  <c r="T41" i="67"/>
  <c r="S9" i="62"/>
  <c r="T41" i="68"/>
  <c r="S10" i="62"/>
  <c r="U7" i="63"/>
  <c r="U42" i="68"/>
  <c r="U10" i="63" s="1"/>
  <c r="T10" i="63"/>
  <c r="U6" i="64"/>
  <c r="P42" i="68"/>
  <c r="P10" i="63" s="1"/>
  <c r="O10" i="63"/>
  <c r="U42" i="67"/>
  <c r="U9" i="63" s="1"/>
  <c r="T9" i="63"/>
  <c r="T4" i="64"/>
  <c r="U4" i="62"/>
  <c r="T4" i="63"/>
  <c r="P43" i="68"/>
  <c r="P10" i="64" s="1"/>
  <c r="O10" i="64"/>
  <c r="P42" i="67"/>
  <c r="P9" i="63" s="1"/>
  <c r="O9" i="63"/>
  <c r="O41" i="68"/>
  <c r="N10" i="62"/>
  <c r="J3" i="59"/>
  <c r="J3" i="58"/>
  <c r="N4" i="62"/>
  <c r="X8" i="62"/>
  <c r="N5" i="62"/>
  <c r="X4" i="63"/>
  <c r="N6" i="63"/>
  <c r="X4" i="64"/>
  <c r="N7" i="63"/>
  <c r="X5" i="64"/>
  <c r="N8" i="64"/>
  <c r="T6" i="63"/>
  <c r="N5" i="63"/>
  <c r="N7" i="64"/>
  <c r="T6" i="64"/>
  <c r="N6" i="62"/>
  <c r="T6" i="62"/>
  <c r="T7" i="63"/>
  <c r="X5" i="63"/>
  <c r="X7" i="64"/>
  <c r="Y6" i="64"/>
  <c r="X4" i="62"/>
  <c r="X6" i="63"/>
  <c r="X8" i="64"/>
  <c r="U6" i="63"/>
  <c r="U8" i="64"/>
  <c r="N8" i="62"/>
  <c r="N4" i="64"/>
  <c r="T4" i="62"/>
  <c r="O5" i="64"/>
  <c r="X5" i="62"/>
  <c r="X7" i="63"/>
  <c r="U6" i="62"/>
  <c r="U4" i="64"/>
  <c r="U4" i="63"/>
  <c r="N5" i="64"/>
  <c r="T7" i="64"/>
  <c r="T8" i="62"/>
  <c r="X6" i="62"/>
  <c r="U5" i="62"/>
  <c r="U7" i="64"/>
  <c r="N4" i="63"/>
  <c r="T5" i="62"/>
  <c r="AK23" i="63"/>
  <c r="AE24" i="63"/>
  <c r="AG3" i="63"/>
  <c r="AG22" i="62"/>
  <c r="AI3" i="62"/>
  <c r="AJ21" i="62"/>
  <c r="H35" i="60"/>
  <c r="G38" i="60"/>
  <c r="M8" i="74" l="1"/>
  <c r="L33" i="74"/>
  <c r="L177" i="74" s="1"/>
  <c r="M35" i="74"/>
  <c r="M179" i="74" s="1"/>
  <c r="M36" i="74"/>
  <c r="M181" i="74" s="1"/>
  <c r="M285" i="74"/>
  <c r="M278" i="74"/>
  <c r="P23" i="76"/>
  <c r="P21" i="76"/>
  <c r="P24" i="82"/>
  <c r="AD17" i="76"/>
  <c r="AG144" i="74" s="1"/>
  <c r="AG213" i="74" s="1"/>
  <c r="AE17" i="94"/>
  <c r="AH107" i="74" s="1"/>
  <c r="AH203" i="74" s="1"/>
  <c r="AE28" i="94"/>
  <c r="AH118" i="74" s="1"/>
  <c r="AH239" i="74" s="1"/>
  <c r="AE30" i="94"/>
  <c r="AH120" i="74" s="1"/>
  <c r="AH241" i="74" s="1"/>
  <c r="K127" i="74"/>
  <c r="AF212" i="74"/>
  <c r="M361" i="74"/>
  <c r="M362" i="74" s="1"/>
  <c r="N361" i="74"/>
  <c r="N362" i="74" s="1"/>
  <c r="K71" i="55"/>
  <c r="N7" i="74" s="1"/>
  <c r="N8" i="74"/>
  <c r="J71" i="55"/>
  <c r="L70" i="55"/>
  <c r="L72" i="55" s="1"/>
  <c r="L30" i="55"/>
  <c r="O35" i="74" s="1"/>
  <c r="O179" i="74" s="1"/>
  <c r="AG106" i="74"/>
  <c r="AG202" i="74" s="1"/>
  <c r="AG195" i="74" s="1"/>
  <c r="AC182" i="74"/>
  <c r="AB21" i="82"/>
  <c r="AE72" i="74" s="1"/>
  <c r="AE192" i="74" s="1"/>
  <c r="AB20" i="82"/>
  <c r="AE71" i="74" s="1"/>
  <c r="AE193" i="74" s="1"/>
  <c r="AD194" i="74"/>
  <c r="AE82" i="74"/>
  <c r="AE229" i="74" s="1"/>
  <c r="N358" i="74"/>
  <c r="N359" i="74" s="1"/>
  <c r="M358" i="74"/>
  <c r="M359" i="74" s="1"/>
  <c r="AB19" i="82"/>
  <c r="AE70" i="74" s="1"/>
  <c r="J15" i="56"/>
  <c r="AD18" i="76"/>
  <c r="AG143" i="74" s="1"/>
  <c r="M378" i="74"/>
  <c r="M379" i="74"/>
  <c r="M380" i="74"/>
  <c r="M385" i="74"/>
  <c r="M383" i="74"/>
  <c r="M384" i="74"/>
  <c r="N379" i="74"/>
  <c r="N380" i="74"/>
  <c r="N378" i="74"/>
  <c r="N383" i="74"/>
  <c r="N384" i="74"/>
  <c r="N385" i="74"/>
  <c r="M371" i="74"/>
  <c r="M372" i="74"/>
  <c r="M373" i="74"/>
  <c r="N371" i="74"/>
  <c r="N372" i="74"/>
  <c r="N373" i="74"/>
  <c r="N320" i="74"/>
  <c r="N368" i="74"/>
  <c r="N366" i="74"/>
  <c r="N367" i="74"/>
  <c r="M320" i="74"/>
  <c r="M366" i="74"/>
  <c r="M367" i="74"/>
  <c r="M368" i="74"/>
  <c r="AE18" i="94"/>
  <c r="O6" i="74"/>
  <c r="O278" i="74" s="1"/>
  <c r="L31" i="55"/>
  <c r="O36" i="74" s="1"/>
  <c r="O181" i="74" s="1"/>
  <c r="K3" i="57"/>
  <c r="AB55" i="82"/>
  <c r="AD51" i="94"/>
  <c r="AG324" i="74" s="1"/>
  <c r="AD52" i="94"/>
  <c r="AG325" i="74" s="1"/>
  <c r="J38" i="94"/>
  <c r="M128" i="74" s="1"/>
  <c r="M127" i="74"/>
  <c r="I38" i="94"/>
  <c r="L128" i="74" s="1"/>
  <c r="L127" i="74"/>
  <c r="AD49" i="76"/>
  <c r="AD50" i="76" s="1"/>
  <c r="AG327" i="74" s="1"/>
  <c r="AD54" i="94"/>
  <c r="AG340" i="74" s="1"/>
  <c r="AE50" i="94"/>
  <c r="AD14" i="76"/>
  <c r="AD11" i="76"/>
  <c r="AD15" i="76"/>
  <c r="AD13" i="76"/>
  <c r="AD16" i="76"/>
  <c r="AD12" i="76"/>
  <c r="AE15" i="94"/>
  <c r="AH105" i="74" s="1"/>
  <c r="AH201" i="74" s="1"/>
  <c r="AE12" i="94"/>
  <c r="AH102" i="74" s="1"/>
  <c r="AH198" i="74" s="1"/>
  <c r="AE14" i="94"/>
  <c r="AH104" i="74" s="1"/>
  <c r="AH200" i="74" s="1"/>
  <c r="AH100" i="74"/>
  <c r="AH196" i="74" s="1"/>
  <c r="AE16" i="94"/>
  <c r="AH108" i="74" s="1"/>
  <c r="AH204" i="74" s="1"/>
  <c r="AE13" i="94"/>
  <c r="AH103" i="74" s="1"/>
  <c r="AH199" i="74" s="1"/>
  <c r="AE11" i="94"/>
  <c r="AH101" i="74" s="1"/>
  <c r="AH197" i="74" s="1"/>
  <c r="AD9" i="94"/>
  <c r="AG99" i="74" s="1"/>
  <c r="AF8" i="94"/>
  <c r="AF10" i="94" s="1"/>
  <c r="AB17" i="82"/>
  <c r="AE68" i="74" s="1"/>
  <c r="AE190" i="74" s="1"/>
  <c r="AB14" i="82"/>
  <c r="AE65" i="74" s="1"/>
  <c r="AE187" i="74" s="1"/>
  <c r="AB11" i="82"/>
  <c r="AE62" i="74" s="1"/>
  <c r="AE184" i="74" s="1"/>
  <c r="AB18" i="82"/>
  <c r="AE69" i="74" s="1"/>
  <c r="AE191" i="74" s="1"/>
  <c r="AB10" i="82"/>
  <c r="AB16" i="82"/>
  <c r="AE67" i="74" s="1"/>
  <c r="AE189" i="74" s="1"/>
  <c r="AB13" i="82"/>
  <c r="AE64" i="74" s="1"/>
  <c r="AE186" i="74" s="1"/>
  <c r="AB12" i="82"/>
  <c r="AE63" i="74" s="1"/>
  <c r="AE185" i="74" s="1"/>
  <c r="AB15" i="82"/>
  <c r="AE66" i="74" s="1"/>
  <c r="AE188" i="74" s="1"/>
  <c r="K3" i="88"/>
  <c r="H26" i="60" s="1"/>
  <c r="AD61" i="74"/>
  <c r="AD183" i="74" s="1"/>
  <c r="AA9" i="82"/>
  <c r="AD60" i="74" s="1"/>
  <c r="AC8" i="82"/>
  <c r="AC32" i="82" s="1"/>
  <c r="L17" i="55"/>
  <c r="L20" i="55" s="1"/>
  <c r="M5" i="55"/>
  <c r="M24" i="55" s="1"/>
  <c r="M27" i="55" s="1"/>
  <c r="AE136" i="74"/>
  <c r="AE205" i="74"/>
  <c r="AF141" i="74"/>
  <c r="AF210" i="74" s="1"/>
  <c r="AF145" i="74"/>
  <c r="AF214" i="74" s="1"/>
  <c r="AF137" i="74"/>
  <c r="AF206" i="74" s="1"/>
  <c r="AF138" i="74"/>
  <c r="AF207" i="74" s="1"/>
  <c r="AF139" i="74"/>
  <c r="AF208" i="74" s="1"/>
  <c r="AF142" i="74"/>
  <c r="AF211" i="74" s="1"/>
  <c r="AF140" i="74"/>
  <c r="AF209" i="74" s="1"/>
  <c r="J13" i="64"/>
  <c r="I26" i="64" s="1"/>
  <c r="AI190" i="52"/>
  <c r="AJ173" i="52"/>
  <c r="AC9" i="76"/>
  <c r="AE8" i="76"/>
  <c r="AE10" i="76" s="1"/>
  <c r="J28" i="55"/>
  <c r="AK271" i="52"/>
  <c r="AJ288" i="52"/>
  <c r="AJ238" i="52"/>
  <c r="AI255" i="52"/>
  <c r="AI222" i="52"/>
  <c r="AJ205" i="52"/>
  <c r="AJ139" i="52"/>
  <c r="AI156" i="52"/>
  <c r="AK122" i="52"/>
  <c r="AL105" i="52"/>
  <c r="AI90" i="52"/>
  <c r="AJ73" i="52"/>
  <c r="AJ40" i="52"/>
  <c r="AI57" i="52"/>
  <c r="O4" i="63"/>
  <c r="Q84" i="45"/>
  <c r="K3" i="56"/>
  <c r="I23" i="60"/>
  <c r="H15" i="59"/>
  <c r="L8" i="60"/>
  <c r="M25" i="63"/>
  <c r="N8" i="63"/>
  <c r="M23" i="62"/>
  <c r="N7" i="62"/>
  <c r="S25" i="63"/>
  <c r="T8" i="63"/>
  <c r="T25" i="63"/>
  <c r="U8" i="63"/>
  <c r="W23" i="62"/>
  <c r="W8" i="60" s="1"/>
  <c r="X7" i="62"/>
  <c r="T23" i="62"/>
  <c r="T8" i="60" s="1"/>
  <c r="U7" i="62"/>
  <c r="W25" i="63"/>
  <c r="X8" i="63"/>
  <c r="P8" i="63"/>
  <c r="S23" i="62"/>
  <c r="S8" i="60" s="1"/>
  <c r="T7" i="62"/>
  <c r="P41" i="68"/>
  <c r="P10" i="62" s="1"/>
  <c r="O10" i="62"/>
  <c r="U41" i="68"/>
  <c r="U10" i="62" s="1"/>
  <c r="T10" i="62"/>
  <c r="U41" i="67"/>
  <c r="U9" i="62" s="1"/>
  <c r="T9" i="62"/>
  <c r="P8" i="62"/>
  <c r="K3" i="59"/>
  <c r="K3" i="58"/>
  <c r="P4" i="64"/>
  <c r="O6" i="64"/>
  <c r="Y5" i="63"/>
  <c r="O5" i="63"/>
  <c r="P5" i="64"/>
  <c r="O4" i="62"/>
  <c r="O6" i="63"/>
  <c r="O8" i="64"/>
  <c r="Y5" i="62"/>
  <c r="Y7" i="63"/>
  <c r="Y6" i="63"/>
  <c r="P4" i="63"/>
  <c r="P6" i="64"/>
  <c r="O5" i="62"/>
  <c r="O7" i="63"/>
  <c r="Y6" i="62"/>
  <c r="AA6" i="62"/>
  <c r="O7" i="64"/>
  <c r="P5" i="63"/>
  <c r="P7" i="64"/>
  <c r="O6" i="62"/>
  <c r="Z5" i="64"/>
  <c r="Y8" i="64"/>
  <c r="P4" i="62"/>
  <c r="P6" i="63"/>
  <c r="P8" i="64"/>
  <c r="Y8" i="62"/>
  <c r="Y4" i="64"/>
  <c r="Y7" i="64"/>
  <c r="Y4" i="62"/>
  <c r="P5" i="62"/>
  <c r="P7" i="63"/>
  <c r="O8" i="62"/>
  <c r="O4" i="64"/>
  <c r="Y5" i="64"/>
  <c r="P6" i="62"/>
  <c r="Y4" i="63"/>
  <c r="AF24" i="63"/>
  <c r="AH3" i="63"/>
  <c r="AL23" i="63"/>
  <c r="AK21" i="62"/>
  <c r="AH22" i="62"/>
  <c r="AJ3" i="62"/>
  <c r="I35" i="60"/>
  <c r="H38" i="60"/>
  <c r="M7" i="74" l="1"/>
  <c r="M33" i="74"/>
  <c r="M177" i="74" s="1"/>
  <c r="AG212" i="74"/>
  <c r="AE17" i="76"/>
  <c r="AH144" i="74" s="1"/>
  <c r="AH213" i="74" s="1"/>
  <c r="AF17" i="94"/>
  <c r="AI107" i="74" s="1"/>
  <c r="AI203" i="74" s="1"/>
  <c r="AF30" i="94"/>
  <c r="AI120" i="74" s="1"/>
  <c r="AI241" i="74" s="1"/>
  <c r="AF28" i="94"/>
  <c r="AI118" i="74" s="1"/>
  <c r="AI239" i="74" s="1"/>
  <c r="AF82" i="74"/>
  <c r="AF229" i="74" s="1"/>
  <c r="L71" i="55"/>
  <c r="O7" i="74" s="1"/>
  <c r="O8" i="74"/>
  <c r="M70" i="55"/>
  <c r="M72" i="55" s="1"/>
  <c r="M30" i="55"/>
  <c r="AD182" i="74"/>
  <c r="AH106" i="74"/>
  <c r="AH202" i="74" s="1"/>
  <c r="AH195" i="74" s="1"/>
  <c r="AC21" i="82"/>
  <c r="AF72" i="74" s="1"/>
  <c r="AF192" i="74" s="1"/>
  <c r="AC20" i="82"/>
  <c r="AF71" i="74" s="1"/>
  <c r="AF193" i="74" s="1"/>
  <c r="AE194" i="74"/>
  <c r="AC19" i="82"/>
  <c r="AF70" i="74" s="1"/>
  <c r="K15" i="56"/>
  <c r="L3" i="57"/>
  <c r="AE18" i="76"/>
  <c r="AH143" i="74" s="1"/>
  <c r="N381" i="74"/>
  <c r="N386" i="74"/>
  <c r="M386" i="74"/>
  <c r="O380" i="74"/>
  <c r="O379" i="74"/>
  <c r="O378" i="74"/>
  <c r="O383" i="74"/>
  <c r="O384" i="74"/>
  <c r="O385" i="74"/>
  <c r="M381" i="74"/>
  <c r="N374" i="74"/>
  <c r="O371" i="74"/>
  <c r="O372" i="74"/>
  <c r="O373" i="74"/>
  <c r="M374" i="74"/>
  <c r="O320" i="74"/>
  <c r="O366" i="74"/>
  <c r="O368" i="74"/>
  <c r="N369" i="74"/>
  <c r="M369" i="74"/>
  <c r="P32" i="74"/>
  <c r="P180" i="74" s="1"/>
  <c r="AF18" i="94"/>
  <c r="P6" i="74"/>
  <c r="P278" i="74" s="1"/>
  <c r="M31" i="55"/>
  <c r="P36" i="74" s="1"/>
  <c r="P181" i="74" s="1"/>
  <c r="O25" i="63"/>
  <c r="AC55" i="82"/>
  <c r="AE51" i="94"/>
  <c r="AH324" i="74" s="1"/>
  <c r="AE52" i="94"/>
  <c r="AH325" i="74" s="1"/>
  <c r="AE49" i="76"/>
  <c r="AE50" i="76" s="1"/>
  <c r="AH327" i="74" s="1"/>
  <c r="AE54" i="94"/>
  <c r="AH340" i="74" s="1"/>
  <c r="AF50" i="94"/>
  <c r="AA4" i="64"/>
  <c r="AF14" i="94"/>
  <c r="AI104" i="74" s="1"/>
  <c r="AI200" i="74" s="1"/>
  <c r="AI100" i="74"/>
  <c r="AI196" i="74" s="1"/>
  <c r="AF13" i="94"/>
  <c r="AI103" i="74" s="1"/>
  <c r="AI199" i="74" s="1"/>
  <c r="AF11" i="94"/>
  <c r="AI101" i="74" s="1"/>
  <c r="AI197" i="74" s="1"/>
  <c r="AF12" i="94"/>
  <c r="AI102" i="74" s="1"/>
  <c r="AI198" i="74" s="1"/>
  <c r="AF16" i="94"/>
  <c r="AI108" i="74" s="1"/>
  <c r="AI204" i="74" s="1"/>
  <c r="AF15" i="94"/>
  <c r="AI105" i="74" s="1"/>
  <c r="AI201" i="74" s="1"/>
  <c r="AE15" i="76"/>
  <c r="AE12" i="76"/>
  <c r="AE13" i="76"/>
  <c r="AE14" i="76"/>
  <c r="AE11" i="76"/>
  <c r="AE16" i="76"/>
  <c r="AE9" i="94"/>
  <c r="AH99" i="74" s="1"/>
  <c r="AG8" i="94"/>
  <c r="AG10" i="94" s="1"/>
  <c r="AC17" i="82"/>
  <c r="AF68" i="74" s="1"/>
  <c r="AF190" i="74" s="1"/>
  <c r="AC14" i="82"/>
  <c r="AF65" i="74" s="1"/>
  <c r="AF187" i="74" s="1"/>
  <c r="AC11" i="82"/>
  <c r="AF62" i="74" s="1"/>
  <c r="AF184" i="74" s="1"/>
  <c r="AC10" i="82"/>
  <c r="AC12" i="82"/>
  <c r="AF63" i="74" s="1"/>
  <c r="AF185" i="74" s="1"/>
  <c r="AC18" i="82"/>
  <c r="AF69" i="74" s="1"/>
  <c r="AF191" i="74" s="1"/>
  <c r="AC15" i="82"/>
  <c r="AF66" i="74" s="1"/>
  <c r="AF188" i="74" s="1"/>
  <c r="AC16" i="82"/>
  <c r="AF67" i="74" s="1"/>
  <c r="AF189" i="74" s="1"/>
  <c r="AC13" i="82"/>
  <c r="AF64" i="74" s="1"/>
  <c r="AF186" i="74" s="1"/>
  <c r="L3" i="88"/>
  <c r="I26" i="60" s="1"/>
  <c r="AD8" i="82"/>
  <c r="AD32" i="82" s="1"/>
  <c r="AE61" i="74"/>
  <c r="AE183" i="74" s="1"/>
  <c r="AB9" i="82"/>
  <c r="AE60" i="74" s="1"/>
  <c r="M17" i="55"/>
  <c r="N5" i="55"/>
  <c r="O5" i="55" s="1"/>
  <c r="AF136" i="74"/>
  <c r="AF205" i="74"/>
  <c r="AG142" i="74"/>
  <c r="AG211" i="74" s="1"/>
  <c r="AG139" i="74"/>
  <c r="AG208" i="74" s="1"/>
  <c r="AG141" i="74"/>
  <c r="AG210" i="74" s="1"/>
  <c r="AG140" i="74"/>
  <c r="AG209" i="74" s="1"/>
  <c r="AG138" i="74"/>
  <c r="AG207" i="74" s="1"/>
  <c r="AG145" i="74"/>
  <c r="AG214" i="74" s="1"/>
  <c r="K13" i="64"/>
  <c r="J26" i="64" s="1"/>
  <c r="AJ190" i="52"/>
  <c r="AK173" i="52"/>
  <c r="K28" i="55"/>
  <c r="N33" i="74" s="1"/>
  <c r="N177" i="74" s="1"/>
  <c r="AF8" i="76"/>
  <c r="AF10" i="76" s="1"/>
  <c r="AK288" i="52"/>
  <c r="AL271" i="52"/>
  <c r="AJ255" i="52"/>
  <c r="AK238" i="52"/>
  <c r="AJ222" i="52"/>
  <c r="AK205" i="52"/>
  <c r="AJ156" i="52"/>
  <c r="AK139" i="52"/>
  <c r="AL122" i="52"/>
  <c r="AM105" i="52"/>
  <c r="AJ90" i="52"/>
  <c r="AK73" i="52"/>
  <c r="AK40" i="52"/>
  <c r="AJ57" i="52"/>
  <c r="L3" i="56"/>
  <c r="L14" i="56" s="1"/>
  <c r="J23" i="60"/>
  <c r="I15" i="59"/>
  <c r="M8" i="60"/>
  <c r="N25" i="63"/>
  <c r="O8" i="63"/>
  <c r="N23" i="62"/>
  <c r="S84" i="45" s="1"/>
  <c r="O7" i="62"/>
  <c r="X25" i="63"/>
  <c r="Y8" i="63"/>
  <c r="O23" i="62"/>
  <c r="P7" i="62"/>
  <c r="AA7" i="62"/>
  <c r="X23" i="62"/>
  <c r="X8" i="60" s="1"/>
  <c r="Y7" i="62"/>
  <c r="AA8" i="62"/>
  <c r="L3" i="59"/>
  <c r="L3" i="58"/>
  <c r="AA4" i="63"/>
  <c r="AA8" i="63"/>
  <c r="AA5" i="64"/>
  <c r="AA6" i="64"/>
  <c r="Z4" i="63"/>
  <c r="Z6" i="64"/>
  <c r="Z4" i="62"/>
  <c r="Z5" i="62"/>
  <c r="Z7" i="63"/>
  <c r="AA5" i="63"/>
  <c r="AA7" i="64"/>
  <c r="Z7" i="64"/>
  <c r="Z6" i="63"/>
  <c r="Z6" i="62"/>
  <c r="AA4" i="62"/>
  <c r="Z23" i="62" s="1"/>
  <c r="Z8" i="60" s="1"/>
  <c r="AA6" i="63"/>
  <c r="AA8" i="64"/>
  <c r="Z5" i="63"/>
  <c r="Z8" i="64"/>
  <c r="AA5" i="62"/>
  <c r="AA7" i="63"/>
  <c r="Z8" i="62"/>
  <c r="Z4" i="64"/>
  <c r="AM23" i="63"/>
  <c r="AG24" i="63"/>
  <c r="AI3" i="63"/>
  <c r="AI22" i="62"/>
  <c r="AK3" i="62"/>
  <c r="AL21" i="62"/>
  <c r="J35" i="60"/>
  <c r="I38" i="60"/>
  <c r="P35" i="74" l="1"/>
  <c r="P179" i="74" s="1"/>
  <c r="AH212" i="74"/>
  <c r="AF17" i="76"/>
  <c r="AI144" i="74" s="1"/>
  <c r="AI213" i="74" s="1"/>
  <c r="AG17" i="94"/>
  <c r="AJ107" i="74" s="1"/>
  <c r="AJ203" i="74" s="1"/>
  <c r="AG30" i="94"/>
  <c r="AJ120" i="74" s="1"/>
  <c r="AJ241" i="74" s="1"/>
  <c r="AG28" i="94"/>
  <c r="AJ118" i="74" s="1"/>
  <c r="AJ239" i="74" s="1"/>
  <c r="M3" i="57"/>
  <c r="N3" i="57" s="1"/>
  <c r="M71" i="55"/>
  <c r="P8" i="74"/>
  <c r="AE182" i="74"/>
  <c r="AI106" i="74"/>
  <c r="AI202" i="74" s="1"/>
  <c r="AI195" i="74" s="1"/>
  <c r="AD21" i="82"/>
  <c r="AG72" i="74" s="1"/>
  <c r="AG192" i="74" s="1"/>
  <c r="AD20" i="82"/>
  <c r="AG71" i="74" s="1"/>
  <c r="AG193" i="74" s="1"/>
  <c r="AX4" i="64"/>
  <c r="AP4" i="64"/>
  <c r="AH4" i="64"/>
  <c r="AB4" i="64"/>
  <c r="AU4" i="64"/>
  <c r="AK4" i="64"/>
  <c r="AZ4" i="64"/>
  <c r="AI4" i="64"/>
  <c r="AW4" i="64"/>
  <c r="AO4" i="64"/>
  <c r="AG4" i="64"/>
  <c r="AM4" i="64"/>
  <c r="AC4" i="64"/>
  <c r="AV4" i="64"/>
  <c r="AN4" i="64"/>
  <c r="AF4" i="64"/>
  <c r="AR4" i="64"/>
  <c r="AE4" i="64"/>
  <c r="AY4" i="64"/>
  <c r="BB4" i="64"/>
  <c r="AT4" i="64"/>
  <c r="AL4" i="64"/>
  <c r="AD4" i="64"/>
  <c r="BA4" i="64"/>
  <c r="AS4" i="64"/>
  <c r="AQ4" i="64"/>
  <c r="AJ4" i="64"/>
  <c r="BA7" i="64"/>
  <c r="AS7" i="64"/>
  <c r="AK7" i="64"/>
  <c r="AC7" i="64"/>
  <c r="AZ7" i="64"/>
  <c r="AR7" i="64"/>
  <c r="AJ7" i="64"/>
  <c r="AT7" i="64"/>
  <c r="AY7" i="64"/>
  <c r="AQ7" i="64"/>
  <c r="AI7" i="64"/>
  <c r="AX7" i="64"/>
  <c r="AP7" i="64"/>
  <c r="AH7" i="64"/>
  <c r="BB7" i="64"/>
  <c r="AW7" i="64"/>
  <c r="AO7" i="64"/>
  <c r="AG7" i="64"/>
  <c r="AV7" i="64"/>
  <c r="AN7" i="64"/>
  <c r="AF7" i="64"/>
  <c r="AD7" i="64"/>
  <c r="AB7" i="64"/>
  <c r="AU7" i="64"/>
  <c r="AM7" i="64"/>
  <c r="AE7" i="64"/>
  <c r="AL7" i="64"/>
  <c r="AU6" i="64"/>
  <c r="AM6" i="64"/>
  <c r="BB6" i="64"/>
  <c r="AT6" i="64"/>
  <c r="AL6" i="64"/>
  <c r="AD6" i="64"/>
  <c r="AB6" i="64"/>
  <c r="BA6" i="64"/>
  <c r="AS6" i="64"/>
  <c r="AK6" i="64"/>
  <c r="AC6" i="64"/>
  <c r="AV6" i="64"/>
  <c r="AE6" i="64"/>
  <c r="AZ6" i="64"/>
  <c r="AR6" i="64"/>
  <c r="AJ6" i="64"/>
  <c r="AY6" i="64"/>
  <c r="AQ6" i="64"/>
  <c r="AI6" i="64"/>
  <c r="AX6" i="64"/>
  <c r="AP6" i="64"/>
  <c r="AH6" i="64"/>
  <c r="AF6" i="64"/>
  <c r="AW6" i="64"/>
  <c r="AO6" i="64"/>
  <c r="AG6" i="64"/>
  <c r="AN6" i="64"/>
  <c r="AY8" i="64"/>
  <c r="AQ8" i="64"/>
  <c r="AI8" i="64"/>
  <c r="AX8" i="64"/>
  <c r="AP8" i="64"/>
  <c r="AH8" i="64"/>
  <c r="AW8" i="64"/>
  <c r="AO8" i="64"/>
  <c r="AG8" i="64"/>
  <c r="AV8" i="64"/>
  <c r="AN8" i="64"/>
  <c r="AF8" i="64"/>
  <c r="AU8" i="64"/>
  <c r="AM8" i="64"/>
  <c r="AE8" i="64"/>
  <c r="AR8" i="64"/>
  <c r="BB8" i="64"/>
  <c r="AT8" i="64"/>
  <c r="AL8" i="64"/>
  <c r="AD8" i="64"/>
  <c r="AB8" i="64"/>
  <c r="BA8" i="64"/>
  <c r="AS8" i="64"/>
  <c r="AK8" i="64"/>
  <c r="AC8" i="64"/>
  <c r="AZ8" i="64"/>
  <c r="AJ8" i="64"/>
  <c r="AW5" i="64"/>
  <c r="AO5" i="64"/>
  <c r="AV5" i="64"/>
  <c r="AN5" i="64"/>
  <c r="AF5" i="64"/>
  <c r="AC5" i="64"/>
  <c r="AU5" i="64"/>
  <c r="AM5" i="64"/>
  <c r="AE5" i="64"/>
  <c r="AB5" i="64"/>
  <c r="BA5" i="64"/>
  <c r="AP5" i="64"/>
  <c r="AG5" i="64"/>
  <c r="BB5" i="64"/>
  <c r="AT5" i="64"/>
  <c r="AL5" i="64"/>
  <c r="AD5" i="64"/>
  <c r="AS5" i="64"/>
  <c r="AK5" i="64"/>
  <c r="AX5" i="64"/>
  <c r="AZ5" i="64"/>
  <c r="AR5" i="64"/>
  <c r="AJ5" i="64"/>
  <c r="AY5" i="64"/>
  <c r="AQ5" i="64"/>
  <c r="AI5" i="64"/>
  <c r="AH5" i="64"/>
  <c r="AF194" i="74"/>
  <c r="AG82" i="74"/>
  <c r="AG229" i="74" s="1"/>
  <c r="AD19" i="82"/>
  <c r="AG70" i="74" s="1"/>
  <c r="L15" i="56"/>
  <c r="M28" i="55" s="1"/>
  <c r="P33" i="74" s="1"/>
  <c r="P177" i="74" s="1"/>
  <c r="AF18" i="76"/>
  <c r="AI143" i="74" s="1"/>
  <c r="O381" i="74"/>
  <c r="P383" i="74"/>
  <c r="P378" i="74"/>
  <c r="P379" i="74"/>
  <c r="P384" i="74"/>
  <c r="P385" i="74"/>
  <c r="P380" i="74"/>
  <c r="O386" i="74"/>
  <c r="O374" i="74"/>
  <c r="P371" i="74"/>
  <c r="P372" i="74"/>
  <c r="P373" i="74"/>
  <c r="P320" i="74"/>
  <c r="P366" i="74"/>
  <c r="P368" i="74"/>
  <c r="AG18" i="94"/>
  <c r="M20" i="55"/>
  <c r="AD55" i="82"/>
  <c r="AF52" i="94"/>
  <c r="AI325" i="74" s="1"/>
  <c r="AF51" i="94"/>
  <c r="AI324" i="74" s="1"/>
  <c r="AF49" i="76"/>
  <c r="AF50" i="76" s="1"/>
  <c r="AI327" i="74" s="1"/>
  <c r="AF54" i="94"/>
  <c r="AI340" i="74" s="1"/>
  <c r="AG50" i="94"/>
  <c r="AG16" i="94"/>
  <c r="AJ108" i="74" s="1"/>
  <c r="AJ204" i="74" s="1"/>
  <c r="AG13" i="94"/>
  <c r="AJ103" i="74" s="1"/>
  <c r="AJ199" i="74" s="1"/>
  <c r="AG14" i="94"/>
  <c r="AJ104" i="74" s="1"/>
  <c r="AJ200" i="74" s="1"/>
  <c r="AJ100" i="74"/>
  <c r="AJ196" i="74" s="1"/>
  <c r="AG11" i="94"/>
  <c r="AJ101" i="74" s="1"/>
  <c r="AJ197" i="74" s="1"/>
  <c r="AG12" i="94"/>
  <c r="AJ102" i="74" s="1"/>
  <c r="AJ198" i="74" s="1"/>
  <c r="AG15" i="94"/>
  <c r="AJ105" i="74" s="1"/>
  <c r="AJ201" i="74" s="1"/>
  <c r="AF15" i="76"/>
  <c r="AF12" i="76"/>
  <c r="AF14" i="76"/>
  <c r="AF11" i="76"/>
  <c r="AF16" i="76"/>
  <c r="AF13" i="76"/>
  <c r="AF9" i="94"/>
  <c r="AI99" i="74" s="1"/>
  <c r="AH8" i="94"/>
  <c r="AH10" i="94" s="1"/>
  <c r="AD18" i="82"/>
  <c r="AG69" i="74" s="1"/>
  <c r="AG191" i="74" s="1"/>
  <c r="AD17" i="82"/>
  <c r="AG68" i="74" s="1"/>
  <c r="AG190" i="74" s="1"/>
  <c r="AD14" i="82"/>
  <c r="AG65" i="74" s="1"/>
  <c r="AG187" i="74" s="1"/>
  <c r="AD11" i="82"/>
  <c r="AG62" i="74" s="1"/>
  <c r="AG184" i="74" s="1"/>
  <c r="AD15" i="82"/>
  <c r="AG66" i="74" s="1"/>
  <c r="AG188" i="74" s="1"/>
  <c r="AD16" i="82"/>
  <c r="AG67" i="74" s="1"/>
  <c r="AG189" i="74" s="1"/>
  <c r="AD13" i="82"/>
  <c r="AG64" i="74" s="1"/>
  <c r="AG186" i="74" s="1"/>
  <c r="AD10" i="82"/>
  <c r="AD12" i="82"/>
  <c r="AG63" i="74" s="1"/>
  <c r="AG185" i="74" s="1"/>
  <c r="M3" i="88"/>
  <c r="J26" i="60" s="1"/>
  <c r="L13" i="64"/>
  <c r="K26" i="64" s="1"/>
  <c r="AF61" i="74"/>
  <c r="AF183" i="74" s="1"/>
  <c r="AC9" i="82"/>
  <c r="AF60" i="74" s="1"/>
  <c r="AE8" i="82"/>
  <c r="AE32" i="82" s="1"/>
  <c r="N17" i="55"/>
  <c r="N20" i="55" s="1"/>
  <c r="N24" i="55"/>
  <c r="N27" i="55" s="1"/>
  <c r="AH145" i="74"/>
  <c r="AH214" i="74" s="1"/>
  <c r="AH137" i="74"/>
  <c r="AH206" i="74" s="1"/>
  <c r="AH139" i="74"/>
  <c r="AH208" i="74" s="1"/>
  <c r="AH138" i="74"/>
  <c r="AH207" i="74" s="1"/>
  <c r="AH141" i="74"/>
  <c r="AH210" i="74" s="1"/>
  <c r="AH140" i="74"/>
  <c r="AH209" i="74" s="1"/>
  <c r="AH142" i="74"/>
  <c r="AH211" i="74" s="1"/>
  <c r="AK190" i="52"/>
  <c r="AL173" i="52"/>
  <c r="AE9" i="76"/>
  <c r="AG8" i="76"/>
  <c r="AG10" i="76" s="1"/>
  <c r="L28" i="55"/>
  <c r="O33" i="74" s="1"/>
  <c r="O177" i="74" s="1"/>
  <c r="AL288" i="52"/>
  <c r="AM271" i="52"/>
  <c r="AK255" i="52"/>
  <c r="AL238" i="52"/>
  <c r="AK222" i="52"/>
  <c r="AL205" i="52"/>
  <c r="AK156" i="52"/>
  <c r="AL139" i="52"/>
  <c r="AM122" i="52"/>
  <c r="AN105" i="52"/>
  <c r="AK90" i="52"/>
  <c r="AL73" i="52"/>
  <c r="AK57" i="52"/>
  <c r="AL40" i="52"/>
  <c r="M3" i="56"/>
  <c r="M14" i="56" s="1"/>
  <c r="K23" i="60"/>
  <c r="J15" i="59"/>
  <c r="N8" i="60"/>
  <c r="O8" i="60"/>
  <c r="AB4" i="62"/>
  <c r="AA23" i="62" s="1"/>
  <c r="AA8" i="60" s="1"/>
  <c r="Y25" i="63"/>
  <c r="Z8" i="63"/>
  <c r="Y23" i="62"/>
  <c r="Y8" i="60" s="1"/>
  <c r="Z7" i="62"/>
  <c r="AB4" i="63"/>
  <c r="Z25" i="63"/>
  <c r="K15" i="59"/>
  <c r="M3" i="58"/>
  <c r="M3" i="59"/>
  <c r="AH24" i="63"/>
  <c r="AJ3" i="63"/>
  <c r="AN23" i="63"/>
  <c r="AM21" i="62"/>
  <c r="AJ22" i="62"/>
  <c r="AL3" i="62"/>
  <c r="J38" i="60"/>
  <c r="K35" i="60"/>
  <c r="P5" i="55"/>
  <c r="O24" i="55"/>
  <c r="O27" i="55" s="1"/>
  <c r="O17" i="55"/>
  <c r="P7" i="74" l="1"/>
  <c r="AG17" i="76"/>
  <c r="AJ144" i="74" s="1"/>
  <c r="AJ213" i="74" s="1"/>
  <c r="AH17" i="94"/>
  <c r="AK107" i="74" s="1"/>
  <c r="AK203" i="74" s="1"/>
  <c r="AH28" i="94"/>
  <c r="AK118" i="74" s="1"/>
  <c r="AK239" i="74" s="1"/>
  <c r="AH30" i="94"/>
  <c r="AK120" i="74" s="1"/>
  <c r="AK241" i="74" s="1"/>
  <c r="AH82" i="74"/>
  <c r="AH229" i="74" s="1"/>
  <c r="AI212" i="74"/>
  <c r="N70" i="55"/>
  <c r="N72" i="55" s="1"/>
  <c r="O70" i="55"/>
  <c r="O72" i="55" s="1"/>
  <c r="AF182" i="74"/>
  <c r="N30" i="55"/>
  <c r="O30" i="55"/>
  <c r="R35" i="74" s="1"/>
  <c r="R179" i="74" s="1"/>
  <c r="AJ106" i="74"/>
  <c r="AJ202" i="74" s="1"/>
  <c r="AJ195" i="74" s="1"/>
  <c r="AE21" i="82"/>
  <c r="AH72" i="74" s="1"/>
  <c r="AH192" i="74" s="1"/>
  <c r="AE20" i="82"/>
  <c r="AH71" i="74" s="1"/>
  <c r="AH193" i="74" s="1"/>
  <c r="AG194" i="74"/>
  <c r="AE19" i="82"/>
  <c r="AH70" i="74" s="1"/>
  <c r="M15" i="56"/>
  <c r="AG18" i="76"/>
  <c r="AJ143" i="74" s="1"/>
  <c r="P381" i="74"/>
  <c r="P386" i="74"/>
  <c r="P374" i="74"/>
  <c r="R32" i="74"/>
  <c r="R180" i="74" s="1"/>
  <c r="Q32" i="74"/>
  <c r="Q180" i="74" s="1"/>
  <c r="AH18" i="94"/>
  <c r="R6" i="74"/>
  <c r="R278" i="74" s="1"/>
  <c r="O31" i="55"/>
  <c r="R36" i="74" s="1"/>
  <c r="R181" i="74" s="1"/>
  <c r="Q6" i="74"/>
  <c r="Q278" i="74" s="1"/>
  <c r="N31" i="55"/>
  <c r="AE55" i="82"/>
  <c r="AG52" i="94"/>
  <c r="AJ325" i="74" s="1"/>
  <c r="AG51" i="94"/>
  <c r="AJ324" i="74" s="1"/>
  <c r="AG49" i="76"/>
  <c r="AG50" i="76" s="1"/>
  <c r="AJ327" i="74" s="1"/>
  <c r="AG54" i="94"/>
  <c r="AJ340" i="74" s="1"/>
  <c r="AH50" i="94"/>
  <c r="AG16" i="76"/>
  <c r="AG13" i="76"/>
  <c r="AG15" i="76"/>
  <c r="AG12" i="76"/>
  <c r="AG11" i="76"/>
  <c r="AG14" i="76"/>
  <c r="AH14" i="94"/>
  <c r="AK104" i="74" s="1"/>
  <c r="AK200" i="74" s="1"/>
  <c r="AK100" i="74"/>
  <c r="AK196" i="74" s="1"/>
  <c r="AH11" i="94"/>
  <c r="AK101" i="74" s="1"/>
  <c r="AK197" i="74" s="1"/>
  <c r="AH13" i="94"/>
  <c r="AK103" i="74" s="1"/>
  <c r="AK199" i="74" s="1"/>
  <c r="AH12" i="94"/>
  <c r="AK102" i="74" s="1"/>
  <c r="AK198" i="74" s="1"/>
  <c r="AH16" i="94"/>
  <c r="AK108" i="74" s="1"/>
  <c r="AK204" i="74" s="1"/>
  <c r="AH15" i="94"/>
  <c r="AK105" i="74" s="1"/>
  <c r="AK201" i="74" s="1"/>
  <c r="AG9" i="94"/>
  <c r="AJ99" i="74" s="1"/>
  <c r="AI8" i="94"/>
  <c r="AI10" i="94" s="1"/>
  <c r="AE17" i="82"/>
  <c r="AH68" i="74" s="1"/>
  <c r="AH190" i="74" s="1"/>
  <c r="AE14" i="82"/>
  <c r="AH65" i="74" s="1"/>
  <c r="AH187" i="74" s="1"/>
  <c r="AE11" i="82"/>
  <c r="AH62" i="74" s="1"/>
  <c r="AH184" i="74" s="1"/>
  <c r="AE10" i="82"/>
  <c r="AE16" i="82"/>
  <c r="AH67" i="74" s="1"/>
  <c r="AH189" i="74" s="1"/>
  <c r="AE13" i="82"/>
  <c r="AH64" i="74" s="1"/>
  <c r="AH186" i="74" s="1"/>
  <c r="AE18" i="82"/>
  <c r="AH69" i="74" s="1"/>
  <c r="AH191" i="74" s="1"/>
  <c r="AE15" i="82"/>
  <c r="AH66" i="74" s="1"/>
  <c r="AH188" i="74" s="1"/>
  <c r="AE12" i="82"/>
  <c r="AH63" i="74" s="1"/>
  <c r="AH185" i="74" s="1"/>
  <c r="M13" i="64"/>
  <c r="N3" i="88"/>
  <c r="K26" i="60" s="1"/>
  <c r="AC4" i="62"/>
  <c r="AD4" i="62" s="1"/>
  <c r="AF8" i="82"/>
  <c r="AF32" i="82" s="1"/>
  <c r="AG61" i="74"/>
  <c r="AG183" i="74" s="1"/>
  <c r="AD9" i="82"/>
  <c r="AG60" i="74" s="1"/>
  <c r="AH136" i="74"/>
  <c r="AH205" i="74"/>
  <c r="AI145" i="74"/>
  <c r="AI214" i="74" s="1"/>
  <c r="AI137" i="74"/>
  <c r="AI206" i="74" s="1"/>
  <c r="AI141" i="74"/>
  <c r="AI210" i="74" s="1"/>
  <c r="AI138" i="74"/>
  <c r="AI207" i="74" s="1"/>
  <c r="AI139" i="74"/>
  <c r="AI208" i="74" s="1"/>
  <c r="AI140" i="74"/>
  <c r="AI209" i="74" s="1"/>
  <c r="AI142" i="74"/>
  <c r="AI211" i="74" s="1"/>
  <c r="AL190" i="52"/>
  <c r="AM173" i="52"/>
  <c r="AF9" i="76"/>
  <c r="AH8" i="76"/>
  <c r="AH10" i="76" s="1"/>
  <c r="AM288" i="52"/>
  <c r="AN271" i="52"/>
  <c r="AL255" i="52"/>
  <c r="AM238" i="52"/>
  <c r="AL222" i="52"/>
  <c r="AM205" i="52"/>
  <c r="AL156" i="52"/>
  <c r="AM139" i="52"/>
  <c r="AN122" i="52"/>
  <c r="AO105" i="52"/>
  <c r="AL90" i="52"/>
  <c r="AM73" i="52"/>
  <c r="AL57" i="52"/>
  <c r="AM40" i="52"/>
  <c r="L23" i="60"/>
  <c r="N3" i="56"/>
  <c r="N14" i="56" s="1"/>
  <c r="AC4" i="63"/>
  <c r="AA25" i="63"/>
  <c r="N3" i="58"/>
  <c r="N3" i="59"/>
  <c r="AO23" i="63"/>
  <c r="AI24" i="63"/>
  <c r="AK3" i="63"/>
  <c r="AK22" i="62"/>
  <c r="AM3" i="62"/>
  <c r="AN21" i="62"/>
  <c r="K38" i="60"/>
  <c r="L35" i="60"/>
  <c r="O3" i="57"/>
  <c r="P24" i="55"/>
  <c r="P27" i="55" s="1"/>
  <c r="Q5" i="55"/>
  <c r="P17" i="55"/>
  <c r="P20" i="55" s="1"/>
  <c r="O20" i="55"/>
  <c r="Q35" i="74" l="1"/>
  <c r="Q179" i="74" s="1"/>
  <c r="Q36" i="74"/>
  <c r="Q181" i="74" s="1"/>
  <c r="AH17" i="76"/>
  <c r="AK144" i="74" s="1"/>
  <c r="AK213" i="74" s="1"/>
  <c r="AI17" i="94"/>
  <c r="AL107" i="74" s="1"/>
  <c r="AL203" i="74" s="1"/>
  <c r="AI28" i="94"/>
  <c r="AL118" i="74" s="1"/>
  <c r="AL239" i="74" s="1"/>
  <c r="AI30" i="94"/>
  <c r="AL120" i="74" s="1"/>
  <c r="AL241" i="74" s="1"/>
  <c r="AI82" i="74"/>
  <c r="AI229" i="74" s="1"/>
  <c r="AJ212" i="74"/>
  <c r="O71" i="55"/>
  <c r="R7" i="74" s="1"/>
  <c r="R8" i="74"/>
  <c r="N71" i="55"/>
  <c r="Q8" i="74"/>
  <c r="P70" i="55"/>
  <c r="P72" i="55" s="1"/>
  <c r="AB23" i="62"/>
  <c r="AB8" i="60" s="1"/>
  <c r="P30" i="55"/>
  <c r="S35" i="74" s="1"/>
  <c r="S179" i="74" s="1"/>
  <c r="AG182" i="74"/>
  <c r="AK106" i="74"/>
  <c r="AK202" i="74" s="1"/>
  <c r="AK195" i="74" s="1"/>
  <c r="AF21" i="82"/>
  <c r="AI72" i="74" s="1"/>
  <c r="AI192" i="74" s="1"/>
  <c r="AF20" i="82"/>
  <c r="AI71" i="74" s="1"/>
  <c r="AI193" i="74" s="1"/>
  <c r="AH194" i="74"/>
  <c r="N13" i="64"/>
  <c r="M26" i="64" s="1"/>
  <c r="L26" i="64"/>
  <c r="AF19" i="82"/>
  <c r="AI70" i="74" s="1"/>
  <c r="N15" i="56"/>
  <c r="AH18" i="76"/>
  <c r="AK143" i="74" s="1"/>
  <c r="R383" i="74"/>
  <c r="R384" i="74"/>
  <c r="R385" i="74"/>
  <c r="R379" i="74"/>
  <c r="R380" i="74"/>
  <c r="R378" i="74"/>
  <c r="Q380" i="74"/>
  <c r="Q383" i="74"/>
  <c r="Q384" i="74"/>
  <c r="Q385" i="74"/>
  <c r="Q379" i="74"/>
  <c r="Q378" i="74"/>
  <c r="Q371" i="74"/>
  <c r="Q372" i="74"/>
  <c r="Q373" i="74"/>
  <c r="R371" i="74"/>
  <c r="R372" i="74"/>
  <c r="R373" i="74"/>
  <c r="Q320" i="74"/>
  <c r="Q368" i="74"/>
  <c r="Q366" i="74"/>
  <c r="R320" i="74"/>
  <c r="R366" i="74"/>
  <c r="R368" i="74"/>
  <c r="S32" i="74"/>
  <c r="S180" i="74" s="1"/>
  <c r="AI18" i="94"/>
  <c r="S6" i="74"/>
  <c r="S278" i="74" s="1"/>
  <c r="P31" i="55"/>
  <c r="S36" i="74" s="1"/>
  <c r="S181" i="74" s="1"/>
  <c r="AF55" i="82"/>
  <c r="AH51" i="94"/>
  <c r="AK324" i="74" s="1"/>
  <c r="AH52" i="94"/>
  <c r="AK325" i="74" s="1"/>
  <c r="AH49" i="76"/>
  <c r="AH50" i="76" s="1"/>
  <c r="AK327" i="74" s="1"/>
  <c r="AH54" i="94"/>
  <c r="AK340" i="74" s="1"/>
  <c r="AI50" i="94"/>
  <c r="AH16" i="76"/>
  <c r="AH13" i="76"/>
  <c r="AH14" i="76"/>
  <c r="AH12" i="76"/>
  <c r="AH11" i="76"/>
  <c r="AH15" i="76"/>
  <c r="AI14" i="94"/>
  <c r="AL104" i="74" s="1"/>
  <c r="AL200" i="74" s="1"/>
  <c r="AI11" i="94"/>
  <c r="AL101" i="74" s="1"/>
  <c r="AL197" i="74" s="1"/>
  <c r="AI13" i="94"/>
  <c r="AL103" i="74" s="1"/>
  <c r="AL199" i="74" s="1"/>
  <c r="AI16" i="94"/>
  <c r="AL108" i="74" s="1"/>
  <c r="AL204" i="74" s="1"/>
  <c r="AI12" i="94"/>
  <c r="AL102" i="74" s="1"/>
  <c r="AL198" i="74" s="1"/>
  <c r="AI15" i="94"/>
  <c r="AL105" i="74" s="1"/>
  <c r="AL201" i="74" s="1"/>
  <c r="AL100" i="74"/>
  <c r="AL196" i="74" s="1"/>
  <c r="AH9" i="94"/>
  <c r="AK99" i="74" s="1"/>
  <c r="AJ8" i="94"/>
  <c r="AJ10" i="94" s="1"/>
  <c r="AF16" i="82"/>
  <c r="AI67" i="74" s="1"/>
  <c r="AI189" i="74" s="1"/>
  <c r="AF13" i="82"/>
  <c r="AI64" i="74" s="1"/>
  <c r="AI186" i="74" s="1"/>
  <c r="AF10" i="82"/>
  <c r="AF18" i="82"/>
  <c r="AI69" i="74" s="1"/>
  <c r="AI191" i="74" s="1"/>
  <c r="AF15" i="82"/>
  <c r="AI66" i="74" s="1"/>
  <c r="AI188" i="74" s="1"/>
  <c r="AF12" i="82"/>
  <c r="AI63" i="74" s="1"/>
  <c r="AI185" i="74" s="1"/>
  <c r="AF17" i="82"/>
  <c r="AI68" i="74" s="1"/>
  <c r="AI190" i="74" s="1"/>
  <c r="AF11" i="82"/>
  <c r="AI62" i="74" s="1"/>
  <c r="AI184" i="74" s="1"/>
  <c r="AF14" i="82"/>
  <c r="AI65" i="74" s="1"/>
  <c r="AI187" i="74" s="1"/>
  <c r="O3" i="88"/>
  <c r="L26" i="60" s="1"/>
  <c r="AG8" i="82"/>
  <c r="AG32" i="82" s="1"/>
  <c r="AH61" i="74"/>
  <c r="AH183" i="74" s="1"/>
  <c r="AE9" i="82"/>
  <c r="AH60" i="74" s="1"/>
  <c r="AI136" i="74"/>
  <c r="AI205" i="74"/>
  <c r="AJ145" i="74"/>
  <c r="AJ214" i="74" s="1"/>
  <c r="AJ141" i="74"/>
  <c r="AJ210" i="74" s="1"/>
  <c r="AJ138" i="74"/>
  <c r="AJ207" i="74" s="1"/>
  <c r="AJ139" i="74"/>
  <c r="AJ208" i="74" s="1"/>
  <c r="AJ140" i="74"/>
  <c r="AJ209" i="74" s="1"/>
  <c r="AJ137" i="74"/>
  <c r="AJ206" i="74" s="1"/>
  <c r="AJ142" i="74"/>
  <c r="AJ211" i="74" s="1"/>
  <c r="O3" i="56"/>
  <c r="O14" i="56" s="1"/>
  <c r="M23" i="60"/>
  <c r="AM190" i="52"/>
  <c r="AN173" i="52"/>
  <c r="AG9" i="76"/>
  <c r="N28" i="55"/>
  <c r="AI8" i="76"/>
  <c r="AN288" i="52"/>
  <c r="AO271" i="52"/>
  <c r="AM255" i="52"/>
  <c r="AN238" i="52"/>
  <c r="AM222" i="52"/>
  <c r="AN205" i="52"/>
  <c r="AM156" i="52"/>
  <c r="AN139" i="52"/>
  <c r="AO122" i="52"/>
  <c r="AP105" i="52"/>
  <c r="AM90" i="52"/>
  <c r="AN73" i="52"/>
  <c r="AM57" i="52"/>
  <c r="AN40" i="52"/>
  <c r="AD4" i="63"/>
  <c r="AB25" i="63"/>
  <c r="AE4" i="62"/>
  <c r="AC23" i="62"/>
  <c r="AC8" i="60" s="1"/>
  <c r="L15" i="59"/>
  <c r="O3" i="59"/>
  <c r="M15" i="59"/>
  <c r="O3" i="58"/>
  <c r="AL3" i="63"/>
  <c r="AJ24" i="63"/>
  <c r="AP23" i="63"/>
  <c r="AO21" i="62"/>
  <c r="AL22" i="62"/>
  <c r="AN3" i="62"/>
  <c r="L38" i="60"/>
  <c r="M35" i="60"/>
  <c r="P3" i="57"/>
  <c r="Q24" i="55"/>
  <c r="R5" i="55"/>
  <c r="Q17" i="55"/>
  <c r="Q7" i="74" l="1"/>
  <c r="Q33" i="74"/>
  <c r="Q177" i="74" s="1"/>
  <c r="AI17" i="76"/>
  <c r="AL144" i="74" s="1"/>
  <c r="AL213" i="74" s="1"/>
  <c r="AJ17" i="94"/>
  <c r="AM107" i="74" s="1"/>
  <c r="AM203" i="74" s="1"/>
  <c r="AJ28" i="94"/>
  <c r="AM118" i="74" s="1"/>
  <c r="AM239" i="74" s="1"/>
  <c r="AJ30" i="94"/>
  <c r="AM120" i="74" s="1"/>
  <c r="AM241" i="74" s="1"/>
  <c r="AK212" i="74"/>
  <c r="P71" i="55"/>
  <c r="S7" i="74" s="1"/>
  <c r="S8" i="74"/>
  <c r="Q70" i="55"/>
  <c r="Q72" i="55" s="1"/>
  <c r="Q30" i="55"/>
  <c r="T35" i="74" s="1"/>
  <c r="T179" i="74" s="1"/>
  <c r="AH182" i="74"/>
  <c r="AL106" i="74"/>
  <c r="AL202" i="74" s="1"/>
  <c r="AL195" i="74" s="1"/>
  <c r="AG21" i="82"/>
  <c r="AJ72" i="74" s="1"/>
  <c r="AJ192" i="74" s="1"/>
  <c r="AG20" i="82"/>
  <c r="AJ71" i="74" s="1"/>
  <c r="AJ193" i="74" s="1"/>
  <c r="AI194" i="74"/>
  <c r="AJ82" i="74"/>
  <c r="AJ229" i="74" s="1"/>
  <c r="O13" i="64"/>
  <c r="N26" i="64" s="1"/>
  <c r="AG19" i="82"/>
  <c r="AJ70" i="74" s="1"/>
  <c r="O15" i="56"/>
  <c r="AI18" i="76"/>
  <c r="AL143" i="74" s="1"/>
  <c r="R381" i="74"/>
  <c r="Q381" i="74"/>
  <c r="Q386" i="74"/>
  <c r="S383" i="74"/>
  <c r="S384" i="74"/>
  <c r="S385" i="74"/>
  <c r="S378" i="74"/>
  <c r="S380" i="74"/>
  <c r="S379" i="74"/>
  <c r="R386" i="74"/>
  <c r="S371" i="74"/>
  <c r="S372" i="74"/>
  <c r="S373" i="74"/>
  <c r="R374" i="74"/>
  <c r="Q374" i="74"/>
  <c r="S320" i="74"/>
  <c r="S366" i="74"/>
  <c r="S368" i="74"/>
  <c r="AJ18" i="94"/>
  <c r="T6" i="74"/>
  <c r="T278" i="74" s="1"/>
  <c r="Q31" i="55"/>
  <c r="T36" i="74" s="1"/>
  <c r="T181" i="74" s="1"/>
  <c r="AP122" i="52"/>
  <c r="AQ105" i="52"/>
  <c r="AG55" i="82"/>
  <c r="AI52" i="94"/>
  <c r="AL325" i="74" s="1"/>
  <c r="AI51" i="94"/>
  <c r="AL324" i="74" s="1"/>
  <c r="AI49" i="76"/>
  <c r="AI50" i="76" s="1"/>
  <c r="AL327" i="74" s="1"/>
  <c r="AI54" i="94"/>
  <c r="AL340" i="74" s="1"/>
  <c r="AJ50" i="94"/>
  <c r="AI14" i="76"/>
  <c r="AI12" i="76"/>
  <c r="AI11" i="76"/>
  <c r="AI13" i="76"/>
  <c r="AI16" i="76"/>
  <c r="AI15" i="76"/>
  <c r="AJ16" i="94"/>
  <c r="AM108" i="74" s="1"/>
  <c r="AM204" i="74" s="1"/>
  <c r="AJ13" i="94"/>
  <c r="AM103" i="74" s="1"/>
  <c r="AM199" i="74" s="1"/>
  <c r="AJ11" i="94"/>
  <c r="AM101" i="74" s="1"/>
  <c r="AM197" i="74" s="1"/>
  <c r="AJ15" i="94"/>
  <c r="AM105" i="74" s="1"/>
  <c r="AM201" i="74" s="1"/>
  <c r="AJ12" i="94"/>
  <c r="AM102" i="74" s="1"/>
  <c r="AM198" i="74" s="1"/>
  <c r="AJ14" i="94"/>
  <c r="AM104" i="74" s="1"/>
  <c r="AM200" i="74" s="1"/>
  <c r="AM100" i="74"/>
  <c r="AM196" i="74" s="1"/>
  <c r="AI9" i="94"/>
  <c r="AL99" i="74" s="1"/>
  <c r="AK8" i="94"/>
  <c r="AK10" i="94" s="1"/>
  <c r="AG16" i="82"/>
  <c r="AJ67" i="74" s="1"/>
  <c r="AJ189" i="74" s="1"/>
  <c r="AG13" i="82"/>
  <c r="AJ64" i="74" s="1"/>
  <c r="AJ186" i="74" s="1"/>
  <c r="AG10" i="82"/>
  <c r="AG14" i="82"/>
  <c r="AJ65" i="74" s="1"/>
  <c r="AJ187" i="74" s="1"/>
  <c r="AG11" i="82"/>
  <c r="AJ62" i="74" s="1"/>
  <c r="AJ184" i="74" s="1"/>
  <c r="AG17" i="82"/>
  <c r="AJ68" i="74" s="1"/>
  <c r="AJ190" i="74" s="1"/>
  <c r="AG12" i="82"/>
  <c r="AJ63" i="74" s="1"/>
  <c r="AJ185" i="74" s="1"/>
  <c r="AG18" i="82"/>
  <c r="AJ69" i="74" s="1"/>
  <c r="AJ191" i="74" s="1"/>
  <c r="AG15" i="82"/>
  <c r="AJ66" i="74" s="1"/>
  <c r="AJ188" i="74" s="1"/>
  <c r="P3" i="88"/>
  <c r="M26" i="60" s="1"/>
  <c r="AI61" i="74"/>
  <c r="AI183" i="74" s="1"/>
  <c r="AF9" i="82"/>
  <c r="AI60" i="74" s="1"/>
  <c r="AH8" i="82"/>
  <c r="AH32" i="82" s="1"/>
  <c r="AJ136" i="74"/>
  <c r="AJ205" i="74"/>
  <c r="AK145" i="74"/>
  <c r="AK214" i="74" s="1"/>
  <c r="AK141" i="74"/>
  <c r="AK210" i="74" s="1"/>
  <c r="AK137" i="74"/>
  <c r="AK206" i="74" s="1"/>
  <c r="AK139" i="74"/>
  <c r="AK208" i="74" s="1"/>
  <c r="AK138" i="74"/>
  <c r="AK207" i="74" s="1"/>
  <c r="AK140" i="74"/>
  <c r="AK209" i="74" s="1"/>
  <c r="AK142" i="74"/>
  <c r="AK211" i="74" s="1"/>
  <c r="P3" i="56"/>
  <c r="O28" i="55"/>
  <c r="R33" i="74" s="1"/>
  <c r="R177" i="74" s="1"/>
  <c r="N23" i="60"/>
  <c r="AO173" i="52"/>
  <c r="AN190" i="52"/>
  <c r="AH9" i="76"/>
  <c r="AJ8" i="76"/>
  <c r="AJ10" i="76" s="1"/>
  <c r="AO288" i="52"/>
  <c r="AP271" i="52"/>
  <c r="AN255" i="52"/>
  <c r="AO238" i="52"/>
  <c r="AN222" i="52"/>
  <c r="AO205" i="52"/>
  <c r="AN156" i="52"/>
  <c r="AO139" i="52"/>
  <c r="AN90" i="52"/>
  <c r="AO73" i="52"/>
  <c r="AN57" i="52"/>
  <c r="AO40" i="52"/>
  <c r="AD23" i="62"/>
  <c r="AD8" i="60" s="1"/>
  <c r="AF4" i="62"/>
  <c r="AE4" i="63"/>
  <c r="AC25" i="63"/>
  <c r="P3" i="58"/>
  <c r="P3" i="59"/>
  <c r="AQ23" i="63"/>
  <c r="AK24" i="63"/>
  <c r="AM3" i="63"/>
  <c r="AM22" i="62"/>
  <c r="AO3" i="62"/>
  <c r="AP21" i="62"/>
  <c r="N35" i="60"/>
  <c r="M38" i="60"/>
  <c r="Q3" i="57"/>
  <c r="Q20" i="55"/>
  <c r="R24" i="55"/>
  <c r="R27" i="55" s="1"/>
  <c r="S5" i="55"/>
  <c r="R17" i="55"/>
  <c r="R20" i="55" s="1"/>
  <c r="AJ17" i="76" l="1"/>
  <c r="AM144" i="74" s="1"/>
  <c r="AM213" i="74" s="1"/>
  <c r="AK17" i="94"/>
  <c r="AN107" i="74" s="1"/>
  <c r="AN203" i="74" s="1"/>
  <c r="AK30" i="94"/>
  <c r="AN120" i="74" s="1"/>
  <c r="AN241" i="74" s="1"/>
  <c r="AK28" i="94"/>
  <c r="AN118" i="74" s="1"/>
  <c r="AN239" i="74" s="1"/>
  <c r="AK82" i="74"/>
  <c r="AK229" i="74" s="1"/>
  <c r="AL212" i="74"/>
  <c r="Q71" i="55"/>
  <c r="T7" i="74" s="1"/>
  <c r="T8" i="74"/>
  <c r="R70" i="55"/>
  <c r="R72" i="55" s="1"/>
  <c r="AI182" i="74"/>
  <c r="R30" i="55"/>
  <c r="U35" i="74" s="1"/>
  <c r="U179" i="74" s="1"/>
  <c r="AM106" i="74"/>
  <c r="AM202" i="74" s="1"/>
  <c r="AM195" i="74" s="1"/>
  <c r="AH21" i="82"/>
  <c r="AK72" i="74" s="1"/>
  <c r="AK192" i="74" s="1"/>
  <c r="AH20" i="82"/>
  <c r="AK71" i="74" s="1"/>
  <c r="AK193" i="74" s="1"/>
  <c r="AJ194" i="74"/>
  <c r="P13" i="64"/>
  <c r="O26" i="64" s="1"/>
  <c r="AH19" i="82"/>
  <c r="AK70" i="74" s="1"/>
  <c r="P15" i="56"/>
  <c r="Q28" i="55" s="1"/>
  <c r="T33" i="74" s="1"/>
  <c r="T177" i="74" s="1"/>
  <c r="AJ18" i="76"/>
  <c r="AM143" i="74" s="1"/>
  <c r="S381" i="74"/>
  <c r="S386" i="74"/>
  <c r="T372" i="74"/>
  <c r="T373" i="74"/>
  <c r="T371" i="74"/>
  <c r="S374" i="74"/>
  <c r="T320" i="74"/>
  <c r="T368" i="74"/>
  <c r="T366" i="74"/>
  <c r="U32" i="74"/>
  <c r="U180" i="74" s="1"/>
  <c r="AK18" i="94"/>
  <c r="U6" i="74"/>
  <c r="U278" i="74" s="1"/>
  <c r="R31" i="55"/>
  <c r="U36" i="74" s="1"/>
  <c r="U181" i="74" s="1"/>
  <c r="AP288" i="52"/>
  <c r="AQ271" i="52"/>
  <c r="AR105" i="52"/>
  <c r="AQ122" i="52"/>
  <c r="AH55" i="82"/>
  <c r="AJ51" i="94"/>
  <c r="AM324" i="74" s="1"/>
  <c r="AJ52" i="94"/>
  <c r="AM325" i="74" s="1"/>
  <c r="AJ49" i="76"/>
  <c r="AJ50" i="76" s="1"/>
  <c r="AM327" i="74" s="1"/>
  <c r="AJ54" i="94"/>
  <c r="AM340" i="74" s="1"/>
  <c r="AK50" i="94"/>
  <c r="AK15" i="94"/>
  <c r="AN105" i="74" s="1"/>
  <c r="AN201" i="74" s="1"/>
  <c r="AK12" i="94"/>
  <c r="AN102" i="74" s="1"/>
  <c r="AN198" i="74" s="1"/>
  <c r="AK13" i="94"/>
  <c r="AN103" i="74" s="1"/>
  <c r="AN199" i="74" s="1"/>
  <c r="AK16" i="94"/>
  <c r="AN108" i="74" s="1"/>
  <c r="AN204" i="74" s="1"/>
  <c r="AK11" i="94"/>
  <c r="AN101" i="74" s="1"/>
  <c r="AN197" i="74" s="1"/>
  <c r="AK14" i="94"/>
  <c r="AN104" i="74" s="1"/>
  <c r="AN200" i="74" s="1"/>
  <c r="AN100" i="74"/>
  <c r="AN196" i="74" s="1"/>
  <c r="AJ9" i="94"/>
  <c r="AM99" i="74" s="1"/>
  <c r="AL8" i="94"/>
  <c r="AL10" i="94" s="1"/>
  <c r="AH16" i="82"/>
  <c r="AK67" i="74" s="1"/>
  <c r="AK189" i="74" s="1"/>
  <c r="AH13" i="82"/>
  <c r="AK64" i="74" s="1"/>
  <c r="AK186" i="74" s="1"/>
  <c r="AH10" i="82"/>
  <c r="AH11" i="82"/>
  <c r="AK62" i="74" s="1"/>
  <c r="AK184" i="74" s="1"/>
  <c r="AH18" i="82"/>
  <c r="AK69" i="74" s="1"/>
  <c r="AK191" i="74" s="1"/>
  <c r="AH15" i="82"/>
  <c r="AK66" i="74" s="1"/>
  <c r="AK188" i="74" s="1"/>
  <c r="AH12" i="82"/>
  <c r="AK63" i="74" s="1"/>
  <c r="AK185" i="74" s="1"/>
  <c r="AH17" i="82"/>
  <c r="AK68" i="74" s="1"/>
  <c r="AK190" i="74" s="1"/>
  <c r="AH14" i="82"/>
  <c r="AK65" i="74" s="1"/>
  <c r="AK187" i="74" s="1"/>
  <c r="Q3" i="88"/>
  <c r="N26" i="60" s="1"/>
  <c r="AJ61" i="74"/>
  <c r="AJ183" i="74" s="1"/>
  <c r="AG9" i="82"/>
  <c r="AJ60" i="74" s="1"/>
  <c r="AI8" i="82"/>
  <c r="AI32" i="82" s="1"/>
  <c r="AK205" i="74"/>
  <c r="AK136" i="74"/>
  <c r="O23" i="60"/>
  <c r="AL141" i="74"/>
  <c r="AL210" i="74" s="1"/>
  <c r="AL145" i="74"/>
  <c r="AL214" i="74" s="1"/>
  <c r="AL139" i="74"/>
  <c r="AL208" i="74" s="1"/>
  <c r="AL140" i="74"/>
  <c r="AL209" i="74" s="1"/>
  <c r="AL138" i="74"/>
  <c r="AL207" i="74" s="1"/>
  <c r="AL142" i="74"/>
  <c r="AL211" i="74" s="1"/>
  <c r="Q3" i="56"/>
  <c r="Q14" i="56" s="1"/>
  <c r="P28" i="55"/>
  <c r="S33" i="74" s="1"/>
  <c r="S177" i="74" s="1"/>
  <c r="AO190" i="52"/>
  <c r="AP173" i="52"/>
  <c r="AK8" i="76"/>
  <c r="AO255" i="52"/>
  <c r="AP238" i="52"/>
  <c r="AO222" i="52"/>
  <c r="AP205" i="52"/>
  <c r="AO156" i="52"/>
  <c r="AP139" i="52"/>
  <c r="AO90" i="52"/>
  <c r="AP73" i="52"/>
  <c r="AO57" i="52"/>
  <c r="AP40" i="52"/>
  <c r="AF4" i="63"/>
  <c r="AD25" i="63"/>
  <c r="AE23" i="62"/>
  <c r="AE8" i="60" s="1"/>
  <c r="AG4" i="62"/>
  <c r="N15" i="59"/>
  <c r="Q3" i="58"/>
  <c r="Q3" i="59"/>
  <c r="O15" i="59"/>
  <c r="AL24" i="63"/>
  <c r="AN3" i="63"/>
  <c r="AR23" i="63"/>
  <c r="AQ21" i="62"/>
  <c r="AN22" i="62"/>
  <c r="AP3" i="62"/>
  <c r="N38" i="60"/>
  <c r="O35" i="60"/>
  <c r="R3" i="57"/>
  <c r="S24" i="55"/>
  <c r="S27" i="55" s="1"/>
  <c r="T5" i="55"/>
  <c r="S17" i="55"/>
  <c r="S20" i="55" s="1"/>
  <c r="AK17" i="76" l="1"/>
  <c r="AN144" i="74" s="1"/>
  <c r="AN213" i="74" s="1"/>
  <c r="AL17" i="94"/>
  <c r="AO107" i="74" s="1"/>
  <c r="AO203" i="74" s="1"/>
  <c r="AL28" i="94"/>
  <c r="AO118" i="74" s="1"/>
  <c r="AO239" i="74" s="1"/>
  <c r="AL30" i="94"/>
  <c r="AO120" i="74" s="1"/>
  <c r="AO241" i="74" s="1"/>
  <c r="R71" i="55"/>
  <c r="U7" i="74" s="1"/>
  <c r="U8" i="74"/>
  <c r="AJ182" i="74"/>
  <c r="S70" i="55"/>
  <c r="S30" i="55"/>
  <c r="V35" i="74" s="1"/>
  <c r="V179" i="74" s="1"/>
  <c r="AN106" i="74"/>
  <c r="AN202" i="74" s="1"/>
  <c r="AN195" i="74" s="1"/>
  <c r="AI21" i="82"/>
  <c r="AL72" i="74" s="1"/>
  <c r="AL192" i="74" s="1"/>
  <c r="AI20" i="82"/>
  <c r="AL71" i="74" s="1"/>
  <c r="AL193" i="74" s="1"/>
  <c r="Q13" i="64"/>
  <c r="P26" i="64" s="1"/>
  <c r="AK194" i="74"/>
  <c r="AL82" i="74"/>
  <c r="AL229" i="74" s="1"/>
  <c r="AI19" i="82"/>
  <c r="AL70" i="74" s="1"/>
  <c r="Q15" i="56"/>
  <c r="AK18" i="76"/>
  <c r="AN143" i="74" s="1"/>
  <c r="T374" i="74"/>
  <c r="U373" i="74"/>
  <c r="U371" i="74"/>
  <c r="U372" i="74"/>
  <c r="U320" i="74"/>
  <c r="U368" i="74"/>
  <c r="U366" i="74"/>
  <c r="V32" i="74"/>
  <c r="V180" i="74" s="1"/>
  <c r="AL18" i="94"/>
  <c r="V6" i="74"/>
  <c r="V278" i="74" s="1"/>
  <c r="AP255" i="52"/>
  <c r="AQ238" i="52"/>
  <c r="AP90" i="52"/>
  <c r="AQ73" i="52"/>
  <c r="AP156" i="52"/>
  <c r="AQ139" i="52"/>
  <c r="AP190" i="52"/>
  <c r="AQ173" i="52"/>
  <c r="AP222" i="52"/>
  <c r="AQ205" i="52"/>
  <c r="AS105" i="52"/>
  <c r="AR122" i="52"/>
  <c r="AP57" i="52"/>
  <c r="AQ40" i="52"/>
  <c r="AR271" i="52"/>
  <c r="AQ288" i="52"/>
  <c r="AI55" i="82"/>
  <c r="AK51" i="94"/>
  <c r="AN324" i="74" s="1"/>
  <c r="AK52" i="94"/>
  <c r="AN325" i="74" s="1"/>
  <c r="AK49" i="76"/>
  <c r="AK50" i="76" s="1"/>
  <c r="AN327" i="74" s="1"/>
  <c r="AK54" i="94"/>
  <c r="AN340" i="74" s="1"/>
  <c r="AL50" i="94"/>
  <c r="AK15" i="76"/>
  <c r="AK12" i="76"/>
  <c r="AK14" i="76"/>
  <c r="AK11" i="76"/>
  <c r="AK16" i="76"/>
  <c r="AK13" i="76"/>
  <c r="AO100" i="74"/>
  <c r="AO196" i="74" s="1"/>
  <c r="AL16" i="94"/>
  <c r="AO108" i="74" s="1"/>
  <c r="AO204" i="74" s="1"/>
  <c r="AL13" i="94"/>
  <c r="AO103" i="74" s="1"/>
  <c r="AO199" i="74" s="1"/>
  <c r="AL12" i="94"/>
  <c r="AO102" i="74" s="1"/>
  <c r="AO198" i="74" s="1"/>
  <c r="AL15" i="94"/>
  <c r="AO105" i="74" s="1"/>
  <c r="AO201" i="74" s="1"/>
  <c r="AL11" i="94"/>
  <c r="AO101" i="74" s="1"/>
  <c r="AO197" i="74" s="1"/>
  <c r="AL14" i="94"/>
  <c r="AO104" i="74" s="1"/>
  <c r="AO200" i="74" s="1"/>
  <c r="AK9" i="94"/>
  <c r="AN99" i="74" s="1"/>
  <c r="AM8" i="94"/>
  <c r="AM10" i="94" s="1"/>
  <c r="AI16" i="82"/>
  <c r="AL67" i="74" s="1"/>
  <c r="AL189" i="74" s="1"/>
  <c r="AI13" i="82"/>
  <c r="AL64" i="74" s="1"/>
  <c r="AL186" i="74" s="1"/>
  <c r="AI10" i="82"/>
  <c r="AI18" i="82"/>
  <c r="AL69" i="74" s="1"/>
  <c r="AL191" i="74" s="1"/>
  <c r="AI15" i="82"/>
  <c r="AL66" i="74" s="1"/>
  <c r="AL188" i="74" s="1"/>
  <c r="AI12" i="82"/>
  <c r="AL63" i="74" s="1"/>
  <c r="AL185" i="74" s="1"/>
  <c r="AI17" i="82"/>
  <c r="AL68" i="74" s="1"/>
  <c r="AL190" i="74" s="1"/>
  <c r="AI14" i="82"/>
  <c r="AL65" i="74" s="1"/>
  <c r="AL187" i="74" s="1"/>
  <c r="AI11" i="82"/>
  <c r="AL62" i="74" s="1"/>
  <c r="AL184" i="74" s="1"/>
  <c r="R3" i="88"/>
  <c r="O26" i="60" s="1"/>
  <c r="AK61" i="74"/>
  <c r="AK183" i="74" s="1"/>
  <c r="AH9" i="82"/>
  <c r="AK60" i="74" s="1"/>
  <c r="AJ8" i="82"/>
  <c r="AJ32" i="82" s="1"/>
  <c r="P23" i="60"/>
  <c r="R3" i="56"/>
  <c r="R14" i="56" s="1"/>
  <c r="AL8" i="76"/>
  <c r="AL10" i="76" s="1"/>
  <c r="AH4" i="62"/>
  <c r="AF23" i="62"/>
  <c r="AF8" i="60" s="1"/>
  <c r="AG4" i="63"/>
  <c r="AE25" i="63"/>
  <c r="R3" i="58"/>
  <c r="R3" i="59"/>
  <c r="P15" i="59"/>
  <c r="AS23" i="63"/>
  <c r="AM24" i="63"/>
  <c r="AO3" i="63"/>
  <c r="AO22" i="62"/>
  <c r="AQ3" i="62"/>
  <c r="AR21" i="62"/>
  <c r="P35" i="60"/>
  <c r="O38" i="60"/>
  <c r="S3" i="57"/>
  <c r="T24" i="55"/>
  <c r="T27" i="55" s="1"/>
  <c r="U5" i="55"/>
  <c r="T17" i="55"/>
  <c r="T20" i="55" s="1"/>
  <c r="AL17" i="76" l="1"/>
  <c r="AO144" i="74" s="1"/>
  <c r="AO213" i="74" s="1"/>
  <c r="AM28" i="94"/>
  <c r="AP118" i="74" s="1"/>
  <c r="AP239" i="74" s="1"/>
  <c r="AM30" i="94"/>
  <c r="AP120" i="74" s="1"/>
  <c r="AP241" i="74" s="1"/>
  <c r="AN212" i="74"/>
  <c r="T70" i="55"/>
  <c r="T72" i="55" s="1"/>
  <c r="T30" i="55"/>
  <c r="W35" i="74" s="1"/>
  <c r="W179" i="74" s="1"/>
  <c r="AO106" i="74"/>
  <c r="AO202" i="74" s="1"/>
  <c r="AO195" i="74" s="1"/>
  <c r="AM17" i="94"/>
  <c r="AP107" i="74" s="1"/>
  <c r="AP203" i="74" s="1"/>
  <c r="AK182" i="74"/>
  <c r="AJ21" i="82"/>
  <c r="AM72" i="74" s="1"/>
  <c r="AM192" i="74" s="1"/>
  <c r="AJ20" i="82"/>
  <c r="AM71" i="74" s="1"/>
  <c r="AM193" i="74" s="1"/>
  <c r="R13" i="64"/>
  <c r="Q26" i="64" s="1"/>
  <c r="AL194" i="74"/>
  <c r="AM82" i="74"/>
  <c r="AM229" i="74" s="1"/>
  <c r="AJ19" i="82"/>
  <c r="AM70" i="74" s="1"/>
  <c r="R15" i="56"/>
  <c r="AL18" i="76"/>
  <c r="AO143" i="74" s="1"/>
  <c r="U374" i="74"/>
  <c r="V371" i="74"/>
  <c r="V373" i="74"/>
  <c r="V372" i="74"/>
  <c r="V320" i="74"/>
  <c r="V366" i="74"/>
  <c r="V368" i="74"/>
  <c r="W32" i="74"/>
  <c r="W180" i="74" s="1"/>
  <c r="AM18" i="94"/>
  <c r="W6" i="74"/>
  <c r="W278" i="74" s="1"/>
  <c r="T31" i="55"/>
  <c r="W36" i="74" s="1"/>
  <c r="W181" i="74" s="1"/>
  <c r="AR173" i="52"/>
  <c r="AQ190" i="52"/>
  <c r="AR288" i="52"/>
  <c r="AS271" i="52"/>
  <c r="AR139" i="52"/>
  <c r="AQ156" i="52"/>
  <c r="AR40" i="52"/>
  <c r="AQ57" i="52"/>
  <c r="AR73" i="52"/>
  <c r="AQ90" i="52"/>
  <c r="AT105" i="52"/>
  <c r="AS122" i="52"/>
  <c r="AR205" i="52"/>
  <c r="AQ222" i="52"/>
  <c r="AQ255" i="52"/>
  <c r="AR238" i="52"/>
  <c r="AJ55" i="82"/>
  <c r="AL51" i="94"/>
  <c r="AO324" i="74" s="1"/>
  <c r="AL52" i="94"/>
  <c r="AO325" i="74" s="1"/>
  <c r="AL49" i="76"/>
  <c r="AL50" i="76" s="1"/>
  <c r="AO327" i="74" s="1"/>
  <c r="AL54" i="94"/>
  <c r="AO340" i="74" s="1"/>
  <c r="AM50" i="94"/>
  <c r="AL15" i="76"/>
  <c r="AL12" i="76"/>
  <c r="AL16" i="76"/>
  <c r="AL14" i="76"/>
  <c r="AL13" i="76"/>
  <c r="AL11" i="76"/>
  <c r="AM16" i="94"/>
  <c r="AP108" i="74" s="1"/>
  <c r="AP204" i="74" s="1"/>
  <c r="AM13" i="94"/>
  <c r="AP103" i="74" s="1"/>
  <c r="AP199" i="74" s="1"/>
  <c r="AM14" i="94"/>
  <c r="AP104" i="74" s="1"/>
  <c r="AP200" i="74" s="1"/>
  <c r="AM12" i="94"/>
  <c r="AP102" i="74" s="1"/>
  <c r="AP198" i="74" s="1"/>
  <c r="AM15" i="94"/>
  <c r="AP105" i="74" s="1"/>
  <c r="AP201" i="74" s="1"/>
  <c r="AP100" i="74"/>
  <c r="AP196" i="74" s="1"/>
  <c r="AM11" i="94"/>
  <c r="AP101" i="74" s="1"/>
  <c r="AP197" i="74" s="1"/>
  <c r="AN8" i="94"/>
  <c r="AN10" i="94" s="1"/>
  <c r="AL9" i="94"/>
  <c r="AO99" i="74" s="1"/>
  <c r="AJ18" i="82"/>
  <c r="AM69" i="74" s="1"/>
  <c r="AM191" i="74" s="1"/>
  <c r="AJ15" i="82"/>
  <c r="AM66" i="74" s="1"/>
  <c r="AM188" i="74" s="1"/>
  <c r="AJ12" i="82"/>
  <c r="AM63" i="74" s="1"/>
  <c r="AM185" i="74" s="1"/>
  <c r="AJ17" i="82"/>
  <c r="AM68" i="74" s="1"/>
  <c r="AM190" i="74" s="1"/>
  <c r="AJ14" i="82"/>
  <c r="AM65" i="74" s="1"/>
  <c r="AM187" i="74" s="1"/>
  <c r="AJ11" i="82"/>
  <c r="AM62" i="74" s="1"/>
  <c r="AM184" i="74" s="1"/>
  <c r="AJ13" i="82"/>
  <c r="AM64" i="74" s="1"/>
  <c r="AM186" i="74" s="1"/>
  <c r="AJ10" i="82"/>
  <c r="AJ16" i="82"/>
  <c r="AM67" i="74" s="1"/>
  <c r="AM189" i="74" s="1"/>
  <c r="S3" i="88"/>
  <c r="P26" i="60" s="1"/>
  <c r="AK8" i="82"/>
  <c r="AL61" i="74"/>
  <c r="AL183" i="74" s="1"/>
  <c r="AI9" i="82"/>
  <c r="AL60" i="74" s="1"/>
  <c r="Q23" i="60"/>
  <c r="S3" i="56"/>
  <c r="S14" i="56" s="1"/>
  <c r="R28" i="55"/>
  <c r="U33" i="74" s="1"/>
  <c r="U177" i="74" s="1"/>
  <c r="AN145" i="74"/>
  <c r="AN214" i="74" s="1"/>
  <c r="AN140" i="74"/>
  <c r="AN209" i="74" s="1"/>
  <c r="AN141" i="74"/>
  <c r="AN210" i="74" s="1"/>
  <c r="AN138" i="74"/>
  <c r="AN207" i="74" s="1"/>
  <c r="AN142" i="74"/>
  <c r="AN211" i="74" s="1"/>
  <c r="AN139" i="74"/>
  <c r="AN208" i="74" s="1"/>
  <c r="AM8" i="76"/>
  <c r="AM10" i="76" s="1"/>
  <c r="AH4" i="63"/>
  <c r="AF25" i="63"/>
  <c r="AG23" i="62"/>
  <c r="AG8" i="60" s="1"/>
  <c r="AI4" i="62"/>
  <c r="S3" i="58"/>
  <c r="S3" i="59"/>
  <c r="Q15" i="59"/>
  <c r="AN24" i="63"/>
  <c r="AP3" i="63"/>
  <c r="AT23" i="63"/>
  <c r="AS21" i="62"/>
  <c r="AP22" i="62"/>
  <c r="AR3" i="62"/>
  <c r="Q35" i="60"/>
  <c r="P38" i="60"/>
  <c r="T3" i="57"/>
  <c r="U24" i="55"/>
  <c r="U27" i="55" s="1"/>
  <c r="V5" i="55"/>
  <c r="U17" i="55"/>
  <c r="U20" i="55" s="1"/>
  <c r="AM17" i="76" l="1"/>
  <c r="AP144" i="74" s="1"/>
  <c r="AP213" i="74" s="1"/>
  <c r="AN25" i="94"/>
  <c r="AN26" i="94"/>
  <c r="AN27" i="94"/>
  <c r="AN28" i="94"/>
  <c r="AQ118" i="74" s="1"/>
  <c r="AQ239" i="74" s="1"/>
  <c r="AN33" i="94"/>
  <c r="AN30" i="94"/>
  <c r="AQ120" i="74" s="1"/>
  <c r="AQ241" i="74" s="1"/>
  <c r="AN22" i="94"/>
  <c r="AN24" i="94"/>
  <c r="AK20" i="82"/>
  <c r="AN71" i="74" s="1"/>
  <c r="AN193" i="74" s="1"/>
  <c r="AO212" i="74"/>
  <c r="T71" i="55"/>
  <c r="W7" i="74" s="1"/>
  <c r="W8" i="74"/>
  <c r="U70" i="55"/>
  <c r="U72" i="55" s="1"/>
  <c r="U30" i="55"/>
  <c r="X35" i="74" s="1"/>
  <c r="X179" i="74" s="1"/>
  <c r="AN17" i="94"/>
  <c r="AQ107" i="74" s="1"/>
  <c r="AQ203" i="74" s="1"/>
  <c r="AP106" i="74"/>
  <c r="AP202" i="74" s="1"/>
  <c r="AP195" i="74" s="1"/>
  <c r="AL182" i="74"/>
  <c r="S13" i="64"/>
  <c r="R26" i="64" s="1"/>
  <c r="AM194" i="74"/>
  <c r="AK19" i="82"/>
  <c r="AN70" i="74" s="1"/>
  <c r="S15" i="56"/>
  <c r="T28" i="55" s="1"/>
  <c r="W33" i="74" s="1"/>
  <c r="W177" i="74" s="1"/>
  <c r="AM18" i="76"/>
  <c r="AP143" i="74" s="1"/>
  <c r="V374" i="74"/>
  <c r="W372" i="74"/>
  <c r="W373" i="74"/>
  <c r="W371" i="74"/>
  <c r="W320" i="74"/>
  <c r="W366" i="74"/>
  <c r="W368" i="74"/>
  <c r="X32" i="74"/>
  <c r="X180" i="74" s="1"/>
  <c r="AN18" i="94"/>
  <c r="X6" i="74"/>
  <c r="X278" i="74" s="1"/>
  <c r="U31" i="55"/>
  <c r="X36" i="74" s="1"/>
  <c r="X181" i="74" s="1"/>
  <c r="AS238" i="52"/>
  <c r="AR255" i="52"/>
  <c r="AS40" i="52"/>
  <c r="AR57" i="52"/>
  <c r="AS205" i="52"/>
  <c r="AR222" i="52"/>
  <c r="AR156" i="52"/>
  <c r="AS139" i="52"/>
  <c r="AT271" i="52"/>
  <c r="AS288" i="52"/>
  <c r="AU105" i="52"/>
  <c r="AT122" i="52"/>
  <c r="AS73" i="52"/>
  <c r="AR90" i="52"/>
  <c r="AS173" i="52"/>
  <c r="AR190" i="52"/>
  <c r="AK55" i="82"/>
  <c r="AM52" i="94"/>
  <c r="AP325" i="74" s="1"/>
  <c r="AM51" i="94"/>
  <c r="AP324" i="74" s="1"/>
  <c r="AM49" i="76"/>
  <c r="AM50" i="76" s="1"/>
  <c r="AP327" i="74" s="1"/>
  <c r="AM54" i="94"/>
  <c r="AP340" i="74" s="1"/>
  <c r="AN50" i="94"/>
  <c r="AN15" i="94"/>
  <c r="AQ105" i="74" s="1"/>
  <c r="AQ201" i="74" s="1"/>
  <c r="AN12" i="94"/>
  <c r="AQ102" i="74" s="1"/>
  <c r="AQ198" i="74" s="1"/>
  <c r="AN14" i="94"/>
  <c r="AQ104" i="74" s="1"/>
  <c r="AQ200" i="74" s="1"/>
  <c r="AN16" i="94"/>
  <c r="AQ108" i="74" s="1"/>
  <c r="AQ204" i="74" s="1"/>
  <c r="AQ100" i="74"/>
  <c r="AQ196" i="74" s="1"/>
  <c r="AN11" i="94"/>
  <c r="AQ101" i="74" s="1"/>
  <c r="AQ197" i="74" s="1"/>
  <c r="AN13" i="94"/>
  <c r="AQ103" i="74" s="1"/>
  <c r="AQ199" i="74" s="1"/>
  <c r="AM16" i="76"/>
  <c r="AM13" i="76"/>
  <c r="AM15" i="76"/>
  <c r="AM12" i="76"/>
  <c r="AM14" i="76"/>
  <c r="AM11" i="76"/>
  <c r="AM9" i="94"/>
  <c r="AP99" i="74" s="1"/>
  <c r="AO8" i="94"/>
  <c r="AO10" i="94" s="1"/>
  <c r="AK18" i="82"/>
  <c r="AN69" i="74" s="1"/>
  <c r="AN191" i="74" s="1"/>
  <c r="AK15" i="82"/>
  <c r="AN66" i="74" s="1"/>
  <c r="AN188" i="74" s="1"/>
  <c r="AK12" i="82"/>
  <c r="AN63" i="74" s="1"/>
  <c r="AN185" i="74" s="1"/>
  <c r="AK17" i="82"/>
  <c r="AN68" i="74" s="1"/>
  <c r="AN190" i="74" s="1"/>
  <c r="AK14" i="82"/>
  <c r="AN65" i="74" s="1"/>
  <c r="AN187" i="74" s="1"/>
  <c r="AK11" i="82"/>
  <c r="AN62" i="74" s="1"/>
  <c r="AN184" i="74" s="1"/>
  <c r="AK13" i="82"/>
  <c r="AN64" i="74" s="1"/>
  <c r="AN186" i="74" s="1"/>
  <c r="AK10" i="82"/>
  <c r="AK16" i="82"/>
  <c r="AN67" i="74" s="1"/>
  <c r="AN189" i="74" s="1"/>
  <c r="T3" i="88"/>
  <c r="Q26" i="60" s="1"/>
  <c r="AL8" i="82"/>
  <c r="AM61" i="74"/>
  <c r="AM183" i="74" s="1"/>
  <c r="AJ9" i="82"/>
  <c r="AM60" i="74" s="1"/>
  <c r="T3" i="56"/>
  <c r="T14" i="56" s="1"/>
  <c r="R23" i="60"/>
  <c r="S28" i="55"/>
  <c r="V33" i="74" s="1"/>
  <c r="V177" i="74" s="1"/>
  <c r="AO137" i="74"/>
  <c r="AO206" i="74" s="1"/>
  <c r="AO138" i="74"/>
  <c r="AO207" i="74" s="1"/>
  <c r="AO142" i="74"/>
  <c r="AO211" i="74" s="1"/>
  <c r="AO140" i="74"/>
  <c r="AO209" i="74" s="1"/>
  <c r="AO141" i="74"/>
  <c r="AO210" i="74" s="1"/>
  <c r="AO139" i="74"/>
  <c r="AO208" i="74" s="1"/>
  <c r="AO145" i="74"/>
  <c r="AO214" i="74" s="1"/>
  <c r="AL9" i="76"/>
  <c r="AN8" i="76"/>
  <c r="AN10" i="76" s="1"/>
  <c r="AJ4" i="62"/>
  <c r="AH23" i="62"/>
  <c r="AH8" i="60" s="1"/>
  <c r="AI4" i="63"/>
  <c r="AG25" i="63"/>
  <c r="R15" i="59"/>
  <c r="T3" i="59"/>
  <c r="T3" i="58"/>
  <c r="AU23" i="63"/>
  <c r="AO24" i="63"/>
  <c r="AQ3" i="63"/>
  <c r="AT21" i="62"/>
  <c r="AQ22" i="62"/>
  <c r="AS3" i="62"/>
  <c r="R35" i="60"/>
  <c r="Q38" i="60"/>
  <c r="U3" i="57"/>
  <c r="W5" i="55"/>
  <c r="V24" i="55"/>
  <c r="V27" i="55" s="1"/>
  <c r="V17" i="55"/>
  <c r="V20" i="55" s="1"/>
  <c r="AN17" i="76" l="1"/>
  <c r="AQ144" i="74" s="1"/>
  <c r="AQ213" i="74" s="1"/>
  <c r="AO26" i="94"/>
  <c r="AO27" i="94"/>
  <c r="AO28" i="94"/>
  <c r="AR118" i="74" s="1"/>
  <c r="AR239" i="74" s="1"/>
  <c r="AO29" i="94"/>
  <c r="AR119" i="74" s="1"/>
  <c r="AR240" i="74" s="1"/>
  <c r="AO33" i="94"/>
  <c r="AO30" i="94"/>
  <c r="AR120" i="74" s="1"/>
  <c r="AR241" i="74" s="1"/>
  <c r="AO22" i="94"/>
  <c r="AR112" i="74" s="1"/>
  <c r="AR233" i="74" s="1"/>
  <c r="AO25" i="94"/>
  <c r="AO24" i="94"/>
  <c r="AP212" i="74"/>
  <c r="U71" i="55"/>
  <c r="X7" i="74" s="1"/>
  <c r="X8" i="74"/>
  <c r="V70" i="55"/>
  <c r="V30" i="55"/>
  <c r="Y35" i="74" s="1"/>
  <c r="Y179" i="74" s="1"/>
  <c r="AQ106" i="74"/>
  <c r="AQ202" i="74" s="1"/>
  <c r="AQ195" i="74" s="1"/>
  <c r="AO17" i="94"/>
  <c r="AR107" i="74" s="1"/>
  <c r="AR203" i="74" s="1"/>
  <c r="AL20" i="82"/>
  <c r="AO71" i="74" s="1"/>
  <c r="AO193" i="74" s="1"/>
  <c r="AM182" i="74"/>
  <c r="T13" i="64"/>
  <c r="S26" i="64" s="1"/>
  <c r="AN194" i="74"/>
  <c r="AL19" i="82"/>
  <c r="AO70" i="74" s="1"/>
  <c r="T15" i="56"/>
  <c r="AN18" i="76"/>
  <c r="AQ143" i="74" s="1"/>
  <c r="W374" i="74"/>
  <c r="X373" i="74"/>
  <c r="X371" i="74"/>
  <c r="X372" i="74"/>
  <c r="X320" i="74"/>
  <c r="X366" i="74"/>
  <c r="X368" i="74"/>
  <c r="Y32" i="74"/>
  <c r="Y180" i="74" s="1"/>
  <c r="AO18" i="94"/>
  <c r="Y6" i="74"/>
  <c r="Y278" i="74" s="1"/>
  <c r="AT139" i="52"/>
  <c r="AS156" i="52"/>
  <c r="AT173" i="52"/>
  <c r="AS190" i="52"/>
  <c r="AT73" i="52"/>
  <c r="AS90" i="52"/>
  <c r="AT205" i="52"/>
  <c r="AS222" i="52"/>
  <c r="AV105" i="52"/>
  <c r="AU122" i="52"/>
  <c r="AT40" i="52"/>
  <c r="AS57" i="52"/>
  <c r="AU271" i="52"/>
  <c r="AT288" i="52"/>
  <c r="AT238" i="52"/>
  <c r="AS255" i="52"/>
  <c r="AL55" i="82"/>
  <c r="AN52" i="94"/>
  <c r="AQ325" i="74" s="1"/>
  <c r="AN51" i="94"/>
  <c r="AQ324" i="74" s="1"/>
  <c r="AN49" i="76"/>
  <c r="AN50" i="76" s="1"/>
  <c r="AQ327" i="74" s="1"/>
  <c r="AN54" i="94"/>
  <c r="AQ340" i="74" s="1"/>
  <c r="AO50" i="94"/>
  <c r="AN16" i="76"/>
  <c r="AN13" i="76"/>
  <c r="AN11" i="76"/>
  <c r="AN15" i="76"/>
  <c r="AN14" i="76"/>
  <c r="AN12" i="76"/>
  <c r="AO14" i="94"/>
  <c r="AR104" i="74" s="1"/>
  <c r="AR200" i="74" s="1"/>
  <c r="AO11" i="94"/>
  <c r="AR101" i="74" s="1"/>
  <c r="AR197" i="74" s="1"/>
  <c r="AO12" i="94"/>
  <c r="AR102" i="74" s="1"/>
  <c r="AR198" i="74" s="1"/>
  <c r="AO16" i="94"/>
  <c r="AR108" i="74" s="1"/>
  <c r="AR204" i="74" s="1"/>
  <c r="AO15" i="94"/>
  <c r="AR105" i="74" s="1"/>
  <c r="AR201" i="74" s="1"/>
  <c r="AR100" i="74"/>
  <c r="AR196" i="74" s="1"/>
  <c r="AO13" i="94"/>
  <c r="AR103" i="74" s="1"/>
  <c r="AR199" i="74" s="1"/>
  <c r="AP8" i="94"/>
  <c r="AP10" i="94" s="1"/>
  <c r="AN9" i="94"/>
  <c r="AQ99" i="74" s="1"/>
  <c r="AL10" i="82"/>
  <c r="AL18" i="82"/>
  <c r="AO69" i="74" s="1"/>
  <c r="AO191" i="74" s="1"/>
  <c r="AL15" i="82"/>
  <c r="AO66" i="74" s="1"/>
  <c r="AO188" i="74" s="1"/>
  <c r="AL12" i="82"/>
  <c r="AO63" i="74" s="1"/>
  <c r="AO185" i="74" s="1"/>
  <c r="AL16" i="82"/>
  <c r="AO67" i="74" s="1"/>
  <c r="AO189" i="74" s="1"/>
  <c r="AL13" i="82"/>
  <c r="AO64" i="74" s="1"/>
  <c r="AO186" i="74" s="1"/>
  <c r="AL17" i="82"/>
  <c r="AO68" i="74" s="1"/>
  <c r="AO190" i="74" s="1"/>
  <c r="AL14" i="82"/>
  <c r="AO65" i="74" s="1"/>
  <c r="AO187" i="74" s="1"/>
  <c r="AL11" i="82"/>
  <c r="AO62" i="74" s="1"/>
  <c r="AO184" i="74" s="1"/>
  <c r="U3" i="88"/>
  <c r="R26" i="60" s="1"/>
  <c r="AM8" i="82"/>
  <c r="AN61" i="74"/>
  <c r="AN183" i="74" s="1"/>
  <c r="U3" i="56"/>
  <c r="U14" i="56" s="1"/>
  <c r="S23" i="60"/>
  <c r="AO136" i="74"/>
  <c r="AO205" i="74"/>
  <c r="AP145" i="74"/>
  <c r="AP214" i="74" s="1"/>
  <c r="AP140" i="74"/>
  <c r="AP209" i="74" s="1"/>
  <c r="AP141" i="74"/>
  <c r="AP210" i="74" s="1"/>
  <c r="AP137" i="74"/>
  <c r="AP206" i="74" s="1"/>
  <c r="AP139" i="74"/>
  <c r="AP208" i="74" s="1"/>
  <c r="AP138" i="74"/>
  <c r="AP207" i="74" s="1"/>
  <c r="AP142" i="74"/>
  <c r="AP211" i="74" s="1"/>
  <c r="AM9" i="76"/>
  <c r="AO8" i="76"/>
  <c r="AO10" i="76" s="1"/>
  <c r="AJ4" i="63"/>
  <c r="AH25" i="63"/>
  <c r="AK4" i="62"/>
  <c r="AI23" i="62"/>
  <c r="AI8" i="60" s="1"/>
  <c r="U3" i="59"/>
  <c r="S15" i="59"/>
  <c r="U3" i="58"/>
  <c r="AP24" i="63"/>
  <c r="AR3" i="63"/>
  <c r="AV23" i="63"/>
  <c r="AU21" i="62"/>
  <c r="AR22" i="62"/>
  <c r="AT3" i="62"/>
  <c r="R38" i="60"/>
  <c r="S35" i="60"/>
  <c r="V3" i="57"/>
  <c r="W24" i="55"/>
  <c r="W27" i="55" s="1"/>
  <c r="X5" i="55"/>
  <c r="W17" i="55"/>
  <c r="W20" i="55" s="1"/>
  <c r="AO17" i="76" l="1"/>
  <c r="AR144" i="74" s="1"/>
  <c r="AR213" i="74" s="1"/>
  <c r="AP27" i="94"/>
  <c r="AP28" i="94"/>
  <c r="AS118" i="74" s="1"/>
  <c r="AS239" i="74" s="1"/>
  <c r="AP29" i="94"/>
  <c r="AS119" i="74" s="1"/>
  <c r="AS240" i="74" s="1"/>
  <c r="AP33" i="94"/>
  <c r="AP30" i="94"/>
  <c r="AS120" i="74" s="1"/>
  <c r="AS241" i="74" s="1"/>
  <c r="AP25" i="94"/>
  <c r="AP24" i="94"/>
  <c r="AP26" i="94"/>
  <c r="AP22" i="94"/>
  <c r="AS112" i="74" s="1"/>
  <c r="AS233" i="74" s="1"/>
  <c r="AQ212" i="74"/>
  <c r="W70" i="55"/>
  <c r="W72" i="55" s="1"/>
  <c r="W30" i="55"/>
  <c r="Z35" i="74" s="1"/>
  <c r="Z179" i="74" s="1"/>
  <c r="AR106" i="74"/>
  <c r="AR202" i="74" s="1"/>
  <c r="AR195" i="74" s="1"/>
  <c r="AP17" i="94"/>
  <c r="AS107" i="74" s="1"/>
  <c r="AS203" i="74" s="1"/>
  <c r="AM20" i="82"/>
  <c r="AP71" i="74" s="1"/>
  <c r="AP193" i="74" s="1"/>
  <c r="U13" i="64"/>
  <c r="T26" i="64" s="1"/>
  <c r="AO194" i="74"/>
  <c r="AM19" i="82"/>
  <c r="AP70" i="74" s="1"/>
  <c r="U15" i="56"/>
  <c r="AO18" i="76"/>
  <c r="AR143" i="74" s="1"/>
  <c r="X374" i="74"/>
  <c r="Y371" i="74"/>
  <c r="Y372" i="74"/>
  <c r="Y373" i="74"/>
  <c r="Y320" i="74"/>
  <c r="Y366" i="74"/>
  <c r="Y368" i="74"/>
  <c r="Z32" i="74"/>
  <c r="Z180" i="74" s="1"/>
  <c r="AP18" i="94"/>
  <c r="Z6" i="74"/>
  <c r="Z278" i="74" s="1"/>
  <c r="W31" i="55"/>
  <c r="Z36" i="74" s="1"/>
  <c r="Z181" i="74" s="1"/>
  <c r="AU238" i="52"/>
  <c r="AT255" i="52"/>
  <c r="AU205" i="52"/>
  <c r="AT222" i="52"/>
  <c r="AV271" i="52"/>
  <c r="AU288" i="52"/>
  <c r="AU73" i="52"/>
  <c r="AT90" i="52"/>
  <c r="AU40" i="52"/>
  <c r="AT57" i="52"/>
  <c r="AT190" i="52"/>
  <c r="AU173" i="52"/>
  <c r="AV122" i="52"/>
  <c r="AW105" i="52"/>
  <c r="AU139" i="52"/>
  <c r="AT156" i="52"/>
  <c r="AM55" i="82"/>
  <c r="AO51" i="94"/>
  <c r="AR324" i="74" s="1"/>
  <c r="AO52" i="94"/>
  <c r="AR325" i="74" s="1"/>
  <c r="AO53" i="94"/>
  <c r="AO49" i="76"/>
  <c r="AO50" i="76" s="1"/>
  <c r="AR327" i="74" s="1"/>
  <c r="AO54" i="94"/>
  <c r="AR340" i="74" s="1"/>
  <c r="AP50" i="94"/>
  <c r="AO14" i="76"/>
  <c r="AO11" i="76"/>
  <c r="AO16" i="76"/>
  <c r="AO13" i="76"/>
  <c r="AO15" i="76"/>
  <c r="AO12" i="76"/>
  <c r="AP15" i="94"/>
  <c r="AS105" i="74" s="1"/>
  <c r="AS201" i="74" s="1"/>
  <c r="AP12" i="94"/>
  <c r="AS102" i="74" s="1"/>
  <c r="AS198" i="74" s="1"/>
  <c r="AS100" i="74"/>
  <c r="AS196" i="74" s="1"/>
  <c r="AP16" i="94"/>
  <c r="AS108" i="74" s="1"/>
  <c r="AS204" i="74" s="1"/>
  <c r="AP11" i="94"/>
  <c r="AS101" i="74" s="1"/>
  <c r="AS197" i="74" s="1"/>
  <c r="AP14" i="94"/>
  <c r="AS104" i="74" s="1"/>
  <c r="AS200" i="74" s="1"/>
  <c r="AP13" i="94"/>
  <c r="AS103" i="74" s="1"/>
  <c r="AS199" i="74" s="1"/>
  <c r="AO9" i="94"/>
  <c r="AR99" i="74" s="1"/>
  <c r="AQ8" i="94"/>
  <c r="AQ10" i="94" s="1"/>
  <c r="AM18" i="82"/>
  <c r="AP69" i="74" s="1"/>
  <c r="AP191" i="74" s="1"/>
  <c r="AM15" i="82"/>
  <c r="AP66" i="74" s="1"/>
  <c r="AP188" i="74" s="1"/>
  <c r="AM12" i="82"/>
  <c r="AP63" i="74" s="1"/>
  <c r="AP185" i="74" s="1"/>
  <c r="AM11" i="82"/>
  <c r="AP62" i="74" s="1"/>
  <c r="AP184" i="74" s="1"/>
  <c r="AM17" i="82"/>
  <c r="AP68" i="74" s="1"/>
  <c r="AP190" i="74" s="1"/>
  <c r="AM14" i="82"/>
  <c r="AP65" i="74" s="1"/>
  <c r="AP187" i="74" s="1"/>
  <c r="AM16" i="82"/>
  <c r="AP67" i="74" s="1"/>
  <c r="AP189" i="74" s="1"/>
  <c r="AM13" i="82"/>
  <c r="AP64" i="74" s="1"/>
  <c r="AP186" i="74" s="1"/>
  <c r="AM10" i="82"/>
  <c r="V3" i="88"/>
  <c r="S26" i="60" s="1"/>
  <c r="AN8" i="82"/>
  <c r="AO61" i="74"/>
  <c r="AO183" i="74" s="1"/>
  <c r="T23" i="60"/>
  <c r="V3" i="56"/>
  <c r="V14" i="56" s="1"/>
  <c r="U28" i="55"/>
  <c r="X33" i="74" s="1"/>
  <c r="X177" i="74" s="1"/>
  <c r="AP136" i="74"/>
  <c r="AP205" i="74"/>
  <c r="AQ142" i="74"/>
  <c r="AQ211" i="74" s="1"/>
  <c r="AQ140" i="74"/>
  <c r="AQ209" i="74" s="1"/>
  <c r="AQ139" i="74"/>
  <c r="AQ208" i="74" s="1"/>
  <c r="AQ145" i="74"/>
  <c r="AQ214" i="74" s="1"/>
  <c r="AQ141" i="74"/>
  <c r="AQ210" i="74" s="1"/>
  <c r="AQ138" i="74"/>
  <c r="AQ207" i="74" s="1"/>
  <c r="AQ137" i="74"/>
  <c r="AQ206" i="74" s="1"/>
  <c r="AN9" i="76"/>
  <c r="AP8" i="76"/>
  <c r="AP10" i="76" s="1"/>
  <c r="AL4" i="62"/>
  <c r="AJ23" i="62"/>
  <c r="AJ8" i="60" s="1"/>
  <c r="AK4" i="63"/>
  <c r="AI25" i="63"/>
  <c r="V3" i="58"/>
  <c r="V3" i="59"/>
  <c r="T15" i="59"/>
  <c r="AW23" i="63"/>
  <c r="AQ24" i="63"/>
  <c r="AS3" i="63"/>
  <c r="AV21" i="62"/>
  <c r="AS22" i="62"/>
  <c r="AU3" i="62"/>
  <c r="S38" i="60"/>
  <c r="T35" i="60"/>
  <c r="W3" i="57"/>
  <c r="X24" i="55"/>
  <c r="X27" i="55" s="1"/>
  <c r="Y5" i="55"/>
  <c r="X17" i="55"/>
  <c r="X20" i="55" s="1"/>
  <c r="AP17" i="76" l="1"/>
  <c r="AS144" i="74" s="1"/>
  <c r="AS213" i="74" s="1"/>
  <c r="AQ28" i="94"/>
  <c r="AT118" i="74" s="1"/>
  <c r="AT239" i="74" s="1"/>
  <c r="AQ29" i="94"/>
  <c r="AT119" i="74" s="1"/>
  <c r="AT240" i="74" s="1"/>
  <c r="AQ33" i="94"/>
  <c r="AQ30" i="94"/>
  <c r="AT120" i="74" s="1"/>
  <c r="AT241" i="74" s="1"/>
  <c r="AQ27" i="94"/>
  <c r="AQ25" i="94"/>
  <c r="AQ24" i="94"/>
  <c r="AQ22" i="94"/>
  <c r="AT112" i="74" s="1"/>
  <c r="AT233" i="74" s="1"/>
  <c r="AQ26" i="94"/>
  <c r="AR212" i="74"/>
  <c r="W71" i="55"/>
  <c r="Z7" i="74" s="1"/>
  <c r="Z8" i="74"/>
  <c r="X70" i="55"/>
  <c r="V13" i="64"/>
  <c r="U26" i="64" s="1"/>
  <c r="X30" i="55"/>
  <c r="AA35" i="74" s="1"/>
  <c r="AA179" i="74" s="1"/>
  <c r="AS106" i="74"/>
  <c r="AS202" i="74" s="1"/>
  <c r="AS195" i="74" s="1"/>
  <c r="AQ17" i="94"/>
  <c r="AT107" i="74" s="1"/>
  <c r="AT203" i="74" s="1"/>
  <c r="AN21" i="82"/>
  <c r="AQ72" i="74" s="1"/>
  <c r="AQ192" i="74" s="1"/>
  <c r="AN20" i="82"/>
  <c r="AQ71" i="74" s="1"/>
  <c r="AQ193" i="74" s="1"/>
  <c r="AP194" i="74"/>
  <c r="AN19" i="82"/>
  <c r="AQ70" i="74" s="1"/>
  <c r="V15" i="56"/>
  <c r="W28" i="55" s="1"/>
  <c r="Z33" i="74" s="1"/>
  <c r="Z177" i="74" s="1"/>
  <c r="AP18" i="76"/>
  <c r="AS143" i="74" s="1"/>
  <c r="Y374" i="74"/>
  <c r="Z371" i="74"/>
  <c r="Z372" i="74"/>
  <c r="Z373" i="74"/>
  <c r="Z320" i="74"/>
  <c r="Z366" i="74"/>
  <c r="Z368" i="74"/>
  <c r="AA32" i="74"/>
  <c r="AA180" i="74" s="1"/>
  <c r="AQ18" i="94"/>
  <c r="AA6" i="74"/>
  <c r="AA278" i="74" s="1"/>
  <c r="AV139" i="52"/>
  <c r="AU156" i="52"/>
  <c r="AV73" i="52"/>
  <c r="AU90" i="52"/>
  <c r="AW122" i="52"/>
  <c r="AX105" i="52"/>
  <c r="AW271" i="52"/>
  <c r="AV288" i="52"/>
  <c r="AV173" i="52"/>
  <c r="AU190" i="52"/>
  <c r="AV205" i="52"/>
  <c r="AU222" i="52"/>
  <c r="AV40" i="52"/>
  <c r="AU57" i="52"/>
  <c r="AV238" i="52"/>
  <c r="AU255" i="52"/>
  <c r="AN55" i="82"/>
  <c r="AP52" i="94"/>
  <c r="AS325" i="74" s="1"/>
  <c r="AP53" i="94"/>
  <c r="AP51" i="94"/>
  <c r="AS324" i="74" s="1"/>
  <c r="AP49" i="76"/>
  <c r="AP50" i="76" s="1"/>
  <c r="AS327" i="74" s="1"/>
  <c r="AP54" i="94"/>
  <c r="AS340" i="74" s="1"/>
  <c r="AQ50" i="94"/>
  <c r="AP14" i="76"/>
  <c r="AP11" i="76"/>
  <c r="AP13" i="76"/>
  <c r="AP16" i="76"/>
  <c r="AP15" i="76"/>
  <c r="AP12" i="76"/>
  <c r="AQ15" i="94"/>
  <c r="AT105" i="74" s="1"/>
  <c r="AT201" i="74" s="1"/>
  <c r="AQ12" i="94"/>
  <c r="AT102" i="74" s="1"/>
  <c r="AT198" i="74" s="1"/>
  <c r="AQ16" i="94"/>
  <c r="AT108" i="74" s="1"/>
  <c r="AT204" i="74" s="1"/>
  <c r="AQ13" i="94"/>
  <c r="AT103" i="74" s="1"/>
  <c r="AT199" i="74" s="1"/>
  <c r="AQ14" i="94"/>
  <c r="AT104" i="74" s="1"/>
  <c r="AT200" i="74" s="1"/>
  <c r="AT100" i="74"/>
  <c r="AT196" i="74" s="1"/>
  <c r="AQ11" i="94"/>
  <c r="AT101" i="74" s="1"/>
  <c r="AT197" i="74" s="1"/>
  <c r="AP9" i="94"/>
  <c r="AS99" i="74" s="1"/>
  <c r="AR8" i="94"/>
  <c r="AR10" i="94" s="1"/>
  <c r="AN10" i="82"/>
  <c r="AN17" i="82"/>
  <c r="AQ68" i="74" s="1"/>
  <c r="AQ190" i="74" s="1"/>
  <c r="AN14" i="82"/>
  <c r="AQ65" i="74" s="1"/>
  <c r="AQ187" i="74" s="1"/>
  <c r="AN11" i="82"/>
  <c r="AQ62" i="74" s="1"/>
  <c r="AQ184" i="74" s="1"/>
  <c r="AN16" i="82"/>
  <c r="AQ67" i="74" s="1"/>
  <c r="AQ189" i="74" s="1"/>
  <c r="AN13" i="82"/>
  <c r="AQ64" i="74" s="1"/>
  <c r="AQ186" i="74" s="1"/>
  <c r="AN18" i="82"/>
  <c r="AQ69" i="74" s="1"/>
  <c r="AQ191" i="74" s="1"/>
  <c r="AN12" i="82"/>
  <c r="AQ63" i="74" s="1"/>
  <c r="AQ185" i="74" s="1"/>
  <c r="AN15" i="82"/>
  <c r="AQ66" i="74" s="1"/>
  <c r="AQ188" i="74" s="1"/>
  <c r="W3" i="88"/>
  <c r="T26" i="60" s="1"/>
  <c r="U23" i="60"/>
  <c r="AO8" i="82"/>
  <c r="AP61" i="74"/>
  <c r="AP183" i="74" s="1"/>
  <c r="W3" i="56"/>
  <c r="W14" i="56" s="1"/>
  <c r="V28" i="55"/>
  <c r="Y33" i="74" s="1"/>
  <c r="Y177" i="74" s="1"/>
  <c r="AQ136" i="74"/>
  <c r="AQ205" i="74"/>
  <c r="AR140" i="74"/>
  <c r="AR209" i="74" s="1"/>
  <c r="AR139" i="74"/>
  <c r="AR208" i="74" s="1"/>
  <c r="AR141" i="74"/>
  <c r="AR210" i="74" s="1"/>
  <c r="AR145" i="74"/>
  <c r="AR214" i="74" s="1"/>
  <c r="AR138" i="74"/>
  <c r="AR207" i="74" s="1"/>
  <c r="AR137" i="74"/>
  <c r="AR206" i="74" s="1"/>
  <c r="AR142" i="74"/>
  <c r="AR211" i="74" s="1"/>
  <c r="AO9" i="76"/>
  <c r="AQ8" i="76"/>
  <c r="AQ10" i="76" s="1"/>
  <c r="AL4" i="63"/>
  <c r="AJ25" i="63"/>
  <c r="AM4" i="62"/>
  <c r="AK23" i="62"/>
  <c r="AK8" i="60" s="1"/>
  <c r="W3" i="59"/>
  <c r="U15" i="59"/>
  <c r="W3" i="58"/>
  <c r="AR24" i="63"/>
  <c r="AT3" i="63"/>
  <c r="AX23" i="63"/>
  <c r="AT22" i="62"/>
  <c r="AV3" i="62"/>
  <c r="AW21" i="62"/>
  <c r="T38" i="60"/>
  <c r="U35" i="60"/>
  <c r="X3" i="57"/>
  <c r="Y24" i="55"/>
  <c r="Y27" i="55" s="1"/>
  <c r="Z5" i="55"/>
  <c r="Y17" i="55"/>
  <c r="Y20" i="55" s="1"/>
  <c r="AN23" i="94" l="1"/>
  <c r="AN21" i="94"/>
  <c r="AR29" i="94"/>
  <c r="AU119" i="74" s="1"/>
  <c r="AU240" i="74" s="1"/>
  <c r="AR33" i="94"/>
  <c r="AR30" i="94"/>
  <c r="AU120" i="74" s="1"/>
  <c r="AU241" i="74" s="1"/>
  <c r="AR24" i="94"/>
  <c r="AR28" i="94"/>
  <c r="AU118" i="74" s="1"/>
  <c r="AU239" i="74" s="1"/>
  <c r="AR26" i="94"/>
  <c r="AR27" i="94"/>
  <c r="AR25" i="94"/>
  <c r="AR22" i="94"/>
  <c r="AU112" i="74" s="1"/>
  <c r="AU233" i="74" s="1"/>
  <c r="AS212" i="74"/>
  <c r="Y70" i="55"/>
  <c r="Y72" i="55" s="1"/>
  <c r="AQ17" i="76"/>
  <c r="AT144" i="74" s="1"/>
  <c r="AT213" i="74" s="1"/>
  <c r="W13" i="64"/>
  <c r="V26" i="64" s="1"/>
  <c r="Y30" i="55"/>
  <c r="AB35" i="74" s="1"/>
  <c r="AB179" i="74" s="1"/>
  <c r="AT106" i="74"/>
  <c r="AT202" i="74" s="1"/>
  <c r="AT195" i="74" s="1"/>
  <c r="AR17" i="94"/>
  <c r="AU107" i="74" s="1"/>
  <c r="AU203" i="74" s="1"/>
  <c r="AO21" i="82"/>
  <c r="AR72" i="74" s="1"/>
  <c r="AR192" i="74" s="1"/>
  <c r="AO20" i="82"/>
  <c r="AR71" i="74" s="1"/>
  <c r="AR193" i="74" s="1"/>
  <c r="AQ194" i="74"/>
  <c r="AO19" i="82"/>
  <c r="AR70" i="74" s="1"/>
  <c r="W15" i="56"/>
  <c r="X28" i="55" s="1"/>
  <c r="AA33" i="74" s="1"/>
  <c r="AA177" i="74" s="1"/>
  <c r="AQ18" i="76"/>
  <c r="AT143" i="74" s="1"/>
  <c r="AA371" i="74"/>
  <c r="AA372" i="74"/>
  <c r="AA373" i="74"/>
  <c r="Z374" i="74"/>
  <c r="AA320" i="74"/>
  <c r="AA366" i="74"/>
  <c r="AA368" i="74"/>
  <c r="AB32" i="74"/>
  <c r="AB180" i="74" s="1"/>
  <c r="AR18" i="94"/>
  <c r="AB6" i="74"/>
  <c r="AB278" i="74" s="1"/>
  <c r="Y31" i="55"/>
  <c r="AB36" i="74" s="1"/>
  <c r="AB181" i="74" s="1"/>
  <c r="AW238" i="52"/>
  <c r="AV255" i="52"/>
  <c r="AX271" i="52"/>
  <c r="AW288" i="52"/>
  <c r="AY105" i="52"/>
  <c r="AX122" i="52"/>
  <c r="AW40" i="52"/>
  <c r="AV57" i="52"/>
  <c r="AV222" i="52"/>
  <c r="AW205" i="52"/>
  <c r="AV90" i="52"/>
  <c r="AW73" i="52"/>
  <c r="AW173" i="52"/>
  <c r="AV190" i="52"/>
  <c r="AV156" i="52"/>
  <c r="AW139" i="52"/>
  <c r="AO55" i="82"/>
  <c r="AQ53" i="94"/>
  <c r="AQ52" i="94"/>
  <c r="AT325" i="74" s="1"/>
  <c r="AQ51" i="94"/>
  <c r="AT324" i="74" s="1"/>
  <c r="AQ49" i="76"/>
  <c r="AQ50" i="76" s="1"/>
  <c r="AT327" i="74" s="1"/>
  <c r="AQ54" i="94"/>
  <c r="AT340" i="74" s="1"/>
  <c r="AR50" i="94"/>
  <c r="AQ15" i="76"/>
  <c r="AQ12" i="76"/>
  <c r="AQ16" i="76"/>
  <c r="AQ11" i="76"/>
  <c r="AQ14" i="76"/>
  <c r="AQ13" i="76"/>
  <c r="AR14" i="94"/>
  <c r="AU104" i="74" s="1"/>
  <c r="AU200" i="74" s="1"/>
  <c r="AR11" i="94"/>
  <c r="AU101" i="74" s="1"/>
  <c r="AU197" i="74" s="1"/>
  <c r="AR13" i="94"/>
  <c r="AU103" i="74" s="1"/>
  <c r="AU199" i="74" s="1"/>
  <c r="AR15" i="94"/>
  <c r="AU105" i="74" s="1"/>
  <c r="AU201" i="74" s="1"/>
  <c r="AU100" i="74"/>
  <c r="AU196" i="74" s="1"/>
  <c r="AR16" i="94"/>
  <c r="AU108" i="74" s="1"/>
  <c r="AU204" i="74" s="1"/>
  <c r="AR12" i="94"/>
  <c r="AU102" i="74" s="1"/>
  <c r="AU198" i="74" s="1"/>
  <c r="AS8" i="94"/>
  <c r="AS10" i="94" s="1"/>
  <c r="AQ9" i="94"/>
  <c r="AT99" i="74" s="1"/>
  <c r="AO17" i="82"/>
  <c r="AR68" i="74" s="1"/>
  <c r="AR190" i="74" s="1"/>
  <c r="AO14" i="82"/>
  <c r="AR65" i="74" s="1"/>
  <c r="AR187" i="74" s="1"/>
  <c r="AO11" i="82"/>
  <c r="AR62" i="74" s="1"/>
  <c r="AR184" i="74" s="1"/>
  <c r="AO18" i="82"/>
  <c r="AR69" i="74" s="1"/>
  <c r="AR191" i="74" s="1"/>
  <c r="AO13" i="82"/>
  <c r="AR64" i="74" s="1"/>
  <c r="AR186" i="74" s="1"/>
  <c r="AO16" i="82"/>
  <c r="AR67" i="74" s="1"/>
  <c r="AR189" i="74" s="1"/>
  <c r="AO10" i="82"/>
  <c r="AO15" i="82"/>
  <c r="AR66" i="74" s="1"/>
  <c r="AR188" i="74" s="1"/>
  <c r="AO12" i="82"/>
  <c r="AR63" i="74" s="1"/>
  <c r="AR185" i="74" s="1"/>
  <c r="X3" i="88"/>
  <c r="U26" i="60" s="1"/>
  <c r="V23" i="60"/>
  <c r="X3" i="56"/>
  <c r="X14" i="56" s="1"/>
  <c r="AP8" i="82"/>
  <c r="AQ61" i="74"/>
  <c r="AQ183" i="74" s="1"/>
  <c r="AN9" i="82"/>
  <c r="AQ60" i="74" s="1"/>
  <c r="AR205" i="74"/>
  <c r="AR136" i="74"/>
  <c r="AS141" i="74"/>
  <c r="AS210" i="74" s="1"/>
  <c r="AS138" i="74"/>
  <c r="AS207" i="74" s="1"/>
  <c r="AS140" i="74"/>
  <c r="AS209" i="74" s="1"/>
  <c r="AS145" i="74"/>
  <c r="AS214" i="74" s="1"/>
  <c r="AS139" i="74"/>
  <c r="AS208" i="74" s="1"/>
  <c r="AS142" i="74"/>
  <c r="AS211" i="74" s="1"/>
  <c r="AS137" i="74"/>
  <c r="AS206" i="74" s="1"/>
  <c r="AP9" i="76"/>
  <c r="AR8" i="76"/>
  <c r="AR10" i="76" s="1"/>
  <c r="AL23" i="62"/>
  <c r="AL8" i="60" s="1"/>
  <c r="AN4" i="62"/>
  <c r="AM4" i="63"/>
  <c r="AK25" i="63"/>
  <c r="X3" i="58"/>
  <c r="V15" i="59"/>
  <c r="X3" i="59"/>
  <c r="AS24" i="63"/>
  <c r="AU3" i="63"/>
  <c r="AY23" i="63"/>
  <c r="AX21" i="62"/>
  <c r="AU22" i="62"/>
  <c r="AW3" i="62"/>
  <c r="U38" i="60"/>
  <c r="V35" i="60"/>
  <c r="Y3" i="57"/>
  <c r="Z24" i="55"/>
  <c r="Z27" i="55" s="1"/>
  <c r="AA5" i="55"/>
  <c r="Z17" i="55"/>
  <c r="Z20" i="55" s="1"/>
  <c r="AO21" i="94" l="1"/>
  <c r="AR111" i="74" s="1"/>
  <c r="AR232" i="74" s="1"/>
  <c r="AO23" i="94"/>
  <c r="AR113" i="74" s="1"/>
  <c r="AR234" i="74" s="1"/>
  <c r="AR17" i="76"/>
  <c r="AU144" i="74" s="1"/>
  <c r="AU213" i="74" s="1"/>
  <c r="AS33" i="94"/>
  <c r="AS30" i="94"/>
  <c r="AV120" i="74" s="1"/>
  <c r="AV241" i="74" s="1"/>
  <c r="AS25" i="94"/>
  <c r="AS24" i="94"/>
  <c r="AS28" i="94"/>
  <c r="AV118" i="74" s="1"/>
  <c r="AV239" i="74" s="1"/>
  <c r="AS26" i="94"/>
  <c r="AS22" i="94"/>
  <c r="AV112" i="74" s="1"/>
  <c r="AV233" i="74" s="1"/>
  <c r="AS29" i="94"/>
  <c r="AV119" i="74" s="1"/>
  <c r="AV240" i="74" s="1"/>
  <c r="AS27" i="94"/>
  <c r="AT212" i="74"/>
  <c r="Y71" i="55"/>
  <c r="AB7" i="74" s="1"/>
  <c r="AB8" i="74"/>
  <c r="Z70" i="55"/>
  <c r="Z72" i="55" s="1"/>
  <c r="X13" i="64"/>
  <c r="W26" i="64" s="1"/>
  <c r="AQ182" i="74"/>
  <c r="Z30" i="55"/>
  <c r="AC35" i="74" s="1"/>
  <c r="AC179" i="74" s="1"/>
  <c r="AU106" i="74"/>
  <c r="AU202" i="74" s="1"/>
  <c r="AU195" i="74" s="1"/>
  <c r="AS17" i="94"/>
  <c r="AV107" i="74" s="1"/>
  <c r="AV203" i="74" s="1"/>
  <c r="AP20" i="82"/>
  <c r="AS71" i="74" s="1"/>
  <c r="AS193" i="74" s="1"/>
  <c r="AR194" i="74"/>
  <c r="AP19" i="82"/>
  <c r="AS70" i="74" s="1"/>
  <c r="X15" i="56"/>
  <c r="Y28" i="55" s="1"/>
  <c r="AB33" i="74" s="1"/>
  <c r="AB177" i="74" s="1"/>
  <c r="AR18" i="76"/>
  <c r="AU143" i="74" s="1"/>
  <c r="AB371" i="74"/>
  <c r="AB372" i="74"/>
  <c r="AB373" i="74"/>
  <c r="AA374" i="74"/>
  <c r="AB320" i="74"/>
  <c r="AB366" i="74"/>
  <c r="AB368" i="74"/>
  <c r="AC32" i="74"/>
  <c r="AC180" i="74" s="1"/>
  <c r="AS18" i="94"/>
  <c r="AC6" i="74"/>
  <c r="AC278" i="74" s="1"/>
  <c r="Z31" i="55"/>
  <c r="AC36" i="74" s="1"/>
  <c r="AC181" i="74" s="1"/>
  <c r="AW156" i="52"/>
  <c r="AX139" i="52"/>
  <c r="AX40" i="52"/>
  <c r="AW57" i="52"/>
  <c r="AW190" i="52"/>
  <c r="AX173" i="52"/>
  <c r="AY122" i="52"/>
  <c r="AZ105" i="52"/>
  <c r="AX73" i="52"/>
  <c r="AW90" i="52"/>
  <c r="AY271" i="52"/>
  <c r="AX288" i="52"/>
  <c r="AX205" i="52"/>
  <c r="AW222" i="52"/>
  <c r="AX238" i="52"/>
  <c r="AW255" i="52"/>
  <c r="AP55" i="82"/>
  <c r="AR51" i="94"/>
  <c r="AU324" i="74" s="1"/>
  <c r="AR52" i="94"/>
  <c r="AU325" i="74" s="1"/>
  <c r="AR53" i="94"/>
  <c r="AR49" i="76"/>
  <c r="AR50" i="76" s="1"/>
  <c r="AU327" i="74" s="1"/>
  <c r="AR54" i="94"/>
  <c r="AU340" i="74" s="1"/>
  <c r="AS50" i="94"/>
  <c r="AS16" i="94"/>
  <c r="AV108" i="74" s="1"/>
  <c r="AV204" i="74" s="1"/>
  <c r="AS13" i="94"/>
  <c r="AV103" i="74" s="1"/>
  <c r="AV199" i="74" s="1"/>
  <c r="AS15" i="94"/>
  <c r="AV105" i="74" s="1"/>
  <c r="AV201" i="74" s="1"/>
  <c r="AV100" i="74"/>
  <c r="AV196" i="74" s="1"/>
  <c r="AS14" i="94"/>
  <c r="AV104" i="74" s="1"/>
  <c r="AV200" i="74" s="1"/>
  <c r="AS11" i="94"/>
  <c r="AV101" i="74" s="1"/>
  <c r="AV197" i="74" s="1"/>
  <c r="AS12" i="94"/>
  <c r="AV102" i="74" s="1"/>
  <c r="AV198" i="74" s="1"/>
  <c r="AR15" i="76"/>
  <c r="AR12" i="76"/>
  <c r="AR14" i="76"/>
  <c r="AR13" i="76"/>
  <c r="AR11" i="76"/>
  <c r="AR16" i="76"/>
  <c r="AR9" i="94"/>
  <c r="AU99" i="74" s="1"/>
  <c r="AT8" i="94"/>
  <c r="AT10" i="94" s="1"/>
  <c r="AP17" i="82"/>
  <c r="AS68" i="74" s="1"/>
  <c r="AS190" i="74" s="1"/>
  <c r="AP14" i="82"/>
  <c r="AS65" i="74" s="1"/>
  <c r="AS187" i="74" s="1"/>
  <c r="AP11" i="82"/>
  <c r="AS62" i="74" s="1"/>
  <c r="AS184" i="74" s="1"/>
  <c r="AP18" i="82"/>
  <c r="AS69" i="74" s="1"/>
  <c r="AS191" i="74" s="1"/>
  <c r="AP16" i="82"/>
  <c r="AS67" i="74" s="1"/>
  <c r="AS189" i="74" s="1"/>
  <c r="AP13" i="82"/>
  <c r="AS64" i="74" s="1"/>
  <c r="AS186" i="74" s="1"/>
  <c r="AP10" i="82"/>
  <c r="AP15" i="82"/>
  <c r="AS66" i="74" s="1"/>
  <c r="AS188" i="74" s="1"/>
  <c r="AP12" i="82"/>
  <c r="AS63" i="74" s="1"/>
  <c r="AS185" i="74" s="1"/>
  <c r="Y3" i="88"/>
  <c r="V26" i="60" s="1"/>
  <c r="W23" i="60"/>
  <c r="Y3" i="56"/>
  <c r="Y14" i="56" s="1"/>
  <c r="AQ8" i="82"/>
  <c r="AR61" i="74"/>
  <c r="AR183" i="74" s="1"/>
  <c r="AO9" i="82"/>
  <c r="AR60" i="74" s="1"/>
  <c r="AS136" i="74"/>
  <c r="AS205" i="74"/>
  <c r="AT140" i="74"/>
  <c r="AT209" i="74" s="1"/>
  <c r="AT139" i="74"/>
  <c r="AT208" i="74" s="1"/>
  <c r="AT142" i="74"/>
  <c r="AT211" i="74" s="1"/>
  <c r="AT141" i="74"/>
  <c r="AT210" i="74" s="1"/>
  <c r="AT145" i="74"/>
  <c r="AT214" i="74" s="1"/>
  <c r="AT138" i="74"/>
  <c r="AT207" i="74" s="1"/>
  <c r="AT137" i="74"/>
  <c r="AT206" i="74" s="1"/>
  <c r="AQ9" i="76"/>
  <c r="AS8" i="76"/>
  <c r="AN4" i="63"/>
  <c r="AL25" i="63"/>
  <c r="AO4" i="62"/>
  <c r="AM23" i="62"/>
  <c r="AM8" i="60" s="1"/>
  <c r="Y3" i="58"/>
  <c r="Y3" i="59"/>
  <c r="W15" i="59"/>
  <c r="AZ23" i="63"/>
  <c r="AT24" i="63"/>
  <c r="AV3" i="63"/>
  <c r="AV22" i="62"/>
  <c r="AX3" i="62"/>
  <c r="AY21" i="62"/>
  <c r="W35" i="60"/>
  <c r="V38" i="60"/>
  <c r="Z3" i="57"/>
  <c r="AA24" i="55"/>
  <c r="AA27" i="55" s="1"/>
  <c r="AB5" i="55"/>
  <c r="AA17" i="55"/>
  <c r="AA20" i="55" s="1"/>
  <c r="AP23" i="94" l="1"/>
  <c r="AP21" i="94"/>
  <c r="AS111" i="74" s="1"/>
  <c r="AS232" i="74" s="1"/>
  <c r="AS17" i="76"/>
  <c r="AV144" i="74" s="1"/>
  <c r="AV213" i="74" s="1"/>
  <c r="AT22" i="94"/>
  <c r="AW112" i="74" s="1"/>
  <c r="AW233" i="74" s="1"/>
  <c r="AT26" i="94"/>
  <c r="AT24" i="94"/>
  <c r="AT28" i="94"/>
  <c r="AW118" i="74" s="1"/>
  <c r="AW239" i="74" s="1"/>
  <c r="AT30" i="94"/>
  <c r="AW120" i="74" s="1"/>
  <c r="AW241" i="74" s="1"/>
  <c r="AT25" i="94"/>
  <c r="AT33" i="94"/>
  <c r="AT29" i="94"/>
  <c r="AW119" i="74" s="1"/>
  <c r="AW240" i="74" s="1"/>
  <c r="AT27" i="94"/>
  <c r="AQ20" i="82"/>
  <c r="AT71" i="74" s="1"/>
  <c r="AT193" i="74" s="1"/>
  <c r="AU212" i="74"/>
  <c r="Z71" i="55"/>
  <c r="AC7" i="74" s="1"/>
  <c r="AC8" i="74"/>
  <c r="AA70" i="55"/>
  <c r="AA72" i="55" s="1"/>
  <c r="Y13" i="64"/>
  <c r="X26" i="64" s="1"/>
  <c r="AA30" i="55"/>
  <c r="AD35" i="74" s="1"/>
  <c r="AD179" i="74" s="1"/>
  <c r="AR182" i="74"/>
  <c r="AV106" i="74"/>
  <c r="AV202" i="74" s="1"/>
  <c r="AV195" i="74" s="1"/>
  <c r="AT17" i="94"/>
  <c r="AW107" i="74" s="1"/>
  <c r="AW203" i="74" s="1"/>
  <c r="AQ21" i="82"/>
  <c r="AT72" i="74" s="1"/>
  <c r="AT192" i="74" s="1"/>
  <c r="AS194" i="74"/>
  <c r="AQ19" i="82"/>
  <c r="AT70" i="74" s="1"/>
  <c r="Y15" i="56"/>
  <c r="Z28" i="55" s="1"/>
  <c r="AC33" i="74" s="1"/>
  <c r="AC177" i="74" s="1"/>
  <c r="AS18" i="76"/>
  <c r="AV143" i="74" s="1"/>
  <c r="AC371" i="74"/>
  <c r="AC372" i="74"/>
  <c r="AC373" i="74"/>
  <c r="AB374" i="74"/>
  <c r="AC320" i="74"/>
  <c r="AC368" i="74"/>
  <c r="AC366" i="74"/>
  <c r="AD32" i="74"/>
  <c r="AD180" i="74" s="1"/>
  <c r="AT18" i="94"/>
  <c r="AD6" i="74"/>
  <c r="AD278" i="74" s="1"/>
  <c r="AA31" i="55"/>
  <c r="AD36" i="74" s="1"/>
  <c r="AD181" i="74" s="1"/>
  <c r="AZ122" i="52"/>
  <c r="BA105" i="52"/>
  <c r="AX255" i="52"/>
  <c r="AY238" i="52"/>
  <c r="AY173" i="52"/>
  <c r="AX190" i="52"/>
  <c r="AY205" i="52"/>
  <c r="AX222" i="52"/>
  <c r="AZ271" i="52"/>
  <c r="AY288" i="52"/>
  <c r="AY40" i="52"/>
  <c r="AX57" i="52"/>
  <c r="AX156" i="52"/>
  <c r="AY139" i="52"/>
  <c r="AY73" i="52"/>
  <c r="AX90" i="52"/>
  <c r="AS113" i="74"/>
  <c r="AS234" i="74" s="1"/>
  <c r="AQ55" i="82"/>
  <c r="AS53" i="94"/>
  <c r="AS52" i="94"/>
  <c r="AV325" i="74" s="1"/>
  <c r="AS51" i="94"/>
  <c r="AV324" i="74" s="1"/>
  <c r="AS49" i="76"/>
  <c r="AS50" i="76" s="1"/>
  <c r="AV327" i="74" s="1"/>
  <c r="AS54" i="94"/>
  <c r="AV340" i="74" s="1"/>
  <c r="AT50" i="94"/>
  <c r="AS16" i="76"/>
  <c r="AS13" i="76"/>
  <c r="AS15" i="76"/>
  <c r="AS12" i="76"/>
  <c r="AS11" i="76"/>
  <c r="AS14" i="76"/>
  <c r="AT14" i="94"/>
  <c r="AW104" i="74" s="1"/>
  <c r="AW200" i="74" s="1"/>
  <c r="AT15" i="94"/>
  <c r="AW105" i="74" s="1"/>
  <c r="AW201" i="74" s="1"/>
  <c r="AW100" i="74"/>
  <c r="AW196" i="74" s="1"/>
  <c r="AT11" i="94"/>
  <c r="AW101" i="74" s="1"/>
  <c r="AW197" i="74" s="1"/>
  <c r="AT13" i="94"/>
  <c r="AW103" i="74" s="1"/>
  <c r="AW199" i="74" s="1"/>
  <c r="AT16" i="94"/>
  <c r="AW108" i="74" s="1"/>
  <c r="AW204" i="74" s="1"/>
  <c r="AT12" i="94"/>
  <c r="AW102" i="74" s="1"/>
  <c r="AW198" i="74" s="1"/>
  <c r="AU8" i="94"/>
  <c r="AU10" i="94" s="1"/>
  <c r="AS9" i="94"/>
  <c r="AV99" i="74" s="1"/>
  <c r="AQ17" i="82"/>
  <c r="AT68" i="74" s="1"/>
  <c r="AT190" i="74" s="1"/>
  <c r="AQ14" i="82"/>
  <c r="AT65" i="74" s="1"/>
  <c r="AT187" i="74" s="1"/>
  <c r="AQ11" i="82"/>
  <c r="AT62" i="74" s="1"/>
  <c r="AT184" i="74" s="1"/>
  <c r="AQ10" i="82"/>
  <c r="AQ16" i="82"/>
  <c r="AT67" i="74" s="1"/>
  <c r="AT189" i="74" s="1"/>
  <c r="AQ13" i="82"/>
  <c r="AT64" i="74" s="1"/>
  <c r="AT186" i="74" s="1"/>
  <c r="AQ18" i="82"/>
  <c r="AT69" i="74" s="1"/>
  <c r="AT191" i="74" s="1"/>
  <c r="AQ15" i="82"/>
  <c r="AT66" i="74" s="1"/>
  <c r="AT188" i="74" s="1"/>
  <c r="AQ12" i="82"/>
  <c r="AT63" i="74" s="1"/>
  <c r="AT185" i="74" s="1"/>
  <c r="X23" i="60"/>
  <c r="Z3" i="88"/>
  <c r="W26" i="60" s="1"/>
  <c r="Z3" i="56"/>
  <c r="Z14" i="56" s="1"/>
  <c r="AS61" i="74"/>
  <c r="AS183" i="74" s="1"/>
  <c r="AR8" i="82"/>
  <c r="AT136" i="74"/>
  <c r="AT205" i="74"/>
  <c r="AU139" i="74"/>
  <c r="AU208" i="74" s="1"/>
  <c r="AU141" i="74"/>
  <c r="AU210" i="74" s="1"/>
  <c r="AU140" i="74"/>
  <c r="AU209" i="74" s="1"/>
  <c r="AU145" i="74"/>
  <c r="AU214" i="74" s="1"/>
  <c r="AU142" i="74"/>
  <c r="AU211" i="74" s="1"/>
  <c r="AU137" i="74"/>
  <c r="AU206" i="74" s="1"/>
  <c r="AU138" i="74"/>
  <c r="AU207" i="74" s="1"/>
  <c r="AR9" i="76"/>
  <c r="AT8" i="76"/>
  <c r="AT10" i="76" s="1"/>
  <c r="AP4" i="62"/>
  <c r="AN23" i="62"/>
  <c r="AN8" i="60" s="1"/>
  <c r="AO4" i="63"/>
  <c r="AM25" i="63"/>
  <c r="X15" i="59"/>
  <c r="Z3" i="58"/>
  <c r="Z3" i="59"/>
  <c r="AU24" i="63"/>
  <c r="AW3" i="63"/>
  <c r="BA23" i="63"/>
  <c r="AZ21" i="62"/>
  <c r="AW22" i="62"/>
  <c r="AY3" i="62"/>
  <c r="X35" i="60"/>
  <c r="W38" i="60"/>
  <c r="AA3" i="57"/>
  <c r="AB24" i="55"/>
  <c r="AB27" i="55" s="1"/>
  <c r="AC5" i="55"/>
  <c r="AB17" i="55"/>
  <c r="AB20" i="55" s="1"/>
  <c r="AQ23" i="94" l="1"/>
  <c r="AT113" i="74" s="1"/>
  <c r="AT234" i="74" s="1"/>
  <c r="AQ21" i="94"/>
  <c r="AT111" i="74" s="1"/>
  <c r="AT232" i="74" s="1"/>
  <c r="AT17" i="76"/>
  <c r="AW144" i="74" s="1"/>
  <c r="AW213" i="74" s="1"/>
  <c r="AU17" i="94"/>
  <c r="AX107" i="74" s="1"/>
  <c r="AX203" i="74" s="1"/>
  <c r="AU22" i="94"/>
  <c r="AX112" i="74" s="1"/>
  <c r="AX233" i="74" s="1"/>
  <c r="AU27" i="94"/>
  <c r="AU28" i="94"/>
  <c r="AX118" i="74" s="1"/>
  <c r="AX239" i="74" s="1"/>
  <c r="AU30" i="94"/>
  <c r="AX120" i="74" s="1"/>
  <c r="AX241" i="74" s="1"/>
  <c r="AU29" i="94"/>
  <c r="AX119" i="74" s="1"/>
  <c r="AX240" i="74" s="1"/>
  <c r="AU33" i="94"/>
  <c r="AU24" i="94"/>
  <c r="AU26" i="94"/>
  <c r="AU25" i="94"/>
  <c r="AR20" i="82"/>
  <c r="AU71" i="74" s="1"/>
  <c r="AU193" i="74" s="1"/>
  <c r="Z13" i="64"/>
  <c r="Y26" i="64" s="1"/>
  <c r="AV212" i="74"/>
  <c r="AA71" i="55"/>
  <c r="AD7" i="74" s="1"/>
  <c r="AD8" i="74"/>
  <c r="AB70" i="55"/>
  <c r="AB72" i="55" s="1"/>
  <c r="AB30" i="55"/>
  <c r="AE35" i="74" s="1"/>
  <c r="AE179" i="74" s="1"/>
  <c r="AW106" i="74"/>
  <c r="AW202" i="74" s="1"/>
  <c r="AW195" i="74" s="1"/>
  <c r="AR21" i="82"/>
  <c r="AU72" i="74" s="1"/>
  <c r="AU192" i="74" s="1"/>
  <c r="AT194" i="74"/>
  <c r="AR19" i="82"/>
  <c r="AU70" i="74" s="1"/>
  <c r="Z15" i="56"/>
  <c r="AT18" i="76"/>
  <c r="AW143" i="74" s="1"/>
  <c r="AU18" i="94"/>
  <c r="AX106" i="74" s="1"/>
  <c r="AD371" i="74"/>
  <c r="AD372" i="74"/>
  <c r="AD373" i="74"/>
  <c r="AC374" i="74"/>
  <c r="AD320" i="74"/>
  <c r="AD366" i="74"/>
  <c r="AD368" i="74"/>
  <c r="AE32" i="74"/>
  <c r="AE180" i="74" s="1"/>
  <c r="AE6" i="74"/>
  <c r="AE278" i="74" s="1"/>
  <c r="AB31" i="55"/>
  <c r="AE36" i="74" s="1"/>
  <c r="AE181" i="74" s="1"/>
  <c r="AZ73" i="52"/>
  <c r="AY90" i="52"/>
  <c r="AY222" i="52"/>
  <c r="AZ205" i="52"/>
  <c r="AZ139" i="52"/>
  <c r="AY156" i="52"/>
  <c r="AZ173" i="52"/>
  <c r="AY190" i="52"/>
  <c r="AY255" i="52"/>
  <c r="AZ238" i="52"/>
  <c r="AZ40" i="52"/>
  <c r="AY57" i="52"/>
  <c r="BB105" i="52"/>
  <c r="BA122" i="52"/>
  <c r="AZ288" i="52"/>
  <c r="BA271" i="52"/>
  <c r="AV8" i="94"/>
  <c r="AV10" i="94" s="1"/>
  <c r="AR55" i="82"/>
  <c r="AT53" i="94"/>
  <c r="AT52" i="94"/>
  <c r="AW325" i="74" s="1"/>
  <c r="AT51" i="94"/>
  <c r="AW324" i="74" s="1"/>
  <c r="AT49" i="76"/>
  <c r="AT50" i="76" s="1"/>
  <c r="AW327" i="74" s="1"/>
  <c r="AT54" i="94"/>
  <c r="AW340" i="74" s="1"/>
  <c r="AU50" i="94"/>
  <c r="AT16" i="76"/>
  <c r="AT13" i="76"/>
  <c r="AT14" i="76"/>
  <c r="AT12" i="76"/>
  <c r="AT15" i="76"/>
  <c r="AT11" i="76"/>
  <c r="AU14" i="94"/>
  <c r="AX104" i="74" s="1"/>
  <c r="AX200" i="74" s="1"/>
  <c r="AU11" i="94"/>
  <c r="AX101" i="74" s="1"/>
  <c r="AX197" i="74" s="1"/>
  <c r="AU15" i="94"/>
  <c r="AX105" i="74" s="1"/>
  <c r="AX201" i="74" s="1"/>
  <c r="AX100" i="74"/>
  <c r="AX196" i="74" s="1"/>
  <c r="AU13" i="94"/>
  <c r="AX103" i="74" s="1"/>
  <c r="AX199" i="74" s="1"/>
  <c r="AU12" i="94"/>
  <c r="AX102" i="74" s="1"/>
  <c r="AX198" i="74" s="1"/>
  <c r="AU16" i="94"/>
  <c r="AX108" i="74" s="1"/>
  <c r="AX204" i="74" s="1"/>
  <c r="AT9" i="94"/>
  <c r="AW99" i="74" s="1"/>
  <c r="AR16" i="82"/>
  <c r="AU67" i="74" s="1"/>
  <c r="AU189" i="74" s="1"/>
  <c r="AR13" i="82"/>
  <c r="AU64" i="74" s="1"/>
  <c r="AU186" i="74" s="1"/>
  <c r="AR10" i="82"/>
  <c r="AR17" i="82"/>
  <c r="AU68" i="74" s="1"/>
  <c r="AU190" i="74" s="1"/>
  <c r="AR18" i="82"/>
  <c r="AU69" i="74" s="1"/>
  <c r="AU191" i="74" s="1"/>
  <c r="AR15" i="82"/>
  <c r="AU66" i="74" s="1"/>
  <c r="AU188" i="74" s="1"/>
  <c r="AR12" i="82"/>
  <c r="AU63" i="74" s="1"/>
  <c r="AU185" i="74" s="1"/>
  <c r="AR14" i="82"/>
  <c r="AU65" i="74" s="1"/>
  <c r="AU187" i="74" s="1"/>
  <c r="AR11" i="82"/>
  <c r="AU62" i="74" s="1"/>
  <c r="AU184" i="74" s="1"/>
  <c r="Y23" i="60"/>
  <c r="AA3" i="88"/>
  <c r="X26" i="60" s="1"/>
  <c r="AA3" i="56"/>
  <c r="AA14" i="56" s="1"/>
  <c r="AT61" i="74"/>
  <c r="AT183" i="74" s="1"/>
  <c r="AQ9" i="82"/>
  <c r="AT60" i="74" s="1"/>
  <c r="AS8" i="82"/>
  <c r="AU205" i="74"/>
  <c r="AU136" i="74"/>
  <c r="AV140" i="74"/>
  <c r="AV209" i="74" s="1"/>
  <c r="AV142" i="74"/>
  <c r="AV211" i="74" s="1"/>
  <c r="AV145" i="74"/>
  <c r="AV214" i="74" s="1"/>
  <c r="AV138" i="74"/>
  <c r="AV207" i="74" s="1"/>
  <c r="AV139" i="74"/>
  <c r="AV208" i="74" s="1"/>
  <c r="AV141" i="74"/>
  <c r="AV210" i="74" s="1"/>
  <c r="AU8" i="76"/>
  <c r="AU10" i="76" s="1"/>
  <c r="AP4" i="63"/>
  <c r="AN25" i="63"/>
  <c r="AO23" i="62"/>
  <c r="AO8" i="60" s="1"/>
  <c r="AQ4" i="62"/>
  <c r="AA3" i="59"/>
  <c r="Y15" i="59"/>
  <c r="AA3" i="58"/>
  <c r="BB23" i="63"/>
  <c r="BB25" i="63" s="1"/>
  <c r="AV24" i="63"/>
  <c r="AX3" i="63"/>
  <c r="AX22" i="62"/>
  <c r="AZ3" i="62"/>
  <c r="BA21" i="62"/>
  <c r="Y35" i="60"/>
  <c r="X38" i="60"/>
  <c r="AB3" i="57"/>
  <c r="AC24" i="55"/>
  <c r="AC27" i="55" s="1"/>
  <c r="AD5" i="55"/>
  <c r="AC17" i="55"/>
  <c r="AC20" i="55" s="1"/>
  <c r="AR21" i="94" l="1"/>
  <c r="AU111" i="74" s="1"/>
  <c r="AU232" i="74" s="1"/>
  <c r="AR23" i="94"/>
  <c r="AU113" i="74" s="1"/>
  <c r="AU234" i="74" s="1"/>
  <c r="AU17" i="76"/>
  <c r="AX144" i="74" s="1"/>
  <c r="AX213" i="74" s="1"/>
  <c r="AV17" i="94"/>
  <c r="AY107" i="74" s="1"/>
  <c r="AY203" i="74" s="1"/>
  <c r="AV22" i="94"/>
  <c r="AY112" i="74" s="1"/>
  <c r="AY233" i="74" s="1"/>
  <c r="AV24" i="94"/>
  <c r="AY114" i="74" s="1"/>
  <c r="AY235" i="74" s="1"/>
  <c r="AV26" i="94"/>
  <c r="AY116" i="74" s="1"/>
  <c r="AY237" i="74" s="1"/>
  <c r="AV28" i="94"/>
  <c r="AY118" i="74" s="1"/>
  <c r="AY239" i="74" s="1"/>
  <c r="AV30" i="94"/>
  <c r="AY120" i="74" s="1"/>
  <c r="AY241" i="74" s="1"/>
  <c r="AV29" i="94"/>
  <c r="AY119" i="74" s="1"/>
  <c r="AY240" i="74" s="1"/>
  <c r="AV27" i="94"/>
  <c r="AY117" i="74" s="1"/>
  <c r="AY238" i="74" s="1"/>
  <c r="AV25" i="94"/>
  <c r="AY115" i="74" s="1"/>
  <c r="AY236" i="74" s="1"/>
  <c r="AV33" i="94"/>
  <c r="AS20" i="82"/>
  <c r="AV71" i="74" s="1"/>
  <c r="AV193" i="74" s="1"/>
  <c r="AA13" i="64"/>
  <c r="Z26" i="64" s="1"/>
  <c r="AW212" i="74"/>
  <c r="AB71" i="55"/>
  <c r="AE7" i="74" s="1"/>
  <c r="AE8" i="74"/>
  <c r="AC70" i="55"/>
  <c r="AC72" i="55" s="1"/>
  <c r="AC30" i="55"/>
  <c r="AF35" i="74" s="1"/>
  <c r="AF179" i="74" s="1"/>
  <c r="AT182" i="74"/>
  <c r="AS21" i="82"/>
  <c r="AV72" i="74" s="1"/>
  <c r="AV192" i="74" s="1"/>
  <c r="AX202" i="74"/>
  <c r="AX195" i="74" s="1"/>
  <c r="AU194" i="74"/>
  <c r="AS19" i="82"/>
  <c r="AV70" i="74" s="1"/>
  <c r="AA15" i="56"/>
  <c r="AB28" i="55" s="1"/>
  <c r="AE33" i="74" s="1"/>
  <c r="AE177" i="74" s="1"/>
  <c r="AV18" i="94"/>
  <c r="AE371" i="74"/>
  <c r="AE372" i="74"/>
  <c r="AE373" i="74"/>
  <c r="AD374" i="74"/>
  <c r="AE320" i="74"/>
  <c r="AE366" i="74"/>
  <c r="AE368" i="74"/>
  <c r="AF32" i="74"/>
  <c r="AF180" i="74" s="1"/>
  <c r="AV8" i="76"/>
  <c r="AV10" i="76" s="1"/>
  <c r="AU18" i="76"/>
  <c r="AX143" i="74" s="1"/>
  <c r="AF6" i="74"/>
  <c r="AF278" i="74" s="1"/>
  <c r="AC31" i="55"/>
  <c r="AF36" i="74" s="1"/>
  <c r="AF181" i="74" s="1"/>
  <c r="BB271" i="52"/>
  <c r="BA288" i="52"/>
  <c r="BA173" i="52"/>
  <c r="AZ190" i="52"/>
  <c r="BC105" i="52"/>
  <c r="BB122" i="52"/>
  <c r="BA139" i="52"/>
  <c r="AZ156" i="52"/>
  <c r="AZ222" i="52"/>
  <c r="BA205" i="52"/>
  <c r="BA40" i="52"/>
  <c r="AZ57" i="52"/>
  <c r="BA238" i="52"/>
  <c r="AZ255" i="52"/>
  <c r="BA73" i="52"/>
  <c r="AZ90" i="52"/>
  <c r="AW8" i="94"/>
  <c r="AW10" i="94" s="1"/>
  <c r="AV16" i="94"/>
  <c r="AY108" i="74" s="1"/>
  <c r="AY204" i="74" s="1"/>
  <c r="AV15" i="94"/>
  <c r="AY105" i="74" s="1"/>
  <c r="AY201" i="74" s="1"/>
  <c r="AV14" i="94"/>
  <c r="AY104" i="74" s="1"/>
  <c r="AY200" i="74" s="1"/>
  <c r="AV13" i="94"/>
  <c r="AY103" i="74" s="1"/>
  <c r="AY199" i="74" s="1"/>
  <c r="AV11" i="94"/>
  <c r="AY101" i="74" s="1"/>
  <c r="AY197" i="74" s="1"/>
  <c r="AV12" i="94"/>
  <c r="AY102" i="74" s="1"/>
  <c r="AY198" i="74" s="1"/>
  <c r="AY100" i="74"/>
  <c r="AY196" i="74" s="1"/>
  <c r="AV50" i="94"/>
  <c r="AS55" i="82"/>
  <c r="AU53" i="94"/>
  <c r="AU52" i="94"/>
  <c r="AX325" i="74" s="1"/>
  <c r="AU51" i="94"/>
  <c r="AX324" i="74" s="1"/>
  <c r="AU49" i="76"/>
  <c r="AU50" i="76" s="1"/>
  <c r="AX327" i="74" s="1"/>
  <c r="AU54" i="94"/>
  <c r="AX340" i="74" s="1"/>
  <c r="AU14" i="76"/>
  <c r="AU11" i="76"/>
  <c r="AU13" i="76"/>
  <c r="AU12" i="76"/>
  <c r="AU16" i="76"/>
  <c r="AU15" i="76"/>
  <c r="AU9" i="94"/>
  <c r="AX99" i="74" s="1"/>
  <c r="Z23" i="60"/>
  <c r="AS14" i="82"/>
  <c r="AV65" i="74" s="1"/>
  <c r="AV187" i="74" s="1"/>
  <c r="AS16" i="82"/>
  <c r="AV67" i="74" s="1"/>
  <c r="AV189" i="74" s="1"/>
  <c r="AS13" i="82"/>
  <c r="AV64" i="74" s="1"/>
  <c r="AV186" i="74" s="1"/>
  <c r="AS10" i="82"/>
  <c r="AS11" i="82"/>
  <c r="AV62" i="74" s="1"/>
  <c r="AV184" i="74" s="1"/>
  <c r="AS12" i="82"/>
  <c r="AV63" i="74" s="1"/>
  <c r="AV185" i="74" s="1"/>
  <c r="AS18" i="82"/>
  <c r="AV69" i="74" s="1"/>
  <c r="AV191" i="74" s="1"/>
  <c r="AS15" i="82"/>
  <c r="AV66" i="74" s="1"/>
  <c r="AV188" i="74" s="1"/>
  <c r="AS17" i="82"/>
  <c r="AV68" i="74" s="1"/>
  <c r="AV190" i="74" s="1"/>
  <c r="AA28" i="55"/>
  <c r="AD33" i="74" s="1"/>
  <c r="AD177" i="74" s="1"/>
  <c r="AB3" i="88"/>
  <c r="Y26" i="60" s="1"/>
  <c r="AB3" i="56"/>
  <c r="AB14" i="56" s="1"/>
  <c r="AT8" i="82"/>
  <c r="AU61" i="74"/>
  <c r="AU183" i="74" s="1"/>
  <c r="AR9" i="82"/>
  <c r="AU60" i="74" s="1"/>
  <c r="AW139" i="74"/>
  <c r="AW208" i="74" s="1"/>
  <c r="AW140" i="74"/>
  <c r="AW209" i="74" s="1"/>
  <c r="AW142" i="74"/>
  <c r="AW211" i="74" s="1"/>
  <c r="AW138" i="74"/>
  <c r="AW207" i="74" s="1"/>
  <c r="AW145" i="74"/>
  <c r="AW214" i="74" s="1"/>
  <c r="AW141" i="74"/>
  <c r="AW210" i="74" s="1"/>
  <c r="AW137" i="74"/>
  <c r="AW206" i="74" s="1"/>
  <c r="AT9" i="76"/>
  <c r="AR4" i="62"/>
  <c r="AP23" i="62"/>
  <c r="AP8" i="60" s="1"/>
  <c r="AQ4" i="63"/>
  <c r="AO25" i="63"/>
  <c r="AB3" i="58"/>
  <c r="AB3" i="59"/>
  <c r="Z15" i="59"/>
  <c r="AW24" i="63"/>
  <c r="AY3" i="63"/>
  <c r="BB21" i="62"/>
  <c r="BB23" i="62" s="1"/>
  <c r="BA3" i="62"/>
  <c r="AY22" i="62"/>
  <c r="Z35" i="60"/>
  <c r="Y38" i="60"/>
  <c r="AC3" i="57"/>
  <c r="AE5" i="55"/>
  <c r="AD24" i="55"/>
  <c r="AD27" i="55" s="1"/>
  <c r="AD17" i="55"/>
  <c r="AD20" i="55" s="1"/>
  <c r="AS23" i="94" l="1"/>
  <c r="AV113" i="74" s="1"/>
  <c r="AV234" i="74" s="1"/>
  <c r="AS21" i="94"/>
  <c r="AB13" i="64"/>
  <c r="AC13" i="64" s="1"/>
  <c r="AW17" i="94"/>
  <c r="AZ107" i="74" s="1"/>
  <c r="AZ203" i="74" s="1"/>
  <c r="AW22" i="94"/>
  <c r="AZ112" i="74" s="1"/>
  <c r="AZ233" i="74" s="1"/>
  <c r="AW24" i="94"/>
  <c r="AZ114" i="74" s="1"/>
  <c r="AZ235" i="74" s="1"/>
  <c r="AW25" i="94"/>
  <c r="AZ115" i="74" s="1"/>
  <c r="AZ236" i="74" s="1"/>
  <c r="AW27" i="94"/>
  <c r="AZ117" i="74" s="1"/>
  <c r="AZ238" i="74" s="1"/>
  <c r="AW29" i="94"/>
  <c r="AZ119" i="74" s="1"/>
  <c r="AZ240" i="74" s="1"/>
  <c r="AW30" i="94"/>
  <c r="AZ120" i="74" s="1"/>
  <c r="AZ241" i="74" s="1"/>
  <c r="AW26" i="94"/>
  <c r="AZ116" i="74" s="1"/>
  <c r="AZ237" i="74" s="1"/>
  <c r="AW33" i="94"/>
  <c r="AW28" i="94"/>
  <c r="AZ118" i="74" s="1"/>
  <c r="AZ239" i="74" s="1"/>
  <c r="AV17" i="76"/>
  <c r="AY144" i="74" s="1"/>
  <c r="AY213" i="74" s="1"/>
  <c r="AT20" i="82"/>
  <c r="AW71" i="74" s="1"/>
  <c r="AW193" i="74" s="1"/>
  <c r="AX212" i="74"/>
  <c r="AC71" i="55"/>
  <c r="AF7" i="74" s="1"/>
  <c r="AF8" i="74"/>
  <c r="AD70" i="55"/>
  <c r="AD72" i="55" s="1"/>
  <c r="AD30" i="55"/>
  <c r="AG35" i="74" s="1"/>
  <c r="AG179" i="74" s="1"/>
  <c r="AU182" i="74"/>
  <c r="AY106" i="74"/>
  <c r="AY202" i="74" s="1"/>
  <c r="AY195" i="74" s="1"/>
  <c r="AT21" i="82"/>
  <c r="AW72" i="74" s="1"/>
  <c r="AW192" i="74" s="1"/>
  <c r="AV194" i="74"/>
  <c r="AT19" i="82"/>
  <c r="AW70" i="74" s="1"/>
  <c r="AB15" i="56"/>
  <c r="AC28" i="55" s="1"/>
  <c r="AF33" i="74" s="1"/>
  <c r="AF177" i="74" s="1"/>
  <c r="AV18" i="76"/>
  <c r="AY143" i="74" s="1"/>
  <c r="AW18" i="94"/>
  <c r="AE374" i="74"/>
  <c r="AF372" i="74"/>
  <c r="AF373" i="74"/>
  <c r="AF371" i="74"/>
  <c r="AF320" i="74"/>
  <c r="AF368" i="74"/>
  <c r="AF366" i="74"/>
  <c r="AV14" i="76"/>
  <c r="AY141" i="74" s="1"/>
  <c r="AY210" i="74" s="1"/>
  <c r="AV13" i="76"/>
  <c r="AY140" i="74" s="1"/>
  <c r="AY209" i="74" s="1"/>
  <c r="AV12" i="76"/>
  <c r="AY139" i="74" s="1"/>
  <c r="AY208" i="74" s="1"/>
  <c r="AV15" i="76"/>
  <c r="AY142" i="74" s="1"/>
  <c r="AY211" i="74" s="1"/>
  <c r="AV16" i="76"/>
  <c r="AG32" i="74"/>
  <c r="AG180" i="74" s="1"/>
  <c r="AV49" i="76"/>
  <c r="AV50" i="76" s="1"/>
  <c r="AY327" i="74" s="1"/>
  <c r="AY137" i="74"/>
  <c r="AY206" i="74" s="1"/>
  <c r="AV11" i="76"/>
  <c r="AY138" i="74" s="1"/>
  <c r="AY207" i="74" s="1"/>
  <c r="AW8" i="76"/>
  <c r="AW10" i="76" s="1"/>
  <c r="AG6" i="74"/>
  <c r="AG278" i="74" s="1"/>
  <c r="AD31" i="55"/>
  <c r="AG36" i="74" s="1"/>
  <c r="AG181" i="74" s="1"/>
  <c r="BB73" i="52"/>
  <c r="BA90" i="52"/>
  <c r="BB139" i="52"/>
  <c r="BA156" i="52"/>
  <c r="BB238" i="52"/>
  <c r="BA255" i="52"/>
  <c r="BC122" i="52"/>
  <c r="BD105" i="52"/>
  <c r="BB40" i="52"/>
  <c r="BA57" i="52"/>
  <c r="BB173" i="52"/>
  <c r="BA190" i="52"/>
  <c r="BB205" i="52"/>
  <c r="BA222" i="52"/>
  <c r="BC271" i="52"/>
  <c r="BB288" i="52"/>
  <c r="AV32" i="94"/>
  <c r="AY122" i="74" s="1"/>
  <c r="AY123" i="74"/>
  <c r="AY262" i="74" s="1"/>
  <c r="AY261" i="74" s="1"/>
  <c r="AV54" i="94"/>
  <c r="AY340" i="74" s="1"/>
  <c r="AV51" i="94"/>
  <c r="AY324" i="74" s="1"/>
  <c r="AV53" i="94"/>
  <c r="AY326" i="74" s="1"/>
  <c r="AV52" i="94"/>
  <c r="AY325" i="74" s="1"/>
  <c r="AV9" i="94"/>
  <c r="AY99" i="74" s="1"/>
  <c r="AX8" i="94"/>
  <c r="AX10" i="94" s="1"/>
  <c r="AZ100" i="74"/>
  <c r="AZ196" i="74" s="1"/>
  <c r="AW50" i="94"/>
  <c r="AW16" i="94"/>
  <c r="AZ108" i="74" s="1"/>
  <c r="AZ204" i="74" s="1"/>
  <c r="AW15" i="94"/>
  <c r="AZ105" i="74" s="1"/>
  <c r="AZ201" i="74" s="1"/>
  <c r="AW12" i="94"/>
  <c r="AZ102" i="74" s="1"/>
  <c r="AZ198" i="74" s="1"/>
  <c r="AW14" i="94"/>
  <c r="AZ104" i="74" s="1"/>
  <c r="AZ200" i="74" s="1"/>
  <c r="AW13" i="94"/>
  <c r="AZ103" i="74" s="1"/>
  <c r="AZ199" i="74" s="1"/>
  <c r="AW11" i="94"/>
  <c r="AZ101" i="74" s="1"/>
  <c r="AZ197" i="74" s="1"/>
  <c r="AV111" i="74"/>
  <c r="AV232" i="74" s="1"/>
  <c r="AT55" i="82"/>
  <c r="AA23" i="60"/>
  <c r="AT16" i="82"/>
  <c r="AW67" i="74" s="1"/>
  <c r="AW189" i="74" s="1"/>
  <c r="AT13" i="82"/>
  <c r="AW64" i="74" s="1"/>
  <c r="AW186" i="74" s="1"/>
  <c r="AT10" i="82"/>
  <c r="AT11" i="82"/>
  <c r="AW62" i="74" s="1"/>
  <c r="AW184" i="74" s="1"/>
  <c r="AT18" i="82"/>
  <c r="AW69" i="74" s="1"/>
  <c r="AW191" i="74" s="1"/>
  <c r="AT15" i="82"/>
  <c r="AW66" i="74" s="1"/>
  <c r="AW188" i="74" s="1"/>
  <c r="AT12" i="82"/>
  <c r="AW63" i="74" s="1"/>
  <c r="AW185" i="74" s="1"/>
  <c r="AT17" i="82"/>
  <c r="AW68" i="74" s="1"/>
  <c r="AW190" i="74" s="1"/>
  <c r="AT14" i="82"/>
  <c r="AW65" i="74" s="1"/>
  <c r="AW187" i="74" s="1"/>
  <c r="AC3" i="56"/>
  <c r="AC14" i="56" s="1"/>
  <c r="AC3" i="88"/>
  <c r="Z26" i="60" s="1"/>
  <c r="AV61" i="74"/>
  <c r="AV183" i="74" s="1"/>
  <c r="AS9" i="82"/>
  <c r="AV60" i="74" s="1"/>
  <c r="AU8" i="82"/>
  <c r="AW136" i="74"/>
  <c r="AW205" i="74"/>
  <c r="AX145" i="74"/>
  <c r="AX214" i="74" s="1"/>
  <c r="AX137" i="74"/>
  <c r="AX206" i="74" s="1"/>
  <c r="AX138" i="74"/>
  <c r="AX207" i="74" s="1"/>
  <c r="AX139" i="74"/>
  <c r="AX208" i="74" s="1"/>
  <c r="AX142" i="74"/>
  <c r="AX211" i="74" s="1"/>
  <c r="AX141" i="74"/>
  <c r="AX210" i="74" s="1"/>
  <c r="AX140" i="74"/>
  <c r="AX209" i="74" s="1"/>
  <c r="AU9" i="76"/>
  <c r="AR4" i="63"/>
  <c r="AP25" i="63"/>
  <c r="AQ23" i="62"/>
  <c r="AQ8" i="60" s="1"/>
  <c r="AS4" i="62"/>
  <c r="AC3" i="59"/>
  <c r="AA15" i="59"/>
  <c r="AC3" i="58"/>
  <c r="AX24" i="63"/>
  <c r="AZ3" i="63"/>
  <c r="BB3" i="62"/>
  <c r="BA22" i="62" s="1"/>
  <c r="AZ22" i="62"/>
  <c r="Z38" i="60"/>
  <c r="AA35" i="60"/>
  <c r="AD3" i="57"/>
  <c r="AF5" i="55"/>
  <c r="AE24" i="55"/>
  <c r="AE27" i="55" s="1"/>
  <c r="AE17" i="55"/>
  <c r="AE20" i="55" s="1"/>
  <c r="AT23" i="94" l="1"/>
  <c r="AT21" i="94"/>
  <c r="AW111" i="74" s="1"/>
  <c r="AW232" i="74" s="1"/>
  <c r="AA26" i="64"/>
  <c r="AX17" i="94"/>
  <c r="BA107" i="74" s="1"/>
  <c r="BA203" i="74" s="1"/>
  <c r="AX24" i="94"/>
  <c r="BA114" i="74" s="1"/>
  <c r="BA235" i="74" s="1"/>
  <c r="AX25" i="94"/>
  <c r="BA115" i="74" s="1"/>
  <c r="BA236" i="74" s="1"/>
  <c r="AX26" i="94"/>
  <c r="BA116" i="74" s="1"/>
  <c r="BA237" i="74" s="1"/>
  <c r="AX27" i="94"/>
  <c r="BA117" i="74" s="1"/>
  <c r="BA238" i="74" s="1"/>
  <c r="AX28" i="94"/>
  <c r="BA118" i="74" s="1"/>
  <c r="BA239" i="74" s="1"/>
  <c r="AX29" i="94"/>
  <c r="BA119" i="74" s="1"/>
  <c r="BA240" i="74" s="1"/>
  <c r="AX33" i="94"/>
  <c r="AX30" i="94"/>
  <c r="BA120" i="74" s="1"/>
  <c r="BA241" i="74" s="1"/>
  <c r="AX22" i="94"/>
  <c r="BA112" i="74" s="1"/>
  <c r="BA233" i="74" s="1"/>
  <c r="AU20" i="82"/>
  <c r="AX71" i="74" s="1"/>
  <c r="AX193" i="74" s="1"/>
  <c r="AV182" i="74"/>
  <c r="AD71" i="55"/>
  <c r="AG7" i="74" s="1"/>
  <c r="AG8" i="74"/>
  <c r="AE70" i="55"/>
  <c r="AE72" i="55" s="1"/>
  <c r="AW17" i="76"/>
  <c r="AZ144" i="74" s="1"/>
  <c r="AZ213" i="74" s="1"/>
  <c r="AE30" i="55"/>
  <c r="AH35" i="74" s="1"/>
  <c r="AH179" i="74" s="1"/>
  <c r="AZ106" i="74"/>
  <c r="AZ202" i="74" s="1"/>
  <c r="AZ195" i="74" s="1"/>
  <c r="AU21" i="82"/>
  <c r="AX72" i="74" s="1"/>
  <c r="AX192" i="74" s="1"/>
  <c r="AY145" i="74"/>
  <c r="AY214" i="74" s="1"/>
  <c r="AY212" i="74"/>
  <c r="AW194" i="74"/>
  <c r="AD13" i="64"/>
  <c r="AB26" i="64"/>
  <c r="AU19" i="82"/>
  <c r="AX70" i="74" s="1"/>
  <c r="AC15" i="56"/>
  <c r="AD28" i="55" s="1"/>
  <c r="AG33" i="74" s="1"/>
  <c r="AG177" i="74" s="1"/>
  <c r="AW18" i="76"/>
  <c r="AZ143" i="74" s="1"/>
  <c r="AF374" i="74"/>
  <c r="AX18" i="94"/>
  <c r="AG373" i="74"/>
  <c r="AG371" i="74"/>
  <c r="AG372" i="74"/>
  <c r="AG320" i="74"/>
  <c r="AG368" i="74"/>
  <c r="AG366" i="74"/>
  <c r="AV9" i="76"/>
  <c r="AY136" i="74" s="1"/>
  <c r="AX8" i="76"/>
  <c r="AX10" i="76" s="1"/>
  <c r="AW12" i="76"/>
  <c r="AZ139" i="74" s="1"/>
  <c r="AZ208" i="74" s="1"/>
  <c r="AW11" i="76"/>
  <c r="AZ138" i="74" s="1"/>
  <c r="AZ207" i="74" s="1"/>
  <c r="AW15" i="76"/>
  <c r="AZ142" i="74" s="1"/>
  <c r="AZ211" i="74" s="1"/>
  <c r="AZ137" i="74"/>
  <c r="AZ206" i="74" s="1"/>
  <c r="AW14" i="76"/>
  <c r="AZ141" i="74" s="1"/>
  <c r="AZ210" i="74" s="1"/>
  <c r="AH32" i="74"/>
  <c r="AH180" i="74" s="1"/>
  <c r="AW13" i="76"/>
  <c r="AZ140" i="74" s="1"/>
  <c r="AZ209" i="74" s="1"/>
  <c r="AW16" i="76"/>
  <c r="AW49" i="76"/>
  <c r="AW50" i="76" s="1"/>
  <c r="AZ327" i="74" s="1"/>
  <c r="AV8" i="82"/>
  <c r="AH6" i="74"/>
  <c r="AH278" i="74" s="1"/>
  <c r="AE31" i="55"/>
  <c r="AH36" i="74" s="1"/>
  <c r="AH181" i="74" s="1"/>
  <c r="BD122" i="52"/>
  <c r="BE105" i="52"/>
  <c r="BE122" i="52" s="1"/>
  <c r="BD271" i="52"/>
  <c r="BC288" i="52"/>
  <c r="BC205" i="52"/>
  <c r="BB222" i="52"/>
  <c r="BC238" i="52"/>
  <c r="BB255" i="52"/>
  <c r="BC173" i="52"/>
  <c r="BB190" i="52"/>
  <c r="BB156" i="52"/>
  <c r="BC139" i="52"/>
  <c r="BC40" i="52"/>
  <c r="BB57" i="52"/>
  <c r="BC73" i="52"/>
  <c r="BB90" i="52"/>
  <c r="AW32" i="94"/>
  <c r="AZ122" i="74" s="1"/>
  <c r="AZ123" i="74"/>
  <c r="AZ262" i="74" s="1"/>
  <c r="AZ261" i="74" s="1"/>
  <c r="AW9" i="94"/>
  <c r="AZ99" i="74" s="1"/>
  <c r="AY8" i="94"/>
  <c r="AY10" i="94" s="1"/>
  <c r="AX11" i="94"/>
  <c r="BA101" i="74" s="1"/>
  <c r="BA197" i="74" s="1"/>
  <c r="BA100" i="74"/>
  <c r="BA196" i="74" s="1"/>
  <c r="AX50" i="94"/>
  <c r="AX13" i="94"/>
  <c r="BA103" i="74" s="1"/>
  <c r="BA199" i="74" s="1"/>
  <c r="AX16" i="94"/>
  <c r="BA108" i="74" s="1"/>
  <c r="BA204" i="74" s="1"/>
  <c r="AX15" i="94"/>
  <c r="BA105" i="74" s="1"/>
  <c r="BA201" i="74" s="1"/>
  <c r="AX14" i="94"/>
  <c r="BA104" i="74" s="1"/>
  <c r="BA200" i="74" s="1"/>
  <c r="AX12" i="94"/>
  <c r="BA102" i="74" s="1"/>
  <c r="BA198" i="74" s="1"/>
  <c r="AW52" i="94"/>
  <c r="AZ325" i="74" s="1"/>
  <c r="AW54" i="94"/>
  <c r="AZ340" i="74" s="1"/>
  <c r="AW53" i="94"/>
  <c r="AZ326" i="74" s="1"/>
  <c r="AW51" i="94"/>
  <c r="AZ324" i="74" s="1"/>
  <c r="AW113" i="74"/>
  <c r="AW234" i="74" s="1"/>
  <c r="AU55" i="82"/>
  <c r="AB23" i="60"/>
  <c r="AD3" i="56"/>
  <c r="AD14" i="56" s="1"/>
  <c r="AU16" i="82"/>
  <c r="AX67" i="74" s="1"/>
  <c r="AX189" i="74" s="1"/>
  <c r="AU13" i="82"/>
  <c r="AX64" i="74" s="1"/>
  <c r="AX186" i="74" s="1"/>
  <c r="AU10" i="82"/>
  <c r="AU12" i="82"/>
  <c r="AX63" i="74" s="1"/>
  <c r="AX185" i="74" s="1"/>
  <c r="AU18" i="82"/>
  <c r="AX69" i="74" s="1"/>
  <c r="AX191" i="74" s="1"/>
  <c r="AU15" i="82"/>
  <c r="AX66" i="74" s="1"/>
  <c r="AX188" i="74" s="1"/>
  <c r="AU17" i="82"/>
  <c r="AX68" i="74" s="1"/>
  <c r="AX190" i="74" s="1"/>
  <c r="AU14" i="82"/>
  <c r="AX65" i="74" s="1"/>
  <c r="AX187" i="74" s="1"/>
  <c r="AU11" i="82"/>
  <c r="AX62" i="74" s="1"/>
  <c r="AX184" i="74" s="1"/>
  <c r="AD3" i="88"/>
  <c r="AA26" i="60" s="1"/>
  <c r="AW61" i="74"/>
  <c r="AW183" i="74" s="1"/>
  <c r="AT9" i="82"/>
  <c r="AW60" i="74" s="1"/>
  <c r="AX136" i="74"/>
  <c r="AX205" i="74"/>
  <c r="AT4" i="62"/>
  <c r="AR23" i="62"/>
  <c r="AR8" i="60" s="1"/>
  <c r="AS4" i="63"/>
  <c r="AQ25" i="63"/>
  <c r="AD3" i="59"/>
  <c r="AB15" i="59"/>
  <c r="AD3" i="58"/>
  <c r="AY24" i="63"/>
  <c r="BA3" i="63"/>
  <c r="AA38" i="60"/>
  <c r="AB35" i="60"/>
  <c r="AE3" i="57"/>
  <c r="AF24" i="55"/>
  <c r="AF27" i="55" s="1"/>
  <c r="AG5" i="55"/>
  <c r="AF17" i="55"/>
  <c r="AF20" i="55" s="1"/>
  <c r="AU23" i="94" l="1"/>
  <c r="AX113" i="74" s="1"/>
  <c r="AX234" i="74" s="1"/>
  <c r="AU21" i="94"/>
  <c r="AX111" i="74" s="1"/>
  <c r="AX232" i="74" s="1"/>
  <c r="AY17" i="94"/>
  <c r="BB107" i="74" s="1"/>
  <c r="BB203" i="74" s="1"/>
  <c r="AY24" i="94"/>
  <c r="BB114" i="74" s="1"/>
  <c r="BB235" i="74" s="1"/>
  <c r="AY25" i="94"/>
  <c r="BB115" i="74" s="1"/>
  <c r="BB236" i="74" s="1"/>
  <c r="AY26" i="94"/>
  <c r="BB116" i="74" s="1"/>
  <c r="BB237" i="74" s="1"/>
  <c r="AY27" i="94"/>
  <c r="BB117" i="74" s="1"/>
  <c r="BB238" i="74" s="1"/>
  <c r="AY28" i="94"/>
  <c r="BB118" i="74" s="1"/>
  <c r="BB239" i="74" s="1"/>
  <c r="AY29" i="94"/>
  <c r="BB119" i="74" s="1"/>
  <c r="BB240" i="74" s="1"/>
  <c r="AY33" i="94"/>
  <c r="AY30" i="94"/>
  <c r="BB120" i="74" s="1"/>
  <c r="BB241" i="74" s="1"/>
  <c r="AY22" i="94"/>
  <c r="BB112" i="74" s="1"/>
  <c r="BB233" i="74" s="1"/>
  <c r="AX17" i="76"/>
  <c r="BA144" i="74" s="1"/>
  <c r="BA213" i="74" s="1"/>
  <c r="AX27" i="76"/>
  <c r="AX33" i="76"/>
  <c r="AX32" i="76" s="1"/>
  <c r="AX30" i="76"/>
  <c r="AX26" i="76"/>
  <c r="AX22" i="76"/>
  <c r="AX29" i="76"/>
  <c r="AX25" i="76"/>
  <c r="AX28" i="76"/>
  <c r="AX24" i="76"/>
  <c r="AV20" i="82"/>
  <c r="AY71" i="74" s="1"/>
  <c r="AY193" i="74" s="1"/>
  <c r="AE71" i="55"/>
  <c r="AH7" i="74" s="1"/>
  <c r="AH8" i="74"/>
  <c r="AF70" i="55"/>
  <c r="AF72" i="55" s="1"/>
  <c r="AF30" i="55"/>
  <c r="AI35" i="74" s="1"/>
  <c r="AI179" i="74" s="1"/>
  <c r="BA106" i="74"/>
  <c r="BA202" i="74" s="1"/>
  <c r="BA195" i="74" s="1"/>
  <c r="AW182" i="74"/>
  <c r="AY205" i="74"/>
  <c r="AV21" i="82"/>
  <c r="AZ145" i="74"/>
  <c r="AZ214" i="74" s="1"/>
  <c r="AZ212" i="74"/>
  <c r="AX194" i="74"/>
  <c r="AE13" i="64"/>
  <c r="AC26" i="64"/>
  <c r="AV19" i="82"/>
  <c r="AY70" i="74" s="1"/>
  <c r="AD15" i="56"/>
  <c r="AX18" i="76"/>
  <c r="BA143" i="74" s="1"/>
  <c r="AY18" i="94"/>
  <c r="AX11" i="76"/>
  <c r="BA138" i="74" s="1"/>
  <c r="BA207" i="74" s="1"/>
  <c r="BA137" i="74"/>
  <c r="BA206" i="74" s="1"/>
  <c r="AV14" i="82"/>
  <c r="AY65" i="74" s="1"/>
  <c r="AY187" i="74" s="1"/>
  <c r="AX12" i="76"/>
  <c r="BA139" i="74" s="1"/>
  <c r="BA208" i="74" s="1"/>
  <c r="AY8" i="76"/>
  <c r="AY10" i="76" s="1"/>
  <c r="AW9" i="76"/>
  <c r="AZ136" i="74" s="1"/>
  <c r="AX15" i="76"/>
  <c r="BA142" i="74" s="1"/>
  <c r="BA211" i="74" s="1"/>
  <c r="AX16" i="76"/>
  <c r="AX14" i="76"/>
  <c r="BA141" i="74" s="1"/>
  <c r="BA210" i="74" s="1"/>
  <c r="AX49" i="76"/>
  <c r="AX50" i="76" s="1"/>
  <c r="BA327" i="74" s="1"/>
  <c r="AH372" i="74"/>
  <c r="AH373" i="74"/>
  <c r="AH371" i="74"/>
  <c r="AG374" i="74"/>
  <c r="AH320" i="74"/>
  <c r="AH368" i="74"/>
  <c r="AH366" i="74"/>
  <c r="AX13" i="76"/>
  <c r="BA140" i="74" s="1"/>
  <c r="BA209" i="74" s="1"/>
  <c r="AV11" i="82"/>
  <c r="AY62" i="74" s="1"/>
  <c r="AY184" i="74" s="1"/>
  <c r="AV17" i="82"/>
  <c r="AY68" i="74" s="1"/>
  <c r="AY190" i="74" s="1"/>
  <c r="AW8" i="82"/>
  <c r="AV18" i="82"/>
  <c r="AY69" i="74" s="1"/>
  <c r="AY191" i="74" s="1"/>
  <c r="AV10" i="82"/>
  <c r="AY61" i="74" s="1"/>
  <c r="AY183" i="74" s="1"/>
  <c r="AI32" i="74"/>
  <c r="AI180" i="74" s="1"/>
  <c r="AV15" i="82"/>
  <c r="AY66" i="74" s="1"/>
  <c r="AY188" i="74" s="1"/>
  <c r="AV12" i="82"/>
  <c r="AY63" i="74" s="1"/>
  <c r="AY185" i="74" s="1"/>
  <c r="AV16" i="82"/>
  <c r="AY67" i="74" s="1"/>
  <c r="AY189" i="74" s="1"/>
  <c r="AV55" i="82"/>
  <c r="AV13" i="82"/>
  <c r="AY64" i="74" s="1"/>
  <c r="AY186" i="74" s="1"/>
  <c r="AI6" i="74"/>
  <c r="AI278" i="74" s="1"/>
  <c r="AF31" i="55"/>
  <c r="AI36" i="74" s="1"/>
  <c r="AI181" i="74" s="1"/>
  <c r="BD73" i="52"/>
  <c r="BC90" i="52"/>
  <c r="BD238" i="52"/>
  <c r="BC255" i="52"/>
  <c r="BD40" i="52"/>
  <c r="BC57" i="52"/>
  <c r="BC222" i="52"/>
  <c r="BD205" i="52"/>
  <c r="BD139" i="52"/>
  <c r="BC156" i="52"/>
  <c r="BD288" i="52"/>
  <c r="BE271" i="52"/>
  <c r="BE288" i="52" s="1"/>
  <c r="BC190" i="52"/>
  <c r="BD173" i="52"/>
  <c r="AX32" i="94"/>
  <c r="BA122" i="74" s="1"/>
  <c r="BA123" i="74"/>
  <c r="BA262" i="74" s="1"/>
  <c r="BA261" i="74" s="1"/>
  <c r="AX9" i="94"/>
  <c r="BA99" i="74" s="1"/>
  <c r="AZ8" i="94"/>
  <c r="AZ10" i="94" s="1"/>
  <c r="AY12" i="94"/>
  <c r="BB102" i="74" s="1"/>
  <c r="BB198" i="74" s="1"/>
  <c r="AY11" i="94"/>
  <c r="BB101" i="74" s="1"/>
  <c r="BB197" i="74" s="1"/>
  <c r="AY14" i="94"/>
  <c r="BB104" i="74" s="1"/>
  <c r="BB200" i="74" s="1"/>
  <c r="BB100" i="74"/>
  <c r="BB196" i="74" s="1"/>
  <c r="AY50" i="94"/>
  <c r="AY16" i="94"/>
  <c r="BB108" i="74" s="1"/>
  <c r="BB204" i="74" s="1"/>
  <c r="AY15" i="94"/>
  <c r="BB105" i="74" s="1"/>
  <c r="BB201" i="74" s="1"/>
  <c r="AY13" i="94"/>
  <c r="BB103" i="74" s="1"/>
  <c r="BB199" i="74" s="1"/>
  <c r="AX51" i="94"/>
  <c r="BA324" i="74" s="1"/>
  <c r="AX53" i="94"/>
  <c r="BA326" i="74" s="1"/>
  <c r="AX54" i="94"/>
  <c r="BA340" i="74" s="1"/>
  <c r="AX52" i="94"/>
  <c r="BA325" i="74" s="1"/>
  <c r="AC23" i="60"/>
  <c r="AD23" i="60" s="1"/>
  <c r="AE3" i="56"/>
  <c r="AE14" i="56" s="1"/>
  <c r="AE3" i="88"/>
  <c r="AB26" i="60" s="1"/>
  <c r="AX61" i="74"/>
  <c r="AX183" i="74" s="1"/>
  <c r="AU9" i="82"/>
  <c r="AX60" i="74" s="1"/>
  <c r="AT4" i="63"/>
  <c r="AR25" i="63"/>
  <c r="AU4" i="62"/>
  <c r="AS23" i="62"/>
  <c r="AS8" i="60" s="1"/>
  <c r="AE3" i="58"/>
  <c r="AC15" i="59"/>
  <c r="AE3" i="59"/>
  <c r="BB3" i="63"/>
  <c r="BC3" i="63" s="1"/>
  <c r="AZ24" i="63"/>
  <c r="AB38" i="60"/>
  <c r="AC35" i="60"/>
  <c r="AF3" i="57"/>
  <c r="AG24" i="55"/>
  <c r="AG27" i="55" s="1"/>
  <c r="AH5" i="55"/>
  <c r="AG17" i="55"/>
  <c r="AG20" i="55" s="1"/>
  <c r="AV21" i="94" l="1"/>
  <c r="AV23" i="94"/>
  <c r="AY113" i="74" s="1"/>
  <c r="AY234" i="74" s="1"/>
  <c r="AZ17" i="94"/>
  <c r="BC107" i="74" s="1"/>
  <c r="BC203" i="74" s="1"/>
  <c r="AZ25" i="94"/>
  <c r="BC115" i="74" s="1"/>
  <c r="BC236" i="74" s="1"/>
  <c r="AZ26" i="94"/>
  <c r="BC116" i="74" s="1"/>
  <c r="BC237" i="74" s="1"/>
  <c r="AZ27" i="94"/>
  <c r="BC117" i="74" s="1"/>
  <c r="BC238" i="74" s="1"/>
  <c r="AZ28" i="94"/>
  <c r="BC118" i="74" s="1"/>
  <c r="BC239" i="74" s="1"/>
  <c r="AZ29" i="94"/>
  <c r="BC119" i="74" s="1"/>
  <c r="BC240" i="74" s="1"/>
  <c r="AZ33" i="94"/>
  <c r="AZ30" i="94"/>
  <c r="BC120" i="74" s="1"/>
  <c r="BC241" i="74" s="1"/>
  <c r="AZ24" i="94"/>
  <c r="BC114" i="74" s="1"/>
  <c r="BC235" i="74" s="1"/>
  <c r="AZ22" i="94"/>
  <c r="BC112" i="74" s="1"/>
  <c r="BC233" i="74" s="1"/>
  <c r="AY17" i="76"/>
  <c r="BB144" i="74" s="1"/>
  <c r="BB213" i="74" s="1"/>
  <c r="AY27" i="76"/>
  <c r="BB154" i="74" s="1"/>
  <c r="BB249" i="74" s="1"/>
  <c r="AY33" i="76"/>
  <c r="AY32" i="76" s="1"/>
  <c r="BB159" i="74" s="1"/>
  <c r="AY30" i="76"/>
  <c r="BB157" i="74" s="1"/>
  <c r="BB252" i="74" s="1"/>
  <c r="AY26" i="76"/>
  <c r="BB153" i="74" s="1"/>
  <c r="BB248" i="74" s="1"/>
  <c r="AY22" i="76"/>
  <c r="BB149" i="74" s="1"/>
  <c r="BB244" i="74" s="1"/>
  <c r="AY29" i="76"/>
  <c r="BB156" i="74" s="1"/>
  <c r="BB251" i="74" s="1"/>
  <c r="AY25" i="76"/>
  <c r="BB152" i="74" s="1"/>
  <c r="BB247" i="74" s="1"/>
  <c r="AY28" i="76"/>
  <c r="BB155" i="74" s="1"/>
  <c r="BB250" i="74" s="1"/>
  <c r="AY24" i="76"/>
  <c r="BB151" i="74" s="1"/>
  <c r="BB246" i="74" s="1"/>
  <c r="AW20" i="82"/>
  <c r="AZ71" i="74" s="1"/>
  <c r="AZ193" i="74" s="1"/>
  <c r="AW28" i="82"/>
  <c r="AW29" i="82"/>
  <c r="AZ79" i="74" s="1"/>
  <c r="AZ226" i="74" s="1"/>
  <c r="AW30" i="82"/>
  <c r="AW31" i="82"/>
  <c r="AW33" i="82"/>
  <c r="AW26" i="82"/>
  <c r="AW38" i="82"/>
  <c r="AW27" i="82"/>
  <c r="AW25" i="82"/>
  <c r="AF71" i="55"/>
  <c r="AI7" i="74" s="1"/>
  <c r="AI8" i="74"/>
  <c r="AG70" i="55"/>
  <c r="AG72" i="55" s="1"/>
  <c r="AG30" i="55"/>
  <c r="AJ35" i="74" s="1"/>
  <c r="AJ179" i="74" s="1"/>
  <c r="AX182" i="74"/>
  <c r="BB106" i="74"/>
  <c r="BB202" i="74" s="1"/>
  <c r="BB195" i="74" s="1"/>
  <c r="AZ205" i="74"/>
  <c r="BA145" i="74"/>
  <c r="BA214" i="74" s="1"/>
  <c r="BA212" i="74"/>
  <c r="AY194" i="74"/>
  <c r="AF13" i="64"/>
  <c r="AD26" i="64"/>
  <c r="AW19" i="82"/>
  <c r="AZ70" i="74" s="1"/>
  <c r="AE15" i="56"/>
  <c r="D15" i="56" s="1"/>
  <c r="AY18" i="76"/>
  <c r="BB143" i="74" s="1"/>
  <c r="AZ18" i="94"/>
  <c r="AY12" i="76"/>
  <c r="BB139" i="74" s="1"/>
  <c r="BB208" i="74" s="1"/>
  <c r="AW17" i="82"/>
  <c r="AZ68" i="74" s="1"/>
  <c r="AZ190" i="74" s="1"/>
  <c r="AY11" i="76"/>
  <c r="BB138" i="74" s="1"/>
  <c r="BB207" i="74" s="1"/>
  <c r="AY16" i="76"/>
  <c r="AY13" i="76"/>
  <c r="BB140" i="74" s="1"/>
  <c r="BB209" i="74" s="1"/>
  <c r="AY14" i="76"/>
  <c r="BB141" i="74" s="1"/>
  <c r="BB210" i="74" s="1"/>
  <c r="AY15" i="76"/>
  <c r="BB142" i="74" s="1"/>
  <c r="BB211" i="74" s="1"/>
  <c r="AZ8" i="76"/>
  <c r="AZ10" i="76" s="1"/>
  <c r="AY49" i="76"/>
  <c r="AY52" i="76" s="1"/>
  <c r="BB329" i="74" s="1"/>
  <c r="AW13" i="82"/>
  <c r="AZ64" i="74" s="1"/>
  <c r="AZ186" i="74" s="1"/>
  <c r="AW12" i="82"/>
  <c r="AZ63" i="74" s="1"/>
  <c r="AZ185" i="74" s="1"/>
  <c r="AX8" i="82"/>
  <c r="AW11" i="82"/>
  <c r="AZ62" i="74" s="1"/>
  <c r="AZ184" i="74" s="1"/>
  <c r="AW14" i="82"/>
  <c r="AZ65" i="74" s="1"/>
  <c r="AZ187" i="74" s="1"/>
  <c r="AW15" i="82"/>
  <c r="AZ66" i="74" s="1"/>
  <c r="AZ188" i="74" s="1"/>
  <c r="AW16" i="82"/>
  <c r="AZ67" i="74" s="1"/>
  <c r="AZ189" i="74" s="1"/>
  <c r="AW55" i="82"/>
  <c r="BB137" i="74"/>
  <c r="BB206" i="74" s="1"/>
  <c r="AX9" i="76"/>
  <c r="BA136" i="74" s="1"/>
  <c r="AW18" i="82"/>
  <c r="AZ69" i="74" s="1"/>
  <c r="AZ191" i="74" s="1"/>
  <c r="AW10" i="82"/>
  <c r="AZ61" i="74" s="1"/>
  <c r="AZ183" i="74" s="1"/>
  <c r="AH374" i="74"/>
  <c r="AI373" i="74"/>
  <c r="AI371" i="74"/>
  <c r="AI372" i="74"/>
  <c r="AI320" i="74"/>
  <c r="AI368" i="74"/>
  <c r="AI366" i="74"/>
  <c r="AJ32" i="74"/>
  <c r="AJ180" i="74" s="1"/>
  <c r="AJ6" i="74"/>
  <c r="AJ278" i="74" s="1"/>
  <c r="AG31" i="55"/>
  <c r="AJ36" i="74" s="1"/>
  <c r="AJ181" i="74" s="1"/>
  <c r="AF3" i="56"/>
  <c r="AF14" i="56" s="1"/>
  <c r="BE205" i="52"/>
  <c r="BE222" i="52" s="1"/>
  <c r="BD222" i="52"/>
  <c r="BD190" i="52"/>
  <c r="BE173" i="52"/>
  <c r="BE190" i="52" s="1"/>
  <c r="BE40" i="52"/>
  <c r="BE57" i="52" s="1"/>
  <c r="BD57" i="52"/>
  <c r="BE238" i="52"/>
  <c r="BE255" i="52" s="1"/>
  <c r="BD255" i="52"/>
  <c r="BD156" i="52"/>
  <c r="BE139" i="52"/>
  <c r="BE156" i="52" s="1"/>
  <c r="BD90" i="52"/>
  <c r="BE73" i="52"/>
  <c r="BE90" i="52" s="1"/>
  <c r="AY32" i="94"/>
  <c r="BB122" i="74" s="1"/>
  <c r="BB123" i="74"/>
  <c r="BB262" i="74" s="1"/>
  <c r="BB261" i="74" s="1"/>
  <c r="AY52" i="94"/>
  <c r="BB325" i="74" s="1"/>
  <c r="AY51" i="94"/>
  <c r="BB324" i="74" s="1"/>
  <c r="AY54" i="94"/>
  <c r="BB340" i="74" s="1"/>
  <c r="AY53" i="94"/>
  <c r="BB326" i="74" s="1"/>
  <c r="AY9" i="94"/>
  <c r="BB99" i="74" s="1"/>
  <c r="BA8" i="94"/>
  <c r="BA10" i="94" s="1"/>
  <c r="AZ13" i="94"/>
  <c r="BC103" i="74" s="1"/>
  <c r="BC199" i="74" s="1"/>
  <c r="AZ12" i="94"/>
  <c r="BC102" i="74" s="1"/>
  <c r="BC198" i="74" s="1"/>
  <c r="AZ11" i="94"/>
  <c r="BC101" i="74" s="1"/>
  <c r="BC197" i="74" s="1"/>
  <c r="BC100" i="74"/>
  <c r="BC196" i="74" s="1"/>
  <c r="AZ50" i="94"/>
  <c r="AZ16" i="94"/>
  <c r="BC108" i="74" s="1"/>
  <c r="BC204" i="74" s="1"/>
  <c r="AZ14" i="94"/>
  <c r="BC104" i="74" s="1"/>
  <c r="BC200" i="74" s="1"/>
  <c r="AZ15" i="94"/>
  <c r="BC105" i="74" s="1"/>
  <c r="BC201" i="74" s="1"/>
  <c r="AE28" i="55"/>
  <c r="AH33" i="74" s="1"/>
  <c r="AH177" i="74" s="1"/>
  <c r="AF3" i="88"/>
  <c r="AC26" i="60" s="1"/>
  <c r="BD3" i="63"/>
  <c r="BE3" i="63" s="1"/>
  <c r="BF3" i="63" s="1"/>
  <c r="BG3" i="63" s="1"/>
  <c r="BH3" i="63" s="1"/>
  <c r="BI3" i="63" s="1"/>
  <c r="BJ3" i="63" s="1"/>
  <c r="BK3" i="63" s="1"/>
  <c r="BL3" i="63" s="1"/>
  <c r="BM3" i="63" s="1"/>
  <c r="BN3" i="63" s="1"/>
  <c r="BO3" i="63" s="1"/>
  <c r="BP3" i="63" s="1"/>
  <c r="BQ3" i="63" s="1"/>
  <c r="BR3" i="63" s="1"/>
  <c r="BS3" i="63" s="1"/>
  <c r="BT3" i="63" s="1"/>
  <c r="BU3" i="63" s="1"/>
  <c r="BV3" i="63" s="1"/>
  <c r="BW3" i="63" s="1"/>
  <c r="BX3" i="63" s="1"/>
  <c r="BY3" i="63" s="1"/>
  <c r="BZ3" i="63" s="1"/>
  <c r="CA3" i="63" s="1"/>
  <c r="CB3" i="63" s="1"/>
  <c r="CC3" i="63" s="1"/>
  <c r="CD3" i="63" s="1"/>
  <c r="CE3" i="63" s="1"/>
  <c r="CF3" i="63" s="1"/>
  <c r="CG3" i="63" s="1"/>
  <c r="CH3" i="63" s="1"/>
  <c r="CI3" i="63" s="1"/>
  <c r="BB24" i="63"/>
  <c r="BA24" i="63"/>
  <c r="AT23" i="62"/>
  <c r="AT8" i="60" s="1"/>
  <c r="AV4" i="62"/>
  <c r="AU4" i="63"/>
  <c r="AW24" i="82" s="1"/>
  <c r="AS25" i="63"/>
  <c r="AF3" i="59"/>
  <c r="AD15" i="59"/>
  <c r="AF3" i="58"/>
  <c r="AE23" i="60"/>
  <c r="AD35" i="60"/>
  <c r="AC38" i="60"/>
  <c r="AG3" i="57"/>
  <c r="AH24" i="55"/>
  <c r="AH27" i="55" s="1"/>
  <c r="AI5" i="55"/>
  <c r="AH17" i="55"/>
  <c r="AH20" i="55" s="1"/>
  <c r="AW23" i="94" l="1"/>
  <c r="AZ113" i="74" s="1"/>
  <c r="AZ234" i="74" s="1"/>
  <c r="AW21" i="94"/>
  <c r="BA17" i="94"/>
  <c r="BD107" i="74" s="1"/>
  <c r="BD203" i="74" s="1"/>
  <c r="BA26" i="94"/>
  <c r="BD116" i="74" s="1"/>
  <c r="BD237" i="74" s="1"/>
  <c r="BA27" i="94"/>
  <c r="BD117" i="74" s="1"/>
  <c r="BD238" i="74" s="1"/>
  <c r="BA28" i="94"/>
  <c r="BD118" i="74" s="1"/>
  <c r="BD239" i="74" s="1"/>
  <c r="BA29" i="94"/>
  <c r="BD119" i="74" s="1"/>
  <c r="BD240" i="74" s="1"/>
  <c r="BA33" i="94"/>
  <c r="BA30" i="94"/>
  <c r="BD120" i="74" s="1"/>
  <c r="BD241" i="74" s="1"/>
  <c r="BA22" i="94"/>
  <c r="BD112" i="74" s="1"/>
  <c r="BD233" i="74" s="1"/>
  <c r="BA24" i="94"/>
  <c r="BD114" i="74" s="1"/>
  <c r="BD235" i="74" s="1"/>
  <c r="BA25" i="94"/>
  <c r="BD115" i="74" s="1"/>
  <c r="BD236" i="74" s="1"/>
  <c r="AZ33" i="76"/>
  <c r="AZ32" i="76" s="1"/>
  <c r="BC159" i="74" s="1"/>
  <c r="AZ30" i="76"/>
  <c r="BC157" i="74" s="1"/>
  <c r="BC252" i="74" s="1"/>
  <c r="AZ26" i="76"/>
  <c r="BC153" i="74" s="1"/>
  <c r="BC248" i="74" s="1"/>
  <c r="AZ22" i="76"/>
  <c r="BC149" i="74" s="1"/>
  <c r="BC244" i="74" s="1"/>
  <c r="AZ29" i="76"/>
  <c r="BC156" i="74" s="1"/>
  <c r="BC251" i="74" s="1"/>
  <c r="AZ25" i="76"/>
  <c r="BC152" i="74" s="1"/>
  <c r="BC247" i="74" s="1"/>
  <c r="AZ28" i="76"/>
  <c r="BC155" i="74" s="1"/>
  <c r="BC250" i="74" s="1"/>
  <c r="AZ24" i="76"/>
  <c r="BC151" i="74" s="1"/>
  <c r="BC246" i="74" s="1"/>
  <c r="AZ27" i="76"/>
  <c r="BC154" i="74" s="1"/>
  <c r="BC249" i="74" s="1"/>
  <c r="AX20" i="82"/>
  <c r="BA71" i="74" s="1"/>
  <c r="BA193" i="74" s="1"/>
  <c r="AX29" i="82"/>
  <c r="BA79" i="74" s="1"/>
  <c r="BA226" i="74" s="1"/>
  <c r="AX30" i="82"/>
  <c r="BA80" i="74" s="1"/>
  <c r="BA227" i="74" s="1"/>
  <c r="AX31" i="82"/>
  <c r="BA81" i="74" s="1"/>
  <c r="BA228" i="74" s="1"/>
  <c r="AX33" i="82"/>
  <c r="BA83" i="74" s="1"/>
  <c r="BA230" i="74" s="1"/>
  <c r="AX25" i="82"/>
  <c r="BA77" i="74" s="1"/>
  <c r="BA224" i="74" s="1"/>
  <c r="AX38" i="82"/>
  <c r="AX37" i="82" s="1"/>
  <c r="BA86" i="74" s="1"/>
  <c r="AX27" i="82"/>
  <c r="AX28" i="82"/>
  <c r="BA78" i="74" s="1"/>
  <c r="BA225" i="74" s="1"/>
  <c r="AX26" i="82"/>
  <c r="BA76" i="74" s="1"/>
  <c r="BA223" i="74" s="1"/>
  <c r="AG71" i="55"/>
  <c r="AJ7" i="74" s="1"/>
  <c r="AJ8" i="74"/>
  <c r="AH70" i="55"/>
  <c r="AH72" i="55" s="1"/>
  <c r="AH30" i="55"/>
  <c r="AK35" i="74" s="1"/>
  <c r="AK179" i="74" s="1"/>
  <c r="AZ49" i="76"/>
  <c r="AZ50" i="76" s="1"/>
  <c r="BC327" i="74" s="1"/>
  <c r="AZ17" i="76"/>
  <c r="BC144" i="74" s="1"/>
  <c r="BC213" i="74" s="1"/>
  <c r="BC106" i="74"/>
  <c r="BC202" i="74" s="1"/>
  <c r="BC195" i="74" s="1"/>
  <c r="AX21" i="82"/>
  <c r="BA72" i="74" s="1"/>
  <c r="BA192" i="74" s="1"/>
  <c r="BA205" i="74"/>
  <c r="BB145" i="74"/>
  <c r="BB214" i="74" s="1"/>
  <c r="BB212" i="74"/>
  <c r="AZ194" i="74"/>
  <c r="AG13" i="64"/>
  <c r="AE26" i="64"/>
  <c r="AX19" i="82"/>
  <c r="BA70" i="74" s="1"/>
  <c r="AF15" i="56"/>
  <c r="AG28" i="55" s="1"/>
  <c r="AJ33" i="74" s="1"/>
  <c r="AJ177" i="74" s="1"/>
  <c r="AG3" i="56"/>
  <c r="AG14" i="56" s="1"/>
  <c r="AY53" i="76"/>
  <c r="BB341" i="74" s="1"/>
  <c r="BB342" i="74" s="1"/>
  <c r="BB160" i="74"/>
  <c r="BB265" i="74" s="1"/>
  <c r="BB264" i="74" s="1"/>
  <c r="AZ11" i="76"/>
  <c r="BC138" i="74" s="1"/>
  <c r="BC207" i="74" s="1"/>
  <c r="AZ13" i="76"/>
  <c r="BC140" i="74" s="1"/>
  <c r="BC209" i="74" s="1"/>
  <c r="AZ15" i="76"/>
  <c r="BC142" i="74" s="1"/>
  <c r="BC211" i="74" s="1"/>
  <c r="AZ18" i="76"/>
  <c r="BC143" i="74" s="1"/>
  <c r="BA18" i="94"/>
  <c r="AZ12" i="76"/>
  <c r="BC139" i="74" s="1"/>
  <c r="BC208" i="74" s="1"/>
  <c r="AY50" i="76"/>
  <c r="BB327" i="74" s="1"/>
  <c r="BC137" i="74"/>
  <c r="BC206" i="74" s="1"/>
  <c r="AY51" i="76"/>
  <c r="BB328" i="74" s="1"/>
  <c r="AZ14" i="76"/>
  <c r="BC141" i="74" s="1"/>
  <c r="BC210" i="74" s="1"/>
  <c r="AZ16" i="76"/>
  <c r="BA8" i="76"/>
  <c r="BA10" i="76" s="1"/>
  <c r="AX55" i="82"/>
  <c r="AX14" i="82"/>
  <c r="BA65" i="74" s="1"/>
  <c r="BA187" i="74" s="1"/>
  <c r="AX17" i="82"/>
  <c r="BA68" i="74" s="1"/>
  <c r="BA190" i="74" s="1"/>
  <c r="AX18" i="82"/>
  <c r="BA69" i="74" s="1"/>
  <c r="BA191" i="74" s="1"/>
  <c r="AX13" i="82"/>
  <c r="BA64" i="74" s="1"/>
  <c r="BA186" i="74" s="1"/>
  <c r="AX10" i="82"/>
  <c r="BA61" i="74" s="1"/>
  <c r="BA183" i="74" s="1"/>
  <c r="AX15" i="82"/>
  <c r="BA66" i="74" s="1"/>
  <c r="BA188" i="74" s="1"/>
  <c r="AX12" i="82"/>
  <c r="BA63" i="74" s="1"/>
  <c r="BA185" i="74" s="1"/>
  <c r="AX11" i="82"/>
  <c r="BA62" i="74" s="1"/>
  <c r="BA184" i="74" s="1"/>
  <c r="AY8" i="82"/>
  <c r="AX16" i="82"/>
  <c r="BA67" i="74" s="1"/>
  <c r="BA189" i="74" s="1"/>
  <c r="AY9" i="76"/>
  <c r="BB136" i="74" s="1"/>
  <c r="AJ371" i="74"/>
  <c r="AJ373" i="74"/>
  <c r="AJ372" i="74"/>
  <c r="AI374" i="74"/>
  <c r="AJ320" i="74"/>
  <c r="AJ366" i="74"/>
  <c r="AJ368" i="74"/>
  <c r="AK32" i="74"/>
  <c r="AK180" i="74" s="1"/>
  <c r="AK6" i="74"/>
  <c r="AK278" i="74" s="1"/>
  <c r="AH31" i="55"/>
  <c r="AK36" i="74" s="1"/>
  <c r="AK181" i="74" s="1"/>
  <c r="AY111" i="74"/>
  <c r="AY232" i="74" s="1"/>
  <c r="AY231" i="74" s="1"/>
  <c r="AY271" i="74" s="1"/>
  <c r="AV20" i="94"/>
  <c r="AY110" i="74" s="1"/>
  <c r="AZ32" i="94"/>
  <c r="BC122" i="74" s="1"/>
  <c r="BC123" i="74"/>
  <c r="BC262" i="74" s="1"/>
  <c r="BC261" i="74" s="1"/>
  <c r="AZ9" i="94"/>
  <c r="BC99" i="74" s="1"/>
  <c r="BB8" i="94"/>
  <c r="BB10" i="94" s="1"/>
  <c r="BA14" i="94"/>
  <c r="BD104" i="74" s="1"/>
  <c r="BD200" i="74" s="1"/>
  <c r="BA16" i="94"/>
  <c r="BD108" i="74" s="1"/>
  <c r="BD204" i="74" s="1"/>
  <c r="BA13" i="94"/>
  <c r="BD103" i="74" s="1"/>
  <c r="BD199" i="74" s="1"/>
  <c r="BA12" i="94"/>
  <c r="BD102" i="74" s="1"/>
  <c r="BD198" i="74" s="1"/>
  <c r="BA11" i="94"/>
  <c r="BD101" i="74" s="1"/>
  <c r="BD197" i="74" s="1"/>
  <c r="BA50" i="94"/>
  <c r="BA15" i="94"/>
  <c r="BD105" i="74" s="1"/>
  <c r="BD201" i="74" s="1"/>
  <c r="AZ53" i="94"/>
  <c r="BC326" i="74" s="1"/>
  <c r="AZ52" i="94"/>
  <c r="BC325" i="74" s="1"/>
  <c r="AZ51" i="94"/>
  <c r="BC324" i="74" s="1"/>
  <c r="AZ54" i="94"/>
  <c r="BC340" i="74" s="1"/>
  <c r="AF28" i="55"/>
  <c r="AI33" i="74" s="1"/>
  <c r="AI177" i="74" s="1"/>
  <c r="AG3" i="88"/>
  <c r="AD26" i="60" s="1"/>
  <c r="AV4" i="63"/>
  <c r="AT25" i="63"/>
  <c r="AW4" i="62"/>
  <c r="AU23" i="62"/>
  <c r="AU8" i="60" s="1"/>
  <c r="AG3" i="59"/>
  <c r="AE15" i="59"/>
  <c r="AG3" i="58"/>
  <c r="AF23" i="60"/>
  <c r="AE35" i="60"/>
  <c r="AD38" i="60"/>
  <c r="AH3" i="57"/>
  <c r="AI24" i="55"/>
  <c r="AI27" i="55" s="1"/>
  <c r="AJ5" i="55"/>
  <c r="AI17" i="55"/>
  <c r="AI20" i="55" s="1"/>
  <c r="E10" i="94" l="1"/>
  <c r="D10" i="94"/>
  <c r="AX23" i="94"/>
  <c r="AX21" i="94"/>
  <c r="AX23" i="76"/>
  <c r="AX21" i="76"/>
  <c r="AX24" i="82"/>
  <c r="BB17" i="94"/>
  <c r="BB27" i="94"/>
  <c r="BE117" i="74" s="1"/>
  <c r="BE238" i="74" s="1"/>
  <c r="BB28" i="94"/>
  <c r="BB29" i="94"/>
  <c r="BE119" i="74" s="1"/>
  <c r="BE240" i="74" s="1"/>
  <c r="BB33" i="94"/>
  <c r="BB30" i="94"/>
  <c r="BB22" i="94"/>
  <c r="BE112" i="74" s="1"/>
  <c r="BE233" i="74" s="1"/>
  <c r="BB24" i="94"/>
  <c r="BE114" i="74" s="1"/>
  <c r="BE235" i="74" s="1"/>
  <c r="BB26" i="94"/>
  <c r="BE116" i="74" s="1"/>
  <c r="BE237" i="74" s="1"/>
  <c r="BB25" i="94"/>
  <c r="BE115" i="74" s="1"/>
  <c r="BE236" i="74" s="1"/>
  <c r="BA17" i="76"/>
  <c r="BD144" i="74" s="1"/>
  <c r="BD213" i="74" s="1"/>
  <c r="BA33" i="76"/>
  <c r="BA32" i="76" s="1"/>
  <c r="BD159" i="74" s="1"/>
  <c r="BA30" i="76"/>
  <c r="BD157" i="74" s="1"/>
  <c r="BD252" i="74" s="1"/>
  <c r="BA26" i="76"/>
  <c r="BD153" i="74" s="1"/>
  <c r="BD248" i="74" s="1"/>
  <c r="BA22" i="76"/>
  <c r="BD149" i="74" s="1"/>
  <c r="BD244" i="74" s="1"/>
  <c r="BA29" i="76"/>
  <c r="BD156" i="74" s="1"/>
  <c r="BD251" i="74" s="1"/>
  <c r="BA25" i="76"/>
  <c r="BD152" i="74" s="1"/>
  <c r="BD247" i="74" s="1"/>
  <c r="BA28" i="76"/>
  <c r="BD155" i="74" s="1"/>
  <c r="BD250" i="74" s="1"/>
  <c r="BA24" i="76"/>
  <c r="BD151" i="74" s="1"/>
  <c r="BD246" i="74" s="1"/>
  <c r="BA27" i="76"/>
  <c r="BD154" i="74" s="1"/>
  <c r="BD249" i="74" s="1"/>
  <c r="AY20" i="82"/>
  <c r="BB71" i="74" s="1"/>
  <c r="BB193" i="74" s="1"/>
  <c r="AY30" i="82"/>
  <c r="BB80" i="74" s="1"/>
  <c r="BB227" i="74" s="1"/>
  <c r="AY31" i="82"/>
  <c r="BB81" i="74" s="1"/>
  <c r="BB228" i="74" s="1"/>
  <c r="AY26" i="82"/>
  <c r="BB76" i="74" s="1"/>
  <c r="BB223" i="74" s="1"/>
  <c r="AY33" i="82"/>
  <c r="BB83" i="74" s="1"/>
  <c r="BB230" i="74" s="1"/>
  <c r="AY25" i="82"/>
  <c r="BB77" i="74" s="1"/>
  <c r="BB224" i="74" s="1"/>
  <c r="AY38" i="82"/>
  <c r="AY37" i="82" s="1"/>
  <c r="BB86" i="74" s="1"/>
  <c r="AY28" i="82"/>
  <c r="BB78" i="74" s="1"/>
  <c r="BB225" i="74" s="1"/>
  <c r="AY29" i="82"/>
  <c r="BB79" i="74" s="1"/>
  <c r="BB226" i="74" s="1"/>
  <c r="AY27" i="82"/>
  <c r="AH71" i="55"/>
  <c r="AK7" i="74" s="1"/>
  <c r="AK8" i="74"/>
  <c r="AI70" i="55"/>
  <c r="AI72" i="55" s="1"/>
  <c r="AZ53" i="76"/>
  <c r="BC341" i="74" s="1"/>
  <c r="BC342" i="74" s="1"/>
  <c r="AI30" i="55"/>
  <c r="AL35" i="74" s="1"/>
  <c r="AL179" i="74" s="1"/>
  <c r="AZ51" i="76"/>
  <c r="BC328" i="74" s="1"/>
  <c r="AZ52" i="76"/>
  <c r="BC329" i="74" s="1"/>
  <c r="BD106" i="74"/>
  <c r="BD202" i="74" s="1"/>
  <c r="AY21" i="82"/>
  <c r="BB72" i="74" s="1"/>
  <c r="BB192" i="74" s="1"/>
  <c r="AH3" i="56"/>
  <c r="AH14" i="56" s="1"/>
  <c r="BB205" i="74"/>
  <c r="BC145" i="74"/>
  <c r="BC214" i="74" s="1"/>
  <c r="BC212" i="74"/>
  <c r="BA194" i="74"/>
  <c r="BA182" i="74" s="1"/>
  <c r="AH13" i="64"/>
  <c r="AF26" i="64"/>
  <c r="AX56" i="82"/>
  <c r="BA323" i="74" s="1"/>
  <c r="AY19" i="82"/>
  <c r="BB70" i="74" s="1"/>
  <c r="AG15" i="56"/>
  <c r="AH28" i="55" s="1"/>
  <c r="AK33" i="74" s="1"/>
  <c r="AK177" i="74" s="1"/>
  <c r="AX57" i="82"/>
  <c r="BA338" i="74" s="1"/>
  <c r="BC160" i="74"/>
  <c r="BC265" i="74" s="1"/>
  <c r="BC264" i="74" s="1"/>
  <c r="BA18" i="76"/>
  <c r="BD143" i="74" s="1"/>
  <c r="BB18" i="94"/>
  <c r="AZ8" i="82"/>
  <c r="BA13" i="76"/>
  <c r="BD140" i="74" s="1"/>
  <c r="BD209" i="74" s="1"/>
  <c r="AZ9" i="76"/>
  <c r="BC136" i="74" s="1"/>
  <c r="BA12" i="76"/>
  <c r="BD139" i="74" s="1"/>
  <c r="BD208" i="74" s="1"/>
  <c r="BD137" i="74"/>
  <c r="BD206" i="74" s="1"/>
  <c r="BA14" i="76"/>
  <c r="BD141" i="74" s="1"/>
  <c r="BD210" i="74" s="1"/>
  <c r="BA11" i="76"/>
  <c r="BD138" i="74" s="1"/>
  <c r="BD207" i="74" s="1"/>
  <c r="BA15" i="76"/>
  <c r="BD142" i="74" s="1"/>
  <c r="BD211" i="74" s="1"/>
  <c r="BA16" i="76"/>
  <c r="BA49" i="76"/>
  <c r="BA52" i="76" s="1"/>
  <c r="BD329" i="74" s="1"/>
  <c r="BB8" i="76"/>
  <c r="BB10" i="76" s="1"/>
  <c r="BA87" i="74"/>
  <c r="BA260" i="74" s="1"/>
  <c r="BA259" i="74" s="1"/>
  <c r="AY16" i="82"/>
  <c r="BB67" i="74" s="1"/>
  <c r="BB189" i="74" s="1"/>
  <c r="AX9" i="82"/>
  <c r="BA60" i="74" s="1"/>
  <c r="AY17" i="82"/>
  <c r="BB68" i="74" s="1"/>
  <c r="BB190" i="74" s="1"/>
  <c r="AY18" i="82"/>
  <c r="BB69" i="74" s="1"/>
  <c r="BB191" i="74" s="1"/>
  <c r="AY14" i="82"/>
  <c r="BB65" i="74" s="1"/>
  <c r="BB187" i="74" s="1"/>
  <c r="AY10" i="82"/>
  <c r="BB61" i="74" s="1"/>
  <c r="BB183" i="74" s="1"/>
  <c r="AY55" i="82"/>
  <c r="AY13" i="82"/>
  <c r="BB64" i="74" s="1"/>
  <c r="BB186" i="74" s="1"/>
  <c r="AY15" i="82"/>
  <c r="BB66" i="74" s="1"/>
  <c r="BB188" i="74" s="1"/>
  <c r="AY12" i="82"/>
  <c r="BB63" i="74" s="1"/>
  <c r="BB185" i="74" s="1"/>
  <c r="AY11" i="82"/>
  <c r="BB62" i="74" s="1"/>
  <c r="BB184" i="74" s="1"/>
  <c r="AK371" i="74"/>
  <c r="AK372" i="74"/>
  <c r="AK373" i="74"/>
  <c r="AJ374" i="74"/>
  <c r="AK320" i="74"/>
  <c r="AK366" i="74"/>
  <c r="AK368" i="74"/>
  <c r="AL32" i="74"/>
  <c r="AL180" i="74" s="1"/>
  <c r="AL6" i="74"/>
  <c r="AL278" i="74" s="1"/>
  <c r="AI31" i="55"/>
  <c r="AL36" i="74" s="1"/>
  <c r="AL181" i="74" s="1"/>
  <c r="AZ111" i="74"/>
  <c r="AZ232" i="74" s="1"/>
  <c r="AZ231" i="74" s="1"/>
  <c r="AZ271" i="74" s="1"/>
  <c r="AW20" i="94"/>
  <c r="AZ110" i="74" s="1"/>
  <c r="BA113" i="74"/>
  <c r="BA234" i="74" s="1"/>
  <c r="AV37" i="94"/>
  <c r="BA32" i="94"/>
  <c r="BD122" i="74" s="1"/>
  <c r="BD123" i="74"/>
  <c r="BD262" i="74" s="1"/>
  <c r="BD261" i="74" s="1"/>
  <c r="BA9" i="94"/>
  <c r="BD99" i="74" s="1"/>
  <c r="BD100" i="74"/>
  <c r="BD196" i="74" s="1"/>
  <c r="BA54" i="94"/>
  <c r="BD340" i="74" s="1"/>
  <c r="BA53" i="94"/>
  <c r="BD326" i="74" s="1"/>
  <c r="BA52" i="94"/>
  <c r="BD325" i="74" s="1"/>
  <c r="BA51" i="94"/>
  <c r="BD324" i="74" s="1"/>
  <c r="BB15" i="94"/>
  <c r="BB14" i="94"/>
  <c r="BE104" i="74" s="1"/>
  <c r="BE200" i="74" s="1"/>
  <c r="BB13" i="94"/>
  <c r="BE103" i="74" s="1"/>
  <c r="BE199" i="74" s="1"/>
  <c r="BB12" i="94"/>
  <c r="BE102" i="74" s="1"/>
  <c r="BE198" i="74" s="1"/>
  <c r="BB11" i="94"/>
  <c r="BE101" i="74" s="1"/>
  <c r="BE197" i="74" s="1"/>
  <c r="BE100" i="74"/>
  <c r="BE196" i="74" s="1"/>
  <c r="BB50" i="94"/>
  <c r="BB16" i="94"/>
  <c r="BE108" i="74" s="1"/>
  <c r="BE204" i="74" s="1"/>
  <c r="AH3" i="88"/>
  <c r="AE26" i="60" s="1"/>
  <c r="AX4" i="62"/>
  <c r="AV23" i="62"/>
  <c r="AV8" i="60" s="1"/>
  <c r="AW4" i="63"/>
  <c r="AY24" i="82" s="1"/>
  <c r="AU25" i="63"/>
  <c r="AH3" i="58"/>
  <c r="AH3" i="59"/>
  <c r="AF15" i="59"/>
  <c r="AF35" i="60"/>
  <c r="AE38" i="60"/>
  <c r="AG23" i="60"/>
  <c r="AI3" i="57"/>
  <c r="AJ24" i="55"/>
  <c r="AJ27" i="55" s="1"/>
  <c r="AK5" i="55"/>
  <c r="AJ17" i="55"/>
  <c r="AJ20" i="55" s="1"/>
  <c r="BE105" i="74" l="1"/>
  <c r="BE201" i="74" s="1"/>
  <c r="D15" i="94"/>
  <c r="E15" i="94"/>
  <c r="BE118" i="74"/>
  <c r="BE239" i="74" s="1"/>
  <c r="D28" i="94"/>
  <c r="G118" i="74" s="1"/>
  <c r="G239" i="74" s="1"/>
  <c r="E28" i="94"/>
  <c r="H118" i="74" s="1"/>
  <c r="H239" i="74" s="1"/>
  <c r="BE107" i="74"/>
  <c r="BE203" i="74" s="1"/>
  <c r="E17" i="94"/>
  <c r="H107" i="74" s="1"/>
  <c r="H203" i="74" s="1"/>
  <c r="D17" i="94"/>
  <c r="G107" i="74" s="1"/>
  <c r="G203" i="74" s="1"/>
  <c r="D18" i="94"/>
  <c r="G106" i="74" s="1"/>
  <c r="G202" i="74" s="1"/>
  <c r="E18" i="94"/>
  <c r="H106" i="74" s="1"/>
  <c r="H202" i="74" s="1"/>
  <c r="BE120" i="74"/>
  <c r="BE241" i="74" s="1"/>
  <c r="E30" i="94"/>
  <c r="D30" i="94"/>
  <c r="AY21" i="94"/>
  <c r="AY23" i="94"/>
  <c r="BB113" i="74" s="1"/>
  <c r="BB234" i="74" s="1"/>
  <c r="AY21" i="76"/>
  <c r="AY23" i="76"/>
  <c r="BB150" i="74" s="1"/>
  <c r="BB245" i="74" s="1"/>
  <c r="BB33" i="76"/>
  <c r="BB32" i="76" s="1"/>
  <c r="BB30" i="76"/>
  <c r="BB26" i="76"/>
  <c r="BB22" i="76"/>
  <c r="BB29" i="76"/>
  <c r="BB25" i="76"/>
  <c r="BB28" i="76"/>
  <c r="BB24" i="76"/>
  <c r="BB27" i="76"/>
  <c r="AZ20" i="82"/>
  <c r="BC71" i="74" s="1"/>
  <c r="BC193" i="74" s="1"/>
  <c r="AZ31" i="82"/>
  <c r="BC81" i="74" s="1"/>
  <c r="BC228" i="74" s="1"/>
  <c r="AZ33" i="82"/>
  <c r="BC83" i="74" s="1"/>
  <c r="BC230" i="74" s="1"/>
  <c r="AZ26" i="82"/>
  <c r="BC76" i="74" s="1"/>
  <c r="BC223" i="74" s="1"/>
  <c r="AZ28" i="82"/>
  <c r="BC78" i="74" s="1"/>
  <c r="BC225" i="74" s="1"/>
  <c r="AZ25" i="82"/>
  <c r="BC77" i="74" s="1"/>
  <c r="BC224" i="74" s="1"/>
  <c r="AZ38" i="82"/>
  <c r="AZ37" i="82" s="1"/>
  <c r="BC86" i="74" s="1"/>
  <c r="AZ27" i="82"/>
  <c r="AZ29" i="82"/>
  <c r="BC79" i="74" s="1"/>
  <c r="BC226" i="74" s="1"/>
  <c r="AZ30" i="82"/>
  <c r="BC80" i="74" s="1"/>
  <c r="BC227" i="74" s="1"/>
  <c r="AI71" i="55"/>
  <c r="AL7" i="74" s="1"/>
  <c r="AL8" i="74"/>
  <c r="AJ70" i="55"/>
  <c r="AJ72" i="55" s="1"/>
  <c r="AJ30" i="55"/>
  <c r="AM35" i="74" s="1"/>
  <c r="AM179" i="74" s="1"/>
  <c r="BE106" i="74"/>
  <c r="BE202" i="74" s="1"/>
  <c r="BB17" i="76"/>
  <c r="BD195" i="74"/>
  <c r="AZ21" i="82"/>
  <c r="BC72" i="74" s="1"/>
  <c r="BC192" i="74" s="1"/>
  <c r="AI3" i="56"/>
  <c r="AI14" i="56" s="1"/>
  <c r="AH15" i="56"/>
  <c r="AI28" i="55" s="1"/>
  <c r="AL33" i="74" s="1"/>
  <c r="AL177" i="74" s="1"/>
  <c r="BC205" i="74"/>
  <c r="BD145" i="74"/>
  <c r="BD214" i="74" s="1"/>
  <c r="BD212" i="74"/>
  <c r="BB194" i="74"/>
  <c r="BB182" i="74" s="1"/>
  <c r="AI13" i="64"/>
  <c r="AG26" i="64"/>
  <c r="AY57" i="82"/>
  <c r="BB338" i="74" s="1"/>
  <c r="AY56" i="82"/>
  <c r="BB323" i="74" s="1"/>
  <c r="AZ19" i="82"/>
  <c r="BC70" i="74" s="1"/>
  <c r="AZ16" i="82"/>
  <c r="BC67" i="74" s="1"/>
  <c r="BC189" i="74" s="1"/>
  <c r="AZ15" i="82"/>
  <c r="BC66" i="74" s="1"/>
  <c r="BC188" i="74" s="1"/>
  <c r="AZ10" i="82"/>
  <c r="BC61" i="74" s="1"/>
  <c r="BC183" i="74" s="1"/>
  <c r="AZ11" i="82"/>
  <c r="BC62" i="74" s="1"/>
  <c r="BC184" i="74" s="1"/>
  <c r="AZ18" i="82"/>
  <c r="BC69" i="74" s="1"/>
  <c r="BC191" i="74" s="1"/>
  <c r="AZ12" i="82"/>
  <c r="BC63" i="74" s="1"/>
  <c r="BC185" i="74" s="1"/>
  <c r="AZ13" i="82"/>
  <c r="BC64" i="74" s="1"/>
  <c r="BC186" i="74" s="1"/>
  <c r="AZ14" i="82"/>
  <c r="BC65" i="74" s="1"/>
  <c r="BC187" i="74" s="1"/>
  <c r="BA8" i="82"/>
  <c r="AZ55" i="82"/>
  <c r="AZ17" i="82"/>
  <c r="BC68" i="74" s="1"/>
  <c r="BC190" i="74" s="1"/>
  <c r="BB18" i="76"/>
  <c r="BD160" i="74"/>
  <c r="BD265" i="74" s="1"/>
  <c r="BD264" i="74" s="1"/>
  <c r="BA53" i="76"/>
  <c r="BD341" i="74" s="1"/>
  <c r="BD342" i="74" s="1"/>
  <c r="BB16" i="76"/>
  <c r="BA51" i="76"/>
  <c r="BD328" i="74" s="1"/>
  <c r="BA50" i="76"/>
  <c r="BD327" i="74" s="1"/>
  <c r="BB12" i="76"/>
  <c r="BE139" i="74" s="1"/>
  <c r="BE208" i="74" s="1"/>
  <c r="BE137" i="74"/>
  <c r="BE206" i="74" s="1"/>
  <c r="BB15" i="76"/>
  <c r="BE142" i="74" s="1"/>
  <c r="BE211" i="74" s="1"/>
  <c r="BB11" i="76"/>
  <c r="BE138" i="74" s="1"/>
  <c r="BE207" i="74" s="1"/>
  <c r="BB49" i="76"/>
  <c r="BB52" i="76" s="1"/>
  <c r="BE329" i="74" s="1"/>
  <c r="BB13" i="76"/>
  <c r="BE140" i="74" s="1"/>
  <c r="BE209" i="74" s="1"/>
  <c r="BB14" i="76"/>
  <c r="BE141" i="74" s="1"/>
  <c r="BE210" i="74" s="1"/>
  <c r="BA9" i="76"/>
  <c r="BD136" i="74" s="1"/>
  <c r="BB87" i="74"/>
  <c r="BB260" i="74" s="1"/>
  <c r="BB259" i="74" s="1"/>
  <c r="AY9" i="82"/>
  <c r="BB60" i="74" s="1"/>
  <c r="AK374" i="74"/>
  <c r="AL371" i="74"/>
  <c r="AL372" i="74"/>
  <c r="AL373" i="74"/>
  <c r="AL320" i="74"/>
  <c r="AL366" i="74"/>
  <c r="AL368" i="74"/>
  <c r="AM32" i="74"/>
  <c r="AM180" i="74" s="1"/>
  <c r="AM6" i="74"/>
  <c r="AM278" i="74" s="1"/>
  <c r="AJ31" i="55"/>
  <c r="AM36" i="74" s="1"/>
  <c r="AM181" i="74" s="1"/>
  <c r="AX20" i="94"/>
  <c r="BA110" i="74" s="1"/>
  <c r="BA111" i="74"/>
  <c r="BA232" i="74" s="1"/>
  <c r="BA231" i="74" s="1"/>
  <c r="BA271" i="74" s="1"/>
  <c r="AW37" i="94"/>
  <c r="AV38" i="94"/>
  <c r="AY128" i="74" s="1"/>
  <c r="AY127" i="74"/>
  <c r="BA75" i="74"/>
  <c r="BA222" i="74" s="1"/>
  <c r="BB32" i="94"/>
  <c r="BE122" i="74" s="1"/>
  <c r="BE123" i="74"/>
  <c r="BE262" i="74" s="1"/>
  <c r="BE261" i="74" s="1"/>
  <c r="BB54" i="94"/>
  <c r="BE340" i="74" s="1"/>
  <c r="BB53" i="94"/>
  <c r="BE326" i="74" s="1"/>
  <c r="BB52" i="94"/>
  <c r="BE325" i="74" s="1"/>
  <c r="BB51" i="94"/>
  <c r="BE324" i="74" s="1"/>
  <c r="BB9" i="94"/>
  <c r="BE99" i="74" s="1"/>
  <c r="AI3" i="88"/>
  <c r="AF26" i="60" s="1"/>
  <c r="AX4" i="63"/>
  <c r="AZ24" i="82" s="1"/>
  <c r="AV25" i="63"/>
  <c r="AW23" i="62"/>
  <c r="AW8" i="60" s="1"/>
  <c r="AY4" i="62"/>
  <c r="AI3" i="58"/>
  <c r="AI3" i="59"/>
  <c r="AG15" i="59"/>
  <c r="AH23" i="60"/>
  <c r="AG35" i="60"/>
  <c r="AF38" i="60"/>
  <c r="AJ3" i="57"/>
  <c r="AK24" i="55"/>
  <c r="AK27" i="55" s="1"/>
  <c r="AL5" i="55"/>
  <c r="AK17" i="55"/>
  <c r="AK20" i="55" s="1"/>
  <c r="BE156" i="74" l="1"/>
  <c r="BE251" i="74" s="1"/>
  <c r="BE153" i="74"/>
  <c r="BE248" i="74" s="1"/>
  <c r="BE149" i="74"/>
  <c r="BE244" i="74" s="1"/>
  <c r="BE143" i="74"/>
  <c r="BE212" i="74" s="1"/>
  <c r="E18" i="76"/>
  <c r="H143" i="74" s="1"/>
  <c r="D18" i="76"/>
  <c r="G143" i="74" s="1"/>
  <c r="BE157" i="74"/>
  <c r="BE252" i="74" s="1"/>
  <c r="BE154" i="74"/>
  <c r="BE249" i="74" s="1"/>
  <c r="BE151" i="74"/>
  <c r="BE246" i="74" s="1"/>
  <c r="BE144" i="74"/>
  <c r="BE213" i="74" s="1"/>
  <c r="BE195" i="74"/>
  <c r="BE155" i="74"/>
  <c r="BE250" i="74" s="1"/>
  <c r="BE152" i="74"/>
  <c r="BE247" i="74" s="1"/>
  <c r="AZ21" i="94"/>
  <c r="AZ23" i="94"/>
  <c r="AZ21" i="76"/>
  <c r="AZ23" i="76"/>
  <c r="BC150" i="74" s="1"/>
  <c r="BC245" i="74" s="1"/>
  <c r="BE160" i="74"/>
  <c r="BE265" i="74" s="1"/>
  <c r="BE264" i="74" s="1"/>
  <c r="BA20" i="82"/>
  <c r="BD71" i="74" s="1"/>
  <c r="BD193" i="74" s="1"/>
  <c r="BA33" i="82"/>
  <c r="BD83" i="74" s="1"/>
  <c r="BD230" i="74" s="1"/>
  <c r="BA25" i="82"/>
  <c r="BD77" i="74" s="1"/>
  <c r="BD224" i="74" s="1"/>
  <c r="BA29" i="82"/>
  <c r="BD79" i="74" s="1"/>
  <c r="BD226" i="74" s="1"/>
  <c r="BA26" i="82"/>
  <c r="BD76" i="74" s="1"/>
  <c r="BD223" i="74" s="1"/>
  <c r="BA38" i="82"/>
  <c r="BA37" i="82" s="1"/>
  <c r="BD86" i="74" s="1"/>
  <c r="BA27" i="82"/>
  <c r="BA28" i="82"/>
  <c r="BD78" i="74" s="1"/>
  <c r="BD225" i="74" s="1"/>
  <c r="BA30" i="82"/>
  <c r="BD80" i="74" s="1"/>
  <c r="BD227" i="74" s="1"/>
  <c r="BA31" i="82"/>
  <c r="BD81" i="74" s="1"/>
  <c r="BD228" i="74" s="1"/>
  <c r="AJ71" i="55"/>
  <c r="AM7" i="74" s="1"/>
  <c r="AM8" i="74"/>
  <c r="AK70" i="55"/>
  <c r="AK30" i="55"/>
  <c r="AN35" i="74" s="1"/>
  <c r="AN179" i="74" s="1"/>
  <c r="BD205" i="74"/>
  <c r="BA21" i="82"/>
  <c r="BD72" i="74" s="1"/>
  <c r="BD192" i="74" s="1"/>
  <c r="AI15" i="56"/>
  <c r="AJ28" i="55" s="1"/>
  <c r="AM33" i="74" s="1"/>
  <c r="AM177" i="74" s="1"/>
  <c r="AJ3" i="56"/>
  <c r="AJ14" i="56" s="1"/>
  <c r="BE145" i="74"/>
  <c r="BE214" i="74" s="1"/>
  <c r="BC194" i="74"/>
  <c r="BC182" i="74" s="1"/>
  <c r="BC87" i="74"/>
  <c r="BC260" i="74" s="1"/>
  <c r="BC259" i="74" s="1"/>
  <c r="AJ13" i="64"/>
  <c r="AH26" i="64"/>
  <c r="AZ56" i="82"/>
  <c r="BC323" i="74" s="1"/>
  <c r="BA19" i="82"/>
  <c r="BD70" i="74" s="1"/>
  <c r="BA15" i="82"/>
  <c r="BD66" i="74" s="1"/>
  <c r="BD188" i="74" s="1"/>
  <c r="BA16" i="82"/>
  <c r="BD67" i="74" s="1"/>
  <c r="BD189" i="74" s="1"/>
  <c r="BA14" i="82"/>
  <c r="BD65" i="74" s="1"/>
  <c r="BD187" i="74" s="1"/>
  <c r="BB51" i="76"/>
  <c r="BE328" i="74" s="1"/>
  <c r="BB50" i="76"/>
  <c r="BE327" i="74" s="1"/>
  <c r="BA10" i="82"/>
  <c r="BD61" i="74" s="1"/>
  <c r="BD183" i="74" s="1"/>
  <c r="BA55" i="82"/>
  <c r="BA12" i="82"/>
  <c r="BD63" i="74" s="1"/>
  <c r="BD185" i="74" s="1"/>
  <c r="BA13" i="82"/>
  <c r="BD64" i="74" s="1"/>
  <c r="BD186" i="74" s="1"/>
  <c r="BA17" i="82"/>
  <c r="BD68" i="74" s="1"/>
  <c r="BD190" i="74" s="1"/>
  <c r="BA18" i="82"/>
  <c r="BD69" i="74" s="1"/>
  <c r="BD191" i="74" s="1"/>
  <c r="BB8" i="82"/>
  <c r="AZ57" i="82"/>
  <c r="BC338" i="74" s="1"/>
  <c r="BA11" i="82"/>
  <c r="BD62" i="74" s="1"/>
  <c r="BD184" i="74" s="1"/>
  <c r="AZ9" i="82"/>
  <c r="BC60" i="74" s="1"/>
  <c r="BB53" i="76"/>
  <c r="BE341" i="74" s="1"/>
  <c r="BE342" i="74" s="1"/>
  <c r="BE159" i="74"/>
  <c r="BB9" i="76"/>
  <c r="BE136" i="74" s="1"/>
  <c r="AM371" i="74"/>
  <c r="AM372" i="74"/>
  <c r="AM373" i="74"/>
  <c r="AL374" i="74"/>
  <c r="AM320" i="74"/>
  <c r="AM366" i="74"/>
  <c r="AM368" i="74"/>
  <c r="AN32" i="74"/>
  <c r="AN180" i="74" s="1"/>
  <c r="AN6" i="74"/>
  <c r="AN278" i="74" s="1"/>
  <c r="AY20" i="76"/>
  <c r="BB148" i="74"/>
  <c r="BB243" i="74" s="1"/>
  <c r="BB242" i="74" s="1"/>
  <c r="BB272" i="74" s="1"/>
  <c r="AW38" i="94"/>
  <c r="AZ128" i="74" s="1"/>
  <c r="AZ127" i="74"/>
  <c r="BC113" i="74"/>
  <c r="BC234" i="74" s="1"/>
  <c r="BB75" i="74"/>
  <c r="BB222" i="74" s="1"/>
  <c r="AX37" i="94"/>
  <c r="BB111" i="74"/>
  <c r="BB232" i="74" s="1"/>
  <c r="BB231" i="74" s="1"/>
  <c r="BB271" i="74" s="1"/>
  <c r="AY20" i="94"/>
  <c r="BB110" i="74" s="1"/>
  <c r="AJ3" i="88"/>
  <c r="AG26" i="60" s="1"/>
  <c r="AZ4" i="62"/>
  <c r="AX23" i="62"/>
  <c r="AX8" i="60" s="1"/>
  <c r="AY4" i="63"/>
  <c r="AW25" i="63"/>
  <c r="AH15" i="59"/>
  <c r="AJ3" i="58"/>
  <c r="AJ3" i="59"/>
  <c r="AH35" i="60"/>
  <c r="AG38" i="60"/>
  <c r="AI23" i="60"/>
  <c r="AK3" i="57"/>
  <c r="AM5" i="55"/>
  <c r="AL24" i="55"/>
  <c r="AL27" i="55" s="1"/>
  <c r="AL17" i="55"/>
  <c r="AL20" i="55" s="1"/>
  <c r="BA21" i="94" l="1"/>
  <c r="BA23" i="94"/>
  <c r="BA21" i="76"/>
  <c r="BA23" i="76"/>
  <c r="BD150" i="74" s="1"/>
  <c r="BD245" i="74" s="1"/>
  <c r="BA24" i="82"/>
  <c r="BB20" i="82"/>
  <c r="BE71" i="74" s="1"/>
  <c r="BE193" i="74" s="1"/>
  <c r="BB33" i="82"/>
  <c r="BB30" i="82"/>
  <c r="BB25" i="82"/>
  <c r="BB26" i="82"/>
  <c r="BB38" i="82"/>
  <c r="BB27" i="82"/>
  <c r="BB28" i="82"/>
  <c r="BB29" i="82"/>
  <c r="BB31" i="82"/>
  <c r="AL70" i="55"/>
  <c r="AL72" i="55" s="1"/>
  <c r="AJ15" i="56"/>
  <c r="AK28" i="55" s="1"/>
  <c r="AN33" i="74" s="1"/>
  <c r="AN177" i="74" s="1"/>
  <c r="AL30" i="55"/>
  <c r="AO35" i="74" s="1"/>
  <c r="AO179" i="74" s="1"/>
  <c r="BB21" i="82"/>
  <c r="AK3" i="56"/>
  <c r="AK14" i="56" s="1"/>
  <c r="BE205" i="74"/>
  <c r="BD194" i="74"/>
  <c r="BD182" i="74" s="1"/>
  <c r="AK13" i="64"/>
  <c r="AI26" i="64"/>
  <c r="BA57" i="82"/>
  <c r="BD338" i="74" s="1"/>
  <c r="BA56" i="82"/>
  <c r="BD323" i="74" s="1"/>
  <c r="BD87" i="74"/>
  <c r="BD260" i="74" s="1"/>
  <c r="BD259" i="74" s="1"/>
  <c r="BB19" i="82"/>
  <c r="BE70" i="74" s="1"/>
  <c r="BB12" i="82"/>
  <c r="BE63" i="74" s="1"/>
  <c r="BE185" i="74" s="1"/>
  <c r="BB14" i="82"/>
  <c r="BE65" i="74" s="1"/>
  <c r="BE187" i="74" s="1"/>
  <c r="BA9" i="82"/>
  <c r="BD60" i="74" s="1"/>
  <c r="BB11" i="82"/>
  <c r="BE62" i="74" s="1"/>
  <c r="BE184" i="74" s="1"/>
  <c r="BB15" i="82"/>
  <c r="BE66" i="74" s="1"/>
  <c r="BE188" i="74" s="1"/>
  <c r="BB10" i="82"/>
  <c r="BE61" i="74" s="1"/>
  <c r="BE183" i="74" s="1"/>
  <c r="BB16" i="82"/>
  <c r="BE67" i="74" s="1"/>
  <c r="BE189" i="74" s="1"/>
  <c r="BB17" i="82"/>
  <c r="BE68" i="74" s="1"/>
  <c r="BE190" i="74" s="1"/>
  <c r="BB18" i="82"/>
  <c r="BE69" i="74" s="1"/>
  <c r="BE191" i="74" s="1"/>
  <c r="BB13" i="82"/>
  <c r="BE64" i="74" s="1"/>
  <c r="BE186" i="74" s="1"/>
  <c r="BB55" i="82"/>
  <c r="AN371" i="74"/>
  <c r="AN372" i="74"/>
  <c r="AN373" i="74"/>
  <c r="AM374" i="74"/>
  <c r="AN320" i="74"/>
  <c r="AN366" i="74"/>
  <c r="AN368" i="74"/>
  <c r="AO32" i="74"/>
  <c r="AO180" i="74" s="1"/>
  <c r="AO6" i="74"/>
  <c r="AO278" i="74" s="1"/>
  <c r="AL31" i="55"/>
  <c r="AO36" i="74" s="1"/>
  <c r="AO181" i="74" s="1"/>
  <c r="AZ20" i="94"/>
  <c r="BC110" i="74" s="1"/>
  <c r="BC111" i="74"/>
  <c r="BC232" i="74" s="1"/>
  <c r="BC231" i="74" s="1"/>
  <c r="BC271" i="74" s="1"/>
  <c r="AY37" i="94"/>
  <c r="BC75" i="74"/>
  <c r="BC222" i="74" s="1"/>
  <c r="BB147" i="74"/>
  <c r="AY37" i="76"/>
  <c r="BD113" i="74"/>
  <c r="BD234" i="74" s="1"/>
  <c r="BA127" i="74"/>
  <c r="AX38" i="94"/>
  <c r="BA128" i="74" s="1"/>
  <c r="BC148" i="74"/>
  <c r="BC243" i="74" s="1"/>
  <c r="BC242" i="74" s="1"/>
  <c r="BC272" i="74" s="1"/>
  <c r="AZ20" i="76"/>
  <c r="AK3" i="88"/>
  <c r="AH26" i="60" s="1"/>
  <c r="AZ4" i="63"/>
  <c r="BB24" i="82" s="1"/>
  <c r="AX25" i="63"/>
  <c r="BA4" i="62"/>
  <c r="AY23" i="62"/>
  <c r="AK3" i="59"/>
  <c r="AI15" i="59"/>
  <c r="AK3" i="58"/>
  <c r="AJ23" i="60"/>
  <c r="AK23" i="60" s="1"/>
  <c r="AH38" i="60"/>
  <c r="AI35" i="60"/>
  <c r="AL3" i="57"/>
  <c r="AN5" i="55"/>
  <c r="AM24" i="55"/>
  <c r="AM27" i="55" s="1"/>
  <c r="AM17" i="55"/>
  <c r="AM20" i="55" s="1"/>
  <c r="BB37" i="82" l="1"/>
  <c r="BE86" i="74" s="1"/>
  <c r="BE76" i="74"/>
  <c r="BE223" i="74" s="1"/>
  <c r="BE80" i="74"/>
  <c r="BE227" i="74" s="1"/>
  <c r="BE83" i="74"/>
  <c r="BE230" i="74" s="1"/>
  <c r="BE77" i="74"/>
  <c r="BE224" i="74" s="1"/>
  <c r="BE72" i="74"/>
  <c r="BE192" i="74" s="1"/>
  <c r="BE81" i="74"/>
  <c r="BE228" i="74" s="1"/>
  <c r="BE79" i="74"/>
  <c r="BE226" i="74" s="1"/>
  <c r="BE78" i="74"/>
  <c r="BE225" i="74" s="1"/>
  <c r="BB21" i="94"/>
  <c r="BB23" i="94"/>
  <c r="BE113" i="74" s="1"/>
  <c r="BE234" i="74" s="1"/>
  <c r="BB21" i="76"/>
  <c r="BB23" i="76"/>
  <c r="AL71" i="55"/>
  <c r="AO7" i="74" s="1"/>
  <c r="AO8" i="74"/>
  <c r="AM70" i="55"/>
  <c r="AM72" i="55" s="1"/>
  <c r="AK15" i="56"/>
  <c r="AL28" i="55" s="1"/>
  <c r="AO33" i="74" s="1"/>
  <c r="AO177" i="74" s="1"/>
  <c r="AM30" i="55"/>
  <c r="AP35" i="74" s="1"/>
  <c r="AP179" i="74" s="1"/>
  <c r="AL3" i="56"/>
  <c r="AL14" i="56" s="1"/>
  <c r="BE194" i="74"/>
  <c r="AL13" i="64"/>
  <c r="AJ26" i="64"/>
  <c r="BE87" i="74"/>
  <c r="BE260" i="74" s="1"/>
  <c r="BE259" i="74" s="1"/>
  <c r="BB56" i="82"/>
  <c r="BE323" i="74" s="1"/>
  <c r="BB57" i="82"/>
  <c r="BE338" i="74" s="1"/>
  <c r="BB9" i="82"/>
  <c r="BE60" i="74" s="1"/>
  <c r="AO371" i="74"/>
  <c r="AO372" i="74"/>
  <c r="AO373" i="74"/>
  <c r="AN374" i="74"/>
  <c r="AO320" i="74"/>
  <c r="AO366" i="74"/>
  <c r="AO368" i="74"/>
  <c r="AP32" i="74"/>
  <c r="AP180" i="74" s="1"/>
  <c r="AP6" i="74"/>
  <c r="AP278" i="74" s="1"/>
  <c r="AM31" i="55"/>
  <c r="AP36" i="74" s="1"/>
  <c r="AP181" i="74" s="1"/>
  <c r="BD148" i="74"/>
  <c r="BD243" i="74" s="1"/>
  <c r="BD242" i="74" s="1"/>
  <c r="BD272" i="74" s="1"/>
  <c r="BA20" i="76"/>
  <c r="BB127" i="74"/>
  <c r="AY38" i="94"/>
  <c r="BB128" i="74" s="1"/>
  <c r="BA20" i="94"/>
  <c r="BD110" i="74" s="1"/>
  <c r="BD111" i="74"/>
  <c r="BD232" i="74" s="1"/>
  <c r="BD231" i="74" s="1"/>
  <c r="BD271" i="74" s="1"/>
  <c r="AY38" i="76"/>
  <c r="BB165" i="74" s="1"/>
  <c r="BB164" i="74"/>
  <c r="BC147" i="74"/>
  <c r="AZ37" i="76"/>
  <c r="AZ37" i="94"/>
  <c r="BD75" i="74"/>
  <c r="BD222" i="74" s="1"/>
  <c r="AL23" i="60"/>
  <c r="AL3" i="88"/>
  <c r="AI26" i="60" s="1"/>
  <c r="BB4" i="62"/>
  <c r="BA23" i="62" s="1"/>
  <c r="AZ23" i="62"/>
  <c r="BA4" i="63"/>
  <c r="AY25" i="63"/>
  <c r="AL3" i="59"/>
  <c r="AL3" i="58"/>
  <c r="AJ15" i="59"/>
  <c r="AI38" i="60"/>
  <c r="AJ35" i="60"/>
  <c r="AM3" i="57"/>
  <c r="AN24" i="55"/>
  <c r="AN27" i="55" s="1"/>
  <c r="AO5" i="55"/>
  <c r="AN17" i="55"/>
  <c r="AN20" i="55" s="1"/>
  <c r="BE150" i="74" l="1"/>
  <c r="BE245" i="74" s="1"/>
  <c r="BE182" i="74"/>
  <c r="AM3" i="56"/>
  <c r="AM14" i="56" s="1"/>
  <c r="AM71" i="55"/>
  <c r="AP7" i="74" s="1"/>
  <c r="AP8" i="74"/>
  <c r="AN70" i="55"/>
  <c r="AN72" i="55" s="1"/>
  <c r="AL15" i="56"/>
  <c r="AM28" i="55" s="1"/>
  <c r="AP33" i="74" s="1"/>
  <c r="AP177" i="74" s="1"/>
  <c r="AN30" i="55"/>
  <c r="AQ35" i="74" s="1"/>
  <c r="AQ179" i="74" s="1"/>
  <c r="AK35" i="60"/>
  <c r="AK38" i="60" s="1"/>
  <c r="AM13" i="64"/>
  <c r="AK26" i="64"/>
  <c r="AP371" i="74"/>
  <c r="AP372" i="74"/>
  <c r="AP373" i="74"/>
  <c r="AO374" i="74"/>
  <c r="AP320" i="74"/>
  <c r="AP366" i="74"/>
  <c r="AP368" i="74"/>
  <c r="AQ32" i="74"/>
  <c r="AQ180" i="74" s="1"/>
  <c r="AQ6" i="74"/>
  <c r="AQ278" i="74" s="1"/>
  <c r="AN31" i="55"/>
  <c r="AQ36" i="74" s="1"/>
  <c r="AQ181" i="74" s="1"/>
  <c r="BE148" i="74"/>
  <c r="BE243" i="74" s="1"/>
  <c r="BE242" i="74" s="1"/>
  <c r="BE272" i="74" s="1"/>
  <c r="BB20" i="76"/>
  <c r="BE111" i="74"/>
  <c r="BE232" i="74" s="1"/>
  <c r="BE231" i="74" s="1"/>
  <c r="BE271" i="74" s="1"/>
  <c r="BB20" i="94"/>
  <c r="BE110" i="74" s="1"/>
  <c r="BA37" i="94"/>
  <c r="BC127" i="74"/>
  <c r="AZ38" i="94"/>
  <c r="BC128" i="74" s="1"/>
  <c r="AZ38" i="76"/>
  <c r="BC165" i="74" s="1"/>
  <c r="BC164" i="74"/>
  <c r="BD147" i="74"/>
  <c r="BA37" i="76"/>
  <c r="BE75" i="74"/>
  <c r="BE222" i="74" s="1"/>
  <c r="AM23" i="60"/>
  <c r="AM3" i="88"/>
  <c r="AJ26" i="60" s="1"/>
  <c r="BB4" i="63"/>
  <c r="BA25" i="63" s="1"/>
  <c r="AZ25" i="63"/>
  <c r="AM3" i="59"/>
  <c r="AK15" i="59"/>
  <c r="AM3" i="58"/>
  <c r="AJ38" i="60"/>
  <c r="AJ17" i="60"/>
  <c r="AJ16" i="60"/>
  <c r="AN3" i="57"/>
  <c r="AO24" i="55"/>
  <c r="AO27" i="55" s="1"/>
  <c r="AP5" i="55"/>
  <c r="AO17" i="55"/>
  <c r="AO20" i="55" s="1"/>
  <c r="AM15" i="56" l="1"/>
  <c r="AN28" i="55" s="1"/>
  <c r="AQ33" i="74" s="1"/>
  <c r="AQ177" i="74" s="1"/>
  <c r="AN3" i="56"/>
  <c r="AN14" i="56" s="1"/>
  <c r="AN71" i="55"/>
  <c r="AQ7" i="74" s="1"/>
  <c r="AQ8" i="74"/>
  <c r="AO70" i="55"/>
  <c r="AO72" i="55" s="1"/>
  <c r="AO30" i="55"/>
  <c r="AR35" i="74" s="1"/>
  <c r="AR179" i="74" s="1"/>
  <c r="AL35" i="60"/>
  <c r="AK17" i="60"/>
  <c r="AK16" i="60"/>
  <c r="AN13" i="64"/>
  <c r="AL26" i="64"/>
  <c r="AQ371" i="74"/>
  <c r="AQ372" i="74"/>
  <c r="AQ373" i="74"/>
  <c r="AP374" i="74"/>
  <c r="AQ320" i="74"/>
  <c r="AQ366" i="74"/>
  <c r="AQ368" i="74"/>
  <c r="AR32" i="74"/>
  <c r="AR180" i="74" s="1"/>
  <c r="AR6" i="74"/>
  <c r="AR278" i="74" s="1"/>
  <c r="AO31" i="55"/>
  <c r="AR36" i="74" s="1"/>
  <c r="AR181" i="74" s="1"/>
  <c r="BA38" i="76"/>
  <c r="BD165" i="74" s="1"/>
  <c r="BD164" i="74"/>
  <c r="BA38" i="94"/>
  <c r="BD128" i="74" s="1"/>
  <c r="BD127" i="74"/>
  <c r="BB37" i="94"/>
  <c r="BE147" i="74"/>
  <c r="BB37" i="76"/>
  <c r="AN23" i="60"/>
  <c r="AN3" i="88"/>
  <c r="AK26" i="60" s="1"/>
  <c r="AN3" i="59"/>
  <c r="AL15" i="59"/>
  <c r="AN3" i="58"/>
  <c r="AO3" i="57"/>
  <c r="AP24" i="55"/>
  <c r="AP27" i="55" s="1"/>
  <c r="AQ5" i="55"/>
  <c r="AP17" i="55"/>
  <c r="AP20" i="55" s="1"/>
  <c r="AO3" i="56" l="1"/>
  <c r="AO14" i="56" s="1"/>
  <c r="AN15" i="56"/>
  <c r="AO28" i="55" s="1"/>
  <c r="AR33" i="74" s="1"/>
  <c r="AR177" i="74" s="1"/>
  <c r="AR361" i="74"/>
  <c r="AR362" i="74" s="1"/>
  <c r="AO71" i="55"/>
  <c r="AR7" i="74" s="1"/>
  <c r="AR8" i="74"/>
  <c r="AP70" i="55"/>
  <c r="AP72" i="55" s="1"/>
  <c r="AP30" i="55"/>
  <c r="AS35" i="74" s="1"/>
  <c r="AS179" i="74" s="1"/>
  <c r="AL16" i="60"/>
  <c r="AM35" i="60"/>
  <c r="AM16" i="60" s="1"/>
  <c r="AL38" i="60"/>
  <c r="AL17" i="60"/>
  <c r="AO13" i="64"/>
  <c r="AM26" i="64"/>
  <c r="AR358" i="74"/>
  <c r="AR359" i="74" s="1"/>
  <c r="AR372" i="74"/>
  <c r="AR373" i="74"/>
  <c r="AR371" i="74"/>
  <c r="AQ374" i="74"/>
  <c r="AR320" i="74"/>
  <c r="AR367" i="74"/>
  <c r="AR368" i="74"/>
  <c r="AR366" i="74"/>
  <c r="AS32" i="74"/>
  <c r="AS180" i="74" s="1"/>
  <c r="AS6" i="74"/>
  <c r="AS278" i="74" s="1"/>
  <c r="AP31" i="55"/>
  <c r="AS36" i="74" s="1"/>
  <c r="AS181" i="74" s="1"/>
  <c r="BB38" i="76"/>
  <c r="BE165" i="74" s="1"/>
  <c r="BE164" i="74"/>
  <c r="BB38" i="94"/>
  <c r="BE128" i="74" s="1"/>
  <c r="BE127" i="74"/>
  <c r="AO23" i="60"/>
  <c r="AO3" i="88"/>
  <c r="AL26" i="60" s="1"/>
  <c r="AO3" i="59"/>
  <c r="AM15" i="59"/>
  <c r="AO3" i="58"/>
  <c r="AP3" i="57"/>
  <c r="AP3" i="56"/>
  <c r="AP14" i="56" s="1"/>
  <c r="AQ24" i="55"/>
  <c r="AQ27" i="55" s="1"/>
  <c r="AR5" i="55"/>
  <c r="AQ17" i="55"/>
  <c r="AQ20" i="55" s="1"/>
  <c r="AO15" i="56" l="1"/>
  <c r="AP28" i="55" s="1"/>
  <c r="AS33" i="74" s="1"/>
  <c r="AS177" i="74" s="1"/>
  <c r="AS361" i="74"/>
  <c r="AS362" i="74" s="1"/>
  <c r="AP71" i="55"/>
  <c r="AS7" i="74" s="1"/>
  <c r="AS8" i="74"/>
  <c r="AQ70" i="55"/>
  <c r="AQ72" i="55" s="1"/>
  <c r="AQ30" i="55"/>
  <c r="AT35" i="74" s="1"/>
  <c r="AT179" i="74" s="1"/>
  <c r="AM38" i="60"/>
  <c r="AM17" i="60"/>
  <c r="AN35" i="60"/>
  <c r="AN16" i="60" s="1"/>
  <c r="AP13" i="64"/>
  <c r="AN26" i="64"/>
  <c r="AS358" i="74"/>
  <c r="AS359" i="74" s="1"/>
  <c r="AP15" i="56"/>
  <c r="AR369" i="74"/>
  <c r="AR374" i="74"/>
  <c r="AS373" i="74"/>
  <c r="AS372" i="74"/>
  <c r="AS371" i="74"/>
  <c r="AS320" i="74"/>
  <c r="AS368" i="74"/>
  <c r="AS367" i="74"/>
  <c r="AS366" i="74"/>
  <c r="AT32" i="74"/>
  <c r="AT180" i="74" s="1"/>
  <c r="AT6" i="74"/>
  <c r="AT278" i="74" s="1"/>
  <c r="AQ31" i="55"/>
  <c r="AT36" i="74" s="1"/>
  <c r="AT181" i="74" s="1"/>
  <c r="AP23" i="60"/>
  <c r="AP3" i="88"/>
  <c r="AM26" i="60" s="1"/>
  <c r="AN15" i="59"/>
  <c r="AP3" i="58"/>
  <c r="AP3" i="59"/>
  <c r="AQ3" i="57"/>
  <c r="AQ3" i="56"/>
  <c r="AQ14" i="56" s="1"/>
  <c r="AR24" i="55"/>
  <c r="AR27" i="55" s="1"/>
  <c r="AS5" i="55"/>
  <c r="AR17" i="55"/>
  <c r="AR20" i="55" s="1"/>
  <c r="AT361" i="74" l="1"/>
  <c r="AT362" i="74" s="1"/>
  <c r="AQ71" i="55"/>
  <c r="AT7" i="74" s="1"/>
  <c r="AT8" i="74"/>
  <c r="AR70" i="55"/>
  <c r="AR72" i="55" s="1"/>
  <c r="AR30" i="55"/>
  <c r="AU35" i="74" s="1"/>
  <c r="AU179" i="74" s="1"/>
  <c r="AN38" i="60"/>
  <c r="AN17" i="60"/>
  <c r="AO35" i="60"/>
  <c r="AO16" i="60" s="1"/>
  <c r="AQ13" i="64"/>
  <c r="AO26" i="64"/>
  <c r="AT358" i="74"/>
  <c r="AT359" i="74" s="1"/>
  <c r="AQ15" i="56"/>
  <c r="AS374" i="74"/>
  <c r="AS369" i="74"/>
  <c r="AT371" i="74"/>
  <c r="AT372" i="74"/>
  <c r="AT373" i="74"/>
  <c r="AT320" i="74"/>
  <c r="AT368" i="74"/>
  <c r="AT367" i="74"/>
  <c r="AT366" i="74"/>
  <c r="AU32" i="74"/>
  <c r="AU180" i="74" s="1"/>
  <c r="AU6" i="74"/>
  <c r="AU278" i="74" s="1"/>
  <c r="AR31" i="55"/>
  <c r="AU36" i="74" s="1"/>
  <c r="AU181" i="74" s="1"/>
  <c r="AQ23" i="60"/>
  <c r="AQ3" i="88"/>
  <c r="AN26" i="60" s="1"/>
  <c r="AQ28" i="55"/>
  <c r="AT33" i="74" s="1"/>
  <c r="AT177" i="74" s="1"/>
  <c r="AQ3" i="59"/>
  <c r="AO15" i="59"/>
  <c r="AQ3" i="58"/>
  <c r="AR3" i="57"/>
  <c r="AR3" i="56"/>
  <c r="AR14" i="56" s="1"/>
  <c r="AS24" i="55"/>
  <c r="AS27" i="55" s="1"/>
  <c r="AT5" i="55"/>
  <c r="AS17" i="55"/>
  <c r="AS20" i="55" s="1"/>
  <c r="AU361" i="74" l="1"/>
  <c r="AU362" i="74" s="1"/>
  <c r="AR71" i="55"/>
  <c r="AU7" i="74" s="1"/>
  <c r="AU8" i="74"/>
  <c r="AS70" i="55"/>
  <c r="AS72" i="55" s="1"/>
  <c r="AO38" i="60"/>
  <c r="AS30" i="55"/>
  <c r="AV35" i="74" s="1"/>
  <c r="AV179" i="74" s="1"/>
  <c r="AO17" i="60"/>
  <c r="AP35" i="60"/>
  <c r="AR13" i="64"/>
  <c r="AP26" i="64"/>
  <c r="AU358" i="74"/>
  <c r="AU359" i="74" s="1"/>
  <c r="AR15" i="56"/>
  <c r="AT369" i="74"/>
  <c r="AU373" i="74"/>
  <c r="AU372" i="74"/>
  <c r="AU371" i="74"/>
  <c r="AT374" i="74"/>
  <c r="AU320" i="74"/>
  <c r="AU368" i="74"/>
  <c r="AU367" i="74"/>
  <c r="AU366" i="74"/>
  <c r="AV32" i="74"/>
  <c r="AV180" i="74" s="1"/>
  <c r="AV6" i="74"/>
  <c r="AV278" i="74" s="1"/>
  <c r="AS31" i="55"/>
  <c r="AV36" i="74" s="1"/>
  <c r="AV181" i="74" s="1"/>
  <c r="AR23" i="60"/>
  <c r="AR3" i="88"/>
  <c r="AO26" i="60" s="1"/>
  <c r="AR28" i="55"/>
  <c r="AU33" i="74" s="1"/>
  <c r="AU177" i="74" s="1"/>
  <c r="AR3" i="58"/>
  <c r="AR3" i="59"/>
  <c r="AP15" i="59"/>
  <c r="AS3" i="57"/>
  <c r="AS3" i="56"/>
  <c r="AS14" i="56" s="1"/>
  <c r="AU5" i="55"/>
  <c r="AV5" i="55" s="1"/>
  <c r="AT24" i="55"/>
  <c r="AT27" i="55" s="1"/>
  <c r="AT17" i="55"/>
  <c r="AT20" i="55" s="1"/>
  <c r="AV361" i="74" l="1"/>
  <c r="AV362" i="74" s="1"/>
  <c r="AS71" i="55"/>
  <c r="AV7" i="74" s="1"/>
  <c r="AV8" i="74"/>
  <c r="AT70" i="55"/>
  <c r="AT72" i="55" s="1"/>
  <c r="AT30" i="55"/>
  <c r="AW35" i="74" s="1"/>
  <c r="AW179" i="74" s="1"/>
  <c r="AP16" i="60"/>
  <c r="AQ35" i="60"/>
  <c r="AQ38" i="60" s="1"/>
  <c r="AP38" i="60"/>
  <c r="AP17" i="60"/>
  <c r="AS13" i="64"/>
  <c r="AQ26" i="64"/>
  <c r="AV358" i="74"/>
  <c r="AV359" i="74" s="1"/>
  <c r="AS15" i="56"/>
  <c r="AU369" i="74"/>
  <c r="AU374" i="74"/>
  <c r="AV371" i="74"/>
  <c r="AV372" i="74"/>
  <c r="AV373" i="74"/>
  <c r="AV320" i="74"/>
  <c r="AV366" i="74"/>
  <c r="AV367" i="74"/>
  <c r="AV368" i="74"/>
  <c r="AW32" i="74"/>
  <c r="AW180" i="74" s="1"/>
  <c r="AW6" i="74"/>
  <c r="AW278" i="74" s="1"/>
  <c r="AT31" i="55"/>
  <c r="AW36" i="74" s="1"/>
  <c r="AW181" i="74" s="1"/>
  <c r="AS23" i="60"/>
  <c r="AW5" i="55"/>
  <c r="AV24" i="55"/>
  <c r="AV27" i="55" s="1"/>
  <c r="AV17" i="55"/>
  <c r="AS3" i="88"/>
  <c r="AP26" i="60" s="1"/>
  <c r="AS28" i="55"/>
  <c r="AV33" i="74" s="1"/>
  <c r="AV177" i="74" s="1"/>
  <c r="AS3" i="59"/>
  <c r="AQ15" i="59"/>
  <c r="AS3" i="58"/>
  <c r="AT3" i="57"/>
  <c r="AT3" i="56"/>
  <c r="AT14" i="56" s="1"/>
  <c r="AU24" i="55"/>
  <c r="AU27" i="55" s="1"/>
  <c r="AU17" i="55"/>
  <c r="AW361" i="74" l="1"/>
  <c r="AW362" i="74" s="1"/>
  <c r="AT71" i="55"/>
  <c r="AW7" i="74" s="1"/>
  <c r="AW8" i="74"/>
  <c r="AU70" i="55"/>
  <c r="AU72" i="55" s="1"/>
  <c r="AX8" i="74" s="1"/>
  <c r="AV70" i="55"/>
  <c r="AV72" i="55" s="1"/>
  <c r="AU30" i="55"/>
  <c r="AX35" i="74" s="1"/>
  <c r="AX179" i="74" s="1"/>
  <c r="AV30" i="55"/>
  <c r="AY35" i="74" s="1"/>
  <c r="AY179" i="74" s="1"/>
  <c r="AR35" i="60"/>
  <c r="AR16" i="60" s="1"/>
  <c r="AQ17" i="60"/>
  <c r="AQ16" i="60"/>
  <c r="AT13" i="64"/>
  <c r="AR26" i="64"/>
  <c r="AW358" i="74"/>
  <c r="AW359" i="74" s="1"/>
  <c r="AT15" i="56"/>
  <c r="AW371" i="74"/>
  <c r="AW372" i="74"/>
  <c r="AW373" i="74"/>
  <c r="AV374" i="74"/>
  <c r="AW320" i="74"/>
  <c r="AW366" i="74"/>
  <c r="AW367" i="74"/>
  <c r="AW368" i="74"/>
  <c r="AV369" i="74"/>
  <c r="AX32" i="74"/>
  <c r="AX180" i="74" s="1"/>
  <c r="AV31" i="55"/>
  <c r="AY36" i="74" s="1"/>
  <c r="AY181" i="74" s="1"/>
  <c r="AY32" i="74"/>
  <c r="AY180" i="74" s="1"/>
  <c r="AX6" i="74"/>
  <c r="AX278" i="74" s="1"/>
  <c r="AU31" i="55"/>
  <c r="AX36" i="74" s="1"/>
  <c r="AX181" i="74" s="1"/>
  <c r="AU3" i="57"/>
  <c r="AV20" i="55"/>
  <c r="AY6" i="74"/>
  <c r="AT23" i="60"/>
  <c r="AU3" i="56"/>
  <c r="AU14" i="56" s="1"/>
  <c r="AW24" i="55"/>
  <c r="AW27" i="55" s="1"/>
  <c r="AX5" i="55"/>
  <c r="AW17" i="55"/>
  <c r="AW20" i="55" s="1"/>
  <c r="AT3" i="88"/>
  <c r="AQ26" i="60" s="1"/>
  <c r="AT28" i="55"/>
  <c r="AW33" i="74" s="1"/>
  <c r="AW177" i="74" s="1"/>
  <c r="AT3" i="59"/>
  <c r="AR15" i="59"/>
  <c r="AT3" i="58"/>
  <c r="AU3" i="58" s="1"/>
  <c r="AU20" i="55"/>
  <c r="E22" i="55" s="1"/>
  <c r="D17" i="55"/>
  <c r="AY285" i="74" l="1"/>
  <c r="AY278" i="74"/>
  <c r="AX361" i="74"/>
  <c r="AX362" i="74" s="1"/>
  <c r="AY361" i="74"/>
  <c r="AY362" i="74" s="1"/>
  <c r="AV71" i="55"/>
  <c r="AY7" i="74" s="1"/>
  <c r="AY8" i="74"/>
  <c r="AU71" i="55"/>
  <c r="AX7" i="74" s="1"/>
  <c r="AW70" i="55"/>
  <c r="AW72" i="55" s="1"/>
  <c r="AR38" i="60"/>
  <c r="AR17" i="60"/>
  <c r="AS35" i="60"/>
  <c r="AS16" i="60" s="1"/>
  <c r="AW30" i="55"/>
  <c r="AZ35" i="74" s="1"/>
  <c r="AZ179" i="74" s="1"/>
  <c r="AU13" i="64"/>
  <c r="AS26" i="64"/>
  <c r="AU3" i="59"/>
  <c r="AV3" i="59" s="1"/>
  <c r="AY358" i="74"/>
  <c r="AY359" i="74" s="1"/>
  <c r="AX358" i="74"/>
  <c r="AX359" i="74" s="1"/>
  <c r="AU15" i="56"/>
  <c r="AV28" i="55" s="1"/>
  <c r="AY33" i="74" s="1"/>
  <c r="AY177" i="74" s="1"/>
  <c r="AV3" i="57"/>
  <c r="AV13" i="57" s="1"/>
  <c r="AX371" i="74"/>
  <c r="AX372" i="74"/>
  <c r="AX373" i="74"/>
  <c r="AY371" i="74"/>
  <c r="AY372" i="74"/>
  <c r="AY373" i="74"/>
  <c r="AW374" i="74"/>
  <c r="AY320" i="74"/>
  <c r="AY366" i="74"/>
  <c r="AY367" i="74"/>
  <c r="AY368" i="74"/>
  <c r="AW369" i="74"/>
  <c r="AX320" i="74"/>
  <c r="AX368" i="74"/>
  <c r="AX366" i="74"/>
  <c r="AX367" i="74"/>
  <c r="AW31" i="55"/>
  <c r="AZ36" i="74" s="1"/>
  <c r="AZ181" i="74" s="1"/>
  <c r="AZ32" i="74"/>
  <c r="AZ180" i="74" s="1"/>
  <c r="AU3" i="88"/>
  <c r="AR26" i="60" s="1"/>
  <c r="AZ6" i="74"/>
  <c r="AZ285" i="74" s="1"/>
  <c r="AU23" i="60"/>
  <c r="AV3" i="58"/>
  <c r="AV3" i="56"/>
  <c r="AV14" i="56" s="1"/>
  <c r="AX24" i="55"/>
  <c r="AX27" i="55" s="1"/>
  <c r="AY5" i="55"/>
  <c r="AX17" i="55"/>
  <c r="AX20" i="55" s="1"/>
  <c r="AU28" i="55"/>
  <c r="AS15" i="59"/>
  <c r="AZ361" i="74" l="1"/>
  <c r="AZ362" i="74" s="1"/>
  <c r="AZ278" i="74"/>
  <c r="AW3" i="57"/>
  <c r="AW13" i="57" s="1"/>
  <c r="AW71" i="55"/>
  <c r="AZ7" i="74" s="1"/>
  <c r="AZ8" i="74"/>
  <c r="AX70" i="55"/>
  <c r="AX72" i="55" s="1"/>
  <c r="AS38" i="60"/>
  <c r="AS17" i="60"/>
  <c r="AT35" i="60"/>
  <c r="AT38" i="60" s="1"/>
  <c r="AX30" i="55"/>
  <c r="BA35" i="74" s="1"/>
  <c r="BA179" i="74" s="1"/>
  <c r="AV13" i="64"/>
  <c r="AT26" i="64"/>
  <c r="AV3" i="88"/>
  <c r="AZ358" i="74"/>
  <c r="AZ359" i="74" s="1"/>
  <c r="AV15" i="56"/>
  <c r="AW28" i="55" s="1"/>
  <c r="AZ33" i="74" s="1"/>
  <c r="AZ177" i="74" s="1"/>
  <c r="AX369" i="74"/>
  <c r="AZ371" i="74"/>
  <c r="AZ372" i="74"/>
  <c r="AZ373" i="74"/>
  <c r="AY374" i="74"/>
  <c r="AX374" i="74"/>
  <c r="AY369" i="74"/>
  <c r="AZ320" i="74"/>
  <c r="AZ366" i="74"/>
  <c r="AZ367" i="74"/>
  <c r="AZ368" i="74"/>
  <c r="AX31" i="55"/>
  <c r="BA36" i="74" s="1"/>
  <c r="BA181" i="74" s="1"/>
  <c r="BA32" i="74"/>
  <c r="BA180" i="74" s="1"/>
  <c r="BA6" i="74"/>
  <c r="BA285" i="74" s="1"/>
  <c r="AV23" i="60"/>
  <c r="AW3" i="59"/>
  <c r="AW3" i="58"/>
  <c r="AW3" i="56"/>
  <c r="AW14" i="56" s="1"/>
  <c r="AY24" i="55"/>
  <c r="AY27" i="55" s="1"/>
  <c r="AZ5" i="55"/>
  <c r="AY17" i="55"/>
  <c r="AY20" i="55" s="1"/>
  <c r="AX33" i="74"/>
  <c r="AX177" i="74" s="1"/>
  <c r="AX3" i="57" l="1"/>
  <c r="AX13" i="57" s="1"/>
  <c r="BA361" i="74"/>
  <c r="BA362" i="74" s="1"/>
  <c r="BA278" i="74"/>
  <c r="AX71" i="55"/>
  <c r="BA7" i="74" s="1"/>
  <c r="BA8" i="74"/>
  <c r="AY70" i="55"/>
  <c r="AY72" i="55" s="1"/>
  <c r="AT17" i="60"/>
  <c r="AU35" i="60"/>
  <c r="AU38" i="60" s="1"/>
  <c r="AT16" i="60"/>
  <c r="AY30" i="55"/>
  <c r="BB35" i="74" s="1"/>
  <c r="BB179" i="74" s="1"/>
  <c r="AW3" i="88"/>
  <c r="AT26" i="60" s="1"/>
  <c r="AS26" i="60"/>
  <c r="AW13" i="64"/>
  <c r="AU26" i="64"/>
  <c r="BA358" i="74"/>
  <c r="BA359" i="74" s="1"/>
  <c r="AW15" i="56"/>
  <c r="AX28" i="55" s="1"/>
  <c r="BA33" i="74" s="1"/>
  <c r="BA177" i="74" s="1"/>
  <c r="BA371" i="74"/>
  <c r="BA372" i="74"/>
  <c r="BA373" i="74"/>
  <c r="AZ374" i="74"/>
  <c r="AZ369" i="74"/>
  <c r="BA320" i="74"/>
  <c r="BA366" i="74"/>
  <c r="BA367" i="74"/>
  <c r="BA368" i="74"/>
  <c r="AY31" i="55"/>
  <c r="BB36" i="74" s="1"/>
  <c r="BB181" i="74" s="1"/>
  <c r="BB32" i="74"/>
  <c r="BB180" i="74" s="1"/>
  <c r="BB6" i="74"/>
  <c r="AW23" i="60"/>
  <c r="AX3" i="59"/>
  <c r="AX3" i="58"/>
  <c r="AX3" i="56"/>
  <c r="AX14" i="56" s="1"/>
  <c r="AZ24" i="55"/>
  <c r="AZ27" i="55" s="1"/>
  <c r="BA5" i="55"/>
  <c r="AZ17" i="55"/>
  <c r="AZ20" i="55" s="1"/>
  <c r="AT15" i="59"/>
  <c r="G28" i="52"/>
  <c r="G27" i="52"/>
  <c r="G26" i="52"/>
  <c r="H22" i="52"/>
  <c r="H21" i="52"/>
  <c r="H19" i="52"/>
  <c r="H18" i="52"/>
  <c r="H15" i="52"/>
  <c r="H14" i="52"/>
  <c r="H13" i="52"/>
  <c r="H12" i="52"/>
  <c r="H10" i="52"/>
  <c r="H9" i="52"/>
  <c r="J8" i="52"/>
  <c r="J106" i="52" s="1"/>
  <c r="AY3" i="57" l="1"/>
  <c r="AY13" i="57" s="1"/>
  <c r="BB285" i="74"/>
  <c r="BB286" i="74"/>
  <c r="BB361" i="74"/>
  <c r="BB362" i="74" s="1"/>
  <c r="BB278" i="74"/>
  <c r="AY71" i="55"/>
  <c r="BB7" i="74" s="1"/>
  <c r="BB8" i="74"/>
  <c r="AU17" i="60"/>
  <c r="AZ70" i="55"/>
  <c r="AZ72" i="55" s="1"/>
  <c r="AV35" i="60"/>
  <c r="AW35" i="60" s="1"/>
  <c r="AU16" i="60"/>
  <c r="AX3" i="88"/>
  <c r="AU26" i="60" s="1"/>
  <c r="AZ30" i="55"/>
  <c r="BC35" i="74" s="1"/>
  <c r="BC179" i="74" s="1"/>
  <c r="AX13" i="64"/>
  <c r="AV26" i="64"/>
  <c r="BB358" i="74"/>
  <c r="BB359" i="74" s="1"/>
  <c r="AX15" i="56"/>
  <c r="AY28" i="55" s="1"/>
  <c r="BB33" i="74" s="1"/>
  <c r="BB177" i="74" s="1"/>
  <c r="BB383" i="74"/>
  <c r="BB384" i="74"/>
  <c r="BB385" i="74"/>
  <c r="BB380" i="74"/>
  <c r="BB379" i="74"/>
  <c r="BB378" i="74"/>
  <c r="BB371" i="74"/>
  <c r="BB372" i="74"/>
  <c r="BB373" i="74"/>
  <c r="BA374" i="74"/>
  <c r="BA369" i="74"/>
  <c r="BB320" i="74"/>
  <c r="BB366" i="74"/>
  <c r="BB367" i="74"/>
  <c r="BB368" i="74"/>
  <c r="AZ31" i="55"/>
  <c r="BC36" i="74" s="1"/>
  <c r="BC181" i="74" s="1"/>
  <c r="BC32" i="74"/>
  <c r="BC180" i="74" s="1"/>
  <c r="BC6" i="74"/>
  <c r="AX23" i="60"/>
  <c r="AY3" i="59"/>
  <c r="AY3" i="58"/>
  <c r="AY3" i="56"/>
  <c r="AY14" i="56" s="1"/>
  <c r="BB5" i="55"/>
  <c r="BA24" i="55"/>
  <c r="BA27" i="55" s="1"/>
  <c r="BA17" i="55"/>
  <c r="BA20" i="55" s="1"/>
  <c r="J290" i="52"/>
  <c r="J257" i="52"/>
  <c r="J289" i="52"/>
  <c r="J256" i="52"/>
  <c r="J223" i="52"/>
  <c r="J191" i="52"/>
  <c r="J157" i="52"/>
  <c r="J123" i="52"/>
  <c r="J91" i="52"/>
  <c r="J292" i="52"/>
  <c r="J291" i="52"/>
  <c r="J224" i="52"/>
  <c r="J193" i="52"/>
  <c r="J93" i="52"/>
  <c r="J59" i="52"/>
  <c r="J126" i="52"/>
  <c r="J159" i="52"/>
  <c r="J124" i="52"/>
  <c r="J194" i="52"/>
  <c r="J158" i="52"/>
  <c r="J60" i="52"/>
  <c r="J58" i="52"/>
  <c r="J226" i="52"/>
  <c r="J259" i="52"/>
  <c r="J125" i="52"/>
  <c r="J192" i="52"/>
  <c r="J258" i="52"/>
  <c r="J225" i="52"/>
  <c r="J160" i="52"/>
  <c r="J94" i="52"/>
  <c r="J61" i="52"/>
  <c r="J92" i="52"/>
  <c r="H11" i="52"/>
  <c r="J56" i="45"/>
  <c r="J251" i="52"/>
  <c r="J244" i="52"/>
  <c r="J240" i="52"/>
  <c r="J281" i="52"/>
  <c r="J219" i="52"/>
  <c r="J248" i="52"/>
  <c r="J239" i="52"/>
  <c r="J243" i="52"/>
  <c r="J218" i="52"/>
  <c r="J285" i="52"/>
  <c r="J273" i="52"/>
  <c r="J277" i="52"/>
  <c r="J276" i="52"/>
  <c r="J186" i="52"/>
  <c r="J176" i="52"/>
  <c r="J184" i="52"/>
  <c r="J153" i="52"/>
  <c r="J241" i="52"/>
  <c r="J210" i="52"/>
  <c r="J208" i="52"/>
  <c r="J181" i="52"/>
  <c r="J178" i="52"/>
  <c r="J272" i="52"/>
  <c r="J245" i="52"/>
  <c r="J183" i="52"/>
  <c r="J175" i="52"/>
  <c r="J152" i="52"/>
  <c r="J215" i="52"/>
  <c r="J284" i="52"/>
  <c r="J207" i="52"/>
  <c r="J211" i="52"/>
  <c r="J206" i="52"/>
  <c r="J140" i="52"/>
  <c r="J212" i="52"/>
  <c r="J118" i="52"/>
  <c r="J115" i="52"/>
  <c r="J180" i="52"/>
  <c r="J146" i="52"/>
  <c r="J177" i="52"/>
  <c r="J174" i="52"/>
  <c r="J187" i="52"/>
  <c r="J145" i="52"/>
  <c r="J142" i="52"/>
  <c r="J107" i="52"/>
  <c r="J110" i="52"/>
  <c r="J252" i="52"/>
  <c r="J149" i="52"/>
  <c r="J144" i="52"/>
  <c r="J119" i="52"/>
  <c r="J50" i="52"/>
  <c r="J75" i="52"/>
  <c r="J46" i="52"/>
  <c r="J54" i="52"/>
  <c r="J53" i="52"/>
  <c r="J79" i="52"/>
  <c r="J74" i="52"/>
  <c r="J45" i="52"/>
  <c r="J42" i="52"/>
  <c r="J86" i="52"/>
  <c r="J87" i="52"/>
  <c r="J78" i="52"/>
  <c r="J41" i="52"/>
  <c r="J141" i="52"/>
  <c r="J83" i="52"/>
  <c r="J249" i="52"/>
  <c r="J282" i="52"/>
  <c r="J279" i="52"/>
  <c r="J214" i="52"/>
  <c r="J213" i="52"/>
  <c r="J250" i="52"/>
  <c r="J147" i="52"/>
  <c r="J247" i="52"/>
  <c r="J182" i="52"/>
  <c r="J274" i="52"/>
  <c r="J275" i="52"/>
  <c r="J278" i="52"/>
  <c r="J209" i="52"/>
  <c r="J216" i="52"/>
  <c r="J179" i="52"/>
  <c r="J109" i="52"/>
  <c r="J116" i="52"/>
  <c r="J246" i="52"/>
  <c r="J112" i="52"/>
  <c r="J117" i="52"/>
  <c r="J151" i="52"/>
  <c r="J76" i="52"/>
  <c r="J185" i="52"/>
  <c r="J113" i="52"/>
  <c r="J108" i="52"/>
  <c r="J111" i="52"/>
  <c r="J150" i="52"/>
  <c r="J80" i="52"/>
  <c r="J85" i="52"/>
  <c r="J51" i="52"/>
  <c r="J280" i="52"/>
  <c r="J47" i="52"/>
  <c r="J84" i="52"/>
  <c r="J49" i="52"/>
  <c r="J81" i="52"/>
  <c r="J48" i="52"/>
  <c r="J43" i="52"/>
  <c r="J242" i="52"/>
  <c r="J44" i="52"/>
  <c r="J52" i="52"/>
  <c r="J148" i="52"/>
  <c r="J143" i="52"/>
  <c r="J77" i="52"/>
  <c r="J283" i="52"/>
  <c r="J114" i="52"/>
  <c r="J217" i="52"/>
  <c r="J82" i="52"/>
  <c r="H16" i="52"/>
  <c r="J17" i="52"/>
  <c r="J19" i="52"/>
  <c r="J9" i="52"/>
  <c r="J10" i="52"/>
  <c r="J16" i="52"/>
  <c r="J21" i="52"/>
  <c r="J12" i="52"/>
  <c r="J11" i="52"/>
  <c r="K8" i="52"/>
  <c r="J25" i="52"/>
  <c r="J22" i="52"/>
  <c r="J13" i="52"/>
  <c r="J14" i="52"/>
  <c r="J15" i="52"/>
  <c r="J18" i="52"/>
  <c r="F26" i="52"/>
  <c r="F27" i="52"/>
  <c r="J20" i="52"/>
  <c r="AZ3" i="57" l="1"/>
  <c r="AZ13" i="57" s="1"/>
  <c r="BC285" i="74"/>
  <c r="BC286" i="74"/>
  <c r="AV16" i="60"/>
  <c r="BC361" i="74"/>
  <c r="BC362" i="74" s="1"/>
  <c r="BC278" i="74"/>
  <c r="AZ71" i="55"/>
  <c r="BC7" i="74" s="1"/>
  <c r="BC8" i="74"/>
  <c r="BA70" i="55"/>
  <c r="BA72" i="55" s="1"/>
  <c r="AV38" i="60"/>
  <c r="AV17" i="60"/>
  <c r="AY3" i="88"/>
  <c r="AV26" i="60" s="1"/>
  <c r="BA30" i="55"/>
  <c r="BD35" i="74" s="1"/>
  <c r="BD179" i="74" s="1"/>
  <c r="AY13" i="64"/>
  <c r="AW26" i="64"/>
  <c r="BC358" i="74"/>
  <c r="BC359" i="74" s="1"/>
  <c r="AY15" i="56"/>
  <c r="AZ28" i="55" s="1"/>
  <c r="BC33" i="74" s="1"/>
  <c r="BC177" i="74" s="1"/>
  <c r="BB381" i="74"/>
  <c r="BC383" i="74"/>
  <c r="BC384" i="74"/>
  <c r="BC385" i="74"/>
  <c r="BC378" i="74"/>
  <c r="BC380" i="74"/>
  <c r="BC379" i="74"/>
  <c r="BB386" i="74"/>
  <c r="BC371" i="74"/>
  <c r="BC372" i="74"/>
  <c r="BC373" i="74"/>
  <c r="BB374" i="74"/>
  <c r="BB369" i="74"/>
  <c r="BC320" i="74"/>
  <c r="BC366" i="74"/>
  <c r="BC367" i="74"/>
  <c r="BC368" i="74"/>
  <c r="BA31" i="55"/>
  <c r="BD36" i="74" s="1"/>
  <c r="BD181" i="74" s="1"/>
  <c r="BD32" i="74"/>
  <c r="BD180" i="74" s="1"/>
  <c r="BD6" i="74"/>
  <c r="AX35" i="60"/>
  <c r="AW17" i="60"/>
  <c r="AW38" i="60"/>
  <c r="AW16" i="60"/>
  <c r="AZ3" i="59"/>
  <c r="AZ3" i="58"/>
  <c r="AZ3" i="56"/>
  <c r="AZ14" i="56" s="1"/>
  <c r="BB24" i="55"/>
  <c r="BB27" i="55" s="1"/>
  <c r="BB17" i="55"/>
  <c r="BB20" i="55" s="1"/>
  <c r="J58" i="45"/>
  <c r="G34" i="45" s="1"/>
  <c r="C5" i="102" s="1" a="1"/>
  <c r="G56" i="45"/>
  <c r="B8" i="103" s="1"/>
  <c r="K257" i="52"/>
  <c r="K290" i="52"/>
  <c r="K292" i="52"/>
  <c r="K93" i="52"/>
  <c r="K258" i="52"/>
  <c r="K59" i="52"/>
  <c r="K289" i="52"/>
  <c r="K157" i="52"/>
  <c r="K226" i="52"/>
  <c r="K159" i="52"/>
  <c r="K192" i="52"/>
  <c r="K158" i="52"/>
  <c r="K126" i="52"/>
  <c r="K125" i="52"/>
  <c r="K94" i="52"/>
  <c r="K92" i="52"/>
  <c r="K194" i="52"/>
  <c r="K256" i="52"/>
  <c r="K193" i="52"/>
  <c r="K223" i="52"/>
  <c r="K91" i="52"/>
  <c r="K291" i="52"/>
  <c r="K123" i="52"/>
  <c r="K58" i="52"/>
  <c r="K191" i="52"/>
  <c r="K160" i="52"/>
  <c r="K61" i="52"/>
  <c r="K259" i="52"/>
  <c r="K224" i="52"/>
  <c r="K225" i="52"/>
  <c r="H27" i="52"/>
  <c r="K27" i="52"/>
  <c r="J27" i="52"/>
  <c r="K60" i="52"/>
  <c r="K124" i="52"/>
  <c r="H26" i="52"/>
  <c r="J26" i="52"/>
  <c r="K26" i="52"/>
  <c r="J83" i="45"/>
  <c r="J80" i="45"/>
  <c r="K281" i="52"/>
  <c r="K249" i="52"/>
  <c r="K219" i="52"/>
  <c r="K212" i="52"/>
  <c r="K248" i="52"/>
  <c r="K239" i="52"/>
  <c r="K279" i="52"/>
  <c r="K243" i="52"/>
  <c r="K218" i="52"/>
  <c r="K285" i="52"/>
  <c r="K273" i="52"/>
  <c r="K215" i="52"/>
  <c r="K277" i="52"/>
  <c r="K284" i="52"/>
  <c r="K272" i="52"/>
  <c r="K252" i="52"/>
  <c r="K245" i="52"/>
  <c r="K241" i="52"/>
  <c r="K251" i="52"/>
  <c r="K244" i="52"/>
  <c r="K240" i="52"/>
  <c r="K213" i="52"/>
  <c r="K246" i="52"/>
  <c r="K184" i="52"/>
  <c r="K182" i="52"/>
  <c r="K153" i="52"/>
  <c r="K210" i="52"/>
  <c r="K209" i="52"/>
  <c r="K208" i="52"/>
  <c r="K181" i="52"/>
  <c r="K178" i="52"/>
  <c r="K183" i="52"/>
  <c r="K207" i="52"/>
  <c r="K187" i="52"/>
  <c r="K186" i="52"/>
  <c r="K118" i="52"/>
  <c r="K115" i="52"/>
  <c r="K146" i="52"/>
  <c r="K174" i="52"/>
  <c r="K206" i="52"/>
  <c r="K175" i="52"/>
  <c r="K152" i="52"/>
  <c r="K145" i="52"/>
  <c r="K142" i="52"/>
  <c r="K107" i="52"/>
  <c r="K276" i="52"/>
  <c r="K110" i="52"/>
  <c r="K211" i="52"/>
  <c r="K141" i="52"/>
  <c r="K106" i="52"/>
  <c r="K140" i="52"/>
  <c r="K116" i="52"/>
  <c r="K75" i="52"/>
  <c r="K46" i="52"/>
  <c r="K81" i="52"/>
  <c r="K80" i="52"/>
  <c r="K54" i="52"/>
  <c r="K150" i="52"/>
  <c r="K79" i="52"/>
  <c r="K74" i="52"/>
  <c r="K45" i="52"/>
  <c r="K42" i="52"/>
  <c r="K86" i="52"/>
  <c r="K53" i="52"/>
  <c r="K41" i="52"/>
  <c r="K144" i="52"/>
  <c r="K87" i="52"/>
  <c r="K84" i="52"/>
  <c r="K78" i="52"/>
  <c r="K119" i="52"/>
  <c r="K83" i="52"/>
  <c r="K149" i="52"/>
  <c r="K76" i="52"/>
  <c r="K50" i="52"/>
  <c r="K48" i="52"/>
  <c r="K176" i="52"/>
  <c r="K177" i="52"/>
  <c r="K180" i="52"/>
  <c r="K280" i="52"/>
  <c r="K282" i="52"/>
  <c r="K250" i="52"/>
  <c r="K214" i="52"/>
  <c r="K274" i="52"/>
  <c r="K275" i="52"/>
  <c r="K278" i="52"/>
  <c r="K247" i="52"/>
  <c r="K109" i="52"/>
  <c r="K179" i="52"/>
  <c r="K147" i="52"/>
  <c r="K113" i="52"/>
  <c r="K108" i="52"/>
  <c r="K117" i="52"/>
  <c r="K151" i="52"/>
  <c r="K185" i="52"/>
  <c r="K216" i="52"/>
  <c r="K112" i="52"/>
  <c r="K85" i="52"/>
  <c r="K51" i="52"/>
  <c r="K49" i="52"/>
  <c r="K47" i="52"/>
  <c r="K111" i="52"/>
  <c r="K43" i="52"/>
  <c r="K44" i="52"/>
  <c r="K283" i="52"/>
  <c r="K143" i="52"/>
  <c r="K114" i="52"/>
  <c r="K82" i="52"/>
  <c r="K217" i="52"/>
  <c r="K77" i="52"/>
  <c r="K242" i="52"/>
  <c r="K148" i="52"/>
  <c r="K52" i="52"/>
  <c r="H20" i="52"/>
  <c r="F29" i="52"/>
  <c r="K20" i="52"/>
  <c r="K10" i="52"/>
  <c r="K12" i="52"/>
  <c r="K11" i="52"/>
  <c r="K17" i="52"/>
  <c r="K21" i="52"/>
  <c r="K22" i="52"/>
  <c r="K13" i="52"/>
  <c r="K14" i="52"/>
  <c r="L8" i="52"/>
  <c r="L26" i="52" s="1"/>
  <c r="K15" i="52"/>
  <c r="K25" i="52"/>
  <c r="K16" i="52"/>
  <c r="K19" i="52"/>
  <c r="K9" i="52"/>
  <c r="K18" i="52"/>
  <c r="F28" i="52"/>
  <c r="H17" i="52"/>
  <c r="BA3" i="57" l="1"/>
  <c r="BA13" i="57" s="1"/>
  <c r="BD285" i="74"/>
  <c r="BD286" i="74"/>
  <c r="BD361" i="74"/>
  <c r="BD362" i="74" s="1"/>
  <c r="BD278" i="74"/>
  <c r="BH10" i="103"/>
  <c r="BL10" i="103"/>
  <c r="BD10" i="103"/>
  <c r="BE10" i="103"/>
  <c r="BM10" i="103"/>
  <c r="BU10" i="103"/>
  <c r="CC10" i="103"/>
  <c r="BF10" i="103"/>
  <c r="BN10" i="103"/>
  <c r="BV10" i="103"/>
  <c r="CD10" i="103"/>
  <c r="BP10" i="103"/>
  <c r="BX10" i="103"/>
  <c r="BA10" i="103"/>
  <c r="BI10" i="103"/>
  <c r="BQ10" i="103"/>
  <c r="BY10" i="103"/>
  <c r="BB10" i="103"/>
  <c r="BJ10" i="103"/>
  <c r="BZ10" i="103"/>
  <c r="BK10" i="103"/>
  <c r="BS10" i="103"/>
  <c r="BT10" i="103"/>
  <c r="BG10" i="103"/>
  <c r="BO10" i="103"/>
  <c r="BW10" i="103"/>
  <c r="BR10" i="103"/>
  <c r="BC10" i="103"/>
  <c r="CA10" i="103"/>
  <c r="CB10" i="103"/>
  <c r="D10" i="103"/>
  <c r="AU10" i="103"/>
  <c r="AT10" i="103"/>
  <c r="AZ10" i="103"/>
  <c r="Q10" i="103"/>
  <c r="AM10" i="103"/>
  <c r="AO10" i="103"/>
  <c r="AL10" i="103"/>
  <c r="AR10" i="103"/>
  <c r="C10" i="103"/>
  <c r="I10" i="103"/>
  <c r="L10" i="103"/>
  <c r="AE10" i="103"/>
  <c r="AG10" i="103"/>
  <c r="AD10" i="103"/>
  <c r="AJ10" i="103"/>
  <c r="O10" i="103"/>
  <c r="N10" i="103"/>
  <c r="AV10" i="103"/>
  <c r="R10" i="103"/>
  <c r="P10" i="103"/>
  <c r="B10" i="103"/>
  <c r="AQ10" i="103"/>
  <c r="W10" i="103"/>
  <c r="Y10" i="103"/>
  <c r="V10" i="103"/>
  <c r="AB10" i="103"/>
  <c r="H10" i="103"/>
  <c r="F10" i="103"/>
  <c r="AS10" i="103"/>
  <c r="AX10" i="103"/>
  <c r="AP10" i="103"/>
  <c r="AN10" i="103"/>
  <c r="AK10" i="103"/>
  <c r="AY10" i="103"/>
  <c r="K10" i="103"/>
  <c r="U10" i="103"/>
  <c r="AH10" i="103"/>
  <c r="AF10" i="103"/>
  <c r="AC10" i="103"/>
  <c r="J10" i="103"/>
  <c r="M10" i="103"/>
  <c r="Z10" i="103"/>
  <c r="X10" i="103"/>
  <c r="S10" i="103"/>
  <c r="AI10" i="103"/>
  <c r="G10" i="103"/>
  <c r="E10" i="103"/>
  <c r="AW10" i="103"/>
  <c r="AA10" i="103"/>
  <c r="T10" i="103"/>
  <c r="BA71" i="55"/>
  <c r="BD7" i="74" s="1"/>
  <c r="BD8" i="74"/>
  <c r="BB70" i="55"/>
  <c r="BB72" i="55" s="1"/>
  <c r="AZ3" i="88"/>
  <c r="AW26" i="60" s="1"/>
  <c r="G83" i="45"/>
  <c r="E51" i="54" s="1"/>
  <c r="AZ18" i="56" s="1"/>
  <c r="J84" i="45"/>
  <c r="G84" i="45" s="1"/>
  <c r="H37" i="55"/>
  <c r="H76" i="55" s="1"/>
  <c r="K12" i="74" s="1"/>
  <c r="G37" i="55"/>
  <c r="I37" i="55"/>
  <c r="I76" i="55" s="1"/>
  <c r="L12" i="74" s="1"/>
  <c r="K37" i="55"/>
  <c r="K76" i="55" s="1"/>
  <c r="N12" i="74" s="1"/>
  <c r="J37" i="55"/>
  <c r="J76" i="55" s="1"/>
  <c r="M12" i="74" s="1"/>
  <c r="L37" i="55"/>
  <c r="L76" i="55" s="1"/>
  <c r="O12" i="74" s="1"/>
  <c r="M37" i="55"/>
  <c r="M76" i="55" s="1"/>
  <c r="P12" i="74" s="1"/>
  <c r="O37" i="55"/>
  <c r="O76" i="55" s="1"/>
  <c r="R12" i="74" s="1"/>
  <c r="N37" i="55"/>
  <c r="N76" i="55" s="1"/>
  <c r="Q12" i="74" s="1"/>
  <c r="P37" i="55"/>
  <c r="P76" i="55" s="1"/>
  <c r="S12" i="74" s="1"/>
  <c r="Q37" i="55"/>
  <c r="Q76" i="55" s="1"/>
  <c r="T12" i="74" s="1"/>
  <c r="R37" i="55"/>
  <c r="R76" i="55" s="1"/>
  <c r="U12" i="74" s="1"/>
  <c r="S37" i="55"/>
  <c r="S76" i="55" s="1"/>
  <c r="V12" i="74" s="1"/>
  <c r="T37" i="55"/>
  <c r="T76" i="55" s="1"/>
  <c r="W12" i="74" s="1"/>
  <c r="U37" i="55"/>
  <c r="U76" i="55" s="1"/>
  <c r="X12" i="74" s="1"/>
  <c r="V37" i="55"/>
  <c r="V76" i="55" s="1"/>
  <c r="Y12" i="74" s="1"/>
  <c r="W37" i="55"/>
  <c r="W76" i="55" s="1"/>
  <c r="Z12" i="74" s="1"/>
  <c r="X37" i="55"/>
  <c r="X76" i="55" s="1"/>
  <c r="AA12" i="74" s="1"/>
  <c r="Y37" i="55"/>
  <c r="Y76" i="55" s="1"/>
  <c r="AB12" i="74" s="1"/>
  <c r="Z37" i="55"/>
  <c r="Z76" i="55" s="1"/>
  <c r="AC12" i="74" s="1"/>
  <c r="AA37" i="55"/>
  <c r="AA76" i="55" s="1"/>
  <c r="AD12" i="74" s="1"/>
  <c r="AB37" i="55"/>
  <c r="AB76" i="55" s="1"/>
  <c r="AE12" i="74" s="1"/>
  <c r="AC37" i="55"/>
  <c r="AC76" i="55" s="1"/>
  <c r="AF12" i="74" s="1"/>
  <c r="AD37" i="55"/>
  <c r="AD76" i="55" s="1"/>
  <c r="AG12" i="74" s="1"/>
  <c r="AE37" i="55"/>
  <c r="AE76" i="55" s="1"/>
  <c r="AH12" i="74" s="1"/>
  <c r="AF37" i="55"/>
  <c r="AF76" i="55" s="1"/>
  <c r="AI12" i="74" s="1"/>
  <c r="AG37" i="55"/>
  <c r="AG76" i="55" s="1"/>
  <c r="AJ12" i="74" s="1"/>
  <c r="AH37" i="55"/>
  <c r="AH76" i="55" s="1"/>
  <c r="AK12" i="74" s="1"/>
  <c r="AI37" i="55"/>
  <c r="AI76" i="55" s="1"/>
  <c r="AL12" i="74" s="1"/>
  <c r="AJ37" i="55"/>
  <c r="AJ76" i="55" s="1"/>
  <c r="AM12" i="74" s="1"/>
  <c r="AK37" i="55"/>
  <c r="AK76" i="55" s="1"/>
  <c r="AN12" i="74" s="1"/>
  <c r="AL37" i="55"/>
  <c r="AL76" i="55" s="1"/>
  <c r="AO12" i="74" s="1"/>
  <c r="AM37" i="55"/>
  <c r="AM76" i="55" s="1"/>
  <c r="AP12" i="74" s="1"/>
  <c r="AN37" i="55"/>
  <c r="AN76" i="55" s="1"/>
  <c r="AQ12" i="74" s="1"/>
  <c r="AO37" i="55"/>
  <c r="AO76" i="55" s="1"/>
  <c r="AR12" i="74" s="1"/>
  <c r="AP37" i="55"/>
  <c r="AP76" i="55" s="1"/>
  <c r="AS12" i="74" s="1"/>
  <c r="AQ37" i="55"/>
  <c r="AQ76" i="55" s="1"/>
  <c r="AT12" i="74" s="1"/>
  <c r="AR37" i="55"/>
  <c r="AR76" i="55" s="1"/>
  <c r="AU12" i="74" s="1"/>
  <c r="AS37" i="55"/>
  <c r="AS76" i="55" s="1"/>
  <c r="AV12" i="74" s="1"/>
  <c r="AT37" i="55"/>
  <c r="AT76" i="55" s="1"/>
  <c r="AW12" i="74" s="1"/>
  <c r="AU37" i="55"/>
  <c r="AU76" i="55" s="1"/>
  <c r="AX12" i="74" s="1"/>
  <c r="AV37" i="55"/>
  <c r="AV76" i="55" s="1"/>
  <c r="AY12" i="74" s="1"/>
  <c r="AW37" i="55"/>
  <c r="AW76" i="55" s="1"/>
  <c r="AZ12" i="74" s="1"/>
  <c r="AX37" i="55"/>
  <c r="AX76" i="55" s="1"/>
  <c r="BA12" i="74" s="1"/>
  <c r="AY37" i="55"/>
  <c r="AY76" i="55" s="1"/>
  <c r="BB12" i="74" s="1"/>
  <c r="AZ37" i="55"/>
  <c r="AZ76" i="55" s="1"/>
  <c r="BC12" i="74" s="1"/>
  <c r="BB37" i="55"/>
  <c r="BB76" i="55" s="1"/>
  <c r="BE12" i="74" s="1"/>
  <c r="BA37" i="55"/>
  <c r="BA76" i="55" s="1"/>
  <c r="BD12" i="74" s="1"/>
  <c r="BB30" i="55"/>
  <c r="AZ13" i="64"/>
  <c r="AX26" i="64"/>
  <c r="BD358" i="74"/>
  <c r="BD359" i="74" s="1"/>
  <c r="BC353" i="74"/>
  <c r="E55" i="54"/>
  <c r="AZ15" i="56"/>
  <c r="BA28" i="55" s="1"/>
  <c r="BC349" i="74"/>
  <c r="BC348" i="74"/>
  <c r="J353" i="74"/>
  <c r="J352" i="74"/>
  <c r="J349" i="74"/>
  <c r="J348" i="74"/>
  <c r="K352" i="74"/>
  <c r="K353" i="74"/>
  <c r="K349" i="74"/>
  <c r="K348" i="74"/>
  <c r="L353" i="74"/>
  <c r="L349" i="74"/>
  <c r="L348" i="74"/>
  <c r="L352" i="74"/>
  <c r="N349" i="74"/>
  <c r="M352" i="74"/>
  <c r="M349" i="74"/>
  <c r="M348" i="74"/>
  <c r="N352" i="74"/>
  <c r="N353" i="74"/>
  <c r="N348" i="74"/>
  <c r="M353" i="74"/>
  <c r="O352" i="74"/>
  <c r="O353" i="74"/>
  <c r="O349" i="74"/>
  <c r="O348" i="74"/>
  <c r="P349" i="74"/>
  <c r="P348" i="74"/>
  <c r="P352" i="74"/>
  <c r="P353" i="74"/>
  <c r="Q353" i="74"/>
  <c r="R349" i="74"/>
  <c r="Q348" i="74"/>
  <c r="R352" i="74"/>
  <c r="R348" i="74"/>
  <c r="R353" i="74"/>
  <c r="Q352" i="74"/>
  <c r="Q349" i="74"/>
  <c r="S352" i="74"/>
  <c r="S349" i="74"/>
  <c r="S353" i="74"/>
  <c r="S348" i="74"/>
  <c r="T353" i="74"/>
  <c r="T352" i="74"/>
  <c r="T349" i="74"/>
  <c r="T348" i="74"/>
  <c r="U349" i="74"/>
  <c r="U352" i="74"/>
  <c r="U353" i="74"/>
  <c r="U348" i="74"/>
  <c r="V352" i="74"/>
  <c r="V353" i="74"/>
  <c r="V349" i="74"/>
  <c r="V348" i="74"/>
  <c r="W352" i="74"/>
  <c r="W353" i="74"/>
  <c r="W348" i="74"/>
  <c r="W349" i="74"/>
  <c r="X353" i="74"/>
  <c r="X349" i="74"/>
  <c r="X348" i="74"/>
  <c r="X352" i="74"/>
  <c r="Y352" i="74"/>
  <c r="Y349" i="74"/>
  <c r="Y348" i="74"/>
  <c r="Y353" i="74"/>
  <c r="Z349" i="74"/>
  <c r="Z352" i="74"/>
  <c r="Z353" i="74"/>
  <c r="Z348" i="74"/>
  <c r="AA353" i="74"/>
  <c r="AA349" i="74"/>
  <c r="AA348" i="74"/>
  <c r="AA352" i="74"/>
  <c r="AB349" i="74"/>
  <c r="AB348" i="74"/>
  <c r="AB353" i="74"/>
  <c r="AB352" i="74"/>
  <c r="AC348" i="74"/>
  <c r="AC353" i="74"/>
  <c r="AC352" i="74"/>
  <c r="AC349" i="74"/>
  <c r="AD352" i="74"/>
  <c r="AD348" i="74"/>
  <c r="AD349" i="74"/>
  <c r="AD353" i="74"/>
  <c r="AE352" i="74"/>
  <c r="AE348" i="74"/>
  <c r="AE349" i="74"/>
  <c r="AE353" i="74"/>
  <c r="AF352" i="74"/>
  <c r="AF353" i="74"/>
  <c r="AF349" i="74"/>
  <c r="AF348" i="74"/>
  <c r="AG349" i="74"/>
  <c r="AG352" i="74"/>
  <c r="AG353" i="74"/>
  <c r="AG348" i="74"/>
  <c r="AH352" i="74"/>
  <c r="AH349" i="74"/>
  <c r="AH348" i="74"/>
  <c r="AH353" i="74"/>
  <c r="AI352" i="74"/>
  <c r="AI353" i="74"/>
  <c r="AI349" i="74"/>
  <c r="AI348" i="74"/>
  <c r="AJ353" i="74"/>
  <c r="AJ349" i="74"/>
  <c r="AJ348" i="74"/>
  <c r="AJ352" i="74"/>
  <c r="AK352" i="74"/>
  <c r="AK349" i="74"/>
  <c r="AK348" i="74"/>
  <c r="AK353" i="74"/>
  <c r="AL353" i="74"/>
  <c r="AL348" i="74"/>
  <c r="AL349" i="74"/>
  <c r="AL352" i="74"/>
  <c r="AM353" i="74"/>
  <c r="AM349" i="74"/>
  <c r="AM348" i="74"/>
  <c r="AM352" i="74"/>
  <c r="AN352" i="74"/>
  <c r="AN349" i="74"/>
  <c r="AN348" i="74"/>
  <c r="AN353" i="74"/>
  <c r="AO353" i="74"/>
  <c r="AO348" i="74"/>
  <c r="AO352" i="74"/>
  <c r="AO349" i="74"/>
  <c r="AP349" i="74"/>
  <c r="AP352" i="74"/>
  <c r="AP348" i="74"/>
  <c r="AP353" i="74"/>
  <c r="AQ348" i="74"/>
  <c r="AQ353" i="74"/>
  <c r="AQ349" i="74"/>
  <c r="AQ352" i="74"/>
  <c r="AR348" i="74"/>
  <c r="AR352" i="74"/>
  <c r="AR353" i="74"/>
  <c r="AR349" i="74"/>
  <c r="AS349" i="74"/>
  <c r="AS352" i="74"/>
  <c r="AS353" i="74"/>
  <c r="AS348" i="74"/>
  <c r="AT352" i="74"/>
  <c r="AT348" i="74"/>
  <c r="AT353" i="74"/>
  <c r="AT349" i="74"/>
  <c r="AU353" i="74"/>
  <c r="AU349" i="74"/>
  <c r="AU348" i="74"/>
  <c r="AU352" i="74"/>
  <c r="AV349" i="74"/>
  <c r="AV348" i="74"/>
  <c r="AV353" i="74"/>
  <c r="AV352" i="74"/>
  <c r="AW349" i="74"/>
  <c r="AW352" i="74"/>
  <c r="AW348" i="74"/>
  <c r="AW353" i="74"/>
  <c r="AX349" i="74"/>
  <c r="AX353" i="74"/>
  <c r="AY348" i="74"/>
  <c r="AY353" i="74"/>
  <c r="AY352" i="74"/>
  <c r="AX348" i="74"/>
  <c r="AY349" i="74"/>
  <c r="AX352" i="74"/>
  <c r="AZ352" i="74"/>
  <c r="AZ349" i="74"/>
  <c r="AZ348" i="74"/>
  <c r="AZ353" i="74"/>
  <c r="BA348" i="74"/>
  <c r="BA353" i="74"/>
  <c r="BA349" i="74"/>
  <c r="BA352" i="74"/>
  <c r="BB353" i="74"/>
  <c r="BB352" i="74"/>
  <c r="BB348" i="74"/>
  <c r="BB349" i="74"/>
  <c r="BC352" i="74"/>
  <c r="BC381" i="74"/>
  <c r="BD384" i="74"/>
  <c r="BD383" i="74"/>
  <c r="BD385" i="74"/>
  <c r="BD378" i="74"/>
  <c r="BD379" i="74"/>
  <c r="BD380" i="74"/>
  <c r="BC386" i="74"/>
  <c r="BD372" i="74"/>
  <c r="BD373" i="74"/>
  <c r="BD371" i="74"/>
  <c r="BC374" i="74"/>
  <c r="BC369" i="74"/>
  <c r="BD320" i="74"/>
  <c r="BD367" i="74"/>
  <c r="BD368" i="74"/>
  <c r="BD353" i="74"/>
  <c r="BD352" i="74"/>
  <c r="BD366" i="74"/>
  <c r="BD348" i="74"/>
  <c r="BD349" i="74"/>
  <c r="BB31" i="55"/>
  <c r="BE32" i="74"/>
  <c r="BE180" i="74" s="1"/>
  <c r="D5" i="102"/>
  <c r="C5" i="102"/>
  <c r="E5" i="102"/>
  <c r="C6" i="99" a="1"/>
  <c r="E6" i="99" s="1"/>
  <c r="C5" i="101" a="1"/>
  <c r="C5" i="100" a="1"/>
  <c r="BE6" i="74"/>
  <c r="AX17" i="60"/>
  <c r="AX38" i="60"/>
  <c r="AX16" i="60"/>
  <c r="BA3" i="59"/>
  <c r="BA3" i="58"/>
  <c r="BA3" i="56"/>
  <c r="BA14" i="56" s="1"/>
  <c r="AZ322" i="74"/>
  <c r="BA322" i="74"/>
  <c r="BB322" i="74"/>
  <c r="BB330" i="74" s="1"/>
  <c r="BB333" i="74" s="1"/>
  <c r="BC322" i="74"/>
  <c r="BC330" i="74" s="1"/>
  <c r="BC333" i="74" s="1"/>
  <c r="BD322" i="74"/>
  <c r="BD330" i="74" s="1"/>
  <c r="BD333" i="74" s="1"/>
  <c r="AY322" i="74"/>
  <c r="J322" i="74"/>
  <c r="L322" i="74"/>
  <c r="K322" i="74"/>
  <c r="N322" i="74"/>
  <c r="M322" i="74"/>
  <c r="O322" i="74"/>
  <c r="P322" i="74"/>
  <c r="R322" i="74"/>
  <c r="Q322" i="74"/>
  <c r="S322" i="74"/>
  <c r="T322" i="74"/>
  <c r="U322" i="74"/>
  <c r="V322" i="74"/>
  <c r="W322" i="74"/>
  <c r="X322" i="74"/>
  <c r="Y322" i="74"/>
  <c r="Z322" i="74"/>
  <c r="AA322" i="74"/>
  <c r="AB322" i="74"/>
  <c r="AC322" i="74"/>
  <c r="AD322" i="74"/>
  <c r="AE322" i="74"/>
  <c r="AF322" i="74"/>
  <c r="AG322" i="74"/>
  <c r="AH322" i="74"/>
  <c r="AI322" i="74"/>
  <c r="AJ322" i="74"/>
  <c r="AK322" i="74"/>
  <c r="AL322" i="74"/>
  <c r="AM322" i="74"/>
  <c r="AN322" i="74"/>
  <c r="AO322" i="74"/>
  <c r="AP322" i="74"/>
  <c r="AQ322" i="74"/>
  <c r="AR322" i="74"/>
  <c r="AS322" i="74"/>
  <c r="AT322" i="74"/>
  <c r="AU322" i="74"/>
  <c r="AV322" i="74"/>
  <c r="AW322" i="74"/>
  <c r="AX322" i="74"/>
  <c r="G80" i="45"/>
  <c r="G58" i="45"/>
  <c r="L27" i="52"/>
  <c r="L28" i="52"/>
  <c r="K28" i="52"/>
  <c r="J28" i="52"/>
  <c r="L29" i="52"/>
  <c r="K29" i="52"/>
  <c r="J29" i="52"/>
  <c r="L193" i="52"/>
  <c r="L225" i="52"/>
  <c r="L226" i="52"/>
  <c r="L92" i="52"/>
  <c r="L258" i="52"/>
  <c r="L91" i="52"/>
  <c r="L158" i="52"/>
  <c r="L157" i="52"/>
  <c r="L291" i="52"/>
  <c r="L289" i="52"/>
  <c r="L123" i="52"/>
  <c r="L292" i="52"/>
  <c r="L94" i="52"/>
  <c r="L61" i="52"/>
  <c r="L192" i="52"/>
  <c r="L224" i="52"/>
  <c r="L125" i="52"/>
  <c r="L223" i="52"/>
  <c r="L290" i="52"/>
  <c r="L124" i="52"/>
  <c r="L60" i="52"/>
  <c r="L126" i="52"/>
  <c r="L159" i="52"/>
  <c r="L59" i="52"/>
  <c r="L259" i="52"/>
  <c r="L257" i="52"/>
  <c r="L58" i="52"/>
  <c r="L93" i="52"/>
  <c r="L256" i="52"/>
  <c r="L160" i="52"/>
  <c r="L191" i="52"/>
  <c r="L194" i="52"/>
  <c r="L248" i="52"/>
  <c r="L239" i="52"/>
  <c r="L279" i="52"/>
  <c r="L243" i="52"/>
  <c r="L218" i="52"/>
  <c r="L285" i="52"/>
  <c r="L273" i="52"/>
  <c r="L216" i="52"/>
  <c r="L215" i="52"/>
  <c r="L284" i="52"/>
  <c r="L272" i="52"/>
  <c r="L252" i="52"/>
  <c r="L276" i="52"/>
  <c r="L246" i="52"/>
  <c r="L281" i="52"/>
  <c r="L250" i="52"/>
  <c r="L219" i="52"/>
  <c r="L212" i="52"/>
  <c r="L240" i="52"/>
  <c r="L210" i="52"/>
  <c r="L178" i="52"/>
  <c r="L183" i="52"/>
  <c r="L175" i="52"/>
  <c r="L152" i="52"/>
  <c r="L251" i="52"/>
  <c r="L207" i="52"/>
  <c r="L174" i="52"/>
  <c r="L213" i="52"/>
  <c r="L206" i="52"/>
  <c r="L185" i="52"/>
  <c r="L182" i="52"/>
  <c r="L151" i="52"/>
  <c r="L142" i="52"/>
  <c r="L107" i="52"/>
  <c r="L187" i="52"/>
  <c r="L110" i="52"/>
  <c r="L141" i="52"/>
  <c r="L106" i="52"/>
  <c r="L186" i="52"/>
  <c r="L149" i="52"/>
  <c r="L144" i="52"/>
  <c r="L119" i="52"/>
  <c r="L118" i="52"/>
  <c r="L115" i="52"/>
  <c r="L81" i="52"/>
  <c r="L54" i="52"/>
  <c r="L74" i="52"/>
  <c r="L45" i="52"/>
  <c r="L42" i="52"/>
  <c r="L86" i="52"/>
  <c r="L53" i="52"/>
  <c r="L140" i="52"/>
  <c r="L87" i="52"/>
  <c r="L85" i="52"/>
  <c r="L78" i="52"/>
  <c r="L41" i="52"/>
  <c r="L153" i="52"/>
  <c r="L117" i="52"/>
  <c r="L83" i="52"/>
  <c r="L48" i="52"/>
  <c r="L75" i="52"/>
  <c r="L50" i="52"/>
  <c r="L247" i="52"/>
  <c r="L242" i="52"/>
  <c r="L244" i="52"/>
  <c r="L249" i="52"/>
  <c r="L177" i="52"/>
  <c r="L180" i="52"/>
  <c r="L176" i="52"/>
  <c r="L245" i="52"/>
  <c r="L278" i="52"/>
  <c r="L277" i="52"/>
  <c r="L214" i="52"/>
  <c r="L274" i="52"/>
  <c r="L275" i="52"/>
  <c r="L282" i="52"/>
  <c r="L209" i="52"/>
  <c r="L179" i="52"/>
  <c r="L280" i="52"/>
  <c r="L241" i="52"/>
  <c r="L76" i="52"/>
  <c r="L211" i="52"/>
  <c r="L181" i="52"/>
  <c r="L184" i="52"/>
  <c r="L147" i="52"/>
  <c r="L208" i="52"/>
  <c r="L146" i="52"/>
  <c r="L150" i="52"/>
  <c r="L79" i="52"/>
  <c r="L108" i="52"/>
  <c r="L109" i="52"/>
  <c r="L111" i="52"/>
  <c r="L116" i="52"/>
  <c r="L113" i="52"/>
  <c r="L43" i="52"/>
  <c r="L145" i="52"/>
  <c r="L77" i="52"/>
  <c r="L47" i="52"/>
  <c r="L84" i="52"/>
  <c r="L51" i="52"/>
  <c r="L80" i="52"/>
  <c r="L46" i="52"/>
  <c r="L112" i="52"/>
  <c r="L49" i="52"/>
  <c r="L82" i="52"/>
  <c r="L44" i="52"/>
  <c r="L52" i="52"/>
  <c r="L114" i="52"/>
  <c r="L283" i="52"/>
  <c r="L143" i="52"/>
  <c r="L148" i="52"/>
  <c r="L217" i="52"/>
  <c r="H28" i="52"/>
  <c r="L10" i="52"/>
  <c r="L21" i="52"/>
  <c r="L12" i="52"/>
  <c r="L11" i="52"/>
  <c r="L18" i="52"/>
  <c r="L22" i="52"/>
  <c r="L13" i="52"/>
  <c r="L14" i="52"/>
  <c r="L15" i="52"/>
  <c r="L25" i="52"/>
  <c r="L16" i="52"/>
  <c r="L17" i="52"/>
  <c r="M8" i="52"/>
  <c r="M28" i="52" s="1"/>
  <c r="L20" i="52"/>
  <c r="L9" i="52"/>
  <c r="L19" i="52"/>
  <c r="H29" i="52"/>
  <c r="D30" i="55" l="1"/>
  <c r="G35" i="74" s="1"/>
  <c r="G179" i="74" s="1"/>
  <c r="E30" i="55"/>
  <c r="H35" i="74" s="1"/>
  <c r="H179" i="74" s="1"/>
  <c r="D37" i="55"/>
  <c r="E37" i="55"/>
  <c r="H42" i="74" s="1"/>
  <c r="G76" i="55"/>
  <c r="BE35" i="74"/>
  <c r="BE179" i="74" s="1"/>
  <c r="BE36" i="74"/>
  <c r="BE181" i="74" s="1"/>
  <c r="BE286" i="74"/>
  <c r="BE285" i="74"/>
  <c r="BE361" i="74"/>
  <c r="BE362" i="74" s="1"/>
  <c r="BE278" i="74"/>
  <c r="BA3" i="88"/>
  <c r="AX26" i="60" s="1"/>
  <c r="AH42" i="74"/>
  <c r="AH220" i="74" s="1"/>
  <c r="K42" i="74"/>
  <c r="K220" i="74" s="1"/>
  <c r="J42" i="74"/>
  <c r="J220" i="74" s="1"/>
  <c r="BB71" i="55"/>
  <c r="BE8" i="74"/>
  <c r="L42" i="74"/>
  <c r="L220" i="74" s="1"/>
  <c r="BB42" i="74"/>
  <c r="BB220" i="74" s="1"/>
  <c r="AT42" i="74"/>
  <c r="AT220" i="74" s="1"/>
  <c r="AL42" i="74"/>
  <c r="AL220" i="74" s="1"/>
  <c r="AD42" i="74"/>
  <c r="AD220" i="74" s="1"/>
  <c r="V42" i="74"/>
  <c r="V220" i="74" s="1"/>
  <c r="M42" i="74"/>
  <c r="M220" i="74" s="1"/>
  <c r="BA42" i="74"/>
  <c r="BA220" i="74" s="1"/>
  <c r="AS42" i="74"/>
  <c r="AS220" i="74" s="1"/>
  <c r="AK42" i="74"/>
  <c r="AK220" i="74" s="1"/>
  <c r="AC42" i="74"/>
  <c r="AC220" i="74" s="1"/>
  <c r="U42" i="74"/>
  <c r="U220" i="74" s="1"/>
  <c r="N42" i="74"/>
  <c r="N220" i="74" s="1"/>
  <c r="AZ42" i="74"/>
  <c r="AZ220" i="74" s="1"/>
  <c r="AR42" i="74"/>
  <c r="AR220" i="74" s="1"/>
  <c r="AJ42" i="74"/>
  <c r="AJ220" i="74" s="1"/>
  <c r="AB42" i="74"/>
  <c r="AB220" i="74" s="1"/>
  <c r="T42" i="74"/>
  <c r="T220" i="74" s="1"/>
  <c r="AY42" i="74"/>
  <c r="AY220" i="74" s="1"/>
  <c r="AQ42" i="74"/>
  <c r="AQ220" i="74" s="1"/>
  <c r="AI42" i="74"/>
  <c r="AI220" i="74" s="1"/>
  <c r="AA42" i="74"/>
  <c r="AA220" i="74" s="1"/>
  <c r="S42" i="74"/>
  <c r="S220" i="74" s="1"/>
  <c r="AX42" i="74"/>
  <c r="AX220" i="74" s="1"/>
  <c r="AP42" i="74"/>
  <c r="AP220" i="74" s="1"/>
  <c r="Z42" i="74"/>
  <c r="Z220" i="74" s="1"/>
  <c r="Q42" i="74"/>
  <c r="Q220" i="74" s="1"/>
  <c r="BD42" i="74"/>
  <c r="BD220" i="74" s="1"/>
  <c r="AW42" i="74"/>
  <c r="AW220" i="74" s="1"/>
  <c r="AO42" i="74"/>
  <c r="AO220" i="74" s="1"/>
  <c r="AG42" i="74"/>
  <c r="AG220" i="74" s="1"/>
  <c r="Y42" i="74"/>
  <c r="Y220" i="74" s="1"/>
  <c r="R42" i="74"/>
  <c r="R220" i="74" s="1"/>
  <c r="BE42" i="74"/>
  <c r="BE220" i="74" s="1"/>
  <c r="AV42" i="74"/>
  <c r="AV220" i="74" s="1"/>
  <c r="AN42" i="74"/>
  <c r="AN220" i="74" s="1"/>
  <c r="AF42" i="74"/>
  <c r="AF220" i="74" s="1"/>
  <c r="X42" i="74"/>
  <c r="X220" i="74" s="1"/>
  <c r="P42" i="74"/>
  <c r="P220" i="74" s="1"/>
  <c r="BC42" i="74"/>
  <c r="BC220" i="74" s="1"/>
  <c r="AU42" i="74"/>
  <c r="AU220" i="74" s="1"/>
  <c r="AM42" i="74"/>
  <c r="AM220" i="74" s="1"/>
  <c r="AE42" i="74"/>
  <c r="AE220" i="74" s="1"/>
  <c r="W42" i="74"/>
  <c r="W220" i="74" s="1"/>
  <c r="O42" i="74"/>
  <c r="O220" i="74" s="1"/>
  <c r="BC354" i="74"/>
  <c r="BA13" i="64"/>
  <c r="AY26" i="64"/>
  <c r="BE358" i="74"/>
  <c r="BE359" i="74" s="1"/>
  <c r="BB331" i="74"/>
  <c r="BC331" i="74"/>
  <c r="BC332" i="74"/>
  <c r="BD331" i="74"/>
  <c r="BD332" i="74"/>
  <c r="BA15" i="56"/>
  <c r="BB28" i="55" s="1"/>
  <c r="BC350" i="74"/>
  <c r="BC389" i="74" s="1"/>
  <c r="AS354" i="74"/>
  <c r="AG354" i="74"/>
  <c r="U354" i="74"/>
  <c r="AY350" i="74"/>
  <c r="AD350" i="74"/>
  <c r="AP354" i="74"/>
  <c r="AD354" i="74"/>
  <c r="AB350" i="74"/>
  <c r="P350" i="74"/>
  <c r="J354" i="74"/>
  <c r="O350" i="74"/>
  <c r="T354" i="74"/>
  <c r="AB354" i="74"/>
  <c r="V350" i="74"/>
  <c r="S350" i="74"/>
  <c r="M350" i="74"/>
  <c r="AX350" i="74"/>
  <c r="R350" i="74"/>
  <c r="BA350" i="74"/>
  <c r="AO354" i="74"/>
  <c r="N350" i="74"/>
  <c r="BA354" i="74"/>
  <c r="AU354" i="74"/>
  <c r="AR350" i="74"/>
  <c r="AL354" i="74"/>
  <c r="W350" i="74"/>
  <c r="T350" i="74"/>
  <c r="K350" i="74"/>
  <c r="AC354" i="74"/>
  <c r="AV354" i="74"/>
  <c r="BD350" i="74"/>
  <c r="AY354" i="74"/>
  <c r="O354" i="74"/>
  <c r="AL350" i="74"/>
  <c r="AZ350" i="74"/>
  <c r="AW350" i="74"/>
  <c r="AQ350" i="74"/>
  <c r="AK350" i="74"/>
  <c r="AH350" i="74"/>
  <c r="Y350" i="74"/>
  <c r="AI350" i="74"/>
  <c r="AF350" i="74"/>
  <c r="R354" i="74"/>
  <c r="AQ354" i="74"/>
  <c r="BB354" i="74"/>
  <c r="AV350" i="74"/>
  <c r="BD381" i="74"/>
  <c r="AU350" i="74"/>
  <c r="AR354" i="74"/>
  <c r="AO350" i="74"/>
  <c r="Z354" i="74"/>
  <c r="AI354" i="74"/>
  <c r="AF354" i="74"/>
  <c r="AC350" i="74"/>
  <c r="Z350" i="74"/>
  <c r="W354" i="74"/>
  <c r="N354" i="74"/>
  <c r="K354" i="74"/>
  <c r="BD386" i="74"/>
  <c r="P354" i="74"/>
  <c r="J350" i="74"/>
  <c r="AW354" i="74"/>
  <c r="AT350" i="74"/>
  <c r="AN350" i="74"/>
  <c r="AE350" i="74"/>
  <c r="M354" i="74"/>
  <c r="AZ354" i="74"/>
  <c r="AT354" i="74"/>
  <c r="AN354" i="74"/>
  <c r="AK354" i="74"/>
  <c r="AH354" i="74"/>
  <c r="AE354" i="74"/>
  <c r="Y354" i="74"/>
  <c r="V354" i="74"/>
  <c r="S354" i="74"/>
  <c r="BD374" i="74"/>
  <c r="AX354" i="74"/>
  <c r="AS350" i="74"/>
  <c r="AM354" i="74"/>
  <c r="AJ354" i="74"/>
  <c r="AG350" i="74"/>
  <c r="AA354" i="74"/>
  <c r="X354" i="74"/>
  <c r="U350" i="74"/>
  <c r="Q350" i="74"/>
  <c r="L354" i="74"/>
  <c r="BE385" i="74"/>
  <c r="BE378" i="74"/>
  <c r="BE379" i="74"/>
  <c r="BE380" i="74"/>
  <c r="BE383" i="74"/>
  <c r="BE384" i="74"/>
  <c r="BB350" i="74"/>
  <c r="AP350" i="74"/>
  <c r="AM350" i="74"/>
  <c r="AJ350" i="74"/>
  <c r="AA350" i="74"/>
  <c r="X350" i="74"/>
  <c r="Q354" i="74"/>
  <c r="L350" i="74"/>
  <c r="BD354" i="74"/>
  <c r="BE373" i="74"/>
  <c r="BE372" i="74"/>
  <c r="BE371" i="74"/>
  <c r="BD369" i="74"/>
  <c r="BE320" i="74"/>
  <c r="BE368" i="74"/>
  <c r="BE349" i="74"/>
  <c r="BE352" i="74"/>
  <c r="BE353" i="74"/>
  <c r="BE367" i="74"/>
  <c r="BE366" i="74"/>
  <c r="BE348" i="74"/>
  <c r="G42" i="74"/>
  <c r="D6" i="99"/>
  <c r="C6" i="99"/>
  <c r="C5" i="100"/>
  <c r="E5" i="100"/>
  <c r="D5" i="100"/>
  <c r="C5" i="101"/>
  <c r="D5" i="101"/>
  <c r="E5" i="101"/>
  <c r="BE322" i="74"/>
  <c r="BE330" i="74" s="1"/>
  <c r="BE333" i="74" s="1"/>
  <c r="BD33" i="74"/>
  <c r="BD177" i="74" s="1"/>
  <c r="AT18" i="56"/>
  <c r="AU18" i="56"/>
  <c r="AV18" i="56"/>
  <c r="AW18" i="56"/>
  <c r="AX18" i="56"/>
  <c r="AY18" i="56"/>
  <c r="BA18" i="56"/>
  <c r="D19" i="54"/>
  <c r="D7" i="54" s="1"/>
  <c r="L9" i="59" s="1"/>
  <c r="H18" i="56"/>
  <c r="F18" i="56"/>
  <c r="F17" i="56" s="1"/>
  <c r="G29" i="55" s="1"/>
  <c r="L18" i="56"/>
  <c r="G18" i="56"/>
  <c r="M18" i="56"/>
  <c r="N18" i="56"/>
  <c r="O18" i="56"/>
  <c r="Q18" i="56"/>
  <c r="R18" i="56"/>
  <c r="S18" i="56"/>
  <c r="T18" i="56"/>
  <c r="U18" i="56"/>
  <c r="V18" i="56"/>
  <c r="W18" i="56"/>
  <c r="X18" i="56"/>
  <c r="Y18" i="56"/>
  <c r="Z18" i="56"/>
  <c r="AA18" i="56"/>
  <c r="AB18" i="56"/>
  <c r="AC18" i="56"/>
  <c r="AD18" i="56"/>
  <c r="AE18" i="56"/>
  <c r="AF18" i="56"/>
  <c r="AG18" i="56"/>
  <c r="AH18" i="56"/>
  <c r="AI18" i="56"/>
  <c r="AJ18" i="56"/>
  <c r="AK18" i="56"/>
  <c r="AL18" i="56"/>
  <c r="AM18" i="56"/>
  <c r="AN18" i="56"/>
  <c r="AO18" i="56"/>
  <c r="AP18" i="56"/>
  <c r="AQ18" i="56"/>
  <c r="AR18" i="56"/>
  <c r="AS18" i="56"/>
  <c r="M29" i="52"/>
  <c r="M92" i="52"/>
  <c r="M93" i="52"/>
  <c r="M124" i="52"/>
  <c r="M159" i="52"/>
  <c r="M123" i="52"/>
  <c r="M223" i="52"/>
  <c r="M158" i="52"/>
  <c r="M291" i="52"/>
  <c r="M224" i="52"/>
  <c r="M126" i="52"/>
  <c r="M59" i="52"/>
  <c r="M292" i="52"/>
  <c r="M259" i="52"/>
  <c r="M191" i="52"/>
  <c r="M194" i="52"/>
  <c r="M257" i="52"/>
  <c r="M289" i="52"/>
  <c r="M58" i="52"/>
  <c r="M160" i="52"/>
  <c r="M94" i="52"/>
  <c r="M225" i="52"/>
  <c r="M91" i="52"/>
  <c r="M61" i="52"/>
  <c r="M290" i="52"/>
  <c r="M258" i="52"/>
  <c r="M192" i="52"/>
  <c r="M60" i="52"/>
  <c r="M125" i="52"/>
  <c r="M256" i="52"/>
  <c r="M226" i="52"/>
  <c r="M157" i="52"/>
  <c r="M193" i="52"/>
  <c r="M26" i="52"/>
  <c r="M27" i="52"/>
  <c r="M243" i="52"/>
  <c r="M218" i="52"/>
  <c r="M285" i="52"/>
  <c r="M273" i="52"/>
  <c r="M215" i="52"/>
  <c r="M284" i="52"/>
  <c r="M272" i="52"/>
  <c r="M252" i="52"/>
  <c r="M276" i="52"/>
  <c r="M251" i="52"/>
  <c r="M240" i="52"/>
  <c r="M248" i="52"/>
  <c r="M239" i="52"/>
  <c r="M208" i="52"/>
  <c r="M183" i="52"/>
  <c r="M175" i="52"/>
  <c r="M152" i="52"/>
  <c r="M207" i="52"/>
  <c r="M281" i="52"/>
  <c r="M187" i="52"/>
  <c r="M177" i="52"/>
  <c r="M206" i="52"/>
  <c r="M211" i="52"/>
  <c r="M186" i="52"/>
  <c r="M180" i="52"/>
  <c r="M244" i="52"/>
  <c r="M219" i="52"/>
  <c r="M210" i="52"/>
  <c r="M178" i="52"/>
  <c r="M176" i="52"/>
  <c r="M174" i="52"/>
  <c r="M112" i="52"/>
  <c r="M108" i="52"/>
  <c r="M107" i="52"/>
  <c r="M145" i="52"/>
  <c r="M110" i="52"/>
  <c r="M87" i="52"/>
  <c r="M141" i="52"/>
  <c r="M106" i="52"/>
  <c r="M149" i="52"/>
  <c r="M144" i="52"/>
  <c r="M119" i="52"/>
  <c r="M153" i="52"/>
  <c r="M140" i="52"/>
  <c r="M74" i="52"/>
  <c r="M45" i="52"/>
  <c r="M42" i="52"/>
  <c r="M86" i="52"/>
  <c r="M53" i="52"/>
  <c r="M41" i="52"/>
  <c r="M118" i="52"/>
  <c r="M78" i="52"/>
  <c r="M115" i="52"/>
  <c r="M83" i="52"/>
  <c r="M50" i="52"/>
  <c r="M109" i="52"/>
  <c r="M75" i="52"/>
  <c r="M54" i="52"/>
  <c r="M277" i="52"/>
  <c r="M247" i="52"/>
  <c r="M245" i="52"/>
  <c r="M216" i="52"/>
  <c r="M242" i="52"/>
  <c r="M249" i="52"/>
  <c r="M282" i="52"/>
  <c r="M241" i="52"/>
  <c r="M274" i="52"/>
  <c r="M275" i="52"/>
  <c r="M279" i="52"/>
  <c r="M280" i="52"/>
  <c r="M278" i="52"/>
  <c r="M250" i="52"/>
  <c r="M214" i="52"/>
  <c r="M182" i="52"/>
  <c r="M246" i="52"/>
  <c r="M179" i="52"/>
  <c r="M116" i="52"/>
  <c r="M79" i="52"/>
  <c r="M76" i="52"/>
  <c r="M181" i="52"/>
  <c r="M184" i="52"/>
  <c r="M111" i="52"/>
  <c r="M117" i="52"/>
  <c r="M151" i="52"/>
  <c r="M81" i="52"/>
  <c r="M212" i="52"/>
  <c r="M213" i="52"/>
  <c r="M185" i="52"/>
  <c r="M147" i="52"/>
  <c r="M209" i="52"/>
  <c r="M142" i="52"/>
  <c r="M113" i="52"/>
  <c r="M46" i="52"/>
  <c r="M85" i="52"/>
  <c r="M47" i="52"/>
  <c r="M80" i="52"/>
  <c r="M49" i="52"/>
  <c r="M48" i="52"/>
  <c r="M146" i="52"/>
  <c r="M150" i="52"/>
  <c r="M84" i="52"/>
  <c r="M51" i="52"/>
  <c r="M43" i="52"/>
  <c r="M283" i="52"/>
  <c r="M77" i="52"/>
  <c r="M217" i="52"/>
  <c r="M143" i="52"/>
  <c r="M148" i="52"/>
  <c r="M82" i="52"/>
  <c r="M44" i="52"/>
  <c r="M114" i="52"/>
  <c r="M52" i="52"/>
  <c r="M21" i="52"/>
  <c r="M12" i="52"/>
  <c r="M11" i="52"/>
  <c r="M22" i="52"/>
  <c r="M13" i="52"/>
  <c r="M14" i="52"/>
  <c r="M19" i="52"/>
  <c r="M15" i="52"/>
  <c r="M25" i="52"/>
  <c r="M16" i="52"/>
  <c r="M18" i="52"/>
  <c r="M17" i="52"/>
  <c r="N8" i="52"/>
  <c r="M9" i="52"/>
  <c r="M10" i="52"/>
  <c r="M20" i="52"/>
  <c r="BE7" i="74" l="1"/>
  <c r="J12" i="74"/>
  <c r="D76" i="55"/>
  <c r="E76" i="55"/>
  <c r="E28" i="55"/>
  <c r="D28" i="55"/>
  <c r="G33" i="74" s="1"/>
  <c r="G177" i="74" s="1"/>
  <c r="BE33" i="74"/>
  <c r="BE177" i="74" s="1"/>
  <c r="H220" i="74"/>
  <c r="G220" i="74"/>
  <c r="D8" i="54"/>
  <c r="BB26" i="55"/>
  <c r="BE31" i="74" s="1"/>
  <c r="BE176" i="74" s="1"/>
  <c r="L389" i="74"/>
  <c r="L388" i="74"/>
  <c r="K389" i="74"/>
  <c r="K388" i="74"/>
  <c r="M388" i="74"/>
  <c r="M389" i="74"/>
  <c r="J388" i="74"/>
  <c r="J389" i="74"/>
  <c r="N388" i="74"/>
  <c r="N389" i="74"/>
  <c r="BB389" i="74"/>
  <c r="BB388" i="74"/>
  <c r="BD389" i="74"/>
  <c r="BD388" i="74"/>
  <c r="BC388" i="74"/>
  <c r="BA9" i="59"/>
  <c r="AY9" i="59"/>
  <c r="AM9" i="59"/>
  <c r="BB13" i="64"/>
  <c r="BA26" i="64" s="1"/>
  <c r="AZ26" i="64"/>
  <c r="AO9" i="59"/>
  <c r="AC9" i="59"/>
  <c r="Q9" i="59"/>
  <c r="AN9" i="59"/>
  <c r="AB9" i="59"/>
  <c r="P9" i="59"/>
  <c r="AA9" i="59"/>
  <c r="O9" i="59"/>
  <c r="AX9" i="59"/>
  <c r="AL9" i="59"/>
  <c r="Z9" i="59"/>
  <c r="N9" i="59"/>
  <c r="AW9" i="59"/>
  <c r="AK9" i="59"/>
  <c r="Y9" i="59"/>
  <c r="M9" i="59"/>
  <c r="AV9" i="59"/>
  <c r="AJ9" i="59"/>
  <c r="X9" i="59"/>
  <c r="AU9" i="59"/>
  <c r="AI9" i="59"/>
  <c r="W9" i="59"/>
  <c r="K9" i="59"/>
  <c r="AT9" i="59"/>
  <c r="AH9" i="59"/>
  <c r="V9" i="59"/>
  <c r="J9" i="59"/>
  <c r="AS9" i="59"/>
  <c r="AG9" i="59"/>
  <c r="U9" i="59"/>
  <c r="I9" i="59"/>
  <c r="AR9" i="59"/>
  <c r="AF9" i="59"/>
  <c r="T9" i="59"/>
  <c r="H9" i="59"/>
  <c r="AZ9" i="59"/>
  <c r="AQ9" i="59"/>
  <c r="AE9" i="59"/>
  <c r="S9" i="59"/>
  <c r="G9" i="59"/>
  <c r="AP9" i="59"/>
  <c r="AD9" i="59"/>
  <c r="R9" i="59"/>
  <c r="F9" i="59"/>
  <c r="G83" i="55" s="1"/>
  <c r="BA5" i="88"/>
  <c r="AX27" i="60" s="1"/>
  <c r="AX28" i="60" s="1"/>
  <c r="AX37" i="60" s="1"/>
  <c r="AN5" i="88"/>
  <c r="AK27" i="60" s="1"/>
  <c r="AK28" i="60" s="1"/>
  <c r="AK37" i="60" s="1"/>
  <c r="AZ5" i="88"/>
  <c r="AW27" i="60" s="1"/>
  <c r="AW28" i="60" s="1"/>
  <c r="AW37" i="60" s="1"/>
  <c r="AO5" i="88"/>
  <c r="AL27" i="60" s="1"/>
  <c r="AL28" i="60" s="1"/>
  <c r="AL37" i="60" s="1"/>
  <c r="AC5" i="88"/>
  <c r="Z27" i="60" s="1"/>
  <c r="Z28" i="60" s="1"/>
  <c r="Z37" i="60" s="1"/>
  <c r="Q5" i="88"/>
  <c r="N27" i="60" s="1"/>
  <c r="N28" i="60" s="1"/>
  <c r="N37" i="60" s="1"/>
  <c r="AB5" i="88"/>
  <c r="Y27" i="60" s="1"/>
  <c r="Y28" i="60" s="1"/>
  <c r="Y37" i="60" s="1"/>
  <c r="P5" i="88"/>
  <c r="M27" i="60" s="1"/>
  <c r="M28" i="60" s="1"/>
  <c r="M37" i="60" s="1"/>
  <c r="AY5" i="88"/>
  <c r="AV27" i="60" s="1"/>
  <c r="AV28" i="60" s="1"/>
  <c r="AV37" i="60" s="1"/>
  <c r="AM5" i="88"/>
  <c r="AJ27" i="60" s="1"/>
  <c r="AJ28" i="60" s="1"/>
  <c r="AJ37" i="60" s="1"/>
  <c r="AA5" i="88"/>
  <c r="X27" i="60" s="1"/>
  <c r="X28" i="60" s="1"/>
  <c r="X37" i="60" s="1"/>
  <c r="O5" i="88"/>
  <c r="L27" i="60" s="1"/>
  <c r="L28" i="60" s="1"/>
  <c r="L37" i="60" s="1"/>
  <c r="AX5" i="88"/>
  <c r="AU27" i="60" s="1"/>
  <c r="AU28" i="60" s="1"/>
  <c r="AU37" i="60" s="1"/>
  <c r="AL5" i="88"/>
  <c r="AI27" i="60" s="1"/>
  <c r="AI28" i="60" s="1"/>
  <c r="AI37" i="60" s="1"/>
  <c r="Z5" i="88"/>
  <c r="W27" i="60" s="1"/>
  <c r="W28" i="60" s="1"/>
  <c r="W37" i="60" s="1"/>
  <c r="N5" i="88"/>
  <c r="K27" i="60" s="1"/>
  <c r="K28" i="60" s="1"/>
  <c r="K37" i="60" s="1"/>
  <c r="AV5" i="88"/>
  <c r="AS27" i="60" s="1"/>
  <c r="AS28" i="60" s="1"/>
  <c r="AS37" i="60" s="1"/>
  <c r="AK5" i="88"/>
  <c r="AH27" i="60" s="1"/>
  <c r="AH28" i="60" s="1"/>
  <c r="AH37" i="60" s="1"/>
  <c r="Y5" i="88"/>
  <c r="V27" i="60" s="1"/>
  <c r="V28" i="60" s="1"/>
  <c r="V37" i="60" s="1"/>
  <c r="M5" i="88"/>
  <c r="J27" i="60" s="1"/>
  <c r="J28" i="60" s="1"/>
  <c r="J37" i="60" s="1"/>
  <c r="AW5" i="88"/>
  <c r="AT27" i="60" s="1"/>
  <c r="AT28" i="60" s="1"/>
  <c r="AT37" i="60" s="1"/>
  <c r="AJ5" i="88"/>
  <c r="AG27" i="60" s="1"/>
  <c r="AG28" i="60" s="1"/>
  <c r="AG37" i="60" s="1"/>
  <c r="X5" i="88"/>
  <c r="U27" i="60" s="1"/>
  <c r="U28" i="60" s="1"/>
  <c r="U37" i="60" s="1"/>
  <c r="L5" i="88"/>
  <c r="I27" i="60" s="1"/>
  <c r="I28" i="60" s="1"/>
  <c r="I37" i="60" s="1"/>
  <c r="AU5" i="88"/>
  <c r="AR27" i="60" s="1"/>
  <c r="AR28" i="60" s="1"/>
  <c r="AR37" i="60" s="1"/>
  <c r="AI5" i="88"/>
  <c r="AF27" i="60" s="1"/>
  <c r="AF28" i="60" s="1"/>
  <c r="AF37" i="60" s="1"/>
  <c r="W5" i="88"/>
  <c r="T27" i="60" s="1"/>
  <c r="T28" i="60" s="1"/>
  <c r="T37" i="60" s="1"/>
  <c r="K5" i="88"/>
  <c r="H27" i="60" s="1"/>
  <c r="H28" i="60" s="1"/>
  <c r="H37" i="60" s="1"/>
  <c r="AT5" i="88"/>
  <c r="AQ27" i="60" s="1"/>
  <c r="AQ28" i="60" s="1"/>
  <c r="AQ37" i="60" s="1"/>
  <c r="AH5" i="88"/>
  <c r="AE27" i="60" s="1"/>
  <c r="AE28" i="60" s="1"/>
  <c r="AE37" i="60" s="1"/>
  <c r="V5" i="88"/>
  <c r="S27" i="60" s="1"/>
  <c r="S28" i="60" s="1"/>
  <c r="S37" i="60" s="1"/>
  <c r="J5" i="88"/>
  <c r="G27" i="60" s="1"/>
  <c r="G28" i="60" s="1"/>
  <c r="G37" i="60" s="1"/>
  <c r="AS5" i="88"/>
  <c r="AP27" i="60" s="1"/>
  <c r="AP28" i="60" s="1"/>
  <c r="AP37" i="60" s="1"/>
  <c r="AG5" i="88"/>
  <c r="AD27" i="60" s="1"/>
  <c r="AD28" i="60" s="1"/>
  <c r="AD37" i="60" s="1"/>
  <c r="U5" i="88"/>
  <c r="R27" i="60" s="1"/>
  <c r="R28" i="60" s="1"/>
  <c r="R37" i="60" s="1"/>
  <c r="I5" i="88"/>
  <c r="F27" i="60" s="1"/>
  <c r="F28" i="60" s="1"/>
  <c r="F37" i="60" s="1"/>
  <c r="AR5" i="88"/>
  <c r="AO27" i="60" s="1"/>
  <c r="AO28" i="60" s="1"/>
  <c r="AO37" i="60" s="1"/>
  <c r="AF5" i="88"/>
  <c r="AC27" i="60" s="1"/>
  <c r="AC28" i="60" s="1"/>
  <c r="AC37" i="60" s="1"/>
  <c r="T5" i="88"/>
  <c r="Q27" i="60" s="1"/>
  <c r="Q28" i="60" s="1"/>
  <c r="Q37" i="60" s="1"/>
  <c r="H5" i="88"/>
  <c r="E27" i="60" s="1"/>
  <c r="E28" i="60" s="1"/>
  <c r="E37" i="60" s="1"/>
  <c r="AQ5" i="88"/>
  <c r="AN27" i="60" s="1"/>
  <c r="AN28" i="60" s="1"/>
  <c r="AN37" i="60" s="1"/>
  <c r="AE5" i="88"/>
  <c r="AB27" i="60" s="1"/>
  <c r="AB28" i="60" s="1"/>
  <c r="AB37" i="60" s="1"/>
  <c r="S5" i="88"/>
  <c r="P27" i="60" s="1"/>
  <c r="P28" i="60" s="1"/>
  <c r="P37" i="60" s="1"/>
  <c r="G5" i="88"/>
  <c r="D27" i="60" s="1"/>
  <c r="D28" i="60" s="1"/>
  <c r="D37" i="60" s="1"/>
  <c r="AP5" i="88"/>
  <c r="AM27" i="60" s="1"/>
  <c r="AM28" i="60" s="1"/>
  <c r="AM37" i="60" s="1"/>
  <c r="AD5" i="88"/>
  <c r="AA27" i="60" s="1"/>
  <c r="AA28" i="60" s="1"/>
  <c r="AA37" i="60" s="1"/>
  <c r="R5" i="88"/>
  <c r="O27" i="60" s="1"/>
  <c r="O28" i="60" s="1"/>
  <c r="O37" i="60" s="1"/>
  <c r="F5" i="88"/>
  <c r="C27" i="60" s="1"/>
  <c r="C28" i="60" s="1"/>
  <c r="C37" i="60" s="1"/>
  <c r="BE331" i="74"/>
  <c r="BE332" i="74"/>
  <c r="BE369" i="74"/>
  <c r="BE386" i="74"/>
  <c r="BE381" i="74"/>
  <c r="BE354" i="74"/>
  <c r="BE374" i="74"/>
  <c r="BE350" i="74"/>
  <c r="G350" i="74" s="1"/>
  <c r="G17" i="56"/>
  <c r="L17" i="56"/>
  <c r="M17" i="56"/>
  <c r="N17" i="56"/>
  <c r="O17" i="56"/>
  <c r="Q17" i="56"/>
  <c r="R17" i="56"/>
  <c r="S17" i="56"/>
  <c r="T17" i="56"/>
  <c r="U17" i="56"/>
  <c r="V17" i="56"/>
  <c r="W17" i="56"/>
  <c r="X17" i="56"/>
  <c r="Y17" i="56"/>
  <c r="Z17" i="56"/>
  <c r="AA17" i="56"/>
  <c r="AB17" i="56"/>
  <c r="AC17" i="56"/>
  <c r="AD17" i="56"/>
  <c r="AF17" i="56"/>
  <c r="AG17" i="56"/>
  <c r="AH17" i="56"/>
  <c r="AI17" i="56"/>
  <c r="AJ17" i="56"/>
  <c r="AK17" i="56"/>
  <c r="AL17" i="56"/>
  <c r="AM17" i="56"/>
  <c r="AN17" i="56"/>
  <c r="AO17" i="56"/>
  <c r="AP17" i="56"/>
  <c r="AQ17" i="56"/>
  <c r="AR17" i="56"/>
  <c r="AS17" i="56"/>
  <c r="AT17" i="56"/>
  <c r="AU17" i="56"/>
  <c r="AV17" i="56"/>
  <c r="AW17" i="56"/>
  <c r="AX17" i="56"/>
  <c r="AY17" i="56"/>
  <c r="AZ17" i="56"/>
  <c r="BA29" i="55" s="1"/>
  <c r="BA17" i="56"/>
  <c r="BB29" i="55" s="1"/>
  <c r="BE34" i="74" s="1"/>
  <c r="BE178" i="74" s="1"/>
  <c r="BA13" i="56"/>
  <c r="N224" i="52"/>
  <c r="N256" i="52"/>
  <c r="N60" i="52"/>
  <c r="N93" i="52"/>
  <c r="N226" i="52"/>
  <c r="N194" i="52"/>
  <c r="N94" i="52"/>
  <c r="N92" i="52"/>
  <c r="N126" i="52"/>
  <c r="N258" i="52"/>
  <c r="N191" i="52"/>
  <c r="N124" i="52"/>
  <c r="N58" i="52"/>
  <c r="N123" i="52"/>
  <c r="N193" i="52"/>
  <c r="N291" i="52"/>
  <c r="N223" i="52"/>
  <c r="N192" i="52"/>
  <c r="N160" i="52"/>
  <c r="N292" i="52"/>
  <c r="N125" i="52"/>
  <c r="N289" i="52"/>
  <c r="N158" i="52"/>
  <c r="N259" i="52"/>
  <c r="N59" i="52"/>
  <c r="N225" i="52"/>
  <c r="N290" i="52"/>
  <c r="N91" i="52"/>
  <c r="N159" i="52"/>
  <c r="N257" i="52"/>
  <c r="N157" i="52"/>
  <c r="N61" i="52"/>
  <c r="N26" i="52"/>
  <c r="N27" i="52"/>
  <c r="N29" i="52"/>
  <c r="N28" i="52"/>
  <c r="E52" i="54"/>
  <c r="N285" i="52"/>
  <c r="N273" i="52"/>
  <c r="N215" i="52"/>
  <c r="N284" i="52"/>
  <c r="N272" i="52"/>
  <c r="N252" i="52"/>
  <c r="N277" i="52"/>
  <c r="N276" i="52"/>
  <c r="N214" i="52"/>
  <c r="N251" i="52"/>
  <c r="N245" i="52"/>
  <c r="N241" i="52"/>
  <c r="N281" i="52"/>
  <c r="N244" i="52"/>
  <c r="N219" i="52"/>
  <c r="N243" i="52"/>
  <c r="N218" i="52"/>
  <c r="N181" i="52"/>
  <c r="N239" i="52"/>
  <c r="N207" i="52"/>
  <c r="N174" i="52"/>
  <c r="N187" i="52"/>
  <c r="N177" i="52"/>
  <c r="N248" i="52"/>
  <c r="N206" i="52"/>
  <c r="N211" i="52"/>
  <c r="N240" i="52"/>
  <c r="N208" i="52"/>
  <c r="N184" i="52"/>
  <c r="N183" i="52"/>
  <c r="N175" i="52"/>
  <c r="N146" i="52"/>
  <c r="N107" i="52"/>
  <c r="N180" i="52"/>
  <c r="N176" i="52"/>
  <c r="N145" i="52"/>
  <c r="N110" i="52"/>
  <c r="N87" i="52"/>
  <c r="N210" i="52"/>
  <c r="N152" i="52"/>
  <c r="N141" i="52"/>
  <c r="N106" i="52"/>
  <c r="N149" i="52"/>
  <c r="N144" i="52"/>
  <c r="N119" i="52"/>
  <c r="N186" i="52"/>
  <c r="N153" i="52"/>
  <c r="N140" i="52"/>
  <c r="N178" i="52"/>
  <c r="N118" i="52"/>
  <c r="N115" i="52"/>
  <c r="N86" i="52"/>
  <c r="N53" i="52"/>
  <c r="N79" i="52"/>
  <c r="N78" i="52"/>
  <c r="N41" i="52"/>
  <c r="N83" i="52"/>
  <c r="N50" i="52"/>
  <c r="N54" i="52"/>
  <c r="N75" i="52"/>
  <c r="N74" i="52"/>
  <c r="N46" i="52"/>
  <c r="N45" i="52"/>
  <c r="N42" i="52"/>
  <c r="N274" i="52"/>
  <c r="N275" i="52"/>
  <c r="N278" i="52"/>
  <c r="N212" i="52"/>
  <c r="N179" i="52"/>
  <c r="N282" i="52"/>
  <c r="N279" i="52"/>
  <c r="N209" i="52"/>
  <c r="N247" i="52"/>
  <c r="N249" i="52"/>
  <c r="N213" i="52"/>
  <c r="N250" i="52"/>
  <c r="N280" i="52"/>
  <c r="N246" i="52"/>
  <c r="N147" i="52"/>
  <c r="N108" i="52"/>
  <c r="N111" i="52"/>
  <c r="N80" i="52"/>
  <c r="N142" i="52"/>
  <c r="N109" i="52"/>
  <c r="N117" i="52"/>
  <c r="N116" i="52"/>
  <c r="N216" i="52"/>
  <c r="N151" i="52"/>
  <c r="N112" i="52"/>
  <c r="N81" i="52"/>
  <c r="N77" i="52"/>
  <c r="N185" i="52"/>
  <c r="N182" i="52"/>
  <c r="N150" i="52"/>
  <c r="N85" i="52"/>
  <c r="N47" i="52"/>
  <c r="N48" i="52"/>
  <c r="N84" i="52"/>
  <c r="N51" i="52"/>
  <c r="N113" i="52"/>
  <c r="N43" i="52"/>
  <c r="N76" i="52"/>
  <c r="N49" i="52"/>
  <c r="N283" i="52"/>
  <c r="N114" i="52"/>
  <c r="N44" i="52"/>
  <c r="N82" i="52"/>
  <c r="N217" i="52"/>
  <c r="N143" i="52"/>
  <c r="N148" i="52"/>
  <c r="N242" i="52"/>
  <c r="N52" i="52"/>
  <c r="N22" i="52"/>
  <c r="N13" i="52"/>
  <c r="N14" i="52"/>
  <c r="N19" i="52"/>
  <c r="N15" i="52"/>
  <c r="N25" i="52"/>
  <c r="N16" i="52"/>
  <c r="N17" i="52"/>
  <c r="O8" i="52"/>
  <c r="N9" i="52"/>
  <c r="N18" i="52"/>
  <c r="N20" i="52"/>
  <c r="N21" i="52"/>
  <c r="N12" i="52"/>
  <c r="N11" i="52"/>
  <c r="N10" i="52"/>
  <c r="J19" i="74" l="1"/>
  <c r="H33" i="74"/>
  <c r="H177" i="74" s="1"/>
  <c r="C97" i="55"/>
  <c r="AV83" i="55"/>
  <c r="AY19" i="74" s="1"/>
  <c r="AR83" i="55"/>
  <c r="AU19" i="74" s="1"/>
  <c r="AH83" i="55"/>
  <c r="AK19" i="74" s="1"/>
  <c r="AJ83" i="55"/>
  <c r="AM19" i="74" s="1"/>
  <c r="AL83" i="55"/>
  <c r="AO19" i="74" s="1"/>
  <c r="Q83" i="55"/>
  <c r="T19" i="74" s="1"/>
  <c r="AN83" i="55"/>
  <c r="AQ19" i="74" s="1"/>
  <c r="AZ83" i="55"/>
  <c r="BC19" i="74" s="1"/>
  <c r="S83" i="55"/>
  <c r="V19" i="74" s="1"/>
  <c r="I83" i="55"/>
  <c r="L19" i="74" s="1"/>
  <c r="K83" i="55"/>
  <c r="N19" i="74" s="1"/>
  <c r="M83" i="55"/>
  <c r="O83" i="55"/>
  <c r="R19" i="74" s="1"/>
  <c r="AO83" i="55"/>
  <c r="AR19" i="74" s="1"/>
  <c r="BB83" i="55"/>
  <c r="BE19" i="74" s="1"/>
  <c r="BA83" i="55"/>
  <c r="BD19" i="74" s="1"/>
  <c r="AE83" i="55"/>
  <c r="AH19" i="74" s="1"/>
  <c r="U83" i="55"/>
  <c r="X19" i="74" s="1"/>
  <c r="W83" i="55"/>
  <c r="Z19" i="74" s="1"/>
  <c r="Y83" i="55"/>
  <c r="AB19" i="74" s="1"/>
  <c r="AA83" i="55"/>
  <c r="AD19" i="74" s="1"/>
  <c r="R83" i="55"/>
  <c r="U19" i="74" s="1"/>
  <c r="AT83" i="55"/>
  <c r="AW19" i="74" s="1"/>
  <c r="AQ83" i="55"/>
  <c r="AT19" i="74" s="1"/>
  <c r="AG83" i="55"/>
  <c r="AJ19" i="74" s="1"/>
  <c r="AI83" i="55"/>
  <c r="AL19" i="74" s="1"/>
  <c r="AK83" i="55"/>
  <c r="AN19" i="74" s="1"/>
  <c r="AM83" i="55"/>
  <c r="AP19" i="74" s="1"/>
  <c r="AD83" i="55"/>
  <c r="AG19" i="74" s="1"/>
  <c r="H83" i="55"/>
  <c r="K19" i="74" s="1"/>
  <c r="AS83" i="55"/>
  <c r="AV19" i="74" s="1"/>
  <c r="AU83" i="55"/>
  <c r="AX19" i="74" s="1"/>
  <c r="AW83" i="55"/>
  <c r="AZ19" i="74" s="1"/>
  <c r="AY83" i="55"/>
  <c r="BB19" i="74" s="1"/>
  <c r="AP83" i="55"/>
  <c r="AS19" i="74" s="1"/>
  <c r="AC83" i="55"/>
  <c r="AF19" i="74" s="1"/>
  <c r="T83" i="55"/>
  <c r="W19" i="74" s="1"/>
  <c r="J83" i="55"/>
  <c r="M19" i="74" s="1"/>
  <c r="L83" i="55"/>
  <c r="O19" i="74" s="1"/>
  <c r="N83" i="55"/>
  <c r="Q19" i="74" s="1"/>
  <c r="P83" i="55"/>
  <c r="S19" i="74" s="1"/>
  <c r="AX83" i="55"/>
  <c r="BA19" i="74" s="1"/>
  <c r="AF83" i="55"/>
  <c r="AI19" i="74" s="1"/>
  <c r="V83" i="55"/>
  <c r="Y19" i="74" s="1"/>
  <c r="X83" i="55"/>
  <c r="AA19" i="74" s="1"/>
  <c r="Z83" i="55"/>
  <c r="AC19" i="74" s="1"/>
  <c r="AB83" i="55"/>
  <c r="AE19" i="74" s="1"/>
  <c r="G82" i="55"/>
  <c r="BE175" i="74"/>
  <c r="BA26" i="55"/>
  <c r="BD31" i="74" s="1"/>
  <c r="BD176" i="74" s="1"/>
  <c r="AZ13" i="56"/>
  <c r="AZ12" i="56" s="1"/>
  <c r="AS26" i="55"/>
  <c r="AV31" i="74" s="1"/>
  <c r="AV176" i="74" s="1"/>
  <c r="AR13" i="56"/>
  <c r="AR12" i="56" s="1"/>
  <c r="AL26" i="55"/>
  <c r="AO31" i="74" s="1"/>
  <c r="AO176" i="74" s="1"/>
  <c r="AK13" i="56"/>
  <c r="AK12" i="56" s="1"/>
  <c r="AC26" i="55"/>
  <c r="AF31" i="74" s="1"/>
  <c r="AF176" i="74" s="1"/>
  <c r="AB13" i="56"/>
  <c r="AB12" i="56" s="1"/>
  <c r="U26" i="55"/>
  <c r="X31" i="74" s="1"/>
  <c r="X176" i="74" s="1"/>
  <c r="T13" i="56"/>
  <c r="T12" i="56" s="1"/>
  <c r="L13" i="56"/>
  <c r="L12" i="56" s="1"/>
  <c r="M26" i="55"/>
  <c r="P31" i="74" s="1"/>
  <c r="P176" i="74" s="1"/>
  <c r="AZ26" i="55"/>
  <c r="BC31" i="74" s="1"/>
  <c r="BC176" i="74" s="1"/>
  <c r="AY13" i="56"/>
  <c r="AY12" i="56" s="1"/>
  <c r="AQ13" i="56"/>
  <c r="AQ12" i="56" s="1"/>
  <c r="AR26" i="55"/>
  <c r="AU31" i="74" s="1"/>
  <c r="AU176" i="74" s="1"/>
  <c r="AJ26" i="55"/>
  <c r="AM31" i="74" s="1"/>
  <c r="AM176" i="74" s="1"/>
  <c r="AI13" i="56"/>
  <c r="AI12" i="56" s="1"/>
  <c r="AA13" i="56"/>
  <c r="AA12" i="56" s="1"/>
  <c r="AB26" i="55"/>
  <c r="AE31" i="74" s="1"/>
  <c r="AE176" i="74" s="1"/>
  <c r="S13" i="56"/>
  <c r="S12" i="56" s="1"/>
  <c r="T26" i="55"/>
  <c r="W31" i="74" s="1"/>
  <c r="W176" i="74" s="1"/>
  <c r="AX13" i="56"/>
  <c r="AX12" i="56" s="1"/>
  <c r="AY26" i="55"/>
  <c r="BB31" i="74" s="1"/>
  <c r="BB176" i="74" s="1"/>
  <c r="AQ26" i="55"/>
  <c r="AT31" i="74" s="1"/>
  <c r="AT176" i="74" s="1"/>
  <c r="AP13" i="56"/>
  <c r="AP12" i="56" s="1"/>
  <c r="AI26" i="55"/>
  <c r="AL31" i="74" s="1"/>
  <c r="AL176" i="74" s="1"/>
  <c r="AH13" i="56"/>
  <c r="AH12" i="56" s="1"/>
  <c r="AA26" i="55"/>
  <c r="AD31" i="74" s="1"/>
  <c r="AD176" i="74" s="1"/>
  <c r="Z13" i="56"/>
  <c r="Z12" i="56" s="1"/>
  <c r="S26" i="55"/>
  <c r="V31" i="74" s="1"/>
  <c r="V176" i="74" s="1"/>
  <c r="R13" i="56"/>
  <c r="R12" i="56" s="1"/>
  <c r="AX26" i="55"/>
  <c r="BA31" i="74" s="1"/>
  <c r="BA176" i="74" s="1"/>
  <c r="AW13" i="56"/>
  <c r="AW12" i="56" s="1"/>
  <c r="AP26" i="55"/>
  <c r="AS31" i="74" s="1"/>
  <c r="AS176" i="74" s="1"/>
  <c r="AO13" i="56"/>
  <c r="AO12" i="56" s="1"/>
  <c r="AH26" i="55"/>
  <c r="AK31" i="74" s="1"/>
  <c r="AK176" i="74" s="1"/>
  <c r="AG13" i="56"/>
  <c r="AG12" i="56" s="1"/>
  <c r="Z26" i="55"/>
  <c r="AC31" i="74" s="1"/>
  <c r="AC176" i="74" s="1"/>
  <c r="Y13" i="56"/>
  <c r="Y12" i="56" s="1"/>
  <c r="R26" i="55"/>
  <c r="U31" i="74" s="1"/>
  <c r="U176" i="74" s="1"/>
  <c r="Q13" i="56"/>
  <c r="Q12" i="56" s="1"/>
  <c r="AW26" i="55"/>
  <c r="AZ31" i="74" s="1"/>
  <c r="AZ176" i="74" s="1"/>
  <c r="AV13" i="56"/>
  <c r="AV12" i="56" s="1"/>
  <c r="AN13" i="56"/>
  <c r="AN12" i="56" s="1"/>
  <c r="AO26" i="55"/>
  <c r="AR31" i="74" s="1"/>
  <c r="AR176" i="74" s="1"/>
  <c r="AG26" i="55"/>
  <c r="AJ31" i="74" s="1"/>
  <c r="AJ176" i="74" s="1"/>
  <c r="AF13" i="56"/>
  <c r="Y26" i="55"/>
  <c r="AB31" i="74" s="1"/>
  <c r="AB176" i="74" s="1"/>
  <c r="X13" i="56"/>
  <c r="X12" i="56" s="1"/>
  <c r="AV26" i="55"/>
  <c r="AY31" i="74" s="1"/>
  <c r="AY176" i="74" s="1"/>
  <c r="AU13" i="56"/>
  <c r="AU12" i="56" s="1"/>
  <c r="AN26" i="55"/>
  <c r="AQ31" i="74" s="1"/>
  <c r="AQ176" i="74" s="1"/>
  <c r="AM13" i="56"/>
  <c r="AM12" i="56" s="1"/>
  <c r="AF26" i="55"/>
  <c r="AI31" i="74" s="1"/>
  <c r="AI176" i="74" s="1"/>
  <c r="AE13" i="56"/>
  <c r="X26" i="55"/>
  <c r="AA31" i="74" s="1"/>
  <c r="AA176" i="74" s="1"/>
  <c r="W13" i="56"/>
  <c r="W12" i="56" s="1"/>
  <c r="P26" i="55"/>
  <c r="S31" i="74" s="1"/>
  <c r="S176" i="74" s="1"/>
  <c r="O13" i="56"/>
  <c r="O12" i="56" s="1"/>
  <c r="H26" i="55"/>
  <c r="K31" i="74" s="1"/>
  <c r="K176" i="74" s="1"/>
  <c r="G13" i="56"/>
  <c r="G12" i="56" s="1"/>
  <c r="AU26" i="55"/>
  <c r="AX31" i="74" s="1"/>
  <c r="AX176" i="74" s="1"/>
  <c r="AT13" i="56"/>
  <c r="AT12" i="56" s="1"/>
  <c r="AL13" i="56"/>
  <c r="AL12" i="56" s="1"/>
  <c r="AM26" i="55"/>
  <c r="AP31" i="74" s="1"/>
  <c r="AP176" i="74" s="1"/>
  <c r="AE26" i="55"/>
  <c r="AH31" i="74" s="1"/>
  <c r="AH176" i="74" s="1"/>
  <c r="AD13" i="56"/>
  <c r="AD12" i="56" s="1"/>
  <c r="V13" i="56"/>
  <c r="V12" i="56" s="1"/>
  <c r="W26" i="55"/>
  <c r="Z31" i="74" s="1"/>
  <c r="Z176" i="74" s="1"/>
  <c r="O26" i="55"/>
  <c r="R31" i="74" s="1"/>
  <c r="R176" i="74" s="1"/>
  <c r="N13" i="56"/>
  <c r="N12" i="56" s="1"/>
  <c r="AS13" i="56"/>
  <c r="AS12" i="56" s="1"/>
  <c r="AT26" i="55"/>
  <c r="AW31" i="74" s="1"/>
  <c r="AW176" i="74" s="1"/>
  <c r="AJ13" i="56"/>
  <c r="AJ12" i="56" s="1"/>
  <c r="AK26" i="55"/>
  <c r="AN31" i="74" s="1"/>
  <c r="AN176" i="74" s="1"/>
  <c r="AD26" i="55"/>
  <c r="AG31" i="74" s="1"/>
  <c r="AG176" i="74" s="1"/>
  <c r="AC13" i="56"/>
  <c r="AC12" i="56" s="1"/>
  <c r="V26" i="55"/>
  <c r="Y31" i="74" s="1"/>
  <c r="Y176" i="74" s="1"/>
  <c r="U13" i="56"/>
  <c r="U12" i="56" s="1"/>
  <c r="N26" i="55"/>
  <c r="Q31" i="74" s="1"/>
  <c r="Q176" i="74" s="1"/>
  <c r="M13" i="56"/>
  <c r="M12" i="56" s="1"/>
  <c r="R11" i="57"/>
  <c r="S11" i="57"/>
  <c r="BE389" i="74"/>
  <c r="BE388" i="74"/>
  <c r="BB25" i="55"/>
  <c r="F14" i="57"/>
  <c r="G35" i="55" s="1"/>
  <c r="G14" i="57"/>
  <c r="H35" i="55" s="1"/>
  <c r="H14" i="57"/>
  <c r="I35" i="55" s="1"/>
  <c r="I14" i="57"/>
  <c r="J35" i="55" s="1"/>
  <c r="AA14" i="57"/>
  <c r="AB35" i="55" s="1"/>
  <c r="AB14" i="57"/>
  <c r="AC35" i="55" s="1"/>
  <c r="AH14" i="57"/>
  <c r="AI35" i="55" s="1"/>
  <c r="AI14" i="57"/>
  <c r="AJ35" i="55" s="1"/>
  <c r="AJ14" i="57"/>
  <c r="AK35" i="55" s="1"/>
  <c r="AK14" i="57"/>
  <c r="AL35" i="55" s="1"/>
  <c r="AL14" i="57"/>
  <c r="AM35" i="55" s="1"/>
  <c r="AM14" i="57"/>
  <c r="AN35" i="55" s="1"/>
  <c r="AN14" i="57"/>
  <c r="AO35" i="55" s="1"/>
  <c r="AO14" i="57"/>
  <c r="AP35" i="55" s="1"/>
  <c r="AP14" i="57"/>
  <c r="AQ35" i="55" s="1"/>
  <c r="AQ14" i="57"/>
  <c r="AR35" i="55" s="1"/>
  <c r="AR14" i="57"/>
  <c r="AS35" i="55" s="1"/>
  <c r="AS14" i="57"/>
  <c r="AT35" i="55" s="1"/>
  <c r="AT14" i="57"/>
  <c r="AU35" i="55" s="1"/>
  <c r="AU14" i="57"/>
  <c r="AV35" i="55" s="1"/>
  <c r="AW14" i="57"/>
  <c r="AX35" i="55" s="1"/>
  <c r="AV14" i="57"/>
  <c r="AW35" i="55" s="1"/>
  <c r="AX14" i="57"/>
  <c r="AY35" i="55" s="1"/>
  <c r="AY14" i="57"/>
  <c r="AZ35" i="55" s="1"/>
  <c r="AZ14" i="57"/>
  <c r="BA35" i="55" s="1"/>
  <c r="BA14" i="57"/>
  <c r="BB35" i="55" s="1"/>
  <c r="J18" i="56"/>
  <c r="P18" i="56"/>
  <c r="G4" i="88"/>
  <c r="G13" i="58" s="1"/>
  <c r="H42" i="55" s="1"/>
  <c r="H4" i="88"/>
  <c r="H13" i="58" s="1"/>
  <c r="I42" i="55" s="1"/>
  <c r="I4" i="88"/>
  <c r="I13" i="58" s="1"/>
  <c r="J42" i="55" s="1"/>
  <c r="J4" i="88"/>
  <c r="J13" i="58" s="1"/>
  <c r="K42" i="55" s="1"/>
  <c r="K4" i="88"/>
  <c r="K13" i="58" s="1"/>
  <c r="L42" i="55" s="1"/>
  <c r="L4" i="88"/>
  <c r="L13" i="58" s="1"/>
  <c r="M42" i="55" s="1"/>
  <c r="M4" i="88"/>
  <c r="M13" i="58" s="1"/>
  <c r="N42" i="55" s="1"/>
  <c r="N4" i="88"/>
  <c r="N13" i="58" s="1"/>
  <c r="O42" i="55" s="1"/>
  <c r="O4" i="88"/>
  <c r="O13" i="58" s="1"/>
  <c r="P42" i="55" s="1"/>
  <c r="P4" i="88"/>
  <c r="P13" i="58" s="1"/>
  <c r="Q42" i="55" s="1"/>
  <c r="Q4" i="88"/>
  <c r="Q13" i="58" s="1"/>
  <c r="R42" i="55" s="1"/>
  <c r="R4" i="88"/>
  <c r="R13" i="58" s="1"/>
  <c r="S42" i="55" s="1"/>
  <c r="S4" i="88"/>
  <c r="S13" i="58" s="1"/>
  <c r="T42" i="55" s="1"/>
  <c r="T4" i="88"/>
  <c r="T13" i="58" s="1"/>
  <c r="U42" i="55" s="1"/>
  <c r="U4" i="88"/>
  <c r="U13" i="58" s="1"/>
  <c r="V42" i="55" s="1"/>
  <c r="V4" i="88"/>
  <c r="V13" i="58" s="1"/>
  <c r="W42" i="55" s="1"/>
  <c r="W4" i="88"/>
  <c r="W13" i="58" s="1"/>
  <c r="X42" i="55" s="1"/>
  <c r="X4" i="88"/>
  <c r="X13" i="58" s="1"/>
  <c r="Y42" i="55" s="1"/>
  <c r="Y4" i="88"/>
  <c r="Y13" i="58" s="1"/>
  <c r="Z42" i="55" s="1"/>
  <c r="Z4" i="88"/>
  <c r="Z13" i="58" s="1"/>
  <c r="AA42" i="55" s="1"/>
  <c r="AA4" i="88"/>
  <c r="AA13" i="58" s="1"/>
  <c r="AB42" i="55" s="1"/>
  <c r="AB4" i="88"/>
  <c r="AB13" i="58" s="1"/>
  <c r="AC42" i="55" s="1"/>
  <c r="AC4" i="88"/>
  <c r="AC13" i="58" s="1"/>
  <c r="AD42" i="55" s="1"/>
  <c r="AD4" i="88"/>
  <c r="AD13" i="58" s="1"/>
  <c r="AE42" i="55" s="1"/>
  <c r="AE4" i="88"/>
  <c r="AE13" i="58" s="1"/>
  <c r="AF42" i="55" s="1"/>
  <c r="AF4" i="88"/>
  <c r="AF13" i="58" s="1"/>
  <c r="AG42" i="55" s="1"/>
  <c r="AG4" i="88"/>
  <c r="AG13" i="58" s="1"/>
  <c r="AH42" i="55" s="1"/>
  <c r="AH4" i="88"/>
  <c r="AH13" i="58" s="1"/>
  <c r="AI42" i="55" s="1"/>
  <c r="AI4" i="88"/>
  <c r="AI13" i="58" s="1"/>
  <c r="AJ42" i="55" s="1"/>
  <c r="AJ4" i="88"/>
  <c r="AJ13" i="58" s="1"/>
  <c r="AK42" i="55" s="1"/>
  <c r="AK4" i="88"/>
  <c r="AK13" i="58" s="1"/>
  <c r="AL42" i="55" s="1"/>
  <c r="AL4" i="88"/>
  <c r="AL13" i="58" s="1"/>
  <c r="AM42" i="55" s="1"/>
  <c r="AM4" i="88"/>
  <c r="AM13" i="58" s="1"/>
  <c r="AN42" i="55" s="1"/>
  <c r="AN4" i="88"/>
  <c r="AN13" i="58" s="1"/>
  <c r="AO42" i="55" s="1"/>
  <c r="AO4" i="88"/>
  <c r="AO13" i="58" s="1"/>
  <c r="AP42" i="55" s="1"/>
  <c r="AP4" i="88"/>
  <c r="AP13" i="58" s="1"/>
  <c r="AQ42" i="55" s="1"/>
  <c r="AQ4" i="88"/>
  <c r="AQ13" i="58" s="1"/>
  <c r="AR42" i="55" s="1"/>
  <c r="AR4" i="88"/>
  <c r="AR13" i="58" s="1"/>
  <c r="AS42" i="55" s="1"/>
  <c r="AS4" i="88"/>
  <c r="AS13" i="58" s="1"/>
  <c r="AT42" i="55" s="1"/>
  <c r="AT4" i="88"/>
  <c r="AT13" i="58" s="1"/>
  <c r="AU42" i="55" s="1"/>
  <c r="AV4" i="88"/>
  <c r="AV13" i="58" s="1"/>
  <c r="AW42" i="55" s="1"/>
  <c r="AU4" i="88"/>
  <c r="AU13" i="58" s="1"/>
  <c r="AV42" i="55" s="1"/>
  <c r="AW4" i="88"/>
  <c r="AW13" i="58" s="1"/>
  <c r="AX42" i="55" s="1"/>
  <c r="AX4" i="88"/>
  <c r="AX13" i="58" s="1"/>
  <c r="AY42" i="55" s="1"/>
  <c r="AY4" i="88"/>
  <c r="AY13" i="58" s="1"/>
  <c r="AZ42" i="55" s="1"/>
  <c r="AZ4" i="88"/>
  <c r="AZ13" i="58" s="1"/>
  <c r="BA42" i="55" s="1"/>
  <c r="BA4" i="88"/>
  <c r="BA13" i="58" s="1"/>
  <c r="BB42" i="55" s="1"/>
  <c r="AK24" i="60"/>
  <c r="AK36" i="60" s="1"/>
  <c r="AL24" i="60"/>
  <c r="AL36" i="60" s="1"/>
  <c r="AM24" i="60"/>
  <c r="AM36" i="60" s="1"/>
  <c r="AN24" i="60"/>
  <c r="AN36" i="60" s="1"/>
  <c r="AO24" i="60"/>
  <c r="AO36" i="60" s="1"/>
  <c r="AP24" i="60"/>
  <c r="AP36" i="60" s="1"/>
  <c r="AQ24" i="60"/>
  <c r="AQ36" i="60" s="1"/>
  <c r="AR24" i="60"/>
  <c r="AR36" i="60" s="1"/>
  <c r="AU11" i="57"/>
  <c r="AU12" i="58"/>
  <c r="AV77" i="55" s="1"/>
  <c r="AY13" i="74" s="1"/>
  <c r="AU12" i="57"/>
  <c r="AS24" i="60"/>
  <c r="AS36" i="60" s="1"/>
  <c r="AU11" i="58"/>
  <c r="AV12" i="58"/>
  <c r="AW77" i="55" s="1"/>
  <c r="AZ13" i="74" s="1"/>
  <c r="AU10" i="58"/>
  <c r="AT24" i="60"/>
  <c r="AT36" i="60" s="1"/>
  <c r="AU9" i="58"/>
  <c r="AV12" i="57"/>
  <c r="AV11" i="57"/>
  <c r="AW11" i="57"/>
  <c r="AV11" i="58"/>
  <c r="AV10" i="58"/>
  <c r="AW12" i="57"/>
  <c r="AV9" i="58"/>
  <c r="AW12" i="58"/>
  <c r="AX77" i="55" s="1"/>
  <c r="BA13" i="74" s="1"/>
  <c r="AU24" i="60"/>
  <c r="AU36" i="60" s="1"/>
  <c r="AW10" i="58"/>
  <c r="AX11" i="57"/>
  <c r="AW11" i="58"/>
  <c r="AX12" i="57"/>
  <c r="AX12" i="58"/>
  <c r="AY77" i="55" s="1"/>
  <c r="BB13" i="74" s="1"/>
  <c r="AW9" i="58"/>
  <c r="AV24" i="60"/>
  <c r="AV36" i="60" s="1"/>
  <c r="AX10" i="58"/>
  <c r="AW24" i="60"/>
  <c r="AW36" i="60" s="1"/>
  <c r="AY12" i="57"/>
  <c r="AY12" i="58"/>
  <c r="AZ77" i="55" s="1"/>
  <c r="BC13" i="74" s="1"/>
  <c r="AY11" i="57"/>
  <c r="AX11" i="58"/>
  <c r="AX9" i="58"/>
  <c r="AY10" i="58"/>
  <c r="AZ11" i="57"/>
  <c r="AZ12" i="58"/>
  <c r="BA77" i="55" s="1"/>
  <c r="BD13" i="74" s="1"/>
  <c r="AY9" i="58"/>
  <c r="AY11" i="58"/>
  <c r="AZ12" i="57"/>
  <c r="AX24" i="60"/>
  <c r="AX36" i="60" s="1"/>
  <c r="BA11" i="57"/>
  <c r="AZ10" i="58"/>
  <c r="AZ9" i="58"/>
  <c r="AZ11" i="58"/>
  <c r="BA12" i="58"/>
  <c r="BB77" i="55" s="1"/>
  <c r="BE13" i="74" s="1"/>
  <c r="BA12" i="57"/>
  <c r="BA11" i="58"/>
  <c r="BA10" i="58"/>
  <c r="BA9" i="58"/>
  <c r="BD34" i="74"/>
  <c r="BD178" i="74" s="1"/>
  <c r="AZ29" i="55"/>
  <c r="BA12" i="56"/>
  <c r="AY29" i="55"/>
  <c r="AX29" i="55"/>
  <c r="AW29" i="55"/>
  <c r="AV29" i="55"/>
  <c r="P29" i="55"/>
  <c r="Z29" i="55"/>
  <c r="AC29" i="55"/>
  <c r="AM29" i="55"/>
  <c r="AA29" i="55"/>
  <c r="O29" i="55"/>
  <c r="AT29" i="55"/>
  <c r="R29" i="55"/>
  <c r="AQ29" i="55"/>
  <c r="AE29" i="55"/>
  <c r="H29" i="55"/>
  <c r="AL29" i="55"/>
  <c r="AD29" i="55"/>
  <c r="N29" i="55"/>
  <c r="AO29" i="55"/>
  <c r="AK29" i="55"/>
  <c r="AF12" i="56"/>
  <c r="AG29" i="55"/>
  <c r="Y29" i="55"/>
  <c r="U29" i="55"/>
  <c r="M29" i="55"/>
  <c r="T29" i="55"/>
  <c r="AU29" i="55"/>
  <c r="AI29" i="55"/>
  <c r="W29" i="55"/>
  <c r="S29" i="55"/>
  <c r="AP29" i="55"/>
  <c r="AH29" i="55"/>
  <c r="V29" i="55"/>
  <c r="C24" i="60"/>
  <c r="C36" i="60" s="1"/>
  <c r="F12" i="58" s="1"/>
  <c r="G77" i="55" s="1"/>
  <c r="F12" i="57"/>
  <c r="D24" i="60"/>
  <c r="D36" i="60" s="1"/>
  <c r="E24" i="60"/>
  <c r="E36" i="60" s="1"/>
  <c r="G12" i="57"/>
  <c r="G12" i="58"/>
  <c r="H77" i="55" s="1"/>
  <c r="K13" i="74" s="1"/>
  <c r="F11" i="57"/>
  <c r="G11" i="58"/>
  <c r="F9" i="58"/>
  <c r="F24" i="60"/>
  <c r="F36" i="60" s="1"/>
  <c r="H12" i="57"/>
  <c r="F10" i="58"/>
  <c r="H12" i="58"/>
  <c r="I77" i="55" s="1"/>
  <c r="L13" i="74" s="1"/>
  <c r="G11" i="57"/>
  <c r="I12" i="58"/>
  <c r="J77" i="55" s="1"/>
  <c r="M13" i="74" s="1"/>
  <c r="I12" i="57"/>
  <c r="G24" i="60"/>
  <c r="G36" i="60" s="1"/>
  <c r="J12" i="58" s="1"/>
  <c r="K77" i="55" s="1"/>
  <c r="N13" i="74" s="1"/>
  <c r="H24" i="60"/>
  <c r="H36" i="60" s="1"/>
  <c r="K12" i="58" s="1"/>
  <c r="L77" i="55" s="1"/>
  <c r="O13" i="74" s="1"/>
  <c r="J12" i="57"/>
  <c r="G9" i="58"/>
  <c r="H40" i="55" s="1"/>
  <c r="I24" i="60"/>
  <c r="I36" i="60" s="1"/>
  <c r="L12" i="58" s="1"/>
  <c r="M77" i="55" s="1"/>
  <c r="P13" i="74" s="1"/>
  <c r="J11" i="57"/>
  <c r="K11" i="57"/>
  <c r="H11" i="57"/>
  <c r="K12" i="57"/>
  <c r="H9" i="58"/>
  <c r="I40" i="55" s="1"/>
  <c r="G10" i="58"/>
  <c r="K9" i="58"/>
  <c r="L40" i="55" s="1"/>
  <c r="L11" i="57"/>
  <c r="L12" i="57"/>
  <c r="L9" i="58"/>
  <c r="M40" i="55" s="1"/>
  <c r="I11" i="57"/>
  <c r="J24" i="60"/>
  <c r="J36" i="60" s="1"/>
  <c r="M12" i="58" s="1"/>
  <c r="N77" i="55" s="1"/>
  <c r="Q13" i="74" s="1"/>
  <c r="J9" i="58"/>
  <c r="K40" i="55" s="1"/>
  <c r="I9" i="58"/>
  <c r="J40" i="55" s="1"/>
  <c r="M11" i="57"/>
  <c r="M9" i="58"/>
  <c r="N40" i="55" s="1"/>
  <c r="M12" i="57"/>
  <c r="K24" i="60"/>
  <c r="K36" i="60" s="1"/>
  <c r="N12" i="58" s="1"/>
  <c r="O77" i="55" s="1"/>
  <c r="R13" i="74" s="1"/>
  <c r="N12" i="57"/>
  <c r="L24" i="60"/>
  <c r="L36" i="60" s="1"/>
  <c r="O12" i="58" s="1"/>
  <c r="P77" i="55" s="1"/>
  <c r="S13" i="74" s="1"/>
  <c r="N11" i="57"/>
  <c r="N9" i="58"/>
  <c r="O40" i="55" s="1"/>
  <c r="O11" i="57"/>
  <c r="O9" i="58"/>
  <c r="P40" i="55" s="1"/>
  <c r="O12" i="57"/>
  <c r="M24" i="60"/>
  <c r="M36" i="60" s="1"/>
  <c r="P12" i="58" s="1"/>
  <c r="Q77" i="55" s="1"/>
  <c r="T13" i="74" s="1"/>
  <c r="N24" i="60"/>
  <c r="N36" i="60" s="1"/>
  <c r="Q12" i="58" s="1"/>
  <c r="R77" i="55" s="1"/>
  <c r="U13" i="74" s="1"/>
  <c r="P12" i="57"/>
  <c r="P9" i="58"/>
  <c r="Q40" i="55" s="1"/>
  <c r="P11" i="57"/>
  <c r="Q11" i="57"/>
  <c r="Q12" i="57"/>
  <c r="Q9" i="58"/>
  <c r="R40" i="55" s="1"/>
  <c r="O24" i="60"/>
  <c r="O36" i="60" s="1"/>
  <c r="R12" i="58" s="1"/>
  <c r="S77" i="55" s="1"/>
  <c r="V13" i="74" s="1"/>
  <c r="P24" i="60"/>
  <c r="P36" i="60" s="1"/>
  <c r="S12" i="58" s="1"/>
  <c r="T77" i="55" s="1"/>
  <c r="W13" i="74" s="1"/>
  <c r="R9" i="58"/>
  <c r="S40" i="55" s="1"/>
  <c r="R12" i="57"/>
  <c r="S9" i="58"/>
  <c r="T40" i="55" s="1"/>
  <c r="Q24" i="60"/>
  <c r="Q36" i="60" s="1"/>
  <c r="T12" i="58" s="1"/>
  <c r="U77" i="55" s="1"/>
  <c r="X13" i="74" s="1"/>
  <c r="S12" i="57"/>
  <c r="R24" i="60"/>
  <c r="R36" i="60" s="1"/>
  <c r="U12" i="58" s="1"/>
  <c r="V77" i="55" s="1"/>
  <c r="Y13" i="74" s="1"/>
  <c r="T9" i="58"/>
  <c r="U40" i="55" s="1"/>
  <c r="T11" i="57"/>
  <c r="T12" i="57"/>
  <c r="S24" i="60"/>
  <c r="S36" i="60" s="1"/>
  <c r="V12" i="58" s="1"/>
  <c r="W77" i="55" s="1"/>
  <c r="Z13" i="74" s="1"/>
  <c r="U11" i="57"/>
  <c r="U9" i="58"/>
  <c r="V40" i="55" s="1"/>
  <c r="U12" i="57"/>
  <c r="V11" i="57"/>
  <c r="V12" i="57"/>
  <c r="T24" i="60"/>
  <c r="T36" i="60" s="1"/>
  <c r="W12" i="58" s="1"/>
  <c r="X77" i="55" s="1"/>
  <c r="AA13" i="74" s="1"/>
  <c r="V9" i="58"/>
  <c r="W40" i="55" s="1"/>
  <c r="W11" i="57"/>
  <c r="X11" i="57"/>
  <c r="W9" i="58"/>
  <c r="X40" i="55" s="1"/>
  <c r="U24" i="60"/>
  <c r="U36" i="60" s="1"/>
  <c r="X12" i="58" s="1"/>
  <c r="Y77" i="55" s="1"/>
  <c r="AB13" i="74" s="1"/>
  <c r="W12" i="57"/>
  <c r="X12" i="57"/>
  <c r="X9" i="58"/>
  <c r="Y11" i="57"/>
  <c r="Y12" i="57"/>
  <c r="V24" i="60"/>
  <c r="V36" i="60" s="1"/>
  <c r="Y12" i="58" s="1"/>
  <c r="Z77" i="55" s="1"/>
  <c r="AC13" i="74" s="1"/>
  <c r="Z12" i="57"/>
  <c r="Y9" i="58"/>
  <c r="Z11" i="57"/>
  <c r="W24" i="60"/>
  <c r="W36" i="60" s="1"/>
  <c r="Z12" i="58" s="1"/>
  <c r="AA77" i="55" s="1"/>
  <c r="AD13" i="74" s="1"/>
  <c r="X24" i="60"/>
  <c r="X36" i="60" s="1"/>
  <c r="AA12" i="58" s="1"/>
  <c r="AB77" i="55" s="1"/>
  <c r="AE13" i="74" s="1"/>
  <c r="Z9" i="58"/>
  <c r="AA11" i="57"/>
  <c r="AA12" i="57"/>
  <c r="AB12" i="57"/>
  <c r="Y24" i="60"/>
  <c r="Y36" i="60" s="1"/>
  <c r="AB12" i="58" s="1"/>
  <c r="AC77" i="55" s="1"/>
  <c r="AF13" i="74" s="1"/>
  <c r="AA9" i="58"/>
  <c r="AB11" i="57"/>
  <c r="AB9" i="58"/>
  <c r="AC12" i="57"/>
  <c r="Z24" i="60"/>
  <c r="Z36" i="60" s="1"/>
  <c r="AC12" i="58" s="1"/>
  <c r="AD77" i="55" s="1"/>
  <c r="AG13" i="74" s="1"/>
  <c r="AC11" i="57"/>
  <c r="AC9" i="58"/>
  <c r="AD12" i="57"/>
  <c r="AA24" i="60"/>
  <c r="AA36" i="60" s="1"/>
  <c r="AD12" i="58" s="1"/>
  <c r="AE77" i="55" s="1"/>
  <c r="AH13" i="74" s="1"/>
  <c r="AD11" i="57"/>
  <c r="AB24" i="60"/>
  <c r="AB36" i="60" s="1"/>
  <c r="AE12" i="58" s="1"/>
  <c r="AF77" i="55" s="1"/>
  <c r="AI13" i="74" s="1"/>
  <c r="AD9" i="58"/>
  <c r="AE11" i="57"/>
  <c r="AE12" i="57"/>
  <c r="AF11" i="57"/>
  <c r="AD24" i="60"/>
  <c r="AD36" i="60" s="1"/>
  <c r="AG12" i="58" s="1"/>
  <c r="AH77" i="55" s="1"/>
  <c r="AK13" i="74" s="1"/>
  <c r="AE9" i="58"/>
  <c r="AC24" i="60"/>
  <c r="AC36" i="60" s="1"/>
  <c r="AF12" i="58" s="1"/>
  <c r="AG77" i="55" s="1"/>
  <c r="AJ13" i="74" s="1"/>
  <c r="AF12" i="57"/>
  <c r="AG12" i="57"/>
  <c r="AE24" i="60"/>
  <c r="AE36" i="60" s="1"/>
  <c r="AF9" i="58"/>
  <c r="AG11" i="57"/>
  <c r="AF24" i="60"/>
  <c r="AF36" i="60" s="1"/>
  <c r="AH12" i="58"/>
  <c r="AI77" i="55" s="1"/>
  <c r="AL13" i="74" s="1"/>
  <c r="AH11" i="57"/>
  <c r="AG9" i="58"/>
  <c r="AH12" i="57"/>
  <c r="AG24" i="60"/>
  <c r="AG36" i="60" s="1"/>
  <c r="AH11" i="58"/>
  <c r="AI12" i="57"/>
  <c r="AH10" i="58"/>
  <c r="AH9" i="58"/>
  <c r="AI12" i="58"/>
  <c r="AJ77" i="55" s="1"/>
  <c r="AM13" i="74" s="1"/>
  <c r="AI11" i="57"/>
  <c r="AI11" i="58"/>
  <c r="AH24" i="60"/>
  <c r="AH36" i="60" s="1"/>
  <c r="AI9" i="58"/>
  <c r="AJ12" i="57"/>
  <c r="AI10" i="58"/>
  <c r="AJ11" i="57"/>
  <c r="AJ12" i="58"/>
  <c r="AK77" i="55" s="1"/>
  <c r="AN13" i="74" s="1"/>
  <c r="AI24" i="60"/>
  <c r="AI36" i="60" s="1"/>
  <c r="AJ9" i="58"/>
  <c r="AJ11" i="58"/>
  <c r="AK11" i="57"/>
  <c r="AJ10" i="58"/>
  <c r="AK12" i="58"/>
  <c r="AL77" i="55" s="1"/>
  <c r="AO13" i="74" s="1"/>
  <c r="AK12" i="57"/>
  <c r="AL12" i="58"/>
  <c r="AM77" i="55" s="1"/>
  <c r="AP13" i="74" s="1"/>
  <c r="AL11" i="57"/>
  <c r="AK9" i="58"/>
  <c r="AK10" i="58"/>
  <c r="AL12" i="57"/>
  <c r="AJ24" i="60"/>
  <c r="AJ36" i="60" s="1"/>
  <c r="AK11" i="58"/>
  <c r="AM12" i="58"/>
  <c r="AN77" i="55" s="1"/>
  <c r="AQ13" i="74" s="1"/>
  <c r="AM11" i="57"/>
  <c r="AL9" i="58"/>
  <c r="AL10" i="58"/>
  <c r="AL11" i="58"/>
  <c r="AM12" i="57"/>
  <c r="AN12" i="57"/>
  <c r="AM10" i="58"/>
  <c r="AN12" i="58"/>
  <c r="AO77" i="55" s="1"/>
  <c r="AR13" i="74" s="1"/>
  <c r="AM11" i="58"/>
  <c r="AM9" i="58"/>
  <c r="AN11" i="57"/>
  <c r="AO12" i="57"/>
  <c r="AN11" i="58"/>
  <c r="AO12" i="58"/>
  <c r="AP77" i="55" s="1"/>
  <c r="AS13" i="74" s="1"/>
  <c r="AN10" i="58"/>
  <c r="AN9" i="58"/>
  <c r="AO11" i="57"/>
  <c r="AO11" i="58"/>
  <c r="AO10" i="58"/>
  <c r="AO9" i="58"/>
  <c r="AP12" i="58"/>
  <c r="AQ77" i="55" s="1"/>
  <c r="AT13" i="74" s="1"/>
  <c r="AP11" i="57"/>
  <c r="AP12" i="57"/>
  <c r="AQ12" i="57"/>
  <c r="AP10" i="58"/>
  <c r="AP9" i="58"/>
  <c r="AQ12" i="58"/>
  <c r="AR77" i="55" s="1"/>
  <c r="AU13" i="74" s="1"/>
  <c r="AQ11" i="57"/>
  <c r="AP11" i="58"/>
  <c r="AQ9" i="58"/>
  <c r="AR12" i="58"/>
  <c r="AS77" i="55" s="1"/>
  <c r="AV13" i="74" s="1"/>
  <c r="AQ10" i="58"/>
  <c r="AR11" i="57"/>
  <c r="AQ11" i="58"/>
  <c r="AR12" i="57"/>
  <c r="AR10" i="58"/>
  <c r="AS11" i="57"/>
  <c r="AR9" i="58"/>
  <c r="AS12" i="57"/>
  <c r="AR11" i="58"/>
  <c r="AS12" i="58"/>
  <c r="AT77" i="55" s="1"/>
  <c r="AW13" i="74" s="1"/>
  <c r="AT12" i="58"/>
  <c r="AU77" i="55" s="1"/>
  <c r="AX13" i="74" s="1"/>
  <c r="AS11" i="58"/>
  <c r="AT11" i="57"/>
  <c r="AT12" i="57"/>
  <c r="AS10" i="58"/>
  <c r="AS9" i="58"/>
  <c r="AT9" i="58"/>
  <c r="AT10" i="58"/>
  <c r="AT11" i="58"/>
  <c r="AS29" i="55"/>
  <c r="AR29" i="55"/>
  <c r="AN29" i="55"/>
  <c r="AJ29" i="55"/>
  <c r="AE17" i="56"/>
  <c r="AB29" i="55"/>
  <c r="X29" i="55"/>
  <c r="O125" i="52"/>
  <c r="O292" i="52"/>
  <c r="O124" i="52"/>
  <c r="O159" i="52"/>
  <c r="O158" i="52"/>
  <c r="O193" i="52"/>
  <c r="O192" i="52"/>
  <c r="O258" i="52"/>
  <c r="O257" i="52"/>
  <c r="O224" i="52"/>
  <c r="O289" i="52"/>
  <c r="O94" i="52"/>
  <c r="O291" i="52"/>
  <c r="O123" i="52"/>
  <c r="O256" i="52"/>
  <c r="O226" i="52"/>
  <c r="O59" i="52"/>
  <c r="O225" i="52"/>
  <c r="O160" i="52"/>
  <c r="O60" i="52"/>
  <c r="O157" i="52"/>
  <c r="O91" i="52"/>
  <c r="O126" i="52"/>
  <c r="O92" i="52"/>
  <c r="O93" i="52"/>
  <c r="O61" i="52"/>
  <c r="O191" i="52"/>
  <c r="O259" i="52"/>
  <c r="O223" i="52"/>
  <c r="O194" i="52"/>
  <c r="O290" i="52"/>
  <c r="O58" i="52"/>
  <c r="O27" i="52"/>
  <c r="O26" i="52"/>
  <c r="O28" i="52"/>
  <c r="O29" i="52"/>
  <c r="I18" i="56"/>
  <c r="K18" i="56"/>
  <c r="O284" i="52"/>
  <c r="O272" i="52"/>
  <c r="O252" i="52"/>
  <c r="O277" i="52"/>
  <c r="O276" i="52"/>
  <c r="O251" i="52"/>
  <c r="O245" i="52"/>
  <c r="O241" i="52"/>
  <c r="O240" i="52"/>
  <c r="O281" i="52"/>
  <c r="O246" i="52"/>
  <c r="O244" i="52"/>
  <c r="O248" i="52"/>
  <c r="O239" i="52"/>
  <c r="O213" i="52"/>
  <c r="O285" i="52"/>
  <c r="O273" i="52"/>
  <c r="O249" i="52"/>
  <c r="O215" i="52"/>
  <c r="O218" i="52"/>
  <c r="O207" i="52"/>
  <c r="O174" i="52"/>
  <c r="O187" i="52"/>
  <c r="O206" i="52"/>
  <c r="O211" i="52"/>
  <c r="O186" i="52"/>
  <c r="O243" i="52"/>
  <c r="O212" i="52"/>
  <c r="O210" i="52"/>
  <c r="O178" i="52"/>
  <c r="O181" i="52"/>
  <c r="O219" i="52"/>
  <c r="O145" i="52"/>
  <c r="O110" i="52"/>
  <c r="O87" i="52"/>
  <c r="O208" i="52"/>
  <c r="O182" i="52"/>
  <c r="O152" i="52"/>
  <c r="O142" i="52"/>
  <c r="O141" i="52"/>
  <c r="O106" i="52"/>
  <c r="O175" i="52"/>
  <c r="O149" i="52"/>
  <c r="O144" i="52"/>
  <c r="O119" i="52"/>
  <c r="O153" i="52"/>
  <c r="O147" i="52"/>
  <c r="O140" i="52"/>
  <c r="O184" i="52"/>
  <c r="O118" i="52"/>
  <c r="O115" i="52"/>
  <c r="O183" i="52"/>
  <c r="O150" i="52"/>
  <c r="O146" i="52"/>
  <c r="O107" i="52"/>
  <c r="O80" i="52"/>
  <c r="O79" i="52"/>
  <c r="O78" i="52"/>
  <c r="O41" i="52"/>
  <c r="O76" i="52"/>
  <c r="O83" i="52"/>
  <c r="O43" i="52"/>
  <c r="O75" i="52"/>
  <c r="O84" i="52"/>
  <c r="O50" i="52"/>
  <c r="O54" i="52"/>
  <c r="O116" i="52"/>
  <c r="O74" i="52"/>
  <c r="O86" i="52"/>
  <c r="O53" i="52"/>
  <c r="O46" i="52"/>
  <c r="O42" i="52"/>
  <c r="O45" i="52"/>
  <c r="O280" i="52"/>
  <c r="O274" i="52"/>
  <c r="O275" i="52"/>
  <c r="O278" i="52"/>
  <c r="O209" i="52"/>
  <c r="O179" i="52"/>
  <c r="O282" i="52"/>
  <c r="O176" i="52"/>
  <c r="O177" i="52"/>
  <c r="O180" i="52"/>
  <c r="O250" i="52"/>
  <c r="O279" i="52"/>
  <c r="O112" i="52"/>
  <c r="O117" i="52"/>
  <c r="O151" i="52"/>
  <c r="O109" i="52"/>
  <c r="O214" i="52"/>
  <c r="O108" i="52"/>
  <c r="O247" i="52"/>
  <c r="O185" i="52"/>
  <c r="O113" i="52"/>
  <c r="O143" i="52"/>
  <c r="O111" i="52"/>
  <c r="O49" i="52"/>
  <c r="O47" i="52"/>
  <c r="O216" i="52"/>
  <c r="O77" i="52"/>
  <c r="O81" i="52"/>
  <c r="O48" i="52"/>
  <c r="O85" i="52"/>
  <c r="O51" i="52"/>
  <c r="O283" i="52"/>
  <c r="O114" i="52"/>
  <c r="O82" i="52"/>
  <c r="O52" i="52"/>
  <c r="O217" i="52"/>
  <c r="O148" i="52"/>
  <c r="O44" i="52"/>
  <c r="O242" i="52"/>
  <c r="O22" i="52"/>
  <c r="O13" i="52"/>
  <c r="O14" i="52"/>
  <c r="O15" i="52"/>
  <c r="O25" i="52"/>
  <c r="O16" i="52"/>
  <c r="P8" i="52"/>
  <c r="O17" i="52"/>
  <c r="O10" i="52"/>
  <c r="O18" i="52"/>
  <c r="O20" i="52"/>
  <c r="O19" i="52"/>
  <c r="O9" i="52"/>
  <c r="O21" i="52"/>
  <c r="O11" i="52"/>
  <c r="O12" i="52"/>
  <c r="J13" i="74" l="1"/>
  <c r="E77" i="55"/>
  <c r="D77" i="55"/>
  <c r="J18" i="74"/>
  <c r="D83" i="55"/>
  <c r="G19" i="74" s="1"/>
  <c r="E83" i="55"/>
  <c r="H19" i="74" s="1"/>
  <c r="P19" i="74"/>
  <c r="M82" i="55"/>
  <c r="P18" i="74" s="1"/>
  <c r="O25" i="55"/>
  <c r="BB36" i="55"/>
  <c r="BE41" i="74" s="1"/>
  <c r="BE219" i="74" s="1"/>
  <c r="AZ36" i="55"/>
  <c r="BC41" i="74" s="1"/>
  <c r="BC219" i="74" s="1"/>
  <c r="H36" i="55"/>
  <c r="K41" i="74" s="1"/>
  <c r="K219" i="74" s="1"/>
  <c r="AW36" i="55"/>
  <c r="AZ41" i="74" s="1"/>
  <c r="AZ219" i="74" s="1"/>
  <c r="G36" i="55"/>
  <c r="AX36" i="55"/>
  <c r="BA41" i="74" s="1"/>
  <c r="BA219" i="74" s="1"/>
  <c r="BA36" i="55"/>
  <c r="BD41" i="74" s="1"/>
  <c r="BD219" i="74" s="1"/>
  <c r="AY36" i="55"/>
  <c r="BB41" i="74" s="1"/>
  <c r="BB219" i="74" s="1"/>
  <c r="AM34" i="55"/>
  <c r="AJ34" i="55"/>
  <c r="U34" i="55"/>
  <c r="J34" i="55"/>
  <c r="I34" i="55"/>
  <c r="AS34" i="55"/>
  <c r="AP34" i="55"/>
  <c r="AN34" i="55"/>
  <c r="AI34" i="55"/>
  <c r="AE34" i="55"/>
  <c r="AC34" i="55"/>
  <c r="L34" i="55"/>
  <c r="G34" i="55"/>
  <c r="F10" i="57"/>
  <c r="AY34" i="55"/>
  <c r="AX10" i="57"/>
  <c r="AX9" i="57" s="1"/>
  <c r="AX34" i="55"/>
  <c r="AW10" i="57"/>
  <c r="AW9" i="57" s="1"/>
  <c r="AK34" i="55"/>
  <c r="AA34" i="55"/>
  <c r="W34" i="55"/>
  <c r="K34" i="55"/>
  <c r="H34" i="55"/>
  <c r="G10" i="57"/>
  <c r="G9" i="57" s="1"/>
  <c r="AW34" i="55"/>
  <c r="AV10" i="57"/>
  <c r="AV9" i="57" s="1"/>
  <c r="M34" i="55"/>
  <c r="BA34" i="55"/>
  <c r="AZ10" i="57"/>
  <c r="AZ9" i="57" s="1"/>
  <c r="T34" i="55"/>
  <c r="AQ34" i="55"/>
  <c r="AH34" i="55"/>
  <c r="AG34" i="55"/>
  <c r="R34" i="55"/>
  <c r="P34" i="55"/>
  <c r="N34" i="55"/>
  <c r="AV34" i="55"/>
  <c r="S34" i="55"/>
  <c r="AT34" i="55"/>
  <c r="AL34" i="55"/>
  <c r="AD34" i="55"/>
  <c r="Y34" i="55"/>
  <c r="V34" i="55"/>
  <c r="Q34" i="55"/>
  <c r="BB34" i="55"/>
  <c r="BA10" i="57"/>
  <c r="BA9" i="57" s="1"/>
  <c r="AU34" i="55"/>
  <c r="AR34" i="55"/>
  <c r="AF34" i="55"/>
  <c r="AB34" i="55"/>
  <c r="X34" i="55"/>
  <c r="O34" i="55"/>
  <c r="AO34" i="55"/>
  <c r="Z34" i="55"/>
  <c r="AZ34" i="55"/>
  <c r="AY10" i="57"/>
  <c r="AY9" i="57" s="1"/>
  <c r="V82" i="55"/>
  <c r="Y18" i="74" s="1"/>
  <c r="N82" i="55"/>
  <c r="Q18" i="74" s="1"/>
  <c r="AC82" i="55"/>
  <c r="AF18" i="74" s="1"/>
  <c r="AU82" i="55"/>
  <c r="AX18" i="74" s="1"/>
  <c r="AM82" i="55"/>
  <c r="AP18" i="74" s="1"/>
  <c r="AQ82" i="55"/>
  <c r="AT18" i="74" s="1"/>
  <c r="Y82" i="55"/>
  <c r="AB18" i="74" s="1"/>
  <c r="BA82" i="55"/>
  <c r="BD18" i="74" s="1"/>
  <c r="AZ82" i="55"/>
  <c r="BC18" i="74" s="1"/>
  <c r="AJ82" i="55"/>
  <c r="AM18" i="74" s="1"/>
  <c r="AB82" i="55"/>
  <c r="AE18" i="74" s="1"/>
  <c r="AF82" i="55"/>
  <c r="AI18" i="74" s="1"/>
  <c r="L82" i="55"/>
  <c r="O18" i="74" s="1"/>
  <c r="AP82" i="55"/>
  <c r="AS18" i="74" s="1"/>
  <c r="AS82" i="55"/>
  <c r="AV18" i="74" s="1"/>
  <c r="AK82" i="55"/>
  <c r="AN18" i="74" s="1"/>
  <c r="AT82" i="55"/>
  <c r="AW18" i="74" s="1"/>
  <c r="W82" i="55"/>
  <c r="Z18" i="74" s="1"/>
  <c r="BB82" i="55"/>
  <c r="BE18" i="74" s="1"/>
  <c r="K82" i="55"/>
  <c r="N18" i="74" s="1"/>
  <c r="AN82" i="55"/>
  <c r="AQ18" i="74" s="1"/>
  <c r="AH82" i="55"/>
  <c r="AK18" i="74" s="1"/>
  <c r="Z82" i="55"/>
  <c r="AC18" i="74" s="1"/>
  <c r="AX82" i="55"/>
  <c r="BA18" i="74" s="1"/>
  <c r="J82" i="55"/>
  <c r="M18" i="74" s="1"/>
  <c r="AY82" i="55"/>
  <c r="BB18" i="74" s="1"/>
  <c r="H82" i="55"/>
  <c r="K18" i="74" s="1"/>
  <c r="AI82" i="55"/>
  <c r="AL18" i="74" s="1"/>
  <c r="R82" i="55"/>
  <c r="U18" i="74" s="1"/>
  <c r="U82" i="55"/>
  <c r="X18" i="74" s="1"/>
  <c r="AO82" i="55"/>
  <c r="AR18" i="74" s="1"/>
  <c r="I82" i="55"/>
  <c r="L18" i="74" s="1"/>
  <c r="Q82" i="55"/>
  <c r="T18" i="74" s="1"/>
  <c r="AR82" i="55"/>
  <c r="AU18" i="74" s="1"/>
  <c r="X82" i="55"/>
  <c r="AA18" i="74" s="1"/>
  <c r="P82" i="55"/>
  <c r="S18" i="74" s="1"/>
  <c r="T82" i="55"/>
  <c r="W18" i="74" s="1"/>
  <c r="AW82" i="55"/>
  <c r="AZ18" i="74" s="1"/>
  <c r="AD82" i="55"/>
  <c r="AG18" i="74" s="1"/>
  <c r="AG82" i="55"/>
  <c r="AJ18" i="74" s="1"/>
  <c r="AA82" i="55"/>
  <c r="AD18" i="74" s="1"/>
  <c r="AE82" i="55"/>
  <c r="AH18" i="74" s="1"/>
  <c r="O82" i="55"/>
  <c r="R18" i="74" s="1"/>
  <c r="S82" i="55"/>
  <c r="V18" i="74" s="1"/>
  <c r="AL82" i="55"/>
  <c r="AO18" i="74" s="1"/>
  <c r="AV82" i="55"/>
  <c r="AY18" i="74" s="1"/>
  <c r="M25" i="55"/>
  <c r="AZ47" i="74"/>
  <c r="AZ257" i="74" s="1"/>
  <c r="AQ47" i="74"/>
  <c r="AQ257" i="74" s="1"/>
  <c r="AI47" i="74"/>
  <c r="AI257" i="74" s="1"/>
  <c r="AA47" i="74"/>
  <c r="AA257" i="74" s="1"/>
  <c r="S47" i="74"/>
  <c r="S257" i="74" s="1"/>
  <c r="K47" i="74"/>
  <c r="K257" i="74" s="1"/>
  <c r="AX47" i="74"/>
  <c r="AX257" i="74" s="1"/>
  <c r="AP47" i="74"/>
  <c r="AP257" i="74" s="1"/>
  <c r="AH47" i="74"/>
  <c r="AH257" i="74" s="1"/>
  <c r="Z47" i="74"/>
  <c r="Z257" i="74" s="1"/>
  <c r="R47" i="74"/>
  <c r="R257" i="74" s="1"/>
  <c r="BE47" i="74"/>
  <c r="BE257" i="74" s="1"/>
  <c r="AW47" i="74"/>
  <c r="AW257" i="74" s="1"/>
  <c r="AO47" i="74"/>
  <c r="AO257" i="74" s="1"/>
  <c r="AG47" i="74"/>
  <c r="AG257" i="74" s="1"/>
  <c r="Y47" i="74"/>
  <c r="Y257" i="74" s="1"/>
  <c r="Q47" i="74"/>
  <c r="Q257" i="74" s="1"/>
  <c r="BD47" i="74"/>
  <c r="BD257" i="74" s="1"/>
  <c r="AV47" i="74"/>
  <c r="AV257" i="74" s="1"/>
  <c r="AN47" i="74"/>
  <c r="AN257" i="74" s="1"/>
  <c r="AF47" i="74"/>
  <c r="AF257" i="74" s="1"/>
  <c r="X47" i="74"/>
  <c r="X257" i="74" s="1"/>
  <c r="P47" i="74"/>
  <c r="P257" i="74" s="1"/>
  <c r="BC47" i="74"/>
  <c r="BC257" i="74" s="1"/>
  <c r="AU47" i="74"/>
  <c r="AU257" i="74" s="1"/>
  <c r="AM47" i="74"/>
  <c r="AM257" i="74" s="1"/>
  <c r="AE47" i="74"/>
  <c r="AE257" i="74" s="1"/>
  <c r="W47" i="74"/>
  <c r="W257" i="74" s="1"/>
  <c r="O47" i="74"/>
  <c r="O257" i="74" s="1"/>
  <c r="BB47" i="74"/>
  <c r="BB257" i="74" s="1"/>
  <c r="AT47" i="74"/>
  <c r="AT257" i="74" s="1"/>
  <c r="AL47" i="74"/>
  <c r="AL257" i="74" s="1"/>
  <c r="AD47" i="74"/>
  <c r="AD257" i="74" s="1"/>
  <c r="V47" i="74"/>
  <c r="V257" i="74" s="1"/>
  <c r="N47" i="74"/>
  <c r="N257" i="74" s="1"/>
  <c r="BA47" i="74"/>
  <c r="BA257" i="74" s="1"/>
  <c r="AS47" i="74"/>
  <c r="AS257" i="74" s="1"/>
  <c r="AK47" i="74"/>
  <c r="AK257" i="74" s="1"/>
  <c r="AC47" i="74"/>
  <c r="AC257" i="74" s="1"/>
  <c r="U47" i="74"/>
  <c r="U257" i="74" s="1"/>
  <c r="M47" i="74"/>
  <c r="M257" i="74" s="1"/>
  <c r="AY47" i="74"/>
  <c r="AY257" i="74" s="1"/>
  <c r="AR47" i="74"/>
  <c r="AR257" i="74" s="1"/>
  <c r="AJ47" i="74"/>
  <c r="AJ257" i="74" s="1"/>
  <c r="AB47" i="74"/>
  <c r="AB257" i="74" s="1"/>
  <c r="T47" i="74"/>
  <c r="T257" i="74" s="1"/>
  <c r="L47" i="74"/>
  <c r="L257" i="74" s="1"/>
  <c r="AI25" i="55"/>
  <c r="P25" i="55"/>
  <c r="AS25" i="55"/>
  <c r="Y25" i="55"/>
  <c r="AH25" i="55"/>
  <c r="BA25" i="55"/>
  <c r="BD30" i="74" s="1"/>
  <c r="AZ25" i="55"/>
  <c r="AQ25" i="55"/>
  <c r="H25" i="55"/>
  <c r="AR25" i="55"/>
  <c r="AD25" i="55"/>
  <c r="AB25" i="55"/>
  <c r="AM25" i="55"/>
  <c r="N25" i="55"/>
  <c r="T25" i="55"/>
  <c r="AN25" i="55"/>
  <c r="U25" i="55"/>
  <c r="AP25" i="55"/>
  <c r="R25" i="55"/>
  <c r="AW25" i="55"/>
  <c r="AL25" i="55"/>
  <c r="AA25" i="55"/>
  <c r="AX25" i="55"/>
  <c r="AE25" i="55"/>
  <c r="AJ25" i="55"/>
  <c r="AV25" i="55"/>
  <c r="AT25" i="55"/>
  <c r="BD175" i="74"/>
  <c r="AU25" i="55"/>
  <c r="AG25" i="55"/>
  <c r="AY25" i="55"/>
  <c r="AC25" i="55"/>
  <c r="Z25" i="55"/>
  <c r="W25" i="55"/>
  <c r="AO25" i="55"/>
  <c r="BE174" i="74"/>
  <c r="Z14" i="57"/>
  <c r="AA35" i="55" s="1"/>
  <c r="Y14" i="57"/>
  <c r="Z35" i="55" s="1"/>
  <c r="X14" i="57"/>
  <c r="Y35" i="55" s="1"/>
  <c r="W14" i="57"/>
  <c r="V14" i="57"/>
  <c r="W35" i="55" s="1"/>
  <c r="AG14" i="57"/>
  <c r="AH35" i="55" s="1"/>
  <c r="U14" i="57"/>
  <c r="V35" i="55" s="1"/>
  <c r="AF14" i="57"/>
  <c r="AG35" i="55" s="1"/>
  <c r="AE14" i="57"/>
  <c r="AF35" i="55" s="1"/>
  <c r="AD14" i="57"/>
  <c r="AE35" i="55" s="1"/>
  <c r="AC14" i="57"/>
  <c r="AD35" i="55" s="1"/>
  <c r="J14" i="57"/>
  <c r="K35" i="55" s="1"/>
  <c r="K14" i="57"/>
  <c r="L35" i="55" s="1"/>
  <c r="L14" i="57"/>
  <c r="T14" i="57"/>
  <c r="U35" i="55" s="1"/>
  <c r="M14" i="57"/>
  <c r="N35" i="55" s="1"/>
  <c r="S14" i="57"/>
  <c r="R14" i="57"/>
  <c r="S35" i="55" s="1"/>
  <c r="Q14" i="57"/>
  <c r="R35" i="55" s="1"/>
  <c r="P14" i="57"/>
  <c r="Q35" i="55" s="1"/>
  <c r="O14" i="57"/>
  <c r="P35" i="55" s="1"/>
  <c r="N14" i="57"/>
  <c r="O35" i="55" s="1"/>
  <c r="BA41" i="55"/>
  <c r="BA56" i="55" s="1"/>
  <c r="BA34" i="74"/>
  <c r="BA178" i="74" s="1"/>
  <c r="BA175" i="74" s="1"/>
  <c r="BA8" i="59"/>
  <c r="AY40" i="55"/>
  <c r="AX8" i="58"/>
  <c r="AW8" i="59"/>
  <c r="AW41" i="55"/>
  <c r="AW80" i="55" s="1"/>
  <c r="BB34" i="74"/>
  <c r="BB178" i="74" s="1"/>
  <c r="BB175" i="74" s="1"/>
  <c r="BB40" i="55"/>
  <c r="BA8" i="58"/>
  <c r="AZ8" i="58"/>
  <c r="BA40" i="55"/>
  <c r="AZ40" i="55"/>
  <c r="AY8" i="58"/>
  <c r="AY41" i="55"/>
  <c r="AY80" i="55" s="1"/>
  <c r="AY34" i="74"/>
  <c r="AY178" i="74" s="1"/>
  <c r="AY175" i="74" s="1"/>
  <c r="BB41" i="55"/>
  <c r="BB80" i="55" s="1"/>
  <c r="AV40" i="55"/>
  <c r="AU8" i="58"/>
  <c r="AV75" i="55"/>
  <c r="BE30" i="74"/>
  <c r="AX41" i="55"/>
  <c r="AX80" i="55" s="1"/>
  <c r="BC34" i="74"/>
  <c r="BC178" i="74" s="1"/>
  <c r="BC175" i="74" s="1"/>
  <c r="AX40" i="55"/>
  <c r="AW8" i="58"/>
  <c r="AU8" i="59"/>
  <c r="AZ34" i="74"/>
  <c r="AZ178" i="74" s="1"/>
  <c r="AZ175" i="74" s="1"/>
  <c r="AY8" i="59"/>
  <c r="AV8" i="59"/>
  <c r="AV41" i="55"/>
  <c r="AV80" i="55" s="1"/>
  <c r="AZ8" i="59"/>
  <c r="AZ41" i="55"/>
  <c r="AZ80" i="55" s="1"/>
  <c r="AX8" i="59"/>
  <c r="AW40" i="55"/>
  <c r="AV8" i="58"/>
  <c r="AB75" i="55"/>
  <c r="AI41" i="55"/>
  <c r="AL46" i="74" s="1"/>
  <c r="AL256" i="74" s="1"/>
  <c r="AJ41" i="55"/>
  <c r="AJ56" i="55" s="1"/>
  <c r="AK41" i="55"/>
  <c r="AK56" i="55" s="1"/>
  <c r="AT41" i="55"/>
  <c r="AW46" i="74" s="1"/>
  <c r="AW256" i="74" s="1"/>
  <c r="AL41" i="55"/>
  <c r="AO46" i="74" s="1"/>
  <c r="AO256" i="74" s="1"/>
  <c r="AM41" i="55"/>
  <c r="AM56" i="55" s="1"/>
  <c r="AT75" i="55"/>
  <c r="AS41" i="55"/>
  <c r="AS56" i="55" s="1"/>
  <c r="AN41" i="55"/>
  <c r="AQ46" i="74" s="1"/>
  <c r="AQ256" i="74" s="1"/>
  <c r="AN8" i="59"/>
  <c r="AC8" i="59"/>
  <c r="R8" i="59"/>
  <c r="L8" i="59"/>
  <c r="W34" i="74"/>
  <c r="W178" i="74" s="1"/>
  <c r="W175" i="74" s="1"/>
  <c r="AB34" i="74"/>
  <c r="AB178" i="74" s="1"/>
  <c r="AB175" i="74" s="1"/>
  <c r="AP34" i="74"/>
  <c r="AP178" i="74" s="1"/>
  <c r="AP175" i="74" s="1"/>
  <c r="AU41" i="55"/>
  <c r="AU80" i="55" s="1"/>
  <c r="AP8" i="58"/>
  <c r="AQ40" i="55"/>
  <c r="AO8" i="58"/>
  <c r="AP40" i="55"/>
  <c r="AO40" i="55"/>
  <c r="AN8" i="58"/>
  <c r="AM8" i="59"/>
  <c r="AL8" i="58"/>
  <c r="AM40" i="55"/>
  <c r="AL40" i="55"/>
  <c r="AK8" i="58"/>
  <c r="AI8" i="58"/>
  <c r="AJ40" i="55"/>
  <c r="AH8" i="58"/>
  <c r="AI40" i="55"/>
  <c r="AG40" i="55"/>
  <c r="AF40" i="55"/>
  <c r="AD8" i="59"/>
  <c r="AE40" i="55"/>
  <c r="AB8" i="59"/>
  <c r="AC40" i="55"/>
  <c r="AB40" i="55"/>
  <c r="AA40" i="55"/>
  <c r="Z40" i="55"/>
  <c r="X8" i="59"/>
  <c r="Y40" i="55"/>
  <c r="W8" i="59"/>
  <c r="Z45" i="74"/>
  <c r="Z255" i="74" s="1"/>
  <c r="W60" i="55"/>
  <c r="W59" i="55" s="1"/>
  <c r="V60" i="55"/>
  <c r="V59" i="55" s="1"/>
  <c r="Y45" i="74"/>
  <c r="Y255" i="74" s="1"/>
  <c r="U60" i="55"/>
  <c r="U59" i="55" s="1"/>
  <c r="X45" i="74"/>
  <c r="X255" i="74" s="1"/>
  <c r="T8" i="59"/>
  <c r="R60" i="55"/>
  <c r="R59" i="55" s="1"/>
  <c r="U45" i="74"/>
  <c r="U255" i="74" s="1"/>
  <c r="T45" i="74"/>
  <c r="T255" i="74" s="1"/>
  <c r="Q60" i="55"/>
  <c r="Q59" i="55" s="1"/>
  <c r="P60" i="55"/>
  <c r="P59" i="55" s="1"/>
  <c r="S45" i="74"/>
  <c r="S255" i="74" s="1"/>
  <c r="R45" i="74"/>
  <c r="R255" i="74" s="1"/>
  <c r="O60" i="55"/>
  <c r="O59" i="55" s="1"/>
  <c r="Q45" i="74"/>
  <c r="Q255" i="74" s="1"/>
  <c r="N60" i="55"/>
  <c r="N59" i="55" s="1"/>
  <c r="M8" i="59"/>
  <c r="K60" i="55"/>
  <c r="K59" i="55" s="1"/>
  <c r="N45" i="74"/>
  <c r="N255" i="74" s="1"/>
  <c r="P45" i="74"/>
  <c r="P255" i="74" s="1"/>
  <c r="M60" i="55"/>
  <c r="M59" i="55" s="1"/>
  <c r="O45" i="74"/>
  <c r="O255" i="74" s="1"/>
  <c r="L60" i="55"/>
  <c r="L59" i="55" s="1"/>
  <c r="L45" i="74"/>
  <c r="L255" i="74" s="1"/>
  <c r="I60" i="55"/>
  <c r="I59" i="55" s="1"/>
  <c r="I8" i="59"/>
  <c r="G40" i="55"/>
  <c r="D9" i="58"/>
  <c r="F4" i="88"/>
  <c r="D5" i="88"/>
  <c r="AX34" i="74"/>
  <c r="AX178" i="74" s="1"/>
  <c r="AX175" i="74" s="1"/>
  <c r="AJ34" i="74"/>
  <c r="AJ178" i="74" s="1"/>
  <c r="AJ175" i="74" s="1"/>
  <c r="AR34" i="74"/>
  <c r="AR178" i="74" s="1"/>
  <c r="AR175" i="74" s="1"/>
  <c r="Q34" i="74"/>
  <c r="Q178" i="74" s="1"/>
  <c r="Q175" i="74" s="1"/>
  <c r="AH34" i="74"/>
  <c r="AH178" i="74" s="1"/>
  <c r="AH175" i="74" s="1"/>
  <c r="U34" i="74"/>
  <c r="U178" i="74" s="1"/>
  <c r="U175" i="74" s="1"/>
  <c r="R34" i="74"/>
  <c r="R178" i="74" s="1"/>
  <c r="R175" i="74" s="1"/>
  <c r="J34" i="74"/>
  <c r="J178" i="74" s="1"/>
  <c r="AE34" i="74"/>
  <c r="AE178" i="74" s="1"/>
  <c r="AE175" i="74" s="1"/>
  <c r="AS8" i="59"/>
  <c r="AI8" i="59"/>
  <c r="AD40" i="55"/>
  <c r="AF29" i="55"/>
  <c r="AF25" i="55" s="1"/>
  <c r="AE12" i="56"/>
  <c r="AS40" i="55"/>
  <c r="AR8" i="58"/>
  <c r="AQ8" i="58"/>
  <c r="AR40" i="55"/>
  <c r="AQ41" i="55"/>
  <c r="AQ80" i="55" s="1"/>
  <c r="AP41" i="55"/>
  <c r="AP80" i="55" s="1"/>
  <c r="AO41" i="55"/>
  <c r="AO80" i="55" s="1"/>
  <c r="AN40" i="55"/>
  <c r="AM8" i="58"/>
  <c r="AJ8" i="59"/>
  <c r="AJ8" i="58"/>
  <c r="AK40" i="55"/>
  <c r="AE8" i="59"/>
  <c r="AA45" i="74"/>
  <c r="AA255" i="74" s="1"/>
  <c r="X60" i="55"/>
  <c r="X59" i="55" s="1"/>
  <c r="U8" i="59"/>
  <c r="Q8" i="59"/>
  <c r="O8" i="59"/>
  <c r="K8" i="59"/>
  <c r="G8" i="58"/>
  <c r="H41" i="55"/>
  <c r="H80" i="55" s="1"/>
  <c r="J8" i="59"/>
  <c r="H60" i="55"/>
  <c r="H59" i="55" s="1"/>
  <c r="K45" i="74"/>
  <c r="K255" i="74" s="1"/>
  <c r="D12" i="58"/>
  <c r="Y34" i="74"/>
  <c r="Y178" i="74" s="1"/>
  <c r="AS34" i="74"/>
  <c r="AS178" i="74" s="1"/>
  <c r="AS175" i="74" s="1"/>
  <c r="Z34" i="74"/>
  <c r="Z178" i="74" s="1"/>
  <c r="Z175" i="74" s="1"/>
  <c r="X34" i="74"/>
  <c r="X178" i="74" s="1"/>
  <c r="X175" i="74" s="1"/>
  <c r="K34" i="74"/>
  <c r="K178" i="74" s="1"/>
  <c r="K175" i="74" s="1"/>
  <c r="AT34" i="74"/>
  <c r="AT178" i="74" s="1"/>
  <c r="AT175" i="74" s="1"/>
  <c r="AM34" i="74"/>
  <c r="AM178" i="74" s="1"/>
  <c r="AM175" i="74" s="1"/>
  <c r="AQ8" i="59"/>
  <c r="AG8" i="59"/>
  <c r="Y8" i="59"/>
  <c r="V8" i="59"/>
  <c r="S8" i="59"/>
  <c r="D11" i="57"/>
  <c r="D12" i="57"/>
  <c r="AK34" i="74"/>
  <c r="AK178" i="74" s="1"/>
  <c r="AK175" i="74" s="1"/>
  <c r="AL34" i="74"/>
  <c r="AL178" i="74" s="1"/>
  <c r="AL175" i="74" s="1"/>
  <c r="P34" i="74"/>
  <c r="P178" i="74" s="1"/>
  <c r="P175" i="74" s="1"/>
  <c r="AN34" i="74"/>
  <c r="AN178" i="74" s="1"/>
  <c r="AO34" i="74"/>
  <c r="AO178" i="74" s="1"/>
  <c r="AO175" i="74" s="1"/>
  <c r="AU34" i="74"/>
  <c r="AU178" i="74" s="1"/>
  <c r="AU175" i="74" s="1"/>
  <c r="AS8" i="58"/>
  <c r="AT40" i="55"/>
  <c r="AT8" i="59"/>
  <c r="AA34" i="74"/>
  <c r="AA178" i="74" s="1"/>
  <c r="AQ34" i="74"/>
  <c r="AQ178" i="74" s="1"/>
  <c r="AQ175" i="74" s="1"/>
  <c r="AV34" i="74"/>
  <c r="AV178" i="74" s="1"/>
  <c r="AV175" i="74" s="1"/>
  <c r="AU40" i="55"/>
  <c r="AT8" i="58"/>
  <c r="AR8" i="59"/>
  <c r="AR41" i="55"/>
  <c r="AR80" i="55" s="1"/>
  <c r="AP8" i="59"/>
  <c r="AO8" i="59"/>
  <c r="AL8" i="59"/>
  <c r="AK8" i="59"/>
  <c r="AH8" i="59"/>
  <c r="AH40" i="55"/>
  <c r="AF8" i="59"/>
  <c r="AA8" i="59"/>
  <c r="Z8" i="59"/>
  <c r="T60" i="55"/>
  <c r="T59" i="55" s="1"/>
  <c r="W45" i="74"/>
  <c r="W255" i="74" s="1"/>
  <c r="V45" i="74"/>
  <c r="V255" i="74" s="1"/>
  <c r="S60" i="55"/>
  <c r="S59" i="55" s="1"/>
  <c r="P8" i="59"/>
  <c r="N8" i="59"/>
  <c r="M45" i="74"/>
  <c r="M255" i="74" s="1"/>
  <c r="J60" i="55"/>
  <c r="J59" i="55" s="1"/>
  <c r="H8" i="59"/>
  <c r="G8" i="59"/>
  <c r="F8" i="59"/>
  <c r="D9" i="59"/>
  <c r="V34" i="74"/>
  <c r="V178" i="74" s="1"/>
  <c r="AG34" i="74"/>
  <c r="AG178" i="74" s="1"/>
  <c r="AG175" i="74" s="1"/>
  <c r="AW34" i="74"/>
  <c r="AW178" i="74" s="1"/>
  <c r="AW175" i="74" s="1"/>
  <c r="AD34" i="74"/>
  <c r="AD178" i="74" s="1"/>
  <c r="AD175" i="74" s="1"/>
  <c r="AF34" i="74"/>
  <c r="AF178" i="74" s="1"/>
  <c r="AF175" i="74" s="1"/>
  <c r="AC34" i="74"/>
  <c r="AC178" i="74" s="1"/>
  <c r="AC175" i="74" s="1"/>
  <c r="S34" i="74"/>
  <c r="S178" i="74" s="1"/>
  <c r="S175" i="74" s="1"/>
  <c r="P259" i="52"/>
  <c r="P193" i="52"/>
  <c r="P292" i="52"/>
  <c r="P225" i="52"/>
  <c r="P94" i="52"/>
  <c r="P59" i="52"/>
  <c r="P258" i="52"/>
  <c r="P126" i="52"/>
  <c r="P289" i="52"/>
  <c r="P125" i="52"/>
  <c r="P226" i="52"/>
  <c r="P223" i="52"/>
  <c r="P61" i="52"/>
  <c r="P224" i="52"/>
  <c r="P256" i="52"/>
  <c r="P92" i="52"/>
  <c r="P93" i="52"/>
  <c r="P123" i="52"/>
  <c r="P194" i="52"/>
  <c r="P291" i="52"/>
  <c r="P290" i="52"/>
  <c r="P124" i="52"/>
  <c r="P191" i="52"/>
  <c r="P91" i="52"/>
  <c r="P60" i="52"/>
  <c r="P157" i="52"/>
  <c r="P192" i="52"/>
  <c r="P160" i="52"/>
  <c r="P158" i="52"/>
  <c r="P257" i="52"/>
  <c r="P58" i="52"/>
  <c r="P159" i="52"/>
  <c r="P26" i="52"/>
  <c r="P27" i="52"/>
  <c r="P28" i="52"/>
  <c r="P29" i="52"/>
  <c r="D18" i="56"/>
  <c r="P284" i="52"/>
  <c r="P279" i="52"/>
  <c r="P272" i="52"/>
  <c r="P252" i="52"/>
  <c r="P276" i="52"/>
  <c r="P251" i="52"/>
  <c r="P240" i="52"/>
  <c r="P281" i="52"/>
  <c r="P246" i="52"/>
  <c r="P219" i="52"/>
  <c r="P248" i="52"/>
  <c r="P243" i="52"/>
  <c r="P218" i="52"/>
  <c r="P212" i="52"/>
  <c r="P239" i="52"/>
  <c r="P209" i="52"/>
  <c r="P187" i="52"/>
  <c r="P206" i="52"/>
  <c r="P151" i="52"/>
  <c r="P186" i="52"/>
  <c r="P215" i="52"/>
  <c r="P153" i="52"/>
  <c r="P213" i="52"/>
  <c r="P210" i="52"/>
  <c r="P273" i="52"/>
  <c r="P250" i="52"/>
  <c r="P183" i="52"/>
  <c r="P175" i="52"/>
  <c r="P285" i="52"/>
  <c r="P207" i="52"/>
  <c r="P185" i="52"/>
  <c r="P174" i="52"/>
  <c r="P152" i="52"/>
  <c r="P142" i="52"/>
  <c r="P141" i="52"/>
  <c r="P106" i="52"/>
  <c r="P149" i="52"/>
  <c r="P144" i="52"/>
  <c r="P119" i="52"/>
  <c r="P140" i="52"/>
  <c r="P118" i="52"/>
  <c r="P115" i="52"/>
  <c r="P178" i="52"/>
  <c r="P117" i="52"/>
  <c r="P110" i="52"/>
  <c r="P87" i="52"/>
  <c r="P83" i="52"/>
  <c r="P54" i="52"/>
  <c r="P85" i="52"/>
  <c r="P50" i="52"/>
  <c r="P75" i="52"/>
  <c r="P48" i="52"/>
  <c r="P107" i="52"/>
  <c r="P74" i="52"/>
  <c r="P45" i="52"/>
  <c r="P42" i="52"/>
  <c r="P53" i="52"/>
  <c r="P81" i="52"/>
  <c r="P78" i="52"/>
  <c r="P41" i="52"/>
  <c r="P86" i="52"/>
  <c r="P51" i="52"/>
  <c r="P241" i="52"/>
  <c r="P244" i="52"/>
  <c r="P249" i="52"/>
  <c r="P214" i="52"/>
  <c r="P179" i="52"/>
  <c r="P177" i="52"/>
  <c r="P180" i="52"/>
  <c r="P245" i="52"/>
  <c r="P278" i="52"/>
  <c r="P282" i="52"/>
  <c r="P277" i="52"/>
  <c r="P280" i="52"/>
  <c r="P216" i="52"/>
  <c r="P211" i="52"/>
  <c r="P208" i="52"/>
  <c r="P275" i="52"/>
  <c r="P176" i="52"/>
  <c r="P108" i="52"/>
  <c r="P109" i="52"/>
  <c r="P111" i="52"/>
  <c r="P116" i="52"/>
  <c r="P80" i="52"/>
  <c r="P113" i="52"/>
  <c r="P181" i="52"/>
  <c r="P184" i="52"/>
  <c r="P247" i="52"/>
  <c r="P182" i="52"/>
  <c r="P145" i="52"/>
  <c r="P112" i="52"/>
  <c r="P77" i="52"/>
  <c r="P274" i="52"/>
  <c r="P147" i="52"/>
  <c r="P146" i="52"/>
  <c r="P76" i="52"/>
  <c r="P150" i="52"/>
  <c r="P43" i="52"/>
  <c r="P47" i="52"/>
  <c r="P46" i="52"/>
  <c r="P84" i="52"/>
  <c r="P79" i="52"/>
  <c r="P49" i="52"/>
  <c r="P82" i="52"/>
  <c r="P148" i="52"/>
  <c r="P242" i="52"/>
  <c r="P217" i="52"/>
  <c r="P52" i="52"/>
  <c r="P114" i="52"/>
  <c r="P283" i="52"/>
  <c r="P143" i="52"/>
  <c r="P44" i="52"/>
  <c r="P14" i="52"/>
  <c r="P15" i="52"/>
  <c r="P21" i="52"/>
  <c r="P25" i="52"/>
  <c r="P16" i="52"/>
  <c r="P17" i="52"/>
  <c r="Q8" i="52"/>
  <c r="P12" i="52"/>
  <c r="P18" i="52"/>
  <c r="P19" i="52"/>
  <c r="P9" i="52"/>
  <c r="P20" i="52"/>
  <c r="P11" i="52"/>
  <c r="P22" i="52"/>
  <c r="P13" i="52"/>
  <c r="P10" i="52"/>
  <c r="D82" i="55" l="1"/>
  <c r="E82" i="55"/>
  <c r="E40" i="55"/>
  <c r="D40" i="55"/>
  <c r="G45" i="74" s="1"/>
  <c r="G255" i="74" s="1"/>
  <c r="D34" i="55"/>
  <c r="G39" i="74" s="1"/>
  <c r="G217" i="74" s="1"/>
  <c r="E34" i="55"/>
  <c r="J41" i="74"/>
  <c r="J219" i="74" s="1"/>
  <c r="T35" i="55"/>
  <c r="T75" i="55" s="1"/>
  <c r="M35" i="55"/>
  <c r="M75" i="55" s="1"/>
  <c r="X35" i="55"/>
  <c r="X75" i="55" s="1"/>
  <c r="G33" i="55"/>
  <c r="G18" i="74"/>
  <c r="AR79" i="55"/>
  <c r="AU15" i="74" s="1"/>
  <c r="AU16" i="74"/>
  <c r="AZ79" i="55"/>
  <c r="BC15" i="74" s="1"/>
  <c r="BC16" i="74"/>
  <c r="AV74" i="55"/>
  <c r="AY10" i="74" s="1"/>
  <c r="AY11" i="74"/>
  <c r="H18" i="74"/>
  <c r="AV79" i="55"/>
  <c r="AY15" i="74" s="1"/>
  <c r="AY16" i="74"/>
  <c r="AB74" i="55"/>
  <c r="AE10" i="74" s="1"/>
  <c r="AE11" i="74"/>
  <c r="AY79" i="55"/>
  <c r="BB15" i="74" s="1"/>
  <c r="BB16" i="74"/>
  <c r="AQ79" i="55"/>
  <c r="AT15" i="74" s="1"/>
  <c r="AT16" i="74"/>
  <c r="AT74" i="55"/>
  <c r="AW10" i="74" s="1"/>
  <c r="AW11" i="74"/>
  <c r="AP79" i="55"/>
  <c r="AS15" i="74" s="1"/>
  <c r="AS16" i="74"/>
  <c r="AW79" i="55"/>
  <c r="AZ15" i="74" s="1"/>
  <c r="AZ16" i="74"/>
  <c r="H79" i="55"/>
  <c r="K15" i="74" s="1"/>
  <c r="K16" i="74"/>
  <c r="AU79" i="55"/>
  <c r="AX15" i="74" s="1"/>
  <c r="AX16" i="74"/>
  <c r="AX79" i="55"/>
  <c r="BA15" i="74" s="1"/>
  <c r="BA16" i="74"/>
  <c r="AO79" i="55"/>
  <c r="AR15" i="74" s="1"/>
  <c r="AR16" i="74"/>
  <c r="BB79" i="55"/>
  <c r="BE15" i="74" s="1"/>
  <c r="BE16" i="74"/>
  <c r="G12" i="74"/>
  <c r="H12" i="74"/>
  <c r="AI80" i="55"/>
  <c r="AK80" i="55"/>
  <c r="AM80" i="55"/>
  <c r="AS80" i="55"/>
  <c r="AJ80" i="55"/>
  <c r="BA80" i="55"/>
  <c r="AL80" i="55"/>
  <c r="AN80" i="55"/>
  <c r="AT80" i="55"/>
  <c r="AT40" i="74"/>
  <c r="AT218" i="74" s="1"/>
  <c r="AQ75" i="55"/>
  <c r="AT11" i="74" s="1"/>
  <c r="AQ40" i="74"/>
  <c r="AQ218" i="74" s="1"/>
  <c r="AN75" i="55"/>
  <c r="AQ11" i="74" s="1"/>
  <c r="BD40" i="74"/>
  <c r="BD218" i="74" s="1"/>
  <c r="BA75" i="55"/>
  <c r="V40" i="74"/>
  <c r="V218" i="74" s="1"/>
  <c r="S75" i="55"/>
  <c r="AH40" i="74"/>
  <c r="AH218" i="74" s="1"/>
  <c r="AE75" i="55"/>
  <c r="BC40" i="74"/>
  <c r="BC218" i="74" s="1"/>
  <c r="AZ75" i="55"/>
  <c r="BC11" i="74" s="1"/>
  <c r="AI40" i="74"/>
  <c r="AI218" i="74" s="1"/>
  <c r="AF75" i="55"/>
  <c r="AD40" i="74"/>
  <c r="AD218" i="74" s="1"/>
  <c r="AA75" i="55"/>
  <c r="K40" i="74"/>
  <c r="K218" i="74" s="1"/>
  <c r="H75" i="55"/>
  <c r="K11" i="74" s="1"/>
  <c r="AN40" i="74"/>
  <c r="AN218" i="74" s="1"/>
  <c r="AK75" i="55"/>
  <c r="AN11" i="74" s="1"/>
  <c r="AJ40" i="74"/>
  <c r="AJ218" i="74" s="1"/>
  <c r="AG75" i="55"/>
  <c r="AU40" i="74"/>
  <c r="AU218" i="74" s="1"/>
  <c r="AR75" i="55"/>
  <c r="AU11" i="74" s="1"/>
  <c r="AO40" i="74"/>
  <c r="AO218" i="74" s="1"/>
  <c r="AL75" i="55"/>
  <c r="AO11" i="74" s="1"/>
  <c r="X40" i="74"/>
  <c r="X218" i="74" s="1"/>
  <c r="U75" i="55"/>
  <c r="Y40" i="74"/>
  <c r="Y218" i="74" s="1"/>
  <c r="V75" i="55"/>
  <c r="AM40" i="74"/>
  <c r="AM218" i="74" s="1"/>
  <c r="AJ75" i="55"/>
  <c r="AL40" i="74"/>
  <c r="AL218" i="74" s="1"/>
  <c r="AI75" i="55"/>
  <c r="AL11" i="74" s="1"/>
  <c r="BB40" i="74"/>
  <c r="BB218" i="74" s="1"/>
  <c r="AY75" i="55"/>
  <c r="BB11" i="74" s="1"/>
  <c r="BE40" i="74"/>
  <c r="BE218" i="74" s="1"/>
  <c r="BB75" i="55"/>
  <c r="BE11" i="74" s="1"/>
  <c r="AK40" i="74"/>
  <c r="AK218" i="74" s="1"/>
  <c r="AH75" i="55"/>
  <c r="AR40" i="74"/>
  <c r="AR218" i="74" s="1"/>
  <c r="AO75" i="55"/>
  <c r="AR11" i="74" s="1"/>
  <c r="AV40" i="74"/>
  <c r="AV218" i="74" s="1"/>
  <c r="AS75" i="55"/>
  <c r="O40" i="74"/>
  <c r="O218" i="74" s="1"/>
  <c r="L75" i="55"/>
  <c r="Z40" i="74"/>
  <c r="Z218" i="74" s="1"/>
  <c r="W75" i="55"/>
  <c r="J40" i="74"/>
  <c r="J218" i="74" s="1"/>
  <c r="G75" i="55"/>
  <c r="M40" i="74"/>
  <c r="M218" i="74" s="1"/>
  <c r="J75" i="55"/>
  <c r="L40" i="74"/>
  <c r="L218" i="74" s="1"/>
  <c r="I75" i="55"/>
  <c r="AZ40" i="74"/>
  <c r="AZ218" i="74" s="1"/>
  <c r="AW75" i="55"/>
  <c r="AZ11" i="74" s="1"/>
  <c r="T40" i="74"/>
  <c r="T218" i="74" s="1"/>
  <c r="Q75" i="55"/>
  <c r="N40" i="74"/>
  <c r="N218" i="74" s="1"/>
  <c r="K75" i="55"/>
  <c r="AP40" i="74"/>
  <c r="AP218" i="74" s="1"/>
  <c r="AM75" i="55"/>
  <c r="AS40" i="74"/>
  <c r="AS218" i="74" s="1"/>
  <c r="AP75" i="55"/>
  <c r="AS11" i="74" s="1"/>
  <c r="AX40" i="74"/>
  <c r="AX218" i="74" s="1"/>
  <c r="AU75" i="55"/>
  <c r="AX11" i="74" s="1"/>
  <c r="BA40" i="74"/>
  <c r="BA218" i="74" s="1"/>
  <c r="AX75" i="55"/>
  <c r="BA11" i="74" s="1"/>
  <c r="U40" i="74"/>
  <c r="U218" i="74" s="1"/>
  <c r="R75" i="55"/>
  <c r="AG40" i="74"/>
  <c r="AG218" i="74" s="1"/>
  <c r="AD75" i="55"/>
  <c r="AB40" i="74"/>
  <c r="AB218" i="74" s="1"/>
  <c r="Y75" i="55"/>
  <c r="AY40" i="74"/>
  <c r="AY218" i="74" s="1"/>
  <c r="AW40" i="74"/>
  <c r="AW218" i="74" s="1"/>
  <c r="AE40" i="74"/>
  <c r="AE218" i="74" s="1"/>
  <c r="Z75" i="55"/>
  <c r="BD174" i="74"/>
  <c r="AX33" i="55"/>
  <c r="BA33" i="55"/>
  <c r="AW33" i="55"/>
  <c r="AZ33" i="55"/>
  <c r="BC38" i="74" s="1"/>
  <c r="BB33" i="55"/>
  <c r="AY33" i="55"/>
  <c r="BB38" i="74" s="1"/>
  <c r="H33" i="55"/>
  <c r="K38" i="74" s="1"/>
  <c r="S39" i="74"/>
  <c r="S217" i="74" s="1"/>
  <c r="P39" i="74"/>
  <c r="P217" i="74" s="1"/>
  <c r="T39" i="74"/>
  <c r="T217" i="74" s="1"/>
  <c r="X39" i="74"/>
  <c r="X217" i="74" s="1"/>
  <c r="V39" i="74"/>
  <c r="V217" i="74" s="1"/>
  <c r="Q39" i="74"/>
  <c r="Q217" i="74" s="1"/>
  <c r="W39" i="74"/>
  <c r="W217" i="74" s="1"/>
  <c r="R39" i="74"/>
  <c r="R217" i="74" s="1"/>
  <c r="BA57" i="55"/>
  <c r="BA55" i="55" s="1"/>
  <c r="BA39" i="55"/>
  <c r="BD44" i="74" s="1"/>
  <c r="BD46" i="74"/>
  <c r="BD256" i="74" s="1"/>
  <c r="AV44" i="55"/>
  <c r="AY49" i="74" s="1"/>
  <c r="AY50" i="74"/>
  <c r="AY258" i="74" s="1"/>
  <c r="AX56" i="55"/>
  <c r="BA46" i="74"/>
  <c r="BA256" i="74" s="1"/>
  <c r="AV39" i="55"/>
  <c r="AY44" i="74" s="1"/>
  <c r="AY45" i="74"/>
  <c r="AY255" i="74" s="1"/>
  <c r="AV60" i="55"/>
  <c r="AV59" i="55" s="1"/>
  <c r="BA39" i="74"/>
  <c r="BA217" i="74" s="1"/>
  <c r="BE46" i="74"/>
  <c r="BE256" i="74" s="1"/>
  <c r="BB56" i="55"/>
  <c r="AY39" i="55"/>
  <c r="BB44" i="74" s="1"/>
  <c r="AY60" i="55"/>
  <c r="AY59" i="55" s="1"/>
  <c r="BB45" i="74"/>
  <c r="BB255" i="74" s="1"/>
  <c r="AW39" i="55"/>
  <c r="AZ44" i="74" s="1"/>
  <c r="AW60" i="55"/>
  <c r="AW59" i="55" s="1"/>
  <c r="AZ45" i="74"/>
  <c r="AZ255" i="74" s="1"/>
  <c r="BE39" i="74"/>
  <c r="BE217" i="74" s="1"/>
  <c r="AY30" i="74"/>
  <c r="AV57" i="55"/>
  <c r="BB39" i="55"/>
  <c r="BE44" i="74" s="1"/>
  <c r="BE45" i="74"/>
  <c r="BE255" i="74" s="1"/>
  <c r="BB60" i="55"/>
  <c r="BB59" i="55" s="1"/>
  <c r="BE50" i="74"/>
  <c r="BE258" i="74" s="1"/>
  <c r="BB44" i="55"/>
  <c r="BE49" i="74" s="1"/>
  <c r="AX39" i="55"/>
  <c r="BA44" i="74" s="1"/>
  <c r="AX60" i="55"/>
  <c r="AX59" i="55" s="1"/>
  <c r="BA45" i="74"/>
  <c r="BA255" i="74" s="1"/>
  <c r="BB57" i="55"/>
  <c r="BB30" i="74"/>
  <c r="AY57" i="55"/>
  <c r="AY44" i="55"/>
  <c r="BB49" i="74" s="1"/>
  <c r="BB50" i="74"/>
  <c r="BB258" i="74" s="1"/>
  <c r="AY46" i="74"/>
  <c r="AY256" i="74" s="1"/>
  <c r="AV56" i="55"/>
  <c r="AW57" i="55"/>
  <c r="AZ30" i="74"/>
  <c r="BB39" i="74"/>
  <c r="BB217" i="74" s="1"/>
  <c r="AY56" i="55"/>
  <c r="BB46" i="74"/>
  <c r="BB256" i="74" s="1"/>
  <c r="AW44" i="55"/>
  <c r="AZ49" i="74" s="1"/>
  <c r="AZ50" i="74"/>
  <c r="AZ258" i="74" s="1"/>
  <c r="BD39" i="74"/>
  <c r="BD217" i="74" s="1"/>
  <c r="AZ46" i="74"/>
  <c r="AZ256" i="74" s="1"/>
  <c r="AW56" i="55"/>
  <c r="AZ56" i="55"/>
  <c r="BC46" i="74"/>
  <c r="BC256" i="74" s="1"/>
  <c r="AY39" i="74"/>
  <c r="AY217" i="74" s="1"/>
  <c r="BC30" i="74"/>
  <c r="AZ57" i="55"/>
  <c r="BC39" i="74"/>
  <c r="BC217" i="74" s="1"/>
  <c r="AZ39" i="55"/>
  <c r="BC44" i="74" s="1"/>
  <c r="AZ60" i="55"/>
  <c r="AZ59" i="55" s="1"/>
  <c r="BC45" i="74"/>
  <c r="BC255" i="74" s="1"/>
  <c r="AX44" i="55"/>
  <c r="BA49" i="74" s="1"/>
  <c r="BA50" i="74"/>
  <c r="BA258" i="74" s="1"/>
  <c r="AX57" i="55"/>
  <c r="BA30" i="74"/>
  <c r="AZ39" i="74"/>
  <c r="AZ217" i="74" s="1"/>
  <c r="BA44" i="55"/>
  <c r="BD49" i="74" s="1"/>
  <c r="BD50" i="74"/>
  <c r="BD258" i="74" s="1"/>
  <c r="AZ44" i="55"/>
  <c r="BC49" i="74" s="1"/>
  <c r="BC50" i="74"/>
  <c r="BC258" i="74" s="1"/>
  <c r="BD45" i="74"/>
  <c r="BD255" i="74" s="1"/>
  <c r="BA60" i="55"/>
  <c r="BA59" i="55" s="1"/>
  <c r="AZ14" i="59"/>
  <c r="AW14" i="59"/>
  <c r="BA14" i="59"/>
  <c r="AU14" i="59"/>
  <c r="AV14" i="59"/>
  <c r="AX14" i="59"/>
  <c r="AY14" i="59"/>
  <c r="AM46" i="74"/>
  <c r="AM256" i="74" s="1"/>
  <c r="AC75" i="55"/>
  <c r="AI56" i="55"/>
  <c r="N75" i="55"/>
  <c r="AN56" i="55"/>
  <c r="AN46" i="74"/>
  <c r="AN256" i="74" s="1"/>
  <c r="AP46" i="74"/>
  <c r="AP256" i="74" s="1"/>
  <c r="AT56" i="55"/>
  <c r="AL56" i="55"/>
  <c r="AV46" i="74"/>
  <c r="AV256" i="74" s="1"/>
  <c r="G14" i="59"/>
  <c r="Z57" i="55"/>
  <c r="AC30" i="74"/>
  <c r="M39" i="74"/>
  <c r="M217" i="74" s="1"/>
  <c r="Z39" i="74"/>
  <c r="Z217" i="74" s="1"/>
  <c r="AA44" i="55"/>
  <c r="AD49" i="74" s="1"/>
  <c r="AD50" i="74"/>
  <c r="AD258" i="74" s="1"/>
  <c r="AK39" i="74"/>
  <c r="AK217" i="74" s="1"/>
  <c r="AH60" i="55"/>
  <c r="AH59" i="55" s="1"/>
  <c r="AK45" i="74"/>
  <c r="AK255" i="74" s="1"/>
  <c r="AL44" i="55"/>
  <c r="AO49" i="74" s="1"/>
  <c r="AO50" i="74"/>
  <c r="AO258" i="74" s="1"/>
  <c r="AL14" i="59"/>
  <c r="AR56" i="55"/>
  <c r="AU46" i="74"/>
  <c r="AU256" i="74" s="1"/>
  <c r="AS57" i="55"/>
  <c r="AS55" i="55" s="1"/>
  <c r="AV30" i="74"/>
  <c r="AO30" i="74"/>
  <c r="AL57" i="55"/>
  <c r="P30" i="74"/>
  <c r="M57" i="55"/>
  <c r="J39" i="74"/>
  <c r="J217" i="74" s="1"/>
  <c r="P75" i="55"/>
  <c r="T44" i="55"/>
  <c r="W49" i="74" s="1"/>
  <c r="W50" i="74"/>
  <c r="W258" i="74" s="1"/>
  <c r="Y14" i="59"/>
  <c r="AJ39" i="74"/>
  <c r="AJ217" i="74" s="1"/>
  <c r="AQ14" i="59"/>
  <c r="X30" i="74"/>
  <c r="U57" i="55"/>
  <c r="H13" i="74"/>
  <c r="Q14" i="59"/>
  <c r="Y50" i="74"/>
  <c r="Y258" i="74" s="1"/>
  <c r="V44" i="55"/>
  <c r="Y49" i="74" s="1"/>
  <c r="AF44" i="55"/>
  <c r="AI49" i="74" s="1"/>
  <c r="AI50" i="74"/>
  <c r="AI258" i="74" s="1"/>
  <c r="AN39" i="74"/>
  <c r="AN217" i="74" s="1"/>
  <c r="AN50" i="74"/>
  <c r="AN258" i="74" s="1"/>
  <c r="AK44" i="55"/>
  <c r="AN49" i="74" s="1"/>
  <c r="AR46" i="74"/>
  <c r="AR256" i="74" s="1"/>
  <c r="AO56" i="55"/>
  <c r="AR39" i="55"/>
  <c r="AU44" i="74" s="1"/>
  <c r="AR60" i="55"/>
  <c r="AR59" i="55" s="1"/>
  <c r="AU45" i="74"/>
  <c r="AU255" i="74" s="1"/>
  <c r="AM50" i="74"/>
  <c r="AM258" i="74" s="1"/>
  <c r="AJ44" i="55"/>
  <c r="AM49" i="74" s="1"/>
  <c r="AE30" i="74"/>
  <c r="AB57" i="55"/>
  <c r="N57" i="55"/>
  <c r="Q30" i="74"/>
  <c r="AG57" i="55"/>
  <c r="AJ30" i="74"/>
  <c r="AX30" i="74"/>
  <c r="AU57" i="55"/>
  <c r="I14" i="59"/>
  <c r="T14" i="59"/>
  <c r="Y60" i="55"/>
  <c r="Y59" i="55" s="1"/>
  <c r="AB45" i="74"/>
  <c r="AB255" i="74" s="1"/>
  <c r="AF45" i="74"/>
  <c r="AF255" i="74" s="1"/>
  <c r="AC60" i="55"/>
  <c r="AC59" i="55" s="1"/>
  <c r="AE44" i="55"/>
  <c r="AH49" i="74" s="1"/>
  <c r="AH50" i="74"/>
  <c r="AH258" i="74" s="1"/>
  <c r="AJ45" i="74"/>
  <c r="AJ255" i="74" s="1"/>
  <c r="AG60" i="55"/>
  <c r="AG59" i="55" s="1"/>
  <c r="AI39" i="55"/>
  <c r="AL44" i="74" s="1"/>
  <c r="AI60" i="55"/>
  <c r="AI59" i="55" s="1"/>
  <c r="AL45" i="74"/>
  <c r="AL255" i="74" s="1"/>
  <c r="AP45" i="74"/>
  <c r="AP255" i="74" s="1"/>
  <c r="AM39" i="55"/>
  <c r="AP44" i="74" s="1"/>
  <c r="AM60" i="55"/>
  <c r="AM59" i="55" s="1"/>
  <c r="AQ50" i="74"/>
  <c r="AQ258" i="74" s="1"/>
  <c r="AN44" i="55"/>
  <c r="AQ49" i="74" s="1"/>
  <c r="AS45" i="74"/>
  <c r="AS255" i="74" s="1"/>
  <c r="AP39" i="55"/>
  <c r="AS44" i="74" s="1"/>
  <c r="AP60" i="55"/>
  <c r="AP59" i="55" s="1"/>
  <c r="AC14" i="59"/>
  <c r="P57" i="55"/>
  <c r="S30" i="74"/>
  <c r="N39" i="74"/>
  <c r="N217" i="74" s="1"/>
  <c r="Z14" i="59"/>
  <c r="AB44" i="55"/>
  <c r="AE49" i="74" s="1"/>
  <c r="AE50" i="74"/>
  <c r="AE258" i="74" s="1"/>
  <c r="AG44" i="55"/>
  <c r="AJ49" i="74" s="1"/>
  <c r="AJ50" i="74"/>
  <c r="AJ258" i="74" s="1"/>
  <c r="AL39" i="74"/>
  <c r="AL217" i="74" s="1"/>
  <c r="AH14" i="59"/>
  <c r="AM39" i="74"/>
  <c r="AM217" i="74" s="1"/>
  <c r="AK14" i="59"/>
  <c r="AO14" i="59"/>
  <c r="AS44" i="55"/>
  <c r="AV49" i="74" s="1"/>
  <c r="AV50" i="74"/>
  <c r="AV258" i="74" s="1"/>
  <c r="AN57" i="55"/>
  <c r="AQ30" i="74"/>
  <c r="AX50" i="74"/>
  <c r="AX258" i="74" s="1"/>
  <c r="AU44" i="55"/>
  <c r="AX49" i="74" s="1"/>
  <c r="AL30" i="74"/>
  <c r="AI57" i="55"/>
  <c r="F9" i="57"/>
  <c r="S14" i="59"/>
  <c r="AC50" i="74"/>
  <c r="AC258" i="74" s="1"/>
  <c r="Z44" i="55"/>
  <c r="AC49" i="74" s="1"/>
  <c r="AG14" i="59"/>
  <c r="AM30" i="74"/>
  <c r="AJ57" i="55"/>
  <c r="AJ55" i="55" s="1"/>
  <c r="K39" i="74"/>
  <c r="K217" i="74" s="1"/>
  <c r="K44" i="55"/>
  <c r="N49" i="74" s="1"/>
  <c r="N50" i="74"/>
  <c r="N258" i="74" s="1"/>
  <c r="O14" i="59"/>
  <c r="U50" i="74"/>
  <c r="U258" i="74" s="1"/>
  <c r="R44" i="55"/>
  <c r="U49" i="74" s="1"/>
  <c r="Y39" i="74"/>
  <c r="Y217" i="74" s="1"/>
  <c r="AI39" i="74"/>
  <c r="AI217" i="74" s="1"/>
  <c r="AJ14" i="59"/>
  <c r="AQ39" i="74"/>
  <c r="AQ217" i="74" s="1"/>
  <c r="AS39" i="74"/>
  <c r="AS217" i="74" s="1"/>
  <c r="AT46" i="74"/>
  <c r="AT256" i="74" s="1"/>
  <c r="AQ56" i="55"/>
  <c r="AV45" i="74"/>
  <c r="AV255" i="74" s="1"/>
  <c r="AS39" i="55"/>
  <c r="AV44" i="74" s="1"/>
  <c r="AS60" i="55"/>
  <c r="AS59" i="55" s="1"/>
  <c r="AI34" i="74"/>
  <c r="AI178" i="74" s="1"/>
  <c r="AI175" i="74" s="1"/>
  <c r="AD60" i="55"/>
  <c r="AD59" i="55" s="1"/>
  <c r="AG45" i="74"/>
  <c r="AG255" i="74" s="1"/>
  <c r="AI14" i="59"/>
  <c r="AW39" i="74"/>
  <c r="AW217" i="74" s="1"/>
  <c r="U30" i="74"/>
  <c r="R57" i="55"/>
  <c r="G60" i="55"/>
  <c r="J45" i="74"/>
  <c r="J255" i="74" s="1"/>
  <c r="M50" i="74"/>
  <c r="M258" i="74" s="1"/>
  <c r="J44" i="55"/>
  <c r="M49" i="74" s="1"/>
  <c r="U44" i="55"/>
  <c r="X49" i="74" s="1"/>
  <c r="X50" i="74"/>
  <c r="X258" i="74" s="1"/>
  <c r="X44" i="55"/>
  <c r="AA49" i="74" s="1"/>
  <c r="AA50" i="74"/>
  <c r="AA258" i="74" s="1"/>
  <c r="Y44" i="55"/>
  <c r="AB49" i="74" s="1"/>
  <c r="AB50" i="74"/>
  <c r="AB258" i="74" s="1"/>
  <c r="AD39" i="74"/>
  <c r="AD217" i="74" s="1"/>
  <c r="AD14" i="59"/>
  <c r="AM14" i="59"/>
  <c r="AP30" i="74"/>
  <c r="AM57" i="55"/>
  <c r="AM55" i="55" s="1"/>
  <c r="W30" i="74"/>
  <c r="T57" i="55"/>
  <c r="U39" i="74"/>
  <c r="U217" i="74" s="1"/>
  <c r="AC39" i="74"/>
  <c r="AC217" i="74" s="1"/>
  <c r="AG50" i="74"/>
  <c r="AG258" i="74" s="1"/>
  <c r="AD44" i="55"/>
  <c r="AG49" i="74" s="1"/>
  <c r="AA57" i="55"/>
  <c r="AD30" i="74"/>
  <c r="AD57" i="55"/>
  <c r="AG30" i="74"/>
  <c r="L50" i="74"/>
  <c r="L258" i="74" s="1"/>
  <c r="I44" i="55"/>
  <c r="L49" i="74" s="1"/>
  <c r="AF30" i="74"/>
  <c r="AC57" i="55"/>
  <c r="AW30" i="74"/>
  <c r="AT57" i="55"/>
  <c r="F14" i="59"/>
  <c r="K14" i="59"/>
  <c r="J14" i="59"/>
  <c r="L14" i="59"/>
  <c r="N14" i="59"/>
  <c r="D8" i="59"/>
  <c r="H44" i="55"/>
  <c r="K49" i="74" s="1"/>
  <c r="K50" i="74"/>
  <c r="K258" i="74" s="1"/>
  <c r="O75" i="55"/>
  <c r="P14" i="59"/>
  <c r="AA14" i="59"/>
  <c r="AF14" i="59"/>
  <c r="AL50" i="74"/>
  <c r="AL258" i="74" s="1"/>
  <c r="AI44" i="55"/>
  <c r="AL49" i="74" s="1"/>
  <c r="AP44" i="55"/>
  <c r="AS49" i="74" s="1"/>
  <c r="AS50" i="74"/>
  <c r="AS258" i="74" s="1"/>
  <c r="AQ44" i="55"/>
  <c r="AT49" i="74" s="1"/>
  <c r="AT50" i="74"/>
  <c r="AT258" i="74" s="1"/>
  <c r="AR14" i="59"/>
  <c r="AU60" i="55"/>
  <c r="AU59" i="55" s="1"/>
  <c r="AU39" i="55"/>
  <c r="AX44" i="74" s="1"/>
  <c r="AX45" i="74"/>
  <c r="AX255" i="74" s="1"/>
  <c r="AT14" i="59"/>
  <c r="AU30" i="74"/>
  <c r="AR57" i="55"/>
  <c r="L39" i="74"/>
  <c r="L217" i="74" s="1"/>
  <c r="V14" i="59"/>
  <c r="AH44" i="55"/>
  <c r="AK49" i="74" s="1"/>
  <c r="AK50" i="74"/>
  <c r="AK258" i="74" s="1"/>
  <c r="K30" i="74"/>
  <c r="H57" i="55"/>
  <c r="Z30" i="74"/>
  <c r="W57" i="55"/>
  <c r="K46" i="74"/>
  <c r="K256" i="74" s="1"/>
  <c r="H56" i="55"/>
  <c r="O50" i="74"/>
  <c r="O258" i="74" s="1"/>
  <c r="L44" i="55"/>
  <c r="O49" i="74" s="1"/>
  <c r="P44" i="55"/>
  <c r="S49" i="74" s="1"/>
  <c r="S50" i="74"/>
  <c r="S258" i="74" s="1"/>
  <c r="AK39" i="55"/>
  <c r="AN44" i="74" s="1"/>
  <c r="AK60" i="55"/>
  <c r="AK59" i="55" s="1"/>
  <c r="AN45" i="74"/>
  <c r="AN255" i="74" s="1"/>
  <c r="AU39" i="74"/>
  <c r="AU217" i="74" s="1"/>
  <c r="AV39" i="74"/>
  <c r="AV217" i="74" s="1"/>
  <c r="AO39" i="74"/>
  <c r="AO217" i="74" s="1"/>
  <c r="AR39" i="74"/>
  <c r="AR217" i="74" s="1"/>
  <c r="AS14" i="59"/>
  <c r="R30" i="74"/>
  <c r="O57" i="55"/>
  <c r="AO57" i="55"/>
  <c r="AR30" i="74"/>
  <c r="M14" i="59"/>
  <c r="W14" i="59"/>
  <c r="X14" i="59"/>
  <c r="AE45" i="74"/>
  <c r="AE255" i="74" s="1"/>
  <c r="AB60" i="55"/>
  <c r="AB59" i="55" s="1"/>
  <c r="AF50" i="74"/>
  <c r="AF258" i="74" s="1"/>
  <c r="AC44" i="55"/>
  <c r="AF49" i="74" s="1"/>
  <c r="AF60" i="55"/>
  <c r="AF59" i="55" s="1"/>
  <c r="AI45" i="74"/>
  <c r="AI255" i="74" s="1"/>
  <c r="AM45" i="74"/>
  <c r="AM255" i="74" s="1"/>
  <c r="AJ60" i="55"/>
  <c r="AJ59" i="55" s="1"/>
  <c r="AJ39" i="55"/>
  <c r="AM44" i="74" s="1"/>
  <c r="AT45" i="74"/>
  <c r="AT255" i="74" s="1"/>
  <c r="AQ60" i="55"/>
  <c r="AQ59" i="55" s="1"/>
  <c r="AQ39" i="55"/>
  <c r="AT44" i="74" s="1"/>
  <c r="D14" i="57"/>
  <c r="AB30" i="74"/>
  <c r="Y57" i="55"/>
  <c r="M44" i="55"/>
  <c r="P49" i="74" s="1"/>
  <c r="P50" i="74"/>
  <c r="P258" i="74" s="1"/>
  <c r="S44" i="55"/>
  <c r="V49" i="74" s="1"/>
  <c r="V50" i="74"/>
  <c r="V258" i="74" s="1"/>
  <c r="AN14" i="59"/>
  <c r="J50" i="74"/>
  <c r="J258" i="74" s="1"/>
  <c r="G44" i="55"/>
  <c r="G50" i="74"/>
  <c r="G258" i="74" s="1"/>
  <c r="H50" i="74"/>
  <c r="H258" i="74" s="1"/>
  <c r="H14" i="59"/>
  <c r="R50" i="74"/>
  <c r="R258" i="74" s="1"/>
  <c r="O44" i="55"/>
  <c r="R49" i="74" s="1"/>
  <c r="T50" i="74"/>
  <c r="T258" i="74" s="1"/>
  <c r="Q44" i="55"/>
  <c r="T49" i="74" s="1"/>
  <c r="AE39" i="74"/>
  <c r="AE217" i="74" s="1"/>
  <c r="AF39" i="74"/>
  <c r="AF217" i="74" s="1"/>
  <c r="AH39" i="74"/>
  <c r="AH217" i="74" s="1"/>
  <c r="AM44" i="55"/>
  <c r="AP49" i="74" s="1"/>
  <c r="AP50" i="74"/>
  <c r="AP258" i="74" s="1"/>
  <c r="AT39" i="74"/>
  <c r="AT217" i="74" s="1"/>
  <c r="AP14" i="59"/>
  <c r="AW45" i="74"/>
  <c r="AW255" i="74" s="1"/>
  <c r="AT60" i="55"/>
  <c r="AT59" i="55" s="1"/>
  <c r="AT39" i="55"/>
  <c r="AW44" i="74" s="1"/>
  <c r="AK30" i="74"/>
  <c r="AH57" i="55"/>
  <c r="Z50" i="74"/>
  <c r="Z258" i="74" s="1"/>
  <c r="W44" i="55"/>
  <c r="Z49" i="74" s="1"/>
  <c r="AU50" i="74"/>
  <c r="AU258" i="74" s="1"/>
  <c r="AR44" i="55"/>
  <c r="AU49" i="74" s="1"/>
  <c r="AT30" i="74"/>
  <c r="AQ57" i="55"/>
  <c r="AP57" i="55"/>
  <c r="AS30" i="74"/>
  <c r="H39" i="55"/>
  <c r="K44" i="74" s="1"/>
  <c r="O39" i="74"/>
  <c r="O217" i="74" s="1"/>
  <c r="U14" i="59"/>
  <c r="AA39" i="74"/>
  <c r="AA217" i="74" s="1"/>
  <c r="AG39" i="74"/>
  <c r="AG217" i="74" s="1"/>
  <c r="AE14" i="59"/>
  <c r="AP39" i="74"/>
  <c r="AP217" i="74" s="1"/>
  <c r="AN39" i="55"/>
  <c r="AQ44" i="74" s="1"/>
  <c r="AN60" i="55"/>
  <c r="AN59" i="55" s="1"/>
  <c r="AQ45" i="74"/>
  <c r="AQ255" i="74" s="1"/>
  <c r="AP56" i="55"/>
  <c r="AS46" i="74"/>
  <c r="AS256" i="74" s="1"/>
  <c r="AX39" i="74"/>
  <c r="AX217" i="74" s="1"/>
  <c r="AB39" i="74"/>
  <c r="AB217" i="74" s="1"/>
  <c r="AT44" i="55"/>
  <c r="AW49" i="74" s="1"/>
  <c r="AW50" i="74"/>
  <c r="AW258" i="74" s="1"/>
  <c r="AH30" i="74"/>
  <c r="AE57" i="55"/>
  <c r="F13" i="58"/>
  <c r="D4" i="88"/>
  <c r="Q50" i="74"/>
  <c r="Q258" i="74" s="1"/>
  <c r="N44" i="55"/>
  <c r="Q49" i="74" s="1"/>
  <c r="Z60" i="55"/>
  <c r="Z59" i="55" s="1"/>
  <c r="AC45" i="74"/>
  <c r="AC255" i="74" s="1"/>
  <c r="AA60" i="55"/>
  <c r="AA59" i="55" s="1"/>
  <c r="AD45" i="74"/>
  <c r="AD255" i="74" s="1"/>
  <c r="AB14" i="59"/>
  <c r="AH45" i="74"/>
  <c r="AH255" i="74" s="1"/>
  <c r="AE60" i="55"/>
  <c r="AE59" i="55" s="1"/>
  <c r="AL39" i="55"/>
  <c r="AO44" i="74" s="1"/>
  <c r="AL60" i="55"/>
  <c r="AL59" i="55" s="1"/>
  <c r="AO45" i="74"/>
  <c r="AO255" i="74" s="1"/>
  <c r="AR45" i="74"/>
  <c r="AR255" i="74" s="1"/>
  <c r="AO60" i="55"/>
  <c r="AO59" i="55" s="1"/>
  <c r="AO39" i="55"/>
  <c r="AR44" i="74" s="1"/>
  <c r="AX46" i="74"/>
  <c r="AX256" i="74" s="1"/>
  <c r="AU56" i="55"/>
  <c r="R14" i="59"/>
  <c r="AR50" i="74"/>
  <c r="AR258" i="74" s="1"/>
  <c r="AO44" i="55"/>
  <c r="AR49" i="74" s="1"/>
  <c r="Q223" i="52"/>
  <c r="Q94" i="52"/>
  <c r="Q256" i="52"/>
  <c r="Q126" i="52"/>
  <c r="Q289" i="52"/>
  <c r="Q291" i="52"/>
  <c r="Q194" i="52"/>
  <c r="Q290" i="52"/>
  <c r="Q158" i="52"/>
  <c r="Q123" i="52"/>
  <c r="Q257" i="52"/>
  <c r="Q159" i="52"/>
  <c r="Q224" i="52"/>
  <c r="Q60" i="52"/>
  <c r="Q91" i="52"/>
  <c r="Q58" i="52"/>
  <c r="Q225" i="52"/>
  <c r="Q92" i="52"/>
  <c r="Q191" i="52"/>
  <c r="Q292" i="52"/>
  <c r="Q226" i="52"/>
  <c r="Q61" i="52"/>
  <c r="Q193" i="52"/>
  <c r="Q192" i="52"/>
  <c r="Q125" i="52"/>
  <c r="Q160" i="52"/>
  <c r="Q157" i="52"/>
  <c r="Q93" i="52"/>
  <c r="Q124" i="52"/>
  <c r="Q59" i="52"/>
  <c r="Q259" i="52"/>
  <c r="Q258" i="52"/>
  <c r="Q27" i="52"/>
  <c r="Q26" i="52"/>
  <c r="Q29" i="52"/>
  <c r="Q28" i="52"/>
  <c r="Q276" i="52"/>
  <c r="Q251" i="52"/>
  <c r="Q240" i="52"/>
  <c r="Q216" i="52"/>
  <c r="Q281" i="52"/>
  <c r="Q246" i="52"/>
  <c r="Q219" i="52"/>
  <c r="Q248" i="52"/>
  <c r="Q244" i="52"/>
  <c r="Q239" i="52"/>
  <c r="Q213" i="52"/>
  <c r="Q243" i="52"/>
  <c r="Q285" i="52"/>
  <c r="Q273" i="52"/>
  <c r="Q215" i="52"/>
  <c r="Q284" i="52"/>
  <c r="Q279" i="52"/>
  <c r="Q272" i="52"/>
  <c r="Q252" i="52"/>
  <c r="Q206" i="52"/>
  <c r="Q186" i="52"/>
  <c r="Q177" i="52"/>
  <c r="Q211" i="52"/>
  <c r="Q210" i="52"/>
  <c r="Q180" i="52"/>
  <c r="Q178" i="52"/>
  <c r="Q208" i="52"/>
  <c r="Q176" i="52"/>
  <c r="Q218" i="52"/>
  <c r="Q187" i="52"/>
  <c r="Q149" i="52"/>
  <c r="Q144" i="52"/>
  <c r="Q119" i="52"/>
  <c r="Q112" i="52"/>
  <c r="Q108" i="52"/>
  <c r="Q175" i="52"/>
  <c r="Q140" i="52"/>
  <c r="Q153" i="52"/>
  <c r="Q118" i="52"/>
  <c r="Q115" i="52"/>
  <c r="Q183" i="52"/>
  <c r="Q109" i="52"/>
  <c r="Q107" i="52"/>
  <c r="Q174" i="52"/>
  <c r="Q152" i="52"/>
  <c r="Q145" i="52"/>
  <c r="Q141" i="52"/>
  <c r="Q106" i="52"/>
  <c r="Q50" i="52"/>
  <c r="Q87" i="52"/>
  <c r="Q75" i="52"/>
  <c r="Q74" i="52"/>
  <c r="Q45" i="52"/>
  <c r="Q42" i="52"/>
  <c r="Q54" i="52"/>
  <c r="Q48" i="52"/>
  <c r="Q78" i="52"/>
  <c r="Q207" i="52"/>
  <c r="Q110" i="52"/>
  <c r="Q86" i="52"/>
  <c r="Q53" i="52"/>
  <c r="Q81" i="52"/>
  <c r="Q83" i="52"/>
  <c r="Q41" i="52"/>
  <c r="Q179" i="52"/>
  <c r="Q282" i="52"/>
  <c r="Q277" i="52"/>
  <c r="Q247" i="52"/>
  <c r="Q245" i="52"/>
  <c r="Q242" i="52"/>
  <c r="Q249" i="52"/>
  <c r="Q214" i="52"/>
  <c r="Q241" i="52"/>
  <c r="Q250" i="52"/>
  <c r="Q209" i="52"/>
  <c r="Q274" i="52"/>
  <c r="Q275" i="52"/>
  <c r="Q278" i="52"/>
  <c r="Q212" i="52"/>
  <c r="Q182" i="52"/>
  <c r="Q117" i="52"/>
  <c r="Q116" i="52"/>
  <c r="Q77" i="52"/>
  <c r="Q151" i="52"/>
  <c r="Q181" i="52"/>
  <c r="Q184" i="52"/>
  <c r="Q111" i="52"/>
  <c r="Q185" i="52"/>
  <c r="Q147" i="52"/>
  <c r="Q280" i="52"/>
  <c r="Q146" i="52"/>
  <c r="Q150" i="52"/>
  <c r="Q113" i="52"/>
  <c r="Q85" i="52"/>
  <c r="Q47" i="52"/>
  <c r="Q43" i="52"/>
  <c r="Q79" i="52"/>
  <c r="Q49" i="52"/>
  <c r="Q80" i="52"/>
  <c r="Q142" i="52"/>
  <c r="Q84" i="52"/>
  <c r="Q51" i="52"/>
  <c r="Q76" i="52"/>
  <c r="Q46" i="52"/>
  <c r="Q143" i="52"/>
  <c r="Q283" i="52"/>
  <c r="Q217" i="52"/>
  <c r="Q148" i="52"/>
  <c r="Q82" i="52"/>
  <c r="Q52" i="52"/>
  <c r="Q114" i="52"/>
  <c r="Q44" i="52"/>
  <c r="Q15" i="52"/>
  <c r="R8" i="52"/>
  <c r="Q25" i="52"/>
  <c r="Q16" i="52"/>
  <c r="Q17" i="52"/>
  <c r="Q11" i="52"/>
  <c r="Q18" i="52"/>
  <c r="Q19" i="52"/>
  <c r="Q9" i="52"/>
  <c r="Q12" i="52"/>
  <c r="Q20" i="52"/>
  <c r="Q10" i="52"/>
  <c r="Q14" i="52"/>
  <c r="Q21" i="52"/>
  <c r="Q13" i="52"/>
  <c r="Q22" i="52"/>
  <c r="D44" i="55" l="1"/>
  <c r="E44" i="55"/>
  <c r="E75" i="55"/>
  <c r="H11" i="74" s="1"/>
  <c r="D75" i="55"/>
  <c r="E60" i="55"/>
  <c r="D60" i="55"/>
  <c r="D35" i="55"/>
  <c r="G40" i="74" s="1"/>
  <c r="G218" i="74" s="1"/>
  <c r="E35" i="55"/>
  <c r="H40" i="74" s="1"/>
  <c r="H218" i="74" s="1"/>
  <c r="K216" i="74"/>
  <c r="BC216" i="74"/>
  <c r="BB216" i="74"/>
  <c r="J216" i="74"/>
  <c r="AZ216" i="74"/>
  <c r="BD216" i="74"/>
  <c r="BE216" i="74"/>
  <c r="P74" i="55"/>
  <c r="S10" i="74" s="1"/>
  <c r="S11" i="74"/>
  <c r="T74" i="55"/>
  <c r="W10" i="74" s="1"/>
  <c r="W11" i="74"/>
  <c r="BA79" i="55"/>
  <c r="BD15" i="74" s="1"/>
  <c r="BD16" i="74"/>
  <c r="AC74" i="55"/>
  <c r="AF10" i="74" s="1"/>
  <c r="AF11" i="74"/>
  <c r="AS79" i="55"/>
  <c r="AV15" i="74" s="1"/>
  <c r="AV16" i="74"/>
  <c r="K74" i="55"/>
  <c r="N10" i="74" s="1"/>
  <c r="N11" i="74"/>
  <c r="O74" i="55"/>
  <c r="R10" i="74" s="1"/>
  <c r="R11" i="74"/>
  <c r="N74" i="55"/>
  <c r="Q10" i="74" s="1"/>
  <c r="Q11" i="74"/>
  <c r="X74" i="55"/>
  <c r="AA10" i="74" s="1"/>
  <c r="AA11" i="74"/>
  <c r="Y74" i="55"/>
  <c r="AB10" i="74" s="1"/>
  <c r="AB11" i="74"/>
  <c r="Q74" i="55"/>
  <c r="T10" i="74" s="1"/>
  <c r="T11" i="74"/>
  <c r="G74" i="55"/>
  <c r="J11" i="74"/>
  <c r="AE74" i="55"/>
  <c r="AH10" i="74" s="1"/>
  <c r="AH11" i="74"/>
  <c r="AM79" i="55"/>
  <c r="AP15" i="74" s="1"/>
  <c r="AP16" i="74"/>
  <c r="AS74" i="55"/>
  <c r="AV10" i="74" s="1"/>
  <c r="AV11" i="74"/>
  <c r="U74" i="55"/>
  <c r="X10" i="74" s="1"/>
  <c r="X11" i="74"/>
  <c r="Z74" i="55"/>
  <c r="AC10" i="74" s="1"/>
  <c r="AC11" i="74"/>
  <c r="AK79" i="55"/>
  <c r="AN15" i="74" s="1"/>
  <c r="AN16" i="74"/>
  <c r="M74" i="55"/>
  <c r="P10" i="74" s="1"/>
  <c r="P11" i="74"/>
  <c r="AD74" i="55"/>
  <c r="AG10" i="74" s="1"/>
  <c r="AG11" i="74"/>
  <c r="W74" i="55"/>
  <c r="Z10" i="74" s="1"/>
  <c r="Z11" i="74"/>
  <c r="AH74" i="55"/>
  <c r="AK10" i="74" s="1"/>
  <c r="AK11" i="74"/>
  <c r="AJ74" i="55"/>
  <c r="AM10" i="74" s="1"/>
  <c r="AM11" i="74"/>
  <c r="AA74" i="55"/>
  <c r="AD10" i="74" s="1"/>
  <c r="AD11" i="74"/>
  <c r="S74" i="55"/>
  <c r="V10" i="74" s="1"/>
  <c r="V11" i="74"/>
  <c r="AT79" i="55"/>
  <c r="AW16" i="74"/>
  <c r="AI79" i="55"/>
  <c r="AL15" i="74" s="1"/>
  <c r="AL16" i="74"/>
  <c r="J74" i="55"/>
  <c r="M10" i="74" s="1"/>
  <c r="M11" i="74"/>
  <c r="G13" i="74"/>
  <c r="AN79" i="55"/>
  <c r="AQ15" i="74" s="1"/>
  <c r="AQ16" i="74"/>
  <c r="AV86" i="55"/>
  <c r="AJ79" i="55"/>
  <c r="AM15" i="74" s="1"/>
  <c r="AM16" i="74"/>
  <c r="R74" i="55"/>
  <c r="U10" i="74" s="1"/>
  <c r="U11" i="74"/>
  <c r="AM74" i="55"/>
  <c r="AP10" i="74" s="1"/>
  <c r="AP11" i="74"/>
  <c r="I74" i="55"/>
  <c r="L10" i="74" s="1"/>
  <c r="L11" i="74"/>
  <c r="L74" i="55"/>
  <c r="O10" i="74" s="1"/>
  <c r="O11" i="74"/>
  <c r="V74" i="55"/>
  <c r="Y10" i="74" s="1"/>
  <c r="Y11" i="74"/>
  <c r="AG74" i="55"/>
  <c r="AJ10" i="74" s="1"/>
  <c r="AJ11" i="74"/>
  <c r="AF74" i="55"/>
  <c r="AI10" i="74" s="1"/>
  <c r="AI11" i="74"/>
  <c r="BA74" i="55"/>
  <c r="BD10" i="74" s="1"/>
  <c r="BD11" i="74"/>
  <c r="AL79" i="55"/>
  <c r="AO15" i="74" s="1"/>
  <c r="AO16" i="74"/>
  <c r="BA216" i="74"/>
  <c r="AX74" i="55"/>
  <c r="AY74" i="55"/>
  <c r="AK74" i="55"/>
  <c r="AZ74" i="55"/>
  <c r="AN74" i="55"/>
  <c r="AU74" i="55"/>
  <c r="AO74" i="55"/>
  <c r="AI74" i="55"/>
  <c r="AL74" i="55"/>
  <c r="H74" i="55"/>
  <c r="AQ74" i="55"/>
  <c r="AP74" i="55"/>
  <c r="AW74" i="55"/>
  <c r="AR74" i="55"/>
  <c r="BB74" i="55"/>
  <c r="G11" i="74"/>
  <c r="AF40" i="74"/>
  <c r="AF218" i="74" s="1"/>
  <c r="AA40" i="74"/>
  <c r="AA218" i="74" s="1"/>
  <c r="R40" i="74"/>
  <c r="R218" i="74" s="1"/>
  <c r="AC40" i="74"/>
  <c r="AC218" i="74" s="1"/>
  <c r="W40" i="74"/>
  <c r="W218" i="74" s="1"/>
  <c r="Q40" i="74"/>
  <c r="Q218" i="74" s="1"/>
  <c r="S40" i="74"/>
  <c r="S218" i="74" s="1"/>
  <c r="P40" i="74"/>
  <c r="P218" i="74" s="1"/>
  <c r="BA174" i="74"/>
  <c r="BB174" i="74"/>
  <c r="AT174" i="74"/>
  <c r="AC174" i="74"/>
  <c r="AX174" i="74"/>
  <c r="AB174" i="74"/>
  <c r="AJ174" i="74"/>
  <c r="AW174" i="74"/>
  <c r="AH174" i="74"/>
  <c r="AQ174" i="74"/>
  <c r="BC174" i="74"/>
  <c r="AF174" i="74"/>
  <c r="AR174" i="74"/>
  <c r="AK174" i="74"/>
  <c r="R174" i="74"/>
  <c r="AE174" i="74"/>
  <c r="AU174" i="74"/>
  <c r="BB55" i="55"/>
  <c r="AY55" i="55"/>
  <c r="AW55" i="55"/>
  <c r="AZ48" i="55"/>
  <c r="BD38" i="74"/>
  <c r="BA48" i="55"/>
  <c r="BA254" i="74"/>
  <c r="BB254" i="74"/>
  <c r="BC254" i="74"/>
  <c r="AY254" i="74"/>
  <c r="AY48" i="55"/>
  <c r="BD254" i="74"/>
  <c r="BD253" i="74" s="1"/>
  <c r="AW48" i="55"/>
  <c r="AZ38" i="74"/>
  <c r="AZ55" i="55"/>
  <c r="BE38" i="74"/>
  <c r="BB48" i="55"/>
  <c r="AX55" i="55"/>
  <c r="AZ254" i="74"/>
  <c r="AV55" i="55"/>
  <c r="BE254" i="74"/>
  <c r="BE253" i="74" s="1"/>
  <c r="AX48" i="55"/>
  <c r="BA38" i="74"/>
  <c r="AN55" i="55"/>
  <c r="AT55" i="55"/>
  <c r="AI55" i="55"/>
  <c r="AQ55" i="55"/>
  <c r="AQ254" i="74"/>
  <c r="AN254" i="74"/>
  <c r="AL55" i="55"/>
  <c r="AO254" i="74"/>
  <c r="AV254" i="74"/>
  <c r="K254" i="74"/>
  <c r="AP55" i="55"/>
  <c r="H55" i="55"/>
  <c r="AX254" i="74"/>
  <c r="AP254" i="74"/>
  <c r="AL254" i="74"/>
  <c r="H48" i="55"/>
  <c r="K53" i="74" s="1"/>
  <c r="AW254" i="74"/>
  <c r="J49" i="74"/>
  <c r="G49" i="74"/>
  <c r="G59" i="55"/>
  <c r="C101" i="55"/>
  <c r="H45" i="74"/>
  <c r="H255" i="74" s="1"/>
  <c r="AF57" i="55"/>
  <c r="AI30" i="74"/>
  <c r="AU254" i="74"/>
  <c r="J38" i="74"/>
  <c r="AR254" i="74"/>
  <c r="AM254" i="74"/>
  <c r="C102" i="55"/>
  <c r="H39" i="74"/>
  <c r="H217" i="74" s="1"/>
  <c r="C99" i="55"/>
  <c r="AR55" i="55"/>
  <c r="G42" i="55"/>
  <c r="D13" i="58"/>
  <c r="AT254" i="74"/>
  <c r="AO55" i="55"/>
  <c r="AS254" i="74"/>
  <c r="AU55" i="55"/>
  <c r="R226" i="52"/>
  <c r="R225" i="52"/>
  <c r="R259" i="52"/>
  <c r="R258" i="52"/>
  <c r="R292" i="52"/>
  <c r="R91" i="52"/>
  <c r="R291" i="52"/>
  <c r="R157" i="52"/>
  <c r="R158" i="52"/>
  <c r="R257" i="52"/>
  <c r="R92" i="52"/>
  <c r="R223" i="52"/>
  <c r="R126" i="52"/>
  <c r="R191" i="52"/>
  <c r="R290" i="52"/>
  <c r="R192" i="52"/>
  <c r="R61" i="52"/>
  <c r="R224" i="52"/>
  <c r="R159" i="52"/>
  <c r="R289" i="52"/>
  <c r="R123" i="52"/>
  <c r="R93" i="52"/>
  <c r="R58" i="52"/>
  <c r="R59" i="52"/>
  <c r="R160" i="52"/>
  <c r="R94" i="52"/>
  <c r="R256" i="52"/>
  <c r="R193" i="52"/>
  <c r="R194" i="52"/>
  <c r="R60" i="52"/>
  <c r="R124" i="52"/>
  <c r="R125" i="52"/>
  <c r="R26" i="52"/>
  <c r="R27" i="52"/>
  <c r="R28" i="52"/>
  <c r="R29" i="52"/>
  <c r="R251" i="52"/>
  <c r="R240" i="52"/>
  <c r="R281" i="52"/>
  <c r="R277" i="52"/>
  <c r="R219" i="52"/>
  <c r="R248" i="52"/>
  <c r="R245" i="52"/>
  <c r="R244" i="52"/>
  <c r="R241" i="52"/>
  <c r="R239" i="52"/>
  <c r="R243" i="52"/>
  <c r="R218" i="52"/>
  <c r="R285" i="52"/>
  <c r="R273" i="52"/>
  <c r="R276" i="52"/>
  <c r="R186" i="52"/>
  <c r="R177" i="52"/>
  <c r="R211" i="52"/>
  <c r="R153" i="52"/>
  <c r="R272" i="52"/>
  <c r="R215" i="52"/>
  <c r="R210" i="52"/>
  <c r="R180" i="52"/>
  <c r="R178" i="52"/>
  <c r="R183" i="52"/>
  <c r="R175" i="52"/>
  <c r="R152" i="52"/>
  <c r="R284" i="52"/>
  <c r="R212" i="52"/>
  <c r="R208" i="52"/>
  <c r="R252" i="52"/>
  <c r="R207" i="52"/>
  <c r="R184" i="52"/>
  <c r="R206" i="52"/>
  <c r="R176" i="52"/>
  <c r="R140" i="52"/>
  <c r="R118" i="52"/>
  <c r="R115" i="52"/>
  <c r="R187" i="52"/>
  <c r="R107" i="52"/>
  <c r="R181" i="52"/>
  <c r="R110" i="52"/>
  <c r="R149" i="52"/>
  <c r="R144" i="52"/>
  <c r="R142" i="52"/>
  <c r="R119" i="52"/>
  <c r="R50" i="52"/>
  <c r="R83" i="52"/>
  <c r="R87" i="52"/>
  <c r="R75" i="52"/>
  <c r="R53" i="52"/>
  <c r="R174" i="52"/>
  <c r="R106" i="52"/>
  <c r="R54" i="52"/>
  <c r="R146" i="52"/>
  <c r="R74" i="52"/>
  <c r="R45" i="52"/>
  <c r="R42" i="52"/>
  <c r="R86" i="52"/>
  <c r="R141" i="52"/>
  <c r="R78" i="52"/>
  <c r="R46" i="52"/>
  <c r="R41" i="52"/>
  <c r="R145" i="52"/>
  <c r="R79" i="52"/>
  <c r="R282" i="52"/>
  <c r="R279" i="52"/>
  <c r="R274" i="52"/>
  <c r="R275" i="52"/>
  <c r="R278" i="52"/>
  <c r="R247" i="52"/>
  <c r="R213" i="52"/>
  <c r="R179" i="52"/>
  <c r="R250" i="52"/>
  <c r="R280" i="52"/>
  <c r="R249" i="52"/>
  <c r="R182" i="52"/>
  <c r="R246" i="52"/>
  <c r="R216" i="52"/>
  <c r="R209" i="52"/>
  <c r="R150" i="52"/>
  <c r="R117" i="52"/>
  <c r="R242" i="52"/>
  <c r="R151" i="52"/>
  <c r="R108" i="52"/>
  <c r="R111" i="52"/>
  <c r="R147" i="52"/>
  <c r="R109" i="52"/>
  <c r="R116" i="52"/>
  <c r="R185" i="52"/>
  <c r="R113" i="52"/>
  <c r="R214" i="52"/>
  <c r="R76" i="52"/>
  <c r="R47" i="52"/>
  <c r="R84" i="52"/>
  <c r="R112" i="52"/>
  <c r="R48" i="52"/>
  <c r="R49" i="52"/>
  <c r="R81" i="52"/>
  <c r="R51" i="52"/>
  <c r="R77" i="52"/>
  <c r="R43" i="52"/>
  <c r="R80" i="52"/>
  <c r="R85" i="52"/>
  <c r="R283" i="52"/>
  <c r="R217" i="52"/>
  <c r="R114" i="52"/>
  <c r="R44" i="52"/>
  <c r="R143" i="52"/>
  <c r="R82" i="52"/>
  <c r="R148" i="52"/>
  <c r="R52" i="52"/>
  <c r="R25" i="52"/>
  <c r="R16" i="52"/>
  <c r="R17" i="52"/>
  <c r="S8" i="52"/>
  <c r="R18" i="52"/>
  <c r="R19" i="52"/>
  <c r="R9" i="52"/>
  <c r="R20" i="52"/>
  <c r="R10" i="52"/>
  <c r="R21" i="52"/>
  <c r="R12" i="52"/>
  <c r="R11" i="52"/>
  <c r="R15" i="52"/>
  <c r="R22" i="52"/>
  <c r="R13" i="52"/>
  <c r="R14" i="52"/>
  <c r="J10" i="74" l="1"/>
  <c r="D74" i="55"/>
  <c r="E74" i="55"/>
  <c r="H10" i="74" s="1"/>
  <c r="E59" i="55"/>
  <c r="D59" i="55"/>
  <c r="E42" i="55"/>
  <c r="H47" i="74" s="1"/>
  <c r="H257" i="74" s="1"/>
  <c r="D42" i="55"/>
  <c r="G47" i="74" s="1"/>
  <c r="G257" i="74" s="1"/>
  <c r="AS86" i="55"/>
  <c r="AS85" i="55" s="1"/>
  <c r="AJ86" i="55"/>
  <c r="AM22" i="74" s="1"/>
  <c r="BA86" i="55"/>
  <c r="BA85" i="55" s="1"/>
  <c r="AM86" i="55"/>
  <c r="AP22" i="74" s="1"/>
  <c r="AW86" i="55"/>
  <c r="AZ10" i="74"/>
  <c r="AN86" i="55"/>
  <c r="AQ10" i="74"/>
  <c r="AZ86" i="55"/>
  <c r="BC10" i="74"/>
  <c r="AQ86" i="55"/>
  <c r="AT10" i="74"/>
  <c r="AN10" i="74"/>
  <c r="H86" i="55"/>
  <c r="K10" i="74"/>
  <c r="AY86" i="55"/>
  <c r="BB10" i="74"/>
  <c r="AV85" i="55"/>
  <c r="AY22" i="74"/>
  <c r="AL86" i="55"/>
  <c r="AO10" i="74"/>
  <c r="AX86" i="55"/>
  <c r="BA10" i="74"/>
  <c r="AI86" i="55"/>
  <c r="AL10" i="74"/>
  <c r="AT86" i="55"/>
  <c r="AW15" i="74"/>
  <c r="BB86" i="55"/>
  <c r="BE10" i="74"/>
  <c r="AO86" i="55"/>
  <c r="AR10" i="74"/>
  <c r="AP86" i="55"/>
  <c r="AS10" i="74"/>
  <c r="AR86" i="55"/>
  <c r="AU10" i="74"/>
  <c r="AU86" i="55"/>
  <c r="AX10" i="74"/>
  <c r="G10" i="74"/>
  <c r="AZ269" i="74"/>
  <c r="AZ283" i="74" s="1"/>
  <c r="K269" i="74"/>
  <c r="K283" i="74" s="1"/>
  <c r="BE269" i="74"/>
  <c r="BE283" i="74" s="1"/>
  <c r="BA269" i="74"/>
  <c r="BA283" i="74" s="1"/>
  <c r="BD269" i="74"/>
  <c r="BD283" i="74" s="1"/>
  <c r="BB269" i="74"/>
  <c r="BB283" i="74" s="1"/>
  <c r="BC269" i="74"/>
  <c r="BC283" i="74" s="1"/>
  <c r="AI174" i="74"/>
  <c r="BC53" i="74"/>
  <c r="BB53" i="74"/>
  <c r="BD53" i="74"/>
  <c r="AZ53" i="74"/>
  <c r="BC253" i="74"/>
  <c r="AZ47" i="55"/>
  <c r="BA53" i="74"/>
  <c r="BB253" i="74"/>
  <c r="BE53" i="74"/>
  <c r="J47" i="74"/>
  <c r="J257" i="74" s="1"/>
  <c r="H49" i="74"/>
  <c r="C103" i="55"/>
  <c r="S292" i="52"/>
  <c r="S59" i="52"/>
  <c r="S126" i="52"/>
  <c r="S291" i="52"/>
  <c r="S93" i="52"/>
  <c r="S226" i="52"/>
  <c r="S61" i="52"/>
  <c r="S157" i="52"/>
  <c r="S124" i="52"/>
  <c r="S289" i="52"/>
  <c r="S194" i="52"/>
  <c r="S91" i="52"/>
  <c r="S258" i="52"/>
  <c r="S123" i="52"/>
  <c r="S92" i="52"/>
  <c r="S225" i="52"/>
  <c r="S192" i="52"/>
  <c r="S193" i="52"/>
  <c r="S159" i="52"/>
  <c r="S290" i="52"/>
  <c r="S224" i="52"/>
  <c r="S158" i="52"/>
  <c r="S94" i="52"/>
  <c r="S223" i="52"/>
  <c r="S125" i="52"/>
  <c r="S191" i="52"/>
  <c r="S259" i="52"/>
  <c r="S60" i="52"/>
  <c r="S256" i="52"/>
  <c r="S160" i="52"/>
  <c r="S58" i="52"/>
  <c r="S257" i="52"/>
  <c r="S26" i="52"/>
  <c r="S27" i="52"/>
  <c r="S29" i="52"/>
  <c r="S28" i="52"/>
  <c r="S281" i="52"/>
  <c r="S277" i="52"/>
  <c r="S219" i="52"/>
  <c r="S248" i="52"/>
  <c r="S245" i="52"/>
  <c r="S244" i="52"/>
  <c r="S241" i="52"/>
  <c r="S239" i="52"/>
  <c r="S243" i="52"/>
  <c r="S218" i="52"/>
  <c r="S285" i="52"/>
  <c r="S273" i="52"/>
  <c r="S215" i="52"/>
  <c r="S284" i="52"/>
  <c r="S272" i="52"/>
  <c r="S252" i="52"/>
  <c r="S251" i="52"/>
  <c r="S240" i="52"/>
  <c r="S211" i="52"/>
  <c r="S153" i="52"/>
  <c r="S210" i="52"/>
  <c r="S178" i="52"/>
  <c r="S150" i="52"/>
  <c r="S183" i="52"/>
  <c r="S175" i="52"/>
  <c r="S208" i="52"/>
  <c r="S207" i="52"/>
  <c r="S276" i="52"/>
  <c r="S187" i="52"/>
  <c r="S182" i="52"/>
  <c r="S181" i="52"/>
  <c r="S186" i="52"/>
  <c r="S118" i="52"/>
  <c r="S115" i="52"/>
  <c r="S249" i="52"/>
  <c r="S206" i="52"/>
  <c r="S184" i="52"/>
  <c r="S107" i="52"/>
  <c r="S110" i="52"/>
  <c r="S174" i="52"/>
  <c r="S146" i="52"/>
  <c r="S145" i="52"/>
  <c r="S141" i="52"/>
  <c r="S116" i="52"/>
  <c r="S106" i="52"/>
  <c r="S140" i="52"/>
  <c r="S87" i="52"/>
  <c r="S75" i="52"/>
  <c r="S41" i="52"/>
  <c r="S54" i="52"/>
  <c r="S46" i="52"/>
  <c r="S84" i="52"/>
  <c r="S74" i="52"/>
  <c r="S45" i="52"/>
  <c r="S42" i="52"/>
  <c r="S144" i="52"/>
  <c r="S86" i="52"/>
  <c r="S53" i="52"/>
  <c r="S119" i="52"/>
  <c r="S78" i="52"/>
  <c r="S83" i="52"/>
  <c r="S76" i="52"/>
  <c r="S149" i="52"/>
  <c r="S152" i="52"/>
  <c r="S80" i="52"/>
  <c r="S50" i="52"/>
  <c r="S79" i="52"/>
  <c r="S246" i="52"/>
  <c r="S274" i="52"/>
  <c r="S275" i="52"/>
  <c r="S278" i="52"/>
  <c r="S250" i="52"/>
  <c r="S212" i="52"/>
  <c r="S179" i="52"/>
  <c r="S282" i="52"/>
  <c r="S209" i="52"/>
  <c r="S176" i="52"/>
  <c r="S177" i="52"/>
  <c r="S180" i="52"/>
  <c r="S214" i="52"/>
  <c r="S185" i="52"/>
  <c r="S279" i="52"/>
  <c r="S247" i="52"/>
  <c r="S213" i="52"/>
  <c r="S280" i="52"/>
  <c r="S242" i="52"/>
  <c r="S216" i="52"/>
  <c r="S151" i="52"/>
  <c r="S111" i="52"/>
  <c r="S147" i="52"/>
  <c r="S112" i="52"/>
  <c r="S142" i="52"/>
  <c r="S113" i="52"/>
  <c r="S109" i="52"/>
  <c r="S108" i="52"/>
  <c r="S117" i="52"/>
  <c r="S43" i="52"/>
  <c r="S47" i="52"/>
  <c r="S81" i="52"/>
  <c r="S77" i="52"/>
  <c r="S85" i="52"/>
  <c r="S49" i="52"/>
  <c r="S51" i="52"/>
  <c r="S48" i="52"/>
  <c r="S217" i="52"/>
  <c r="S143" i="52"/>
  <c r="S52" i="52"/>
  <c r="S148" i="52"/>
  <c r="S82" i="52"/>
  <c r="S283" i="52"/>
  <c r="S114" i="52"/>
  <c r="S44" i="52"/>
  <c r="S17" i="52"/>
  <c r="T8" i="52"/>
  <c r="S18" i="52"/>
  <c r="S19" i="52"/>
  <c r="S9" i="52"/>
  <c r="S20" i="52"/>
  <c r="S13" i="52"/>
  <c r="S10" i="52"/>
  <c r="S21" i="52"/>
  <c r="S12" i="52"/>
  <c r="S11" i="52"/>
  <c r="S22" i="52"/>
  <c r="S14" i="52"/>
  <c r="S25" i="52"/>
  <c r="S16" i="52"/>
  <c r="S15" i="52"/>
  <c r="AJ85" i="55" l="1"/>
  <c r="AM21" i="74" s="1"/>
  <c r="AM282" i="74" s="1"/>
  <c r="AV22" i="74"/>
  <c r="AM85" i="55"/>
  <c r="AM88" i="55" s="1"/>
  <c r="AP24" i="74" s="1"/>
  <c r="BD22" i="74"/>
  <c r="AR85" i="55"/>
  <c r="AU22" i="74"/>
  <c r="AT85" i="55"/>
  <c r="AW22" i="74"/>
  <c r="AL85" i="55"/>
  <c r="AO22" i="74"/>
  <c r="H85" i="55"/>
  <c r="K22" i="74"/>
  <c r="AS88" i="55"/>
  <c r="AV24" i="74" s="1"/>
  <c r="AV21" i="74"/>
  <c r="AV282" i="74" s="1"/>
  <c r="AP85" i="55"/>
  <c r="AS22" i="74"/>
  <c r="AI85" i="55"/>
  <c r="AL22" i="74"/>
  <c r="BA88" i="55"/>
  <c r="BD24" i="74" s="1"/>
  <c r="BD21" i="74"/>
  <c r="AZ85" i="55"/>
  <c r="BC22" i="74"/>
  <c r="AO85" i="55"/>
  <c r="AR22" i="74"/>
  <c r="AJ88" i="55"/>
  <c r="AM24" i="74" s="1"/>
  <c r="AV88" i="55"/>
  <c r="AY24" i="74" s="1"/>
  <c r="AY21" i="74"/>
  <c r="AY282" i="74" s="1"/>
  <c r="AN85" i="55"/>
  <c r="AQ22" i="74"/>
  <c r="AU85" i="55"/>
  <c r="AX22" i="74"/>
  <c r="BB85" i="55"/>
  <c r="BE22" i="74"/>
  <c r="AX85" i="55"/>
  <c r="BA22" i="74"/>
  <c r="AY85" i="55"/>
  <c r="BB22" i="74"/>
  <c r="AQ85" i="55"/>
  <c r="AT22" i="74"/>
  <c r="AW85" i="55"/>
  <c r="AZ22" i="74"/>
  <c r="BC52" i="74"/>
  <c r="AZ67" i="55"/>
  <c r="AZ66" i="55" s="1"/>
  <c r="AZ50" i="55"/>
  <c r="BC55" i="74" s="1"/>
  <c r="AW47" i="55"/>
  <c r="BA47" i="55"/>
  <c r="AX47" i="55"/>
  <c r="AY47" i="55"/>
  <c r="BB47" i="55"/>
  <c r="H47" i="55"/>
  <c r="K52" i="74" s="1"/>
  <c r="T191" i="52"/>
  <c r="T223" i="52"/>
  <c r="T58" i="52"/>
  <c r="T160" i="52"/>
  <c r="T256" i="52"/>
  <c r="T60" i="52"/>
  <c r="T157" i="52"/>
  <c r="T124" i="52"/>
  <c r="T258" i="52"/>
  <c r="T225" i="52"/>
  <c r="T61" i="52"/>
  <c r="T194" i="52"/>
  <c r="T93" i="52"/>
  <c r="T59" i="52"/>
  <c r="T92" i="52"/>
  <c r="T257" i="52"/>
  <c r="T192" i="52"/>
  <c r="T91" i="52"/>
  <c r="T292" i="52"/>
  <c r="T126" i="52"/>
  <c r="T259" i="52"/>
  <c r="T224" i="52"/>
  <c r="T94" i="52"/>
  <c r="T193" i="52"/>
  <c r="T125" i="52"/>
  <c r="T158" i="52"/>
  <c r="T291" i="52"/>
  <c r="T123" i="52"/>
  <c r="T226" i="52"/>
  <c r="T159" i="52"/>
  <c r="T289" i="52"/>
  <c r="T290" i="52"/>
  <c r="T27" i="52"/>
  <c r="T26" i="52"/>
  <c r="T28" i="52"/>
  <c r="T29" i="52"/>
  <c r="T248" i="52"/>
  <c r="T239" i="52"/>
  <c r="T246" i="52"/>
  <c r="T243" i="52"/>
  <c r="T218" i="52"/>
  <c r="T285" i="52"/>
  <c r="T273" i="52"/>
  <c r="T215" i="52"/>
  <c r="T214" i="52"/>
  <c r="T213" i="52"/>
  <c r="T284" i="52"/>
  <c r="T272" i="52"/>
  <c r="T252" i="52"/>
  <c r="T276" i="52"/>
  <c r="T250" i="52"/>
  <c r="T281" i="52"/>
  <c r="T219" i="52"/>
  <c r="T210" i="52"/>
  <c r="T178" i="52"/>
  <c r="T151" i="52"/>
  <c r="T183" i="52"/>
  <c r="T175" i="52"/>
  <c r="T152" i="52"/>
  <c r="T251" i="52"/>
  <c r="T212" i="52"/>
  <c r="T207" i="52"/>
  <c r="T174" i="52"/>
  <c r="T206" i="52"/>
  <c r="T185" i="52"/>
  <c r="T182" i="52"/>
  <c r="T187" i="52"/>
  <c r="T153" i="52"/>
  <c r="T107" i="52"/>
  <c r="T186" i="52"/>
  <c r="T110" i="52"/>
  <c r="T141" i="52"/>
  <c r="T106" i="52"/>
  <c r="T149" i="52"/>
  <c r="T144" i="52"/>
  <c r="T119" i="52"/>
  <c r="T240" i="52"/>
  <c r="T118" i="52"/>
  <c r="T115" i="52"/>
  <c r="T142" i="52"/>
  <c r="T54" i="52"/>
  <c r="T85" i="52"/>
  <c r="T74" i="52"/>
  <c r="T45" i="52"/>
  <c r="T42" i="52"/>
  <c r="T140" i="52"/>
  <c r="T86" i="52"/>
  <c r="T53" i="52"/>
  <c r="T78" i="52"/>
  <c r="T41" i="52"/>
  <c r="T50" i="52"/>
  <c r="T83" i="52"/>
  <c r="T87" i="52"/>
  <c r="T75" i="52"/>
  <c r="T279" i="52"/>
  <c r="T208" i="52"/>
  <c r="T241" i="52"/>
  <c r="T209" i="52"/>
  <c r="T244" i="52"/>
  <c r="T249" i="52"/>
  <c r="T179" i="52"/>
  <c r="T280" i="52"/>
  <c r="T247" i="52"/>
  <c r="T216" i="52"/>
  <c r="T176" i="52"/>
  <c r="T245" i="52"/>
  <c r="T278" i="52"/>
  <c r="T277" i="52"/>
  <c r="T274" i="52"/>
  <c r="T275" i="52"/>
  <c r="T146" i="52"/>
  <c r="T108" i="52"/>
  <c r="T109" i="52"/>
  <c r="T111" i="52"/>
  <c r="T116" i="52"/>
  <c r="T80" i="52"/>
  <c r="T76" i="52"/>
  <c r="T211" i="52"/>
  <c r="T181" i="52"/>
  <c r="T184" i="52"/>
  <c r="T180" i="52"/>
  <c r="T177" i="52"/>
  <c r="T147" i="52"/>
  <c r="T150" i="52"/>
  <c r="T113" i="52"/>
  <c r="T112" i="52"/>
  <c r="T282" i="52"/>
  <c r="T145" i="52"/>
  <c r="T51" i="52"/>
  <c r="T81" i="52"/>
  <c r="T77" i="52"/>
  <c r="T47" i="52"/>
  <c r="T49" i="52"/>
  <c r="T84" i="52"/>
  <c r="T79" i="52"/>
  <c r="T117" i="52"/>
  <c r="T43" i="52"/>
  <c r="T46" i="52"/>
  <c r="T48" i="52"/>
  <c r="T242" i="52"/>
  <c r="T148" i="52"/>
  <c r="T143" i="52"/>
  <c r="T283" i="52"/>
  <c r="T114" i="52"/>
  <c r="T82" i="52"/>
  <c r="T52" i="52"/>
  <c r="T217" i="52"/>
  <c r="T44" i="52"/>
  <c r="T18" i="52"/>
  <c r="T9" i="52"/>
  <c r="T19" i="52"/>
  <c r="T15" i="52"/>
  <c r="T20" i="52"/>
  <c r="T10" i="52"/>
  <c r="T21" i="52"/>
  <c r="T12" i="52"/>
  <c r="T11" i="52"/>
  <c r="T25" i="52"/>
  <c r="T22" i="52"/>
  <c r="T13" i="52"/>
  <c r="T17" i="52"/>
  <c r="U8" i="52"/>
  <c r="T14" i="52"/>
  <c r="T16" i="52"/>
  <c r="AP21" i="74" l="1"/>
  <c r="AP282" i="74" s="1"/>
  <c r="BD282" i="74"/>
  <c r="AQ88" i="55"/>
  <c r="AT24" i="74" s="1"/>
  <c r="AT21" i="74"/>
  <c r="AT282" i="74" s="1"/>
  <c r="AU88" i="55"/>
  <c r="AX24" i="74" s="1"/>
  <c r="AX21" i="74"/>
  <c r="AX282" i="74" s="1"/>
  <c r="H88" i="55"/>
  <c r="K24" i="74" s="1"/>
  <c r="K21" i="74"/>
  <c r="AY88" i="55"/>
  <c r="BB24" i="74" s="1"/>
  <c r="BB21" i="74"/>
  <c r="AN88" i="55"/>
  <c r="AQ24" i="74" s="1"/>
  <c r="AQ21" i="74"/>
  <c r="AQ282" i="74" s="1"/>
  <c r="AO88" i="55"/>
  <c r="AR24" i="74" s="1"/>
  <c r="AR21" i="74"/>
  <c r="AR282" i="74" s="1"/>
  <c r="AI88" i="55"/>
  <c r="AL24" i="74" s="1"/>
  <c r="AL21" i="74"/>
  <c r="AL282" i="74" s="1"/>
  <c r="AL88" i="55"/>
  <c r="AO24" i="74" s="1"/>
  <c r="AO21" i="74"/>
  <c r="AO282" i="74" s="1"/>
  <c r="AX88" i="55"/>
  <c r="BA24" i="74" s="1"/>
  <c r="BA21" i="74"/>
  <c r="AZ88" i="55"/>
  <c r="BC24" i="74" s="1"/>
  <c r="BC21" i="74"/>
  <c r="AP88" i="55"/>
  <c r="AS24" i="74" s="1"/>
  <c r="AS21" i="74"/>
  <c r="AS282" i="74" s="1"/>
  <c r="AT88" i="55"/>
  <c r="AW24" i="74" s="1"/>
  <c r="AW21" i="74"/>
  <c r="AW282" i="74" s="1"/>
  <c r="AW88" i="55"/>
  <c r="AZ24" i="74" s="1"/>
  <c r="AZ21" i="74"/>
  <c r="BB88" i="55"/>
  <c r="BE24" i="74" s="1"/>
  <c r="BE21" i="74"/>
  <c r="AR88" i="55"/>
  <c r="AU24" i="74" s="1"/>
  <c r="AU21" i="74"/>
  <c r="AU282" i="74" s="1"/>
  <c r="BA52" i="74"/>
  <c r="AX67" i="55"/>
  <c r="AX66" i="55" s="1"/>
  <c r="AX50" i="55"/>
  <c r="BA55" i="74" s="1"/>
  <c r="BD52" i="74"/>
  <c r="BA67" i="55"/>
  <c r="BA66" i="55" s="1"/>
  <c r="BA50" i="55"/>
  <c r="BD55" i="74" s="1"/>
  <c r="BE52" i="74"/>
  <c r="BB67" i="55"/>
  <c r="BB66" i="55" s="1"/>
  <c r="BB50" i="55"/>
  <c r="BE55" i="74" s="1"/>
  <c r="AZ52" i="74"/>
  <c r="AW67" i="55"/>
  <c r="AW66" i="55" s="1"/>
  <c r="AW50" i="55"/>
  <c r="AZ55" i="74" s="1"/>
  <c r="BB52" i="74"/>
  <c r="AY67" i="55"/>
  <c r="AY66" i="55" s="1"/>
  <c r="AY50" i="55"/>
  <c r="BB55" i="74" s="1"/>
  <c r="H67" i="55"/>
  <c r="H66" i="55" s="1"/>
  <c r="H50" i="55"/>
  <c r="K55" i="74" s="1"/>
  <c r="U124" i="52"/>
  <c r="U158" i="52"/>
  <c r="U192" i="52"/>
  <c r="U91" i="52"/>
  <c r="U257" i="52"/>
  <c r="U61" i="52"/>
  <c r="U60" i="52"/>
  <c r="U289" i="52"/>
  <c r="U256" i="52"/>
  <c r="U290" i="52"/>
  <c r="U94" i="52"/>
  <c r="U191" i="52"/>
  <c r="U126" i="52"/>
  <c r="U225" i="52"/>
  <c r="U259" i="52"/>
  <c r="U224" i="52"/>
  <c r="U194" i="52"/>
  <c r="U193" i="52"/>
  <c r="U123" i="52"/>
  <c r="U157" i="52"/>
  <c r="U226" i="52"/>
  <c r="U223" i="52"/>
  <c r="U93" i="52"/>
  <c r="U159" i="52"/>
  <c r="U292" i="52"/>
  <c r="U92" i="52"/>
  <c r="U160" i="52"/>
  <c r="U59" i="52"/>
  <c r="U258" i="52"/>
  <c r="U58" i="52"/>
  <c r="U291" i="52"/>
  <c r="U125" i="52"/>
  <c r="U27" i="52"/>
  <c r="U26" i="52"/>
  <c r="U28" i="52"/>
  <c r="U29" i="52"/>
  <c r="U246" i="52"/>
  <c r="U244" i="52"/>
  <c r="U243" i="52"/>
  <c r="U218" i="52"/>
  <c r="U285" i="52"/>
  <c r="U273" i="52"/>
  <c r="U215" i="52"/>
  <c r="U284" i="52"/>
  <c r="U272" i="52"/>
  <c r="U252" i="52"/>
  <c r="U276" i="52"/>
  <c r="U251" i="52"/>
  <c r="U240" i="52"/>
  <c r="U248" i="52"/>
  <c r="U239" i="52"/>
  <c r="U183" i="52"/>
  <c r="U175" i="52"/>
  <c r="U152" i="52"/>
  <c r="U180" i="52"/>
  <c r="U281" i="52"/>
  <c r="U208" i="52"/>
  <c r="U207" i="52"/>
  <c r="U213" i="52"/>
  <c r="U187" i="52"/>
  <c r="U176" i="52"/>
  <c r="U206" i="52"/>
  <c r="U219" i="52"/>
  <c r="U186" i="52"/>
  <c r="U211" i="52"/>
  <c r="U210" i="52"/>
  <c r="U178" i="52"/>
  <c r="U177" i="52"/>
  <c r="U153" i="52"/>
  <c r="U107" i="52"/>
  <c r="U110" i="52"/>
  <c r="U87" i="52"/>
  <c r="U141" i="52"/>
  <c r="U106" i="52"/>
  <c r="U174" i="52"/>
  <c r="U149" i="52"/>
  <c r="U145" i="52"/>
  <c r="U144" i="52"/>
  <c r="U119" i="52"/>
  <c r="U109" i="52"/>
  <c r="U140" i="52"/>
  <c r="U112" i="52"/>
  <c r="U108" i="52"/>
  <c r="U74" i="52"/>
  <c r="U45" i="52"/>
  <c r="U42" i="52"/>
  <c r="U118" i="52"/>
  <c r="U86" i="52"/>
  <c r="U53" i="52"/>
  <c r="U115" i="52"/>
  <c r="U78" i="52"/>
  <c r="U48" i="52"/>
  <c r="U41" i="52"/>
  <c r="U75" i="52"/>
  <c r="U83" i="52"/>
  <c r="U50" i="52"/>
  <c r="U54" i="52"/>
  <c r="U282" i="52"/>
  <c r="U214" i="52"/>
  <c r="U212" i="52"/>
  <c r="U245" i="52"/>
  <c r="U179" i="52"/>
  <c r="U278" i="52"/>
  <c r="U277" i="52"/>
  <c r="U250" i="52"/>
  <c r="U209" i="52"/>
  <c r="U242" i="52"/>
  <c r="U249" i="52"/>
  <c r="U182" i="52"/>
  <c r="U280" i="52"/>
  <c r="U241" i="52"/>
  <c r="U279" i="52"/>
  <c r="U274" i="52"/>
  <c r="U275" i="52"/>
  <c r="U247" i="52"/>
  <c r="U150" i="52"/>
  <c r="U117" i="52"/>
  <c r="U80" i="52"/>
  <c r="U151" i="52"/>
  <c r="U116" i="52"/>
  <c r="U185" i="52"/>
  <c r="U147" i="52"/>
  <c r="U76" i="52"/>
  <c r="U216" i="52"/>
  <c r="U181" i="52"/>
  <c r="U184" i="52"/>
  <c r="U142" i="52"/>
  <c r="U113" i="52"/>
  <c r="U46" i="52"/>
  <c r="U111" i="52"/>
  <c r="U81" i="52"/>
  <c r="U79" i="52"/>
  <c r="U51" i="52"/>
  <c r="U77" i="52"/>
  <c r="U84" i="52"/>
  <c r="U49" i="52"/>
  <c r="U47" i="52"/>
  <c r="U146" i="52"/>
  <c r="U43" i="52"/>
  <c r="U85" i="52"/>
  <c r="U148" i="52"/>
  <c r="U143" i="52"/>
  <c r="U82" i="52"/>
  <c r="U52" i="52"/>
  <c r="U217" i="52"/>
  <c r="U44" i="52"/>
  <c r="U114" i="52"/>
  <c r="U283" i="52"/>
  <c r="U18" i="52"/>
  <c r="U19" i="52"/>
  <c r="U9" i="52"/>
  <c r="U20" i="52"/>
  <c r="U10" i="52"/>
  <c r="U12" i="52"/>
  <c r="U11" i="52"/>
  <c r="U21" i="52"/>
  <c r="U25" i="52"/>
  <c r="U22" i="52"/>
  <c r="U13" i="52"/>
  <c r="U14" i="52"/>
  <c r="U15" i="52"/>
  <c r="U16" i="52"/>
  <c r="V8" i="52"/>
  <c r="U17" i="52"/>
  <c r="K282" i="74" l="1"/>
  <c r="BE282" i="74"/>
  <c r="AZ282" i="74"/>
  <c r="BA282" i="74"/>
  <c r="BC282" i="74"/>
  <c r="BB282" i="74"/>
  <c r="V225" i="52"/>
  <c r="V59" i="52"/>
  <c r="V91" i="52"/>
  <c r="V157" i="52"/>
  <c r="V192" i="52"/>
  <c r="V256" i="52"/>
  <c r="V158" i="52"/>
  <c r="V191" i="52"/>
  <c r="V194" i="52"/>
  <c r="V93" i="52"/>
  <c r="V61" i="52"/>
  <c r="V259" i="52"/>
  <c r="V94" i="52"/>
  <c r="V125" i="52"/>
  <c r="V258" i="52"/>
  <c r="V160" i="52"/>
  <c r="V257" i="52"/>
  <c r="V224" i="52"/>
  <c r="V126" i="52"/>
  <c r="V123" i="52"/>
  <c r="V60" i="52"/>
  <c r="V290" i="52"/>
  <c r="V223" i="52"/>
  <c r="V124" i="52"/>
  <c r="V193" i="52"/>
  <c r="V226" i="52"/>
  <c r="V159" i="52"/>
  <c r="V292" i="52"/>
  <c r="V291" i="52"/>
  <c r="V92" i="52"/>
  <c r="V289" i="52"/>
  <c r="V58" i="52"/>
  <c r="V26" i="52"/>
  <c r="V27" i="52"/>
  <c r="V29" i="52"/>
  <c r="V28" i="52"/>
  <c r="V285" i="52"/>
  <c r="V273" i="52"/>
  <c r="V241" i="52"/>
  <c r="V215" i="52"/>
  <c r="V284" i="52"/>
  <c r="V272" i="52"/>
  <c r="V252" i="52"/>
  <c r="V276" i="52"/>
  <c r="V251" i="52"/>
  <c r="V240" i="52"/>
  <c r="V281" i="52"/>
  <c r="V219" i="52"/>
  <c r="V277" i="52"/>
  <c r="V244" i="52"/>
  <c r="V243" i="52"/>
  <c r="V218" i="52"/>
  <c r="V180" i="52"/>
  <c r="V208" i="52"/>
  <c r="V207" i="52"/>
  <c r="V174" i="52"/>
  <c r="V248" i="52"/>
  <c r="V187" i="52"/>
  <c r="V176" i="52"/>
  <c r="V206" i="52"/>
  <c r="V184" i="52"/>
  <c r="V239" i="52"/>
  <c r="V209" i="52"/>
  <c r="V183" i="52"/>
  <c r="V175" i="52"/>
  <c r="V107" i="52"/>
  <c r="V210" i="52"/>
  <c r="V110" i="52"/>
  <c r="V87" i="52"/>
  <c r="V186" i="52"/>
  <c r="V177" i="52"/>
  <c r="V141" i="52"/>
  <c r="V106" i="52"/>
  <c r="V178" i="52"/>
  <c r="V149" i="52"/>
  <c r="V145" i="52"/>
  <c r="V144" i="52"/>
  <c r="V119" i="52"/>
  <c r="V211" i="52"/>
  <c r="V181" i="52"/>
  <c r="V146" i="52"/>
  <c r="V140" i="52"/>
  <c r="V152" i="52"/>
  <c r="V142" i="52"/>
  <c r="V118" i="52"/>
  <c r="V115" i="52"/>
  <c r="V153" i="52"/>
  <c r="V86" i="52"/>
  <c r="V53" i="52"/>
  <c r="V78" i="52"/>
  <c r="V41" i="52"/>
  <c r="V83" i="52"/>
  <c r="V46" i="52"/>
  <c r="V50" i="52"/>
  <c r="V79" i="52"/>
  <c r="V75" i="52"/>
  <c r="V54" i="52"/>
  <c r="V74" i="52"/>
  <c r="V45" i="52"/>
  <c r="V42" i="52"/>
  <c r="V213" i="52"/>
  <c r="V250" i="52"/>
  <c r="V214" i="52"/>
  <c r="V274" i="52"/>
  <c r="V275" i="52"/>
  <c r="V247" i="52"/>
  <c r="V245" i="52"/>
  <c r="V179" i="52"/>
  <c r="V182" i="52"/>
  <c r="V246" i="52"/>
  <c r="V280" i="52"/>
  <c r="V282" i="52"/>
  <c r="V279" i="52"/>
  <c r="V151" i="52"/>
  <c r="V80" i="52"/>
  <c r="V216" i="52"/>
  <c r="V150" i="52"/>
  <c r="V185" i="52"/>
  <c r="V108" i="52"/>
  <c r="V111" i="52"/>
  <c r="V212" i="52"/>
  <c r="V109" i="52"/>
  <c r="V116" i="52"/>
  <c r="V278" i="52"/>
  <c r="V249" i="52"/>
  <c r="V112" i="52"/>
  <c r="V117" i="52"/>
  <c r="V43" i="52"/>
  <c r="V147" i="52"/>
  <c r="V76" i="52"/>
  <c r="V48" i="52"/>
  <c r="V81" i="52"/>
  <c r="V51" i="52"/>
  <c r="V85" i="52"/>
  <c r="V113" i="52"/>
  <c r="V49" i="52"/>
  <c r="V84" i="52"/>
  <c r="V47" i="52"/>
  <c r="V77" i="52"/>
  <c r="V44" i="52"/>
  <c r="V148" i="52"/>
  <c r="V82" i="52"/>
  <c r="V52" i="52"/>
  <c r="V217" i="52"/>
  <c r="V143" i="52"/>
  <c r="V283" i="52"/>
  <c r="V242" i="52"/>
  <c r="V114" i="52"/>
  <c r="V19" i="52"/>
  <c r="V9" i="52"/>
  <c r="V20" i="52"/>
  <c r="W8" i="52"/>
  <c r="V10" i="52"/>
  <c r="V17" i="52"/>
  <c r="V21" i="52"/>
  <c r="V12" i="52"/>
  <c r="V11" i="52"/>
  <c r="V22" i="52"/>
  <c r="V13" i="52"/>
  <c r="V14" i="52"/>
  <c r="V25" i="52"/>
  <c r="V16" i="52"/>
  <c r="V15" i="52"/>
  <c r="V18" i="52"/>
  <c r="W290" i="52" l="1"/>
  <c r="W292" i="52"/>
  <c r="W223" i="52"/>
  <c r="W157" i="52"/>
  <c r="W158" i="52"/>
  <c r="W289" i="52"/>
  <c r="W93" i="52"/>
  <c r="W226" i="52"/>
  <c r="W123" i="52"/>
  <c r="W257" i="52"/>
  <c r="W225" i="52"/>
  <c r="W193" i="52"/>
  <c r="W59" i="52"/>
  <c r="W61" i="52"/>
  <c r="W92" i="52"/>
  <c r="W291" i="52"/>
  <c r="W60" i="52"/>
  <c r="W192" i="52"/>
  <c r="W91" i="52"/>
  <c r="W259" i="52"/>
  <c r="W94" i="52"/>
  <c r="W125" i="52"/>
  <c r="W224" i="52"/>
  <c r="W160" i="52"/>
  <c r="W256" i="52"/>
  <c r="W58" i="52"/>
  <c r="W191" i="52"/>
  <c r="W159" i="52"/>
  <c r="W124" i="52"/>
  <c r="W126" i="52"/>
  <c r="W258" i="52"/>
  <c r="W194" i="52"/>
  <c r="W26" i="52"/>
  <c r="W27" i="52"/>
  <c r="W29" i="52"/>
  <c r="W28" i="52"/>
  <c r="W245" i="52"/>
  <c r="W216" i="52"/>
  <c r="W213" i="52"/>
  <c r="W284" i="52"/>
  <c r="W272" i="52"/>
  <c r="W252" i="52"/>
  <c r="W276" i="52"/>
  <c r="W212" i="52"/>
  <c r="W251" i="52"/>
  <c r="W240" i="52"/>
  <c r="W281" i="52"/>
  <c r="W249" i="52"/>
  <c r="W248" i="52"/>
  <c r="W239" i="52"/>
  <c r="W285" i="52"/>
  <c r="W273" i="52"/>
  <c r="W246" i="52"/>
  <c r="W241" i="52"/>
  <c r="W215" i="52"/>
  <c r="W208" i="52"/>
  <c r="W207" i="52"/>
  <c r="W174" i="52"/>
  <c r="W150" i="52"/>
  <c r="W277" i="52"/>
  <c r="W187" i="52"/>
  <c r="W206" i="52"/>
  <c r="W184" i="52"/>
  <c r="W186" i="52"/>
  <c r="W182" i="52"/>
  <c r="W181" i="52"/>
  <c r="W243" i="52"/>
  <c r="W219" i="52"/>
  <c r="W279" i="52"/>
  <c r="W211" i="52"/>
  <c r="W210" i="52"/>
  <c r="W178" i="52"/>
  <c r="W175" i="52"/>
  <c r="W110" i="52"/>
  <c r="W87" i="52"/>
  <c r="W244" i="52"/>
  <c r="W141" i="52"/>
  <c r="W106" i="52"/>
  <c r="W218" i="52"/>
  <c r="W149" i="52"/>
  <c r="W145" i="52"/>
  <c r="W144" i="52"/>
  <c r="W119" i="52"/>
  <c r="W183" i="52"/>
  <c r="W146" i="52"/>
  <c r="W140" i="52"/>
  <c r="W152" i="52"/>
  <c r="W142" i="52"/>
  <c r="W118" i="52"/>
  <c r="W116" i="52"/>
  <c r="W115" i="52"/>
  <c r="W107" i="52"/>
  <c r="W78" i="52"/>
  <c r="W43" i="52"/>
  <c r="W41" i="52"/>
  <c r="W74" i="52"/>
  <c r="W84" i="52"/>
  <c r="W83" i="52"/>
  <c r="W48" i="52"/>
  <c r="W46" i="52"/>
  <c r="W153" i="52"/>
  <c r="W50" i="52"/>
  <c r="W79" i="52"/>
  <c r="W76" i="52"/>
  <c r="W75" i="52"/>
  <c r="W81" i="52"/>
  <c r="W54" i="52"/>
  <c r="W86" i="52"/>
  <c r="W53" i="52"/>
  <c r="W42" i="52"/>
  <c r="W45" i="52"/>
  <c r="W250" i="52"/>
  <c r="W274" i="52"/>
  <c r="W275" i="52"/>
  <c r="W282" i="52"/>
  <c r="W278" i="52"/>
  <c r="W214" i="52"/>
  <c r="W176" i="52"/>
  <c r="W177" i="52"/>
  <c r="W247" i="52"/>
  <c r="W209" i="52"/>
  <c r="W147" i="52"/>
  <c r="W111" i="52"/>
  <c r="W179" i="52"/>
  <c r="W185" i="52"/>
  <c r="W112" i="52"/>
  <c r="W180" i="52"/>
  <c r="W109" i="52"/>
  <c r="W280" i="52"/>
  <c r="W151" i="52"/>
  <c r="W80" i="52"/>
  <c r="W47" i="52"/>
  <c r="W49" i="52"/>
  <c r="W113" i="52"/>
  <c r="W108" i="52"/>
  <c r="W117" i="52"/>
  <c r="W51" i="52"/>
  <c r="W85" i="52"/>
  <c r="W52" i="52"/>
  <c r="W148" i="52"/>
  <c r="W82" i="52"/>
  <c r="W242" i="52"/>
  <c r="W77" i="52"/>
  <c r="W143" i="52"/>
  <c r="W283" i="52"/>
  <c r="W114" i="52"/>
  <c r="W217" i="52"/>
  <c r="W44" i="52"/>
  <c r="W20" i="52"/>
  <c r="W10" i="52"/>
  <c r="W21" i="52"/>
  <c r="W12" i="52"/>
  <c r="W11" i="52"/>
  <c r="X8" i="52"/>
  <c r="W22" i="52"/>
  <c r="W13" i="52"/>
  <c r="W14" i="52"/>
  <c r="W15" i="52"/>
  <c r="W25" i="52"/>
  <c r="W16" i="52"/>
  <c r="W17" i="52"/>
  <c r="W19" i="52"/>
  <c r="W9" i="52"/>
  <c r="W18" i="52"/>
  <c r="X225" i="52" l="1"/>
  <c r="X92" i="52"/>
  <c r="X258" i="52"/>
  <c r="X91" i="52"/>
  <c r="X124" i="52"/>
  <c r="X291" i="52"/>
  <c r="X123" i="52"/>
  <c r="X192" i="52"/>
  <c r="X191" i="52"/>
  <c r="X290" i="52"/>
  <c r="X61" i="52"/>
  <c r="X256" i="52"/>
  <c r="X125" i="52"/>
  <c r="X223" i="52"/>
  <c r="X259" i="52"/>
  <c r="X160" i="52"/>
  <c r="X59" i="52"/>
  <c r="X60" i="52"/>
  <c r="X58" i="52"/>
  <c r="X159" i="52"/>
  <c r="X157" i="52"/>
  <c r="X224" i="52"/>
  <c r="X193" i="52"/>
  <c r="X289" i="52"/>
  <c r="X126" i="52"/>
  <c r="X93" i="52"/>
  <c r="X94" i="52"/>
  <c r="X194" i="52"/>
  <c r="X257" i="52"/>
  <c r="X158" i="52"/>
  <c r="X292" i="52"/>
  <c r="X226" i="52"/>
  <c r="X27" i="52"/>
  <c r="X26" i="52"/>
  <c r="X29" i="52"/>
  <c r="X28" i="52"/>
  <c r="X284" i="52"/>
  <c r="X272" i="52"/>
  <c r="X252" i="52"/>
  <c r="X276" i="52"/>
  <c r="X251" i="52"/>
  <c r="X240" i="52"/>
  <c r="X281" i="52"/>
  <c r="X219" i="52"/>
  <c r="X248" i="52"/>
  <c r="X243" i="52"/>
  <c r="X218" i="52"/>
  <c r="X245" i="52"/>
  <c r="X187" i="52"/>
  <c r="X215" i="52"/>
  <c r="X206" i="52"/>
  <c r="X212" i="52"/>
  <c r="X186" i="52"/>
  <c r="X153" i="52"/>
  <c r="X273" i="52"/>
  <c r="X210" i="52"/>
  <c r="X183" i="52"/>
  <c r="X175" i="52"/>
  <c r="X207" i="52"/>
  <c r="X174" i="52"/>
  <c r="X141" i="52"/>
  <c r="X106" i="52"/>
  <c r="X239" i="52"/>
  <c r="X149" i="52"/>
  <c r="X144" i="52"/>
  <c r="X119" i="52"/>
  <c r="X178" i="52"/>
  <c r="X140" i="52"/>
  <c r="X152" i="52"/>
  <c r="X118" i="52"/>
  <c r="X115" i="52"/>
  <c r="X285" i="52"/>
  <c r="X110" i="52"/>
  <c r="X87" i="52"/>
  <c r="X83" i="52"/>
  <c r="X80" i="52"/>
  <c r="X53" i="52"/>
  <c r="X50" i="52"/>
  <c r="X54" i="52"/>
  <c r="X86" i="52"/>
  <c r="X75" i="52"/>
  <c r="X107" i="52"/>
  <c r="X81" i="52"/>
  <c r="X74" i="52"/>
  <c r="X45" i="52"/>
  <c r="X42" i="52"/>
  <c r="X78" i="52"/>
  <c r="X41" i="52"/>
  <c r="X274" i="52"/>
  <c r="X275" i="52"/>
  <c r="X182" i="52"/>
  <c r="X242" i="52"/>
  <c r="X246" i="52"/>
  <c r="X208" i="52"/>
  <c r="X216" i="52"/>
  <c r="X280" i="52"/>
  <c r="X278" i="52"/>
  <c r="X247" i="52"/>
  <c r="X241" i="52"/>
  <c r="X244" i="52"/>
  <c r="X249" i="52"/>
  <c r="X209" i="52"/>
  <c r="X177" i="52"/>
  <c r="X282" i="52"/>
  <c r="X279" i="52"/>
  <c r="X211" i="52"/>
  <c r="X250" i="52"/>
  <c r="X150" i="52"/>
  <c r="X79" i="52"/>
  <c r="X176" i="52"/>
  <c r="X147" i="52"/>
  <c r="X277" i="52"/>
  <c r="X108" i="52"/>
  <c r="X109" i="52"/>
  <c r="X111" i="52"/>
  <c r="X113" i="52"/>
  <c r="X116" i="52"/>
  <c r="X76" i="52"/>
  <c r="X142" i="52"/>
  <c r="X112" i="52"/>
  <c r="X181" i="52"/>
  <c r="X184" i="52"/>
  <c r="X151" i="52"/>
  <c r="X214" i="52"/>
  <c r="X180" i="52"/>
  <c r="X185" i="52"/>
  <c r="X145" i="52"/>
  <c r="X146" i="52"/>
  <c r="X117" i="52"/>
  <c r="X51" i="52"/>
  <c r="X46" i="52"/>
  <c r="X48" i="52"/>
  <c r="X84" i="52"/>
  <c r="X213" i="52"/>
  <c r="X43" i="52"/>
  <c r="X85" i="52"/>
  <c r="X179" i="52"/>
  <c r="X49" i="52"/>
  <c r="X47" i="52"/>
  <c r="X82" i="52"/>
  <c r="X52" i="52"/>
  <c r="X114" i="52"/>
  <c r="X283" i="52"/>
  <c r="X77" i="52"/>
  <c r="X44" i="52"/>
  <c r="X148" i="52"/>
  <c r="X143" i="52"/>
  <c r="X217" i="52"/>
  <c r="X10" i="52"/>
  <c r="X21" i="52"/>
  <c r="X12" i="52"/>
  <c r="X11" i="52"/>
  <c r="X22" i="52"/>
  <c r="X13" i="52"/>
  <c r="X14" i="52"/>
  <c r="X15" i="52"/>
  <c r="X25" i="52"/>
  <c r="X16" i="52"/>
  <c r="Y8" i="52"/>
  <c r="X17" i="52"/>
  <c r="X18" i="52"/>
  <c r="X20" i="52"/>
  <c r="X19" i="52"/>
  <c r="X9" i="52"/>
  <c r="Y124" i="52" l="1"/>
  <c r="Y158" i="52"/>
  <c r="Y94" i="52"/>
  <c r="Y258" i="52"/>
  <c r="Y192" i="52"/>
  <c r="Y257" i="52"/>
  <c r="Y289" i="52"/>
  <c r="Y259" i="52"/>
  <c r="Y194" i="52"/>
  <c r="Y61" i="52"/>
  <c r="Y191" i="52"/>
  <c r="Y125" i="52"/>
  <c r="Y157" i="52"/>
  <c r="Y160" i="52"/>
  <c r="Y223" i="52"/>
  <c r="Y93" i="52"/>
  <c r="Y92" i="52"/>
  <c r="Y58" i="52"/>
  <c r="Y290" i="52"/>
  <c r="Y123" i="52"/>
  <c r="Y60" i="52"/>
  <c r="Y193" i="52"/>
  <c r="Y291" i="52"/>
  <c r="Y224" i="52"/>
  <c r="Y292" i="52"/>
  <c r="Y225" i="52"/>
  <c r="Y226" i="52"/>
  <c r="Y59" i="52"/>
  <c r="Y159" i="52"/>
  <c r="Y91" i="52"/>
  <c r="Y126" i="52"/>
  <c r="Y256" i="52"/>
  <c r="Y27" i="52"/>
  <c r="Y26" i="52"/>
  <c r="Y29" i="52"/>
  <c r="Y28" i="52"/>
  <c r="Y276" i="52"/>
  <c r="Y251" i="52"/>
  <c r="Y240" i="52"/>
  <c r="Y214" i="52"/>
  <c r="Y281" i="52"/>
  <c r="Y219" i="52"/>
  <c r="Y248" i="52"/>
  <c r="Y239" i="52"/>
  <c r="Y243" i="52"/>
  <c r="Y285" i="52"/>
  <c r="Y273" i="52"/>
  <c r="Y244" i="52"/>
  <c r="Y215" i="52"/>
  <c r="Y284" i="52"/>
  <c r="Y272" i="52"/>
  <c r="Y252" i="52"/>
  <c r="Y213" i="52"/>
  <c r="Y206" i="52"/>
  <c r="Y186" i="52"/>
  <c r="Y176" i="52"/>
  <c r="Y210" i="52"/>
  <c r="Y178" i="52"/>
  <c r="Y211" i="52"/>
  <c r="Y218" i="52"/>
  <c r="Y177" i="52"/>
  <c r="Y246" i="52"/>
  <c r="Y208" i="52"/>
  <c r="Y187" i="52"/>
  <c r="Y149" i="52"/>
  <c r="Y144" i="52"/>
  <c r="Y119" i="52"/>
  <c r="Y145" i="52"/>
  <c r="Y140" i="52"/>
  <c r="Y183" i="52"/>
  <c r="Y152" i="52"/>
  <c r="Y118" i="52"/>
  <c r="Y115" i="52"/>
  <c r="Y174" i="52"/>
  <c r="Y109" i="52"/>
  <c r="Y207" i="52"/>
  <c r="Y153" i="52"/>
  <c r="Y107" i="52"/>
  <c r="Y175" i="52"/>
  <c r="Y141" i="52"/>
  <c r="Y106" i="52"/>
  <c r="Y108" i="52"/>
  <c r="Y45" i="52"/>
  <c r="Y42" i="52"/>
  <c r="Y50" i="52"/>
  <c r="Y78" i="52"/>
  <c r="Y75" i="52"/>
  <c r="Y110" i="52"/>
  <c r="Y54" i="52"/>
  <c r="Y74" i="52"/>
  <c r="Y86" i="52"/>
  <c r="Y53" i="52"/>
  <c r="Y87" i="52"/>
  <c r="Y83" i="52"/>
  <c r="Y41" i="52"/>
  <c r="Y245" i="52"/>
  <c r="Y278" i="52"/>
  <c r="Y279" i="52"/>
  <c r="Y250" i="52"/>
  <c r="Y209" i="52"/>
  <c r="Y280" i="52"/>
  <c r="Y216" i="52"/>
  <c r="Y179" i="52"/>
  <c r="Y182" i="52"/>
  <c r="Y277" i="52"/>
  <c r="Y180" i="52"/>
  <c r="Y247" i="52"/>
  <c r="Y242" i="52"/>
  <c r="Y249" i="52"/>
  <c r="Y241" i="52"/>
  <c r="Y282" i="52"/>
  <c r="Y212" i="52"/>
  <c r="Y274" i="52"/>
  <c r="Y151" i="52"/>
  <c r="Y275" i="52"/>
  <c r="Y146" i="52"/>
  <c r="Y150" i="52"/>
  <c r="Y185" i="52"/>
  <c r="Y147" i="52"/>
  <c r="Y116" i="52"/>
  <c r="Y79" i="52"/>
  <c r="Y142" i="52"/>
  <c r="Y181" i="52"/>
  <c r="Y184" i="52"/>
  <c r="Y111" i="52"/>
  <c r="Y112" i="52"/>
  <c r="Y117" i="52"/>
  <c r="Y80" i="52"/>
  <c r="Y76" i="52"/>
  <c r="Y49" i="52"/>
  <c r="Y48" i="52"/>
  <c r="Y85" i="52"/>
  <c r="Y81" i="52"/>
  <c r="Y46" i="52"/>
  <c r="Y47" i="52"/>
  <c r="Y51" i="52"/>
  <c r="Y43" i="52"/>
  <c r="Y113" i="52"/>
  <c r="Y84" i="52"/>
  <c r="Y44" i="52"/>
  <c r="Y148" i="52"/>
  <c r="Y82" i="52"/>
  <c r="Y77" i="52"/>
  <c r="Y52" i="52"/>
  <c r="Y217" i="52"/>
  <c r="Y143" i="52"/>
  <c r="Y283" i="52"/>
  <c r="Y114" i="52"/>
  <c r="Y21" i="52"/>
  <c r="Y12" i="52"/>
  <c r="Y11" i="52"/>
  <c r="Y13" i="52"/>
  <c r="Y22" i="52"/>
  <c r="Y14" i="52"/>
  <c r="Y15" i="52"/>
  <c r="Y19" i="52"/>
  <c r="Y25" i="52"/>
  <c r="Y16" i="52"/>
  <c r="Y17" i="52"/>
  <c r="Z8" i="52"/>
  <c r="Y18" i="52"/>
  <c r="Y9" i="52"/>
  <c r="Y10" i="52"/>
  <c r="Y20" i="52"/>
  <c r="Z160" i="52" l="1"/>
  <c r="Z224" i="52"/>
  <c r="Z290" i="52"/>
  <c r="Z60" i="52"/>
  <c r="Z124" i="52"/>
  <c r="Z194" i="52"/>
  <c r="Z92" i="52"/>
  <c r="Z125" i="52"/>
  <c r="Z259" i="52"/>
  <c r="Z258" i="52"/>
  <c r="Z93" i="52"/>
  <c r="Z223" i="52"/>
  <c r="Z123" i="52"/>
  <c r="Z91" i="52"/>
  <c r="Z289" i="52"/>
  <c r="Z58" i="52"/>
  <c r="Z126" i="52"/>
  <c r="Z292" i="52"/>
  <c r="Z257" i="52"/>
  <c r="Z256" i="52"/>
  <c r="Z193" i="52"/>
  <c r="Z226" i="52"/>
  <c r="Z61" i="52"/>
  <c r="Z157" i="52"/>
  <c r="Z291" i="52"/>
  <c r="Z94" i="52"/>
  <c r="Z158" i="52"/>
  <c r="Z225" i="52"/>
  <c r="Z191" i="52"/>
  <c r="Z192" i="52"/>
  <c r="Z159" i="52"/>
  <c r="Z59" i="52"/>
  <c r="Z26" i="52"/>
  <c r="Z27" i="52"/>
  <c r="Z28" i="52"/>
  <c r="Z29" i="52"/>
  <c r="Z251" i="52"/>
  <c r="Z240" i="52"/>
  <c r="Z281" i="52"/>
  <c r="Z219" i="52"/>
  <c r="Z248" i="52"/>
  <c r="Z239" i="52"/>
  <c r="Z243" i="52"/>
  <c r="Z218" i="52"/>
  <c r="Z285" i="52"/>
  <c r="Z273" i="52"/>
  <c r="Z244" i="52"/>
  <c r="Z277" i="52"/>
  <c r="Z276" i="52"/>
  <c r="Z215" i="52"/>
  <c r="Z186" i="52"/>
  <c r="Z176" i="52"/>
  <c r="Z272" i="52"/>
  <c r="Z241" i="52"/>
  <c r="Z184" i="52"/>
  <c r="Z153" i="52"/>
  <c r="Z210" i="52"/>
  <c r="Z181" i="52"/>
  <c r="Z178" i="52"/>
  <c r="Z284" i="52"/>
  <c r="Z211" i="52"/>
  <c r="Z183" i="52"/>
  <c r="Z175" i="52"/>
  <c r="Z152" i="52"/>
  <c r="Z252" i="52"/>
  <c r="Z207" i="52"/>
  <c r="Z174" i="52"/>
  <c r="Z206" i="52"/>
  <c r="Z208" i="52"/>
  <c r="Z187" i="52"/>
  <c r="Z145" i="52"/>
  <c r="Z140" i="52"/>
  <c r="Z177" i="52"/>
  <c r="Z118" i="52"/>
  <c r="Z115" i="52"/>
  <c r="Z147" i="52"/>
  <c r="Z142" i="52"/>
  <c r="Z107" i="52"/>
  <c r="Z110" i="52"/>
  <c r="Z87" i="52"/>
  <c r="Z149" i="52"/>
  <c r="Z144" i="52"/>
  <c r="Z119" i="52"/>
  <c r="Z50" i="52"/>
  <c r="Z106" i="52"/>
  <c r="Z75" i="52"/>
  <c r="Z46" i="52"/>
  <c r="Z54" i="52"/>
  <c r="Z79" i="52"/>
  <c r="Z74" i="52"/>
  <c r="Z45" i="52"/>
  <c r="Z42" i="52"/>
  <c r="Z53" i="52"/>
  <c r="Z141" i="52"/>
  <c r="Z86" i="52"/>
  <c r="Z78" i="52"/>
  <c r="Z41" i="52"/>
  <c r="Z112" i="52"/>
  <c r="Z83" i="52"/>
  <c r="Z247" i="52"/>
  <c r="Z250" i="52"/>
  <c r="Z182" i="52"/>
  <c r="Z246" i="52"/>
  <c r="Z209" i="52"/>
  <c r="Z212" i="52"/>
  <c r="Z280" i="52"/>
  <c r="Z274" i="52"/>
  <c r="Z275" i="52"/>
  <c r="Z216" i="52"/>
  <c r="Z179" i="52"/>
  <c r="Z180" i="52"/>
  <c r="Z245" i="52"/>
  <c r="Z249" i="52"/>
  <c r="Z214" i="52"/>
  <c r="Z213" i="52"/>
  <c r="Z81" i="52"/>
  <c r="Z185" i="52"/>
  <c r="Z278" i="52"/>
  <c r="Z150" i="52"/>
  <c r="Z80" i="52"/>
  <c r="Z282" i="52"/>
  <c r="Z113" i="52"/>
  <c r="Z108" i="52"/>
  <c r="Z111" i="52"/>
  <c r="Z279" i="52"/>
  <c r="Z146" i="52"/>
  <c r="Z151" i="52"/>
  <c r="Z84" i="52"/>
  <c r="Z109" i="52"/>
  <c r="Z48" i="52"/>
  <c r="Z76" i="52"/>
  <c r="Z51" i="52"/>
  <c r="Z49" i="52"/>
  <c r="Z43" i="52"/>
  <c r="Z47" i="52"/>
  <c r="Z117" i="52"/>
  <c r="Z85" i="52"/>
  <c r="Z116" i="52"/>
  <c r="Z217" i="52"/>
  <c r="Z44" i="52"/>
  <c r="Z148" i="52"/>
  <c r="Z82" i="52"/>
  <c r="Z114" i="52"/>
  <c r="Z143" i="52"/>
  <c r="Z283" i="52"/>
  <c r="Z242" i="52"/>
  <c r="Z52" i="52"/>
  <c r="Z77" i="52"/>
  <c r="Z22" i="52"/>
  <c r="Z13" i="52"/>
  <c r="Z14" i="52"/>
  <c r="Z20" i="52"/>
  <c r="Z15" i="52"/>
  <c r="Z25" i="52"/>
  <c r="Z16" i="52"/>
  <c r="AA8" i="52"/>
  <c r="Z19" i="52"/>
  <c r="Z9" i="52"/>
  <c r="Z17" i="52"/>
  <c r="Z18" i="52"/>
  <c r="Z21" i="52"/>
  <c r="Z12" i="52"/>
  <c r="Z11" i="52"/>
  <c r="Z10" i="52"/>
  <c r="AA159" i="52" l="1"/>
  <c r="AA158" i="52"/>
  <c r="AA193" i="52"/>
  <c r="AA192" i="52"/>
  <c r="AA225" i="52"/>
  <c r="AA224" i="52"/>
  <c r="AA291" i="52"/>
  <c r="AA290" i="52"/>
  <c r="AA157" i="52"/>
  <c r="AA125" i="52"/>
  <c r="AA160" i="52"/>
  <c r="AA256" i="52"/>
  <c r="AA94" i="52"/>
  <c r="AA123" i="52"/>
  <c r="AA61" i="52"/>
  <c r="AA60" i="52"/>
  <c r="AA259" i="52"/>
  <c r="AA92" i="52"/>
  <c r="AA226" i="52"/>
  <c r="AA59" i="52"/>
  <c r="AA257" i="52"/>
  <c r="AA258" i="52"/>
  <c r="AA126" i="52"/>
  <c r="AA124" i="52"/>
  <c r="AA93" i="52"/>
  <c r="AA223" i="52"/>
  <c r="AA191" i="52"/>
  <c r="AA289" i="52"/>
  <c r="AA194" i="52"/>
  <c r="AA58" i="52"/>
  <c r="AA292" i="52"/>
  <c r="AA91" i="52"/>
  <c r="AA27" i="52"/>
  <c r="AA26" i="52"/>
  <c r="AA29" i="52"/>
  <c r="AA28" i="52"/>
  <c r="AA281" i="52"/>
  <c r="AA219" i="52"/>
  <c r="AA248" i="52"/>
  <c r="AA239" i="52"/>
  <c r="AA243" i="52"/>
  <c r="AA218" i="52"/>
  <c r="AA285" i="52"/>
  <c r="AA273" i="52"/>
  <c r="AA244" i="52"/>
  <c r="AA215" i="52"/>
  <c r="AA277" i="52"/>
  <c r="AA249" i="52"/>
  <c r="AA284" i="52"/>
  <c r="AA272" i="52"/>
  <c r="AA252" i="52"/>
  <c r="AA246" i="52"/>
  <c r="AA241" i="52"/>
  <c r="AA251" i="52"/>
  <c r="AA240" i="52"/>
  <c r="AA184" i="52"/>
  <c r="AA153" i="52"/>
  <c r="AA210" i="52"/>
  <c r="AA181" i="52"/>
  <c r="AA178" i="52"/>
  <c r="AA213" i="52"/>
  <c r="AA211" i="52"/>
  <c r="AA183" i="52"/>
  <c r="AA182" i="52"/>
  <c r="AA175" i="52"/>
  <c r="AA276" i="52"/>
  <c r="AA207" i="52"/>
  <c r="AA208" i="52"/>
  <c r="AA187" i="52"/>
  <c r="AA186" i="52"/>
  <c r="AA118" i="52"/>
  <c r="AA115" i="52"/>
  <c r="AA206" i="52"/>
  <c r="AA152" i="52"/>
  <c r="AA174" i="52"/>
  <c r="AA146" i="52"/>
  <c r="AA142" i="52"/>
  <c r="AA116" i="52"/>
  <c r="AA107" i="52"/>
  <c r="AA209" i="52"/>
  <c r="AA150" i="52"/>
  <c r="AA110" i="52"/>
  <c r="AA87" i="52"/>
  <c r="AA141" i="52"/>
  <c r="AA106" i="52"/>
  <c r="AA145" i="52"/>
  <c r="AA140" i="52"/>
  <c r="AA84" i="52"/>
  <c r="AA75" i="52"/>
  <c r="AA48" i="52"/>
  <c r="AA46" i="52"/>
  <c r="AA54" i="52"/>
  <c r="AA144" i="52"/>
  <c r="AA79" i="52"/>
  <c r="AA74" i="52"/>
  <c r="AA45" i="52"/>
  <c r="AA42" i="52"/>
  <c r="AA41" i="52"/>
  <c r="AA119" i="52"/>
  <c r="AA86" i="52"/>
  <c r="AA76" i="52"/>
  <c r="AA53" i="52"/>
  <c r="AA78" i="52"/>
  <c r="AA149" i="52"/>
  <c r="AA83" i="52"/>
  <c r="AA50" i="52"/>
  <c r="AA214" i="52"/>
  <c r="AA185" i="52"/>
  <c r="AA274" i="52"/>
  <c r="AA275" i="52"/>
  <c r="AA282" i="52"/>
  <c r="AA247" i="52"/>
  <c r="AA245" i="52"/>
  <c r="AA216" i="52"/>
  <c r="AA212" i="52"/>
  <c r="AA179" i="52"/>
  <c r="AA280" i="52"/>
  <c r="AA278" i="52"/>
  <c r="AA250" i="52"/>
  <c r="AA147" i="52"/>
  <c r="AA177" i="52"/>
  <c r="AA180" i="52"/>
  <c r="AA111" i="52"/>
  <c r="AA113" i="52"/>
  <c r="AA279" i="52"/>
  <c r="AA108" i="52"/>
  <c r="AA117" i="52"/>
  <c r="AA176" i="52"/>
  <c r="AA43" i="52"/>
  <c r="AA47" i="52"/>
  <c r="AA51" i="52"/>
  <c r="AA109" i="52"/>
  <c r="AA112" i="52"/>
  <c r="AA81" i="52"/>
  <c r="AA85" i="52"/>
  <c r="AA80" i="52"/>
  <c r="AA49" i="52"/>
  <c r="AA151" i="52"/>
  <c r="AA148" i="52"/>
  <c r="AA82" i="52"/>
  <c r="AA217" i="52"/>
  <c r="AA143" i="52"/>
  <c r="AA77" i="52"/>
  <c r="AA44" i="52"/>
  <c r="AA52" i="52"/>
  <c r="AA242" i="52"/>
  <c r="AA283" i="52"/>
  <c r="AA114" i="52"/>
  <c r="AA22" i="52"/>
  <c r="AA13" i="52"/>
  <c r="AA10" i="52"/>
  <c r="AA14" i="52"/>
  <c r="AA15" i="52"/>
  <c r="AA20" i="52"/>
  <c r="AA25" i="52"/>
  <c r="AA16" i="52"/>
  <c r="AB8" i="52"/>
  <c r="AA17" i="52"/>
  <c r="AA18" i="52"/>
  <c r="AA19" i="52"/>
  <c r="AA9" i="52"/>
  <c r="AA11" i="52"/>
  <c r="AA21" i="52"/>
  <c r="AA12" i="52"/>
  <c r="AB292" i="52" l="1"/>
  <c r="AB225" i="52"/>
  <c r="AB258" i="52"/>
  <c r="AB92" i="52"/>
  <c r="AB291" i="52"/>
  <c r="AB158" i="52"/>
  <c r="AB194" i="52"/>
  <c r="AB123" i="52"/>
  <c r="AB257" i="52"/>
  <c r="AB157" i="52"/>
  <c r="AB259" i="52"/>
  <c r="AB93" i="52"/>
  <c r="AB256" i="52"/>
  <c r="AB124" i="52"/>
  <c r="AB289" i="52"/>
  <c r="AB191" i="52"/>
  <c r="AB94" i="52"/>
  <c r="AB193" i="52"/>
  <c r="AB91" i="52"/>
  <c r="AB59" i="52"/>
  <c r="AB192" i="52"/>
  <c r="AB125" i="52"/>
  <c r="AB224" i="52"/>
  <c r="AB61" i="52"/>
  <c r="AB58" i="52"/>
  <c r="AB223" i="52"/>
  <c r="AB159" i="52"/>
  <c r="AB290" i="52"/>
  <c r="AB160" i="52"/>
  <c r="AB226" i="52"/>
  <c r="AB126" i="52"/>
  <c r="AB60" i="52"/>
  <c r="AB27" i="52"/>
  <c r="AB26" i="52"/>
  <c r="AB28" i="52"/>
  <c r="AB29" i="52"/>
  <c r="AB248" i="52"/>
  <c r="AB239" i="52"/>
  <c r="AB212" i="52"/>
  <c r="AB243" i="52"/>
  <c r="AB218" i="52"/>
  <c r="AB285" i="52"/>
  <c r="AB273" i="52"/>
  <c r="AB215" i="52"/>
  <c r="AB284" i="52"/>
  <c r="AB272" i="52"/>
  <c r="AB252" i="52"/>
  <c r="AB250" i="52"/>
  <c r="AB246" i="52"/>
  <c r="AB279" i="52"/>
  <c r="AB276" i="52"/>
  <c r="AB213" i="52"/>
  <c r="AB281" i="52"/>
  <c r="AB219" i="52"/>
  <c r="AB216" i="52"/>
  <c r="AB210" i="52"/>
  <c r="AB178" i="52"/>
  <c r="AB251" i="52"/>
  <c r="AB183" i="52"/>
  <c r="AB182" i="52"/>
  <c r="AB175" i="52"/>
  <c r="AB152" i="52"/>
  <c r="AB245" i="52"/>
  <c r="AB207" i="52"/>
  <c r="AB174" i="52"/>
  <c r="AB240" i="52"/>
  <c r="AB206" i="52"/>
  <c r="AB186" i="52"/>
  <c r="AB142" i="52"/>
  <c r="AB107" i="52"/>
  <c r="AB110" i="52"/>
  <c r="AB87" i="52"/>
  <c r="AB153" i="52"/>
  <c r="AB141" i="52"/>
  <c r="AB117" i="52"/>
  <c r="AB106" i="52"/>
  <c r="AB149" i="52"/>
  <c r="AB144" i="52"/>
  <c r="AB119" i="52"/>
  <c r="AB187" i="52"/>
  <c r="AB185" i="52"/>
  <c r="AB151" i="52"/>
  <c r="AB118" i="52"/>
  <c r="AB115" i="52"/>
  <c r="AB85" i="52"/>
  <c r="AB54" i="52"/>
  <c r="AB140" i="52"/>
  <c r="AB74" i="52"/>
  <c r="AB45" i="52"/>
  <c r="AB42" i="52"/>
  <c r="AB50" i="52"/>
  <c r="AB86" i="52"/>
  <c r="AB53" i="52"/>
  <c r="AB78" i="52"/>
  <c r="AB41" i="52"/>
  <c r="AB83" i="52"/>
  <c r="AB75" i="52"/>
  <c r="AB48" i="52"/>
  <c r="AB214" i="52"/>
  <c r="AB209" i="52"/>
  <c r="AB211" i="52"/>
  <c r="AB274" i="52"/>
  <c r="AB275" i="52"/>
  <c r="AB180" i="52"/>
  <c r="AB242" i="52"/>
  <c r="AB208" i="52"/>
  <c r="AB278" i="52"/>
  <c r="AB247" i="52"/>
  <c r="AB241" i="52"/>
  <c r="AB280" i="52"/>
  <c r="AB244" i="52"/>
  <c r="AB249" i="52"/>
  <c r="AB277" i="52"/>
  <c r="AB282" i="52"/>
  <c r="AB147" i="52"/>
  <c r="AB145" i="52"/>
  <c r="AB113" i="52"/>
  <c r="AB150" i="52"/>
  <c r="AB176" i="52"/>
  <c r="AB112" i="52"/>
  <c r="AB108" i="52"/>
  <c r="AB109" i="52"/>
  <c r="AB111" i="52"/>
  <c r="AB116" i="52"/>
  <c r="AB76" i="52"/>
  <c r="AB179" i="52"/>
  <c r="AB181" i="52"/>
  <c r="AB184" i="52"/>
  <c r="AB146" i="52"/>
  <c r="AB43" i="52"/>
  <c r="AB177" i="52"/>
  <c r="AB80" i="52"/>
  <c r="AB51" i="52"/>
  <c r="AB46" i="52"/>
  <c r="AB49" i="52"/>
  <c r="AB79" i="52"/>
  <c r="AB81" i="52"/>
  <c r="AB84" i="52"/>
  <c r="AB47" i="52"/>
  <c r="AB44" i="52"/>
  <c r="AB52" i="52"/>
  <c r="AB283" i="52"/>
  <c r="AB114" i="52"/>
  <c r="AB77" i="52"/>
  <c r="AB217" i="52"/>
  <c r="AB148" i="52"/>
  <c r="AB143" i="52"/>
  <c r="AB82" i="52"/>
  <c r="AB14" i="52"/>
  <c r="AB15" i="52"/>
  <c r="AB10" i="52"/>
  <c r="AB25" i="52"/>
  <c r="AB16" i="52"/>
  <c r="AB11" i="52"/>
  <c r="AB17" i="52"/>
  <c r="AC8" i="52"/>
  <c r="AB18" i="52"/>
  <c r="AB19" i="52"/>
  <c r="AB9" i="52"/>
  <c r="AB21" i="52"/>
  <c r="AB20" i="52"/>
  <c r="AB12" i="52"/>
  <c r="AB22" i="52"/>
  <c r="AB13" i="52"/>
  <c r="AC94" i="52" l="1"/>
  <c r="AC256" i="52"/>
  <c r="AC126" i="52"/>
  <c r="AC289" i="52"/>
  <c r="AC158" i="52"/>
  <c r="AC59" i="52"/>
  <c r="AC91" i="52"/>
  <c r="AC160" i="52"/>
  <c r="AC226" i="52"/>
  <c r="AC194" i="52"/>
  <c r="AC58" i="52"/>
  <c r="AC124" i="52"/>
  <c r="AC291" i="52"/>
  <c r="AC191" i="52"/>
  <c r="AC93" i="52"/>
  <c r="AC257" i="52"/>
  <c r="AC193" i="52"/>
  <c r="AC292" i="52"/>
  <c r="AC224" i="52"/>
  <c r="AC125" i="52"/>
  <c r="AC290" i="52"/>
  <c r="AC225" i="52"/>
  <c r="AC159" i="52"/>
  <c r="AC61" i="52"/>
  <c r="AC223" i="52"/>
  <c r="AC60" i="52"/>
  <c r="AC157" i="52"/>
  <c r="AC258" i="52"/>
  <c r="AC192" i="52"/>
  <c r="AC259" i="52"/>
  <c r="AC123" i="52"/>
  <c r="AC92" i="52"/>
  <c r="AC27" i="52"/>
  <c r="AC26" i="52"/>
  <c r="AC29" i="52"/>
  <c r="AC28" i="52"/>
  <c r="AC243" i="52"/>
  <c r="AC218" i="52"/>
  <c r="AC285" i="52"/>
  <c r="AC273" i="52"/>
  <c r="AC215" i="52"/>
  <c r="AC244" i="52"/>
  <c r="AC284" i="52"/>
  <c r="AC272" i="52"/>
  <c r="AC252" i="52"/>
  <c r="AC276" i="52"/>
  <c r="AC251" i="52"/>
  <c r="AC240" i="52"/>
  <c r="AC248" i="52"/>
  <c r="AC239" i="52"/>
  <c r="AC183" i="52"/>
  <c r="AC175" i="52"/>
  <c r="AC152" i="52"/>
  <c r="AC281" i="52"/>
  <c r="AC211" i="52"/>
  <c r="AC207" i="52"/>
  <c r="AC219" i="52"/>
  <c r="AC187" i="52"/>
  <c r="AC177" i="52"/>
  <c r="AC208" i="52"/>
  <c r="AC206" i="52"/>
  <c r="AC186" i="52"/>
  <c r="AC210" i="52"/>
  <c r="AC180" i="52"/>
  <c r="AC178" i="52"/>
  <c r="AC176" i="52"/>
  <c r="AC174" i="52"/>
  <c r="AC146" i="52"/>
  <c r="AC107" i="52"/>
  <c r="AC110" i="52"/>
  <c r="AC109" i="52"/>
  <c r="AC87" i="52"/>
  <c r="AC153" i="52"/>
  <c r="AC141" i="52"/>
  <c r="AC106" i="52"/>
  <c r="AC149" i="52"/>
  <c r="AC144" i="52"/>
  <c r="AC119" i="52"/>
  <c r="AC140" i="52"/>
  <c r="AC108" i="52"/>
  <c r="AC118" i="52"/>
  <c r="AC74" i="52"/>
  <c r="AC45" i="52"/>
  <c r="AC42" i="52"/>
  <c r="AC115" i="52"/>
  <c r="AC86" i="52"/>
  <c r="AC53" i="52"/>
  <c r="AC78" i="52"/>
  <c r="AC41" i="52"/>
  <c r="AC83" i="52"/>
  <c r="AC50" i="52"/>
  <c r="AC145" i="52"/>
  <c r="AC54" i="52"/>
  <c r="AC75" i="52"/>
  <c r="AC278" i="52"/>
  <c r="AC250" i="52"/>
  <c r="AC209" i="52"/>
  <c r="AC280" i="52"/>
  <c r="AC182" i="52"/>
  <c r="AC246" i="52"/>
  <c r="AC247" i="52"/>
  <c r="AC179" i="52"/>
  <c r="AC277" i="52"/>
  <c r="AC242" i="52"/>
  <c r="AC249" i="52"/>
  <c r="AC214" i="52"/>
  <c r="AC274" i="52"/>
  <c r="AC275" i="52"/>
  <c r="AC245" i="52"/>
  <c r="AC216" i="52"/>
  <c r="AC213" i="52"/>
  <c r="AC81" i="52"/>
  <c r="AC185" i="52"/>
  <c r="AC147" i="52"/>
  <c r="AC212" i="52"/>
  <c r="AC150" i="52"/>
  <c r="AC142" i="52"/>
  <c r="AC113" i="52"/>
  <c r="AC112" i="52"/>
  <c r="AC282" i="52"/>
  <c r="AC241" i="52"/>
  <c r="AC76" i="52"/>
  <c r="AC151" i="52"/>
  <c r="AC80" i="52"/>
  <c r="AC84" i="52"/>
  <c r="AC117" i="52"/>
  <c r="AC48" i="52"/>
  <c r="AC111" i="52"/>
  <c r="AC47" i="52"/>
  <c r="AC51" i="52"/>
  <c r="AC46" i="52"/>
  <c r="AC181" i="52"/>
  <c r="AC79" i="52"/>
  <c r="AC43" i="52"/>
  <c r="AC279" i="52"/>
  <c r="AC184" i="52"/>
  <c r="AC116" i="52"/>
  <c r="AC85" i="52"/>
  <c r="AC49" i="52"/>
  <c r="AC82" i="52"/>
  <c r="AC52" i="52"/>
  <c r="AC148" i="52"/>
  <c r="AC143" i="52"/>
  <c r="AC114" i="52"/>
  <c r="AC283" i="52"/>
  <c r="AC217" i="52"/>
  <c r="AC77" i="52"/>
  <c r="AC44" i="52"/>
  <c r="AC15" i="52"/>
  <c r="AC25" i="52"/>
  <c r="AC16" i="52"/>
  <c r="AD8" i="52"/>
  <c r="AC17" i="52"/>
  <c r="AC18" i="52"/>
  <c r="AC9" i="52"/>
  <c r="AC19" i="52"/>
  <c r="AC20" i="52"/>
  <c r="AC12" i="52"/>
  <c r="AC10" i="52"/>
  <c r="AC21" i="52"/>
  <c r="AC11" i="52"/>
  <c r="AC14" i="52"/>
  <c r="AC22" i="52"/>
  <c r="AC13" i="52"/>
  <c r="AD259" i="52" l="1"/>
  <c r="AD258" i="52"/>
  <c r="AD158" i="52"/>
  <c r="AD292" i="52"/>
  <c r="AD91" i="52"/>
  <c r="AD291" i="52"/>
  <c r="AD123" i="52"/>
  <c r="AD191" i="52"/>
  <c r="AD126" i="52"/>
  <c r="AD61" i="52"/>
  <c r="AD289" i="52"/>
  <c r="AD93" i="52"/>
  <c r="AD58" i="52"/>
  <c r="AD159" i="52"/>
  <c r="AD124" i="52"/>
  <c r="AD226" i="52"/>
  <c r="AD92" i="52"/>
  <c r="AD160" i="52"/>
  <c r="AD223" i="52"/>
  <c r="AD193" i="52"/>
  <c r="AD125" i="52"/>
  <c r="AD256" i="52"/>
  <c r="AD225" i="52"/>
  <c r="AD224" i="52"/>
  <c r="AD192" i="52"/>
  <c r="AD194" i="52"/>
  <c r="AD60" i="52"/>
  <c r="AD290" i="52"/>
  <c r="AD157" i="52"/>
  <c r="AD59" i="52"/>
  <c r="AD257" i="52"/>
  <c r="AD94" i="52"/>
  <c r="AD26" i="52"/>
  <c r="AD27" i="52"/>
  <c r="AD28" i="52"/>
  <c r="AD29" i="52"/>
  <c r="AD285" i="52"/>
  <c r="AD273" i="52"/>
  <c r="AD215" i="52"/>
  <c r="AD214" i="52"/>
  <c r="AD244" i="52"/>
  <c r="AD284" i="52"/>
  <c r="AD272" i="52"/>
  <c r="AD252" i="52"/>
  <c r="AD277" i="52"/>
  <c r="AD276" i="52"/>
  <c r="AD251" i="52"/>
  <c r="AD241" i="52"/>
  <c r="AD240" i="52"/>
  <c r="AD281" i="52"/>
  <c r="AD245" i="52"/>
  <c r="AD219" i="52"/>
  <c r="AD243" i="52"/>
  <c r="AD218" i="52"/>
  <c r="AD212" i="52"/>
  <c r="AD211" i="52"/>
  <c r="AD181" i="52"/>
  <c r="AD248" i="52"/>
  <c r="AD207" i="52"/>
  <c r="AD174" i="52"/>
  <c r="AD187" i="52"/>
  <c r="AD177" i="52"/>
  <c r="AD208" i="52"/>
  <c r="AD206" i="52"/>
  <c r="AD239" i="52"/>
  <c r="AD184" i="52"/>
  <c r="AD183" i="52"/>
  <c r="AD175" i="52"/>
  <c r="AD210" i="52"/>
  <c r="AD186" i="52"/>
  <c r="AD180" i="52"/>
  <c r="AD152" i="52"/>
  <c r="AD107" i="52"/>
  <c r="AD178" i="52"/>
  <c r="AD110" i="52"/>
  <c r="AD87" i="52"/>
  <c r="AD153" i="52"/>
  <c r="AD141" i="52"/>
  <c r="AD106" i="52"/>
  <c r="AD149" i="52"/>
  <c r="AD144" i="52"/>
  <c r="AD119" i="52"/>
  <c r="AD140" i="52"/>
  <c r="AD145" i="52"/>
  <c r="AD118" i="52"/>
  <c r="AD115" i="52"/>
  <c r="AD176" i="52"/>
  <c r="AD86" i="52"/>
  <c r="AD53" i="52"/>
  <c r="AD79" i="52"/>
  <c r="AD78" i="52"/>
  <c r="AD41" i="52"/>
  <c r="AD50" i="52"/>
  <c r="AD83" i="52"/>
  <c r="AD54" i="52"/>
  <c r="AD80" i="52"/>
  <c r="AD75" i="52"/>
  <c r="AD74" i="52"/>
  <c r="AD46" i="52"/>
  <c r="AD45" i="52"/>
  <c r="AD42" i="52"/>
  <c r="AD182" i="52"/>
  <c r="AD280" i="52"/>
  <c r="AD246" i="52"/>
  <c r="AD146" i="52"/>
  <c r="AD216" i="52"/>
  <c r="AD278" i="52"/>
  <c r="AD274" i="52"/>
  <c r="AD275" i="52"/>
  <c r="AD282" i="52"/>
  <c r="AD279" i="52"/>
  <c r="AD247" i="52"/>
  <c r="AD250" i="52"/>
  <c r="AD185" i="52"/>
  <c r="AD112" i="52"/>
  <c r="AD76" i="52"/>
  <c r="AD113" i="52"/>
  <c r="AD179" i="52"/>
  <c r="AD150" i="52"/>
  <c r="AD213" i="52"/>
  <c r="AD142" i="52"/>
  <c r="AD249" i="52"/>
  <c r="AD147" i="52"/>
  <c r="AD109" i="52"/>
  <c r="AD117" i="52"/>
  <c r="AD116" i="52"/>
  <c r="AD48" i="52"/>
  <c r="AD151" i="52"/>
  <c r="AD84" i="52"/>
  <c r="AD51" i="52"/>
  <c r="AD81" i="52"/>
  <c r="AD43" i="52"/>
  <c r="AD108" i="52"/>
  <c r="AD85" i="52"/>
  <c r="AD111" i="52"/>
  <c r="AD49" i="52"/>
  <c r="AD47" i="52"/>
  <c r="AD77" i="52"/>
  <c r="AD209" i="52"/>
  <c r="AD82" i="52"/>
  <c r="AD148" i="52"/>
  <c r="AD52" i="52"/>
  <c r="AD143" i="52"/>
  <c r="AD283" i="52"/>
  <c r="AD217" i="52"/>
  <c r="AD114" i="52"/>
  <c r="AD242" i="52"/>
  <c r="AD44" i="52"/>
  <c r="AD25" i="52"/>
  <c r="AD16" i="52"/>
  <c r="AD17" i="52"/>
  <c r="AE8" i="52"/>
  <c r="AD13" i="52"/>
  <c r="AD18" i="52"/>
  <c r="AD9" i="52"/>
  <c r="AD19" i="52"/>
  <c r="AD20" i="52"/>
  <c r="AD10" i="52"/>
  <c r="AD21" i="52"/>
  <c r="AD12" i="52"/>
  <c r="AD11" i="52"/>
  <c r="AD22" i="52"/>
  <c r="AD15" i="52"/>
  <c r="AD14" i="52"/>
  <c r="AE58" i="52" l="1"/>
  <c r="AE291" i="52"/>
  <c r="AE157" i="52"/>
  <c r="AE92" i="52"/>
  <c r="AE224" i="52"/>
  <c r="AE61" i="52"/>
  <c r="AE289" i="52"/>
  <c r="AE194" i="52"/>
  <c r="AE125" i="52"/>
  <c r="AE223" i="52"/>
  <c r="AE257" i="52"/>
  <c r="AE60" i="52"/>
  <c r="AE191" i="52"/>
  <c r="AE258" i="52"/>
  <c r="AE292" i="52"/>
  <c r="AE226" i="52"/>
  <c r="AE126" i="52"/>
  <c r="AE93" i="52"/>
  <c r="AE91" i="52"/>
  <c r="AE193" i="52"/>
  <c r="AE259" i="52"/>
  <c r="AE192" i="52"/>
  <c r="AE158" i="52"/>
  <c r="AE59" i="52"/>
  <c r="AE94" i="52"/>
  <c r="AE123" i="52"/>
  <c r="AE290" i="52"/>
  <c r="AE159" i="52"/>
  <c r="AE256" i="52"/>
  <c r="AE160" i="52"/>
  <c r="AE124" i="52"/>
  <c r="AE225" i="52"/>
  <c r="AE27" i="52"/>
  <c r="AE26" i="52"/>
  <c r="AE29" i="52"/>
  <c r="AE28" i="52"/>
  <c r="AE244" i="52"/>
  <c r="AE284" i="52"/>
  <c r="AE272" i="52"/>
  <c r="AE252" i="52"/>
  <c r="AE277" i="52"/>
  <c r="AE276" i="52"/>
  <c r="AE251" i="52"/>
  <c r="AE249" i="52"/>
  <c r="AE246" i="52"/>
  <c r="AE241" i="52"/>
  <c r="AE240" i="52"/>
  <c r="AE281" i="52"/>
  <c r="AE248" i="52"/>
  <c r="AE239" i="52"/>
  <c r="AE285" i="52"/>
  <c r="AE273" i="52"/>
  <c r="AE215" i="52"/>
  <c r="AE207" i="52"/>
  <c r="AE182" i="52"/>
  <c r="AE174" i="52"/>
  <c r="AE213" i="52"/>
  <c r="AE212" i="52"/>
  <c r="AE187" i="52"/>
  <c r="AE219" i="52"/>
  <c r="AE208" i="52"/>
  <c r="AE206" i="52"/>
  <c r="AE243" i="52"/>
  <c r="AE186" i="52"/>
  <c r="AE218" i="52"/>
  <c r="AE210" i="52"/>
  <c r="AE178" i="52"/>
  <c r="AE211" i="52"/>
  <c r="AE181" i="52"/>
  <c r="AE142" i="52"/>
  <c r="AE110" i="52"/>
  <c r="AE87" i="52"/>
  <c r="AE183" i="52"/>
  <c r="AE153" i="52"/>
  <c r="AE141" i="52"/>
  <c r="AE106" i="52"/>
  <c r="AE184" i="52"/>
  <c r="AE149" i="52"/>
  <c r="AE144" i="52"/>
  <c r="AE119" i="52"/>
  <c r="AE116" i="52"/>
  <c r="AE150" i="52"/>
  <c r="AE140" i="52"/>
  <c r="AE145" i="52"/>
  <c r="AE118" i="52"/>
  <c r="AE115" i="52"/>
  <c r="AE112" i="52"/>
  <c r="AE152" i="52"/>
  <c r="AE107" i="52"/>
  <c r="AE79" i="52"/>
  <c r="AE78" i="52"/>
  <c r="AE41" i="52"/>
  <c r="AE75" i="52"/>
  <c r="AE83" i="52"/>
  <c r="AE74" i="52"/>
  <c r="AE76" i="52"/>
  <c r="AE81" i="52"/>
  <c r="AE50" i="52"/>
  <c r="AE54" i="52"/>
  <c r="AE175" i="52"/>
  <c r="AE86" i="52"/>
  <c r="AE84" i="52"/>
  <c r="AE53" i="52"/>
  <c r="AE43" i="52"/>
  <c r="AE45" i="52"/>
  <c r="AE46" i="52"/>
  <c r="AE42" i="52"/>
  <c r="AE214" i="52"/>
  <c r="AE216" i="52"/>
  <c r="AE279" i="52"/>
  <c r="AE247" i="52"/>
  <c r="AE282" i="52"/>
  <c r="AE209" i="52"/>
  <c r="AE280" i="52"/>
  <c r="AE274" i="52"/>
  <c r="AE275" i="52"/>
  <c r="AE176" i="52"/>
  <c r="AE177" i="52"/>
  <c r="AE278" i="52"/>
  <c r="AE245" i="52"/>
  <c r="AE146" i="52"/>
  <c r="AE180" i="52"/>
  <c r="AE185" i="52"/>
  <c r="AE147" i="52"/>
  <c r="AE179" i="52"/>
  <c r="AE111" i="52"/>
  <c r="AE250" i="52"/>
  <c r="AE151" i="52"/>
  <c r="AE113" i="52"/>
  <c r="AE109" i="52"/>
  <c r="AE51" i="52"/>
  <c r="AE117" i="52"/>
  <c r="AE48" i="52"/>
  <c r="AE108" i="52"/>
  <c r="AE47" i="52"/>
  <c r="AE85" i="52"/>
  <c r="AE49" i="52"/>
  <c r="AE77" i="52"/>
  <c r="AE80" i="52"/>
  <c r="AE148" i="52"/>
  <c r="AE82" i="52"/>
  <c r="AE52" i="52"/>
  <c r="AE44" i="52"/>
  <c r="AE114" i="52"/>
  <c r="AE283" i="52"/>
  <c r="AE242" i="52"/>
  <c r="AE143" i="52"/>
  <c r="AE217" i="52"/>
  <c r="AE17" i="52"/>
  <c r="AF8" i="52"/>
  <c r="AE13" i="52"/>
  <c r="AE18" i="52"/>
  <c r="AE19" i="52"/>
  <c r="AE9" i="52"/>
  <c r="AE10" i="52"/>
  <c r="AE14" i="52"/>
  <c r="AE20" i="52"/>
  <c r="AE21" i="52"/>
  <c r="AE12" i="52"/>
  <c r="AE11" i="52"/>
  <c r="AE22" i="52"/>
  <c r="AE25" i="52"/>
  <c r="AE16" i="52"/>
  <c r="AE15" i="52"/>
  <c r="AF223" i="52" l="1"/>
  <c r="AF256" i="52"/>
  <c r="AF93" i="52"/>
  <c r="AF291" i="52"/>
  <c r="AF289" i="52"/>
  <c r="AF126" i="52"/>
  <c r="AF124" i="52"/>
  <c r="AF226" i="52"/>
  <c r="AF94" i="52"/>
  <c r="AF258" i="52"/>
  <c r="AF60" i="52"/>
  <c r="AF257" i="52"/>
  <c r="AF58" i="52"/>
  <c r="AF159" i="52"/>
  <c r="AF192" i="52"/>
  <c r="AF92" i="52"/>
  <c r="AF292" i="52"/>
  <c r="AF290" i="52"/>
  <c r="AF61" i="52"/>
  <c r="AF259" i="52"/>
  <c r="AF157" i="52"/>
  <c r="AF91" i="52"/>
  <c r="AF225" i="52"/>
  <c r="AF160" i="52"/>
  <c r="AF123" i="52"/>
  <c r="AF59" i="52"/>
  <c r="AF193" i="52"/>
  <c r="AF224" i="52"/>
  <c r="AF194" i="52"/>
  <c r="AF191" i="52"/>
  <c r="AF125" i="52"/>
  <c r="AF158" i="52"/>
  <c r="AF27" i="52"/>
  <c r="AF26" i="52"/>
  <c r="AF28" i="52"/>
  <c r="AF29" i="52"/>
  <c r="AF284" i="52"/>
  <c r="AF272" i="52"/>
  <c r="AF252" i="52"/>
  <c r="AF276" i="52"/>
  <c r="AF251" i="52"/>
  <c r="AF246" i="52"/>
  <c r="AF240" i="52"/>
  <c r="AF281" i="52"/>
  <c r="AF250" i="52"/>
  <c r="AF219" i="52"/>
  <c r="AF213" i="52"/>
  <c r="AF248" i="52"/>
  <c r="AF243" i="52"/>
  <c r="AF218" i="52"/>
  <c r="AF187" i="52"/>
  <c r="AF206" i="52"/>
  <c r="AF186" i="52"/>
  <c r="AF273" i="52"/>
  <c r="AF185" i="52"/>
  <c r="AF153" i="52"/>
  <c r="AF239" i="52"/>
  <c r="AF210" i="52"/>
  <c r="AF285" i="52"/>
  <c r="AF209" i="52"/>
  <c r="AF183" i="52"/>
  <c r="AF175" i="52"/>
  <c r="AF215" i="52"/>
  <c r="AF207" i="52"/>
  <c r="AF174" i="52"/>
  <c r="AF178" i="52"/>
  <c r="AF141" i="52"/>
  <c r="AF106" i="52"/>
  <c r="AF149" i="52"/>
  <c r="AF144" i="52"/>
  <c r="AF119" i="52"/>
  <c r="AF140" i="52"/>
  <c r="AF118" i="52"/>
  <c r="AF117" i="52"/>
  <c r="AF115" i="52"/>
  <c r="AF142" i="52"/>
  <c r="AF110" i="52"/>
  <c r="AF87" i="52"/>
  <c r="AF83" i="52"/>
  <c r="AF151" i="52"/>
  <c r="AF54" i="52"/>
  <c r="AF81" i="52"/>
  <c r="AF50" i="52"/>
  <c r="AF107" i="52"/>
  <c r="AF75" i="52"/>
  <c r="AF74" i="52"/>
  <c r="AF45" i="52"/>
  <c r="AF42" i="52"/>
  <c r="AF152" i="52"/>
  <c r="AF86" i="52"/>
  <c r="AF85" i="52"/>
  <c r="AF78" i="52"/>
  <c r="AF41" i="52"/>
  <c r="AF48" i="52"/>
  <c r="AF53" i="52"/>
  <c r="AF277" i="52"/>
  <c r="AF278" i="52"/>
  <c r="AF180" i="52"/>
  <c r="AF247" i="52"/>
  <c r="AF211" i="52"/>
  <c r="AF182" i="52"/>
  <c r="AF280" i="52"/>
  <c r="AF274" i="52"/>
  <c r="AF275" i="52"/>
  <c r="AF216" i="52"/>
  <c r="AF212" i="52"/>
  <c r="AF208" i="52"/>
  <c r="AF179" i="52"/>
  <c r="AF241" i="52"/>
  <c r="AF245" i="52"/>
  <c r="AF244" i="52"/>
  <c r="AF249" i="52"/>
  <c r="AF279" i="52"/>
  <c r="AF145" i="52"/>
  <c r="AF112" i="52"/>
  <c r="AF150" i="52"/>
  <c r="AF76" i="52"/>
  <c r="AF176" i="52"/>
  <c r="AF113" i="52"/>
  <c r="AF146" i="52"/>
  <c r="AF214" i="52"/>
  <c r="AF177" i="52"/>
  <c r="AF181" i="52"/>
  <c r="AF79" i="52"/>
  <c r="AF84" i="52"/>
  <c r="AF282" i="52"/>
  <c r="AF184" i="52"/>
  <c r="AF108" i="52"/>
  <c r="AF43" i="52"/>
  <c r="AF116" i="52"/>
  <c r="AF49" i="52"/>
  <c r="AF46" i="52"/>
  <c r="AF80" i="52"/>
  <c r="AF147" i="52"/>
  <c r="AF109" i="52"/>
  <c r="AF111" i="52"/>
  <c r="AF47" i="52"/>
  <c r="AF51" i="52"/>
  <c r="AF143" i="52"/>
  <c r="AF52" i="52"/>
  <c r="AF242" i="52"/>
  <c r="AF217" i="52"/>
  <c r="AF114" i="52"/>
  <c r="AF77" i="52"/>
  <c r="AF283" i="52"/>
  <c r="AF44" i="52"/>
  <c r="AF148" i="52"/>
  <c r="AF82" i="52"/>
  <c r="AF18" i="52"/>
  <c r="AF19" i="52"/>
  <c r="AF9" i="52"/>
  <c r="AF20" i="52"/>
  <c r="AF11" i="52"/>
  <c r="AF10" i="52"/>
  <c r="AF15" i="52"/>
  <c r="AF21" i="52"/>
  <c r="AF12" i="52"/>
  <c r="AF22" i="52"/>
  <c r="AF13" i="52"/>
  <c r="AF14" i="52"/>
  <c r="AF17" i="52"/>
  <c r="AG8" i="52"/>
  <c r="AF16" i="52"/>
  <c r="AF25" i="52"/>
  <c r="AG158" i="52" l="1"/>
  <c r="AG192" i="52"/>
  <c r="AG159" i="52"/>
  <c r="AG225" i="52"/>
  <c r="AG224" i="52"/>
  <c r="AG123" i="52"/>
  <c r="AG290" i="52"/>
  <c r="AG94" i="52"/>
  <c r="AG256" i="52"/>
  <c r="AG91" i="52"/>
  <c r="AG194" i="52"/>
  <c r="AG93" i="52"/>
  <c r="AG291" i="52"/>
  <c r="AG259" i="52"/>
  <c r="AG125" i="52"/>
  <c r="AG124" i="52"/>
  <c r="AG292" i="52"/>
  <c r="AG191" i="52"/>
  <c r="AG59" i="52"/>
  <c r="AG289" i="52"/>
  <c r="AG126" i="52"/>
  <c r="AG157" i="52"/>
  <c r="AG257" i="52"/>
  <c r="AG223" i="52"/>
  <c r="AG61" i="52"/>
  <c r="AG258" i="52"/>
  <c r="AG226" i="52"/>
  <c r="AG92" i="52"/>
  <c r="AG160" i="52"/>
  <c r="AG193" i="52"/>
  <c r="AG58" i="52"/>
  <c r="AG60" i="52"/>
  <c r="AG27" i="52"/>
  <c r="AG26" i="52"/>
  <c r="AG28" i="52"/>
  <c r="AG29" i="52"/>
  <c r="AG276" i="52"/>
  <c r="AG251" i="52"/>
  <c r="AG246" i="52"/>
  <c r="AG240" i="52"/>
  <c r="AG281" i="52"/>
  <c r="AG219" i="52"/>
  <c r="AG213" i="52"/>
  <c r="AG248" i="52"/>
  <c r="AG239" i="52"/>
  <c r="AG279" i="52"/>
  <c r="AG243" i="52"/>
  <c r="AG285" i="52"/>
  <c r="AG273" i="52"/>
  <c r="AG215" i="52"/>
  <c r="AG284" i="52"/>
  <c r="AG272" i="52"/>
  <c r="AG252" i="52"/>
  <c r="AG244" i="52"/>
  <c r="AG206" i="52"/>
  <c r="AG186" i="52"/>
  <c r="AG177" i="52"/>
  <c r="AG216" i="52"/>
  <c r="AG218" i="52"/>
  <c r="AG210" i="52"/>
  <c r="AG178" i="52"/>
  <c r="AG176" i="52"/>
  <c r="AG187" i="52"/>
  <c r="AG183" i="52"/>
  <c r="AG174" i="52"/>
  <c r="AG153" i="52"/>
  <c r="AG149" i="52"/>
  <c r="AG146" i="52"/>
  <c r="AG144" i="52"/>
  <c r="AG119" i="52"/>
  <c r="AG140" i="52"/>
  <c r="AG109" i="52"/>
  <c r="AG118" i="52"/>
  <c r="AG115" i="52"/>
  <c r="AG211" i="52"/>
  <c r="AG145" i="52"/>
  <c r="AG207" i="52"/>
  <c r="AG108" i="52"/>
  <c r="AG175" i="52"/>
  <c r="AG152" i="52"/>
  <c r="AG107" i="52"/>
  <c r="AG141" i="52"/>
  <c r="AG106" i="52"/>
  <c r="AG78" i="52"/>
  <c r="AG50" i="52"/>
  <c r="AG110" i="52"/>
  <c r="AG75" i="52"/>
  <c r="AG42" i="52"/>
  <c r="AG54" i="52"/>
  <c r="AG74" i="52"/>
  <c r="AG87" i="52"/>
  <c r="AG86" i="52"/>
  <c r="AG53" i="52"/>
  <c r="AG48" i="52"/>
  <c r="AG83" i="52"/>
  <c r="AG45" i="52"/>
  <c r="AG41" i="52"/>
  <c r="AG274" i="52"/>
  <c r="AG275" i="52"/>
  <c r="AG182" i="52"/>
  <c r="AG280" i="52"/>
  <c r="AG247" i="52"/>
  <c r="AG282" i="52"/>
  <c r="AG277" i="52"/>
  <c r="AG208" i="52"/>
  <c r="AG212" i="52"/>
  <c r="AG278" i="52"/>
  <c r="AG241" i="52"/>
  <c r="AG250" i="52"/>
  <c r="AG214" i="52"/>
  <c r="AG209" i="52"/>
  <c r="AG185" i="52"/>
  <c r="AG147" i="52"/>
  <c r="AG179" i="52"/>
  <c r="AG142" i="52"/>
  <c r="AG113" i="52"/>
  <c r="AG249" i="52"/>
  <c r="AG150" i="52"/>
  <c r="AG77" i="52"/>
  <c r="AG180" i="52"/>
  <c r="AG117" i="52"/>
  <c r="AG116" i="52"/>
  <c r="AG80" i="52"/>
  <c r="AG245" i="52"/>
  <c r="AG181" i="52"/>
  <c r="AG184" i="52"/>
  <c r="AG111" i="52"/>
  <c r="AG112" i="52"/>
  <c r="AG81" i="52"/>
  <c r="AG76" i="52"/>
  <c r="AG84" i="52"/>
  <c r="AG47" i="52"/>
  <c r="AG51" i="52"/>
  <c r="AG242" i="52"/>
  <c r="AG43" i="52"/>
  <c r="AG151" i="52"/>
  <c r="AG49" i="52"/>
  <c r="AG46" i="52"/>
  <c r="AG79" i="52"/>
  <c r="AG85" i="52"/>
  <c r="AG148" i="52"/>
  <c r="AG82" i="52"/>
  <c r="AG143" i="52"/>
  <c r="AG44" i="52"/>
  <c r="AG52" i="52"/>
  <c r="AG217" i="52"/>
  <c r="AG114" i="52"/>
  <c r="AG283" i="52"/>
  <c r="AG18" i="52"/>
  <c r="AG19" i="52"/>
  <c r="AG9" i="52"/>
  <c r="AG20" i="52"/>
  <c r="AG10" i="52"/>
  <c r="AG15" i="52"/>
  <c r="AG21" i="52"/>
  <c r="AG12" i="52"/>
  <c r="AG11" i="52"/>
  <c r="AG22" i="52"/>
  <c r="AG13" i="52"/>
  <c r="AG25" i="52"/>
  <c r="AG14" i="52"/>
  <c r="AG16" i="52"/>
  <c r="AG17" i="52"/>
  <c r="AH8" i="52"/>
  <c r="AH91" i="52" l="1"/>
  <c r="AH224" i="52"/>
  <c r="AH123" i="52"/>
  <c r="AH257" i="52"/>
  <c r="AH191" i="52"/>
  <c r="AH61" i="52"/>
  <c r="AH157" i="52"/>
  <c r="AH93" i="52"/>
  <c r="AH92" i="52"/>
  <c r="AH226" i="52"/>
  <c r="AH193" i="52"/>
  <c r="AH59" i="52"/>
  <c r="AH259" i="52"/>
  <c r="AH125" i="52"/>
  <c r="AH158" i="52"/>
  <c r="AH124" i="52"/>
  <c r="AH194" i="52"/>
  <c r="AH256" i="52"/>
  <c r="AH258" i="52"/>
  <c r="AH159" i="52"/>
  <c r="AH290" i="52"/>
  <c r="AH223" i="52"/>
  <c r="AH225" i="52"/>
  <c r="AH94" i="52"/>
  <c r="AH160" i="52"/>
  <c r="AH291" i="52"/>
  <c r="AH60" i="52"/>
  <c r="AH192" i="52"/>
  <c r="AH289" i="52"/>
  <c r="AH126" i="52"/>
  <c r="AH58" i="52"/>
  <c r="AH292" i="52"/>
  <c r="AH27" i="52"/>
  <c r="AH26" i="52"/>
  <c r="AH28" i="52"/>
  <c r="AH29" i="52"/>
  <c r="AH251" i="52"/>
  <c r="AH240" i="52"/>
  <c r="AH281" i="52"/>
  <c r="AH277" i="52"/>
  <c r="AH219" i="52"/>
  <c r="AH248" i="52"/>
  <c r="AH241" i="52"/>
  <c r="AH239" i="52"/>
  <c r="AH243" i="52"/>
  <c r="AH218" i="52"/>
  <c r="AH285" i="52"/>
  <c r="AH273" i="52"/>
  <c r="AH245" i="52"/>
  <c r="AH276" i="52"/>
  <c r="AH272" i="52"/>
  <c r="AH186" i="52"/>
  <c r="AH177" i="52"/>
  <c r="AH208" i="52"/>
  <c r="AH153" i="52"/>
  <c r="AH284" i="52"/>
  <c r="AH210" i="52"/>
  <c r="AH178" i="52"/>
  <c r="AH252" i="52"/>
  <c r="AH183" i="52"/>
  <c r="AH175" i="52"/>
  <c r="AH152" i="52"/>
  <c r="AH244" i="52"/>
  <c r="AH211" i="52"/>
  <c r="AH207" i="52"/>
  <c r="AH184" i="52"/>
  <c r="AH174" i="52"/>
  <c r="AH206" i="52"/>
  <c r="AH140" i="52"/>
  <c r="AH118" i="52"/>
  <c r="AH115" i="52"/>
  <c r="AH145" i="52"/>
  <c r="AH181" i="52"/>
  <c r="AH107" i="52"/>
  <c r="AH215" i="52"/>
  <c r="AH110" i="52"/>
  <c r="AH87" i="52"/>
  <c r="AH149" i="52"/>
  <c r="AH146" i="52"/>
  <c r="AH144" i="52"/>
  <c r="AH119" i="52"/>
  <c r="AH106" i="52"/>
  <c r="AH50" i="52"/>
  <c r="AH75" i="52"/>
  <c r="AH54" i="52"/>
  <c r="AH53" i="52"/>
  <c r="AH141" i="52"/>
  <c r="AH74" i="52"/>
  <c r="AH45" i="52"/>
  <c r="AH42" i="52"/>
  <c r="AH83" i="52"/>
  <c r="AH86" i="52"/>
  <c r="AH176" i="52"/>
  <c r="AH78" i="52"/>
  <c r="AH46" i="52"/>
  <c r="AH41" i="52"/>
  <c r="AH187" i="52"/>
  <c r="AH142" i="52"/>
  <c r="AH79" i="52"/>
  <c r="AH280" i="52"/>
  <c r="AH246" i="52"/>
  <c r="AH216" i="52"/>
  <c r="AH209" i="52"/>
  <c r="AH212" i="52"/>
  <c r="AH282" i="52"/>
  <c r="AH279" i="52"/>
  <c r="AH278" i="52"/>
  <c r="AH247" i="52"/>
  <c r="AH274" i="52"/>
  <c r="AH275" i="52"/>
  <c r="AH213" i="52"/>
  <c r="AH179" i="52"/>
  <c r="AH242" i="52"/>
  <c r="AH249" i="52"/>
  <c r="AH214" i="52"/>
  <c r="AH182" i="52"/>
  <c r="AH113" i="52"/>
  <c r="AH147" i="52"/>
  <c r="AH250" i="52"/>
  <c r="AH180" i="52"/>
  <c r="AH151" i="52"/>
  <c r="AH108" i="52"/>
  <c r="AH111" i="52"/>
  <c r="AH185" i="52"/>
  <c r="AH116" i="52"/>
  <c r="AH51" i="52"/>
  <c r="AH81" i="52"/>
  <c r="AH43" i="52"/>
  <c r="AH80" i="52"/>
  <c r="AH84" i="52"/>
  <c r="AH49" i="52"/>
  <c r="AH117" i="52"/>
  <c r="AH76" i="52"/>
  <c r="AH85" i="52"/>
  <c r="AH47" i="52"/>
  <c r="AH150" i="52"/>
  <c r="AH109" i="52"/>
  <c r="AH112" i="52"/>
  <c r="AH77" i="52"/>
  <c r="AH48" i="52"/>
  <c r="AH143" i="52"/>
  <c r="AH148" i="52"/>
  <c r="AH82" i="52"/>
  <c r="AH44" i="52"/>
  <c r="AH52" i="52"/>
  <c r="AH283" i="52"/>
  <c r="AH114" i="52"/>
  <c r="AH217" i="52"/>
  <c r="AH19" i="52"/>
  <c r="AH9" i="52"/>
  <c r="AH25" i="52"/>
  <c r="AH20" i="52"/>
  <c r="AH10" i="52"/>
  <c r="AI8" i="52"/>
  <c r="AH21" i="52"/>
  <c r="AH12" i="52"/>
  <c r="AH11" i="52"/>
  <c r="AH16" i="52"/>
  <c r="AH22" i="52"/>
  <c r="AH13" i="52"/>
  <c r="AH14" i="52"/>
  <c r="AH17" i="52"/>
  <c r="AH15" i="52"/>
  <c r="AH18" i="52"/>
  <c r="AI226" i="52" l="1"/>
  <c r="AI157" i="52"/>
  <c r="AI292" i="52"/>
  <c r="AI193" i="52"/>
  <c r="AI191" i="52"/>
  <c r="AI60" i="52"/>
  <c r="AI61" i="52"/>
  <c r="AI223" i="52"/>
  <c r="AI291" i="52"/>
  <c r="AI92" i="52"/>
  <c r="AI94" i="52"/>
  <c r="AI289" i="52"/>
  <c r="AI225" i="52"/>
  <c r="AI124" i="52"/>
  <c r="AI194" i="52"/>
  <c r="AI257" i="52"/>
  <c r="AI192" i="52"/>
  <c r="AI159" i="52"/>
  <c r="AI256" i="52"/>
  <c r="AI123" i="52"/>
  <c r="AI126" i="52"/>
  <c r="AI59" i="52"/>
  <c r="AI224" i="52"/>
  <c r="AI58" i="52"/>
  <c r="AI91" i="52"/>
  <c r="AI290" i="52"/>
  <c r="AI93" i="52"/>
  <c r="AI125" i="52"/>
  <c r="AI158" i="52"/>
  <c r="AI258" i="52"/>
  <c r="AI259" i="52"/>
  <c r="AI160" i="52"/>
  <c r="AI26" i="52"/>
  <c r="AI27" i="52"/>
  <c r="AI28" i="52"/>
  <c r="AI29" i="52"/>
  <c r="AI281" i="52"/>
  <c r="AI277" i="52"/>
  <c r="AI219" i="52"/>
  <c r="AI248" i="52"/>
  <c r="AI241" i="52"/>
  <c r="AI239" i="52"/>
  <c r="AI249" i="52"/>
  <c r="AI243" i="52"/>
  <c r="AI218" i="52"/>
  <c r="AI285" i="52"/>
  <c r="AI273" i="52"/>
  <c r="AI245" i="52"/>
  <c r="AI215" i="52"/>
  <c r="AI284" i="52"/>
  <c r="AI272" i="52"/>
  <c r="AI252" i="52"/>
  <c r="AI244" i="52"/>
  <c r="AI212" i="52"/>
  <c r="AI251" i="52"/>
  <c r="AI240" i="52"/>
  <c r="AI208" i="52"/>
  <c r="AI153" i="52"/>
  <c r="AI210" i="52"/>
  <c r="AI178" i="52"/>
  <c r="AI183" i="52"/>
  <c r="AI175" i="52"/>
  <c r="AI276" i="52"/>
  <c r="AI211" i="52"/>
  <c r="AI207" i="52"/>
  <c r="AI187" i="52"/>
  <c r="AI181" i="52"/>
  <c r="AI186" i="52"/>
  <c r="AI182" i="52"/>
  <c r="AI206" i="52"/>
  <c r="AI118" i="52"/>
  <c r="AI115" i="52"/>
  <c r="AI184" i="52"/>
  <c r="AI145" i="52"/>
  <c r="AI116" i="52"/>
  <c r="AI150" i="52"/>
  <c r="AI107" i="52"/>
  <c r="AI152" i="52"/>
  <c r="AI110" i="52"/>
  <c r="AI87" i="52"/>
  <c r="AI141" i="52"/>
  <c r="AI106" i="52"/>
  <c r="AI174" i="52"/>
  <c r="AI140" i="52"/>
  <c r="AI75" i="52"/>
  <c r="AI144" i="52"/>
  <c r="AI76" i="52"/>
  <c r="AI54" i="52"/>
  <c r="AI84" i="52"/>
  <c r="AI119" i="52"/>
  <c r="AI74" i="52"/>
  <c r="AI45" i="52"/>
  <c r="AI42" i="52"/>
  <c r="AI86" i="52"/>
  <c r="AI53" i="52"/>
  <c r="AI46" i="52"/>
  <c r="AI149" i="52"/>
  <c r="AI80" i="52"/>
  <c r="AI78" i="52"/>
  <c r="AI83" i="52"/>
  <c r="AI79" i="52"/>
  <c r="AI50" i="52"/>
  <c r="AI41" i="52"/>
  <c r="AI213" i="52"/>
  <c r="AI247" i="52"/>
  <c r="AI216" i="52"/>
  <c r="AI280" i="52"/>
  <c r="AI246" i="52"/>
  <c r="AI278" i="52"/>
  <c r="AI282" i="52"/>
  <c r="AI274" i="52"/>
  <c r="AI275" i="52"/>
  <c r="AI250" i="52"/>
  <c r="AI209" i="52"/>
  <c r="AI279" i="52"/>
  <c r="AI214" i="52"/>
  <c r="AI176" i="52"/>
  <c r="AI180" i="52"/>
  <c r="AI185" i="52"/>
  <c r="AI77" i="52"/>
  <c r="AI112" i="52"/>
  <c r="AI177" i="52"/>
  <c r="AI146" i="52"/>
  <c r="AI117" i="52"/>
  <c r="AI179" i="52"/>
  <c r="AI147" i="52"/>
  <c r="AI142" i="52"/>
  <c r="AI108" i="52"/>
  <c r="AI43" i="52"/>
  <c r="AI85" i="52"/>
  <c r="AI48" i="52"/>
  <c r="AI49" i="52"/>
  <c r="AI109" i="52"/>
  <c r="AI111" i="52"/>
  <c r="AI113" i="52"/>
  <c r="AI81" i="52"/>
  <c r="AI51" i="52"/>
  <c r="AI151" i="52"/>
  <c r="AI47" i="52"/>
  <c r="AI52" i="52"/>
  <c r="AI44" i="52"/>
  <c r="AI283" i="52"/>
  <c r="AI242" i="52"/>
  <c r="AI114" i="52"/>
  <c r="AI217" i="52"/>
  <c r="AI143" i="52"/>
  <c r="AI148" i="52"/>
  <c r="AI82" i="52"/>
  <c r="AI20" i="52"/>
  <c r="AI11" i="52"/>
  <c r="AI10" i="52"/>
  <c r="AI12" i="52"/>
  <c r="AI21" i="52"/>
  <c r="AI17" i="52"/>
  <c r="AI22" i="52"/>
  <c r="AI13" i="52"/>
  <c r="AI14" i="52"/>
  <c r="AI15" i="52"/>
  <c r="AI25" i="52"/>
  <c r="AI16" i="52"/>
  <c r="AJ8" i="52"/>
  <c r="AI19" i="52"/>
  <c r="AI9" i="52"/>
  <c r="AI18" i="52"/>
  <c r="AJ92" i="52" l="1"/>
  <c r="AJ258" i="52"/>
  <c r="AJ91" i="52"/>
  <c r="AJ124" i="52"/>
  <c r="AJ291" i="52"/>
  <c r="AJ123" i="52"/>
  <c r="AJ292" i="52"/>
  <c r="AJ94" i="52"/>
  <c r="AJ61" i="52"/>
  <c r="AJ158" i="52"/>
  <c r="AJ157" i="52"/>
  <c r="AJ224" i="52"/>
  <c r="AJ223" i="52"/>
  <c r="AJ192" i="52"/>
  <c r="AJ125" i="52"/>
  <c r="AJ126" i="52"/>
  <c r="AJ194" i="52"/>
  <c r="AJ225" i="52"/>
  <c r="AJ58" i="52"/>
  <c r="AJ290" i="52"/>
  <c r="AJ159" i="52"/>
  <c r="AJ256" i="52"/>
  <c r="AJ226" i="52"/>
  <c r="AJ289" i="52"/>
  <c r="AJ60" i="52"/>
  <c r="AJ59" i="52"/>
  <c r="AJ160" i="52"/>
  <c r="AJ93" i="52"/>
  <c r="AJ191" i="52"/>
  <c r="AJ257" i="52"/>
  <c r="AJ259" i="52"/>
  <c r="AJ193" i="52"/>
  <c r="AJ27" i="52"/>
  <c r="AJ26" i="52"/>
  <c r="AJ29" i="52"/>
  <c r="AJ28" i="52"/>
  <c r="AJ248" i="52"/>
  <c r="AJ246" i="52"/>
  <c r="AJ239" i="52"/>
  <c r="AJ243" i="52"/>
  <c r="AJ218" i="52"/>
  <c r="AJ213" i="52"/>
  <c r="AJ285" i="52"/>
  <c r="AJ273" i="52"/>
  <c r="AJ250" i="52"/>
  <c r="AJ215" i="52"/>
  <c r="AJ284" i="52"/>
  <c r="AJ272" i="52"/>
  <c r="AJ252" i="52"/>
  <c r="AJ276" i="52"/>
  <c r="AJ281" i="52"/>
  <c r="AJ219" i="52"/>
  <c r="AJ214" i="52"/>
  <c r="AJ251" i="52"/>
  <c r="AJ212" i="52"/>
  <c r="AJ210" i="52"/>
  <c r="AJ178" i="52"/>
  <c r="AJ183" i="52"/>
  <c r="AJ175" i="52"/>
  <c r="AJ152" i="52"/>
  <c r="AJ185" i="52"/>
  <c r="AJ207" i="52"/>
  <c r="AJ174" i="52"/>
  <c r="AJ240" i="52"/>
  <c r="AJ206" i="52"/>
  <c r="AJ208" i="52"/>
  <c r="AJ107" i="52"/>
  <c r="AJ110" i="52"/>
  <c r="AJ87" i="52"/>
  <c r="AJ141" i="52"/>
  <c r="AJ106" i="52"/>
  <c r="AJ187" i="52"/>
  <c r="AJ151" i="52"/>
  <c r="AJ149" i="52"/>
  <c r="AJ144" i="52"/>
  <c r="AJ142" i="52"/>
  <c r="AJ119" i="52"/>
  <c r="AJ186" i="52"/>
  <c r="AJ182" i="52"/>
  <c r="AJ153" i="52"/>
  <c r="AJ118" i="52"/>
  <c r="AJ115" i="52"/>
  <c r="AJ140" i="52"/>
  <c r="AJ54" i="52"/>
  <c r="AJ74" i="52"/>
  <c r="AJ45" i="52"/>
  <c r="AJ42" i="52"/>
  <c r="AJ86" i="52"/>
  <c r="AJ53" i="52"/>
  <c r="AJ78" i="52"/>
  <c r="AJ41" i="52"/>
  <c r="AJ83" i="52"/>
  <c r="AJ85" i="52"/>
  <c r="AJ75" i="52"/>
  <c r="AJ50" i="52"/>
  <c r="AJ280" i="52"/>
  <c r="AJ278" i="52"/>
  <c r="AJ282" i="52"/>
  <c r="AJ216" i="52"/>
  <c r="AJ277" i="52"/>
  <c r="AJ211" i="52"/>
  <c r="AJ274" i="52"/>
  <c r="AJ275" i="52"/>
  <c r="AJ279" i="52"/>
  <c r="AJ241" i="52"/>
  <c r="AJ245" i="52"/>
  <c r="AJ179" i="52"/>
  <c r="AJ209" i="52"/>
  <c r="AJ177" i="52"/>
  <c r="AJ112" i="52"/>
  <c r="AJ249" i="52"/>
  <c r="AJ113" i="52"/>
  <c r="AJ247" i="52"/>
  <c r="AJ145" i="52"/>
  <c r="AJ146" i="52"/>
  <c r="AJ150" i="52"/>
  <c r="AJ80" i="52"/>
  <c r="AJ76" i="52"/>
  <c r="AJ79" i="52"/>
  <c r="AJ176" i="52"/>
  <c r="AJ108" i="52"/>
  <c r="AJ109" i="52"/>
  <c r="AJ111" i="52"/>
  <c r="AJ116" i="52"/>
  <c r="AJ244" i="52"/>
  <c r="AJ181" i="52"/>
  <c r="AJ184" i="52"/>
  <c r="AJ147" i="52"/>
  <c r="AJ117" i="52"/>
  <c r="AJ81" i="52"/>
  <c r="AJ51" i="52"/>
  <c r="AJ84" i="52"/>
  <c r="AJ43" i="52"/>
  <c r="AJ49" i="52"/>
  <c r="AJ180" i="52"/>
  <c r="AJ48" i="52"/>
  <c r="AJ46" i="52"/>
  <c r="AJ47" i="52"/>
  <c r="AJ242" i="52"/>
  <c r="AJ148" i="52"/>
  <c r="AJ77" i="52"/>
  <c r="AJ283" i="52"/>
  <c r="AJ114" i="52"/>
  <c r="AJ82" i="52"/>
  <c r="AJ217" i="52"/>
  <c r="AJ143" i="52"/>
  <c r="AJ52" i="52"/>
  <c r="AJ44" i="52"/>
  <c r="AJ10" i="52"/>
  <c r="AJ21" i="52"/>
  <c r="AJ12" i="52"/>
  <c r="AJ11" i="52"/>
  <c r="AJ18" i="52"/>
  <c r="AJ22" i="52"/>
  <c r="AJ13" i="52"/>
  <c r="AJ14" i="52"/>
  <c r="AJ15" i="52"/>
  <c r="AJ25" i="52"/>
  <c r="AJ16" i="52"/>
  <c r="AJ17" i="52"/>
  <c r="AK8" i="52"/>
  <c r="AJ20" i="52"/>
  <c r="AJ9" i="52"/>
  <c r="AJ19" i="52"/>
  <c r="AK158" i="52" l="1"/>
  <c r="AK292" i="52"/>
  <c r="AK258" i="52"/>
  <c r="AK192" i="52"/>
  <c r="AK126" i="52"/>
  <c r="AK123" i="52"/>
  <c r="AK291" i="52"/>
  <c r="AK224" i="52"/>
  <c r="AK290" i="52"/>
  <c r="AK257" i="52"/>
  <c r="AK125" i="52"/>
  <c r="AK60" i="52"/>
  <c r="AK93" i="52"/>
  <c r="AK61" i="52"/>
  <c r="AK92" i="52"/>
  <c r="AK159" i="52"/>
  <c r="AK94" i="52"/>
  <c r="AK157" i="52"/>
  <c r="AK223" i="52"/>
  <c r="AK226" i="52"/>
  <c r="AK225" i="52"/>
  <c r="AK289" i="52"/>
  <c r="AK59" i="52"/>
  <c r="AK191" i="52"/>
  <c r="AK124" i="52"/>
  <c r="AK194" i="52"/>
  <c r="AK160" i="52"/>
  <c r="AK259" i="52"/>
  <c r="AK58" i="52"/>
  <c r="AK193" i="52"/>
  <c r="AK256" i="52"/>
  <c r="AK91" i="52"/>
  <c r="AK27" i="52"/>
  <c r="AK26" i="52"/>
  <c r="AK29" i="52"/>
  <c r="AK28" i="52"/>
  <c r="AK243" i="52"/>
  <c r="AK218" i="52"/>
  <c r="AK213" i="52"/>
  <c r="AK285" i="52"/>
  <c r="AK273" i="52"/>
  <c r="AK215" i="52"/>
  <c r="AK284" i="52"/>
  <c r="AK272" i="52"/>
  <c r="AK252" i="52"/>
  <c r="AK276" i="52"/>
  <c r="AK244" i="52"/>
  <c r="AK251" i="52"/>
  <c r="AK240" i="52"/>
  <c r="AK248" i="52"/>
  <c r="AK246" i="52"/>
  <c r="AK239" i="52"/>
  <c r="AK211" i="52"/>
  <c r="AK281" i="52"/>
  <c r="AK183" i="52"/>
  <c r="AK175" i="52"/>
  <c r="AK152" i="52"/>
  <c r="AK219" i="52"/>
  <c r="AK207" i="52"/>
  <c r="AK187" i="52"/>
  <c r="AK176" i="52"/>
  <c r="AK206" i="52"/>
  <c r="AK186" i="52"/>
  <c r="AK180" i="52"/>
  <c r="AK210" i="52"/>
  <c r="AK178" i="52"/>
  <c r="AK177" i="52"/>
  <c r="AK145" i="52"/>
  <c r="AK109" i="52"/>
  <c r="AK107" i="52"/>
  <c r="AK110" i="52"/>
  <c r="AK87" i="52"/>
  <c r="AK141" i="52"/>
  <c r="AK108" i="52"/>
  <c r="AK106" i="52"/>
  <c r="AK149" i="52"/>
  <c r="AK144" i="52"/>
  <c r="AK119" i="52"/>
  <c r="AK112" i="52"/>
  <c r="AK140" i="52"/>
  <c r="AK115" i="52"/>
  <c r="AK74" i="52"/>
  <c r="AK45" i="52"/>
  <c r="AK42" i="52"/>
  <c r="AK48" i="52"/>
  <c r="AK75" i="52"/>
  <c r="AK174" i="52"/>
  <c r="AK86" i="52"/>
  <c r="AK53" i="52"/>
  <c r="AK153" i="52"/>
  <c r="AK78" i="52"/>
  <c r="AK41" i="52"/>
  <c r="AK83" i="52"/>
  <c r="AK50" i="52"/>
  <c r="AK118" i="52"/>
  <c r="AK54" i="52"/>
  <c r="AK279" i="52"/>
  <c r="AK241" i="52"/>
  <c r="AK280" i="52"/>
  <c r="AK274" i="52"/>
  <c r="AK275" i="52"/>
  <c r="AK216" i="52"/>
  <c r="AK247" i="52"/>
  <c r="AK282" i="52"/>
  <c r="AK245" i="52"/>
  <c r="AK214" i="52"/>
  <c r="AK179" i="52"/>
  <c r="AK242" i="52"/>
  <c r="AK249" i="52"/>
  <c r="AK182" i="52"/>
  <c r="AK181" i="52"/>
  <c r="AK184" i="52"/>
  <c r="AK111" i="52"/>
  <c r="AK278" i="52"/>
  <c r="AK212" i="52"/>
  <c r="AK142" i="52"/>
  <c r="AK146" i="52"/>
  <c r="AK113" i="52"/>
  <c r="AK208" i="52"/>
  <c r="AK277" i="52"/>
  <c r="AK151" i="52"/>
  <c r="AK185" i="52"/>
  <c r="AK147" i="52"/>
  <c r="AK47" i="52"/>
  <c r="AK51" i="52"/>
  <c r="AK49" i="52"/>
  <c r="AK43" i="52"/>
  <c r="AK76" i="52"/>
  <c r="AK84" i="52"/>
  <c r="AK85" i="52"/>
  <c r="AK46" i="52"/>
  <c r="AK250" i="52"/>
  <c r="AK77" i="52"/>
  <c r="AK209" i="52"/>
  <c r="AK150" i="52"/>
  <c r="AK117" i="52"/>
  <c r="AK79" i="52"/>
  <c r="AK116" i="52"/>
  <c r="AK80" i="52"/>
  <c r="AK81" i="52"/>
  <c r="AK217" i="52"/>
  <c r="AK143" i="52"/>
  <c r="AK52" i="52"/>
  <c r="AK114" i="52"/>
  <c r="AK82" i="52"/>
  <c r="AK283" i="52"/>
  <c r="AK148" i="52"/>
  <c r="AK44" i="52"/>
  <c r="AK21" i="52"/>
  <c r="AK12" i="52"/>
  <c r="AK11" i="52"/>
  <c r="AK22" i="52"/>
  <c r="AK13" i="52"/>
  <c r="AK14" i="52"/>
  <c r="AK15" i="52"/>
  <c r="AK25" i="52"/>
  <c r="AK16" i="52"/>
  <c r="AK17" i="52"/>
  <c r="AL8" i="52"/>
  <c r="AK18" i="52"/>
  <c r="AK10" i="52"/>
  <c r="AK19" i="52"/>
  <c r="AK9" i="52"/>
  <c r="AK20" i="52"/>
  <c r="AL224" i="52" l="1"/>
  <c r="AL194" i="52"/>
  <c r="AL92" i="52"/>
  <c r="AL93" i="52"/>
  <c r="AL226" i="52"/>
  <c r="AL159" i="52"/>
  <c r="AL292" i="52"/>
  <c r="AL160" i="52"/>
  <c r="AL290" i="52"/>
  <c r="AL223" i="52"/>
  <c r="AL193" i="52"/>
  <c r="AL59" i="52"/>
  <c r="AL225" i="52"/>
  <c r="AL94" i="52"/>
  <c r="AL291" i="52"/>
  <c r="AL125" i="52"/>
  <c r="AL257" i="52"/>
  <c r="AL256" i="52"/>
  <c r="AL91" i="52"/>
  <c r="AL60" i="52"/>
  <c r="AL192" i="52"/>
  <c r="AL61" i="52"/>
  <c r="AL58" i="52"/>
  <c r="AL258" i="52"/>
  <c r="AL259" i="52"/>
  <c r="AL157" i="52"/>
  <c r="AL158" i="52"/>
  <c r="AL289" i="52"/>
  <c r="AL126" i="52"/>
  <c r="AL124" i="52"/>
  <c r="AL123" i="52"/>
  <c r="AL191" i="52"/>
  <c r="AL27" i="52"/>
  <c r="AL26" i="52"/>
  <c r="AL28" i="52"/>
  <c r="AL29" i="52"/>
  <c r="AL285" i="52"/>
  <c r="AL273" i="52"/>
  <c r="AL241" i="52"/>
  <c r="AL215" i="52"/>
  <c r="AL284" i="52"/>
  <c r="AL272" i="52"/>
  <c r="AL252" i="52"/>
  <c r="AL276" i="52"/>
  <c r="AL244" i="52"/>
  <c r="AL251" i="52"/>
  <c r="AL240" i="52"/>
  <c r="AL281" i="52"/>
  <c r="AL219" i="52"/>
  <c r="AL277" i="52"/>
  <c r="AL243" i="52"/>
  <c r="AL218" i="52"/>
  <c r="AL248" i="52"/>
  <c r="AL207" i="52"/>
  <c r="AL174" i="52"/>
  <c r="AL149" i="52"/>
  <c r="AL187" i="52"/>
  <c r="AL176" i="52"/>
  <c r="AL239" i="52"/>
  <c r="AL211" i="52"/>
  <c r="AL206" i="52"/>
  <c r="AL184" i="52"/>
  <c r="AL209" i="52"/>
  <c r="AL183" i="52"/>
  <c r="AL175" i="52"/>
  <c r="AL177" i="52"/>
  <c r="AL107" i="52"/>
  <c r="AL110" i="52"/>
  <c r="AL87" i="52"/>
  <c r="AL181" i="52"/>
  <c r="AL141" i="52"/>
  <c r="AL106" i="52"/>
  <c r="AL152" i="52"/>
  <c r="AL144" i="52"/>
  <c r="AL119" i="52"/>
  <c r="AL142" i="52"/>
  <c r="AL140" i="52"/>
  <c r="AL153" i="52"/>
  <c r="AL118" i="52"/>
  <c r="AL115" i="52"/>
  <c r="AL210" i="52"/>
  <c r="AL180" i="52"/>
  <c r="AL178" i="52"/>
  <c r="AL145" i="52"/>
  <c r="AL186" i="52"/>
  <c r="AL86" i="52"/>
  <c r="AL53" i="52"/>
  <c r="AL50" i="52"/>
  <c r="AL78" i="52"/>
  <c r="AL41" i="52"/>
  <c r="AL146" i="52"/>
  <c r="AL83" i="52"/>
  <c r="AL46" i="52"/>
  <c r="AL79" i="52"/>
  <c r="AL75" i="52"/>
  <c r="AL74" i="52"/>
  <c r="AL45" i="52"/>
  <c r="AL42" i="52"/>
  <c r="AL54" i="52"/>
  <c r="AL249" i="52"/>
  <c r="AL216" i="52"/>
  <c r="AL278" i="52"/>
  <c r="AL212" i="52"/>
  <c r="AL280" i="52"/>
  <c r="AL282" i="52"/>
  <c r="AL279" i="52"/>
  <c r="AL247" i="52"/>
  <c r="AL245" i="52"/>
  <c r="AL250" i="52"/>
  <c r="AL246" i="52"/>
  <c r="AL113" i="52"/>
  <c r="AL112" i="52"/>
  <c r="AL274" i="52"/>
  <c r="AL275" i="52"/>
  <c r="AL214" i="52"/>
  <c r="AL213" i="52"/>
  <c r="AL147" i="52"/>
  <c r="AL117" i="52"/>
  <c r="AL80" i="52"/>
  <c r="AL179" i="52"/>
  <c r="AL143" i="52"/>
  <c r="AL208" i="52"/>
  <c r="AL150" i="52"/>
  <c r="AL109" i="52"/>
  <c r="AL116" i="52"/>
  <c r="AL151" i="52"/>
  <c r="AL81" i="52"/>
  <c r="AL43" i="52"/>
  <c r="AL47" i="52"/>
  <c r="AL111" i="52"/>
  <c r="AL85" i="52"/>
  <c r="AL49" i="52"/>
  <c r="AL48" i="52"/>
  <c r="AL84" i="52"/>
  <c r="AL185" i="52"/>
  <c r="AL76" i="52"/>
  <c r="AL108" i="52"/>
  <c r="AL182" i="52"/>
  <c r="AL51" i="52"/>
  <c r="AL52" i="52"/>
  <c r="AL217" i="52"/>
  <c r="AL283" i="52"/>
  <c r="AL114" i="52"/>
  <c r="AL44" i="52"/>
  <c r="AL77" i="52"/>
  <c r="AL148" i="52"/>
  <c r="AL82" i="52"/>
  <c r="AL242" i="52"/>
  <c r="AL22" i="52"/>
  <c r="AL13" i="52"/>
  <c r="AL14" i="52"/>
  <c r="AL15" i="52"/>
  <c r="AM8" i="52"/>
  <c r="AL9" i="52"/>
  <c r="AL25" i="52"/>
  <c r="AL16" i="52"/>
  <c r="AL17" i="52"/>
  <c r="AL20" i="52"/>
  <c r="AL18" i="52"/>
  <c r="AL19" i="52"/>
  <c r="AL21" i="52"/>
  <c r="AL12" i="52"/>
  <c r="AL11" i="52"/>
  <c r="AL10" i="52"/>
  <c r="AM193" i="52" l="1"/>
  <c r="AM192" i="52"/>
  <c r="AM225" i="52"/>
  <c r="AM224" i="52"/>
  <c r="AM258" i="52"/>
  <c r="AM257" i="52"/>
  <c r="AM91" i="52"/>
  <c r="AM94" i="52"/>
  <c r="AM291" i="52"/>
  <c r="AM226" i="52"/>
  <c r="AM61" i="52"/>
  <c r="AM59" i="52"/>
  <c r="AM256" i="52"/>
  <c r="AM123" i="52"/>
  <c r="AM158" i="52"/>
  <c r="AM191" i="52"/>
  <c r="AM125" i="52"/>
  <c r="AM160" i="52"/>
  <c r="AM259" i="52"/>
  <c r="AM92" i="52"/>
  <c r="AM292" i="52"/>
  <c r="AM93" i="52"/>
  <c r="AM289" i="52"/>
  <c r="AM157" i="52"/>
  <c r="AM60" i="52"/>
  <c r="AM194" i="52"/>
  <c r="AM223" i="52"/>
  <c r="AM58" i="52"/>
  <c r="AM126" i="52"/>
  <c r="AM159" i="52"/>
  <c r="AM290" i="52"/>
  <c r="AM124" i="52"/>
  <c r="AM27" i="52"/>
  <c r="AM26" i="52"/>
  <c r="AM28" i="52"/>
  <c r="AM29" i="52"/>
  <c r="AM284" i="52"/>
  <c r="AM272" i="52"/>
  <c r="AM252" i="52"/>
  <c r="AM249" i="52"/>
  <c r="AM276" i="52"/>
  <c r="AM245" i="52"/>
  <c r="AM244" i="52"/>
  <c r="AM279" i="52"/>
  <c r="AM251" i="52"/>
  <c r="AM240" i="52"/>
  <c r="AM281" i="52"/>
  <c r="AM248" i="52"/>
  <c r="AM239" i="52"/>
  <c r="AM216" i="52"/>
  <c r="AM285" i="52"/>
  <c r="AM273" i="52"/>
  <c r="AM241" i="52"/>
  <c r="AM215" i="52"/>
  <c r="AM213" i="52"/>
  <c r="AM277" i="52"/>
  <c r="AM219" i="52"/>
  <c r="AM207" i="52"/>
  <c r="AM174" i="52"/>
  <c r="AM187" i="52"/>
  <c r="AM243" i="52"/>
  <c r="AM218" i="52"/>
  <c r="AM211" i="52"/>
  <c r="AM206" i="52"/>
  <c r="AM184" i="52"/>
  <c r="AM186" i="52"/>
  <c r="AM181" i="52"/>
  <c r="AM210" i="52"/>
  <c r="AM182" i="52"/>
  <c r="AM178" i="52"/>
  <c r="AM212" i="52"/>
  <c r="AM116" i="52"/>
  <c r="AM110" i="52"/>
  <c r="AM87" i="52"/>
  <c r="AM150" i="52"/>
  <c r="AM141" i="52"/>
  <c r="AM106" i="52"/>
  <c r="AM152" i="52"/>
  <c r="AM144" i="52"/>
  <c r="AM119" i="52"/>
  <c r="AM86" i="52"/>
  <c r="AM149" i="52"/>
  <c r="AM142" i="52"/>
  <c r="AM140" i="52"/>
  <c r="AM175" i="52"/>
  <c r="AM153" i="52"/>
  <c r="AM118" i="52"/>
  <c r="AM115" i="52"/>
  <c r="AM146" i="52"/>
  <c r="AM208" i="52"/>
  <c r="AM183" i="52"/>
  <c r="AM107" i="52"/>
  <c r="AM78" i="52"/>
  <c r="AM76" i="52"/>
  <c r="AM41" i="52"/>
  <c r="AM83" i="52"/>
  <c r="AM81" i="52"/>
  <c r="AM246" i="52"/>
  <c r="AM46" i="52"/>
  <c r="AM50" i="52"/>
  <c r="AM48" i="52"/>
  <c r="AM75" i="52"/>
  <c r="AM74" i="52"/>
  <c r="AM79" i="52"/>
  <c r="AM145" i="52"/>
  <c r="AM84" i="52"/>
  <c r="AM54" i="52"/>
  <c r="AM53" i="52"/>
  <c r="AM43" i="52"/>
  <c r="AM45" i="52"/>
  <c r="AM42" i="52"/>
  <c r="AM108" i="52"/>
  <c r="AM247" i="52"/>
  <c r="AM113" i="52"/>
  <c r="AM179" i="52"/>
  <c r="AM282" i="52"/>
  <c r="AM280" i="52"/>
  <c r="AM209" i="52"/>
  <c r="AM177" i="52"/>
  <c r="AM180" i="52"/>
  <c r="AM250" i="52"/>
  <c r="AM109" i="52"/>
  <c r="AM278" i="52"/>
  <c r="AM176" i="52"/>
  <c r="AM214" i="52"/>
  <c r="AM147" i="52"/>
  <c r="AM117" i="52"/>
  <c r="AM274" i="52"/>
  <c r="AM151" i="52"/>
  <c r="AM275" i="52"/>
  <c r="AM111" i="52"/>
  <c r="AM112" i="52"/>
  <c r="AM185" i="52"/>
  <c r="AM85" i="52"/>
  <c r="AM49" i="52"/>
  <c r="AM80" i="52"/>
  <c r="AM51" i="52"/>
  <c r="AM47" i="52"/>
  <c r="AM143" i="52"/>
  <c r="AM52" i="52"/>
  <c r="AM82" i="52"/>
  <c r="AM283" i="52"/>
  <c r="AM242" i="52"/>
  <c r="AM114" i="52"/>
  <c r="AM217" i="52"/>
  <c r="AM44" i="52"/>
  <c r="AM148" i="52"/>
  <c r="AM77" i="52"/>
  <c r="AM22" i="52"/>
  <c r="AM13" i="52"/>
  <c r="AM14" i="52"/>
  <c r="AM15" i="52"/>
  <c r="AM25" i="52"/>
  <c r="AM16" i="52"/>
  <c r="AN8" i="52"/>
  <c r="AM20" i="52"/>
  <c r="AM10" i="52"/>
  <c r="AM17" i="52"/>
  <c r="AM18" i="52"/>
  <c r="AM19" i="52"/>
  <c r="AM9" i="52"/>
  <c r="AM11" i="52"/>
  <c r="AM12" i="52"/>
  <c r="AM21" i="52"/>
  <c r="AN258" i="52" l="1"/>
  <c r="AN291" i="52"/>
  <c r="AN157" i="52"/>
  <c r="AN93" i="52"/>
  <c r="AN223" i="52"/>
  <c r="AN224" i="52"/>
  <c r="AN91" i="52"/>
  <c r="AN126" i="52"/>
  <c r="AN160" i="52"/>
  <c r="AN94" i="52"/>
  <c r="AN158" i="52"/>
  <c r="AN192" i="52"/>
  <c r="AN259" i="52"/>
  <c r="AN193" i="52"/>
  <c r="AN125" i="52"/>
  <c r="AN59" i="52"/>
  <c r="AN92" i="52"/>
  <c r="AN61" i="52"/>
  <c r="AN226" i="52"/>
  <c r="AN159" i="52"/>
  <c r="AN58" i="52"/>
  <c r="AN194" i="52"/>
  <c r="AN292" i="52"/>
  <c r="AN225" i="52"/>
  <c r="AN123" i="52"/>
  <c r="AN124" i="52"/>
  <c r="AN257" i="52"/>
  <c r="AN191" i="52"/>
  <c r="AN290" i="52"/>
  <c r="AN256" i="52"/>
  <c r="AN60" i="52"/>
  <c r="AN289" i="52"/>
  <c r="AN27" i="52"/>
  <c r="AN26" i="52"/>
  <c r="AN28" i="52"/>
  <c r="AN29" i="52"/>
  <c r="AN284" i="52"/>
  <c r="AN272" i="52"/>
  <c r="AN252" i="52"/>
  <c r="AN276" i="52"/>
  <c r="AN245" i="52"/>
  <c r="AN251" i="52"/>
  <c r="AN240" i="52"/>
  <c r="AN281" i="52"/>
  <c r="AN219" i="52"/>
  <c r="AN248" i="52"/>
  <c r="AN243" i="52"/>
  <c r="AN218" i="52"/>
  <c r="AN187" i="52"/>
  <c r="AN206" i="52"/>
  <c r="AN273" i="52"/>
  <c r="AN239" i="52"/>
  <c r="AN186" i="52"/>
  <c r="AN153" i="52"/>
  <c r="AN285" i="52"/>
  <c r="AN210" i="52"/>
  <c r="AN215" i="52"/>
  <c r="AN208" i="52"/>
  <c r="AN183" i="52"/>
  <c r="AN175" i="52"/>
  <c r="AN207" i="52"/>
  <c r="AN174" i="52"/>
  <c r="AN141" i="52"/>
  <c r="AN106" i="52"/>
  <c r="AN152" i="52"/>
  <c r="AN147" i="52"/>
  <c r="AN144" i="52"/>
  <c r="AN119" i="52"/>
  <c r="AN149" i="52"/>
  <c r="AN140" i="52"/>
  <c r="AN118" i="52"/>
  <c r="AN115" i="52"/>
  <c r="AN110" i="52"/>
  <c r="AN87" i="52"/>
  <c r="AN83" i="52"/>
  <c r="AN81" i="52"/>
  <c r="AN178" i="52"/>
  <c r="AN53" i="52"/>
  <c r="AN107" i="52"/>
  <c r="AN50" i="52"/>
  <c r="AN80" i="52"/>
  <c r="AN75" i="52"/>
  <c r="AN54" i="52"/>
  <c r="AN74" i="52"/>
  <c r="AN45" i="52"/>
  <c r="AN42" i="52"/>
  <c r="AN86" i="52"/>
  <c r="AN78" i="52"/>
  <c r="AN41" i="52"/>
  <c r="AN51" i="52"/>
  <c r="AN279" i="52"/>
  <c r="AN216" i="52"/>
  <c r="AN278" i="52"/>
  <c r="AN213" i="52"/>
  <c r="AN277" i="52"/>
  <c r="AN211" i="52"/>
  <c r="AN244" i="52"/>
  <c r="AN242" i="52"/>
  <c r="AN274" i="52"/>
  <c r="AN275" i="52"/>
  <c r="AN246" i="52"/>
  <c r="AN176" i="52"/>
  <c r="AN247" i="52"/>
  <c r="AN145" i="52"/>
  <c r="AN280" i="52"/>
  <c r="AN282" i="52"/>
  <c r="AN250" i="52"/>
  <c r="AN249" i="52"/>
  <c r="AN214" i="52"/>
  <c r="AN185" i="52"/>
  <c r="AN181" i="52"/>
  <c r="AN184" i="52"/>
  <c r="AN146" i="52"/>
  <c r="AN177" i="52"/>
  <c r="AN182" i="52"/>
  <c r="AN241" i="52"/>
  <c r="AN180" i="52"/>
  <c r="AN117" i="52"/>
  <c r="AN209" i="52"/>
  <c r="AN179" i="52"/>
  <c r="AN112" i="52"/>
  <c r="AN212" i="52"/>
  <c r="AN46" i="52"/>
  <c r="AN79" i="52"/>
  <c r="AN76" i="52"/>
  <c r="AN150" i="52"/>
  <c r="AN108" i="52"/>
  <c r="AN113" i="52"/>
  <c r="AN84" i="52"/>
  <c r="AN43" i="52"/>
  <c r="AN116" i="52"/>
  <c r="AN44" i="52"/>
  <c r="AN48" i="52"/>
  <c r="AN111" i="52"/>
  <c r="AN77" i="52"/>
  <c r="AN85" i="52"/>
  <c r="AN47" i="52"/>
  <c r="AN151" i="52"/>
  <c r="AN49" i="52"/>
  <c r="AN142" i="52"/>
  <c r="AN109" i="52"/>
  <c r="AN114" i="52"/>
  <c r="AN283" i="52"/>
  <c r="AN143" i="52"/>
  <c r="AN217" i="52"/>
  <c r="AN148" i="52"/>
  <c r="AN52" i="52"/>
  <c r="AN82" i="52"/>
  <c r="AN14" i="52"/>
  <c r="AN15" i="52"/>
  <c r="AN11" i="52"/>
  <c r="AN25" i="52"/>
  <c r="AN16" i="52"/>
  <c r="AN17" i="52"/>
  <c r="AO8" i="52"/>
  <c r="AN21" i="52"/>
  <c r="AN12" i="52"/>
  <c r="AN18" i="52"/>
  <c r="AN19" i="52"/>
  <c r="AN9" i="52"/>
  <c r="AN20" i="52"/>
  <c r="AN10" i="52"/>
  <c r="AN22" i="52"/>
  <c r="AN13" i="52"/>
  <c r="AO126" i="52" l="1"/>
  <c r="AO289" i="52"/>
  <c r="AO160" i="52"/>
  <c r="AO157" i="52"/>
  <c r="AO60" i="52"/>
  <c r="AO194" i="52"/>
  <c r="AO259" i="52"/>
  <c r="AO193" i="52"/>
  <c r="AO123" i="52"/>
  <c r="AO92" i="52"/>
  <c r="AO257" i="52"/>
  <c r="AO225" i="52"/>
  <c r="AO124" i="52"/>
  <c r="AO61" i="52"/>
  <c r="AO292" i="52"/>
  <c r="AO291" i="52"/>
  <c r="AO256" i="52"/>
  <c r="AO226" i="52"/>
  <c r="AO191" i="52"/>
  <c r="AO224" i="52"/>
  <c r="AO290" i="52"/>
  <c r="AO192" i="52"/>
  <c r="AO58" i="52"/>
  <c r="AO223" i="52"/>
  <c r="AO59" i="52"/>
  <c r="AO94" i="52"/>
  <c r="AO159" i="52"/>
  <c r="AO258" i="52"/>
  <c r="AO125" i="52"/>
  <c r="AO93" i="52"/>
  <c r="AO158" i="52"/>
  <c r="AO91" i="52"/>
  <c r="AO26" i="52"/>
  <c r="AO27" i="52"/>
  <c r="AO29" i="52"/>
  <c r="AO28" i="52"/>
  <c r="AO276" i="52"/>
  <c r="AO251" i="52"/>
  <c r="AO244" i="52"/>
  <c r="AO240" i="52"/>
  <c r="AO281" i="52"/>
  <c r="AO219" i="52"/>
  <c r="AO248" i="52"/>
  <c r="AO239" i="52"/>
  <c r="AO243" i="52"/>
  <c r="AO285" i="52"/>
  <c r="AO273" i="52"/>
  <c r="AO246" i="52"/>
  <c r="AO215" i="52"/>
  <c r="AO284" i="52"/>
  <c r="AO272" i="52"/>
  <c r="AO252" i="52"/>
  <c r="AO213" i="52"/>
  <c r="AO206" i="52"/>
  <c r="AO218" i="52"/>
  <c r="AO211" i="52"/>
  <c r="AO186" i="52"/>
  <c r="AO176" i="52"/>
  <c r="AO210" i="52"/>
  <c r="AO178" i="52"/>
  <c r="AO177" i="52"/>
  <c r="AO187" i="52"/>
  <c r="AO152" i="52"/>
  <c r="AO144" i="52"/>
  <c r="AO119" i="52"/>
  <c r="AO86" i="52"/>
  <c r="AO149" i="52"/>
  <c r="AO140" i="52"/>
  <c r="AO118" i="52"/>
  <c r="AO115" i="52"/>
  <c r="AO108" i="52"/>
  <c r="AO207" i="52"/>
  <c r="AO175" i="52"/>
  <c r="AO153" i="52"/>
  <c r="AO174" i="52"/>
  <c r="AO145" i="52"/>
  <c r="AO107" i="52"/>
  <c r="AO214" i="52"/>
  <c r="AO141" i="52"/>
  <c r="AO109" i="52"/>
  <c r="AO106" i="52"/>
  <c r="AO110" i="52"/>
  <c r="AO50" i="52"/>
  <c r="AO42" i="52"/>
  <c r="AO75" i="52"/>
  <c r="AO74" i="52"/>
  <c r="AO45" i="52"/>
  <c r="AO78" i="52"/>
  <c r="AO183" i="52"/>
  <c r="AO54" i="52"/>
  <c r="AO87" i="52"/>
  <c r="AO53" i="52"/>
  <c r="AO83" i="52"/>
  <c r="AO41" i="52"/>
  <c r="AO241" i="52"/>
  <c r="AO249" i="52"/>
  <c r="AO79" i="52"/>
  <c r="AO274" i="52"/>
  <c r="AO275" i="52"/>
  <c r="AO46" i="52"/>
  <c r="AO282" i="52"/>
  <c r="AO208" i="52"/>
  <c r="AO212" i="52"/>
  <c r="AO181" i="52"/>
  <c r="AO279" i="52"/>
  <c r="AO245" i="52"/>
  <c r="AO180" i="52"/>
  <c r="AO278" i="52"/>
  <c r="AO250" i="52"/>
  <c r="AO209" i="52"/>
  <c r="AO277" i="52"/>
  <c r="AO280" i="52"/>
  <c r="AO247" i="52"/>
  <c r="AO216" i="52"/>
  <c r="AO182" i="52"/>
  <c r="AO142" i="52"/>
  <c r="AO113" i="52"/>
  <c r="AO76" i="52"/>
  <c r="AO111" i="52"/>
  <c r="AO179" i="52"/>
  <c r="AO184" i="52"/>
  <c r="AO146" i="52"/>
  <c r="AO117" i="52"/>
  <c r="AO80" i="52"/>
  <c r="AO150" i="52"/>
  <c r="AO116" i="52"/>
  <c r="AO43" i="52"/>
  <c r="AO81" i="52"/>
  <c r="AO151" i="52"/>
  <c r="AO85" i="52"/>
  <c r="AO112" i="52"/>
  <c r="AO49" i="52"/>
  <c r="AO84" i="52"/>
  <c r="AO48" i="52"/>
  <c r="AO147" i="52"/>
  <c r="AO185" i="52"/>
  <c r="AO47" i="52"/>
  <c r="AO51" i="52"/>
  <c r="AO242" i="52"/>
  <c r="AO77" i="52"/>
  <c r="AO52" i="52"/>
  <c r="AO283" i="52"/>
  <c r="AO114" i="52"/>
  <c r="AO143" i="52"/>
  <c r="AO217" i="52"/>
  <c r="AO148" i="52"/>
  <c r="AO82" i="52"/>
  <c r="AO44" i="52"/>
  <c r="AO15" i="52"/>
  <c r="AO25" i="52"/>
  <c r="AO16" i="52"/>
  <c r="AO17" i="52"/>
  <c r="AP8" i="52"/>
  <c r="AQ8" i="52" s="1"/>
  <c r="AO9" i="52"/>
  <c r="AO11" i="52"/>
  <c r="AO18" i="52"/>
  <c r="AO19" i="52"/>
  <c r="AO20" i="52"/>
  <c r="AO21" i="52"/>
  <c r="AO10" i="52"/>
  <c r="AO12" i="52"/>
  <c r="AO14" i="52"/>
  <c r="AO13" i="52"/>
  <c r="AO22" i="52"/>
  <c r="AQ258" i="52" l="1"/>
  <c r="AQ283" i="52"/>
  <c r="AQ242" i="52"/>
  <c r="AQ278" i="52"/>
  <c r="AQ217" i="52"/>
  <c r="AQ206" i="52"/>
  <c r="AQ174" i="52"/>
  <c r="AQ212" i="52"/>
  <c r="AQ241" i="52"/>
  <c r="AQ249" i="52"/>
  <c r="AQ140" i="52"/>
  <c r="AQ143" i="52"/>
  <c r="AQ112" i="52"/>
  <c r="AQ109" i="52"/>
  <c r="AQ82" i="52"/>
  <c r="AQ85" i="52"/>
  <c r="AQ87" i="52"/>
  <c r="AQ81" i="52"/>
  <c r="AQ45" i="52"/>
  <c r="AQ20" i="52"/>
  <c r="AQ179" i="52"/>
  <c r="AQ214" i="52"/>
  <c r="AQ182" i="52"/>
  <c r="AQ219" i="52"/>
  <c r="AQ275" i="52"/>
  <c r="AQ244" i="52"/>
  <c r="AQ152" i="52"/>
  <c r="AQ108" i="52"/>
  <c r="AQ118" i="52"/>
  <c r="AQ113" i="52"/>
  <c r="AQ74" i="52"/>
  <c r="AQ51" i="52"/>
  <c r="AQ9" i="52"/>
  <c r="AQ12" i="52"/>
  <c r="AQ21" i="52"/>
  <c r="AQ280" i="52"/>
  <c r="AQ277" i="52"/>
  <c r="AQ187" i="52"/>
  <c r="AQ247" i="52"/>
  <c r="AQ175" i="52"/>
  <c r="AQ252" i="52"/>
  <c r="AQ149" i="52"/>
  <c r="AQ116" i="52"/>
  <c r="AQ144" i="52"/>
  <c r="AQ50" i="52"/>
  <c r="AQ77" i="52"/>
  <c r="AQ79" i="52"/>
  <c r="AQ43" i="52"/>
  <c r="AQ47" i="52"/>
  <c r="AQ75" i="52"/>
  <c r="AQ272" i="52"/>
  <c r="AQ207" i="52"/>
  <c r="AQ243" i="52"/>
  <c r="AQ210" i="52"/>
  <c r="AQ211" i="52"/>
  <c r="AQ273" i="52"/>
  <c r="AQ110" i="52"/>
  <c r="AQ83" i="52"/>
  <c r="AQ80" i="52"/>
  <c r="AQ15" i="52"/>
  <c r="AQ22" i="52"/>
  <c r="AQ18" i="52"/>
  <c r="AQ209" i="52"/>
  <c r="AQ145" i="52"/>
  <c r="AQ251" i="52"/>
  <c r="AQ281" i="52"/>
  <c r="AR8" i="52"/>
  <c r="AQ215" i="52"/>
  <c r="AQ177" i="52"/>
  <c r="AQ218" i="52"/>
  <c r="AQ276" i="52"/>
  <c r="AQ240" i="52"/>
  <c r="AQ184" i="52"/>
  <c r="AQ284" i="52"/>
  <c r="AQ107" i="52"/>
  <c r="AQ150" i="52"/>
  <c r="AQ115" i="52"/>
  <c r="AQ146" i="52"/>
  <c r="AQ114" i="52"/>
  <c r="AQ42" i="52"/>
  <c r="AQ52" i="52"/>
  <c r="AQ54" i="52"/>
  <c r="AQ25" i="52"/>
  <c r="AQ16" i="52"/>
  <c r="AQ183" i="52"/>
  <c r="AQ216" i="52"/>
  <c r="AQ17" i="52"/>
  <c r="AQ181" i="52"/>
  <c r="AQ185" i="52"/>
  <c r="AQ239" i="52"/>
  <c r="AQ245" i="52"/>
  <c r="AQ285" i="52"/>
  <c r="AQ142" i="52"/>
  <c r="AQ119" i="52"/>
  <c r="AQ84" i="52"/>
  <c r="AQ86" i="52"/>
  <c r="AQ49" i="52"/>
  <c r="AQ46" i="52"/>
  <c r="AQ14" i="52"/>
  <c r="AQ13" i="52"/>
  <c r="AQ141" i="52"/>
  <c r="AQ186" i="52"/>
  <c r="AQ246" i="52"/>
  <c r="AQ282" i="52"/>
  <c r="AQ117" i="52"/>
  <c r="AQ53" i="52"/>
  <c r="AQ48" i="52"/>
  <c r="AQ248" i="52"/>
  <c r="AQ178" i="52"/>
  <c r="AQ213" i="52"/>
  <c r="AQ176" i="52"/>
  <c r="AQ208" i="52"/>
  <c r="AQ274" i="52"/>
  <c r="AQ180" i="52"/>
  <c r="AQ250" i="52"/>
  <c r="AQ151" i="52"/>
  <c r="AQ153" i="52"/>
  <c r="AQ147" i="52"/>
  <c r="AQ106" i="52"/>
  <c r="AQ111" i="52"/>
  <c r="AQ76" i="52"/>
  <c r="AQ78" i="52"/>
  <c r="AQ41" i="52"/>
  <c r="AQ44" i="52"/>
  <c r="AQ10" i="52"/>
  <c r="AQ11" i="52"/>
  <c r="AQ19" i="52"/>
  <c r="AQ279" i="52"/>
  <c r="AQ148" i="52"/>
  <c r="AQ126" i="52"/>
  <c r="AQ257" i="52"/>
  <c r="AQ123" i="52"/>
  <c r="AQ91" i="52"/>
  <c r="AQ93" i="52"/>
  <c r="AQ289" i="52"/>
  <c r="AQ224" i="52"/>
  <c r="AQ291" i="52"/>
  <c r="AQ92" i="52"/>
  <c r="AQ157" i="52"/>
  <c r="AQ59" i="52"/>
  <c r="AQ61" i="52"/>
  <c r="AQ60" i="52"/>
  <c r="AQ191" i="52"/>
  <c r="AQ290" i="52"/>
  <c r="AQ193" i="52"/>
  <c r="AQ194" i="52"/>
  <c r="AQ125" i="52"/>
  <c r="AQ58" i="52"/>
  <c r="AQ259" i="52"/>
  <c r="AQ158" i="52"/>
  <c r="AQ292" i="52"/>
  <c r="AQ94" i="52"/>
  <c r="AQ160" i="52"/>
  <c r="AQ124" i="52"/>
  <c r="AQ192" i="52"/>
  <c r="AQ223" i="52"/>
  <c r="AQ159" i="52"/>
  <c r="AQ226" i="52"/>
  <c r="AQ256" i="52"/>
  <c r="AQ225" i="52"/>
  <c r="AQ27" i="52"/>
  <c r="AQ26" i="52"/>
  <c r="AQ29" i="52"/>
  <c r="AQ28" i="52"/>
  <c r="AP292" i="52"/>
  <c r="AP91" i="52"/>
  <c r="AP291" i="52"/>
  <c r="AP123" i="52"/>
  <c r="AP58" i="52"/>
  <c r="AP157" i="52"/>
  <c r="AP223" i="52"/>
  <c r="AP191" i="52"/>
  <c r="AP159" i="52"/>
  <c r="AP192" i="52"/>
  <c r="AP257" i="52"/>
  <c r="AP224" i="52"/>
  <c r="AP258" i="52"/>
  <c r="AP59" i="52"/>
  <c r="AP94" i="52"/>
  <c r="AP61" i="52"/>
  <c r="AP290" i="52"/>
  <c r="AP92" i="52"/>
  <c r="AP124" i="52"/>
  <c r="AP226" i="52"/>
  <c r="AP289" i="52"/>
  <c r="AP93" i="52"/>
  <c r="AP160" i="52"/>
  <c r="AP193" i="52"/>
  <c r="AP259" i="52"/>
  <c r="AP125" i="52"/>
  <c r="AP256" i="52"/>
  <c r="AP225" i="52"/>
  <c r="AP194" i="52"/>
  <c r="AP60" i="52"/>
  <c r="AP158" i="52"/>
  <c r="AP126" i="52"/>
  <c r="AP27" i="52"/>
  <c r="AP26" i="52"/>
  <c r="AP28" i="52"/>
  <c r="AP29" i="52"/>
  <c r="AP251" i="52"/>
  <c r="AP244" i="52"/>
  <c r="AP240" i="52"/>
  <c r="AP281" i="52"/>
  <c r="AP219" i="52"/>
  <c r="AP248" i="52"/>
  <c r="AP239" i="52"/>
  <c r="AP212" i="52"/>
  <c r="AP243" i="52"/>
  <c r="AP218" i="52"/>
  <c r="AP285" i="52"/>
  <c r="AP273" i="52"/>
  <c r="AP277" i="52"/>
  <c r="AP276" i="52"/>
  <c r="AP241" i="52"/>
  <c r="AP211" i="52"/>
  <c r="AP186" i="52"/>
  <c r="AP176" i="52"/>
  <c r="AP284" i="52"/>
  <c r="AP184" i="52"/>
  <c r="AP153" i="52"/>
  <c r="AP252" i="52"/>
  <c r="AP210" i="52"/>
  <c r="AP181" i="52"/>
  <c r="AP178" i="52"/>
  <c r="AP183" i="52"/>
  <c r="AP175" i="52"/>
  <c r="AP152" i="52"/>
  <c r="AP215" i="52"/>
  <c r="AP208" i="52"/>
  <c r="AP207" i="52"/>
  <c r="AP174" i="52"/>
  <c r="AP272" i="52"/>
  <c r="AP206" i="52"/>
  <c r="AP149" i="52"/>
  <c r="AP140" i="52"/>
  <c r="AP118" i="52"/>
  <c r="AP115" i="52"/>
  <c r="AP142" i="52"/>
  <c r="AP187" i="52"/>
  <c r="AP145" i="52"/>
  <c r="AP107" i="52"/>
  <c r="AP110" i="52"/>
  <c r="AP87" i="52"/>
  <c r="AP177" i="52"/>
  <c r="AP144" i="52"/>
  <c r="AP119" i="52"/>
  <c r="AP86" i="52"/>
  <c r="AP50" i="52"/>
  <c r="AP75" i="52"/>
  <c r="AP46" i="52"/>
  <c r="AP141" i="52"/>
  <c r="AP54" i="52"/>
  <c r="AP79" i="52"/>
  <c r="AP74" i="52"/>
  <c r="AP45" i="52"/>
  <c r="AP42" i="52"/>
  <c r="AP78" i="52"/>
  <c r="AP41" i="52"/>
  <c r="AP83" i="52"/>
  <c r="AP106" i="52"/>
  <c r="AP53" i="52"/>
  <c r="AP116" i="52"/>
  <c r="AP280" i="52"/>
  <c r="AP245" i="52"/>
  <c r="AP84" i="52"/>
  <c r="AP278" i="52"/>
  <c r="AP150" i="52"/>
  <c r="AP274" i="52"/>
  <c r="AP282" i="52"/>
  <c r="AP279" i="52"/>
  <c r="AP247" i="52"/>
  <c r="AP213" i="52"/>
  <c r="AP47" i="52"/>
  <c r="AP111" i="52"/>
  <c r="AP275" i="52"/>
  <c r="AP250" i="52"/>
  <c r="AP76" i="52"/>
  <c r="AP249" i="52"/>
  <c r="AP209" i="52"/>
  <c r="AP182" i="52"/>
  <c r="AP216" i="52"/>
  <c r="AP179" i="52"/>
  <c r="AP109" i="52"/>
  <c r="AP246" i="52"/>
  <c r="AP147" i="52"/>
  <c r="AP146" i="52"/>
  <c r="AP112" i="52"/>
  <c r="AP117" i="52"/>
  <c r="AP151" i="52"/>
  <c r="AP214" i="52"/>
  <c r="AP185" i="52"/>
  <c r="AP113" i="52"/>
  <c r="AP108" i="52"/>
  <c r="AP49" i="52"/>
  <c r="AP80" i="52"/>
  <c r="AP85" i="52"/>
  <c r="AP51" i="52"/>
  <c r="AP180" i="52"/>
  <c r="AP48" i="52"/>
  <c r="AP81" i="52"/>
  <c r="AP43" i="52"/>
  <c r="AP217" i="52"/>
  <c r="AP52" i="52"/>
  <c r="AP242" i="52"/>
  <c r="AP283" i="52"/>
  <c r="AP114" i="52"/>
  <c r="AP44" i="52"/>
  <c r="AP143" i="52"/>
  <c r="AP82" i="52"/>
  <c r="AP77" i="52"/>
  <c r="AP148" i="52"/>
  <c r="AP25" i="52"/>
  <c r="AP16" i="52"/>
  <c r="AP17" i="52"/>
  <c r="AP22" i="52"/>
  <c r="AP18" i="52"/>
  <c r="AP19" i="52"/>
  <c r="AP9" i="52"/>
  <c r="AP20" i="52"/>
  <c r="AP10" i="52"/>
  <c r="AP13" i="52"/>
  <c r="AP21" i="52"/>
  <c r="AP12" i="52"/>
  <c r="AP11" i="52"/>
  <c r="AP15" i="52"/>
  <c r="AP14" i="52"/>
  <c r="AR151" i="52" l="1"/>
  <c r="AR114" i="52"/>
  <c r="AR52" i="52"/>
  <c r="AR13" i="52"/>
  <c r="AR117" i="52"/>
  <c r="AR78" i="52"/>
  <c r="AR80" i="52"/>
  <c r="AR10" i="52"/>
  <c r="AR109" i="52"/>
  <c r="AR111" i="52"/>
  <c r="AR9" i="52"/>
  <c r="AR19" i="52"/>
  <c r="AR140" i="52"/>
  <c r="AR113" i="52"/>
  <c r="AR147" i="52"/>
  <c r="AR85" i="52"/>
  <c r="AR15" i="52"/>
  <c r="AR108" i="52"/>
  <c r="AR107" i="52"/>
  <c r="AR84" i="52"/>
  <c r="AR45" i="52"/>
  <c r="AR144" i="52"/>
  <c r="AR43" i="52"/>
  <c r="AR49" i="52"/>
  <c r="AR83" i="52"/>
  <c r="AR21" i="52"/>
  <c r="AR51" i="52"/>
  <c r="AR211" i="52"/>
  <c r="AR42" i="52"/>
  <c r="AR11" i="52"/>
  <c r="AR143" i="52"/>
  <c r="AR87" i="52"/>
  <c r="AR44" i="52"/>
  <c r="AS8" i="52"/>
  <c r="AR216" i="52"/>
  <c r="AR186" i="52"/>
  <c r="AR219" i="52"/>
  <c r="AR246" i="52"/>
  <c r="AR243" i="52"/>
  <c r="AR285" i="52"/>
  <c r="AR252" i="52"/>
  <c r="AR280" i="52"/>
  <c r="AR110" i="52"/>
  <c r="AR22" i="52"/>
  <c r="AR118" i="52"/>
  <c r="AR210" i="52"/>
  <c r="AR207" i="52"/>
  <c r="AR175" i="52"/>
  <c r="AR276" i="52"/>
  <c r="AR184" i="52"/>
  <c r="AR181" i="52"/>
  <c r="AR14" i="52"/>
  <c r="AR153" i="52"/>
  <c r="AR178" i="52"/>
  <c r="AR249" i="52"/>
  <c r="AR20" i="52"/>
  <c r="AR119" i="52"/>
  <c r="AR81" i="52"/>
  <c r="AR82" i="52"/>
  <c r="AR17" i="52"/>
  <c r="AR75" i="52"/>
  <c r="AR174" i="52"/>
  <c r="AR206" i="52"/>
  <c r="AR240" i="52"/>
  <c r="AR239" i="52"/>
  <c r="AR250" i="52"/>
  <c r="AR241" i="52"/>
  <c r="AR272" i="52"/>
  <c r="AR279" i="52"/>
  <c r="AR212" i="52"/>
  <c r="AR244" i="52"/>
  <c r="AR277" i="52"/>
  <c r="AR115" i="52"/>
  <c r="AR79" i="52"/>
  <c r="AR12" i="52"/>
  <c r="AR116" i="52"/>
  <c r="AR77" i="52"/>
  <c r="AR182" i="52"/>
  <c r="AR179" i="52"/>
  <c r="AR214" i="52"/>
  <c r="AR209" i="52"/>
  <c r="AR247" i="52"/>
  <c r="AR275" i="52"/>
  <c r="AR281" i="52"/>
  <c r="AR282" i="52"/>
  <c r="AR142" i="52"/>
  <c r="AR16" i="52"/>
  <c r="AR47" i="52"/>
  <c r="AR245" i="52"/>
  <c r="AR76" i="52"/>
  <c r="AR217" i="52"/>
  <c r="AR251" i="52"/>
  <c r="AR148" i="52"/>
  <c r="AR86" i="52"/>
  <c r="AR112" i="52"/>
  <c r="AR25" i="52"/>
  <c r="AR149" i="52"/>
  <c r="AR106" i="52"/>
  <c r="AR187" i="52"/>
  <c r="AR176" i="52"/>
  <c r="AR283" i="52"/>
  <c r="AR284" i="52"/>
  <c r="AR278" i="52"/>
  <c r="AR150" i="52"/>
  <c r="AR177" i="52"/>
  <c r="AR46" i="52"/>
  <c r="AR53" i="52"/>
  <c r="AR152" i="52"/>
  <c r="AR141" i="52"/>
  <c r="AR54" i="52"/>
  <c r="AR41" i="52"/>
  <c r="AR218" i="52"/>
  <c r="AR215" i="52"/>
  <c r="AR183" i="52"/>
  <c r="AR248" i="52"/>
  <c r="AR185" i="52"/>
  <c r="AR274" i="52"/>
  <c r="AR213" i="52"/>
  <c r="AR242" i="52"/>
  <c r="AR74" i="52"/>
  <c r="AR18" i="52"/>
  <c r="AR50" i="52"/>
  <c r="AR48" i="52"/>
  <c r="AR146" i="52"/>
  <c r="AR180" i="52"/>
  <c r="AR145" i="52"/>
  <c r="AR208" i="52"/>
  <c r="AR273" i="52"/>
  <c r="AR126" i="52"/>
  <c r="AR257" i="52"/>
  <c r="AR123" i="52"/>
  <c r="AR91" i="52"/>
  <c r="AR125" i="52"/>
  <c r="AR93" i="52"/>
  <c r="AR61" i="52"/>
  <c r="AR193" i="52"/>
  <c r="AR124" i="52"/>
  <c r="AR224" i="52"/>
  <c r="AR192" i="52"/>
  <c r="AR94" i="52"/>
  <c r="AR256" i="52"/>
  <c r="AR59" i="52"/>
  <c r="AR157" i="52"/>
  <c r="AR158" i="52"/>
  <c r="AR290" i="52"/>
  <c r="AR223" i="52"/>
  <c r="AR60" i="52"/>
  <c r="AR289" i="52"/>
  <c r="AR194" i="52"/>
  <c r="AR159" i="52"/>
  <c r="AR58" i="52"/>
  <c r="AR259" i="52"/>
  <c r="AR226" i="52"/>
  <c r="AR191" i="52"/>
  <c r="AR160" i="52"/>
  <c r="AR291" i="52"/>
  <c r="AR292" i="52"/>
  <c r="AR258" i="52"/>
  <c r="AR225" i="52"/>
  <c r="AR92" i="52"/>
  <c r="AR26" i="52"/>
  <c r="AR27" i="52"/>
  <c r="AR28" i="52"/>
  <c r="AR29" i="52"/>
  <c r="P12" i="35"/>
  <c r="N12" i="35"/>
  <c r="E51" i="35"/>
  <c r="D51" i="35"/>
  <c r="C51" i="35"/>
  <c r="H51" i="35" s="1"/>
  <c r="E50" i="35"/>
  <c r="D50" i="35"/>
  <c r="C50" i="35"/>
  <c r="H50" i="35" s="1"/>
  <c r="E49" i="35"/>
  <c r="D49" i="35"/>
  <c r="C49" i="35"/>
  <c r="H49" i="35" s="1"/>
  <c r="E48" i="35"/>
  <c r="D48" i="35"/>
  <c r="C48" i="35"/>
  <c r="H48" i="35" s="1"/>
  <c r="E47" i="35"/>
  <c r="D47" i="35"/>
  <c r="C47" i="35"/>
  <c r="H47" i="35" s="1"/>
  <c r="E46" i="35"/>
  <c r="D46" i="35"/>
  <c r="C46" i="35"/>
  <c r="H46" i="35" s="1"/>
  <c r="E45" i="35"/>
  <c r="D45" i="35"/>
  <c r="C45" i="35"/>
  <c r="H45" i="35" s="1"/>
  <c r="E19" i="35"/>
  <c r="E18" i="35"/>
  <c r="E17" i="35"/>
  <c r="E16" i="35"/>
  <c r="E15" i="35"/>
  <c r="E14" i="35"/>
  <c r="E13" i="35"/>
  <c r="D19" i="35"/>
  <c r="D18" i="35"/>
  <c r="D17" i="35"/>
  <c r="D16" i="35"/>
  <c r="D15" i="35"/>
  <c r="D14" i="35"/>
  <c r="D13" i="35"/>
  <c r="AS183" i="52" l="1"/>
  <c r="AS180" i="52"/>
  <c r="AS218" i="52"/>
  <c r="AS251" i="52"/>
  <c r="AS143" i="52"/>
  <c r="AS282" i="52"/>
  <c r="AS106" i="52"/>
  <c r="AS140" i="52"/>
  <c r="AS115" i="52"/>
  <c r="AS112" i="52"/>
  <c r="AS149" i="52"/>
  <c r="AS118" i="52"/>
  <c r="AS11" i="52"/>
  <c r="AS174" i="52"/>
  <c r="AS116" i="52"/>
  <c r="AS147" i="52"/>
  <c r="AS208" i="52"/>
  <c r="AS176" i="52"/>
  <c r="AS249" i="52"/>
  <c r="AS239" i="52"/>
  <c r="AS109" i="52"/>
  <c r="AS76" i="52"/>
  <c r="AS87" i="52"/>
  <c r="AS46" i="52"/>
  <c r="AS211" i="52"/>
  <c r="AS216" i="52"/>
  <c r="AS184" i="52"/>
  <c r="AS247" i="52"/>
  <c r="AS246" i="52"/>
  <c r="AS244" i="52"/>
  <c r="AS250" i="52"/>
  <c r="AS252" i="52"/>
  <c r="AS151" i="52"/>
  <c r="AS78" i="52"/>
  <c r="AS107" i="52"/>
  <c r="AS146" i="52"/>
  <c r="AS141" i="52"/>
  <c r="AS41" i="52"/>
  <c r="AS52" i="52"/>
  <c r="AS79" i="52"/>
  <c r="AS13" i="52"/>
  <c r="AS219" i="52"/>
  <c r="AS278" i="52"/>
  <c r="AS275" i="52"/>
  <c r="AS273" i="52"/>
  <c r="AS145" i="52"/>
  <c r="AS44" i="52"/>
  <c r="AS84" i="52"/>
  <c r="AS80" i="52"/>
  <c r="AS77" i="52"/>
  <c r="AS74" i="52"/>
  <c r="AS42" i="52"/>
  <c r="AS82" i="52"/>
  <c r="AS75" i="52"/>
  <c r="AS14" i="52"/>
  <c r="AS54" i="52"/>
  <c r="AS10" i="52"/>
  <c r="AS20" i="52"/>
  <c r="AS47" i="52"/>
  <c r="AS181" i="52"/>
  <c r="AS179" i="52"/>
  <c r="AS212" i="52"/>
  <c r="AS248" i="52"/>
  <c r="AS276" i="52"/>
  <c r="AS177" i="52"/>
  <c r="AS280" i="52"/>
  <c r="AS117" i="52"/>
  <c r="AS210" i="52"/>
  <c r="AS86" i="52"/>
  <c r="AS81" i="52"/>
  <c r="AS53" i="52"/>
  <c r="AS48" i="52"/>
  <c r="AS144" i="52"/>
  <c r="AS15" i="52"/>
  <c r="AS18" i="52"/>
  <c r="AS51" i="52"/>
  <c r="AS272" i="52"/>
  <c r="AS45" i="52"/>
  <c r="AS187" i="52"/>
  <c r="AS241" i="52"/>
  <c r="AS178" i="52"/>
  <c r="AS206" i="52"/>
  <c r="AS243" i="52"/>
  <c r="AS274" i="52"/>
  <c r="AS108" i="52"/>
  <c r="AS114" i="52"/>
  <c r="AS150" i="52"/>
  <c r="AS17" i="52"/>
  <c r="AS240" i="52"/>
  <c r="AS110" i="52"/>
  <c r="AS25" i="52"/>
  <c r="AT8" i="52"/>
  <c r="AS209" i="52"/>
  <c r="AS207" i="52"/>
  <c r="AS277" i="52"/>
  <c r="AS185" i="52"/>
  <c r="AS213" i="52"/>
  <c r="AS281" i="52"/>
  <c r="AS285" i="52"/>
  <c r="AS279" i="52"/>
  <c r="AS119" i="52"/>
  <c r="AS153" i="52"/>
  <c r="AS148" i="52"/>
  <c r="AS152" i="52"/>
  <c r="AS12" i="52"/>
  <c r="AS9" i="52"/>
  <c r="AS49" i="52"/>
  <c r="AS83" i="52"/>
  <c r="AS22" i="52"/>
  <c r="AS175" i="52"/>
  <c r="AS217" i="52"/>
  <c r="AS215" i="52"/>
  <c r="AS186" i="52"/>
  <c r="AS182" i="52"/>
  <c r="AS214" i="52"/>
  <c r="AS242" i="52"/>
  <c r="AS284" i="52"/>
  <c r="AS283" i="52"/>
  <c r="AS113" i="52"/>
  <c r="AS111" i="52"/>
  <c r="AS21" i="52"/>
  <c r="AS142" i="52"/>
  <c r="AS50" i="52"/>
  <c r="AS43" i="52"/>
  <c r="AS245" i="52"/>
  <c r="AS85" i="52"/>
  <c r="AS16" i="52"/>
  <c r="AS19" i="52"/>
  <c r="AS126" i="52"/>
  <c r="AS258" i="52"/>
  <c r="AS58" i="52"/>
  <c r="AS123" i="52"/>
  <c r="AS259" i="52"/>
  <c r="AS93" i="52"/>
  <c r="AS60" i="52"/>
  <c r="AS225" i="52"/>
  <c r="AS124" i="52"/>
  <c r="AS91" i="52"/>
  <c r="AS226" i="52"/>
  <c r="AS61" i="52"/>
  <c r="AS94" i="52"/>
  <c r="AS192" i="52"/>
  <c r="AS256" i="52"/>
  <c r="AS59" i="52"/>
  <c r="AS92" i="52"/>
  <c r="AS157" i="52"/>
  <c r="AS159" i="52"/>
  <c r="AS223" i="52"/>
  <c r="AS291" i="52"/>
  <c r="AS257" i="52"/>
  <c r="AS289" i="52"/>
  <c r="AS194" i="52"/>
  <c r="AS224" i="52"/>
  <c r="AS193" i="52"/>
  <c r="AS292" i="52"/>
  <c r="AS191" i="52"/>
  <c r="AS160" i="52"/>
  <c r="AS290" i="52"/>
  <c r="AS125" i="52"/>
  <c r="AS158" i="52"/>
  <c r="AS26" i="52"/>
  <c r="AS27" i="52"/>
  <c r="AS28" i="52"/>
  <c r="AS29" i="52"/>
  <c r="I48" i="35"/>
  <c r="I51" i="35"/>
  <c r="I45" i="35"/>
  <c r="I49" i="35"/>
  <c r="I46" i="35"/>
  <c r="I47" i="35"/>
  <c r="I50" i="35"/>
  <c r="AU8" i="52" l="1"/>
  <c r="AT210" i="52"/>
  <c r="AT208" i="52"/>
  <c r="AT206" i="52"/>
  <c r="AT186" i="52"/>
  <c r="AT277" i="52"/>
  <c r="AT187" i="52"/>
  <c r="AT283" i="52"/>
  <c r="AT152" i="52"/>
  <c r="AT284" i="52"/>
  <c r="AT116" i="52"/>
  <c r="AT78" i="52"/>
  <c r="AT83" i="52"/>
  <c r="AT87" i="52"/>
  <c r="AT79" i="52"/>
  <c r="AT84" i="52"/>
  <c r="AT25" i="52"/>
  <c r="AT16" i="52"/>
  <c r="AT22" i="52"/>
  <c r="AT111" i="52"/>
  <c r="AT45" i="52"/>
  <c r="AT15" i="52"/>
  <c r="AT176" i="52"/>
  <c r="AT218" i="52"/>
  <c r="AT216" i="52"/>
  <c r="AT183" i="52"/>
  <c r="AT215" i="52"/>
  <c r="AT175" i="52"/>
  <c r="AT244" i="52"/>
  <c r="AT246" i="52"/>
  <c r="AT147" i="52"/>
  <c r="AT140" i="52"/>
  <c r="AT80" i="52"/>
  <c r="AT13" i="52"/>
  <c r="AT82" i="52"/>
  <c r="AT44" i="52"/>
  <c r="AT184" i="52"/>
  <c r="AT239" i="52"/>
  <c r="AT219" i="52"/>
  <c r="AT211" i="52"/>
  <c r="AT252" i="52"/>
  <c r="AT275" i="52"/>
  <c r="AT144" i="52"/>
  <c r="AT81" i="52"/>
  <c r="AT142" i="52"/>
  <c r="AT119" i="52"/>
  <c r="AT54" i="52"/>
  <c r="AT76" i="52"/>
  <c r="AT20" i="52"/>
  <c r="AT109" i="52"/>
  <c r="AT46" i="52"/>
  <c r="AT9" i="52"/>
  <c r="AT180" i="52"/>
  <c r="AT274" i="52"/>
  <c r="AT150" i="52"/>
  <c r="AT86" i="52"/>
  <c r="AT107" i="52"/>
  <c r="AT181" i="52"/>
  <c r="AT177" i="52"/>
  <c r="AT249" i="52"/>
  <c r="AT247" i="52"/>
  <c r="AT273" i="52"/>
  <c r="AT280" i="52"/>
  <c r="AT245" i="52"/>
  <c r="AT115" i="52"/>
  <c r="AT118" i="52"/>
  <c r="AT143" i="52"/>
  <c r="AT151" i="52"/>
  <c r="AT141" i="52"/>
  <c r="AT41" i="52"/>
  <c r="AT12" i="52"/>
  <c r="AT146" i="52"/>
  <c r="AT114" i="52"/>
  <c r="AT42" i="52"/>
  <c r="AT21" i="52"/>
  <c r="AT212" i="52"/>
  <c r="AT185" i="52"/>
  <c r="AT243" i="52"/>
  <c r="AT240" i="52"/>
  <c r="AT241" i="52"/>
  <c r="AT110" i="52"/>
  <c r="AT145" i="52"/>
  <c r="AT153" i="52"/>
  <c r="AT117" i="52"/>
  <c r="AT50" i="52"/>
  <c r="AT49" i="52"/>
  <c r="AT19" i="52"/>
  <c r="AT75" i="52"/>
  <c r="AT77" i="52"/>
  <c r="AT43" i="52"/>
  <c r="AT179" i="52"/>
  <c r="AT10" i="52"/>
  <c r="AT174" i="52"/>
  <c r="AT209" i="52"/>
  <c r="AT213" i="52"/>
  <c r="AT250" i="52"/>
  <c r="AT278" i="52"/>
  <c r="AT178" i="52"/>
  <c r="AT251" i="52"/>
  <c r="AT276" i="52"/>
  <c r="AT285" i="52"/>
  <c r="AT149" i="52"/>
  <c r="AT112" i="52"/>
  <c r="AT108" i="52"/>
  <c r="AT51" i="52"/>
  <c r="AT11" i="52"/>
  <c r="AT74" i="52"/>
  <c r="AT47" i="52"/>
  <c r="AT18" i="52"/>
  <c r="AT242" i="52"/>
  <c r="AT214" i="52"/>
  <c r="AT282" i="52"/>
  <c r="AT106" i="52"/>
  <c r="AT48" i="52"/>
  <c r="AT182" i="52"/>
  <c r="AT217" i="52"/>
  <c r="AT279" i="52"/>
  <c r="AT248" i="52"/>
  <c r="AT207" i="52"/>
  <c r="AT281" i="52"/>
  <c r="AT272" i="52"/>
  <c r="AT53" i="52"/>
  <c r="AT148" i="52"/>
  <c r="AT113" i="52"/>
  <c r="AT85" i="52"/>
  <c r="AT17" i="52"/>
  <c r="AT52" i="52"/>
  <c r="AT14" i="52"/>
  <c r="AT126" i="52"/>
  <c r="AT193" i="52"/>
  <c r="AT58" i="52"/>
  <c r="AT259" i="52"/>
  <c r="AT292" i="52"/>
  <c r="AT223" i="52"/>
  <c r="AT160" i="52"/>
  <c r="AT94" i="52"/>
  <c r="AT60" i="52"/>
  <c r="AT158" i="52"/>
  <c r="AT192" i="52"/>
  <c r="AT256" i="52"/>
  <c r="AT92" i="52"/>
  <c r="AT91" i="52"/>
  <c r="AT226" i="52"/>
  <c r="AT93" i="52"/>
  <c r="AT257" i="52"/>
  <c r="AT123" i="52"/>
  <c r="AT157" i="52"/>
  <c r="AT61" i="52"/>
  <c r="AT194" i="52"/>
  <c r="AT258" i="52"/>
  <c r="AT225" i="52"/>
  <c r="AT289" i="52"/>
  <c r="AT124" i="52"/>
  <c r="AT224" i="52"/>
  <c r="AT159" i="52"/>
  <c r="AT125" i="52"/>
  <c r="AT59" i="52"/>
  <c r="AT291" i="52"/>
  <c r="AT191" i="52"/>
  <c r="AT290" i="52"/>
  <c r="AT26" i="52"/>
  <c r="AT27" i="52"/>
  <c r="AT28" i="52"/>
  <c r="AT29" i="52"/>
  <c r="O12" i="35"/>
  <c r="AV8" i="52" l="1"/>
  <c r="AU211" i="52"/>
  <c r="AU239" i="52"/>
  <c r="AU214" i="52"/>
  <c r="AU272" i="52"/>
  <c r="AU208" i="52"/>
  <c r="AU184" i="52"/>
  <c r="AU274" i="52"/>
  <c r="AU207" i="52"/>
  <c r="AU143" i="52"/>
  <c r="AU106" i="52"/>
  <c r="AU54" i="52"/>
  <c r="AU148" i="52"/>
  <c r="AU140" i="52"/>
  <c r="AU150" i="52"/>
  <c r="AU74" i="52"/>
  <c r="AU44" i="52"/>
  <c r="AU18" i="52"/>
  <c r="AU78" i="52"/>
  <c r="AU21" i="52"/>
  <c r="AU206" i="52"/>
  <c r="AU43" i="52"/>
  <c r="AU177" i="52"/>
  <c r="AU219" i="52"/>
  <c r="AU181" i="52"/>
  <c r="AU280" i="52"/>
  <c r="AU215" i="52"/>
  <c r="AU241" i="52"/>
  <c r="AU283" i="52"/>
  <c r="AU145" i="52"/>
  <c r="AU285" i="52"/>
  <c r="AU83" i="52"/>
  <c r="AU81" i="52"/>
  <c r="AU147" i="52"/>
  <c r="AU142" i="52"/>
  <c r="AU112" i="52"/>
  <c r="AU75" i="52"/>
  <c r="AU76" i="52"/>
  <c r="AU51" i="52"/>
  <c r="AU53" i="52"/>
  <c r="AU48" i="52"/>
  <c r="AU42" i="52"/>
  <c r="AU113" i="52"/>
  <c r="AU77" i="52"/>
  <c r="AU281" i="52"/>
  <c r="AU185" i="52"/>
  <c r="AU240" i="52"/>
  <c r="AU243" i="52"/>
  <c r="AU176" i="52"/>
  <c r="AU249" i="52"/>
  <c r="AU245" i="52"/>
  <c r="AU246" i="52"/>
  <c r="AU284" i="52"/>
  <c r="AU144" i="52"/>
  <c r="AU118" i="52"/>
  <c r="AU82" i="52"/>
  <c r="AU19" i="52"/>
  <c r="AU11" i="52"/>
  <c r="AU14" i="52"/>
  <c r="AU50" i="52"/>
  <c r="AU251" i="52"/>
  <c r="AU116" i="52"/>
  <c r="AU9" i="52"/>
  <c r="AU213" i="52"/>
  <c r="AU174" i="52"/>
  <c r="AU209" i="52"/>
  <c r="AU180" i="52"/>
  <c r="AU212" i="52"/>
  <c r="AU242" i="52"/>
  <c r="AU275" i="52"/>
  <c r="AU277" i="52"/>
  <c r="AU146" i="52"/>
  <c r="AU152" i="52"/>
  <c r="AU110" i="52"/>
  <c r="AU109" i="52"/>
  <c r="AU85" i="52"/>
  <c r="AU49" i="52"/>
  <c r="AU25" i="52"/>
  <c r="AU10" i="52"/>
  <c r="AU84" i="52"/>
  <c r="AU52" i="52"/>
  <c r="AU111" i="52"/>
  <c r="AU86" i="52"/>
  <c r="AU45" i="52"/>
  <c r="AU117" i="52"/>
  <c r="AU22" i="52"/>
  <c r="AU47" i="52"/>
  <c r="AU151" i="52"/>
  <c r="AU12" i="52"/>
  <c r="AU182" i="52"/>
  <c r="AU217" i="52"/>
  <c r="AU187" i="52"/>
  <c r="AU278" i="52"/>
  <c r="AU153" i="52"/>
  <c r="AU115" i="52"/>
  <c r="AU13" i="52"/>
  <c r="AU80" i="52"/>
  <c r="AU175" i="52"/>
  <c r="AU178" i="52"/>
  <c r="AU216" i="52"/>
  <c r="AU250" i="52"/>
  <c r="AU244" i="52"/>
  <c r="AU273" i="52"/>
  <c r="AU252" i="52"/>
  <c r="AU87" i="52"/>
  <c r="AU119" i="52"/>
  <c r="AU114" i="52"/>
  <c r="AU108" i="52"/>
  <c r="AU46" i="52"/>
  <c r="AU41" i="52"/>
  <c r="AU20" i="52"/>
  <c r="AU15" i="52"/>
  <c r="AU16" i="52"/>
  <c r="AU218" i="52"/>
  <c r="AU282" i="52"/>
  <c r="AU183" i="52"/>
  <c r="AU210" i="52"/>
  <c r="AU186" i="52"/>
  <c r="AU279" i="52"/>
  <c r="AU248" i="52"/>
  <c r="AU247" i="52"/>
  <c r="AU276" i="52"/>
  <c r="AU141" i="52"/>
  <c r="AU149" i="52"/>
  <c r="AU107" i="52"/>
  <c r="AU179" i="52"/>
  <c r="AU79" i="52"/>
  <c r="AU17" i="52"/>
  <c r="AU193" i="52"/>
  <c r="AU58" i="52"/>
  <c r="AU59" i="52"/>
  <c r="AU191" i="52"/>
  <c r="AU259" i="52"/>
  <c r="AU226" i="52"/>
  <c r="AU93" i="52"/>
  <c r="AU290" i="52"/>
  <c r="AU94" i="52"/>
  <c r="AU158" i="52"/>
  <c r="AU192" i="52"/>
  <c r="AU194" i="52"/>
  <c r="AU91" i="52"/>
  <c r="AU92" i="52"/>
  <c r="AU126" i="52"/>
  <c r="AU258" i="52"/>
  <c r="AU223" i="52"/>
  <c r="AU157" i="52"/>
  <c r="AU225" i="52"/>
  <c r="AU160" i="52"/>
  <c r="AU124" i="52"/>
  <c r="AU61" i="52"/>
  <c r="AU292" i="52"/>
  <c r="AU256" i="52"/>
  <c r="AU224" i="52"/>
  <c r="AU159" i="52"/>
  <c r="AU60" i="52"/>
  <c r="AU291" i="52"/>
  <c r="AU257" i="52"/>
  <c r="AU123" i="52"/>
  <c r="AU125" i="52"/>
  <c r="AU289" i="52"/>
  <c r="AU26" i="52"/>
  <c r="AU27" i="52"/>
  <c r="AU28" i="52"/>
  <c r="AU29" i="52"/>
  <c r="S475" i="45"/>
  <c r="L475" i="45"/>
  <c r="R475" i="45"/>
  <c r="J475" i="45"/>
  <c r="O475" i="45"/>
  <c r="K475" i="45"/>
  <c r="Q475" i="45"/>
  <c r="N475" i="45"/>
  <c r="AV186" i="52" l="1"/>
  <c r="AV175" i="52"/>
  <c r="AV177" i="52"/>
  <c r="AV273" i="52"/>
  <c r="AV246" i="52"/>
  <c r="AV181" i="52"/>
  <c r="AV145" i="52"/>
  <c r="AV117" i="52"/>
  <c r="AV151" i="52"/>
  <c r="AV149" i="52"/>
  <c r="AV17" i="52"/>
  <c r="AV11" i="52"/>
  <c r="AV43" i="52"/>
  <c r="AV51" i="52"/>
  <c r="AV25" i="52"/>
  <c r="AV206" i="52"/>
  <c r="AV183" i="52"/>
  <c r="AV210" i="52"/>
  <c r="AV213" i="52"/>
  <c r="AV281" i="52"/>
  <c r="AV250" i="52"/>
  <c r="AV275" i="52"/>
  <c r="AV245" i="52"/>
  <c r="AV147" i="52"/>
  <c r="AV153" i="52"/>
  <c r="AV148" i="52"/>
  <c r="AV18" i="52"/>
  <c r="AV75" i="52"/>
  <c r="AV52" i="52"/>
  <c r="AV13" i="52"/>
  <c r="AV42" i="52"/>
  <c r="AV140" i="52"/>
  <c r="AV143" i="52"/>
  <c r="AV83" i="52"/>
  <c r="AV22" i="52"/>
  <c r="AV76" i="52"/>
  <c r="AV48" i="52"/>
  <c r="AV54" i="52"/>
  <c r="AV20" i="52"/>
  <c r="AV81" i="52"/>
  <c r="AV214" i="52"/>
  <c r="AV218" i="52"/>
  <c r="AV180" i="52"/>
  <c r="AV279" i="52"/>
  <c r="AV248" i="52"/>
  <c r="AV112" i="52"/>
  <c r="AV53" i="52"/>
  <c r="AV87" i="52"/>
  <c r="AV49" i="52"/>
  <c r="AV86" i="52"/>
  <c r="AV15" i="52"/>
  <c r="AV178" i="52"/>
  <c r="AV252" i="52"/>
  <c r="AV185" i="52"/>
  <c r="AV277" i="52"/>
  <c r="AV85" i="52"/>
  <c r="AV176" i="52"/>
  <c r="AV211" i="52"/>
  <c r="AV179" i="52"/>
  <c r="AV209" i="52"/>
  <c r="AV243" i="52"/>
  <c r="AV208" i="52"/>
  <c r="AV217" i="52"/>
  <c r="AV150" i="52"/>
  <c r="AV113" i="52"/>
  <c r="AV111" i="52"/>
  <c r="AV119" i="52"/>
  <c r="AV142" i="52"/>
  <c r="AV77" i="52"/>
  <c r="AV44" i="52"/>
  <c r="AV19" i="52"/>
  <c r="AV50" i="52"/>
  <c r="AV114" i="52"/>
  <c r="AV110" i="52"/>
  <c r="AV144" i="52"/>
  <c r="AV45" i="52"/>
  <c r="AV12" i="52"/>
  <c r="AV74" i="52"/>
  <c r="AV14" i="52"/>
  <c r="AV16" i="52"/>
  <c r="AV184" i="52"/>
  <c r="AV219" i="52"/>
  <c r="AV187" i="52"/>
  <c r="AV216" i="52"/>
  <c r="AV251" i="52"/>
  <c r="AV239" i="52"/>
  <c r="AV285" i="52"/>
  <c r="AV282" i="52"/>
  <c r="AV152" i="52"/>
  <c r="AV116" i="52"/>
  <c r="AV47" i="52"/>
  <c r="AV80" i="52"/>
  <c r="AV46" i="52"/>
  <c r="AV240" i="52"/>
  <c r="AV207" i="52"/>
  <c r="AV242" i="52"/>
  <c r="AV272" i="52"/>
  <c r="AV249" i="52"/>
  <c r="AV247" i="52"/>
  <c r="AV276" i="52"/>
  <c r="AV284" i="52"/>
  <c r="AV106" i="52"/>
  <c r="AV115" i="52"/>
  <c r="AV109" i="52"/>
  <c r="AV118" i="52"/>
  <c r="AV182" i="52"/>
  <c r="AV278" i="52"/>
  <c r="AV41" i="52"/>
  <c r="AV78" i="52"/>
  <c r="AW8" i="52"/>
  <c r="AV212" i="52"/>
  <c r="AV174" i="52"/>
  <c r="AV215" i="52"/>
  <c r="AV244" i="52"/>
  <c r="AV280" i="52"/>
  <c r="AV274" i="52"/>
  <c r="AV146" i="52"/>
  <c r="AV107" i="52"/>
  <c r="AV108" i="52"/>
  <c r="AV79" i="52"/>
  <c r="AV84" i="52"/>
  <c r="AV9" i="52"/>
  <c r="AV21" i="52"/>
  <c r="AV241" i="52"/>
  <c r="AV283" i="52"/>
  <c r="AV82" i="52"/>
  <c r="AV141" i="52"/>
  <c r="AV10" i="52"/>
  <c r="AV92" i="52"/>
  <c r="AV290" i="52"/>
  <c r="AV193" i="52"/>
  <c r="AV256" i="52"/>
  <c r="AV94" i="52"/>
  <c r="AV194" i="52"/>
  <c r="AV93" i="52"/>
  <c r="AV259" i="52"/>
  <c r="AV158" i="52"/>
  <c r="AV289" i="52"/>
  <c r="AV226" i="52"/>
  <c r="AV58" i="52"/>
  <c r="AV160" i="52"/>
  <c r="AV61" i="52"/>
  <c r="AV258" i="52"/>
  <c r="AV223" i="52"/>
  <c r="AV225" i="52"/>
  <c r="AV191" i="52"/>
  <c r="AV224" i="52"/>
  <c r="AV157" i="52"/>
  <c r="AV192" i="52"/>
  <c r="AV123" i="52"/>
  <c r="AV124" i="52"/>
  <c r="AV292" i="52"/>
  <c r="AV59" i="52"/>
  <c r="AV60" i="52"/>
  <c r="AV126" i="52"/>
  <c r="AV91" i="52"/>
  <c r="AV291" i="52"/>
  <c r="AV257" i="52"/>
  <c r="AV159" i="52"/>
  <c r="AV125" i="52"/>
  <c r="AV26" i="52"/>
  <c r="AV27" i="52"/>
  <c r="AV28" i="52"/>
  <c r="AV29" i="52"/>
  <c r="G354" i="45"/>
  <c r="G475" i="45"/>
  <c r="G16" i="94" l="1"/>
  <c r="K16" i="94"/>
  <c r="N108" i="74" s="1"/>
  <c r="N204" i="74" s="1"/>
  <c r="AW215" i="52"/>
  <c r="AW180" i="52"/>
  <c r="AW282" i="52"/>
  <c r="AW251" i="52"/>
  <c r="AW174" i="52"/>
  <c r="AW147" i="52"/>
  <c r="AW284" i="52"/>
  <c r="AW144" i="52"/>
  <c r="AW81" i="52"/>
  <c r="AW145" i="52"/>
  <c r="AW45" i="52"/>
  <c r="AW52" i="52"/>
  <c r="AW43" i="52"/>
  <c r="AW50" i="52"/>
  <c r="AW17" i="52"/>
  <c r="AW178" i="52"/>
  <c r="AW20" i="52"/>
  <c r="AW19" i="52"/>
  <c r="AW115" i="52"/>
  <c r="AW13" i="52"/>
  <c r="AW47" i="52"/>
  <c r="AW207" i="52"/>
  <c r="AW143" i="52"/>
  <c r="AW177" i="52"/>
  <c r="AW212" i="52"/>
  <c r="AW208" i="52"/>
  <c r="AW209" i="52"/>
  <c r="AW272" i="52"/>
  <c r="AW181" i="52"/>
  <c r="AW214" i="52"/>
  <c r="AW275" i="52"/>
  <c r="AW276" i="52"/>
  <c r="AW149" i="52"/>
  <c r="AW111" i="52"/>
  <c r="AW75" i="52"/>
  <c r="AW11" i="52"/>
  <c r="AW46" i="52"/>
  <c r="AW44" i="52"/>
  <c r="AW14" i="52"/>
  <c r="AW118" i="52"/>
  <c r="AW16" i="52"/>
  <c r="AW22" i="52"/>
  <c r="AW152" i="52"/>
  <c r="AW107" i="52"/>
  <c r="AW83" i="52"/>
  <c r="AW116" i="52"/>
  <c r="AW250" i="52"/>
  <c r="AW249" i="52"/>
  <c r="AW41" i="52"/>
  <c r="AW9" i="52"/>
  <c r="AW185" i="52"/>
  <c r="AW241" i="52"/>
  <c r="AW216" i="52"/>
  <c r="AW244" i="52"/>
  <c r="AW280" i="52"/>
  <c r="AW210" i="52"/>
  <c r="AW281" i="52"/>
  <c r="AW112" i="52"/>
  <c r="AW150" i="52"/>
  <c r="AW85" i="52"/>
  <c r="AW74" i="52"/>
  <c r="AW12" i="52"/>
  <c r="AW25" i="52"/>
  <c r="AW53" i="52"/>
  <c r="AW153" i="52"/>
  <c r="AW278" i="52"/>
  <c r="AW151" i="52"/>
  <c r="AW51" i="52"/>
  <c r="AW108" i="52"/>
  <c r="AW87" i="52"/>
  <c r="AW184" i="52"/>
  <c r="AW279" i="52"/>
  <c r="AW76" i="52"/>
  <c r="AW213" i="52"/>
  <c r="AW175" i="52"/>
  <c r="AW252" i="52"/>
  <c r="AW182" i="52"/>
  <c r="AW217" i="52"/>
  <c r="AW277" i="52"/>
  <c r="AW117" i="52"/>
  <c r="AW142" i="52"/>
  <c r="AW113" i="52"/>
  <c r="AW141" i="52"/>
  <c r="AW48" i="52"/>
  <c r="AW146" i="52"/>
  <c r="AW54" i="52"/>
  <c r="AW148" i="52"/>
  <c r="AW18" i="52"/>
  <c r="AW106" i="52"/>
  <c r="AW86" i="52"/>
  <c r="AW78" i="52"/>
  <c r="AW219" i="52"/>
  <c r="AW119" i="52"/>
  <c r="AX8" i="52"/>
  <c r="AW183" i="52"/>
  <c r="AW273" i="52"/>
  <c r="AW247" i="52"/>
  <c r="AW110" i="52"/>
  <c r="AW42" i="52"/>
  <c r="AW21" i="52"/>
  <c r="AW243" i="52"/>
  <c r="AW49" i="52"/>
  <c r="AW179" i="52"/>
  <c r="AW242" i="52"/>
  <c r="AW206" i="52"/>
  <c r="AW186" i="52"/>
  <c r="AW218" i="52"/>
  <c r="AW114" i="52"/>
  <c r="AW239" i="52"/>
  <c r="AW285" i="52"/>
  <c r="AW80" i="52"/>
  <c r="AW84" i="52"/>
  <c r="AW77" i="52"/>
  <c r="AW10" i="52"/>
  <c r="AW15" i="52"/>
  <c r="AW274" i="52"/>
  <c r="AW79" i="52"/>
  <c r="AW187" i="52"/>
  <c r="AW176" i="52"/>
  <c r="AW211" i="52"/>
  <c r="AW245" i="52"/>
  <c r="AW248" i="52"/>
  <c r="AW283" i="52"/>
  <c r="AW246" i="52"/>
  <c r="AW82" i="52"/>
  <c r="AW140" i="52"/>
  <c r="AW240" i="52"/>
  <c r="AW109" i="52"/>
  <c r="AW94" i="52"/>
  <c r="AW157" i="52"/>
  <c r="AW192" i="52"/>
  <c r="AW125" i="52"/>
  <c r="AW256" i="52"/>
  <c r="AW290" i="52"/>
  <c r="AW291" i="52"/>
  <c r="AW289" i="52"/>
  <c r="AW59" i="52"/>
  <c r="AW224" i="52"/>
  <c r="AW160" i="52"/>
  <c r="AW257" i="52"/>
  <c r="AW259" i="52"/>
  <c r="AW193" i="52"/>
  <c r="AW191" i="52"/>
  <c r="AW61" i="52"/>
  <c r="AW226" i="52"/>
  <c r="AW292" i="52"/>
  <c r="AW93" i="52"/>
  <c r="AW258" i="52"/>
  <c r="AW126" i="52"/>
  <c r="AW223" i="52"/>
  <c r="AW123" i="52"/>
  <c r="AW225" i="52"/>
  <c r="AW92" i="52"/>
  <c r="AW194" i="52"/>
  <c r="AW158" i="52"/>
  <c r="AW159" i="52"/>
  <c r="AW60" i="52"/>
  <c r="AW91" i="52"/>
  <c r="AW58" i="52"/>
  <c r="AW124" i="52"/>
  <c r="AW26" i="52"/>
  <c r="AW27" i="52"/>
  <c r="AW28" i="52"/>
  <c r="AW29" i="52"/>
  <c r="N16" i="94"/>
  <c r="Q108" i="74" s="1"/>
  <c r="Q204" i="74" s="1"/>
  <c r="L16" i="94"/>
  <c r="O108" i="74" s="1"/>
  <c r="O204" i="74" s="1"/>
  <c r="E77" i="11"/>
  <c r="E76" i="11"/>
  <c r="E75" i="11"/>
  <c r="E74" i="11"/>
  <c r="E73" i="11"/>
  <c r="E72" i="11"/>
  <c r="E71" i="11"/>
  <c r="D77" i="11"/>
  <c r="D76" i="11"/>
  <c r="D75" i="11"/>
  <c r="D74" i="11"/>
  <c r="D73" i="11"/>
  <c r="D72" i="11"/>
  <c r="D71" i="11"/>
  <c r="C77" i="11"/>
  <c r="C76" i="11"/>
  <c r="C75" i="11"/>
  <c r="C74" i="11"/>
  <c r="C73" i="11"/>
  <c r="C72" i="11"/>
  <c r="C71" i="11"/>
  <c r="J108" i="74" l="1"/>
  <c r="J204" i="74" s="1"/>
  <c r="E16" i="94"/>
  <c r="D16" i="94"/>
  <c r="AY8" i="52"/>
  <c r="AX187" i="52"/>
  <c r="AX245" i="52"/>
  <c r="AX215" i="52"/>
  <c r="AX218" i="52"/>
  <c r="AX282" i="52"/>
  <c r="AX250" i="52"/>
  <c r="AX241" i="52"/>
  <c r="AX77" i="52"/>
  <c r="AX141" i="52"/>
  <c r="AX115" i="52"/>
  <c r="AX116" i="52"/>
  <c r="AX78" i="52"/>
  <c r="AX13" i="52"/>
  <c r="AX219" i="52"/>
  <c r="AX211" i="52"/>
  <c r="AX249" i="52"/>
  <c r="AX107" i="52"/>
  <c r="AX52" i="52"/>
  <c r="AX22" i="52"/>
  <c r="AX180" i="52"/>
  <c r="AX177" i="52"/>
  <c r="AX212" i="52"/>
  <c r="AX246" i="52"/>
  <c r="AX274" i="52"/>
  <c r="AX285" i="52"/>
  <c r="AX144" i="52"/>
  <c r="AX152" i="52"/>
  <c r="AX117" i="52"/>
  <c r="AX45" i="52"/>
  <c r="AX48" i="52"/>
  <c r="AX14" i="52"/>
  <c r="AX150" i="52"/>
  <c r="AX82" i="52"/>
  <c r="AX20" i="52"/>
  <c r="AX108" i="52"/>
  <c r="AX54" i="52"/>
  <c r="AX79" i="52"/>
  <c r="AX11" i="52"/>
  <c r="AX49" i="52"/>
  <c r="AX111" i="52"/>
  <c r="AX15" i="52"/>
  <c r="AX46" i="52"/>
  <c r="AX80" i="52"/>
  <c r="AX17" i="52"/>
  <c r="AX53" i="52"/>
  <c r="AX9" i="52"/>
  <c r="AX184" i="52"/>
  <c r="AX247" i="52"/>
  <c r="AX208" i="52"/>
  <c r="AX185" i="52"/>
  <c r="AX181" i="52"/>
  <c r="AX243" i="52"/>
  <c r="AX207" i="52"/>
  <c r="AX279" i="52"/>
  <c r="AX146" i="52"/>
  <c r="AX110" i="52"/>
  <c r="AX16" i="52"/>
  <c r="AX216" i="52"/>
  <c r="AX213" i="52"/>
  <c r="AX275" i="52"/>
  <c r="AX244" i="52"/>
  <c r="AX251" i="52"/>
  <c r="AX240" i="52"/>
  <c r="AX284" i="52"/>
  <c r="AX148" i="52"/>
  <c r="AX277" i="52"/>
  <c r="AX151" i="52"/>
  <c r="AX76" i="52"/>
  <c r="AX109" i="52"/>
  <c r="AX75" i="52"/>
  <c r="AX145" i="52"/>
  <c r="AX21" i="52"/>
  <c r="AX44" i="52"/>
  <c r="AX113" i="52"/>
  <c r="AX51" i="52"/>
  <c r="AX50" i="52"/>
  <c r="AX12" i="52"/>
  <c r="AX86" i="52"/>
  <c r="AX112" i="52"/>
  <c r="AX118" i="52"/>
  <c r="AX142" i="52"/>
  <c r="AX42" i="52"/>
  <c r="AX74" i="52"/>
  <c r="AX18" i="52"/>
  <c r="AX214" i="52"/>
  <c r="AX43" i="52"/>
  <c r="AX178" i="52"/>
  <c r="AX209" i="52"/>
  <c r="AX283" i="52"/>
  <c r="AX252" i="52"/>
  <c r="AX272" i="52"/>
  <c r="AX248" i="52"/>
  <c r="AX276" i="52"/>
  <c r="AX106" i="52"/>
  <c r="AX84" i="52"/>
  <c r="AX25" i="52"/>
  <c r="AX47" i="52"/>
  <c r="AX186" i="52"/>
  <c r="AX242" i="52"/>
  <c r="AX217" i="52"/>
  <c r="AX183" i="52"/>
  <c r="AX273" i="52"/>
  <c r="AX175" i="52"/>
  <c r="AX280" i="52"/>
  <c r="AX143" i="52"/>
  <c r="AX114" i="52"/>
  <c r="AX81" i="52"/>
  <c r="AX210" i="52"/>
  <c r="AX278" i="52"/>
  <c r="AX149" i="52"/>
  <c r="AX10" i="52"/>
  <c r="AX206" i="52"/>
  <c r="AX176" i="52"/>
  <c r="AX174" i="52"/>
  <c r="AX281" i="52"/>
  <c r="AX182" i="52"/>
  <c r="AX140" i="52"/>
  <c r="AX239" i="52"/>
  <c r="AX153" i="52"/>
  <c r="AX147" i="52"/>
  <c r="AX119" i="52"/>
  <c r="AX87" i="52"/>
  <c r="AX41" i="52"/>
  <c r="AX179" i="52"/>
  <c r="AX85" i="52"/>
  <c r="AX83" i="52"/>
  <c r="AX19" i="52"/>
  <c r="AX157" i="52"/>
  <c r="AX125" i="52"/>
  <c r="AX257" i="52"/>
  <c r="AX226" i="52"/>
  <c r="AX223" i="52"/>
  <c r="AX224" i="52"/>
  <c r="AX225" i="52"/>
  <c r="AX258" i="52"/>
  <c r="AX59" i="52"/>
  <c r="AX290" i="52"/>
  <c r="AX289" i="52"/>
  <c r="AX291" i="52"/>
  <c r="AX292" i="52"/>
  <c r="AX194" i="52"/>
  <c r="AX259" i="52"/>
  <c r="AX191" i="52"/>
  <c r="AX193" i="52"/>
  <c r="AX159" i="52"/>
  <c r="AX126" i="52"/>
  <c r="AX160" i="52"/>
  <c r="AX92" i="52"/>
  <c r="AX158" i="52"/>
  <c r="AX58" i="52"/>
  <c r="AX61" i="52"/>
  <c r="AX93" i="52"/>
  <c r="AX60" i="52"/>
  <c r="AX94" i="52"/>
  <c r="AX123" i="52"/>
  <c r="AX91" i="52"/>
  <c r="AX192" i="52"/>
  <c r="AX256" i="52"/>
  <c r="AX124" i="52"/>
  <c r="AX27" i="52"/>
  <c r="AX26" i="52"/>
  <c r="AX29" i="52"/>
  <c r="AX28" i="52"/>
  <c r="P29" i="35"/>
  <c r="Z29" i="35" s="1"/>
  <c r="N29" i="35"/>
  <c r="X29" i="35" s="1"/>
  <c r="P16" i="35"/>
  <c r="E472" i="45"/>
  <c r="E41" i="35"/>
  <c r="J41" i="35" s="1"/>
  <c r="P9" i="35" s="1"/>
  <c r="C41" i="35"/>
  <c r="H41" i="35" s="1"/>
  <c r="N9" i="35" s="1"/>
  <c r="P8" i="35"/>
  <c r="D40" i="35"/>
  <c r="P7" i="35"/>
  <c r="E471" i="45"/>
  <c r="P17" i="76" l="1"/>
  <c r="P16" i="76"/>
  <c r="P15" i="76"/>
  <c r="S142" i="74" s="1"/>
  <c r="S211" i="74" s="1"/>
  <c r="AJ16" i="76"/>
  <c r="AJ15" i="76"/>
  <c r="AM142" i="74" s="1"/>
  <c r="AM211" i="74" s="1"/>
  <c r="AZ8" i="52"/>
  <c r="AY215" i="52"/>
  <c r="AY185" i="52"/>
  <c r="AY239" i="52"/>
  <c r="AY216" i="52"/>
  <c r="AY219" i="52"/>
  <c r="AY278" i="52"/>
  <c r="AY175" i="52"/>
  <c r="AY147" i="52"/>
  <c r="AY110" i="52"/>
  <c r="AY118" i="52"/>
  <c r="AY107" i="52"/>
  <c r="AY113" i="52"/>
  <c r="AY144" i="52"/>
  <c r="AY21" i="52"/>
  <c r="AY43" i="52"/>
  <c r="AY51" i="52"/>
  <c r="AY181" i="52"/>
  <c r="AY213" i="52"/>
  <c r="AY184" i="52"/>
  <c r="AY242" i="52"/>
  <c r="AY245" i="52"/>
  <c r="AY208" i="52"/>
  <c r="AY285" i="52"/>
  <c r="AY280" i="52"/>
  <c r="AY83" i="52"/>
  <c r="AY42" i="52"/>
  <c r="AY111" i="52"/>
  <c r="AY114" i="52"/>
  <c r="AY152" i="52"/>
  <c r="AY78" i="52"/>
  <c r="AY53" i="52"/>
  <c r="AY13" i="52"/>
  <c r="AY47" i="52"/>
  <c r="AY15" i="52"/>
  <c r="AY177" i="52"/>
  <c r="AY117" i="52"/>
  <c r="AY112" i="52"/>
  <c r="AY20" i="52"/>
  <c r="AY54" i="52"/>
  <c r="AY178" i="52"/>
  <c r="AY246" i="52"/>
  <c r="AY274" i="52"/>
  <c r="AY249" i="52"/>
  <c r="AY240" i="52"/>
  <c r="AY243" i="52"/>
  <c r="AY272" i="52"/>
  <c r="AY77" i="52"/>
  <c r="AY85" i="52"/>
  <c r="AY74" i="52"/>
  <c r="AY119" i="52"/>
  <c r="AY49" i="52"/>
  <c r="AY25" i="52"/>
  <c r="AY48" i="52"/>
  <c r="AY46" i="52"/>
  <c r="AY273" i="52"/>
  <c r="AY209" i="52"/>
  <c r="AY186" i="52"/>
  <c r="AY174" i="52"/>
  <c r="AY241" i="52"/>
  <c r="AY282" i="52"/>
  <c r="AY279" i="52"/>
  <c r="AY250" i="52"/>
  <c r="AY87" i="52"/>
  <c r="AY76" i="52"/>
  <c r="AY82" i="52"/>
  <c r="AY17" i="52"/>
  <c r="AY52" i="52"/>
  <c r="AY79" i="52"/>
  <c r="AY14" i="52"/>
  <c r="AY22" i="52"/>
  <c r="AY212" i="52"/>
  <c r="AY217" i="52"/>
  <c r="AY206" i="52"/>
  <c r="AY182" i="52"/>
  <c r="AY247" i="52"/>
  <c r="AY275" i="52"/>
  <c r="AY211" i="52"/>
  <c r="AY284" i="52"/>
  <c r="AY283" i="52"/>
  <c r="AY115" i="52"/>
  <c r="AY148" i="52"/>
  <c r="AY143" i="52"/>
  <c r="AY84" i="52"/>
  <c r="AY45" i="52"/>
  <c r="AY44" i="52"/>
  <c r="AY9" i="52"/>
  <c r="AY50" i="52"/>
  <c r="AY179" i="52"/>
  <c r="AY214" i="52"/>
  <c r="AY176" i="52"/>
  <c r="AY244" i="52"/>
  <c r="AY277" i="52"/>
  <c r="AY140" i="52"/>
  <c r="AY150" i="52"/>
  <c r="AY151" i="52"/>
  <c r="AY10" i="52"/>
  <c r="AY11" i="52"/>
  <c r="AY18" i="52"/>
  <c r="AY80" i="52"/>
  <c r="AY81" i="52"/>
  <c r="AY116" i="52"/>
  <c r="AY187" i="52"/>
  <c r="AY210" i="52"/>
  <c r="AY276" i="52"/>
  <c r="AY183" i="52"/>
  <c r="AY252" i="52"/>
  <c r="AY248" i="52"/>
  <c r="AY149" i="52"/>
  <c r="AY281" i="52"/>
  <c r="AY142" i="52"/>
  <c r="AY153" i="52"/>
  <c r="AY106" i="52"/>
  <c r="AY108" i="52"/>
  <c r="AY16" i="52"/>
  <c r="AY19" i="52"/>
  <c r="AY75" i="52"/>
  <c r="AY41" i="52"/>
  <c r="AY207" i="52"/>
  <c r="AY218" i="52"/>
  <c r="AY180" i="52"/>
  <c r="AY251" i="52"/>
  <c r="AY141" i="52"/>
  <c r="AY145" i="52"/>
  <c r="AY109" i="52"/>
  <c r="AY146" i="52"/>
  <c r="AY86" i="52"/>
  <c r="AY12" i="52"/>
  <c r="AY256" i="52"/>
  <c r="AY92" i="52"/>
  <c r="AY157" i="52"/>
  <c r="AY225" i="52"/>
  <c r="AY226" i="52"/>
  <c r="AY126" i="52"/>
  <c r="AY257" i="52"/>
  <c r="AY123" i="52"/>
  <c r="AY91" i="52"/>
  <c r="AY192" i="52"/>
  <c r="AY160" i="52"/>
  <c r="AY124" i="52"/>
  <c r="AY223" i="52"/>
  <c r="AY258" i="52"/>
  <c r="AY289" i="52"/>
  <c r="AY224" i="52"/>
  <c r="AY291" i="52"/>
  <c r="AY93" i="52"/>
  <c r="AY59" i="52"/>
  <c r="AY61" i="52"/>
  <c r="AY191" i="52"/>
  <c r="AY290" i="52"/>
  <c r="AY193" i="52"/>
  <c r="AY94" i="52"/>
  <c r="AY58" i="52"/>
  <c r="AY60" i="52"/>
  <c r="AY194" i="52"/>
  <c r="AY125" i="52"/>
  <c r="AY259" i="52"/>
  <c r="AY158" i="52"/>
  <c r="AY292" i="52"/>
  <c r="AY159" i="52"/>
  <c r="AY27" i="52"/>
  <c r="AY26" i="52"/>
  <c r="AY29" i="52"/>
  <c r="AY28" i="52"/>
  <c r="W15" i="76"/>
  <c r="Z142" i="74" s="1"/>
  <c r="Z211" i="74" s="1"/>
  <c r="W16" i="76"/>
  <c r="W14" i="76"/>
  <c r="Z141" i="74" s="1"/>
  <c r="Z210" i="74" s="1"/>
  <c r="H39" i="92"/>
  <c r="N7" i="92" s="1"/>
  <c r="H40" i="92"/>
  <c r="N8" i="92" s="1"/>
  <c r="K157" i="74"/>
  <c r="K252" i="74" s="1"/>
  <c r="K156" i="74"/>
  <c r="K251" i="74" s="1"/>
  <c r="C40" i="35"/>
  <c r="H40" i="35" s="1"/>
  <c r="N8" i="35" s="1"/>
  <c r="B27" i="76"/>
  <c r="C39" i="35"/>
  <c r="H39" i="35" s="1"/>
  <c r="N7" i="35" s="1"/>
  <c r="B13" i="76"/>
  <c r="I10" i="35"/>
  <c r="J9" i="35"/>
  <c r="K9" i="35"/>
  <c r="I9" i="35"/>
  <c r="J8" i="35"/>
  <c r="I8" i="35"/>
  <c r="K6" i="35"/>
  <c r="J6" i="35"/>
  <c r="I6" i="35"/>
  <c r="N16" i="35"/>
  <c r="F10" i="35"/>
  <c r="D10" i="35"/>
  <c r="F8" i="35"/>
  <c r="D8" i="35"/>
  <c r="E8" i="35"/>
  <c r="S144" i="74" l="1"/>
  <c r="S213" i="74" s="1"/>
  <c r="AM145" i="74"/>
  <c r="AM214" i="74" s="1"/>
  <c r="AM212" i="74"/>
  <c r="Z145" i="74"/>
  <c r="Z214" i="74" s="1"/>
  <c r="Z212" i="74"/>
  <c r="S145" i="74"/>
  <c r="S214" i="74" s="1"/>
  <c r="S212" i="74"/>
  <c r="AZ180" i="52"/>
  <c r="AZ213" i="52"/>
  <c r="AZ209" i="52"/>
  <c r="AZ245" i="52"/>
  <c r="AZ244" i="52"/>
  <c r="AZ252" i="52"/>
  <c r="AZ108" i="52"/>
  <c r="AZ107" i="52"/>
  <c r="AZ145" i="52"/>
  <c r="AZ141" i="52"/>
  <c r="AZ45" i="52"/>
  <c r="AZ10" i="52"/>
  <c r="AZ41" i="52"/>
  <c r="AZ15" i="52"/>
  <c r="AZ76" i="52"/>
  <c r="AZ25" i="52"/>
  <c r="AZ208" i="52"/>
  <c r="AZ178" i="52"/>
  <c r="AZ211" i="52"/>
  <c r="AZ248" i="52"/>
  <c r="AZ242" i="52"/>
  <c r="AZ251" i="52"/>
  <c r="AZ272" i="52"/>
  <c r="AZ110" i="52"/>
  <c r="AZ118" i="52"/>
  <c r="AZ115" i="52"/>
  <c r="AZ153" i="52"/>
  <c r="AZ143" i="52"/>
  <c r="AZ12" i="52"/>
  <c r="AZ11" i="52"/>
  <c r="AZ13" i="52"/>
  <c r="AZ17" i="52"/>
  <c r="AZ82" i="52"/>
  <c r="AZ18" i="52"/>
  <c r="BA8" i="52"/>
  <c r="AZ216" i="52"/>
  <c r="AZ186" i="52"/>
  <c r="AZ219" i="52"/>
  <c r="AZ246" i="52"/>
  <c r="AZ239" i="52"/>
  <c r="AZ278" i="52"/>
  <c r="AZ273" i="52"/>
  <c r="AZ111" i="52"/>
  <c r="AZ119" i="52"/>
  <c r="AZ106" i="52"/>
  <c r="AZ116" i="52"/>
  <c r="AZ14" i="52"/>
  <c r="AZ19" i="52"/>
  <c r="AZ22" i="52"/>
  <c r="AZ43" i="52"/>
  <c r="AZ79" i="52"/>
  <c r="AZ174" i="52"/>
  <c r="AZ206" i="52"/>
  <c r="AZ240" i="52"/>
  <c r="AZ277" i="52"/>
  <c r="AZ250" i="52"/>
  <c r="AZ285" i="52"/>
  <c r="AZ281" i="52"/>
  <c r="AZ150" i="52"/>
  <c r="AZ86" i="52"/>
  <c r="AZ112" i="52"/>
  <c r="AZ83" i="52"/>
  <c r="AZ146" i="52"/>
  <c r="AZ20" i="52"/>
  <c r="AZ80" i="52"/>
  <c r="AZ74" i="52"/>
  <c r="AZ42" i="52"/>
  <c r="AZ50" i="52"/>
  <c r="AZ182" i="52"/>
  <c r="AZ179" i="52"/>
  <c r="AZ214" i="52"/>
  <c r="AZ181" i="52"/>
  <c r="AZ241" i="52"/>
  <c r="AZ275" i="52"/>
  <c r="AZ280" i="52"/>
  <c r="AZ243" i="52"/>
  <c r="AZ84" i="52"/>
  <c r="AZ85" i="52"/>
  <c r="AZ148" i="52"/>
  <c r="AZ21" i="52"/>
  <c r="AZ81" i="52"/>
  <c r="AZ46" i="52"/>
  <c r="AZ187" i="52"/>
  <c r="AZ217" i="52"/>
  <c r="AZ247" i="52"/>
  <c r="AZ283" i="52"/>
  <c r="AZ274" i="52"/>
  <c r="AZ142" i="52"/>
  <c r="AZ144" i="52"/>
  <c r="AZ75" i="52"/>
  <c r="AZ78" i="52"/>
  <c r="AZ140" i="52"/>
  <c r="AZ52" i="52"/>
  <c r="AZ47" i="52"/>
  <c r="AZ210" i="52"/>
  <c r="AZ207" i="52"/>
  <c r="AZ175" i="52"/>
  <c r="AZ177" i="52"/>
  <c r="AZ176" i="52"/>
  <c r="AZ282" i="52"/>
  <c r="AZ279" i="52"/>
  <c r="AZ149" i="52"/>
  <c r="AZ77" i="52"/>
  <c r="AZ147" i="52"/>
  <c r="AZ87" i="52"/>
  <c r="AZ117" i="52"/>
  <c r="AZ44" i="52"/>
  <c r="AZ48" i="52"/>
  <c r="AZ9" i="52"/>
  <c r="AZ218" i="52"/>
  <c r="AZ215" i="52"/>
  <c r="AZ183" i="52"/>
  <c r="AZ184" i="52"/>
  <c r="AZ276" i="52"/>
  <c r="AZ212" i="52"/>
  <c r="AZ185" i="52"/>
  <c r="AZ284" i="52"/>
  <c r="AZ249" i="52"/>
  <c r="AZ151" i="52"/>
  <c r="AZ152" i="52"/>
  <c r="AZ114" i="52"/>
  <c r="AZ109" i="52"/>
  <c r="AZ51" i="52"/>
  <c r="AZ53" i="52"/>
  <c r="AZ16" i="52"/>
  <c r="AZ49" i="52"/>
  <c r="AZ113" i="52"/>
  <c r="AZ54" i="52"/>
  <c r="AZ258" i="52"/>
  <c r="AZ192" i="52"/>
  <c r="AZ291" i="52"/>
  <c r="AZ92" i="52"/>
  <c r="AZ223" i="52"/>
  <c r="AZ225" i="52"/>
  <c r="AZ93" i="52"/>
  <c r="AZ126" i="52"/>
  <c r="AZ257" i="52"/>
  <c r="AZ123" i="52"/>
  <c r="AZ91" i="52"/>
  <c r="AZ193" i="52"/>
  <c r="AZ125" i="52"/>
  <c r="AZ61" i="52"/>
  <c r="AZ158" i="52"/>
  <c r="AZ124" i="52"/>
  <c r="AZ224" i="52"/>
  <c r="AZ94" i="52"/>
  <c r="AZ256" i="52"/>
  <c r="AZ59" i="52"/>
  <c r="AZ157" i="52"/>
  <c r="AZ60" i="52"/>
  <c r="AZ290" i="52"/>
  <c r="AZ289" i="52"/>
  <c r="AZ194" i="52"/>
  <c r="AZ159" i="52"/>
  <c r="AZ292" i="52"/>
  <c r="AZ58" i="52"/>
  <c r="AZ259" i="52"/>
  <c r="AZ226" i="52"/>
  <c r="AZ191" i="52"/>
  <c r="AZ160" i="52"/>
  <c r="AZ26" i="52"/>
  <c r="AZ27" i="52"/>
  <c r="AZ28" i="52"/>
  <c r="AZ29" i="52"/>
  <c r="E140" i="74"/>
  <c r="E209" i="74" s="1"/>
  <c r="E154" i="74"/>
  <c r="E249" i="74" s="1"/>
  <c r="E7" i="35"/>
  <c r="D7" i="35"/>
  <c r="J10" i="35"/>
  <c r="R7" i="34"/>
  <c r="P7" i="34"/>
  <c r="R6" i="34"/>
  <c r="D45" i="34"/>
  <c r="C45" i="34"/>
  <c r="P6" i="34" s="1"/>
  <c r="R5" i="34"/>
  <c r="E44" i="34"/>
  <c r="D44" i="34"/>
  <c r="P5" i="34"/>
  <c r="L17" i="34"/>
  <c r="K17" i="34"/>
  <c r="J17" i="34"/>
  <c r="L15" i="34"/>
  <c r="K15" i="34"/>
  <c r="J15" i="34"/>
  <c r="K14" i="34"/>
  <c r="J14" i="34"/>
  <c r="K12" i="34"/>
  <c r="L12" i="34"/>
  <c r="J12" i="34"/>
  <c r="K13" i="34"/>
  <c r="J13" i="34"/>
  <c r="K11" i="34"/>
  <c r="J11" i="34"/>
  <c r="L10" i="34"/>
  <c r="K10" i="34"/>
  <c r="J10" i="34"/>
  <c r="K9" i="34"/>
  <c r="J9" i="34"/>
  <c r="K5" i="34"/>
  <c r="L5" i="34"/>
  <c r="J5" i="34"/>
  <c r="D8" i="34"/>
  <c r="C8" i="34"/>
  <c r="C7" i="34"/>
  <c r="U13" i="33"/>
  <c r="C55" i="33"/>
  <c r="D55" i="33"/>
  <c r="E55" i="33"/>
  <c r="E54" i="33"/>
  <c r="D54" i="33"/>
  <c r="J54" i="33" s="1"/>
  <c r="J56" i="33" s="1"/>
  <c r="T16" i="33" s="1"/>
  <c r="C54" i="33"/>
  <c r="S13" i="33" s="1"/>
  <c r="W43" i="33"/>
  <c r="U10" i="33" s="1"/>
  <c r="U43" i="33"/>
  <c r="S10" i="33" s="1"/>
  <c r="U9" i="33"/>
  <c r="E53" i="33"/>
  <c r="D53" i="33"/>
  <c r="C53" i="33"/>
  <c r="I53" i="33" s="1"/>
  <c r="S9" i="33" s="1"/>
  <c r="U8" i="33"/>
  <c r="E52" i="33"/>
  <c r="C52" i="33"/>
  <c r="I52" i="33" s="1"/>
  <c r="S8" i="33" s="1"/>
  <c r="D52" i="33"/>
  <c r="F419" i="45"/>
  <c r="N14" i="33"/>
  <c r="M14" i="33"/>
  <c r="N13" i="33"/>
  <c r="M13" i="33"/>
  <c r="J44" i="33"/>
  <c r="N44" i="33" s="1"/>
  <c r="O9" i="33"/>
  <c r="M9" i="33"/>
  <c r="N8" i="33"/>
  <c r="O8" i="33"/>
  <c r="M8" i="33"/>
  <c r="F15" i="33"/>
  <c r="E15" i="33"/>
  <c r="D15" i="33"/>
  <c r="F14" i="33"/>
  <c r="E14" i="33"/>
  <c r="AF29" i="33" s="1"/>
  <c r="D14" i="33"/>
  <c r="E11" i="9"/>
  <c r="E24" i="9" s="1"/>
  <c r="C11" i="9"/>
  <c r="C24" i="9" s="1"/>
  <c r="D11" i="9"/>
  <c r="D24" i="9" s="1"/>
  <c r="E10" i="9"/>
  <c r="C10" i="9"/>
  <c r="E22" i="12"/>
  <c r="C22" i="12"/>
  <c r="G15" i="12"/>
  <c r="E93" i="12"/>
  <c r="C93" i="12"/>
  <c r="D93" i="12"/>
  <c r="D95" i="12"/>
  <c r="G16" i="12"/>
  <c r="I16" i="12"/>
  <c r="D15" i="12"/>
  <c r="D22" i="12"/>
  <c r="H6" i="39"/>
  <c r="G6" i="39"/>
  <c r="F6" i="39"/>
  <c r="E6" i="39"/>
  <c r="E15" i="12"/>
  <c r="C15" i="12"/>
  <c r="C18" i="12"/>
  <c r="E19" i="12"/>
  <c r="C19" i="12"/>
  <c r="O38" i="12" s="1"/>
  <c r="C16" i="12"/>
  <c r="E14" i="12"/>
  <c r="C14" i="12"/>
  <c r="E13" i="12"/>
  <c r="C13" i="12"/>
  <c r="E12" i="12"/>
  <c r="C12" i="12"/>
  <c r="E7" i="12"/>
  <c r="C6" i="12"/>
  <c r="BA183" i="52" l="1"/>
  <c r="BA180" i="52"/>
  <c r="BA240" i="52"/>
  <c r="BA246" i="52"/>
  <c r="BA272" i="52"/>
  <c r="BA143" i="52"/>
  <c r="BA250" i="52"/>
  <c r="BA107" i="52"/>
  <c r="BA79" i="52"/>
  <c r="BA78" i="52"/>
  <c r="BA12" i="52"/>
  <c r="BA150" i="52"/>
  <c r="BA111" i="52"/>
  <c r="BA74" i="52"/>
  <c r="BA15" i="52"/>
  <c r="BA210" i="52"/>
  <c r="BA85" i="52"/>
  <c r="BA208" i="52"/>
  <c r="BA176" i="52"/>
  <c r="BA249" i="52"/>
  <c r="BA277" i="52"/>
  <c r="BA182" i="52"/>
  <c r="BA244" i="52"/>
  <c r="BA273" i="52"/>
  <c r="BA84" i="52"/>
  <c r="BA146" i="52"/>
  <c r="BA145" i="52"/>
  <c r="BA9" i="52"/>
  <c r="BA81" i="52"/>
  <c r="BA112" i="52"/>
  <c r="BA14" i="52"/>
  <c r="BA152" i="52"/>
  <c r="BA148" i="52"/>
  <c r="BA45" i="52"/>
  <c r="BA47" i="52"/>
  <c r="BA16" i="52"/>
  <c r="BA211" i="52"/>
  <c r="BA216" i="52"/>
  <c r="BA184" i="52"/>
  <c r="BA178" i="52"/>
  <c r="BA245" i="52"/>
  <c r="BA285" i="52"/>
  <c r="BA275" i="52"/>
  <c r="BA153" i="52"/>
  <c r="BA86" i="52"/>
  <c r="BA80" i="52"/>
  <c r="BA141" i="52"/>
  <c r="BA77" i="52"/>
  <c r="BA75" i="52"/>
  <c r="BA54" i="52"/>
  <c r="BA53" i="52"/>
  <c r="BA18" i="52"/>
  <c r="BA21" i="52"/>
  <c r="BA17" i="52"/>
  <c r="BA22" i="52"/>
  <c r="BA215" i="52"/>
  <c r="BA251" i="52"/>
  <c r="BA218" i="52"/>
  <c r="BA116" i="52"/>
  <c r="BA76" i="52"/>
  <c r="BA25" i="52"/>
  <c r="BA13" i="52"/>
  <c r="BA219" i="52"/>
  <c r="BA278" i="52"/>
  <c r="BA247" i="52"/>
  <c r="BA185" i="52"/>
  <c r="BA252" i="52"/>
  <c r="BA118" i="52"/>
  <c r="BA280" i="52"/>
  <c r="BA110" i="52"/>
  <c r="BA44" i="52"/>
  <c r="BA108" i="52"/>
  <c r="BA52" i="52"/>
  <c r="BA82" i="52"/>
  <c r="BA48" i="52"/>
  <c r="BA51" i="52"/>
  <c r="BA20" i="52"/>
  <c r="BA274" i="52"/>
  <c r="BA119" i="52"/>
  <c r="BA10" i="52"/>
  <c r="BA43" i="52"/>
  <c r="BA217" i="52"/>
  <c r="BA181" i="52"/>
  <c r="BA179" i="52"/>
  <c r="BA212" i="52"/>
  <c r="BA177" i="52"/>
  <c r="BA214" i="52"/>
  <c r="BA283" i="52"/>
  <c r="BA117" i="52"/>
  <c r="BA142" i="52"/>
  <c r="BA11" i="52"/>
  <c r="BA175" i="52"/>
  <c r="BA149" i="52"/>
  <c r="BA187" i="52"/>
  <c r="BA241" i="52"/>
  <c r="BA206" i="52"/>
  <c r="BA276" i="52"/>
  <c r="BA151" i="52"/>
  <c r="BA279" i="52"/>
  <c r="BA140" i="52"/>
  <c r="BA144" i="52"/>
  <c r="BA113" i="52"/>
  <c r="BA41" i="52"/>
  <c r="BA49" i="52"/>
  <c r="BA83" i="52"/>
  <c r="BA19" i="52"/>
  <c r="BB8" i="52"/>
  <c r="BA209" i="52"/>
  <c r="BA207" i="52"/>
  <c r="BA174" i="52"/>
  <c r="BA213" i="52"/>
  <c r="BA186" i="52"/>
  <c r="BA243" i="52"/>
  <c r="BA284" i="52"/>
  <c r="BA239" i="52"/>
  <c r="BA114" i="52"/>
  <c r="BA115" i="52"/>
  <c r="BA109" i="52"/>
  <c r="BA147" i="52"/>
  <c r="BA106" i="52"/>
  <c r="BA42" i="52"/>
  <c r="BA50" i="52"/>
  <c r="BA87" i="52"/>
  <c r="BA248" i="52"/>
  <c r="BA242" i="52"/>
  <c r="BA282" i="52"/>
  <c r="BA281" i="52"/>
  <c r="BA46" i="52"/>
  <c r="BA158" i="52"/>
  <c r="BA126" i="52"/>
  <c r="BA258" i="52"/>
  <c r="BA58" i="52"/>
  <c r="BA123" i="52"/>
  <c r="BA259" i="52"/>
  <c r="BA93" i="52"/>
  <c r="BA191" i="52"/>
  <c r="BA60" i="52"/>
  <c r="BA225" i="52"/>
  <c r="BA124" i="52"/>
  <c r="BA91" i="52"/>
  <c r="BA226" i="52"/>
  <c r="BA290" i="52"/>
  <c r="BA94" i="52"/>
  <c r="BA192" i="52"/>
  <c r="BA223" i="52"/>
  <c r="BA256" i="52"/>
  <c r="BA59" i="52"/>
  <c r="BA92" i="52"/>
  <c r="BA157" i="52"/>
  <c r="BA61" i="52"/>
  <c r="BA159" i="52"/>
  <c r="BA291" i="52"/>
  <c r="BA257" i="52"/>
  <c r="BA289" i="52"/>
  <c r="BA194" i="52"/>
  <c r="BA224" i="52"/>
  <c r="BA125" i="52"/>
  <c r="BA193" i="52"/>
  <c r="BA292" i="52"/>
  <c r="BA160" i="52"/>
  <c r="BA26" i="52"/>
  <c r="BA27" i="52"/>
  <c r="BA28" i="52"/>
  <c r="BA29" i="52"/>
  <c r="J52" i="33"/>
  <c r="J53" i="33" s="1"/>
  <c r="R43" i="33"/>
  <c r="J55" i="33"/>
  <c r="T14" i="33" s="1"/>
  <c r="K198" i="45"/>
  <c r="N198" i="45"/>
  <c r="J198" i="45"/>
  <c r="O198" i="45"/>
  <c r="L198" i="45"/>
  <c r="S198" i="45"/>
  <c r="Q198" i="45"/>
  <c r="R198" i="45"/>
  <c r="C86" i="12"/>
  <c r="D10" i="9"/>
  <c r="I11" i="11"/>
  <c r="I10" i="11"/>
  <c r="I9" i="11"/>
  <c r="G11" i="11"/>
  <c r="G10" i="11"/>
  <c r="G9" i="11"/>
  <c r="I7" i="11"/>
  <c r="G7" i="11"/>
  <c r="I6" i="11"/>
  <c r="I5" i="11"/>
  <c r="G6" i="11"/>
  <c r="G5" i="11"/>
  <c r="E24" i="11"/>
  <c r="C24" i="11"/>
  <c r="C23" i="11"/>
  <c r="C22" i="11"/>
  <c r="C21" i="11"/>
  <c r="C20" i="11"/>
  <c r="C19" i="11"/>
  <c r="C18" i="11"/>
  <c r="C16" i="11"/>
  <c r="G33" i="11" s="1"/>
  <c r="C14" i="11"/>
  <c r="C8" i="11"/>
  <c r="C11" i="11"/>
  <c r="C10" i="11"/>
  <c r="D7" i="11"/>
  <c r="E7" i="11"/>
  <c r="E6" i="11"/>
  <c r="D6" i="11"/>
  <c r="C7" i="11"/>
  <c r="C6" i="11"/>
  <c r="BB184" i="52" l="1"/>
  <c r="BB239" i="52"/>
  <c r="BB177" i="52"/>
  <c r="BB206" i="52"/>
  <c r="BB273" i="52"/>
  <c r="BB251" i="52"/>
  <c r="BB243" i="52"/>
  <c r="BB113" i="52"/>
  <c r="BB77" i="52"/>
  <c r="BB117" i="52"/>
  <c r="BB52" i="52"/>
  <c r="BB21" i="52"/>
  <c r="BB13" i="52"/>
  <c r="BB19" i="52"/>
  <c r="BB252" i="52"/>
  <c r="BB111" i="52"/>
  <c r="BB181" i="52"/>
  <c r="BB185" i="52"/>
  <c r="BB250" i="52"/>
  <c r="BB241" i="52"/>
  <c r="BB179" i="52"/>
  <c r="BB272" i="52"/>
  <c r="BB246" i="52"/>
  <c r="BB148" i="52"/>
  <c r="BB106" i="52"/>
  <c r="BB45" i="52"/>
  <c r="BB85" i="52"/>
  <c r="BB48" i="52"/>
  <c r="BB20" i="52"/>
  <c r="BB22" i="52"/>
  <c r="BB17" i="52"/>
  <c r="BB43" i="52"/>
  <c r="BB176" i="52"/>
  <c r="BB119" i="52"/>
  <c r="BB49" i="52"/>
  <c r="BB10" i="52"/>
  <c r="BB212" i="52"/>
  <c r="BB213" i="52"/>
  <c r="BB279" i="52"/>
  <c r="BB248" i="52"/>
  <c r="BB186" i="52"/>
  <c r="BB281" i="52"/>
  <c r="BB282" i="52"/>
  <c r="BB280" i="52"/>
  <c r="BB275" i="52"/>
  <c r="BB12" i="52"/>
  <c r="BB150" i="52"/>
  <c r="BB53" i="52"/>
  <c r="BB79" i="52"/>
  <c r="BB116" i="52"/>
  <c r="BB84" i="52"/>
  <c r="BB47" i="52"/>
  <c r="BB9" i="52"/>
  <c r="BB11" i="52"/>
  <c r="BB214" i="52"/>
  <c r="BB285" i="52"/>
  <c r="BB145" i="52"/>
  <c r="BB149" i="52"/>
  <c r="BB174" i="52"/>
  <c r="BB209" i="52"/>
  <c r="BB187" i="52"/>
  <c r="BB215" i="52"/>
  <c r="BB245" i="52"/>
  <c r="BB152" i="52"/>
  <c r="BB274" i="52"/>
  <c r="BB147" i="52"/>
  <c r="BB74" i="52"/>
  <c r="BB80" i="52"/>
  <c r="BB146" i="52"/>
  <c r="BB78" i="52"/>
  <c r="BB108" i="52"/>
  <c r="BB44" i="52"/>
  <c r="BB18" i="52"/>
  <c r="BB15" i="52"/>
  <c r="BB141" i="52"/>
  <c r="BB218" i="52"/>
  <c r="BB182" i="52"/>
  <c r="BB217" i="52"/>
  <c r="BB242" i="52"/>
  <c r="BB240" i="52"/>
  <c r="BB277" i="52"/>
  <c r="BB175" i="52"/>
  <c r="BB115" i="52"/>
  <c r="BB284" i="52"/>
  <c r="BB25" i="52"/>
  <c r="BB140" i="52"/>
  <c r="BB82" i="52"/>
  <c r="BB16" i="52"/>
  <c r="BB54" i="52"/>
  <c r="BB46" i="52"/>
  <c r="BB278" i="52"/>
  <c r="BB180" i="52"/>
  <c r="BB178" i="52"/>
  <c r="BB249" i="52"/>
  <c r="BB183" i="52"/>
  <c r="BB211" i="52"/>
  <c r="BB283" i="52"/>
  <c r="BB144" i="52"/>
  <c r="BB81" i="52"/>
  <c r="BB142" i="52"/>
  <c r="BB151" i="52"/>
  <c r="BB109" i="52"/>
  <c r="BB86" i="52"/>
  <c r="BB83" i="52"/>
  <c r="BB87" i="52"/>
  <c r="BB41" i="52"/>
  <c r="BB42" i="52"/>
  <c r="BB216" i="52"/>
  <c r="BB112" i="52"/>
  <c r="BB51" i="52"/>
  <c r="BC8" i="52"/>
  <c r="BB210" i="52"/>
  <c r="BB208" i="52"/>
  <c r="BB207" i="52"/>
  <c r="BB219" i="52"/>
  <c r="BB244" i="52"/>
  <c r="BB276" i="52"/>
  <c r="BB118" i="52"/>
  <c r="BB143" i="52"/>
  <c r="BB153" i="52"/>
  <c r="BB114" i="52"/>
  <c r="BB110" i="52"/>
  <c r="BB76" i="52"/>
  <c r="BB14" i="52"/>
  <c r="BB75" i="52"/>
  <c r="BB50" i="52"/>
  <c r="BB247" i="52"/>
  <c r="BB107" i="52"/>
  <c r="BB194" i="52"/>
  <c r="BB93" i="52"/>
  <c r="BB126" i="52"/>
  <c r="BB193" i="52"/>
  <c r="BB58" i="52"/>
  <c r="BB259" i="52"/>
  <c r="BB292" i="52"/>
  <c r="BB291" i="52"/>
  <c r="BB223" i="52"/>
  <c r="BB160" i="52"/>
  <c r="BB159" i="52"/>
  <c r="BB94" i="52"/>
  <c r="BB60" i="52"/>
  <c r="BB158" i="52"/>
  <c r="BB192" i="52"/>
  <c r="BB256" i="52"/>
  <c r="BB92" i="52"/>
  <c r="BB91" i="52"/>
  <c r="BB226" i="52"/>
  <c r="BB257" i="52"/>
  <c r="BB123" i="52"/>
  <c r="BB157" i="52"/>
  <c r="BB61" i="52"/>
  <c r="BB290" i="52"/>
  <c r="BB258" i="52"/>
  <c r="BB225" i="52"/>
  <c r="BB289" i="52"/>
  <c r="BB124" i="52"/>
  <c r="BB224" i="52"/>
  <c r="BB125" i="52"/>
  <c r="BB191" i="52"/>
  <c r="BB59" i="52"/>
  <c r="BB26" i="52"/>
  <c r="BB27" i="52"/>
  <c r="BB28" i="52"/>
  <c r="BB29" i="52"/>
  <c r="G198" i="45"/>
  <c r="H62" i="11"/>
  <c r="I8" i="9"/>
  <c r="I9" i="9" s="1"/>
  <c r="I7" i="9"/>
  <c r="E141" i="45"/>
  <c r="G8" i="9"/>
  <c r="G7" i="9"/>
  <c r="U43" i="9"/>
  <c r="F130" i="45" s="1"/>
  <c r="T21" i="9"/>
  <c r="S21" i="9"/>
  <c r="F133" i="45"/>
  <c r="E133" i="45"/>
  <c r="S43" i="9"/>
  <c r="E130" i="45" s="1"/>
  <c r="J79" i="74" l="1"/>
  <c r="J226" i="74" s="1"/>
  <c r="BC218" i="52"/>
  <c r="BC206" i="52"/>
  <c r="BC184" i="52"/>
  <c r="BC278" i="52"/>
  <c r="BC277" i="52"/>
  <c r="BC153" i="52"/>
  <c r="BC285" i="52"/>
  <c r="BC152" i="52"/>
  <c r="BC110" i="52"/>
  <c r="BC118" i="52"/>
  <c r="BC21" i="52"/>
  <c r="BC17" i="52"/>
  <c r="BC77" i="52"/>
  <c r="BC42" i="52"/>
  <c r="BC45" i="52"/>
  <c r="BD8" i="52"/>
  <c r="BC211" i="52"/>
  <c r="BC239" i="52"/>
  <c r="BC214" i="52"/>
  <c r="BC250" i="52"/>
  <c r="BC241" i="52"/>
  <c r="BC276" i="52"/>
  <c r="BC281" i="52"/>
  <c r="BC244" i="52"/>
  <c r="BC246" i="52"/>
  <c r="BC149" i="52"/>
  <c r="BC112" i="52"/>
  <c r="BC115" i="52"/>
  <c r="BC109" i="52"/>
  <c r="BC53" i="52"/>
  <c r="BC148" i="52"/>
  <c r="BC79" i="52"/>
  <c r="BC51" i="52"/>
  <c r="BC41" i="52"/>
  <c r="BC177" i="52"/>
  <c r="BC219" i="52"/>
  <c r="BC181" i="52"/>
  <c r="BC279" i="52"/>
  <c r="BC248" i="52"/>
  <c r="BC247" i="52"/>
  <c r="BC275" i="52"/>
  <c r="BC151" i="52"/>
  <c r="BC111" i="52"/>
  <c r="BC108" i="52"/>
  <c r="BC86" i="52"/>
  <c r="BC117" i="52"/>
  <c r="BC49" i="52"/>
  <c r="BC76" i="52"/>
  <c r="BC47" i="52"/>
  <c r="BC52" i="52"/>
  <c r="BC44" i="52"/>
  <c r="BC12" i="52"/>
  <c r="BC84" i="52"/>
  <c r="BC9" i="52"/>
  <c r="BC210" i="52"/>
  <c r="BC142" i="52"/>
  <c r="BC185" i="52"/>
  <c r="BC240" i="52"/>
  <c r="BC207" i="52"/>
  <c r="BC180" i="52"/>
  <c r="BC208" i="52"/>
  <c r="BC284" i="52"/>
  <c r="BC283" i="52"/>
  <c r="BC106" i="52"/>
  <c r="BC113" i="52"/>
  <c r="BC78" i="52"/>
  <c r="BC74" i="52"/>
  <c r="BC25" i="52"/>
  <c r="BC43" i="52"/>
  <c r="BC19" i="52"/>
  <c r="BC50" i="52"/>
  <c r="BC282" i="52"/>
  <c r="BC80" i="52"/>
  <c r="BC11" i="52"/>
  <c r="BC18" i="52"/>
  <c r="BC15" i="52"/>
  <c r="BC280" i="52"/>
  <c r="BC147" i="52"/>
  <c r="BC10" i="52"/>
  <c r="BC213" i="52"/>
  <c r="BC174" i="52"/>
  <c r="BC209" i="52"/>
  <c r="BC243" i="52"/>
  <c r="BC187" i="52"/>
  <c r="BC176" i="52"/>
  <c r="BC145" i="52"/>
  <c r="BC141" i="52"/>
  <c r="BC46" i="52"/>
  <c r="BC114" i="52"/>
  <c r="BC119" i="52"/>
  <c r="BC48" i="52"/>
  <c r="BC54" i="52"/>
  <c r="BC186" i="52"/>
  <c r="BC146" i="52"/>
  <c r="BC182" i="52"/>
  <c r="BC217" i="52"/>
  <c r="BC251" i="52"/>
  <c r="BC216" i="52"/>
  <c r="BC212" i="52"/>
  <c r="BC242" i="52"/>
  <c r="BC179" i="52"/>
  <c r="BC273" i="52"/>
  <c r="BC143" i="52"/>
  <c r="BC81" i="52"/>
  <c r="BC107" i="52"/>
  <c r="BC140" i="52"/>
  <c r="BC14" i="52"/>
  <c r="BC22" i="52"/>
  <c r="BC20" i="52"/>
  <c r="BC82" i="52"/>
  <c r="BC183" i="52"/>
  <c r="BC75" i="52"/>
  <c r="BC175" i="52"/>
  <c r="BC178" i="52"/>
  <c r="BC272" i="52"/>
  <c r="BC249" i="52"/>
  <c r="BC252" i="52"/>
  <c r="BC215" i="52"/>
  <c r="BC274" i="52"/>
  <c r="BC144" i="52"/>
  <c r="BC87" i="52"/>
  <c r="BC116" i="52"/>
  <c r="BC150" i="52"/>
  <c r="BC13" i="52"/>
  <c r="BC83" i="52"/>
  <c r="BC245" i="52"/>
  <c r="BC16" i="52"/>
  <c r="BC85" i="52"/>
  <c r="BC126" i="52"/>
  <c r="BC289" i="52"/>
  <c r="BC290" i="52"/>
  <c r="BC292" i="52"/>
  <c r="BC123" i="52"/>
  <c r="BC193" i="52"/>
  <c r="BC58" i="52"/>
  <c r="BC59" i="52"/>
  <c r="BC60" i="52"/>
  <c r="BC191" i="52"/>
  <c r="BC259" i="52"/>
  <c r="BC93" i="52"/>
  <c r="BC226" i="52"/>
  <c r="BC94" i="52"/>
  <c r="BC158" i="52"/>
  <c r="BC192" i="52"/>
  <c r="BC194" i="52"/>
  <c r="BC91" i="52"/>
  <c r="BC92" i="52"/>
  <c r="BC125" i="52"/>
  <c r="BC258" i="52"/>
  <c r="BC223" i="52"/>
  <c r="BC157" i="52"/>
  <c r="BC225" i="52"/>
  <c r="BC160" i="52"/>
  <c r="BC124" i="52"/>
  <c r="BC61" i="52"/>
  <c r="BC257" i="52"/>
  <c r="BC256" i="52"/>
  <c r="BC224" i="52"/>
  <c r="BC159" i="52"/>
  <c r="BC291" i="52"/>
  <c r="BC26" i="52"/>
  <c r="BC27" i="52"/>
  <c r="BC28" i="52"/>
  <c r="BC29" i="52"/>
  <c r="B24" i="82"/>
  <c r="D46" i="9"/>
  <c r="H21" i="9"/>
  <c r="G21" i="9"/>
  <c r="C13" i="9"/>
  <c r="D8" i="9"/>
  <c r="C8" i="9"/>
  <c r="D7" i="9"/>
  <c r="C7" i="9"/>
  <c r="D6" i="9"/>
  <c r="C6" i="9"/>
  <c r="D5" i="12"/>
  <c r="C5" i="12"/>
  <c r="E75" i="74" l="1"/>
  <c r="BD184" i="52"/>
  <c r="BD219" i="52"/>
  <c r="BD187" i="52"/>
  <c r="BD239" i="52"/>
  <c r="BD280" i="52"/>
  <c r="BD249" i="52"/>
  <c r="BD283" i="52"/>
  <c r="BD247" i="52"/>
  <c r="BD115" i="52"/>
  <c r="BD81" i="52"/>
  <c r="BD20" i="52"/>
  <c r="BD118" i="52"/>
  <c r="BD145" i="52"/>
  <c r="BD47" i="52"/>
  <c r="BD78" i="52"/>
  <c r="BD46" i="52"/>
  <c r="BD179" i="52"/>
  <c r="BD240" i="52"/>
  <c r="BD207" i="52"/>
  <c r="BD244" i="52"/>
  <c r="BD177" i="52"/>
  <c r="BD146" i="52"/>
  <c r="BD277" i="52"/>
  <c r="BD282" i="52"/>
  <c r="BD108" i="52"/>
  <c r="BD75" i="52"/>
  <c r="BD147" i="52"/>
  <c r="BD49" i="52"/>
  <c r="BD9" i="52"/>
  <c r="BD51" i="52"/>
  <c r="BD22" i="52"/>
  <c r="BD211" i="52"/>
  <c r="BD77" i="52"/>
  <c r="BE8" i="52"/>
  <c r="BD212" i="52"/>
  <c r="BD174" i="52"/>
  <c r="BD215" i="52"/>
  <c r="BD252" i="52"/>
  <c r="BD213" i="52"/>
  <c r="BD208" i="52"/>
  <c r="BD112" i="52"/>
  <c r="BD148" i="52"/>
  <c r="BD141" i="52"/>
  <c r="BD21" i="52"/>
  <c r="BD10" i="52"/>
  <c r="BD43" i="52"/>
  <c r="BD13" i="52"/>
  <c r="BD42" i="52"/>
  <c r="BD18" i="52"/>
  <c r="BD272" i="52"/>
  <c r="BD248" i="52"/>
  <c r="BD79" i="52"/>
  <c r="BD82" i="52"/>
  <c r="BD86" i="52"/>
  <c r="BD178" i="52"/>
  <c r="BD241" i="52"/>
  <c r="BD182" i="52"/>
  <c r="BD273" i="52"/>
  <c r="BD250" i="52"/>
  <c r="BD276" i="52"/>
  <c r="BD285" i="52"/>
  <c r="BD274" i="52"/>
  <c r="BD113" i="52"/>
  <c r="BD117" i="52"/>
  <c r="BD150" i="52"/>
  <c r="BD15" i="52"/>
  <c r="BD11" i="52"/>
  <c r="BD52" i="52"/>
  <c r="BD74" i="52"/>
  <c r="BD25" i="52"/>
  <c r="BD50" i="52"/>
  <c r="BD176" i="52"/>
  <c r="BD186" i="52"/>
  <c r="BD175" i="52"/>
  <c r="BD185" i="52"/>
  <c r="BD281" i="52"/>
  <c r="BD279" i="52"/>
  <c r="BD278" i="52"/>
  <c r="BD284" i="52"/>
  <c r="BD111" i="52"/>
  <c r="BD143" i="52"/>
  <c r="BD151" i="52"/>
  <c r="BD149" i="52"/>
  <c r="BD152" i="52"/>
  <c r="BD16" i="52"/>
  <c r="BD48" i="52"/>
  <c r="BD53" i="52"/>
  <c r="BD142" i="52"/>
  <c r="BD84" i="52"/>
  <c r="BD14" i="52"/>
  <c r="BD275" i="52"/>
  <c r="BD206" i="52"/>
  <c r="BD183" i="52"/>
  <c r="BD210" i="52"/>
  <c r="BD243" i="52"/>
  <c r="BD180" i="52"/>
  <c r="BD246" i="52"/>
  <c r="BD242" i="52"/>
  <c r="BD153" i="52"/>
  <c r="BD116" i="52"/>
  <c r="BD119" i="52"/>
  <c r="BD106" i="52"/>
  <c r="BD17" i="52"/>
  <c r="BD44" i="52"/>
  <c r="BD19" i="52"/>
  <c r="BD80" i="52"/>
  <c r="BD41" i="52"/>
  <c r="BD216" i="52"/>
  <c r="BD114" i="52"/>
  <c r="BD76" i="52"/>
  <c r="BD214" i="52"/>
  <c r="BD218" i="52"/>
  <c r="BD181" i="52"/>
  <c r="BD251" i="52"/>
  <c r="BD209" i="52"/>
  <c r="BD245" i="52"/>
  <c r="BD140" i="52"/>
  <c r="BD109" i="52"/>
  <c r="BD110" i="52"/>
  <c r="BD83" i="52"/>
  <c r="BD107" i="52"/>
  <c r="BD144" i="52"/>
  <c r="BD45" i="52"/>
  <c r="BD12" i="52"/>
  <c r="BD85" i="52"/>
  <c r="BD217" i="52"/>
  <c r="BD87" i="52"/>
  <c r="BD54" i="52"/>
  <c r="BD59" i="52"/>
  <c r="BD125" i="52"/>
  <c r="BD60" i="52"/>
  <c r="BD291" i="52"/>
  <c r="BD193" i="52"/>
  <c r="BD256" i="52"/>
  <c r="BD159" i="52"/>
  <c r="BD94" i="52"/>
  <c r="BD194" i="52"/>
  <c r="BD226" i="52"/>
  <c r="BD93" i="52"/>
  <c r="BD126" i="52"/>
  <c r="BD257" i="52"/>
  <c r="BD158" i="52"/>
  <c r="BD289" i="52"/>
  <c r="BD224" i="52"/>
  <c r="BD58" i="52"/>
  <c r="BD160" i="52"/>
  <c r="BD92" i="52"/>
  <c r="BD61" i="52"/>
  <c r="BD258" i="52"/>
  <c r="BD223" i="52"/>
  <c r="BD225" i="52"/>
  <c r="BD191" i="52"/>
  <c r="BD259" i="52"/>
  <c r="BD157" i="52"/>
  <c r="BD290" i="52"/>
  <c r="BD192" i="52"/>
  <c r="BD123" i="52"/>
  <c r="BD124" i="52"/>
  <c r="BD292" i="52"/>
  <c r="BD91" i="52"/>
  <c r="BD26" i="52"/>
  <c r="BD27" i="52"/>
  <c r="BD28" i="52"/>
  <c r="BD29" i="52"/>
  <c r="G108" i="74"/>
  <c r="G204" i="74" s="1"/>
  <c r="H108" i="74"/>
  <c r="H204" i="74" s="1"/>
  <c r="H120" i="74"/>
  <c r="H241" i="74" s="1"/>
  <c r="G120" i="74"/>
  <c r="G241" i="74" s="1"/>
  <c r="G105" i="74"/>
  <c r="G201" i="74" s="1"/>
  <c r="H105" i="74"/>
  <c r="H201" i="74" s="1"/>
  <c r="E222" i="74"/>
  <c r="S197" i="45"/>
  <c r="J197" i="45"/>
  <c r="Q197" i="45"/>
  <c r="L197" i="45"/>
  <c r="N197" i="45"/>
  <c r="K197" i="45"/>
  <c r="R197" i="45"/>
  <c r="O197" i="45"/>
  <c r="D6" i="71"/>
  <c r="D18" i="12"/>
  <c r="L23" i="9"/>
  <c r="P23" i="9" s="1"/>
  <c r="H49" i="9"/>
  <c r="BE213" i="52" l="1"/>
  <c r="BE175" i="52"/>
  <c r="BE181" i="52"/>
  <c r="BE243" i="52"/>
  <c r="BE182" i="52"/>
  <c r="BE279" i="52"/>
  <c r="BE81" i="52"/>
  <c r="BE143" i="52"/>
  <c r="BE149" i="52"/>
  <c r="BE22" i="52"/>
  <c r="BE21" i="52"/>
  <c r="BE16" i="52"/>
  <c r="BE240" i="52"/>
  <c r="BE52" i="52"/>
  <c r="BE19" i="52"/>
  <c r="BE183" i="52"/>
  <c r="BE210" i="52"/>
  <c r="BE251" i="52"/>
  <c r="BE284" i="52"/>
  <c r="BE186" i="52"/>
  <c r="BE145" i="52"/>
  <c r="BE118" i="52"/>
  <c r="BE112" i="52"/>
  <c r="BE77" i="52"/>
  <c r="BE44" i="52"/>
  <c r="BE14" i="52"/>
  <c r="BE9" i="52"/>
  <c r="BE17" i="52"/>
  <c r="BE241" i="52"/>
  <c r="BE109" i="52"/>
  <c r="BE179" i="52"/>
  <c r="BE242" i="52"/>
  <c r="BE178" i="52"/>
  <c r="BE217" i="52"/>
  <c r="BE272" i="52"/>
  <c r="BE218" i="52"/>
  <c r="BE275" i="52"/>
  <c r="BE248" i="52"/>
  <c r="BE285" i="52"/>
  <c r="BE142" i="52"/>
  <c r="BE150" i="52"/>
  <c r="BE75" i="52"/>
  <c r="BE153" i="52"/>
  <c r="BE117" i="52"/>
  <c r="BE49" i="52"/>
  <c r="BE53" i="52"/>
  <c r="BE15" i="52"/>
  <c r="BE115" i="52"/>
  <c r="BE41" i="52"/>
  <c r="BE209" i="52"/>
  <c r="BE249" i="52"/>
  <c r="BE111" i="52"/>
  <c r="BE140" i="52"/>
  <c r="BE42" i="52"/>
  <c r="BE187" i="52"/>
  <c r="BE176" i="52"/>
  <c r="BE211" i="52"/>
  <c r="BE214" i="52"/>
  <c r="BE239" i="52"/>
  <c r="BE280" i="52"/>
  <c r="BE283" i="52"/>
  <c r="BE277" i="52"/>
  <c r="BE152" i="52"/>
  <c r="BE114" i="52"/>
  <c r="BE146" i="52"/>
  <c r="BE107" i="52"/>
  <c r="BE110" i="52"/>
  <c r="BE45" i="52"/>
  <c r="BE54" i="52"/>
  <c r="BE86" i="52"/>
  <c r="BE116" i="52"/>
  <c r="BE18" i="52"/>
  <c r="BE174" i="52"/>
  <c r="BE141" i="52"/>
  <c r="BE207" i="52"/>
  <c r="BE184" i="52"/>
  <c r="BE219" i="52"/>
  <c r="BE245" i="52"/>
  <c r="BE244" i="52"/>
  <c r="BE247" i="52"/>
  <c r="BE276" i="52"/>
  <c r="BE148" i="52"/>
  <c r="BE108" i="52"/>
  <c r="BE80" i="52"/>
  <c r="BE46" i="52"/>
  <c r="BE20" i="52"/>
  <c r="BE87" i="52"/>
  <c r="BE74" i="52"/>
  <c r="BE151" i="52"/>
  <c r="BE215" i="52"/>
  <c r="BE180" i="52"/>
  <c r="BE274" i="52"/>
  <c r="BE252" i="52"/>
  <c r="BE206" i="52"/>
  <c r="BE281" i="52"/>
  <c r="BE278" i="52"/>
  <c r="BE84" i="52"/>
  <c r="BE113" i="52"/>
  <c r="BE83" i="52"/>
  <c r="BE82" i="52"/>
  <c r="BE25" i="52"/>
  <c r="BE13" i="52"/>
  <c r="BE47" i="52"/>
  <c r="BE51" i="52"/>
  <c r="BE10" i="52"/>
  <c r="BE216" i="52"/>
  <c r="BE78" i="52"/>
  <c r="BE177" i="52"/>
  <c r="BE212" i="52"/>
  <c r="BE208" i="52"/>
  <c r="BE282" i="52"/>
  <c r="BE273" i="52"/>
  <c r="BE250" i="52"/>
  <c r="BE246" i="52"/>
  <c r="BE144" i="52"/>
  <c r="BE119" i="52"/>
  <c r="BE48" i="52"/>
  <c r="BE106" i="52"/>
  <c r="BE50" i="52"/>
  <c r="BE79" i="52"/>
  <c r="BE85" i="52"/>
  <c r="BE11" i="52"/>
  <c r="BE185" i="52"/>
  <c r="BE147" i="52"/>
  <c r="BE76" i="52"/>
  <c r="BE43" i="52"/>
  <c r="BE12" i="52"/>
  <c r="BE224" i="52"/>
  <c r="BE225" i="52"/>
  <c r="BE194" i="52"/>
  <c r="BE256" i="52"/>
  <c r="BE257" i="52"/>
  <c r="BE93" i="52"/>
  <c r="BE94" i="52"/>
  <c r="BE157" i="52"/>
  <c r="BE124" i="52"/>
  <c r="BE192" i="52"/>
  <c r="BE125" i="52"/>
  <c r="BE290" i="52"/>
  <c r="BE59" i="52"/>
  <c r="BE291" i="52"/>
  <c r="BE289" i="52"/>
  <c r="BE160" i="52"/>
  <c r="BE61" i="52"/>
  <c r="BE259" i="52"/>
  <c r="BE193" i="52"/>
  <c r="BE191" i="52"/>
  <c r="BE226" i="52"/>
  <c r="BE292" i="52"/>
  <c r="BE91" i="52"/>
  <c r="BE258" i="52"/>
  <c r="BE126" i="52"/>
  <c r="BE223" i="52"/>
  <c r="BE123" i="52"/>
  <c r="BE60" i="52"/>
  <c r="BE92" i="52"/>
  <c r="BE158" i="52"/>
  <c r="BE159" i="52"/>
  <c r="BE58" i="52"/>
  <c r="BE26" i="52"/>
  <c r="BE27" i="52"/>
  <c r="BE28" i="52"/>
  <c r="BE29" i="52"/>
  <c r="D27" i="12"/>
  <c r="G197" i="45"/>
  <c r="F172" i="45"/>
  <c r="E172" i="45"/>
  <c r="D20" i="12"/>
  <c r="F173" i="45"/>
  <c r="E173" i="45"/>
  <c r="E9" i="11"/>
  <c r="C9" i="11"/>
  <c r="D9" i="11"/>
  <c r="H31" i="11" s="1"/>
  <c r="D12" i="34"/>
  <c r="J28" i="34" s="1"/>
  <c r="E12" i="34"/>
  <c r="C12" i="34"/>
  <c r="I28" i="34" s="1"/>
  <c r="T20" i="82" l="1"/>
  <c r="W71" i="74" s="1"/>
  <c r="W193" i="74" s="1"/>
  <c r="Q20" i="82"/>
  <c r="T71" i="74" s="1"/>
  <c r="T193" i="74" s="1"/>
  <c r="M20" i="82"/>
  <c r="T17" i="82"/>
  <c r="W68" i="74" s="1"/>
  <c r="W190" i="74" s="1"/>
  <c r="T16" i="82"/>
  <c r="W67" i="74" s="1"/>
  <c r="W189" i="74" s="1"/>
  <c r="Q17" i="82"/>
  <c r="T68" i="74" s="1"/>
  <c r="T190" i="74" s="1"/>
  <c r="Q16" i="82"/>
  <c r="T67" i="74" s="1"/>
  <c r="T189" i="74" s="1"/>
  <c r="M17" i="82"/>
  <c r="P68" i="74" s="1"/>
  <c r="P190" i="74" s="1"/>
  <c r="M16" i="82"/>
  <c r="P67" i="74" s="1"/>
  <c r="P189" i="74" s="1"/>
  <c r="S17" i="82"/>
  <c r="V68" i="74" s="1"/>
  <c r="V190" i="74" s="1"/>
  <c r="S16" i="82"/>
  <c r="V67" i="74" s="1"/>
  <c r="V189" i="74" s="1"/>
  <c r="G16" i="82"/>
  <c r="N79" i="74"/>
  <c r="N226" i="74" s="1"/>
  <c r="Q79" i="74"/>
  <c r="Q226" i="74" s="1"/>
  <c r="M83" i="74"/>
  <c r="M230" i="74" s="1"/>
  <c r="P83" i="74"/>
  <c r="P230" i="74" s="1"/>
  <c r="R79" i="74"/>
  <c r="R226" i="74" s="1"/>
  <c r="G17" i="82"/>
  <c r="S83" i="74"/>
  <c r="S230" i="74" s="1"/>
  <c r="Q83" i="74"/>
  <c r="Q230" i="74" s="1"/>
  <c r="L79" i="74"/>
  <c r="L226" i="74" s="1"/>
  <c r="O79" i="74"/>
  <c r="O226" i="74" s="1"/>
  <c r="R83" i="74"/>
  <c r="R230" i="74" s="1"/>
  <c r="N83" i="74"/>
  <c r="N230" i="74" s="1"/>
  <c r="S79" i="74"/>
  <c r="S226" i="74" s="1"/>
  <c r="M79" i="74"/>
  <c r="M226" i="74" s="1"/>
  <c r="P79" i="74"/>
  <c r="P226" i="74" s="1"/>
  <c r="L83" i="74"/>
  <c r="L230" i="74" s="1"/>
  <c r="O83" i="74"/>
  <c r="O230" i="74" s="1"/>
  <c r="U68" i="74"/>
  <c r="U190" i="74" s="1"/>
  <c r="U67" i="74"/>
  <c r="U189" i="74" s="1"/>
  <c r="U69" i="74"/>
  <c r="U191" i="74" s="1"/>
  <c r="K69" i="74"/>
  <c r="K191" i="74" s="1"/>
  <c r="K68" i="74"/>
  <c r="K190" i="74" s="1"/>
  <c r="K67" i="74"/>
  <c r="K189" i="74" s="1"/>
  <c r="C13" i="11"/>
  <c r="C20" i="12"/>
  <c r="P71" i="74" l="1"/>
  <c r="P193" i="74" s="1"/>
  <c r="D20" i="82"/>
  <c r="G71" i="74" s="1"/>
  <c r="G193" i="74" s="1"/>
  <c r="E20" i="82"/>
  <c r="H71" i="74" s="1"/>
  <c r="H193" i="74" s="1"/>
  <c r="J68" i="74"/>
  <c r="J190" i="74" s="1"/>
  <c r="E17" i="82"/>
  <c r="H68" i="74" s="1"/>
  <c r="H190" i="74" s="1"/>
  <c r="D17" i="82"/>
  <c r="G68" i="74" s="1"/>
  <c r="G190" i="74" s="1"/>
  <c r="J67" i="74"/>
  <c r="J189" i="74" s="1"/>
  <c r="E16" i="82"/>
  <c r="H67" i="74" s="1"/>
  <c r="H189" i="74" s="1"/>
  <c r="D16" i="82"/>
  <c r="G67" i="74" s="1"/>
  <c r="G189" i="74" s="1"/>
  <c r="E23" i="12"/>
  <c r="C23" i="12"/>
  <c r="D23" i="12"/>
  <c r="E21" i="12"/>
  <c r="C21" i="12"/>
  <c r="D21" i="12"/>
  <c r="E25" i="12"/>
  <c r="D25" i="12"/>
  <c r="C25" i="12"/>
  <c r="E28" i="12"/>
  <c r="D28" i="12"/>
  <c r="C28" i="12"/>
  <c r="C28" i="35" l="1"/>
  <c r="H35" i="34"/>
  <c r="H34" i="34"/>
  <c r="E10" i="34"/>
  <c r="F11" i="35" s="1"/>
  <c r="C10" i="34"/>
  <c r="D11" i="35" s="1"/>
  <c r="E26" i="34"/>
  <c r="O26" i="34" s="1"/>
  <c r="C26" i="34"/>
  <c r="C36" i="34" s="1"/>
  <c r="C23" i="34"/>
  <c r="C33" i="34" s="1"/>
  <c r="E36" i="34" l="1"/>
  <c r="W45" i="33"/>
  <c r="U45" i="33"/>
  <c r="W44" i="33"/>
  <c r="I44" i="33"/>
  <c r="M43" i="33" s="1"/>
  <c r="U44" i="33" s="1"/>
  <c r="E28" i="33"/>
  <c r="D6" i="33"/>
  <c r="C28" i="33" l="1"/>
  <c r="M52" i="33"/>
  <c r="Q43" i="33"/>
  <c r="E419" i="45" s="1"/>
  <c r="S17" i="76" l="1"/>
  <c r="J157" i="74"/>
  <c r="J252" i="74" s="1"/>
  <c r="X17" i="76"/>
  <c r="BA157" i="74"/>
  <c r="BA252" i="74" s="1"/>
  <c r="X16" i="76"/>
  <c r="X15" i="76"/>
  <c r="AA142" i="74" s="1"/>
  <c r="AA211" i="74" s="1"/>
  <c r="S16" i="76"/>
  <c r="S15" i="76"/>
  <c r="V142" i="74" s="1"/>
  <c r="V211" i="74" s="1"/>
  <c r="G16" i="76"/>
  <c r="G15" i="76"/>
  <c r="N9" i="11"/>
  <c r="N7" i="11"/>
  <c r="V144" i="74" l="1"/>
  <c r="V213" i="74" s="1"/>
  <c r="E17" i="76"/>
  <c r="D17" i="76"/>
  <c r="E15" i="76"/>
  <c r="D15" i="76"/>
  <c r="J212" i="74"/>
  <c r="D16" i="76"/>
  <c r="E16" i="76"/>
  <c r="AA144" i="74"/>
  <c r="AA213" i="74" s="1"/>
  <c r="V145" i="74"/>
  <c r="V214" i="74" s="1"/>
  <c r="V212" i="74"/>
  <c r="AA145" i="74"/>
  <c r="AA214" i="74" s="1"/>
  <c r="AA212" i="74"/>
  <c r="I48" i="9"/>
  <c r="G48" i="9"/>
  <c r="E23" i="9"/>
  <c r="I22" i="9" s="1"/>
  <c r="E46" i="9"/>
  <c r="C46" i="9"/>
  <c r="C23" i="9"/>
  <c r="G144" i="74" l="1"/>
  <c r="G213" i="74" s="1"/>
  <c r="H144" i="74"/>
  <c r="H213" i="74" s="1"/>
  <c r="K23" i="9"/>
  <c r="G49" i="9"/>
  <c r="M23" i="9"/>
  <c r="I49" i="9"/>
  <c r="L21" i="9"/>
  <c r="H42" i="9"/>
  <c r="I42" i="9" s="1"/>
  <c r="D45" i="9"/>
  <c r="D42" i="9"/>
  <c r="I47" i="9" l="1"/>
  <c r="G47" i="9"/>
  <c r="H47" i="9"/>
  <c r="E45" i="9"/>
  <c r="C45" i="9"/>
  <c r="E44" i="9"/>
  <c r="C44" i="9"/>
  <c r="E43" i="9"/>
  <c r="C43" i="9"/>
  <c r="E42" i="9"/>
  <c r="C42" i="9"/>
  <c r="E41" i="9"/>
  <c r="C41" i="9"/>
  <c r="H48" i="9"/>
  <c r="E4" i="35" l="1"/>
  <c r="D6" i="35"/>
  <c r="I29" i="35" s="1"/>
  <c r="E6" i="35"/>
  <c r="J29" i="35" s="1"/>
  <c r="F6" i="35"/>
  <c r="K29" i="35" s="1"/>
  <c r="I7" i="35"/>
  <c r="J7" i="35"/>
  <c r="D9" i="35"/>
  <c r="E9" i="35"/>
  <c r="F9" i="35"/>
  <c r="C27" i="35"/>
  <c r="E28" i="35"/>
  <c r="J6" i="34"/>
  <c r="K6" i="34"/>
  <c r="L6" i="34"/>
  <c r="J7" i="34"/>
  <c r="K7" i="34"/>
  <c r="J8" i="34"/>
  <c r="K8" i="34"/>
  <c r="L8" i="34"/>
  <c r="J26" i="34"/>
  <c r="I26" i="34"/>
  <c r="S28" i="33"/>
  <c r="T28" i="33"/>
  <c r="S29" i="33"/>
  <c r="T29" i="33"/>
  <c r="AA27" i="33"/>
  <c r="J34" i="34" l="1"/>
  <c r="K44" i="33"/>
  <c r="AB27" i="33"/>
  <c r="J30" i="35" l="1"/>
  <c r="I30" i="35"/>
  <c r="D23" i="9" l="1"/>
  <c r="D44" i="9" s="1"/>
  <c r="H22" i="9" l="1"/>
  <c r="D41" i="9"/>
  <c r="D45" i="12"/>
  <c r="D43" i="9" l="1"/>
  <c r="D22" i="11" l="1"/>
  <c r="H76" i="11" s="1"/>
  <c r="G76" i="11"/>
  <c r="C9" i="9" l="1"/>
  <c r="D9" i="9"/>
  <c r="E42" i="12" l="1"/>
  <c r="F42" i="12" l="1"/>
  <c r="G42" i="12" l="1"/>
  <c r="H42" i="12" l="1"/>
  <c r="I42" i="12" l="1"/>
  <c r="J42" i="12" l="1"/>
  <c r="K42" i="12" l="1"/>
  <c r="L42" i="12" l="1"/>
  <c r="M42" i="12" l="1"/>
  <c r="N42" i="12" l="1"/>
  <c r="O42" i="12" l="1"/>
  <c r="P42" i="12" l="1"/>
  <c r="Q42" i="12" l="1"/>
  <c r="R42" i="12" l="1"/>
  <c r="S42" i="12" l="1"/>
  <c r="T42" i="12" l="1"/>
  <c r="U42" i="12" l="1"/>
  <c r="D24" i="11"/>
  <c r="L33" i="11" s="1"/>
  <c r="D17" i="11"/>
  <c r="H71" i="11" s="1"/>
  <c r="D18" i="11"/>
  <c r="H72" i="11" s="1"/>
  <c r="D19" i="11"/>
  <c r="H73" i="11" s="1"/>
  <c r="D20" i="11"/>
  <c r="H74" i="11" s="1"/>
  <c r="D21" i="11"/>
  <c r="H75" i="11" s="1"/>
  <c r="D23" i="11"/>
  <c r="H77" i="11" s="1"/>
  <c r="D16" i="11"/>
  <c r="D10" i="11"/>
  <c r="D11" i="11"/>
  <c r="D13" i="11"/>
  <c r="D13" i="9"/>
  <c r="H7" i="11" l="1"/>
  <c r="S177" i="45" s="1"/>
  <c r="N8" i="11"/>
  <c r="D38" i="12"/>
  <c r="N13" i="11"/>
  <c r="J42" i="9"/>
  <c r="V42" i="12"/>
  <c r="L177" i="45" l="1"/>
  <c r="O177" i="45"/>
  <c r="J177" i="45"/>
  <c r="R177" i="45"/>
  <c r="N177" i="45"/>
  <c r="Q177" i="45"/>
  <c r="K177" i="45"/>
  <c r="K42" i="9"/>
  <c r="W42" i="12"/>
  <c r="D6" i="12"/>
  <c r="D13" i="12" l="1"/>
  <c r="D14" i="12"/>
  <c r="D8" i="12"/>
  <c r="D12" i="12"/>
  <c r="G177" i="45"/>
  <c r="L42" i="9"/>
  <c r="X42" i="12"/>
  <c r="M12" i="82" l="1"/>
  <c r="P63" i="74" s="1"/>
  <c r="P185" i="74" s="1"/>
  <c r="U12" i="82"/>
  <c r="X63" i="74" s="1"/>
  <c r="X185" i="74" s="1"/>
  <c r="L38" i="12"/>
  <c r="S202" i="45"/>
  <c r="D86" i="12"/>
  <c r="T12" i="82"/>
  <c r="W63" i="74" s="1"/>
  <c r="W185" i="74" s="1"/>
  <c r="S12" i="82"/>
  <c r="V63" i="74" s="1"/>
  <c r="V185" i="74" s="1"/>
  <c r="S203" i="45"/>
  <c r="Q12" i="82"/>
  <c r="T63" i="74" s="1"/>
  <c r="T185" i="74" s="1"/>
  <c r="G12" i="82"/>
  <c r="U63" i="74"/>
  <c r="U185" i="74" s="1"/>
  <c r="K63" i="74"/>
  <c r="K185" i="74" s="1"/>
  <c r="S201" i="45"/>
  <c r="L202" i="45"/>
  <c r="L201" i="45"/>
  <c r="O201" i="45"/>
  <c r="J201" i="45"/>
  <c r="R201" i="45"/>
  <c r="N201" i="45"/>
  <c r="Q201" i="45"/>
  <c r="K201" i="45"/>
  <c r="J202" i="45"/>
  <c r="R202" i="45"/>
  <c r="N202" i="45"/>
  <c r="Q202" i="45"/>
  <c r="K202" i="45"/>
  <c r="O202" i="45"/>
  <c r="M42" i="9"/>
  <c r="Y42" i="12"/>
  <c r="J63" i="74" l="1"/>
  <c r="J185" i="74" s="1"/>
  <c r="D12" i="82"/>
  <c r="G63" i="74" s="1"/>
  <c r="G185" i="74" s="1"/>
  <c r="E12" i="82"/>
  <c r="H63" i="74" s="1"/>
  <c r="H185" i="74" s="1"/>
  <c r="Q203" i="45"/>
  <c r="N203" i="45"/>
  <c r="J203" i="45"/>
  <c r="O203" i="45"/>
  <c r="L203" i="45"/>
  <c r="K203" i="45"/>
  <c r="R203" i="45"/>
  <c r="G200" i="45"/>
  <c r="D10" i="12" s="1"/>
  <c r="G202" i="45"/>
  <c r="G201" i="45"/>
  <c r="N42" i="9"/>
  <c r="Z42" i="12"/>
  <c r="G203" i="45" l="1"/>
  <c r="AA42" i="12"/>
  <c r="AB42" i="12" l="1"/>
  <c r="O30" i="11"/>
  <c r="W30" i="11" s="1"/>
  <c r="C25" i="71" s="1"/>
  <c r="O32" i="11"/>
  <c r="W32" i="11" s="1"/>
  <c r="C27" i="71" s="1"/>
  <c r="T31" i="11"/>
  <c r="O31" i="11"/>
  <c r="W31" i="11" s="1"/>
  <c r="C26" i="71" s="1"/>
  <c r="AC42" i="12" l="1"/>
  <c r="N43" i="9" l="1"/>
  <c r="N50" i="9" s="1"/>
  <c r="K43" i="9"/>
  <c r="K50" i="9" s="1"/>
  <c r="I43" i="9"/>
  <c r="I50" i="9" s="1"/>
  <c r="M43" i="9"/>
  <c r="M50" i="9" s="1"/>
  <c r="L43" i="9"/>
  <c r="L50" i="9" s="1"/>
  <c r="H43" i="9"/>
  <c r="J43" i="9"/>
  <c r="J50" i="9" s="1"/>
  <c r="AD42" i="12"/>
  <c r="H33" i="11"/>
  <c r="H51" i="9" l="1"/>
  <c r="H52" i="9" s="1"/>
  <c r="AE42" i="12"/>
  <c r="T43" i="9" l="1"/>
  <c r="L130" i="45" s="1"/>
  <c r="L63" i="9"/>
  <c r="L66" i="9" s="1"/>
  <c r="AF42" i="12"/>
  <c r="L35" i="12"/>
  <c r="M35" i="12"/>
  <c r="Q37" i="12"/>
  <c r="K35" i="12"/>
  <c r="H63" i="11"/>
  <c r="C36" i="12"/>
  <c r="G36" i="12" s="1"/>
  <c r="C37" i="12"/>
  <c r="G37" i="12" s="1"/>
  <c r="C35" i="12"/>
  <c r="G35" i="12" s="1"/>
  <c r="G72" i="11"/>
  <c r="G73" i="11"/>
  <c r="G74" i="11"/>
  <c r="G75" i="11"/>
  <c r="G77" i="11"/>
  <c r="G71" i="11"/>
  <c r="L67" i="9" l="1"/>
  <c r="L6" i="9" s="1"/>
  <c r="L5" i="9"/>
  <c r="J130" i="45"/>
  <c r="O130" i="45"/>
  <c r="Q130" i="45"/>
  <c r="X43" i="9"/>
  <c r="K130" i="45"/>
  <c r="N130" i="45"/>
  <c r="R130" i="45"/>
  <c r="S130" i="45"/>
  <c r="AG42" i="12"/>
  <c r="S144" i="45" l="1"/>
  <c r="R144" i="45"/>
  <c r="Q144" i="45"/>
  <c r="S145" i="45"/>
  <c r="R145" i="45"/>
  <c r="Q145" i="45"/>
  <c r="O144" i="45"/>
  <c r="N144" i="45"/>
  <c r="O145" i="45"/>
  <c r="N145" i="45"/>
  <c r="J144" i="45"/>
  <c r="L144" i="45"/>
  <c r="K144" i="45"/>
  <c r="J145" i="45"/>
  <c r="L145" i="45"/>
  <c r="K145" i="45"/>
  <c r="G130" i="45"/>
  <c r="AH42" i="12"/>
  <c r="G145" i="45" l="1"/>
  <c r="G144" i="45"/>
  <c r="AI42" i="12"/>
  <c r="AJ42" i="12" l="1"/>
  <c r="AK42" i="12" l="1"/>
  <c r="AL42" i="12" l="1"/>
  <c r="G31" i="11"/>
  <c r="AM42" i="12" l="1"/>
  <c r="C33" i="11"/>
  <c r="K33" i="11" s="1"/>
  <c r="C34" i="11"/>
  <c r="E34" i="11"/>
  <c r="M34" i="11" s="1"/>
  <c r="W31" i="9"/>
  <c r="W32" i="9"/>
  <c r="W30" i="9"/>
  <c r="O21" i="9"/>
  <c r="W21" i="9" s="1"/>
  <c r="C31" i="11" s="1"/>
  <c r="O22" i="9"/>
  <c r="W22" i="9" s="1"/>
  <c r="C32" i="11" s="1"/>
  <c r="O20" i="9"/>
  <c r="W20" i="9" s="1"/>
  <c r="C30" i="11" s="1"/>
  <c r="M21" i="9"/>
  <c r="Q21" i="9" s="1"/>
  <c r="Y21" i="9" s="1"/>
  <c r="E31" i="11" s="1"/>
  <c r="M31" i="11" s="1"/>
  <c r="M22" i="9"/>
  <c r="M32" i="9" s="1"/>
  <c r="Y32" i="9" s="1"/>
  <c r="T22" i="9"/>
  <c r="Q23" i="9"/>
  <c r="Y23" i="9" s="1"/>
  <c r="E33" i="11" s="1"/>
  <c r="Q24" i="9"/>
  <c r="M33" i="11" l="1"/>
  <c r="E38" i="12" s="1"/>
  <c r="I38" i="12" s="1"/>
  <c r="I34" i="11"/>
  <c r="K34" i="11"/>
  <c r="O34" i="11" s="1"/>
  <c r="W34" i="11" s="1"/>
  <c r="C29" i="71" s="1"/>
  <c r="AN42" i="12"/>
  <c r="C38" i="12"/>
  <c r="G38" i="12" s="1"/>
  <c r="O33" i="11"/>
  <c r="E36" i="12"/>
  <c r="Q31" i="11"/>
  <c r="Y31" i="11" s="1"/>
  <c r="E26" i="71" s="1"/>
  <c r="E39" i="12"/>
  <c r="I39" i="12" s="1"/>
  <c r="Q34" i="11"/>
  <c r="M31" i="9"/>
  <c r="Y31" i="9" s="1"/>
  <c r="Q22" i="9"/>
  <c r="Y22" i="9" s="1"/>
  <c r="E32" i="11" s="1"/>
  <c r="M32" i="11" s="1"/>
  <c r="Q33" i="11" l="1"/>
  <c r="AO42" i="12"/>
  <c r="Q36" i="12"/>
  <c r="I36" i="12"/>
  <c r="E37" i="12"/>
  <c r="I37" i="12" s="1"/>
  <c r="Q32" i="11"/>
  <c r="Y32" i="11" s="1"/>
  <c r="E27" i="71" s="1"/>
  <c r="AP42" i="12" l="1"/>
  <c r="AQ42" i="12" l="1"/>
  <c r="AR42" i="12" l="1"/>
  <c r="AS42" i="12" l="1"/>
  <c r="AT42" i="12" l="1"/>
  <c r="L24" i="9"/>
  <c r="P24" i="9" l="1"/>
  <c r="T45" i="9" s="1"/>
  <c r="P63" i="9" s="1"/>
  <c r="H23" i="9"/>
  <c r="AU42" i="12"/>
  <c r="P67" i="9" l="1"/>
  <c r="L8" i="9" s="1"/>
  <c r="P66" i="9"/>
  <c r="L7" i="9" s="1"/>
  <c r="T23" i="9"/>
  <c r="AV42" i="12"/>
  <c r="M20" i="9"/>
  <c r="O23" i="9"/>
  <c r="K24" i="9"/>
  <c r="O24" i="9" s="1"/>
  <c r="R142" i="45" l="1"/>
  <c r="S142" i="45"/>
  <c r="Q142" i="45"/>
  <c r="Q143" i="45"/>
  <c r="S143" i="45"/>
  <c r="R143" i="45"/>
  <c r="O142" i="45"/>
  <c r="N142" i="45"/>
  <c r="O143" i="45"/>
  <c r="N143" i="45"/>
  <c r="L142" i="45"/>
  <c r="K142" i="45"/>
  <c r="J143" i="45"/>
  <c r="K143" i="45"/>
  <c r="L143" i="45"/>
  <c r="J142" i="45"/>
  <c r="S133" i="45"/>
  <c r="L133" i="45"/>
  <c r="R133" i="45"/>
  <c r="Q133" i="45"/>
  <c r="O133" i="45"/>
  <c r="N133" i="45"/>
  <c r="K133" i="45"/>
  <c r="J133" i="45"/>
  <c r="D64" i="9"/>
  <c r="S139" i="45" s="1"/>
  <c r="AW42" i="12"/>
  <c r="X23" i="9"/>
  <c r="Q20" i="9"/>
  <c r="Y20" i="9" s="1"/>
  <c r="E30" i="11" s="1"/>
  <c r="M30" i="11" s="1"/>
  <c r="M30" i="9"/>
  <c r="Y30" i="9" s="1"/>
  <c r="G142" i="45" l="1"/>
  <c r="G143" i="45"/>
  <c r="L139" i="45"/>
  <c r="G133" i="45"/>
  <c r="K139" i="45"/>
  <c r="J139" i="45"/>
  <c r="Q139" i="45"/>
  <c r="R139" i="45"/>
  <c r="N139" i="45"/>
  <c r="O139" i="45"/>
  <c r="AX42" i="12"/>
  <c r="D33" i="11"/>
  <c r="E35" i="12"/>
  <c r="Q30" i="11"/>
  <c r="Y30" i="11" s="1"/>
  <c r="E25" i="71" s="1"/>
  <c r="G139" i="45" l="1"/>
  <c r="AY42" i="12"/>
  <c r="Q35" i="12"/>
  <c r="I35" i="12"/>
  <c r="M10" i="82" l="1"/>
  <c r="P61" i="74" s="1"/>
  <c r="P183" i="74" s="1"/>
  <c r="U10" i="82"/>
  <c r="T10" i="82"/>
  <c r="W61" i="74" s="1"/>
  <c r="W183" i="74" s="1"/>
  <c r="S10" i="82"/>
  <c r="Q10" i="82"/>
  <c r="G10" i="82"/>
  <c r="K61" i="74"/>
  <c r="K183" i="74" s="1"/>
  <c r="P33" i="11"/>
  <c r="X33" i="11" s="1"/>
  <c r="D28" i="71" s="1"/>
  <c r="H34" i="11"/>
  <c r="AZ42" i="12"/>
  <c r="H38" i="12"/>
  <c r="J61" i="74" l="1"/>
  <c r="J183" i="74" s="1"/>
  <c r="E10" i="82"/>
  <c r="H61" i="74" s="1"/>
  <c r="H183" i="74" s="1"/>
  <c r="D10" i="82"/>
  <c r="G61" i="74" s="1"/>
  <c r="G183" i="74" s="1"/>
  <c r="X61" i="74"/>
  <c r="X183" i="74" s="1"/>
  <c r="V61" i="74"/>
  <c r="V183" i="74" s="1"/>
  <c r="U61" i="74"/>
  <c r="U183" i="74" s="1"/>
  <c r="T61" i="74"/>
  <c r="T183" i="74" s="1"/>
  <c r="BA42" i="12"/>
  <c r="BB42" i="12" l="1"/>
  <c r="BC42" i="12" l="1"/>
  <c r="BD42" i="12" l="1"/>
  <c r="BE42" i="12" l="1"/>
  <c r="BF42" i="12" l="1"/>
  <c r="BG42" i="12" l="1"/>
  <c r="BH42" i="12" l="1"/>
  <c r="BI42" i="12" l="1"/>
  <c r="X24" i="9"/>
  <c r="BJ42" i="12" l="1"/>
  <c r="D34" i="11"/>
  <c r="L34" i="11" s="1"/>
  <c r="S171" i="45" s="1"/>
  <c r="L171" i="45" l="1"/>
  <c r="R171" i="45"/>
  <c r="Q171" i="45"/>
  <c r="O171" i="45"/>
  <c r="N171" i="45"/>
  <c r="K171" i="45"/>
  <c r="J171" i="45"/>
  <c r="BK42" i="12"/>
  <c r="G171" i="45" l="1"/>
  <c r="P34" i="11"/>
  <c r="D39" i="12"/>
  <c r="H39" i="12" s="1"/>
  <c r="BL42" i="12"/>
  <c r="T32" i="11" l="1"/>
  <c r="X34" i="11" s="1"/>
  <c r="D29" i="71" s="1"/>
  <c r="H26" i="71" s="1"/>
  <c r="D14" i="11"/>
  <c r="BM42" i="12"/>
  <c r="BN42" i="12" l="1"/>
  <c r="BO42" i="12" l="1"/>
  <c r="BP42" i="12" l="1"/>
  <c r="L32" i="9" l="1"/>
  <c r="L30" i="9" l="1"/>
  <c r="L22" i="9"/>
  <c r="P22" i="9" s="1"/>
  <c r="L20" i="9"/>
  <c r="P20" i="9" s="1"/>
  <c r="X20" i="9" s="1"/>
  <c r="D30" i="11" s="1"/>
  <c r="L30" i="11" s="1"/>
  <c r="X22" i="9" l="1"/>
  <c r="D32" i="11" s="1"/>
  <c r="D8" i="11" s="1"/>
  <c r="X32" i="9"/>
  <c r="X30" i="9"/>
  <c r="L31" i="9"/>
  <c r="L39" i="11" l="1"/>
  <c r="X40" i="11" s="1"/>
  <c r="L32" i="11"/>
  <c r="X44" i="9"/>
  <c r="P30" i="11"/>
  <c r="X30" i="11" s="1"/>
  <c r="D25" i="71" s="1"/>
  <c r="D35" i="12"/>
  <c r="P21" i="9"/>
  <c r="X21" i="9" s="1"/>
  <c r="G57" i="82" l="1"/>
  <c r="J338" i="74" s="1"/>
  <c r="AW57" i="82"/>
  <c r="AZ338" i="74" s="1"/>
  <c r="AQ57" i="82"/>
  <c r="AT338" i="74" s="1"/>
  <c r="AR57" i="82"/>
  <c r="AU338" i="74" s="1"/>
  <c r="AS57" i="82"/>
  <c r="AV338" i="74" s="1"/>
  <c r="AT57" i="82"/>
  <c r="AW338" i="74" s="1"/>
  <c r="AV57" i="82"/>
  <c r="AY338" i="74" s="1"/>
  <c r="AU57" i="82"/>
  <c r="AX338" i="74" s="1"/>
  <c r="P32" i="11"/>
  <c r="X32" i="11" s="1"/>
  <c r="D27" i="71" s="1"/>
  <c r="D37" i="12"/>
  <c r="H35" i="12"/>
  <c r="Q57" i="82"/>
  <c r="T338" i="74" s="1"/>
  <c r="R57" i="82"/>
  <c r="U338" i="74" s="1"/>
  <c r="S57" i="82"/>
  <c r="V338" i="74" s="1"/>
  <c r="T57" i="82"/>
  <c r="W338" i="74" s="1"/>
  <c r="U57" i="82"/>
  <c r="X338" i="74" s="1"/>
  <c r="V57" i="82"/>
  <c r="Y338" i="74" s="1"/>
  <c r="W57" i="82"/>
  <c r="Z338" i="74" s="1"/>
  <c r="X57" i="82"/>
  <c r="AA338" i="74" s="1"/>
  <c r="Y57" i="82"/>
  <c r="AB338" i="74" s="1"/>
  <c r="Z57" i="82"/>
  <c r="AC338" i="74" s="1"/>
  <c r="AA57" i="82"/>
  <c r="AD338" i="74" s="1"/>
  <c r="AB57" i="82"/>
  <c r="AE338" i="74" s="1"/>
  <c r="AC57" i="82"/>
  <c r="AF338" i="74" s="1"/>
  <c r="AD57" i="82"/>
  <c r="AG338" i="74" s="1"/>
  <c r="AE57" i="82"/>
  <c r="AH338" i="74" s="1"/>
  <c r="AF57" i="82"/>
  <c r="AI338" i="74" s="1"/>
  <c r="AG57" i="82"/>
  <c r="AJ338" i="74" s="1"/>
  <c r="AH57" i="82"/>
  <c r="AK338" i="74" s="1"/>
  <c r="AI57" i="82"/>
  <c r="AL338" i="74" s="1"/>
  <c r="AJ57" i="82"/>
  <c r="AM338" i="74" s="1"/>
  <c r="AK57" i="82"/>
  <c r="AN338" i="74" s="1"/>
  <c r="AL57" i="82"/>
  <c r="AO338" i="74" s="1"/>
  <c r="AM57" i="82"/>
  <c r="AP338" i="74" s="1"/>
  <c r="AN57" i="82"/>
  <c r="AQ338" i="74" s="1"/>
  <c r="AO57" i="82"/>
  <c r="AR338" i="74" s="1"/>
  <c r="AP57" i="82"/>
  <c r="AS338" i="74" s="1"/>
  <c r="D60" i="11"/>
  <c r="H60" i="11" s="1"/>
  <c r="L60" i="11"/>
  <c r="L61" i="11"/>
  <c r="S174" i="45"/>
  <c r="J174" i="45"/>
  <c r="K174" i="45"/>
  <c r="L174" i="45"/>
  <c r="D62" i="11"/>
  <c r="Q174" i="45"/>
  <c r="O174" i="45"/>
  <c r="N174" i="45"/>
  <c r="R174" i="45"/>
  <c r="P35" i="12"/>
  <c r="D31" i="11"/>
  <c r="D61" i="11"/>
  <c r="H61" i="11" s="1"/>
  <c r="D63" i="11"/>
  <c r="H8" i="9"/>
  <c r="X31" i="9"/>
  <c r="X39" i="11" l="1"/>
  <c r="X41" i="11" s="1"/>
  <c r="D88" i="12"/>
  <c r="Q207" i="45" s="1"/>
  <c r="L36" i="12"/>
  <c r="P37" i="12" s="1"/>
  <c r="G174" i="45"/>
  <c r="H64" i="11"/>
  <c r="L62" i="11"/>
  <c r="L64" i="11" s="1"/>
  <c r="D64" i="11"/>
  <c r="H5" i="11" s="1"/>
  <c r="H37" i="12"/>
  <c r="M15" i="11"/>
  <c r="L31" i="11"/>
  <c r="M14" i="11"/>
  <c r="D51" i="11"/>
  <c r="H65" i="11" l="1"/>
  <c r="S175" i="45"/>
  <c r="H6" i="11"/>
  <c r="S176" i="45" s="1"/>
  <c r="H92" i="12"/>
  <c r="H11" i="12" s="1"/>
  <c r="S214" i="45" s="1"/>
  <c r="H88" i="12"/>
  <c r="H93" i="12"/>
  <c r="H14" i="12" s="1"/>
  <c r="S212" i="45" s="1"/>
  <c r="D49" i="12"/>
  <c r="P39" i="12"/>
  <c r="R207" i="45"/>
  <c r="K207" i="45"/>
  <c r="D89" i="12"/>
  <c r="H91" i="12" s="1"/>
  <c r="H12" i="12" s="1"/>
  <c r="J209" i="45" s="1"/>
  <c r="J207" i="45"/>
  <c r="O207" i="45"/>
  <c r="L207" i="45"/>
  <c r="S207" i="45"/>
  <c r="N207" i="45"/>
  <c r="D90" i="12"/>
  <c r="H90" i="12" s="1"/>
  <c r="H10" i="12" s="1"/>
  <c r="S213" i="45" s="1"/>
  <c r="L175" i="45"/>
  <c r="K175" i="45"/>
  <c r="N175" i="45"/>
  <c r="J175" i="45"/>
  <c r="O175" i="45"/>
  <c r="Q175" i="45"/>
  <c r="R175" i="45"/>
  <c r="P31" i="11"/>
  <c r="X31" i="11" s="1"/>
  <c r="D26" i="71" s="1"/>
  <c r="L25" i="71" s="1"/>
  <c r="D36" i="12"/>
  <c r="H51" i="11"/>
  <c r="H11" i="11" s="1"/>
  <c r="S180" i="45" s="1"/>
  <c r="D84" i="11"/>
  <c r="H9" i="11" s="1"/>
  <c r="S178" i="45" s="1"/>
  <c r="H95" i="12" l="1"/>
  <c r="H13" i="12" s="1"/>
  <c r="O25" i="71" a="1"/>
  <c r="D19" i="12"/>
  <c r="D46" i="12" s="1"/>
  <c r="P38" i="12"/>
  <c r="G207" i="45"/>
  <c r="O209" i="45"/>
  <c r="S209" i="45"/>
  <c r="N208" i="45"/>
  <c r="L208" i="45"/>
  <c r="K208" i="45"/>
  <c r="J208" i="45"/>
  <c r="S208" i="45"/>
  <c r="Q208" i="45"/>
  <c r="O208" i="45"/>
  <c r="R208" i="45"/>
  <c r="N214" i="45"/>
  <c r="J214" i="45"/>
  <c r="R214" i="45"/>
  <c r="Q214" i="45"/>
  <c r="O214" i="45"/>
  <c r="L214" i="45"/>
  <c r="K214" i="45"/>
  <c r="Q209" i="45"/>
  <c r="R209" i="45"/>
  <c r="H9" i="12"/>
  <c r="S210" i="45" s="1"/>
  <c r="L209" i="45"/>
  <c r="N209" i="45"/>
  <c r="K209" i="45"/>
  <c r="E49" i="12"/>
  <c r="N213" i="45"/>
  <c r="Q118" i="45"/>
  <c r="J213" i="45"/>
  <c r="O213" i="45"/>
  <c r="L213" i="45"/>
  <c r="Q213" i="45"/>
  <c r="R213" i="45"/>
  <c r="K213" i="45"/>
  <c r="O212" i="45"/>
  <c r="K212" i="45"/>
  <c r="R212" i="45"/>
  <c r="N212" i="45"/>
  <c r="J212" i="45"/>
  <c r="Q212" i="45"/>
  <c r="L212" i="45"/>
  <c r="D66" i="12"/>
  <c r="S118" i="45"/>
  <c r="J118" i="45"/>
  <c r="L118" i="45"/>
  <c r="K118" i="45"/>
  <c r="O118" i="45"/>
  <c r="N118" i="45"/>
  <c r="R118" i="45"/>
  <c r="G175" i="45"/>
  <c r="L178" i="45"/>
  <c r="L176" i="45"/>
  <c r="L180" i="45"/>
  <c r="J178" i="45"/>
  <c r="R178" i="45"/>
  <c r="N178" i="45"/>
  <c r="Q178" i="45"/>
  <c r="K178" i="45"/>
  <c r="O178" i="45"/>
  <c r="J176" i="45"/>
  <c r="N176" i="45"/>
  <c r="K176" i="45"/>
  <c r="O176" i="45"/>
  <c r="Q176" i="45"/>
  <c r="R176" i="45"/>
  <c r="O180" i="45"/>
  <c r="Q180" i="45"/>
  <c r="R180" i="45"/>
  <c r="J180" i="45"/>
  <c r="K180" i="45"/>
  <c r="N180" i="45"/>
  <c r="H36" i="12"/>
  <c r="P36" i="12"/>
  <c r="H84" i="11"/>
  <c r="H10" i="11" s="1"/>
  <c r="S179" i="45" s="1"/>
  <c r="K105" i="45" l="1"/>
  <c r="K253" i="45" s="1"/>
  <c r="L105" i="45"/>
  <c r="N105" i="45"/>
  <c r="N252" i="45" s="1"/>
  <c r="S105" i="45"/>
  <c r="S253" i="45" s="1"/>
  <c r="J105" i="45"/>
  <c r="J100" i="45" s="1"/>
  <c r="R105" i="45"/>
  <c r="R252" i="45" s="1"/>
  <c r="O105" i="45"/>
  <c r="O252" i="45" s="1"/>
  <c r="Q105" i="45"/>
  <c r="Q253" i="45" s="1"/>
  <c r="S211" i="45"/>
  <c r="N211" i="45"/>
  <c r="L211" i="45"/>
  <c r="K211" i="45"/>
  <c r="J211" i="45"/>
  <c r="R211" i="45"/>
  <c r="Q211" i="45"/>
  <c r="O211" i="45"/>
  <c r="P28" i="71"/>
  <c r="P26" i="71"/>
  <c r="P27" i="71"/>
  <c r="O28" i="71"/>
  <c r="Q28" i="71"/>
  <c r="P25" i="71"/>
  <c r="O26" i="71"/>
  <c r="Q26" i="71"/>
  <c r="Q27" i="71"/>
  <c r="O25" i="71"/>
  <c r="Q25" i="71"/>
  <c r="O27" i="71"/>
  <c r="L56" i="71"/>
  <c r="O223" i="45"/>
  <c r="H53" i="71"/>
  <c r="S223" i="45"/>
  <c r="N223" i="45"/>
  <c r="L223" i="45"/>
  <c r="R223" i="45"/>
  <c r="Q223" i="45"/>
  <c r="K223" i="45"/>
  <c r="J223" i="45"/>
  <c r="D39" i="71"/>
  <c r="H39" i="71" s="1"/>
  <c r="H14" i="71" s="1"/>
  <c r="G209" i="45"/>
  <c r="M13" i="82" s="1"/>
  <c r="P64" i="74" s="1"/>
  <c r="P186" i="74" s="1"/>
  <c r="M11" i="82"/>
  <c r="P62" i="74" s="1"/>
  <c r="P184" i="74" s="1"/>
  <c r="U11" i="82"/>
  <c r="G213" i="45"/>
  <c r="Q15" i="82" s="1"/>
  <c r="T66" i="74" s="1"/>
  <c r="T188" i="74" s="1"/>
  <c r="G212" i="45"/>
  <c r="G214" i="45"/>
  <c r="F49" i="12"/>
  <c r="G49" i="12" s="1"/>
  <c r="N210" i="45"/>
  <c r="O210" i="45"/>
  <c r="L210" i="45"/>
  <c r="K210" i="45"/>
  <c r="R210" i="45"/>
  <c r="J210" i="45"/>
  <c r="Q210" i="45"/>
  <c r="S206" i="45"/>
  <c r="G208" i="45"/>
  <c r="H103" i="12"/>
  <c r="H104" i="12" s="1"/>
  <c r="H106" i="12" s="1"/>
  <c r="D104" i="12"/>
  <c r="H16" i="12" s="1"/>
  <c r="H67" i="12"/>
  <c r="S13" i="82"/>
  <c r="V64" i="74" s="1"/>
  <c r="V186" i="74" s="1"/>
  <c r="T11" i="82"/>
  <c r="W62" i="74" s="1"/>
  <c r="W184" i="74" s="1"/>
  <c r="S11" i="82"/>
  <c r="G118" i="45"/>
  <c r="G13" i="82"/>
  <c r="Q11" i="82"/>
  <c r="G11" i="82"/>
  <c r="K206" i="45"/>
  <c r="U64" i="74"/>
  <c r="U186" i="74" s="1"/>
  <c r="U65" i="74"/>
  <c r="U187" i="74" s="1"/>
  <c r="U66" i="74"/>
  <c r="U188" i="74" s="1"/>
  <c r="H37" i="82"/>
  <c r="K65" i="74"/>
  <c r="K187" i="74" s="1"/>
  <c r="K64" i="74"/>
  <c r="K186" i="74" s="1"/>
  <c r="K66" i="74"/>
  <c r="K188" i="74" s="1"/>
  <c r="K62" i="74"/>
  <c r="K184" i="74" s="1"/>
  <c r="Q206" i="45"/>
  <c r="J206" i="45"/>
  <c r="R206" i="45"/>
  <c r="N206" i="45"/>
  <c r="L179" i="45"/>
  <c r="G176" i="45"/>
  <c r="G180" i="45"/>
  <c r="G178" i="45"/>
  <c r="R179" i="45"/>
  <c r="N179" i="45"/>
  <c r="Q179" i="45"/>
  <c r="K179" i="45"/>
  <c r="O179" i="45"/>
  <c r="J179" i="45"/>
  <c r="H66" i="12"/>
  <c r="J62" i="74" l="1"/>
  <c r="J184" i="74" s="1"/>
  <c r="E11" i="82"/>
  <c r="D11" i="82"/>
  <c r="J64" i="74"/>
  <c r="J186" i="74" s="1"/>
  <c r="AP28" i="82"/>
  <c r="AQ28" i="82"/>
  <c r="AT78" i="74" s="1"/>
  <c r="AT225" i="74" s="1"/>
  <c r="AR28" i="82"/>
  <c r="AU78" i="74" s="1"/>
  <c r="AU225" i="74" s="1"/>
  <c r="AS28" i="82"/>
  <c r="AV78" i="74" s="1"/>
  <c r="AV225" i="74" s="1"/>
  <c r="AT28" i="82"/>
  <c r="AW78" i="74" s="1"/>
  <c r="AW225" i="74" s="1"/>
  <c r="AU28" i="82"/>
  <c r="AX78" i="74" s="1"/>
  <c r="AX225" i="74" s="1"/>
  <c r="AV28" i="82"/>
  <c r="AY78" i="74" s="1"/>
  <c r="AY225" i="74" s="1"/>
  <c r="AZ32" i="82"/>
  <c r="BA32" i="82"/>
  <c r="BB32" i="82"/>
  <c r="AP38" i="82"/>
  <c r="AP37" i="82" s="1"/>
  <c r="AS86" i="74" s="1"/>
  <c r="AQ38" i="82"/>
  <c r="AQ37" i="82" s="1"/>
  <c r="AT86" i="74" s="1"/>
  <c r="AR38" i="82"/>
  <c r="AS38" i="82"/>
  <c r="AS37" i="82" s="1"/>
  <c r="AV86" i="74" s="1"/>
  <c r="AT38" i="82"/>
  <c r="AT37" i="82" s="1"/>
  <c r="AW86" i="74" s="1"/>
  <c r="AU38" i="82"/>
  <c r="AU37" i="82" s="1"/>
  <c r="AX86" i="74" s="1"/>
  <c r="AV38" i="82"/>
  <c r="AU32" i="82"/>
  <c r="AV32" i="82"/>
  <c r="AY82" i="74" s="1"/>
  <c r="AY229" i="74" s="1"/>
  <c r="AW32" i="82"/>
  <c r="AX32" i="82"/>
  <c r="AY32" i="82"/>
  <c r="Q28" i="82"/>
  <c r="R28" i="82"/>
  <c r="U78" i="74" s="1"/>
  <c r="U225" i="74" s="1"/>
  <c r="S28" i="82"/>
  <c r="V78" i="74" s="1"/>
  <c r="V225" i="74" s="1"/>
  <c r="T28" i="82"/>
  <c r="W78" i="74" s="1"/>
  <c r="W225" i="74" s="1"/>
  <c r="U28" i="82"/>
  <c r="X78" i="74" s="1"/>
  <c r="X225" i="74" s="1"/>
  <c r="AK28" i="82"/>
  <c r="AN78" i="74" s="1"/>
  <c r="AN225" i="74" s="1"/>
  <c r="AL28" i="82"/>
  <c r="AO78" i="74" s="1"/>
  <c r="AO225" i="74" s="1"/>
  <c r="AM28" i="82"/>
  <c r="AP78" i="74" s="1"/>
  <c r="AP225" i="74" s="1"/>
  <c r="AN28" i="82"/>
  <c r="AQ78" i="74" s="1"/>
  <c r="AQ225" i="74" s="1"/>
  <c r="AO28" i="82"/>
  <c r="AR78" i="74" s="1"/>
  <c r="AR225" i="74" s="1"/>
  <c r="Q38" i="82"/>
  <c r="R38" i="82"/>
  <c r="R37" i="82" s="1"/>
  <c r="U86" i="74" s="1"/>
  <c r="S38" i="82"/>
  <c r="S37" i="82" s="1"/>
  <c r="V86" i="74" s="1"/>
  <c r="T38" i="82"/>
  <c r="T37" i="82" s="1"/>
  <c r="W86" i="74" s="1"/>
  <c r="U38" i="82"/>
  <c r="U37" i="82" s="1"/>
  <c r="X86" i="74" s="1"/>
  <c r="AK38" i="82"/>
  <c r="AK37" i="82" s="1"/>
  <c r="AN86" i="74" s="1"/>
  <c r="AL38" i="82"/>
  <c r="AL37" i="82" s="1"/>
  <c r="AO86" i="74" s="1"/>
  <c r="AM38" i="82"/>
  <c r="AM37" i="82" s="1"/>
  <c r="AP86" i="74" s="1"/>
  <c r="AN38" i="82"/>
  <c r="AN37" i="82" s="1"/>
  <c r="AQ86" i="74" s="1"/>
  <c r="AO38" i="82"/>
  <c r="AO37" i="82" s="1"/>
  <c r="AR86" i="74" s="1"/>
  <c r="AK32" i="82"/>
  <c r="AN82" i="74" s="1"/>
  <c r="AN229" i="74" s="1"/>
  <c r="AL32" i="82"/>
  <c r="AO82" i="74" s="1"/>
  <c r="AO229" i="74" s="1"/>
  <c r="AM32" i="82"/>
  <c r="AP82" i="74" s="1"/>
  <c r="AP229" i="74" s="1"/>
  <c r="AN32" i="82"/>
  <c r="AQ82" i="74" s="1"/>
  <c r="AQ229" i="74" s="1"/>
  <c r="AS32" i="82"/>
  <c r="AV82" i="74" s="1"/>
  <c r="AV229" i="74" s="1"/>
  <c r="AO32" i="82"/>
  <c r="AR82" i="74" s="1"/>
  <c r="AR229" i="74" s="1"/>
  <c r="AP32" i="82"/>
  <c r="AS82" i="74" s="1"/>
  <c r="AS229" i="74" s="1"/>
  <c r="AQ32" i="82"/>
  <c r="AT82" i="74" s="1"/>
  <c r="AT229" i="74" s="1"/>
  <c r="AT32" i="82"/>
  <c r="AW82" i="74" s="1"/>
  <c r="AW229" i="74" s="1"/>
  <c r="AR32" i="82"/>
  <c r="AU82" i="74" s="1"/>
  <c r="AU229" i="74" s="1"/>
  <c r="AZ78" i="74"/>
  <c r="AZ225" i="74" s="1"/>
  <c r="V28" i="82"/>
  <c r="Y78" i="74" s="1"/>
  <c r="Y225" i="74" s="1"/>
  <c r="X28" i="82"/>
  <c r="AA78" i="74" s="1"/>
  <c r="AA225" i="74" s="1"/>
  <c r="AH28" i="82"/>
  <c r="AK78" i="74" s="1"/>
  <c r="AK225" i="74" s="1"/>
  <c r="AJ28" i="82"/>
  <c r="AM78" i="74" s="1"/>
  <c r="AM225" i="74" s="1"/>
  <c r="AD28" i="82"/>
  <c r="AG78" i="74" s="1"/>
  <c r="AG225" i="74" s="1"/>
  <c r="AF28" i="82"/>
  <c r="AI78" i="74" s="1"/>
  <c r="AI225" i="74" s="1"/>
  <c r="Z28" i="82"/>
  <c r="AC78" i="74" s="1"/>
  <c r="AC225" i="74" s="1"/>
  <c r="AB28" i="82"/>
  <c r="AE78" i="74" s="1"/>
  <c r="AE225" i="74" s="1"/>
  <c r="W28" i="82"/>
  <c r="Z78" i="74" s="1"/>
  <c r="Z225" i="74" s="1"/>
  <c r="AI28" i="82"/>
  <c r="AL78" i="74" s="1"/>
  <c r="AL225" i="74" s="1"/>
  <c r="AA28" i="82"/>
  <c r="AD78" i="74" s="1"/>
  <c r="AD225" i="74" s="1"/>
  <c r="AE28" i="82"/>
  <c r="AH78" i="74" s="1"/>
  <c r="AH225" i="74" s="1"/>
  <c r="AG28" i="82"/>
  <c r="AJ78" i="74" s="1"/>
  <c r="AJ225" i="74" s="1"/>
  <c r="Y28" i="82"/>
  <c r="AB78" i="74" s="1"/>
  <c r="AB225" i="74" s="1"/>
  <c r="AC28" i="82"/>
  <c r="AF78" i="74" s="1"/>
  <c r="AF225" i="74" s="1"/>
  <c r="V38" i="82"/>
  <c r="V37" i="82" s="1"/>
  <c r="Y86" i="74" s="1"/>
  <c r="W38" i="82"/>
  <c r="W37" i="82" s="1"/>
  <c r="Z86" i="74" s="1"/>
  <c r="X38" i="82"/>
  <c r="X37" i="82" s="1"/>
  <c r="AA86" i="74" s="1"/>
  <c r="Y38" i="82"/>
  <c r="Y37" i="82" s="1"/>
  <c r="AB86" i="74" s="1"/>
  <c r="Z38" i="82"/>
  <c r="Z37" i="82" s="1"/>
  <c r="AC86" i="74" s="1"/>
  <c r="AA38" i="82"/>
  <c r="AA37" i="82" s="1"/>
  <c r="AD86" i="74" s="1"/>
  <c r="AB38" i="82"/>
  <c r="AB37" i="82" s="1"/>
  <c r="AE86" i="74" s="1"/>
  <c r="AC38" i="82"/>
  <c r="AC37" i="82" s="1"/>
  <c r="AF86" i="74" s="1"/>
  <c r="AD38" i="82"/>
  <c r="AD37" i="82" s="1"/>
  <c r="AG86" i="74" s="1"/>
  <c r="AE38" i="82"/>
  <c r="AE37" i="82" s="1"/>
  <c r="AH86" i="74" s="1"/>
  <c r="AF38" i="82"/>
  <c r="AF37" i="82" s="1"/>
  <c r="AI86" i="74" s="1"/>
  <c r="AG38" i="82"/>
  <c r="AG37" i="82" s="1"/>
  <c r="AJ86" i="74" s="1"/>
  <c r="AH38" i="82"/>
  <c r="AH37" i="82" s="1"/>
  <c r="AK86" i="74" s="1"/>
  <c r="AI38" i="82"/>
  <c r="AI37" i="82" s="1"/>
  <c r="AL86" i="74" s="1"/>
  <c r="AJ38" i="82"/>
  <c r="AJ37" i="82" s="1"/>
  <c r="AM86" i="74" s="1"/>
  <c r="G252" i="45"/>
  <c r="K182" i="74"/>
  <c r="G15" i="82"/>
  <c r="J87" i="74"/>
  <c r="J260" i="74" s="1"/>
  <c r="J259" i="74" s="1"/>
  <c r="S15" i="82"/>
  <c r="V66" i="74" s="1"/>
  <c r="V188" i="74" s="1"/>
  <c r="T15" i="82"/>
  <c r="W66" i="74" s="1"/>
  <c r="W188" i="74" s="1"/>
  <c r="U13" i="82"/>
  <c r="X64" i="74" s="1"/>
  <c r="X186" i="74" s="1"/>
  <c r="N253" i="45"/>
  <c r="N249" i="45" s="1"/>
  <c r="R253" i="45"/>
  <c r="R249" i="45" s="1"/>
  <c r="G105" i="45"/>
  <c r="G37" i="99" s="1" a="1"/>
  <c r="O100" i="45"/>
  <c r="Q13" i="82"/>
  <c r="T64" i="74" s="1"/>
  <c r="T186" i="74" s="1"/>
  <c r="J253" i="45"/>
  <c r="J249" i="45" s="1"/>
  <c r="S249" i="45"/>
  <c r="K249" i="45"/>
  <c r="Q249" i="45"/>
  <c r="O253" i="45"/>
  <c r="O249" i="45" s="1"/>
  <c r="L253" i="45"/>
  <c r="L249" i="45" s="1"/>
  <c r="G211" i="45"/>
  <c r="G223" i="45"/>
  <c r="H9" i="71"/>
  <c r="H54" i="71"/>
  <c r="H10" i="71" s="1"/>
  <c r="S224" i="45"/>
  <c r="R224" i="45"/>
  <c r="N224" i="45"/>
  <c r="L224" i="45"/>
  <c r="K224" i="45"/>
  <c r="Q224" i="45"/>
  <c r="O224" i="45"/>
  <c r="J224" i="45"/>
  <c r="L60" i="71"/>
  <c r="H17" i="71" s="1"/>
  <c r="L61" i="71"/>
  <c r="H18" i="71" s="1"/>
  <c r="T13" i="82"/>
  <c r="W64" i="74" s="1"/>
  <c r="W186" i="74" s="1"/>
  <c r="M15" i="82"/>
  <c r="P66" i="74" s="1"/>
  <c r="P188" i="74" s="1"/>
  <c r="U15" i="82"/>
  <c r="X66" i="74" s="1"/>
  <c r="X188" i="74" s="1"/>
  <c r="X62" i="74"/>
  <c r="X184" i="74" s="1"/>
  <c r="J78" i="74"/>
  <c r="J225" i="74" s="1"/>
  <c r="M37" i="82"/>
  <c r="P86" i="74" s="1"/>
  <c r="G210" i="45"/>
  <c r="N100" i="45"/>
  <c r="S100" i="45"/>
  <c r="L100" i="45"/>
  <c r="K100" i="45"/>
  <c r="Q100" i="45"/>
  <c r="R100" i="45"/>
  <c r="H49" i="12"/>
  <c r="L206" i="45"/>
  <c r="O206" i="45"/>
  <c r="H107" i="12"/>
  <c r="H105" i="12"/>
  <c r="V62" i="74"/>
  <c r="V184" i="74" s="1"/>
  <c r="L87" i="74"/>
  <c r="L260" i="74" s="1"/>
  <c r="L259" i="74" s="1"/>
  <c r="K37" i="82"/>
  <c r="N86" i="74" s="1"/>
  <c r="J37" i="82"/>
  <c r="M86" i="74" s="1"/>
  <c r="L37" i="82"/>
  <c r="O86" i="74" s="1"/>
  <c r="AR37" i="82"/>
  <c r="AU86" i="74" s="1"/>
  <c r="P37" i="82"/>
  <c r="S86" i="74" s="1"/>
  <c r="O37" i="82"/>
  <c r="R86" i="74" s="1"/>
  <c r="N37" i="82"/>
  <c r="Q86" i="74" s="1"/>
  <c r="L78" i="74"/>
  <c r="L225" i="74" s="1"/>
  <c r="M78" i="74"/>
  <c r="M225" i="74" s="1"/>
  <c r="N78" i="74"/>
  <c r="N225" i="74" s="1"/>
  <c r="O78" i="74"/>
  <c r="O225" i="74" s="1"/>
  <c r="P78" i="74"/>
  <c r="P225" i="74" s="1"/>
  <c r="Q78" i="74"/>
  <c r="Q225" i="74" s="1"/>
  <c r="R78" i="74"/>
  <c r="R225" i="74" s="1"/>
  <c r="S78" i="74"/>
  <c r="S225" i="74" s="1"/>
  <c r="AS78" i="74"/>
  <c r="AS225" i="74" s="1"/>
  <c r="U62" i="74"/>
  <c r="U184" i="74" s="1"/>
  <c r="U182" i="74" s="1"/>
  <c r="R9" i="82"/>
  <c r="U60" i="74" s="1"/>
  <c r="T62" i="74"/>
  <c r="T184" i="74" s="1"/>
  <c r="H9" i="82"/>
  <c r="K60" i="74" s="1"/>
  <c r="G62" i="74"/>
  <c r="G184" i="74" s="1"/>
  <c r="H62" i="74"/>
  <c r="H184" i="74" s="1"/>
  <c r="K78" i="74"/>
  <c r="K225" i="74" s="1"/>
  <c r="K86" i="74"/>
  <c r="K87" i="74"/>
  <c r="K260" i="74" s="1"/>
  <c r="K259" i="74" s="1"/>
  <c r="G179" i="45"/>
  <c r="H15" i="12"/>
  <c r="S217" i="45" s="1"/>
  <c r="S218" i="45"/>
  <c r="D13" i="82" l="1"/>
  <c r="T78" i="74"/>
  <c r="T225" i="74" s="1"/>
  <c r="E28" i="82"/>
  <c r="D28" i="82"/>
  <c r="G78" i="74" s="1"/>
  <c r="G225" i="74" s="1"/>
  <c r="E13" i="82"/>
  <c r="H64" i="74" s="1"/>
  <c r="H186" i="74" s="1"/>
  <c r="D32" i="82"/>
  <c r="G82" i="74" s="1"/>
  <c r="G229" i="74" s="1"/>
  <c r="E32" i="82"/>
  <c r="H82" i="74" s="1"/>
  <c r="H229" i="74" s="1"/>
  <c r="Q37" i="82"/>
  <c r="T86" i="74" s="1"/>
  <c r="D38" i="82"/>
  <c r="G87" i="74" s="1"/>
  <c r="G260" i="74" s="1"/>
  <c r="G259" i="74" s="1"/>
  <c r="E38" i="82"/>
  <c r="H87" i="74" s="1"/>
  <c r="H260" i="74" s="1"/>
  <c r="H259" i="74" s="1"/>
  <c r="G313" i="74" s="1"/>
  <c r="J66" i="74"/>
  <c r="J188" i="74" s="1"/>
  <c r="E15" i="82"/>
  <c r="H66" i="74" s="1"/>
  <c r="H188" i="74" s="1"/>
  <c r="D15" i="82"/>
  <c r="AP31" i="82"/>
  <c r="AQ31" i="82"/>
  <c r="AR31" i="82"/>
  <c r="AU81" i="74" s="1"/>
  <c r="AU228" i="74" s="1"/>
  <c r="AS31" i="82"/>
  <c r="AV81" i="74" s="1"/>
  <c r="AV228" i="74" s="1"/>
  <c r="AT31" i="82"/>
  <c r="AW81" i="74" s="1"/>
  <c r="AW228" i="74" s="1"/>
  <c r="AU31" i="82"/>
  <c r="AX81" i="74" s="1"/>
  <c r="AX228" i="74" s="1"/>
  <c r="AV31" i="82"/>
  <c r="AY81" i="74" s="1"/>
  <c r="AY228" i="74" s="1"/>
  <c r="Q31" i="82"/>
  <c r="R31" i="82"/>
  <c r="U81" i="74" s="1"/>
  <c r="U228" i="74" s="1"/>
  <c r="S31" i="82"/>
  <c r="V81" i="74" s="1"/>
  <c r="V228" i="74" s="1"/>
  <c r="T31" i="82"/>
  <c r="W81" i="74" s="1"/>
  <c r="W228" i="74" s="1"/>
  <c r="U31" i="82"/>
  <c r="X81" i="74" s="1"/>
  <c r="X228" i="74" s="1"/>
  <c r="AK31" i="82"/>
  <c r="AN81" i="74" s="1"/>
  <c r="AN228" i="74" s="1"/>
  <c r="AL31" i="82"/>
  <c r="AO81" i="74" s="1"/>
  <c r="AO228" i="74" s="1"/>
  <c r="AM31" i="82"/>
  <c r="AP81" i="74" s="1"/>
  <c r="AP228" i="74" s="1"/>
  <c r="AN31" i="82"/>
  <c r="AQ81" i="74" s="1"/>
  <c r="AQ228" i="74" s="1"/>
  <c r="AO31" i="82"/>
  <c r="AB31" i="82"/>
  <c r="AE81" i="74" s="1"/>
  <c r="AE228" i="74" s="1"/>
  <c r="Z31" i="82"/>
  <c r="AC81" i="74" s="1"/>
  <c r="AC228" i="74" s="1"/>
  <c r="AD31" i="82"/>
  <c r="AG81" i="74" s="1"/>
  <c r="AG228" i="74" s="1"/>
  <c r="AC31" i="82"/>
  <c r="AF81" i="74" s="1"/>
  <c r="AF228" i="74" s="1"/>
  <c r="V31" i="82"/>
  <c r="Y81" i="74" s="1"/>
  <c r="Y228" i="74" s="1"/>
  <c r="X31" i="82"/>
  <c r="AA81" i="74" s="1"/>
  <c r="AA228" i="74" s="1"/>
  <c r="AJ31" i="82"/>
  <c r="AM81" i="74" s="1"/>
  <c r="AM228" i="74" s="1"/>
  <c r="AH31" i="82"/>
  <c r="AK81" i="74" s="1"/>
  <c r="AK228" i="74" s="1"/>
  <c r="AF31" i="82"/>
  <c r="AI81" i="74" s="1"/>
  <c r="AI228" i="74" s="1"/>
  <c r="AA31" i="82"/>
  <c r="AD81" i="74" s="1"/>
  <c r="AD228" i="74" s="1"/>
  <c r="Y31" i="82"/>
  <c r="AB81" i="74" s="1"/>
  <c r="AB228" i="74" s="1"/>
  <c r="W31" i="82"/>
  <c r="Z81" i="74" s="1"/>
  <c r="Z228" i="74" s="1"/>
  <c r="AI31" i="82"/>
  <c r="AL81" i="74" s="1"/>
  <c r="AL228" i="74" s="1"/>
  <c r="AE31" i="82"/>
  <c r="AH81" i="74" s="1"/>
  <c r="AH228" i="74" s="1"/>
  <c r="AG31" i="82"/>
  <c r="AJ81" i="74" s="1"/>
  <c r="AJ228" i="74" s="1"/>
  <c r="AW37" i="82"/>
  <c r="AZ86" i="74" s="1"/>
  <c r="AZ87" i="74"/>
  <c r="AZ260" i="74" s="1"/>
  <c r="AZ259" i="74" s="1"/>
  <c r="AT81" i="74"/>
  <c r="AT228" i="74" s="1"/>
  <c r="AZ81" i="74"/>
  <c r="AZ228" i="74" s="1"/>
  <c r="G38" i="99"/>
  <c r="G40" i="99"/>
  <c r="H38" i="99"/>
  <c r="G39" i="99"/>
  <c r="H37" i="99"/>
  <c r="G37" i="99"/>
  <c r="H40" i="99"/>
  <c r="H39" i="99"/>
  <c r="I40" i="99"/>
  <c r="I38" i="99"/>
  <c r="I37" i="99"/>
  <c r="C37" i="99" a="1"/>
  <c r="E37" i="99" s="1"/>
  <c r="I39" i="99"/>
  <c r="G37" i="82"/>
  <c r="J81" i="74"/>
  <c r="J228" i="74" s="1"/>
  <c r="G249" i="45"/>
  <c r="C6" i="100" s="1" a="1"/>
  <c r="E9" i="100" s="1"/>
  <c r="G253" i="45"/>
  <c r="C36" i="100" s="1" a="1"/>
  <c r="C36" i="100" s="1"/>
  <c r="AR81" i="74"/>
  <c r="AR228" i="74" s="1"/>
  <c r="AS81" i="74"/>
  <c r="AS228" i="74" s="1"/>
  <c r="BB82" i="74"/>
  <c r="BB229" i="74" s="1"/>
  <c r="BB221" i="74" s="1"/>
  <c r="AY23" i="82"/>
  <c r="BA82" i="74"/>
  <c r="BA229" i="74" s="1"/>
  <c r="BA221" i="74" s="1"/>
  <c r="BA270" i="74" s="1"/>
  <c r="AX23" i="82"/>
  <c r="AZ82" i="74"/>
  <c r="AZ229" i="74" s="1"/>
  <c r="BD82" i="74"/>
  <c r="BD229" i="74" s="1"/>
  <c r="BD221" i="74" s="1"/>
  <c r="BA23" i="82"/>
  <c r="AX82" i="74"/>
  <c r="AX229" i="74" s="1"/>
  <c r="BE82" i="74"/>
  <c r="BE229" i="74" s="1"/>
  <c r="BE221" i="74" s="1"/>
  <c r="BB23" i="82"/>
  <c r="BC82" i="74"/>
  <c r="BC229" i="74" s="1"/>
  <c r="BC221" i="74" s="1"/>
  <c r="AZ23" i="82"/>
  <c r="G206" i="45"/>
  <c r="U174" i="74"/>
  <c r="G224" i="45"/>
  <c r="S242" i="45"/>
  <c r="L242" i="45"/>
  <c r="R242" i="45"/>
  <c r="K242" i="45"/>
  <c r="Q242" i="45"/>
  <c r="N242" i="45"/>
  <c r="O242" i="45"/>
  <c r="J242" i="45"/>
  <c r="Q241" i="45"/>
  <c r="L241" i="45"/>
  <c r="S241" i="45"/>
  <c r="K241" i="45"/>
  <c r="R241" i="45"/>
  <c r="J241" i="45"/>
  <c r="O241" i="45"/>
  <c r="N241" i="45"/>
  <c r="K246" i="45"/>
  <c r="J246" i="45"/>
  <c r="O246" i="45"/>
  <c r="N246" i="45"/>
  <c r="R246" i="45"/>
  <c r="S246" i="45"/>
  <c r="L246" i="45"/>
  <c r="Q246" i="45"/>
  <c r="S245" i="45"/>
  <c r="K245" i="45"/>
  <c r="O245" i="45"/>
  <c r="R245" i="45"/>
  <c r="L245" i="45"/>
  <c r="Q245" i="45"/>
  <c r="J245" i="45"/>
  <c r="N245" i="45"/>
  <c r="G64" i="74"/>
  <c r="G186" i="74" s="1"/>
  <c r="G66" i="74"/>
  <c r="G188" i="74" s="1"/>
  <c r="G14" i="82"/>
  <c r="U14" i="82"/>
  <c r="G100" i="45"/>
  <c r="C7" i="99" s="1" a="1"/>
  <c r="E10" i="99" s="1"/>
  <c r="T14" i="82"/>
  <c r="W65" i="74" s="1"/>
  <c r="W187" i="74" s="1"/>
  <c r="S14" i="82"/>
  <c r="P87" i="74"/>
  <c r="P260" i="74" s="1"/>
  <c r="P259" i="74" s="1"/>
  <c r="M14" i="82"/>
  <c r="Q14" i="82"/>
  <c r="T65" i="74" s="1"/>
  <c r="T187" i="74" s="1"/>
  <c r="AV37" i="82"/>
  <c r="AY86" i="74" s="1"/>
  <c r="AY87" i="74"/>
  <c r="AY260" i="74" s="1"/>
  <c r="AY259" i="74" s="1"/>
  <c r="I49" i="12"/>
  <c r="AK87" i="74"/>
  <c r="AK260" i="74" s="1"/>
  <c r="AK259" i="74" s="1"/>
  <c r="AL87" i="74"/>
  <c r="AL260" i="74" s="1"/>
  <c r="AL259" i="74" s="1"/>
  <c r="AE87" i="74"/>
  <c r="AE260" i="74" s="1"/>
  <c r="AE259" i="74" s="1"/>
  <c r="I37" i="82"/>
  <c r="L86" i="74" s="1"/>
  <c r="AF87" i="74"/>
  <c r="AF260" i="74" s="1"/>
  <c r="AF259" i="74" s="1"/>
  <c r="AG87" i="74"/>
  <c r="AG260" i="74" s="1"/>
  <c r="AG259" i="74" s="1"/>
  <c r="N87" i="74"/>
  <c r="N260" i="74" s="1"/>
  <c r="N259" i="74" s="1"/>
  <c r="M87" i="74"/>
  <c r="M260" i="74" s="1"/>
  <c r="M259" i="74" s="1"/>
  <c r="AN87" i="74"/>
  <c r="AN260" i="74" s="1"/>
  <c r="AN259" i="74" s="1"/>
  <c r="O87" i="74"/>
  <c r="O260" i="74" s="1"/>
  <c r="O259" i="74" s="1"/>
  <c r="AB87" i="74"/>
  <c r="AB260" i="74" s="1"/>
  <c r="AB259" i="74" s="1"/>
  <c r="AM87" i="74"/>
  <c r="AM260" i="74" s="1"/>
  <c r="AM259" i="74" s="1"/>
  <c r="W87" i="74"/>
  <c r="W260" i="74" s="1"/>
  <c r="W259" i="74" s="1"/>
  <c r="Y87" i="74"/>
  <c r="Y260" i="74" s="1"/>
  <c r="Y259" i="74" s="1"/>
  <c r="Z87" i="74"/>
  <c r="Z260" i="74" s="1"/>
  <c r="Z259" i="74" s="1"/>
  <c r="U87" i="74"/>
  <c r="U260" i="74" s="1"/>
  <c r="U259" i="74" s="1"/>
  <c r="AX87" i="74"/>
  <c r="AX260" i="74" s="1"/>
  <c r="AX259" i="74" s="1"/>
  <c r="AH87" i="74"/>
  <c r="AH260" i="74" s="1"/>
  <c r="AH259" i="74" s="1"/>
  <c r="R87" i="74"/>
  <c r="R260" i="74" s="1"/>
  <c r="R259" i="74" s="1"/>
  <c r="AV87" i="74"/>
  <c r="AV260" i="74" s="1"/>
  <c r="AV259" i="74" s="1"/>
  <c r="AJ87" i="74"/>
  <c r="AJ260" i="74" s="1"/>
  <c r="AJ259" i="74" s="1"/>
  <c r="AU87" i="74"/>
  <c r="AU260" i="74" s="1"/>
  <c r="AU259" i="74" s="1"/>
  <c r="AO87" i="74"/>
  <c r="AO260" i="74" s="1"/>
  <c r="AO259" i="74" s="1"/>
  <c r="AS87" i="74"/>
  <c r="AS260" i="74" s="1"/>
  <c r="AS259" i="74" s="1"/>
  <c r="AT87" i="74"/>
  <c r="AT260" i="74" s="1"/>
  <c r="AT259" i="74" s="1"/>
  <c r="AP87" i="74"/>
  <c r="AP260" i="74" s="1"/>
  <c r="AP259" i="74" s="1"/>
  <c r="AA87" i="74"/>
  <c r="AA260" i="74" s="1"/>
  <c r="AA259" i="74" s="1"/>
  <c r="AR87" i="74"/>
  <c r="AR260" i="74" s="1"/>
  <c r="AR259" i="74" s="1"/>
  <c r="AD87" i="74"/>
  <c r="AD260" i="74" s="1"/>
  <c r="AD259" i="74" s="1"/>
  <c r="S87" i="74"/>
  <c r="S260" i="74" s="1"/>
  <c r="S259" i="74" s="1"/>
  <c r="T87" i="74"/>
  <c r="T260" i="74" s="1"/>
  <c r="T259" i="74" s="1"/>
  <c r="X87" i="74"/>
  <c r="X260" i="74" s="1"/>
  <c r="X259" i="74" s="1"/>
  <c r="AQ87" i="74"/>
  <c r="AQ260" i="74" s="1"/>
  <c r="AQ259" i="74" s="1"/>
  <c r="V87" i="74"/>
  <c r="V260" i="74" s="1"/>
  <c r="V259" i="74" s="1"/>
  <c r="AI87" i="74"/>
  <c r="AI260" i="74" s="1"/>
  <c r="AI259" i="74" s="1"/>
  <c r="AC87" i="74"/>
  <c r="AC260" i="74" s="1"/>
  <c r="AC259" i="74" s="1"/>
  <c r="Q87" i="74"/>
  <c r="Q260" i="74" s="1"/>
  <c r="Q259" i="74" s="1"/>
  <c r="AW87" i="74"/>
  <c r="AW260" i="74" s="1"/>
  <c r="AW259" i="74" s="1"/>
  <c r="H78" i="74"/>
  <c r="H225" i="74" s="1"/>
  <c r="L218" i="45"/>
  <c r="L217" i="45"/>
  <c r="K218" i="45"/>
  <c r="J218" i="45"/>
  <c r="R218" i="45"/>
  <c r="Q218" i="45"/>
  <c r="O218" i="45"/>
  <c r="N218" i="45"/>
  <c r="J217" i="45"/>
  <c r="R217" i="45"/>
  <c r="Q217" i="45"/>
  <c r="O217" i="45"/>
  <c r="N217" i="45"/>
  <c r="K217" i="45"/>
  <c r="H7" i="9"/>
  <c r="H9" i="9" s="1"/>
  <c r="S141" i="45" s="1"/>
  <c r="H64" i="9"/>
  <c r="D37" i="82" l="1"/>
  <c r="E37" i="82"/>
  <c r="T81" i="74"/>
  <c r="T228" i="74" s="1"/>
  <c r="D31" i="82"/>
  <c r="G81" i="74" s="1"/>
  <c r="G228" i="74" s="1"/>
  <c r="E31" i="82"/>
  <c r="H81" i="74" s="1"/>
  <c r="H228" i="74" s="1"/>
  <c r="J65" i="74"/>
  <c r="J187" i="74" s="1"/>
  <c r="D14" i="82"/>
  <c r="G65" i="74" s="1"/>
  <c r="G187" i="74" s="1"/>
  <c r="E14" i="82"/>
  <c r="H65" i="74" s="1"/>
  <c r="H187" i="74" s="1"/>
  <c r="J86" i="74"/>
  <c r="G86" i="74"/>
  <c r="D8" i="100"/>
  <c r="C9" i="100"/>
  <c r="D7" i="100"/>
  <c r="BA284" i="74"/>
  <c r="E40" i="99"/>
  <c r="D38" i="99"/>
  <c r="E39" i="99"/>
  <c r="C37" i="99"/>
  <c r="C40" i="99"/>
  <c r="C38" i="99"/>
  <c r="D37" i="99"/>
  <c r="E38" i="99"/>
  <c r="C38" i="100"/>
  <c r="C39" i="99"/>
  <c r="D37" i="100"/>
  <c r="D39" i="99"/>
  <c r="D40" i="99"/>
  <c r="E63" i="99"/>
  <c r="I10" i="99"/>
  <c r="I63" i="99" s="1"/>
  <c r="D36" i="100"/>
  <c r="E36" i="100"/>
  <c r="D10" i="100"/>
  <c r="C8" i="100"/>
  <c r="E38" i="100"/>
  <c r="E62" i="100" s="1"/>
  <c r="E10" i="100"/>
  <c r="C37" i="100"/>
  <c r="E6" i="100"/>
  <c r="C7" i="100"/>
  <c r="D6" i="100"/>
  <c r="E7" i="100"/>
  <c r="E60" i="100" s="1"/>
  <c r="D9" i="100"/>
  <c r="D38" i="100"/>
  <c r="C6" i="100"/>
  <c r="C10" i="100"/>
  <c r="E8" i="100"/>
  <c r="E37" i="100"/>
  <c r="BE270" i="74"/>
  <c r="BE215" i="74"/>
  <c r="BE268" i="74" s="1"/>
  <c r="BE274" i="74" s="1"/>
  <c r="BE281" i="74" s="1"/>
  <c r="BD270" i="74"/>
  <c r="BD215" i="74"/>
  <c r="BD268" i="74" s="1"/>
  <c r="BD274" i="74" s="1"/>
  <c r="BD281" i="74" s="1"/>
  <c r="BC270" i="74"/>
  <c r="BC215" i="74"/>
  <c r="BC268" i="74" s="1"/>
  <c r="BC274" i="74" s="1"/>
  <c r="BC281" i="74" s="1"/>
  <c r="BB270" i="74"/>
  <c r="BB215" i="74"/>
  <c r="BB268" i="74" s="1"/>
  <c r="BB274" i="74" s="1"/>
  <c r="BB281" i="74" s="1"/>
  <c r="BD74" i="74"/>
  <c r="BA42" i="82"/>
  <c r="BA74" i="74"/>
  <c r="AX42" i="82"/>
  <c r="BC74" i="74"/>
  <c r="AZ42" i="82"/>
  <c r="AY42" i="82"/>
  <c r="BB74" i="74"/>
  <c r="BE74" i="74"/>
  <c r="BB42" i="82"/>
  <c r="G245" i="45"/>
  <c r="G242" i="45"/>
  <c r="G241" i="45"/>
  <c r="G246" i="45"/>
  <c r="C9" i="99"/>
  <c r="E8" i="99"/>
  <c r="E61" i="99" s="1"/>
  <c r="C7" i="99"/>
  <c r="C8" i="99"/>
  <c r="D7" i="99"/>
  <c r="E11" i="99"/>
  <c r="D8" i="99"/>
  <c r="D10" i="99"/>
  <c r="D9" i="99"/>
  <c r="C10" i="99"/>
  <c r="C11" i="99"/>
  <c r="E7" i="99"/>
  <c r="D11" i="99"/>
  <c r="E9" i="99"/>
  <c r="X65" i="74"/>
  <c r="X187" i="74" s="1"/>
  <c r="V65" i="74"/>
  <c r="V187" i="74" s="1"/>
  <c r="P65" i="74"/>
  <c r="P187" i="74" s="1"/>
  <c r="J49" i="12"/>
  <c r="H86" i="74"/>
  <c r="L141" i="45"/>
  <c r="G217" i="45"/>
  <c r="G218" i="45"/>
  <c r="R141" i="45"/>
  <c r="Q141" i="45"/>
  <c r="O141" i="45"/>
  <c r="N141" i="45"/>
  <c r="K141" i="45"/>
  <c r="J141" i="45"/>
  <c r="H5" i="9"/>
  <c r="O358" i="74" l="1"/>
  <c r="O359" i="74" s="1"/>
  <c r="AP358" i="74"/>
  <c r="AP359" i="74" s="1"/>
  <c r="AQ358" i="74"/>
  <c r="AQ359" i="74" s="1"/>
  <c r="O361" i="74"/>
  <c r="O362" i="74" s="1"/>
  <c r="AP361" i="74"/>
  <c r="AP362" i="74" s="1"/>
  <c r="AQ361" i="74"/>
  <c r="AQ362" i="74" s="1"/>
  <c r="AP30" i="82"/>
  <c r="AS80" i="74" s="1"/>
  <c r="AS227" i="74" s="1"/>
  <c r="AQ30" i="82"/>
  <c r="AT80" i="74" s="1"/>
  <c r="AT227" i="74" s="1"/>
  <c r="AR30" i="82"/>
  <c r="AU80" i="74" s="1"/>
  <c r="AU227" i="74" s="1"/>
  <c r="AS30" i="82"/>
  <c r="AV80" i="74" s="1"/>
  <c r="AV227" i="74" s="1"/>
  <c r="AT30" i="82"/>
  <c r="AW80" i="74" s="1"/>
  <c r="AW227" i="74" s="1"/>
  <c r="AU30" i="82"/>
  <c r="AX80" i="74" s="1"/>
  <c r="AX227" i="74" s="1"/>
  <c r="AV30" i="82"/>
  <c r="Q30" i="82"/>
  <c r="R30" i="82"/>
  <c r="U80" i="74" s="1"/>
  <c r="U227" i="74" s="1"/>
  <c r="S30" i="82"/>
  <c r="V80" i="74" s="1"/>
  <c r="V227" i="74" s="1"/>
  <c r="T30" i="82"/>
  <c r="W80" i="74" s="1"/>
  <c r="W227" i="74" s="1"/>
  <c r="U30" i="82"/>
  <c r="X80" i="74" s="1"/>
  <c r="X227" i="74" s="1"/>
  <c r="AK30" i="82"/>
  <c r="AN80" i="74" s="1"/>
  <c r="AN227" i="74" s="1"/>
  <c r="AL30" i="82"/>
  <c r="AO80" i="74" s="1"/>
  <c r="AO227" i="74" s="1"/>
  <c r="AM30" i="82"/>
  <c r="AP80" i="74" s="1"/>
  <c r="AP227" i="74" s="1"/>
  <c r="AN30" i="82"/>
  <c r="AQ80" i="74" s="1"/>
  <c r="AQ227" i="74" s="1"/>
  <c r="AO30" i="82"/>
  <c r="AR80" i="74" s="1"/>
  <c r="AR227" i="74" s="1"/>
  <c r="Z30" i="82"/>
  <c r="AC80" i="74" s="1"/>
  <c r="AC227" i="74" s="1"/>
  <c r="AJ30" i="82"/>
  <c r="AM80" i="74" s="1"/>
  <c r="AM227" i="74" s="1"/>
  <c r="V30" i="82"/>
  <c r="Y80" i="74" s="1"/>
  <c r="Y227" i="74" s="1"/>
  <c r="X30" i="82"/>
  <c r="AA80" i="74" s="1"/>
  <c r="AA227" i="74" s="1"/>
  <c r="AH30" i="82"/>
  <c r="AK80" i="74" s="1"/>
  <c r="AK227" i="74" s="1"/>
  <c r="AA30" i="82"/>
  <c r="AD80" i="74" s="1"/>
  <c r="AD227" i="74" s="1"/>
  <c r="AD30" i="82"/>
  <c r="AG80" i="74" s="1"/>
  <c r="AG227" i="74" s="1"/>
  <c r="AF30" i="82"/>
  <c r="AI80" i="74" s="1"/>
  <c r="AI227" i="74" s="1"/>
  <c r="AB30" i="82"/>
  <c r="AE80" i="74" s="1"/>
  <c r="AE227" i="74" s="1"/>
  <c r="Y30" i="82"/>
  <c r="AB80" i="74" s="1"/>
  <c r="AB227" i="74" s="1"/>
  <c r="AC30" i="82"/>
  <c r="AF80" i="74" s="1"/>
  <c r="AF227" i="74" s="1"/>
  <c r="W30" i="82"/>
  <c r="Z80" i="74" s="1"/>
  <c r="Z227" i="74" s="1"/>
  <c r="AI30" i="82"/>
  <c r="AL80" i="74" s="1"/>
  <c r="AL227" i="74" s="1"/>
  <c r="AE30" i="82"/>
  <c r="AH80" i="74" s="1"/>
  <c r="AH227" i="74" s="1"/>
  <c r="AG30" i="82"/>
  <c r="AJ80" i="74" s="1"/>
  <c r="AJ227" i="74" s="1"/>
  <c r="BE284" i="74"/>
  <c r="BB284" i="74"/>
  <c r="BD284" i="74"/>
  <c r="BC284" i="74"/>
  <c r="AY80" i="74"/>
  <c r="AY227" i="74" s="1"/>
  <c r="AZ80" i="74"/>
  <c r="AZ227" i="74" s="1"/>
  <c r="E62" i="99"/>
  <c r="E65" i="99" s="1"/>
  <c r="I9" i="99"/>
  <c r="I62" i="99" s="1"/>
  <c r="U19" i="82"/>
  <c r="X70" i="74" s="1"/>
  <c r="G19" i="82"/>
  <c r="J80" i="74"/>
  <c r="J227" i="74" s="1"/>
  <c r="E61" i="100"/>
  <c r="E63" i="100" s="1"/>
  <c r="AY43" i="82"/>
  <c r="BB92" i="74" s="1"/>
  <c r="BB91" i="74"/>
  <c r="AZ43" i="82"/>
  <c r="BC92" i="74" s="1"/>
  <c r="BC91" i="74"/>
  <c r="AX43" i="82"/>
  <c r="BA92" i="74" s="1"/>
  <c r="BA91" i="74"/>
  <c r="BB43" i="82"/>
  <c r="BE92" i="74" s="1"/>
  <c r="BE91" i="74"/>
  <c r="BA43" i="82"/>
  <c r="BD92" i="74" s="1"/>
  <c r="BD91" i="74"/>
  <c r="AO358" i="74"/>
  <c r="AO359" i="74" s="1"/>
  <c r="Y358" i="74"/>
  <c r="Y359" i="74" s="1"/>
  <c r="Z358" i="74"/>
  <c r="Z359" i="74" s="1"/>
  <c r="AL358" i="74"/>
  <c r="AL359" i="74" s="1"/>
  <c r="AK358" i="74"/>
  <c r="AK359" i="74" s="1"/>
  <c r="Q358" i="74"/>
  <c r="Q359" i="74" s="1"/>
  <c r="P358" i="74"/>
  <c r="P359" i="74" s="1"/>
  <c r="AJ358" i="74"/>
  <c r="AJ359" i="74" s="1"/>
  <c r="AI358" i="74"/>
  <c r="AI359" i="74" s="1"/>
  <c r="V358" i="74"/>
  <c r="V359" i="74" s="1"/>
  <c r="AH358" i="74"/>
  <c r="AH359" i="74" s="1"/>
  <c r="U358" i="74"/>
  <c r="U359" i="74" s="1"/>
  <c r="AG358" i="74"/>
  <c r="AG359" i="74" s="1"/>
  <c r="T358" i="74"/>
  <c r="T359" i="74" s="1"/>
  <c r="R358" i="74"/>
  <c r="R359" i="74" s="1"/>
  <c r="AD358" i="74"/>
  <c r="AD359" i="74" s="1"/>
  <c r="X358" i="74"/>
  <c r="X359" i="74" s="1"/>
  <c r="W358" i="74"/>
  <c r="W359" i="74" s="1"/>
  <c r="AC358" i="74"/>
  <c r="AC359" i="74" s="1"/>
  <c r="S358" i="74"/>
  <c r="S359" i="74" s="1"/>
  <c r="AB358" i="74"/>
  <c r="AB359" i="74" s="1"/>
  <c r="AN358" i="74"/>
  <c r="AN359" i="74" s="1"/>
  <c r="AF358" i="74"/>
  <c r="AF359" i="74" s="1"/>
  <c r="AE358" i="74"/>
  <c r="AE359" i="74" s="1"/>
  <c r="AA358" i="74"/>
  <c r="AA359" i="74" s="1"/>
  <c r="AM358" i="74"/>
  <c r="AM359" i="74" s="1"/>
  <c r="M19" i="82"/>
  <c r="P70" i="74" s="1"/>
  <c r="Q19" i="82"/>
  <c r="T70" i="74" s="1"/>
  <c r="P361" i="74"/>
  <c r="P362" i="74" s="1"/>
  <c r="Q361" i="74"/>
  <c r="Q362" i="74" s="1"/>
  <c r="AC361" i="74"/>
  <c r="AC362" i="74" s="1"/>
  <c r="AD361" i="74"/>
  <c r="AD362" i="74" s="1"/>
  <c r="AE361" i="74"/>
  <c r="AE362" i="74" s="1"/>
  <c r="AF361" i="74"/>
  <c r="AF362" i="74" s="1"/>
  <c r="AG361" i="74"/>
  <c r="AG362" i="74" s="1"/>
  <c r="AH361" i="74"/>
  <c r="AH362" i="74" s="1"/>
  <c r="AI361" i="74"/>
  <c r="AI362" i="74" s="1"/>
  <c r="AJ361" i="74"/>
  <c r="AJ362" i="74" s="1"/>
  <c r="AK361" i="74"/>
  <c r="AK362" i="74" s="1"/>
  <c r="AL361" i="74"/>
  <c r="AL362" i="74" s="1"/>
  <c r="AM361" i="74"/>
  <c r="AM362" i="74" s="1"/>
  <c r="AN361" i="74"/>
  <c r="AN362" i="74" s="1"/>
  <c r="AO361" i="74"/>
  <c r="AO362" i="74" s="1"/>
  <c r="R361" i="74"/>
  <c r="R362" i="74" s="1"/>
  <c r="S361" i="74"/>
  <c r="S362" i="74" s="1"/>
  <c r="T361" i="74"/>
  <c r="T362" i="74" s="1"/>
  <c r="U361" i="74"/>
  <c r="U362" i="74" s="1"/>
  <c r="V361" i="74"/>
  <c r="V362" i="74" s="1"/>
  <c r="W361" i="74"/>
  <c r="W362" i="74" s="1"/>
  <c r="X361" i="74"/>
  <c r="X362" i="74" s="1"/>
  <c r="Y361" i="74"/>
  <c r="Y362" i="74" s="1"/>
  <c r="Z361" i="74"/>
  <c r="Z362" i="74" s="1"/>
  <c r="AA361" i="74"/>
  <c r="AA362" i="74" s="1"/>
  <c r="AB361" i="74"/>
  <c r="AB362" i="74" s="1"/>
  <c r="T19" i="82"/>
  <c r="W70" i="74" s="1"/>
  <c r="S19" i="82"/>
  <c r="V70" i="74" s="1"/>
  <c r="K49" i="12"/>
  <c r="G141" i="45"/>
  <c r="H6" i="9"/>
  <c r="S140" i="45" s="1"/>
  <c r="T80" i="74" l="1"/>
  <c r="T227" i="74" s="1"/>
  <c r="D30" i="82"/>
  <c r="E30" i="82"/>
  <c r="J70" i="74"/>
  <c r="E19" i="82"/>
  <c r="D19" i="82"/>
  <c r="AP24" i="82"/>
  <c r="AQ24" i="82"/>
  <c r="AR24" i="82"/>
  <c r="AS24" i="82"/>
  <c r="AT24" i="82"/>
  <c r="AU24" i="82"/>
  <c r="AV24" i="82"/>
  <c r="AY75" i="74" s="1"/>
  <c r="AY222" i="74" s="1"/>
  <c r="Q24" i="82"/>
  <c r="R24" i="82"/>
  <c r="S24" i="82"/>
  <c r="T24" i="82"/>
  <c r="U24" i="82"/>
  <c r="AK24" i="82"/>
  <c r="AL24" i="82"/>
  <c r="AM24" i="82"/>
  <c r="AN24" i="82"/>
  <c r="AO24" i="82"/>
  <c r="AG24" i="82"/>
  <c r="AF24" i="82"/>
  <c r="V24" i="82"/>
  <c r="AH24" i="82"/>
  <c r="W24" i="82"/>
  <c r="AI24" i="82"/>
  <c r="X24" i="82"/>
  <c r="AJ24" i="82"/>
  <c r="Y24" i="82"/>
  <c r="Z24" i="82"/>
  <c r="AA24" i="82"/>
  <c r="AB24" i="82"/>
  <c r="AC24" i="82"/>
  <c r="AD24" i="82"/>
  <c r="AE24" i="82"/>
  <c r="E64" i="99"/>
  <c r="F66" i="99" s="1"/>
  <c r="I65" i="99"/>
  <c r="I64" i="99"/>
  <c r="J194" i="74"/>
  <c r="X194" i="74"/>
  <c r="E64" i="100"/>
  <c r="E65" i="100" s="1"/>
  <c r="AM21" i="82" s="1"/>
  <c r="AP72" i="74" s="1"/>
  <c r="AP192" i="74" s="1"/>
  <c r="AP182" i="74" s="1"/>
  <c r="AP174" i="74" s="1"/>
  <c r="T194" i="74"/>
  <c r="V194" i="74"/>
  <c r="W194" i="74"/>
  <c r="P194" i="74"/>
  <c r="G359" i="74"/>
  <c r="G80" i="74"/>
  <c r="G227" i="74" s="1"/>
  <c r="H80" i="74"/>
  <c r="H227" i="74" s="1"/>
  <c r="V31" i="55"/>
  <c r="AY72" i="74"/>
  <c r="AY192" i="74" s="1"/>
  <c r="AY182" i="74" s="1"/>
  <c r="AY174" i="74" s="1"/>
  <c r="AV9" i="82"/>
  <c r="L49" i="12"/>
  <c r="K75" i="74"/>
  <c r="K222" i="74" s="1"/>
  <c r="J75" i="74"/>
  <c r="J222" i="74" s="1"/>
  <c r="L140" i="45"/>
  <c r="O140" i="45"/>
  <c r="N140" i="45"/>
  <c r="K140" i="45"/>
  <c r="R140" i="45"/>
  <c r="J140" i="45"/>
  <c r="Q140" i="45"/>
  <c r="E24" i="82" l="1"/>
  <c r="D24" i="82"/>
  <c r="G75" i="74" s="1"/>
  <c r="G222" i="74" s="1"/>
  <c r="I66" i="99"/>
  <c r="S72" i="55" s="1"/>
  <c r="AK72" i="55"/>
  <c r="AK71" i="55" s="1"/>
  <c r="V72" i="55"/>
  <c r="AZ75" i="74"/>
  <c r="AZ222" i="74" s="1"/>
  <c r="AP21" i="82"/>
  <c r="AS72" i="74" s="1"/>
  <c r="AS192" i="74" s="1"/>
  <c r="AS182" i="74" s="1"/>
  <c r="AS174" i="74" s="1"/>
  <c r="AW21" i="82"/>
  <c r="X72" i="55"/>
  <c r="AA8" i="74" s="1"/>
  <c r="AK21" i="82"/>
  <c r="AL21" i="82"/>
  <c r="J72" i="74"/>
  <c r="J192" i="74" s="1"/>
  <c r="X31" i="55"/>
  <c r="AA36" i="74" s="1"/>
  <c r="AA181" i="74" s="1"/>
  <c r="AA175" i="74" s="1"/>
  <c r="AK31" i="55"/>
  <c r="AN36" i="74" s="1"/>
  <c r="AN181" i="74" s="1"/>
  <c r="AN175" i="74" s="1"/>
  <c r="AM9" i="82"/>
  <c r="AP60" i="74" s="1"/>
  <c r="Y36" i="74"/>
  <c r="Y181" i="74" s="1"/>
  <c r="Y175" i="74" s="1"/>
  <c r="Y174" i="74" s="1"/>
  <c r="V25" i="55"/>
  <c r="S31" i="55"/>
  <c r="AY60" i="74"/>
  <c r="M49" i="12"/>
  <c r="AN75" i="74"/>
  <c r="AN222" i="74" s="1"/>
  <c r="AR75" i="74"/>
  <c r="AR222" i="74" s="1"/>
  <c r="AF75" i="74"/>
  <c r="AF222" i="74" s="1"/>
  <c r="O75" i="74"/>
  <c r="O222" i="74" s="1"/>
  <c r="X75" i="74"/>
  <c r="X222" i="74" s="1"/>
  <c r="M75" i="74"/>
  <c r="M222" i="74" s="1"/>
  <c r="AT75" i="74"/>
  <c r="AT222" i="74" s="1"/>
  <c r="P75" i="74"/>
  <c r="P222" i="74" s="1"/>
  <c r="AJ75" i="74"/>
  <c r="AJ222" i="74" s="1"/>
  <c r="S75" i="74"/>
  <c r="S222" i="74" s="1"/>
  <c r="Z75" i="74"/>
  <c r="Z222" i="74" s="1"/>
  <c r="AA75" i="74"/>
  <c r="AA222" i="74" s="1"/>
  <c r="AB75" i="74"/>
  <c r="AB222" i="74" s="1"/>
  <c r="AO75" i="74"/>
  <c r="AO222" i="74" s="1"/>
  <c r="AP75" i="74"/>
  <c r="AP222" i="74" s="1"/>
  <c r="N75" i="74"/>
  <c r="N222" i="74" s="1"/>
  <c r="AU75" i="74"/>
  <c r="AU222" i="74" s="1"/>
  <c r="AE75" i="74"/>
  <c r="AE222" i="74" s="1"/>
  <c r="V75" i="74"/>
  <c r="V222" i="74" s="1"/>
  <c r="L75" i="74"/>
  <c r="L222" i="74" s="1"/>
  <c r="AD75" i="74"/>
  <c r="AD222" i="74" s="1"/>
  <c r="AI75" i="74"/>
  <c r="AI222" i="74" s="1"/>
  <c r="Q75" i="74"/>
  <c r="Q222" i="74" s="1"/>
  <c r="AM75" i="74"/>
  <c r="AM222" i="74" s="1"/>
  <c r="AV75" i="74"/>
  <c r="AV222" i="74" s="1"/>
  <c r="H75" i="74"/>
  <c r="H222" i="74" s="1"/>
  <c r="T75" i="74"/>
  <c r="T222" i="74" s="1"/>
  <c r="AQ75" i="74"/>
  <c r="AQ222" i="74" s="1"/>
  <c r="AH75" i="74"/>
  <c r="AH222" i="74" s="1"/>
  <c r="AX75" i="74"/>
  <c r="AX222" i="74" s="1"/>
  <c r="AS75" i="74"/>
  <c r="AS222" i="74" s="1"/>
  <c r="R75" i="74"/>
  <c r="R222" i="74" s="1"/>
  <c r="AK75" i="74"/>
  <c r="AK222" i="74" s="1"/>
  <c r="W75" i="74"/>
  <c r="W222" i="74" s="1"/>
  <c r="U75" i="74"/>
  <c r="U222" i="74" s="1"/>
  <c r="AW75" i="74"/>
  <c r="AW222" i="74" s="1"/>
  <c r="AL75" i="74"/>
  <c r="AL222" i="74" s="1"/>
  <c r="AG75" i="74"/>
  <c r="AG222" i="74" s="1"/>
  <c r="AC75" i="74"/>
  <c r="AC222" i="74" s="1"/>
  <c r="Y75" i="74"/>
  <c r="Y222" i="74" s="1"/>
  <c r="D28" i="33"/>
  <c r="N28" i="33" s="1"/>
  <c r="G140" i="45"/>
  <c r="E72" i="55" l="1"/>
  <c r="D72" i="55"/>
  <c r="D31" i="55"/>
  <c r="G36" i="74" s="1"/>
  <c r="G181" i="74" s="1"/>
  <c r="E31" i="55"/>
  <c r="AK9" i="82"/>
  <c r="AN60" i="74" s="1"/>
  <c r="D21" i="82"/>
  <c r="G72" i="74" s="1"/>
  <c r="G192" i="74" s="1"/>
  <c r="E21" i="82"/>
  <c r="H72" i="74" s="1"/>
  <c r="H192" i="74" s="1"/>
  <c r="AP25" i="82"/>
  <c r="AQ25" i="82"/>
  <c r="AR25" i="82"/>
  <c r="AS25" i="82"/>
  <c r="AT25" i="82"/>
  <c r="AU25" i="82"/>
  <c r="AV25" i="82"/>
  <c r="AY77" i="74" s="1"/>
  <c r="AY224" i="74" s="1"/>
  <c r="Q25" i="82"/>
  <c r="R25" i="82"/>
  <c r="S25" i="82"/>
  <c r="T25" i="82"/>
  <c r="U25" i="82"/>
  <c r="AK25" i="82"/>
  <c r="AL25" i="82"/>
  <c r="AM25" i="82"/>
  <c r="AN25" i="82"/>
  <c r="AO25" i="82"/>
  <c r="AN8" i="74"/>
  <c r="AZ77" i="74"/>
  <c r="AZ224" i="74" s="1"/>
  <c r="AD25" i="82"/>
  <c r="AF25" i="82"/>
  <c r="AB25" i="82"/>
  <c r="Z25" i="82"/>
  <c r="AH25" i="82"/>
  <c r="V25" i="82"/>
  <c r="X25" i="82"/>
  <c r="AJ25" i="82"/>
  <c r="W25" i="82"/>
  <c r="AE25" i="82"/>
  <c r="AG25" i="82"/>
  <c r="AI25" i="82"/>
  <c r="AC25" i="82"/>
  <c r="Y25" i="82"/>
  <c r="AA25" i="82"/>
  <c r="AP9" i="82"/>
  <c r="AS60" i="74" s="1"/>
  <c r="V71" i="55"/>
  <c r="Y7" i="74" s="1"/>
  <c r="Y8" i="74"/>
  <c r="H8" i="74"/>
  <c r="AZ72" i="74"/>
  <c r="AZ192" i="74" s="1"/>
  <c r="AZ182" i="74" s="1"/>
  <c r="AZ174" i="74" s="1"/>
  <c r="AW9" i="82"/>
  <c r="G8" i="74"/>
  <c r="X71" i="55"/>
  <c r="AA7" i="74" s="1"/>
  <c r="AN7" i="74"/>
  <c r="AK86" i="55"/>
  <c r="S71" i="55"/>
  <c r="V8" i="74"/>
  <c r="AO72" i="74"/>
  <c r="AO192" i="74" s="1"/>
  <c r="AO182" i="74" s="1"/>
  <c r="AO174" i="74" s="1"/>
  <c r="AN72" i="74"/>
  <c r="AN192" i="74" s="1"/>
  <c r="AN182" i="74" s="1"/>
  <c r="AL9" i="82"/>
  <c r="AO60" i="74" s="1"/>
  <c r="X25" i="55"/>
  <c r="X57" i="55" s="1"/>
  <c r="AK25" i="55"/>
  <c r="AN30" i="74" s="1"/>
  <c r="V57" i="55"/>
  <c r="Y30" i="74"/>
  <c r="V36" i="74"/>
  <c r="V181" i="74" s="1"/>
  <c r="V175" i="74" s="1"/>
  <c r="S25" i="55"/>
  <c r="D58" i="33"/>
  <c r="J58" i="33" s="1"/>
  <c r="T27" i="33"/>
  <c r="H36" i="74"/>
  <c r="H181" i="74" s="1"/>
  <c r="N49" i="12"/>
  <c r="D44" i="33"/>
  <c r="R44" i="33" s="1"/>
  <c r="X28" i="33"/>
  <c r="AF28" i="33" s="1"/>
  <c r="T17" i="33"/>
  <c r="L77" i="74"/>
  <c r="L224" i="74" s="1"/>
  <c r="T18" i="33"/>
  <c r="T13" i="33"/>
  <c r="V7" i="74" l="1"/>
  <c r="D71" i="55"/>
  <c r="E71" i="55"/>
  <c r="H7" i="74" s="1"/>
  <c r="E25" i="82"/>
  <c r="D25" i="82"/>
  <c r="AZ60" i="74"/>
  <c r="AK85" i="55"/>
  <c r="AN22" i="74"/>
  <c r="G7" i="74"/>
  <c r="XFD21" i="82"/>
  <c r="AA30" i="74"/>
  <c r="AK57" i="55"/>
  <c r="AK55" i="55" s="1"/>
  <c r="S57" i="55"/>
  <c r="V30" i="74"/>
  <c r="S414" i="45"/>
  <c r="R414" i="45"/>
  <c r="Q414" i="45"/>
  <c r="S413" i="45"/>
  <c r="R413" i="45"/>
  <c r="Q413" i="45"/>
  <c r="O414" i="45"/>
  <c r="N414" i="45"/>
  <c r="O413" i="45"/>
  <c r="N413" i="45"/>
  <c r="J414" i="45"/>
  <c r="L414" i="45"/>
  <c r="K414" i="45"/>
  <c r="J413" i="45"/>
  <c r="L413" i="45"/>
  <c r="K413" i="45"/>
  <c r="O49" i="12"/>
  <c r="N43" i="33"/>
  <c r="V43" i="33"/>
  <c r="T8" i="33"/>
  <c r="K77" i="74"/>
  <c r="K224" i="74" s="1"/>
  <c r="J77" i="74"/>
  <c r="J224" i="74" s="1"/>
  <c r="L408" i="45"/>
  <c r="N56" i="33"/>
  <c r="T19" i="33" s="1"/>
  <c r="S409" i="45"/>
  <c r="L409" i="45"/>
  <c r="J408" i="45"/>
  <c r="D10" i="34"/>
  <c r="O408" i="45"/>
  <c r="R408" i="45"/>
  <c r="N408" i="45"/>
  <c r="Q408" i="45"/>
  <c r="J409" i="45"/>
  <c r="N409" i="45"/>
  <c r="R409" i="45"/>
  <c r="K409" i="45"/>
  <c r="Q409" i="45"/>
  <c r="O409" i="45"/>
  <c r="K408" i="45"/>
  <c r="S408" i="45"/>
  <c r="S407" i="45"/>
  <c r="K407" i="45"/>
  <c r="J407" i="45"/>
  <c r="O407" i="45"/>
  <c r="I35" i="34"/>
  <c r="R407" i="45"/>
  <c r="L407" i="45"/>
  <c r="Q407" i="45"/>
  <c r="N407" i="45"/>
  <c r="AR77" i="74"/>
  <c r="AR224" i="74" s="1"/>
  <c r="AP77" i="74"/>
  <c r="AP224" i="74" s="1"/>
  <c r="AC77" i="74"/>
  <c r="AC224" i="74" s="1"/>
  <c r="AS77" i="74"/>
  <c r="AS224" i="74" s="1"/>
  <c r="S77" i="74"/>
  <c r="S224" i="74" s="1"/>
  <c r="AW77" i="74"/>
  <c r="AW224" i="74" s="1"/>
  <c r="AA77" i="74"/>
  <c r="AA224" i="74" s="1"/>
  <c r="AD77" i="74"/>
  <c r="AD224" i="74" s="1"/>
  <c r="M77" i="74"/>
  <c r="M224" i="74" s="1"/>
  <c r="Q77" i="74"/>
  <c r="Q224" i="74" s="1"/>
  <c r="AO77" i="74"/>
  <c r="AO224" i="74" s="1"/>
  <c r="AN77" i="74"/>
  <c r="AN224" i="74" s="1"/>
  <c r="AE77" i="74"/>
  <c r="AE224" i="74" s="1"/>
  <c r="U77" i="74"/>
  <c r="U224" i="74" s="1"/>
  <c r="AX77" i="74"/>
  <c r="AX224" i="74" s="1"/>
  <c r="AT77" i="74"/>
  <c r="AT224" i="74" s="1"/>
  <c r="N77" i="74"/>
  <c r="N224" i="74" s="1"/>
  <c r="AG77" i="74"/>
  <c r="AG224" i="74" s="1"/>
  <c r="AJ77" i="74"/>
  <c r="AJ224" i="74" s="1"/>
  <c r="Y77" i="74"/>
  <c r="Y224" i="74" s="1"/>
  <c r="AQ77" i="74"/>
  <c r="AQ224" i="74" s="1"/>
  <c r="AH77" i="74"/>
  <c r="AH224" i="74" s="1"/>
  <c r="AI77" i="74"/>
  <c r="AI224" i="74" s="1"/>
  <c r="W77" i="74"/>
  <c r="W224" i="74" s="1"/>
  <c r="AB77" i="74"/>
  <c r="AB224" i="74" s="1"/>
  <c r="P77" i="74"/>
  <c r="P224" i="74" s="1"/>
  <c r="AV77" i="74"/>
  <c r="AV224" i="74" s="1"/>
  <c r="Z77" i="74"/>
  <c r="Z224" i="74" s="1"/>
  <c r="O77" i="74"/>
  <c r="O224" i="74" s="1"/>
  <c r="R77" i="74"/>
  <c r="R224" i="74" s="1"/>
  <c r="AU77" i="74"/>
  <c r="AU224" i="74" s="1"/>
  <c r="V77" i="74"/>
  <c r="V224" i="74" s="1"/>
  <c r="AL77" i="74"/>
  <c r="AL224" i="74" s="1"/>
  <c r="X77" i="74"/>
  <c r="X224" i="74" s="1"/>
  <c r="AM77" i="74"/>
  <c r="AM224" i="74" s="1"/>
  <c r="AF77" i="74"/>
  <c r="AF224" i="74" s="1"/>
  <c r="AK77" i="74"/>
  <c r="AK224" i="74" s="1"/>
  <c r="T77" i="74"/>
  <c r="T224" i="74" s="1"/>
  <c r="G77" i="74"/>
  <c r="G224" i="74" s="1"/>
  <c r="H77" i="74"/>
  <c r="H224" i="74" s="1"/>
  <c r="T9" i="33"/>
  <c r="V45" i="33"/>
  <c r="AK88" i="55" l="1"/>
  <c r="AN24" i="74" s="1"/>
  <c r="AN21" i="74"/>
  <c r="AN282" i="74" s="1"/>
  <c r="G413" i="45"/>
  <c r="BA383" i="74" s="1"/>
  <c r="G414" i="45"/>
  <c r="BA378" i="74" s="1"/>
  <c r="D7" i="34"/>
  <c r="I34" i="34" s="1"/>
  <c r="N44" i="34" s="1"/>
  <c r="Q423" i="45"/>
  <c r="S423" i="45"/>
  <c r="R423" i="45"/>
  <c r="N423" i="45"/>
  <c r="O423" i="45"/>
  <c r="J423" i="45"/>
  <c r="L423" i="45"/>
  <c r="K423" i="45"/>
  <c r="P49" i="12"/>
  <c r="J421" i="45"/>
  <c r="Q411" i="45"/>
  <c r="S419" i="45"/>
  <c r="S422" i="45"/>
  <c r="G408" i="45"/>
  <c r="G407" i="45"/>
  <c r="G409" i="45"/>
  <c r="N57" i="33"/>
  <c r="T20" i="33" s="1"/>
  <c r="O411" i="45"/>
  <c r="L411" i="45"/>
  <c r="S411" i="45"/>
  <c r="N411" i="45"/>
  <c r="R411" i="45"/>
  <c r="K411" i="45"/>
  <c r="J411" i="45"/>
  <c r="D26" i="34"/>
  <c r="N26" i="34" s="1"/>
  <c r="D28" i="35" s="1"/>
  <c r="E11" i="35"/>
  <c r="O16" i="35" s="1"/>
  <c r="N421" i="45"/>
  <c r="Q421" i="45"/>
  <c r="L421" i="45"/>
  <c r="S421" i="45"/>
  <c r="O421" i="45"/>
  <c r="V44" i="33"/>
  <c r="K421" i="45"/>
  <c r="R421" i="45"/>
  <c r="L422" i="45"/>
  <c r="L419" i="45"/>
  <c r="R422" i="45"/>
  <c r="N422" i="45"/>
  <c r="Q422" i="45"/>
  <c r="K422" i="45"/>
  <c r="O422" i="45"/>
  <c r="J422" i="45"/>
  <c r="Q419" i="45"/>
  <c r="N419" i="45"/>
  <c r="R419" i="45"/>
  <c r="J419" i="45"/>
  <c r="O419" i="45"/>
  <c r="K419" i="45"/>
  <c r="P10" i="76" l="1"/>
  <c r="AK10" i="76"/>
  <c r="S10" i="76"/>
  <c r="X10" i="76"/>
  <c r="AA137" i="74" s="1"/>
  <c r="AA206" i="74" s="1"/>
  <c r="AS10" i="76"/>
  <c r="AM137" i="74"/>
  <c r="AM206" i="74" s="1"/>
  <c r="G53" i="76"/>
  <c r="J341" i="74" s="1"/>
  <c r="J342" i="74" s="1"/>
  <c r="Q53" i="76"/>
  <c r="T341" i="74" s="1"/>
  <c r="T342" i="74" s="1"/>
  <c r="R53" i="76"/>
  <c r="U341" i="74" s="1"/>
  <c r="U342" i="74" s="1"/>
  <c r="S53" i="76"/>
  <c r="V341" i="74" s="1"/>
  <c r="V342" i="74" s="1"/>
  <c r="T378" i="74"/>
  <c r="U378" i="74"/>
  <c r="V378" i="74"/>
  <c r="T383" i="74"/>
  <c r="U383" i="74"/>
  <c r="V383" i="74"/>
  <c r="O29" i="35"/>
  <c r="Y29" i="35" s="1"/>
  <c r="I43" i="35" s="1"/>
  <c r="O10" i="35" s="1"/>
  <c r="R473" i="45" s="1"/>
  <c r="T53" i="76"/>
  <c r="W341" i="74" s="1"/>
  <c r="W342" i="74" s="1"/>
  <c r="U53" i="76"/>
  <c r="X341" i="74" s="1"/>
  <c r="X342" i="74" s="1"/>
  <c r="V53" i="76"/>
  <c r="Y341" i="74" s="1"/>
  <c r="Y342" i="74" s="1"/>
  <c r="W53" i="76"/>
  <c r="Z341" i="74" s="1"/>
  <c r="Z342" i="74" s="1"/>
  <c r="W378" i="74"/>
  <c r="X378" i="74"/>
  <c r="Y378" i="74"/>
  <c r="Z378" i="74"/>
  <c r="AA378" i="74"/>
  <c r="W383" i="74"/>
  <c r="X383" i="74"/>
  <c r="Y383" i="74"/>
  <c r="Z383" i="74"/>
  <c r="AA383" i="74"/>
  <c r="AB378" i="74"/>
  <c r="AC378" i="74"/>
  <c r="AD378" i="74"/>
  <c r="AE378" i="74"/>
  <c r="AF378" i="74"/>
  <c r="AG378" i="74"/>
  <c r="AH378" i="74"/>
  <c r="AI378" i="74"/>
  <c r="AJ378" i="74"/>
  <c r="AK378" i="74"/>
  <c r="AL378" i="74"/>
  <c r="AM378" i="74"/>
  <c r="AN378" i="74"/>
  <c r="AO378" i="74"/>
  <c r="AP378" i="74"/>
  <c r="AQ378" i="74"/>
  <c r="AR378" i="74"/>
  <c r="AS378" i="74"/>
  <c r="AT378" i="74"/>
  <c r="AU378" i="74"/>
  <c r="AV378" i="74"/>
  <c r="AW378" i="74"/>
  <c r="AY378" i="74"/>
  <c r="AX378" i="74"/>
  <c r="AZ378" i="74"/>
  <c r="AB383" i="74"/>
  <c r="AC383" i="74"/>
  <c r="AD383" i="74"/>
  <c r="AE383" i="74"/>
  <c r="AF383" i="74"/>
  <c r="AG383" i="74"/>
  <c r="AH383" i="74"/>
  <c r="AI383" i="74"/>
  <c r="AJ383" i="74"/>
  <c r="AK383" i="74"/>
  <c r="AL383" i="74"/>
  <c r="AM383" i="74"/>
  <c r="AN383" i="74"/>
  <c r="AO383" i="74"/>
  <c r="AP383" i="74"/>
  <c r="AQ383" i="74"/>
  <c r="AR383" i="74"/>
  <c r="AS383" i="74"/>
  <c r="AT383" i="74"/>
  <c r="AU383" i="74"/>
  <c r="AV383" i="74"/>
  <c r="AW383" i="74"/>
  <c r="AX383" i="74"/>
  <c r="AY383" i="74"/>
  <c r="AZ383" i="74"/>
  <c r="L436" i="45"/>
  <c r="N436" i="45"/>
  <c r="J436" i="45"/>
  <c r="O436" i="45"/>
  <c r="S436" i="45"/>
  <c r="K436" i="45"/>
  <c r="R436" i="45"/>
  <c r="N47" i="34"/>
  <c r="N48" i="34"/>
  <c r="Q436" i="45"/>
  <c r="I44" i="34"/>
  <c r="Q5" i="34" s="1"/>
  <c r="N438" i="45" s="1"/>
  <c r="S424" i="45"/>
  <c r="R424" i="45"/>
  <c r="Q424" i="45"/>
  <c r="O424" i="45"/>
  <c r="N424" i="45"/>
  <c r="J424" i="45"/>
  <c r="L424" i="45"/>
  <c r="K424" i="45"/>
  <c r="G423" i="45"/>
  <c r="BA380" i="74" s="1"/>
  <c r="Q49" i="12"/>
  <c r="X53" i="76"/>
  <c r="AA341" i="74" s="1"/>
  <c r="AA342" i="74" s="1"/>
  <c r="AV53" i="76"/>
  <c r="AY341" i="74" s="1"/>
  <c r="AY342" i="74" s="1"/>
  <c r="AW53" i="76"/>
  <c r="AZ341" i="74" s="1"/>
  <c r="AZ342" i="74" s="1"/>
  <c r="AX53" i="76"/>
  <c r="BA341" i="74" s="1"/>
  <c r="BA342" i="74" s="1"/>
  <c r="Y53" i="76"/>
  <c r="AB341" i="74" s="1"/>
  <c r="AB342" i="74" s="1"/>
  <c r="Z53" i="76"/>
  <c r="AC341" i="74" s="1"/>
  <c r="AC342" i="74" s="1"/>
  <c r="AA53" i="76"/>
  <c r="AD341" i="74" s="1"/>
  <c r="AD342" i="74" s="1"/>
  <c r="AB53" i="76"/>
  <c r="AE341" i="74" s="1"/>
  <c r="AE342" i="74" s="1"/>
  <c r="AC53" i="76"/>
  <c r="AF341" i="74" s="1"/>
  <c r="AF342" i="74" s="1"/>
  <c r="AD53" i="76"/>
  <c r="AG341" i="74" s="1"/>
  <c r="AG342" i="74" s="1"/>
  <c r="AE53" i="76"/>
  <c r="AH341" i="74" s="1"/>
  <c r="AH342" i="74" s="1"/>
  <c r="AF53" i="76"/>
  <c r="AI341" i="74" s="1"/>
  <c r="AI342" i="74" s="1"/>
  <c r="AG53" i="76"/>
  <c r="AJ341" i="74" s="1"/>
  <c r="AJ342" i="74" s="1"/>
  <c r="AH53" i="76"/>
  <c r="AK341" i="74" s="1"/>
  <c r="AK342" i="74" s="1"/>
  <c r="AI53" i="76"/>
  <c r="AL341" i="74" s="1"/>
  <c r="AL342" i="74" s="1"/>
  <c r="AJ53" i="76"/>
  <c r="AM341" i="74" s="1"/>
  <c r="AM342" i="74" s="1"/>
  <c r="AK53" i="76"/>
  <c r="AN341" i="74" s="1"/>
  <c r="AN342" i="74" s="1"/>
  <c r="AL53" i="76"/>
  <c r="AO341" i="74" s="1"/>
  <c r="AO342" i="74" s="1"/>
  <c r="AM53" i="76"/>
  <c r="AP341" i="74" s="1"/>
  <c r="AP342" i="74" s="1"/>
  <c r="AN53" i="76"/>
  <c r="AQ341" i="74" s="1"/>
  <c r="AQ342" i="74" s="1"/>
  <c r="AO53" i="76"/>
  <c r="AR341" i="74" s="1"/>
  <c r="AR342" i="74" s="1"/>
  <c r="AP53" i="76"/>
  <c r="AS341" i="74" s="1"/>
  <c r="AS342" i="74" s="1"/>
  <c r="AQ53" i="76"/>
  <c r="AT341" i="74" s="1"/>
  <c r="AT342" i="74" s="1"/>
  <c r="AR53" i="76"/>
  <c r="AU341" i="74" s="1"/>
  <c r="AU342" i="74" s="1"/>
  <c r="AS53" i="76"/>
  <c r="AV341" i="74" s="1"/>
  <c r="AV342" i="74" s="1"/>
  <c r="AT53" i="76"/>
  <c r="AW341" i="74" s="1"/>
  <c r="AW342" i="74" s="1"/>
  <c r="AU53" i="76"/>
  <c r="AX341" i="74" s="1"/>
  <c r="AX342" i="74" s="1"/>
  <c r="N34" i="34"/>
  <c r="Q7" i="34" s="1"/>
  <c r="G315" i="45"/>
  <c r="G290" i="45"/>
  <c r="Q100" i="74"/>
  <c r="Q196" i="74" s="1"/>
  <c r="O100" i="74"/>
  <c r="O196" i="74" s="1"/>
  <c r="G300" i="45"/>
  <c r="G301" i="45"/>
  <c r="J137" i="74"/>
  <c r="J206" i="74" s="1"/>
  <c r="AQ114" i="74"/>
  <c r="AQ235" i="74" s="1"/>
  <c r="AR114" i="74"/>
  <c r="AR235" i="74" s="1"/>
  <c r="AS114" i="74"/>
  <c r="AS235" i="74" s="1"/>
  <c r="AT114" i="74"/>
  <c r="AT235" i="74" s="1"/>
  <c r="AU114" i="74"/>
  <c r="AU235" i="74" s="1"/>
  <c r="AV114" i="74"/>
  <c r="AV235" i="74" s="1"/>
  <c r="AW114" i="74"/>
  <c r="AW235" i="74" s="1"/>
  <c r="AX114" i="74"/>
  <c r="AX235" i="74" s="1"/>
  <c r="AQ115" i="74"/>
  <c r="AQ236" i="74" s="1"/>
  <c r="AR115" i="74"/>
  <c r="AR236" i="74" s="1"/>
  <c r="AS115" i="74"/>
  <c r="AS236" i="74" s="1"/>
  <c r="AT115" i="74"/>
  <c r="AT236" i="74" s="1"/>
  <c r="AU115" i="74"/>
  <c r="AU236" i="74" s="1"/>
  <c r="AV115" i="74"/>
  <c r="AV236" i="74" s="1"/>
  <c r="AW115" i="74"/>
  <c r="AW236" i="74" s="1"/>
  <c r="AX115" i="74"/>
  <c r="AX236" i="74" s="1"/>
  <c r="T10" i="90"/>
  <c r="G411" i="45"/>
  <c r="AW25" i="76" s="1"/>
  <c r="G421" i="45"/>
  <c r="AW161" i="74"/>
  <c r="K152" i="74"/>
  <c r="K247" i="74" s="1"/>
  <c r="K137" i="74"/>
  <c r="K206" i="74" s="1"/>
  <c r="D36" i="34"/>
  <c r="AT161" i="74"/>
  <c r="AM161" i="74"/>
  <c r="AC161" i="74"/>
  <c r="AA161" i="74"/>
  <c r="S466" i="45"/>
  <c r="Q466" i="45"/>
  <c r="N466" i="45"/>
  <c r="R466" i="45"/>
  <c r="J466" i="45"/>
  <c r="L466" i="45"/>
  <c r="E10" i="35"/>
  <c r="J469" i="45" s="1"/>
  <c r="O466" i="45"/>
  <c r="K466" i="45"/>
  <c r="O161" i="74"/>
  <c r="P161" i="74"/>
  <c r="Y161" i="74"/>
  <c r="AS161" i="74"/>
  <c r="AE161" i="74"/>
  <c r="W161" i="74"/>
  <c r="R161" i="74"/>
  <c r="AD161" i="74"/>
  <c r="AQ161" i="74"/>
  <c r="AB161" i="74"/>
  <c r="V161" i="74"/>
  <c r="X161" i="74"/>
  <c r="AK161" i="74"/>
  <c r="U161" i="74"/>
  <c r="T161" i="74"/>
  <c r="AO161" i="74"/>
  <c r="AH161" i="74"/>
  <c r="Q161" i="74"/>
  <c r="AV161" i="74"/>
  <c r="AJ161" i="74"/>
  <c r="AI161" i="74"/>
  <c r="AP161" i="74"/>
  <c r="Z161" i="74"/>
  <c r="AR161" i="74"/>
  <c r="AF161" i="74"/>
  <c r="AL161" i="74"/>
  <c r="AG161" i="74"/>
  <c r="S161" i="74"/>
  <c r="AX161" i="74"/>
  <c r="N161" i="74"/>
  <c r="AU161" i="74"/>
  <c r="M161" i="74"/>
  <c r="AN161" i="74"/>
  <c r="T15" i="33"/>
  <c r="T10" i="33"/>
  <c r="G422" i="45"/>
  <c r="AW24" i="76" s="1"/>
  <c r="G419" i="45"/>
  <c r="L25" i="94" l="1"/>
  <c r="AL25" i="94"/>
  <c r="AO115" i="74" s="1"/>
  <c r="AO236" i="74" s="1"/>
  <c r="AM25" i="94"/>
  <c r="AP115" i="74" s="1"/>
  <c r="AP236" i="74" s="1"/>
  <c r="L24" i="94"/>
  <c r="AL24" i="94"/>
  <c r="AM24" i="94"/>
  <c r="AP114" i="74" s="1"/>
  <c r="AP235" i="74" s="1"/>
  <c r="Q24" i="76"/>
  <c r="R24" i="76"/>
  <c r="U151" i="74" s="1"/>
  <c r="U246" i="74" s="1"/>
  <c r="S24" i="76"/>
  <c r="V151" i="74" s="1"/>
  <c r="V246" i="74" s="1"/>
  <c r="Q25" i="76"/>
  <c r="R25" i="76"/>
  <c r="U152" i="74" s="1"/>
  <c r="U247" i="74" s="1"/>
  <c r="S25" i="76"/>
  <c r="V152" i="74" s="1"/>
  <c r="V247" i="74" s="1"/>
  <c r="AN137" i="74"/>
  <c r="AN206" i="74" s="1"/>
  <c r="AN205" i="74" s="1"/>
  <c r="AN174" i="74" s="1"/>
  <c r="AK9" i="76"/>
  <c r="AN136" i="74" s="1"/>
  <c r="AM25" i="76"/>
  <c r="AP152" i="74" s="1"/>
  <c r="AP247" i="74" s="1"/>
  <c r="AN25" i="76"/>
  <c r="AQ152" i="74" s="1"/>
  <c r="AQ247" i="74" s="1"/>
  <c r="AO25" i="76"/>
  <c r="AR152" i="74" s="1"/>
  <c r="AR247" i="74" s="1"/>
  <c r="AP25" i="76"/>
  <c r="AS152" i="74" s="1"/>
  <c r="AS247" i="74" s="1"/>
  <c r="AQ25" i="76"/>
  <c r="AT152" i="74" s="1"/>
  <c r="AT247" i="74" s="1"/>
  <c r="AR25" i="76"/>
  <c r="AU152" i="74" s="1"/>
  <c r="AU247" i="74" s="1"/>
  <c r="AS25" i="76"/>
  <c r="AV152" i="74" s="1"/>
  <c r="AV247" i="74" s="1"/>
  <c r="AT25" i="76"/>
  <c r="AW152" i="74" s="1"/>
  <c r="AW247" i="74" s="1"/>
  <c r="AU25" i="76"/>
  <c r="AX152" i="74" s="1"/>
  <c r="AX247" i="74" s="1"/>
  <c r="AV25" i="76"/>
  <c r="AY152" i="74" s="1"/>
  <c r="AY247" i="74" s="1"/>
  <c r="M25" i="94"/>
  <c r="N25" i="94"/>
  <c r="Q115" i="74" s="1"/>
  <c r="Q236" i="74" s="1"/>
  <c r="Y25" i="94"/>
  <c r="Z25" i="94"/>
  <c r="AC115" i="74" s="1"/>
  <c r="AC236" i="74" s="1"/>
  <c r="AA25" i="94"/>
  <c r="AD115" i="74" s="1"/>
  <c r="AD236" i="74" s="1"/>
  <c r="AB25" i="94"/>
  <c r="AE115" i="74" s="1"/>
  <c r="AE236" i="74" s="1"/>
  <c r="AC25" i="94"/>
  <c r="AF115" i="74" s="1"/>
  <c r="AF236" i="74" s="1"/>
  <c r="AD25" i="94"/>
  <c r="AG115" i="74" s="1"/>
  <c r="AG236" i="74" s="1"/>
  <c r="AE25" i="94"/>
  <c r="AH115" i="74" s="1"/>
  <c r="AH236" i="74" s="1"/>
  <c r="AF25" i="94"/>
  <c r="AI115" i="74" s="1"/>
  <c r="AI236" i="74" s="1"/>
  <c r="AG25" i="94"/>
  <c r="AJ115" i="74" s="1"/>
  <c r="AJ236" i="74" s="1"/>
  <c r="AH25" i="94"/>
  <c r="AK115" i="74" s="1"/>
  <c r="AK236" i="74" s="1"/>
  <c r="AI25" i="94"/>
  <c r="AL115" i="74" s="1"/>
  <c r="AL236" i="74" s="1"/>
  <c r="AJ25" i="94"/>
  <c r="AM115" i="74" s="1"/>
  <c r="AM236" i="74" s="1"/>
  <c r="AK25" i="94"/>
  <c r="AN115" i="74" s="1"/>
  <c r="AN236" i="74" s="1"/>
  <c r="AM24" i="76"/>
  <c r="AP151" i="74" s="1"/>
  <c r="AP246" i="74" s="1"/>
  <c r="AN24" i="76"/>
  <c r="AQ151" i="74" s="1"/>
  <c r="AQ246" i="74" s="1"/>
  <c r="AO24" i="76"/>
  <c r="AR151" i="74" s="1"/>
  <c r="AR246" i="74" s="1"/>
  <c r="AP24" i="76"/>
  <c r="AS151" i="74" s="1"/>
  <c r="AS246" i="74" s="1"/>
  <c r="AQ24" i="76"/>
  <c r="AT151" i="74" s="1"/>
  <c r="AT246" i="74" s="1"/>
  <c r="AR24" i="76"/>
  <c r="AU151" i="74" s="1"/>
  <c r="AU246" i="74" s="1"/>
  <c r="AS24" i="76"/>
  <c r="AV151" i="74" s="1"/>
  <c r="AV246" i="74" s="1"/>
  <c r="AT24" i="76"/>
  <c r="AW151" i="74" s="1"/>
  <c r="AW246" i="74" s="1"/>
  <c r="AU24" i="76"/>
  <c r="AX151" i="74" s="1"/>
  <c r="AX246" i="74" s="1"/>
  <c r="AV24" i="76"/>
  <c r="M24" i="94"/>
  <c r="P114" i="74" s="1"/>
  <c r="P235" i="74" s="1"/>
  <c r="N24" i="94"/>
  <c r="Y24" i="94"/>
  <c r="AB114" i="74" s="1"/>
  <c r="AB235" i="74" s="1"/>
  <c r="Z24" i="94"/>
  <c r="AC114" i="74" s="1"/>
  <c r="AC235" i="74" s="1"/>
  <c r="AA24" i="94"/>
  <c r="AD114" i="74" s="1"/>
  <c r="AD235" i="74" s="1"/>
  <c r="AB24" i="94"/>
  <c r="AE114" i="74" s="1"/>
  <c r="AE235" i="74" s="1"/>
  <c r="AC24" i="94"/>
  <c r="AF114" i="74" s="1"/>
  <c r="AF235" i="74" s="1"/>
  <c r="AD24" i="94"/>
  <c r="AG114" i="74" s="1"/>
  <c r="AG235" i="74" s="1"/>
  <c r="AE24" i="94"/>
  <c r="AH114" i="74" s="1"/>
  <c r="AH235" i="74" s="1"/>
  <c r="AF24" i="94"/>
  <c r="AI114" i="74" s="1"/>
  <c r="AI235" i="74" s="1"/>
  <c r="AG24" i="94"/>
  <c r="AJ114" i="74" s="1"/>
  <c r="AJ235" i="74" s="1"/>
  <c r="AH24" i="94"/>
  <c r="AI24" i="94"/>
  <c r="AL114" i="74" s="1"/>
  <c r="AL235" i="74" s="1"/>
  <c r="AJ24" i="94"/>
  <c r="AM114" i="74" s="1"/>
  <c r="AM235" i="74" s="1"/>
  <c r="AK24" i="94"/>
  <c r="AN114" i="74" s="1"/>
  <c r="AN235" i="74" s="1"/>
  <c r="AV137" i="74"/>
  <c r="AV206" i="74" s="1"/>
  <c r="AV205" i="74" s="1"/>
  <c r="AV174" i="74" s="1"/>
  <c r="AS9" i="76"/>
  <c r="AV136" i="74" s="1"/>
  <c r="S410" i="45"/>
  <c r="Q410" i="45"/>
  <c r="R410" i="45"/>
  <c r="O410" i="45"/>
  <c r="L410" i="45"/>
  <c r="K410" i="45"/>
  <c r="J410" i="45"/>
  <c r="N410" i="45"/>
  <c r="O115" i="74"/>
  <c r="O236" i="74" s="1"/>
  <c r="O25" i="94"/>
  <c r="R115" i="74" s="1"/>
  <c r="R236" i="74" s="1"/>
  <c r="P25" i="94"/>
  <c r="S115" i="74" s="1"/>
  <c r="S236" i="74" s="1"/>
  <c r="Q25" i="94"/>
  <c r="T115" i="74" s="1"/>
  <c r="T236" i="74" s="1"/>
  <c r="R25" i="94"/>
  <c r="U115" i="74" s="1"/>
  <c r="U236" i="74" s="1"/>
  <c r="S25" i="94"/>
  <c r="V115" i="74" s="1"/>
  <c r="V236" i="74" s="1"/>
  <c r="T25" i="94"/>
  <c r="W115" i="74" s="1"/>
  <c r="W236" i="74" s="1"/>
  <c r="U25" i="94"/>
  <c r="X115" i="74" s="1"/>
  <c r="X236" i="74" s="1"/>
  <c r="V25" i="94"/>
  <c r="Y115" i="74" s="1"/>
  <c r="Y236" i="74" s="1"/>
  <c r="W25" i="94"/>
  <c r="Z115" i="74" s="1"/>
  <c r="Z236" i="74" s="1"/>
  <c r="X25" i="94"/>
  <c r="AA115" i="74" s="1"/>
  <c r="AA236" i="74" s="1"/>
  <c r="J152" i="74"/>
  <c r="J247" i="74" s="1"/>
  <c r="T25" i="76"/>
  <c r="W152" i="74" s="1"/>
  <c r="W247" i="74" s="1"/>
  <c r="U25" i="76"/>
  <c r="X152" i="74" s="1"/>
  <c r="X247" i="74" s="1"/>
  <c r="V25" i="76"/>
  <c r="Y152" i="74" s="1"/>
  <c r="Y247" i="74" s="1"/>
  <c r="W25" i="76"/>
  <c r="Z152" i="74" s="1"/>
  <c r="Z247" i="74" s="1"/>
  <c r="X25" i="76"/>
  <c r="AA152" i="74" s="1"/>
  <c r="AA247" i="74" s="1"/>
  <c r="Y25" i="76"/>
  <c r="AB152" i="74" s="1"/>
  <c r="AB247" i="74" s="1"/>
  <c r="Z25" i="76"/>
  <c r="AC152" i="74" s="1"/>
  <c r="AC247" i="74" s="1"/>
  <c r="AA25" i="76"/>
  <c r="AD152" i="74" s="1"/>
  <c r="AD247" i="74" s="1"/>
  <c r="AB25" i="76"/>
  <c r="AE152" i="74" s="1"/>
  <c r="AE247" i="74" s="1"/>
  <c r="AC25" i="76"/>
  <c r="AF152" i="74" s="1"/>
  <c r="AF247" i="74" s="1"/>
  <c r="AD25" i="76"/>
  <c r="AG152" i="74" s="1"/>
  <c r="AG247" i="74" s="1"/>
  <c r="AE25" i="76"/>
  <c r="AH152" i="74" s="1"/>
  <c r="AH247" i="74" s="1"/>
  <c r="AF25" i="76"/>
  <c r="AI152" i="74" s="1"/>
  <c r="AI247" i="74" s="1"/>
  <c r="AG25" i="76"/>
  <c r="AJ152" i="74" s="1"/>
  <c r="AJ247" i="74" s="1"/>
  <c r="AH25" i="76"/>
  <c r="AK152" i="74" s="1"/>
  <c r="AK247" i="74" s="1"/>
  <c r="AI25" i="76"/>
  <c r="AL152" i="74" s="1"/>
  <c r="AL247" i="74" s="1"/>
  <c r="AJ25" i="76"/>
  <c r="AM152" i="74" s="1"/>
  <c r="AM247" i="74" s="1"/>
  <c r="AK25" i="76"/>
  <c r="AN152" i="74" s="1"/>
  <c r="AN247" i="74" s="1"/>
  <c r="AL25" i="76"/>
  <c r="AO152" i="74" s="1"/>
  <c r="AO247" i="74" s="1"/>
  <c r="AD24" i="76"/>
  <c r="AG151" i="74" s="1"/>
  <c r="AG246" i="74" s="1"/>
  <c r="W24" i="76"/>
  <c r="Z151" i="74" s="1"/>
  <c r="Z246" i="74" s="1"/>
  <c r="Y24" i="76"/>
  <c r="AB151" i="74" s="1"/>
  <c r="AB246" i="74" s="1"/>
  <c r="AB24" i="76"/>
  <c r="AE151" i="74" s="1"/>
  <c r="AE246" i="74" s="1"/>
  <c r="AF24" i="76"/>
  <c r="AI151" i="74" s="1"/>
  <c r="AI246" i="74" s="1"/>
  <c r="AK24" i="76"/>
  <c r="AN151" i="74" s="1"/>
  <c r="AN246" i="74" s="1"/>
  <c r="Z24" i="76"/>
  <c r="AC151" i="74" s="1"/>
  <c r="AC246" i="74" s="1"/>
  <c r="T24" i="76"/>
  <c r="W151" i="74" s="1"/>
  <c r="W246" i="74" s="1"/>
  <c r="U24" i="76"/>
  <c r="X151" i="74" s="1"/>
  <c r="X246" i="74" s="1"/>
  <c r="AI24" i="76"/>
  <c r="AL151" i="74" s="1"/>
  <c r="AL246" i="74" s="1"/>
  <c r="V24" i="76"/>
  <c r="Y151" i="74" s="1"/>
  <c r="Y246" i="74" s="1"/>
  <c r="AA24" i="76"/>
  <c r="AD151" i="74" s="1"/>
  <c r="AD246" i="74" s="1"/>
  <c r="AC24" i="76"/>
  <c r="AF151" i="74" s="1"/>
  <c r="AF246" i="74" s="1"/>
  <c r="AE24" i="76"/>
  <c r="AH151" i="74" s="1"/>
  <c r="AH246" i="74" s="1"/>
  <c r="AH24" i="76"/>
  <c r="AK151" i="74" s="1"/>
  <c r="AK246" i="74" s="1"/>
  <c r="AJ24" i="76"/>
  <c r="AM151" i="74" s="1"/>
  <c r="AM246" i="74" s="1"/>
  <c r="AG24" i="76"/>
  <c r="AJ151" i="74" s="1"/>
  <c r="AJ246" i="74" s="1"/>
  <c r="X24" i="76"/>
  <c r="AA151" i="74" s="1"/>
  <c r="AA246" i="74" s="1"/>
  <c r="AL24" i="76"/>
  <c r="AO151" i="74" s="1"/>
  <c r="AO246" i="74" s="1"/>
  <c r="O24" i="94"/>
  <c r="R114" i="74" s="1"/>
  <c r="R235" i="74" s="1"/>
  <c r="P24" i="94"/>
  <c r="S114" i="74" s="1"/>
  <c r="S235" i="74" s="1"/>
  <c r="Q24" i="94"/>
  <c r="T114" i="74" s="1"/>
  <c r="T235" i="74" s="1"/>
  <c r="R24" i="94"/>
  <c r="U114" i="74" s="1"/>
  <c r="U235" i="74" s="1"/>
  <c r="S24" i="94"/>
  <c r="V114" i="74" s="1"/>
  <c r="V235" i="74" s="1"/>
  <c r="T24" i="94"/>
  <c r="W114" i="74" s="1"/>
  <c r="W235" i="74" s="1"/>
  <c r="U24" i="94"/>
  <c r="X114" i="74" s="1"/>
  <c r="X235" i="74" s="1"/>
  <c r="V24" i="94"/>
  <c r="Y114" i="74" s="1"/>
  <c r="Y235" i="74" s="1"/>
  <c r="W24" i="94"/>
  <c r="Z114" i="74" s="1"/>
  <c r="Z235" i="74" s="1"/>
  <c r="X24" i="94"/>
  <c r="AA114" i="74" s="1"/>
  <c r="AA235" i="74" s="1"/>
  <c r="S474" i="45"/>
  <c r="S473" i="45"/>
  <c r="J474" i="45"/>
  <c r="J390" i="45" s="1"/>
  <c r="O474" i="45"/>
  <c r="O390" i="45" s="1"/>
  <c r="R474" i="45"/>
  <c r="J473" i="45"/>
  <c r="K473" i="45"/>
  <c r="K474" i="45"/>
  <c r="K390" i="45" s="1"/>
  <c r="L473" i="45"/>
  <c r="L474" i="45"/>
  <c r="L390" i="45" s="1"/>
  <c r="Q473" i="45"/>
  <c r="N474" i="45"/>
  <c r="N390" i="45" s="1"/>
  <c r="O473" i="45"/>
  <c r="N473" i="45"/>
  <c r="Q474" i="45"/>
  <c r="G53" i="94"/>
  <c r="J326" i="74" s="1"/>
  <c r="L53" i="94"/>
  <c r="O326" i="74" s="1"/>
  <c r="T380" i="74"/>
  <c r="U380" i="74"/>
  <c r="V380" i="74"/>
  <c r="G51" i="76"/>
  <c r="J328" i="74" s="1"/>
  <c r="Q51" i="76"/>
  <c r="T328" i="74" s="1"/>
  <c r="R51" i="76"/>
  <c r="U328" i="74" s="1"/>
  <c r="S51" i="76"/>
  <c r="V328" i="74" s="1"/>
  <c r="S137" i="74"/>
  <c r="S206" i="74" s="1"/>
  <c r="AJ11" i="76"/>
  <c r="AM138" i="74" s="1"/>
  <c r="AM207" i="74" s="1"/>
  <c r="P11" i="76"/>
  <c r="S138" i="74" s="1"/>
  <c r="S207" i="74" s="1"/>
  <c r="G11" i="94"/>
  <c r="K11" i="94"/>
  <c r="J114" i="74"/>
  <c r="J235" i="74" s="1"/>
  <c r="J115" i="74"/>
  <c r="J236" i="74" s="1"/>
  <c r="T51" i="76"/>
  <c r="W328" i="74" s="1"/>
  <c r="U51" i="76"/>
  <c r="X328" i="74" s="1"/>
  <c r="V51" i="76"/>
  <c r="Y328" i="74" s="1"/>
  <c r="W51" i="76"/>
  <c r="Z328" i="74" s="1"/>
  <c r="W380" i="74"/>
  <c r="X380" i="74"/>
  <c r="Y380" i="74"/>
  <c r="Z380" i="74"/>
  <c r="AA380" i="74"/>
  <c r="AB380" i="74"/>
  <c r="AC380" i="74"/>
  <c r="AD380" i="74"/>
  <c r="AE380" i="74"/>
  <c r="AF380" i="74"/>
  <c r="AG380" i="74"/>
  <c r="AH380" i="74"/>
  <c r="AI380" i="74"/>
  <c r="AJ380" i="74"/>
  <c r="AK380" i="74"/>
  <c r="AL380" i="74"/>
  <c r="AM380" i="74"/>
  <c r="AN380" i="74"/>
  <c r="AO380" i="74"/>
  <c r="AP380" i="74"/>
  <c r="AQ380" i="74"/>
  <c r="AR380" i="74"/>
  <c r="AS380" i="74"/>
  <c r="AT380" i="74"/>
  <c r="AU380" i="74"/>
  <c r="AV380" i="74"/>
  <c r="AW380" i="74"/>
  <c r="AX380" i="74"/>
  <c r="AY380" i="74"/>
  <c r="AZ380" i="74"/>
  <c r="G436" i="45"/>
  <c r="AX52" i="76" s="1"/>
  <c r="BA329" i="74" s="1"/>
  <c r="G424" i="45"/>
  <c r="BA385" i="74" s="1"/>
  <c r="Q438" i="45"/>
  <c r="O438" i="45"/>
  <c r="K438" i="45"/>
  <c r="R438" i="45"/>
  <c r="L438" i="45"/>
  <c r="J438" i="45"/>
  <c r="S438" i="45"/>
  <c r="I45" i="34"/>
  <c r="Q6" i="34" s="1"/>
  <c r="O439" i="45" s="1"/>
  <c r="R49" i="12"/>
  <c r="X51" i="76"/>
  <c r="AA328" i="74" s="1"/>
  <c r="AV51" i="76"/>
  <c r="AY328" i="74" s="1"/>
  <c r="AW51" i="76"/>
  <c r="AZ328" i="74" s="1"/>
  <c r="AX51" i="76"/>
  <c r="BA328" i="74" s="1"/>
  <c r="AZ152" i="74"/>
  <c r="AZ247" i="74" s="1"/>
  <c r="BA152" i="74"/>
  <c r="BA247" i="74" s="1"/>
  <c r="AY151" i="74"/>
  <c r="AY246" i="74" s="1"/>
  <c r="AZ151" i="74"/>
  <c r="AZ246" i="74" s="1"/>
  <c r="BA151" i="74"/>
  <c r="BA246" i="74" s="1"/>
  <c r="BA155" i="74"/>
  <c r="BA250" i="74" s="1"/>
  <c r="X11" i="76"/>
  <c r="AA138" i="74" s="1"/>
  <c r="AA207" i="74" s="1"/>
  <c r="W11" i="76"/>
  <c r="Z138" i="74" s="1"/>
  <c r="Z207" i="74" s="1"/>
  <c r="Z137" i="74"/>
  <c r="Z206" i="74" s="1"/>
  <c r="AM53" i="94"/>
  <c r="AP326" i="74" s="1"/>
  <c r="AN53" i="94"/>
  <c r="AQ326" i="74" s="1"/>
  <c r="M53" i="94"/>
  <c r="P326" i="74" s="1"/>
  <c r="N53" i="94"/>
  <c r="Q326" i="74" s="1"/>
  <c r="O53" i="94"/>
  <c r="R326" i="74" s="1"/>
  <c r="P53" i="94"/>
  <c r="S326" i="74" s="1"/>
  <c r="Q53" i="94"/>
  <c r="T326" i="74" s="1"/>
  <c r="R53" i="94"/>
  <c r="U326" i="74" s="1"/>
  <c r="S53" i="94"/>
  <c r="V326" i="74" s="1"/>
  <c r="T53" i="94"/>
  <c r="W326" i="74" s="1"/>
  <c r="U53" i="94"/>
  <c r="X326" i="74" s="1"/>
  <c r="V53" i="94"/>
  <c r="Y326" i="74" s="1"/>
  <c r="W53" i="94"/>
  <c r="Z326" i="74" s="1"/>
  <c r="X53" i="94"/>
  <c r="AA326" i="74" s="1"/>
  <c r="Y53" i="94"/>
  <c r="AB326" i="74" s="1"/>
  <c r="Z53" i="94"/>
  <c r="AC326" i="74" s="1"/>
  <c r="AA53" i="94"/>
  <c r="AD326" i="74" s="1"/>
  <c r="AB53" i="94"/>
  <c r="AE326" i="74" s="1"/>
  <c r="AC53" i="94"/>
  <c r="AF326" i="74" s="1"/>
  <c r="AD53" i="94"/>
  <c r="AG326" i="74" s="1"/>
  <c r="AE53" i="94"/>
  <c r="AH326" i="74" s="1"/>
  <c r="AF53" i="94"/>
  <c r="AI326" i="74" s="1"/>
  <c r="AG53" i="94"/>
  <c r="AJ326" i="74" s="1"/>
  <c r="AH53" i="94"/>
  <c r="AK326" i="74" s="1"/>
  <c r="AI53" i="94"/>
  <c r="AL326" i="74" s="1"/>
  <c r="AJ53" i="94"/>
  <c r="AM326" i="74" s="1"/>
  <c r="AK53" i="94"/>
  <c r="AN326" i="74" s="1"/>
  <c r="AL53" i="94"/>
  <c r="AO326" i="74" s="1"/>
  <c r="AB115" i="74"/>
  <c r="AB236" i="74" s="1"/>
  <c r="Y51" i="76"/>
  <c r="AB328" i="74" s="1"/>
  <c r="Z51" i="76"/>
  <c r="AC328" i="74" s="1"/>
  <c r="AA51" i="76"/>
  <c r="AD328" i="74" s="1"/>
  <c r="AB51" i="76"/>
  <c r="AE328" i="74" s="1"/>
  <c r="AC51" i="76"/>
  <c r="AF328" i="74" s="1"/>
  <c r="AD51" i="76"/>
  <c r="AG328" i="74" s="1"/>
  <c r="AE51" i="76"/>
  <c r="AH328" i="74" s="1"/>
  <c r="AF51" i="76"/>
  <c r="AI328" i="74" s="1"/>
  <c r="AG51" i="76"/>
  <c r="AJ328" i="74" s="1"/>
  <c r="AH51" i="76"/>
  <c r="AK328" i="74" s="1"/>
  <c r="AI51" i="76"/>
  <c r="AL328" i="74" s="1"/>
  <c r="AJ51" i="76"/>
  <c r="AM328" i="74" s="1"/>
  <c r="AK51" i="76"/>
  <c r="AN328" i="74" s="1"/>
  <c r="AL51" i="76"/>
  <c r="AO328" i="74" s="1"/>
  <c r="AM51" i="76"/>
  <c r="AP328" i="74" s="1"/>
  <c r="AN51" i="76"/>
  <c r="AQ328" i="74" s="1"/>
  <c r="AO51" i="76"/>
  <c r="AR328" i="74" s="1"/>
  <c r="AP51" i="76"/>
  <c r="AS328" i="74" s="1"/>
  <c r="AQ51" i="76"/>
  <c r="AT328" i="74" s="1"/>
  <c r="AR51" i="76"/>
  <c r="AU328" i="74" s="1"/>
  <c r="AS51" i="76"/>
  <c r="AV328" i="74" s="1"/>
  <c r="AT51" i="76"/>
  <c r="AW328" i="74" s="1"/>
  <c r="AU51" i="76"/>
  <c r="AX328" i="74" s="1"/>
  <c r="P115" i="74"/>
  <c r="P236" i="74" s="1"/>
  <c r="Q14" i="34"/>
  <c r="Q13" i="34"/>
  <c r="AR326" i="74"/>
  <c r="AS326" i="74"/>
  <c r="AT326" i="74"/>
  <c r="AU326" i="74"/>
  <c r="AV326" i="74"/>
  <c r="AW326" i="74"/>
  <c r="AX326" i="74"/>
  <c r="K299" i="45"/>
  <c r="Q299" i="45"/>
  <c r="N299" i="45"/>
  <c r="J299" i="45"/>
  <c r="S299" i="45"/>
  <c r="R299" i="45"/>
  <c r="O299" i="45"/>
  <c r="L299" i="45"/>
  <c r="H100" i="74"/>
  <c r="H196" i="74" s="1"/>
  <c r="AO114" i="74"/>
  <c r="AO235" i="74" s="1"/>
  <c r="AK114" i="74"/>
  <c r="AK235" i="74" s="1"/>
  <c r="G100" i="74"/>
  <c r="G196" i="74" s="1"/>
  <c r="G345" i="45"/>
  <c r="N11" i="94"/>
  <c r="Q101" i="74" s="1"/>
  <c r="Q197" i="74" s="1"/>
  <c r="L11" i="94"/>
  <c r="O101" i="74" s="1"/>
  <c r="O197" i="74" s="1"/>
  <c r="Q114" i="74"/>
  <c r="Q235" i="74" s="1"/>
  <c r="V137" i="74"/>
  <c r="V206" i="74" s="1"/>
  <c r="G11" i="76"/>
  <c r="S11" i="76"/>
  <c r="V138" i="74" s="1"/>
  <c r="V207" i="74" s="1"/>
  <c r="L152" i="74"/>
  <c r="L247" i="74" s="1"/>
  <c r="M152" i="74"/>
  <c r="M247" i="74" s="1"/>
  <c r="N152" i="74"/>
  <c r="N247" i="74" s="1"/>
  <c r="O152" i="74"/>
  <c r="O247" i="74" s="1"/>
  <c r="P152" i="74"/>
  <c r="P247" i="74" s="1"/>
  <c r="Q152" i="74"/>
  <c r="Q247" i="74" s="1"/>
  <c r="R152" i="74"/>
  <c r="R247" i="74" s="1"/>
  <c r="S152" i="74"/>
  <c r="S247" i="74" s="1"/>
  <c r="L151" i="74"/>
  <c r="L246" i="74" s="1"/>
  <c r="M151" i="74"/>
  <c r="M246" i="74" s="1"/>
  <c r="N151" i="74"/>
  <c r="N246" i="74" s="1"/>
  <c r="O151" i="74"/>
  <c r="O246" i="74" s="1"/>
  <c r="P151" i="74"/>
  <c r="P246" i="74" s="1"/>
  <c r="Q151" i="74"/>
  <c r="Q246" i="74" s="1"/>
  <c r="R151" i="74"/>
  <c r="R246" i="74" s="1"/>
  <c r="S151" i="74"/>
  <c r="S246" i="74" s="1"/>
  <c r="R348" i="45"/>
  <c r="Q348" i="45"/>
  <c r="S327" i="45"/>
  <c r="S348" i="45"/>
  <c r="O348" i="45"/>
  <c r="R327" i="45"/>
  <c r="N348" i="45"/>
  <c r="Q327" i="45"/>
  <c r="K327" i="45"/>
  <c r="J327" i="45"/>
  <c r="O327" i="45"/>
  <c r="L327" i="45"/>
  <c r="G317" i="45"/>
  <c r="S420" i="45"/>
  <c r="S437" i="45"/>
  <c r="J151" i="74"/>
  <c r="J246" i="74" s="1"/>
  <c r="K151" i="74"/>
  <c r="K246" i="74" s="1"/>
  <c r="G466" i="45"/>
  <c r="S447" i="45"/>
  <c r="S448" i="45" s="1"/>
  <c r="R447" i="45"/>
  <c r="R448" i="45" s="1"/>
  <c r="Q447" i="45"/>
  <c r="Q448" i="45" s="1"/>
  <c r="O447" i="45"/>
  <c r="O448" i="45" s="1"/>
  <c r="N447" i="45"/>
  <c r="N448" i="45" s="1"/>
  <c r="J447" i="45"/>
  <c r="L447" i="45"/>
  <c r="L448" i="45" s="1"/>
  <c r="K447" i="45"/>
  <c r="K448" i="45" s="1"/>
  <c r="J420" i="45"/>
  <c r="S469" i="45"/>
  <c r="R469" i="45"/>
  <c r="K469" i="45"/>
  <c r="N469" i="45"/>
  <c r="O469" i="45"/>
  <c r="L469" i="45"/>
  <c r="Q469" i="45"/>
  <c r="O420" i="45"/>
  <c r="L420" i="45"/>
  <c r="K420" i="45"/>
  <c r="N420" i="45"/>
  <c r="Q420" i="45"/>
  <c r="R420" i="45"/>
  <c r="G161" i="74"/>
  <c r="H161" i="74"/>
  <c r="L161" i="74"/>
  <c r="S412" i="45"/>
  <c r="Q412" i="45"/>
  <c r="R412" i="45"/>
  <c r="O412" i="45"/>
  <c r="N412" i="45"/>
  <c r="L412" i="45"/>
  <c r="K412" i="45"/>
  <c r="J412" i="45"/>
  <c r="K138" i="74"/>
  <c r="K207" i="74" s="1"/>
  <c r="L437" i="45"/>
  <c r="Q437" i="45"/>
  <c r="N437" i="45"/>
  <c r="R437" i="45"/>
  <c r="J437" i="45"/>
  <c r="O437" i="45"/>
  <c r="K437" i="45"/>
  <c r="E91" i="12"/>
  <c r="C91" i="12"/>
  <c r="AO45" i="12"/>
  <c r="R45" i="12"/>
  <c r="S45" i="12"/>
  <c r="BP45" i="12"/>
  <c r="BA45" i="12"/>
  <c r="AM45" i="12"/>
  <c r="AK45" i="12"/>
  <c r="J45" i="12"/>
  <c r="AP45" i="12"/>
  <c r="AL45" i="12"/>
  <c r="AZ45" i="12"/>
  <c r="G45" i="12"/>
  <c r="AC45" i="12"/>
  <c r="AQ45" i="12"/>
  <c r="BO45" i="12"/>
  <c r="BL45" i="12"/>
  <c r="AI45" i="12"/>
  <c r="M45" i="12"/>
  <c r="BB45" i="12"/>
  <c r="AW45" i="12"/>
  <c r="T45" i="12"/>
  <c r="I45" i="12"/>
  <c r="AB45" i="12"/>
  <c r="AT45" i="12"/>
  <c r="BG45" i="12"/>
  <c r="BC45" i="12"/>
  <c r="P45" i="12"/>
  <c r="X45" i="12"/>
  <c r="AX45" i="12"/>
  <c r="BE45" i="12"/>
  <c r="AD45" i="12"/>
  <c r="BD45" i="12"/>
  <c r="H45" i="12"/>
  <c r="U45" i="12"/>
  <c r="BN45" i="12"/>
  <c r="AY45" i="12"/>
  <c r="AV45" i="12"/>
  <c r="Q45" i="12"/>
  <c r="V45" i="12"/>
  <c r="BH45" i="12"/>
  <c r="BI45" i="12"/>
  <c r="T152" i="74" l="1"/>
  <c r="T247" i="74" s="1"/>
  <c r="E25" i="76"/>
  <c r="D25" i="76"/>
  <c r="G152" i="74" s="1"/>
  <c r="G247" i="74" s="1"/>
  <c r="T151" i="74"/>
  <c r="T246" i="74" s="1"/>
  <c r="E24" i="76"/>
  <c r="D24" i="76"/>
  <c r="O114" i="74"/>
  <c r="O235" i="74" s="1"/>
  <c r="E24" i="94"/>
  <c r="H114" i="74" s="1"/>
  <c r="H235" i="74" s="1"/>
  <c r="D24" i="94"/>
  <c r="G114" i="74" s="1"/>
  <c r="G235" i="74" s="1"/>
  <c r="E25" i="94"/>
  <c r="H115" i="74" s="1"/>
  <c r="H236" i="74" s="1"/>
  <c r="D25" i="94"/>
  <c r="G115" i="74" s="1"/>
  <c r="G236" i="74" s="1"/>
  <c r="J138" i="74"/>
  <c r="J207" i="74" s="1"/>
  <c r="D11" i="76"/>
  <c r="E11" i="76"/>
  <c r="J101" i="74"/>
  <c r="J197" i="74" s="1"/>
  <c r="E11" i="94"/>
  <c r="H101" i="74" s="1"/>
  <c r="H197" i="74" s="1"/>
  <c r="D11" i="94"/>
  <c r="G101" i="74" s="1"/>
  <c r="G197" i="74" s="1"/>
  <c r="G410" i="45"/>
  <c r="AA10" i="76" s="1"/>
  <c r="G473" i="45"/>
  <c r="AW28" i="76" s="1"/>
  <c r="AZ155" i="74" s="1"/>
  <c r="AZ250" i="74" s="1"/>
  <c r="N101" i="74"/>
  <c r="N197" i="74" s="1"/>
  <c r="G12" i="94"/>
  <c r="K12" i="94"/>
  <c r="N102" i="74" s="1"/>
  <c r="N198" i="74" s="1"/>
  <c r="T385" i="74"/>
  <c r="U385" i="74"/>
  <c r="V385" i="74"/>
  <c r="J155" i="74"/>
  <c r="J250" i="74" s="1"/>
  <c r="G52" i="76"/>
  <c r="J329" i="74" s="1"/>
  <c r="Q52" i="76"/>
  <c r="T329" i="74" s="1"/>
  <c r="R52" i="76"/>
  <c r="U329" i="74" s="1"/>
  <c r="S52" i="76"/>
  <c r="V329" i="74" s="1"/>
  <c r="BB332" i="74"/>
  <c r="AU52" i="76"/>
  <c r="AX329" i="74" s="1"/>
  <c r="AB52" i="76"/>
  <c r="AE329" i="74" s="1"/>
  <c r="X52" i="76"/>
  <c r="AA329" i="74" s="1"/>
  <c r="AQ52" i="76"/>
  <c r="AT329" i="74" s="1"/>
  <c r="AA52" i="76"/>
  <c r="AD329" i="74" s="1"/>
  <c r="AN52" i="76"/>
  <c r="AQ329" i="74" s="1"/>
  <c r="AM52" i="76"/>
  <c r="AP329" i="74" s="1"/>
  <c r="AK52" i="76"/>
  <c r="AN329" i="74" s="1"/>
  <c r="AI52" i="76"/>
  <c r="AL329" i="74" s="1"/>
  <c r="AE52" i="76"/>
  <c r="AH329" i="74" s="1"/>
  <c r="AW52" i="76"/>
  <c r="AZ329" i="74" s="1"/>
  <c r="AD52" i="76"/>
  <c r="AG329" i="74" s="1"/>
  <c r="G438" i="45"/>
  <c r="X12" i="76" s="1"/>
  <c r="AA139" i="74" s="1"/>
  <c r="AA208" i="74" s="1"/>
  <c r="W385" i="74"/>
  <c r="X385" i="74"/>
  <c r="Y385" i="74"/>
  <c r="Z385" i="74"/>
  <c r="AA385" i="74"/>
  <c r="AH52" i="76"/>
  <c r="AK329" i="74" s="1"/>
  <c r="T52" i="76"/>
  <c r="W329" i="74" s="1"/>
  <c r="U52" i="76"/>
  <c r="X329" i="74" s="1"/>
  <c r="V52" i="76"/>
  <c r="Y329" i="74" s="1"/>
  <c r="W52" i="76"/>
  <c r="Z329" i="74" s="1"/>
  <c r="AC52" i="76"/>
  <c r="AF329" i="74" s="1"/>
  <c r="AP52" i="76"/>
  <c r="AS329" i="74" s="1"/>
  <c r="Y52" i="76"/>
  <c r="AB329" i="74" s="1"/>
  <c r="AO52" i="76"/>
  <c r="AR329" i="74" s="1"/>
  <c r="AJ52" i="76"/>
  <c r="AM329" i="74" s="1"/>
  <c r="AS52" i="76"/>
  <c r="AV329" i="74" s="1"/>
  <c r="AG52" i="76"/>
  <c r="AJ329" i="74" s="1"/>
  <c r="AR52" i="76"/>
  <c r="AU329" i="74" s="1"/>
  <c r="AF52" i="76"/>
  <c r="AI329" i="74" s="1"/>
  <c r="AV52" i="76"/>
  <c r="AY329" i="74" s="1"/>
  <c r="AL52" i="76"/>
  <c r="AO329" i="74" s="1"/>
  <c r="Z52" i="76"/>
  <c r="AC329" i="74" s="1"/>
  <c r="AT52" i="76"/>
  <c r="AW329" i="74" s="1"/>
  <c r="AB385" i="74"/>
  <c r="AC385" i="74"/>
  <c r="AD385" i="74"/>
  <c r="AE385" i="74"/>
  <c r="AF385" i="74"/>
  <c r="AG385" i="74"/>
  <c r="AH385" i="74"/>
  <c r="AI385" i="74"/>
  <c r="AJ385" i="74"/>
  <c r="AK385" i="74"/>
  <c r="AL385" i="74"/>
  <c r="AM385" i="74"/>
  <c r="AN385" i="74"/>
  <c r="AO385" i="74"/>
  <c r="AP385" i="74"/>
  <c r="AQ385" i="74"/>
  <c r="AR385" i="74"/>
  <c r="AS385" i="74"/>
  <c r="AT385" i="74"/>
  <c r="AU385" i="74"/>
  <c r="AV385" i="74"/>
  <c r="AW385" i="74"/>
  <c r="AX385" i="74"/>
  <c r="AY385" i="74"/>
  <c r="AZ385" i="74"/>
  <c r="S439" i="45"/>
  <c r="R439" i="45"/>
  <c r="K439" i="45"/>
  <c r="Q439" i="45"/>
  <c r="J439" i="45"/>
  <c r="L439" i="45"/>
  <c r="N439" i="45"/>
  <c r="S440" i="45"/>
  <c r="Q440" i="45"/>
  <c r="R440" i="45"/>
  <c r="S441" i="45"/>
  <c r="R441" i="45"/>
  <c r="Q441" i="45"/>
  <c r="O440" i="45"/>
  <c r="N440" i="45"/>
  <c r="O441" i="45"/>
  <c r="N441" i="45"/>
  <c r="J440" i="45"/>
  <c r="L440" i="45"/>
  <c r="K440" i="45"/>
  <c r="J441" i="45"/>
  <c r="L441" i="45"/>
  <c r="K441" i="45"/>
  <c r="S49" i="12"/>
  <c r="BA330" i="74"/>
  <c r="W12" i="76"/>
  <c r="Z139" i="74" s="1"/>
  <c r="Z208" i="74" s="1"/>
  <c r="G299" i="45"/>
  <c r="N12" i="94"/>
  <c r="Q102" i="74" s="1"/>
  <c r="Q198" i="74" s="1"/>
  <c r="L12" i="94"/>
  <c r="O102" i="74" s="1"/>
  <c r="O198" i="74" s="1"/>
  <c r="G291" i="45"/>
  <c r="G318" i="45"/>
  <c r="G316" i="45"/>
  <c r="G348" i="45"/>
  <c r="G12" i="76"/>
  <c r="H152" i="74"/>
  <c r="H247" i="74" s="1"/>
  <c r="G352" i="45"/>
  <c r="G269" i="45"/>
  <c r="N327" i="45"/>
  <c r="G327" i="45" s="1"/>
  <c r="G326" i="45"/>
  <c r="D39" i="92" s="1"/>
  <c r="I39" i="92" s="1"/>
  <c r="O7" i="92" s="1"/>
  <c r="G412" i="45"/>
  <c r="AW22" i="76" s="1"/>
  <c r="G469" i="45"/>
  <c r="G420" i="45"/>
  <c r="AW21" i="76" s="1"/>
  <c r="J448" i="45"/>
  <c r="G448" i="45" s="1"/>
  <c r="AW27" i="76" s="1"/>
  <c r="G447" i="45"/>
  <c r="G390" i="45"/>
  <c r="AW33" i="76" s="1"/>
  <c r="AW32" i="76" s="1"/>
  <c r="G474" i="45"/>
  <c r="G151" i="74"/>
  <c r="G246" i="74" s="1"/>
  <c r="H151" i="74"/>
  <c r="H246" i="74" s="1"/>
  <c r="G437" i="45"/>
  <c r="AW23" i="76" s="1"/>
  <c r="AG45" i="12"/>
  <c r="BF45" i="12"/>
  <c r="O45" i="12"/>
  <c r="K45" i="12"/>
  <c r="AF45" i="12"/>
  <c r="Y45" i="12"/>
  <c r="BM45" i="12"/>
  <c r="BK45" i="12"/>
  <c r="Z45" i="12"/>
  <c r="BJ45" i="12"/>
  <c r="AA45" i="12"/>
  <c r="N45" i="12"/>
  <c r="AR45" i="12"/>
  <c r="AU45" i="12"/>
  <c r="E45" i="12"/>
  <c r="E46" i="12" s="1"/>
  <c r="AE45" i="12"/>
  <c r="W45" i="12"/>
  <c r="AJ45" i="12"/>
  <c r="L45" i="12"/>
  <c r="AN45" i="12"/>
  <c r="AS45" i="12"/>
  <c r="AH45" i="12"/>
  <c r="F45" i="12"/>
  <c r="J102" i="74" l="1"/>
  <c r="J198" i="74" s="1"/>
  <c r="E12" i="94"/>
  <c r="D12" i="94"/>
  <c r="L33" i="94"/>
  <c r="AL33" i="94"/>
  <c r="AM33" i="94"/>
  <c r="L22" i="94"/>
  <c r="AL22" i="94"/>
  <c r="AO112" i="74" s="1"/>
  <c r="AO233" i="74" s="1"/>
  <c r="AM22" i="94"/>
  <c r="AP112" i="74" s="1"/>
  <c r="AP233" i="74" s="1"/>
  <c r="L21" i="94"/>
  <c r="AL21" i="94"/>
  <c r="AO111" i="74" s="1"/>
  <c r="AO232" i="74" s="1"/>
  <c r="AM21" i="94"/>
  <c r="AP111" i="74" s="1"/>
  <c r="AP232" i="74" s="1"/>
  <c r="L23" i="94"/>
  <c r="AL23" i="94"/>
  <c r="AO113" i="74" s="1"/>
  <c r="AO234" i="74" s="1"/>
  <c r="AM23" i="94"/>
  <c r="AP113" i="74" s="1"/>
  <c r="AP234" i="74" s="1"/>
  <c r="L27" i="94"/>
  <c r="AL27" i="94"/>
  <c r="AM27" i="94"/>
  <c r="L26" i="94"/>
  <c r="AL26" i="94"/>
  <c r="AM26" i="94"/>
  <c r="AP116" i="74" s="1"/>
  <c r="AP237" i="74" s="1"/>
  <c r="Q22" i="76"/>
  <c r="R22" i="76"/>
  <c r="U149" i="74" s="1"/>
  <c r="U244" i="74" s="1"/>
  <c r="S22" i="76"/>
  <c r="V149" i="74" s="1"/>
  <c r="V244" i="74" s="1"/>
  <c r="Q33" i="76"/>
  <c r="R33" i="76"/>
  <c r="R32" i="76" s="1"/>
  <c r="S33" i="76"/>
  <c r="S32" i="76" s="1"/>
  <c r="V159" i="74" s="1"/>
  <c r="Q27" i="76"/>
  <c r="R27" i="76"/>
  <c r="S27" i="76"/>
  <c r="S21" i="76"/>
  <c r="V148" i="74" s="1"/>
  <c r="V243" i="74" s="1"/>
  <c r="R21" i="76"/>
  <c r="U148" i="74" s="1"/>
  <c r="U243" i="74" s="1"/>
  <c r="Q21" i="76"/>
  <c r="R28" i="76"/>
  <c r="U155" i="74" s="1"/>
  <c r="U250" i="74" s="1"/>
  <c r="Q28" i="76"/>
  <c r="S28" i="76"/>
  <c r="V155" i="74" s="1"/>
  <c r="V250" i="74" s="1"/>
  <c r="S23" i="76"/>
  <c r="R23" i="76"/>
  <c r="Q23" i="76"/>
  <c r="AA9" i="76"/>
  <c r="AD136" i="74" s="1"/>
  <c r="AD137" i="74"/>
  <c r="AD206" i="74" s="1"/>
  <c r="AD205" i="74" s="1"/>
  <c r="AD174" i="74" s="1"/>
  <c r="M27" i="94"/>
  <c r="N27" i="94"/>
  <c r="Y27" i="94"/>
  <c r="Z27" i="94"/>
  <c r="AA27" i="94"/>
  <c r="AB27" i="94"/>
  <c r="AC27" i="94"/>
  <c r="AD27" i="94"/>
  <c r="AE27" i="94"/>
  <c r="AF27" i="94"/>
  <c r="AG27" i="94"/>
  <c r="AH27" i="94"/>
  <c r="AI27" i="94"/>
  <c r="AJ27" i="94"/>
  <c r="AK27" i="94"/>
  <c r="M33" i="94"/>
  <c r="P123" i="74" s="1"/>
  <c r="P262" i="74" s="1"/>
  <c r="P261" i="74" s="1"/>
  <c r="N33" i="94"/>
  <c r="Y33" i="94"/>
  <c r="Z33" i="94"/>
  <c r="AA33" i="94"/>
  <c r="AB33" i="94"/>
  <c r="AC33" i="94"/>
  <c r="AD33" i="94"/>
  <c r="AE33" i="94"/>
  <c r="AF33" i="94"/>
  <c r="AG33" i="94"/>
  <c r="AH33" i="94"/>
  <c r="AI33" i="94"/>
  <c r="AJ33" i="94"/>
  <c r="AK33" i="94"/>
  <c r="AM23" i="76"/>
  <c r="AN23" i="76"/>
  <c r="AO23" i="76"/>
  <c r="AP23" i="76"/>
  <c r="AQ23" i="76"/>
  <c r="AR23" i="76"/>
  <c r="AS23" i="76"/>
  <c r="AT23" i="76"/>
  <c r="AU23" i="76"/>
  <c r="AV23" i="76"/>
  <c r="AY150" i="74" s="1"/>
  <c r="AY245" i="74" s="1"/>
  <c r="M21" i="94"/>
  <c r="P111" i="74" s="1"/>
  <c r="P232" i="74" s="1"/>
  <c r="N21" i="94"/>
  <c r="Q111" i="74" s="1"/>
  <c r="Q232" i="74" s="1"/>
  <c r="Y21" i="94"/>
  <c r="AB111" i="74" s="1"/>
  <c r="AB232" i="74" s="1"/>
  <c r="Z21" i="94"/>
  <c r="AC111" i="74" s="1"/>
  <c r="AC232" i="74" s="1"/>
  <c r="AA21" i="94"/>
  <c r="AD111" i="74" s="1"/>
  <c r="AD232" i="74" s="1"/>
  <c r="AB21" i="94"/>
  <c r="AE111" i="74" s="1"/>
  <c r="AE232" i="74" s="1"/>
  <c r="AC21" i="94"/>
  <c r="AF111" i="74" s="1"/>
  <c r="AF232" i="74" s="1"/>
  <c r="AD21" i="94"/>
  <c r="AE21" i="94"/>
  <c r="AH111" i="74" s="1"/>
  <c r="AH232" i="74" s="1"/>
  <c r="AF21" i="94"/>
  <c r="AI111" i="74" s="1"/>
  <c r="AI232" i="74" s="1"/>
  <c r="AG21" i="94"/>
  <c r="AJ111" i="74" s="1"/>
  <c r="AJ232" i="74" s="1"/>
  <c r="AH21" i="94"/>
  <c r="AK111" i="74" s="1"/>
  <c r="AK232" i="74" s="1"/>
  <c r="AI21" i="94"/>
  <c r="AL111" i="74" s="1"/>
  <c r="AL232" i="74" s="1"/>
  <c r="AJ21" i="94"/>
  <c r="AM111" i="74" s="1"/>
  <c r="AM232" i="74" s="1"/>
  <c r="AK21" i="94"/>
  <c r="AN111" i="74" s="1"/>
  <c r="AN232" i="74" s="1"/>
  <c r="AM33" i="76"/>
  <c r="AN33" i="76"/>
  <c r="AN32" i="76" s="1"/>
  <c r="AQ159" i="74" s="1"/>
  <c r="AO33" i="76"/>
  <c r="AO32" i="76" s="1"/>
  <c r="AR159" i="74" s="1"/>
  <c r="AP33" i="76"/>
  <c r="AP32" i="76" s="1"/>
  <c r="AQ33" i="76"/>
  <c r="AQ32" i="76" s="1"/>
  <c r="AR33" i="76"/>
  <c r="AR32" i="76" s="1"/>
  <c r="AU159" i="74" s="1"/>
  <c r="AS33" i="76"/>
  <c r="AS32" i="76" s="1"/>
  <c r="AT33" i="76"/>
  <c r="AT32" i="76" s="1"/>
  <c r="AW159" i="74" s="1"/>
  <c r="AU33" i="76"/>
  <c r="AU32" i="76" s="1"/>
  <c r="AV33" i="76"/>
  <c r="AV32" i="76" s="1"/>
  <c r="AP28" i="76"/>
  <c r="AS155" i="74" s="1"/>
  <c r="AS250" i="74" s="1"/>
  <c r="AU28" i="76"/>
  <c r="AX155" i="74" s="1"/>
  <c r="AX250" i="74" s="1"/>
  <c r="AQ28" i="76"/>
  <c r="AT155" i="74" s="1"/>
  <c r="AT250" i="74" s="1"/>
  <c r="AM28" i="76"/>
  <c r="AR28" i="76"/>
  <c r="AU155" i="74" s="1"/>
  <c r="AU250" i="74" s="1"/>
  <c r="AN28" i="76"/>
  <c r="AV28" i="76"/>
  <c r="AY155" i="74" s="1"/>
  <c r="AY250" i="74" s="1"/>
  <c r="AO28" i="76"/>
  <c r="AR155" i="74" s="1"/>
  <c r="AR250" i="74" s="1"/>
  <c r="AS28" i="76"/>
  <c r="AV155" i="74" s="1"/>
  <c r="AV250" i="74" s="1"/>
  <c r="AT28" i="76"/>
  <c r="AW155" i="74" s="1"/>
  <c r="AW250" i="74" s="1"/>
  <c r="AM21" i="76"/>
  <c r="AP148" i="74" s="1"/>
  <c r="AP243" i="74" s="1"/>
  <c r="AN21" i="76"/>
  <c r="AQ148" i="74" s="1"/>
  <c r="AQ243" i="74" s="1"/>
  <c r="AO21" i="76"/>
  <c r="AR148" i="74" s="1"/>
  <c r="AR243" i="74" s="1"/>
  <c r="AP21" i="76"/>
  <c r="AS148" i="74" s="1"/>
  <c r="AS243" i="74" s="1"/>
  <c r="AQ21" i="76"/>
  <c r="AT148" i="74" s="1"/>
  <c r="AT243" i="74" s="1"/>
  <c r="AR21" i="76"/>
  <c r="AU148" i="74" s="1"/>
  <c r="AU243" i="74" s="1"/>
  <c r="AS21" i="76"/>
  <c r="AV148" i="74" s="1"/>
  <c r="AV243" i="74" s="1"/>
  <c r="AT21" i="76"/>
  <c r="AU21" i="76"/>
  <c r="AV21" i="76"/>
  <c r="M26" i="94"/>
  <c r="N26" i="94"/>
  <c r="Y26" i="94"/>
  <c r="Z26" i="94"/>
  <c r="AA26" i="94"/>
  <c r="AB26" i="94"/>
  <c r="AC26" i="94"/>
  <c r="AD26" i="94"/>
  <c r="AE26" i="94"/>
  <c r="AF26" i="94"/>
  <c r="AG26" i="94"/>
  <c r="AH26" i="94"/>
  <c r="AI26" i="94"/>
  <c r="AJ26" i="94"/>
  <c r="AK26" i="94"/>
  <c r="AM27" i="76"/>
  <c r="AN27" i="76"/>
  <c r="AO27" i="76"/>
  <c r="AP27" i="76"/>
  <c r="AQ27" i="76"/>
  <c r="AR27" i="76"/>
  <c r="AS27" i="76"/>
  <c r="AT27" i="76"/>
  <c r="AU27" i="76"/>
  <c r="AV27" i="76"/>
  <c r="M23" i="94"/>
  <c r="P113" i="74" s="1"/>
  <c r="P234" i="74" s="1"/>
  <c r="N23" i="94"/>
  <c r="Q113" i="74" s="1"/>
  <c r="Q234" i="74" s="1"/>
  <c r="Y23" i="94"/>
  <c r="AB113" i="74" s="1"/>
  <c r="AB234" i="74" s="1"/>
  <c r="Z23" i="94"/>
  <c r="AC113" i="74" s="1"/>
  <c r="AC234" i="74" s="1"/>
  <c r="AA23" i="94"/>
  <c r="AD113" i="74" s="1"/>
  <c r="AD234" i="74" s="1"/>
  <c r="AB23" i="94"/>
  <c r="AE113" i="74" s="1"/>
  <c r="AE234" i="74" s="1"/>
  <c r="AC23" i="94"/>
  <c r="AF113" i="74" s="1"/>
  <c r="AF234" i="74" s="1"/>
  <c r="AD23" i="94"/>
  <c r="AG113" i="74" s="1"/>
  <c r="AG234" i="74" s="1"/>
  <c r="AE23" i="94"/>
  <c r="AH113" i="74" s="1"/>
  <c r="AH234" i="74" s="1"/>
  <c r="AF23" i="94"/>
  <c r="AI113" i="74" s="1"/>
  <c r="AI234" i="74" s="1"/>
  <c r="AG23" i="94"/>
  <c r="AJ113" i="74" s="1"/>
  <c r="AJ234" i="74" s="1"/>
  <c r="AH23" i="94"/>
  <c r="AK113" i="74" s="1"/>
  <c r="AK234" i="74" s="1"/>
  <c r="AI23" i="94"/>
  <c r="AL113" i="74" s="1"/>
  <c r="AL234" i="74" s="1"/>
  <c r="AJ23" i="94"/>
  <c r="AM113" i="74" s="1"/>
  <c r="AM234" i="74" s="1"/>
  <c r="AK23" i="94"/>
  <c r="AN113" i="74" s="1"/>
  <c r="AN234" i="74" s="1"/>
  <c r="M22" i="94"/>
  <c r="P112" i="74" s="1"/>
  <c r="P233" i="74" s="1"/>
  <c r="N22" i="94"/>
  <c r="Q112" i="74" s="1"/>
  <c r="Q233" i="74" s="1"/>
  <c r="Y22" i="94"/>
  <c r="AB112" i="74" s="1"/>
  <c r="AB233" i="74" s="1"/>
  <c r="Z22" i="94"/>
  <c r="AC112" i="74" s="1"/>
  <c r="AC233" i="74" s="1"/>
  <c r="AA22" i="94"/>
  <c r="AD112" i="74" s="1"/>
  <c r="AD233" i="74" s="1"/>
  <c r="AB22" i="94"/>
  <c r="AE112" i="74" s="1"/>
  <c r="AE233" i="74" s="1"/>
  <c r="AC22" i="94"/>
  <c r="AD22" i="94"/>
  <c r="AG112" i="74" s="1"/>
  <c r="AG233" i="74" s="1"/>
  <c r="AE22" i="94"/>
  <c r="AH112" i="74" s="1"/>
  <c r="AH233" i="74" s="1"/>
  <c r="AF22" i="94"/>
  <c r="AI112" i="74" s="1"/>
  <c r="AI233" i="74" s="1"/>
  <c r="AG22" i="94"/>
  <c r="AJ112" i="74" s="1"/>
  <c r="AJ233" i="74" s="1"/>
  <c r="AH22" i="94"/>
  <c r="AK112" i="74" s="1"/>
  <c r="AK233" i="74" s="1"/>
  <c r="AI22" i="94"/>
  <c r="AL112" i="74" s="1"/>
  <c r="AL233" i="74" s="1"/>
  <c r="AJ22" i="94"/>
  <c r="AM112" i="74" s="1"/>
  <c r="AM233" i="74" s="1"/>
  <c r="AK22" i="94"/>
  <c r="AN112" i="74" s="1"/>
  <c r="AN233" i="74" s="1"/>
  <c r="AM22" i="76"/>
  <c r="AP149" i="74" s="1"/>
  <c r="AP244" i="74" s="1"/>
  <c r="AN22" i="76"/>
  <c r="AQ149" i="74" s="1"/>
  <c r="AQ244" i="74" s="1"/>
  <c r="AO22" i="76"/>
  <c r="AR149" i="74" s="1"/>
  <c r="AR244" i="74" s="1"/>
  <c r="AP22" i="76"/>
  <c r="AS149" i="74" s="1"/>
  <c r="AS244" i="74" s="1"/>
  <c r="AQ22" i="76"/>
  <c r="AT149" i="74" s="1"/>
  <c r="AT244" i="74" s="1"/>
  <c r="AR22" i="76"/>
  <c r="AU149" i="74" s="1"/>
  <c r="AU244" i="74" s="1"/>
  <c r="AS22" i="76"/>
  <c r="AV149" i="74" s="1"/>
  <c r="AV244" i="74" s="1"/>
  <c r="AT22" i="76"/>
  <c r="AW149" i="74" s="1"/>
  <c r="AW244" i="74" s="1"/>
  <c r="AU22" i="76"/>
  <c r="AX149" i="74" s="1"/>
  <c r="AX244" i="74" s="1"/>
  <c r="AV22" i="76"/>
  <c r="AY149" i="74" s="1"/>
  <c r="AY244" i="74" s="1"/>
  <c r="AD10" i="76"/>
  <c r="D10" i="76" s="1"/>
  <c r="AI10" i="76"/>
  <c r="AL21" i="76"/>
  <c r="AO148" i="74" s="1"/>
  <c r="AO243" i="74" s="1"/>
  <c r="U21" i="76"/>
  <c r="X148" i="74" s="1"/>
  <c r="X243" i="74" s="1"/>
  <c r="AJ21" i="76"/>
  <c r="AM148" i="74" s="1"/>
  <c r="AM243" i="74" s="1"/>
  <c r="Z21" i="76"/>
  <c r="AC148" i="74" s="1"/>
  <c r="AC243" i="74" s="1"/>
  <c r="AD21" i="76"/>
  <c r="AG148" i="74" s="1"/>
  <c r="AG243" i="74" s="1"/>
  <c r="AB21" i="76"/>
  <c r="AE148" i="74" s="1"/>
  <c r="AE243" i="74" s="1"/>
  <c r="AF21" i="76"/>
  <c r="AI148" i="74" s="1"/>
  <c r="AI243" i="74" s="1"/>
  <c r="AI21" i="76"/>
  <c r="AL148" i="74" s="1"/>
  <c r="AL243" i="74" s="1"/>
  <c r="AH21" i="76"/>
  <c r="AK148" i="74" s="1"/>
  <c r="AK243" i="74" s="1"/>
  <c r="T21" i="76"/>
  <c r="W148" i="74" s="1"/>
  <c r="W243" i="74" s="1"/>
  <c r="W21" i="76"/>
  <c r="Z148" i="74" s="1"/>
  <c r="Z243" i="74" s="1"/>
  <c r="AC21" i="76"/>
  <c r="AF148" i="74" s="1"/>
  <c r="AF243" i="74" s="1"/>
  <c r="AG21" i="76"/>
  <c r="AJ148" i="74" s="1"/>
  <c r="AJ243" i="74" s="1"/>
  <c r="AK21" i="76"/>
  <c r="AN148" i="74" s="1"/>
  <c r="AN243" i="74" s="1"/>
  <c r="AE21" i="76"/>
  <c r="AH148" i="74" s="1"/>
  <c r="AH243" i="74" s="1"/>
  <c r="X21" i="76"/>
  <c r="AA148" i="74" s="1"/>
  <c r="AA243" i="74" s="1"/>
  <c r="Y21" i="76"/>
  <c r="AB148" i="74" s="1"/>
  <c r="AB243" i="74" s="1"/>
  <c r="V21" i="76"/>
  <c r="Y148" i="74" s="1"/>
  <c r="Y243" i="74" s="1"/>
  <c r="AA21" i="76"/>
  <c r="AD148" i="74" s="1"/>
  <c r="AD243" i="74" s="1"/>
  <c r="O26" i="94"/>
  <c r="P26" i="94"/>
  <c r="Q26" i="94"/>
  <c r="R26" i="94"/>
  <c r="S26" i="94"/>
  <c r="T26" i="94"/>
  <c r="W116" i="74" s="1"/>
  <c r="W237" i="74" s="1"/>
  <c r="U26" i="94"/>
  <c r="V26" i="94"/>
  <c r="W26" i="94"/>
  <c r="X26" i="94"/>
  <c r="T22" i="76"/>
  <c r="W149" i="74" s="1"/>
  <c r="W244" i="74" s="1"/>
  <c r="U22" i="76"/>
  <c r="X149" i="74" s="1"/>
  <c r="X244" i="74" s="1"/>
  <c r="V22" i="76"/>
  <c r="Y149" i="74" s="1"/>
  <c r="Y244" i="74" s="1"/>
  <c r="W22" i="76"/>
  <c r="Z149" i="74" s="1"/>
  <c r="Z244" i="74" s="1"/>
  <c r="X22" i="76"/>
  <c r="AA149" i="74" s="1"/>
  <c r="AA244" i="74" s="1"/>
  <c r="Y22" i="76"/>
  <c r="AB149" i="74" s="1"/>
  <c r="AB244" i="74" s="1"/>
  <c r="Z22" i="76"/>
  <c r="AC149" i="74" s="1"/>
  <c r="AC244" i="74" s="1"/>
  <c r="AA22" i="76"/>
  <c r="AD149" i="74" s="1"/>
  <c r="AD244" i="74" s="1"/>
  <c r="AB22" i="76"/>
  <c r="AE149" i="74" s="1"/>
  <c r="AE244" i="74" s="1"/>
  <c r="AC22" i="76"/>
  <c r="AF149" i="74" s="1"/>
  <c r="AF244" i="74" s="1"/>
  <c r="AD22" i="76"/>
  <c r="AG149" i="74" s="1"/>
  <c r="AG244" i="74" s="1"/>
  <c r="AE22" i="76"/>
  <c r="AH149" i="74" s="1"/>
  <c r="AH244" i="74" s="1"/>
  <c r="AF22" i="76"/>
  <c r="AI149" i="74" s="1"/>
  <c r="AI244" i="74" s="1"/>
  <c r="AG22" i="76"/>
  <c r="AJ149" i="74" s="1"/>
  <c r="AJ244" i="74" s="1"/>
  <c r="AH22" i="76"/>
  <c r="AK149" i="74" s="1"/>
  <c r="AK244" i="74" s="1"/>
  <c r="AI22" i="76"/>
  <c r="AL149" i="74" s="1"/>
  <c r="AL244" i="74" s="1"/>
  <c r="AJ22" i="76"/>
  <c r="AM149" i="74" s="1"/>
  <c r="AM244" i="74" s="1"/>
  <c r="AK22" i="76"/>
  <c r="AN149" i="74" s="1"/>
  <c r="AN244" i="74" s="1"/>
  <c r="AL22" i="76"/>
  <c r="AO149" i="74" s="1"/>
  <c r="AO244" i="74" s="1"/>
  <c r="O117" i="74"/>
  <c r="O238" i="74" s="1"/>
  <c r="O27" i="94"/>
  <c r="P27" i="94"/>
  <c r="Q27" i="94"/>
  <c r="R27" i="94"/>
  <c r="S27" i="94"/>
  <c r="T27" i="94"/>
  <c r="U27" i="94"/>
  <c r="V27" i="94"/>
  <c r="W27" i="94"/>
  <c r="X27" i="94"/>
  <c r="AE23" i="76"/>
  <c r="W23" i="76"/>
  <c r="AJ23" i="76"/>
  <c r="U23" i="76"/>
  <c r="AG23" i="76"/>
  <c r="AI23" i="76"/>
  <c r="Y23" i="76"/>
  <c r="AK23" i="76"/>
  <c r="X23" i="76"/>
  <c r="AL23" i="76"/>
  <c r="AA23" i="76"/>
  <c r="AD23" i="76"/>
  <c r="AF23" i="76"/>
  <c r="V23" i="76"/>
  <c r="AC23" i="76"/>
  <c r="AH23" i="76"/>
  <c r="Z23" i="76"/>
  <c r="AB23" i="76"/>
  <c r="T23" i="76"/>
  <c r="O33" i="94"/>
  <c r="R123" i="74" s="1"/>
  <c r="R262" i="74" s="1"/>
  <c r="R261" i="74" s="1"/>
  <c r="P33" i="94"/>
  <c r="Q33" i="94"/>
  <c r="R33" i="94"/>
  <c r="S33" i="94"/>
  <c r="T33" i="94"/>
  <c r="U33" i="94"/>
  <c r="V33" i="94"/>
  <c r="W33" i="94"/>
  <c r="X33" i="94"/>
  <c r="O22" i="94"/>
  <c r="R112" i="74" s="1"/>
  <c r="R233" i="74" s="1"/>
  <c r="P22" i="94"/>
  <c r="S112" i="74" s="1"/>
  <c r="S233" i="74" s="1"/>
  <c r="Q22" i="94"/>
  <c r="T112" i="74" s="1"/>
  <c r="T233" i="74" s="1"/>
  <c r="R22" i="94"/>
  <c r="U112" i="74" s="1"/>
  <c r="U233" i="74" s="1"/>
  <c r="S22" i="94"/>
  <c r="V112" i="74" s="1"/>
  <c r="V233" i="74" s="1"/>
  <c r="T22" i="94"/>
  <c r="W112" i="74" s="1"/>
  <c r="W233" i="74" s="1"/>
  <c r="U22" i="94"/>
  <c r="X112" i="74" s="1"/>
  <c r="X233" i="74" s="1"/>
  <c r="V22" i="94"/>
  <c r="Y112" i="74" s="1"/>
  <c r="Y233" i="74" s="1"/>
  <c r="W22" i="94"/>
  <c r="Z112" i="74" s="1"/>
  <c r="Z233" i="74" s="1"/>
  <c r="X22" i="94"/>
  <c r="AA112" i="74" s="1"/>
  <c r="AA233" i="74" s="1"/>
  <c r="O23" i="94"/>
  <c r="R113" i="74" s="1"/>
  <c r="R234" i="74" s="1"/>
  <c r="P23" i="94"/>
  <c r="S113" i="74" s="1"/>
  <c r="S234" i="74" s="1"/>
  <c r="Q23" i="94"/>
  <c r="T113" i="74" s="1"/>
  <c r="T234" i="74" s="1"/>
  <c r="R23" i="94"/>
  <c r="U113" i="74" s="1"/>
  <c r="U234" i="74" s="1"/>
  <c r="S23" i="94"/>
  <c r="V113" i="74" s="1"/>
  <c r="V234" i="74" s="1"/>
  <c r="T23" i="94"/>
  <c r="W113" i="74" s="1"/>
  <c r="W234" i="74" s="1"/>
  <c r="U23" i="94"/>
  <c r="X113" i="74" s="1"/>
  <c r="X234" i="74" s="1"/>
  <c r="V23" i="94"/>
  <c r="Y113" i="74" s="1"/>
  <c r="Y234" i="74" s="1"/>
  <c r="W23" i="94"/>
  <c r="Z113" i="74" s="1"/>
  <c r="Z234" i="74" s="1"/>
  <c r="X23" i="94"/>
  <c r="AA113" i="74" s="1"/>
  <c r="AA234" i="74" s="1"/>
  <c r="O21" i="94"/>
  <c r="R111" i="74" s="1"/>
  <c r="R232" i="74" s="1"/>
  <c r="P21" i="94"/>
  <c r="S111" i="74" s="1"/>
  <c r="S232" i="74" s="1"/>
  <c r="Q21" i="94"/>
  <c r="T111" i="74" s="1"/>
  <c r="T232" i="74" s="1"/>
  <c r="R21" i="94"/>
  <c r="U111" i="74" s="1"/>
  <c r="U232" i="74" s="1"/>
  <c r="S21" i="94"/>
  <c r="V111" i="74" s="1"/>
  <c r="V232" i="74" s="1"/>
  <c r="T21" i="94"/>
  <c r="W111" i="74" s="1"/>
  <c r="W232" i="74" s="1"/>
  <c r="U21" i="94"/>
  <c r="X111" i="74" s="1"/>
  <c r="X232" i="74" s="1"/>
  <c r="V21" i="94"/>
  <c r="Y111" i="74" s="1"/>
  <c r="Y232" i="74" s="1"/>
  <c r="W21" i="94"/>
  <c r="Z111" i="74" s="1"/>
  <c r="Z232" i="74" s="1"/>
  <c r="X21" i="94"/>
  <c r="AA111" i="74" s="1"/>
  <c r="AA232" i="74" s="1"/>
  <c r="T33" i="76"/>
  <c r="T32" i="76" s="1"/>
  <c r="W159" i="74" s="1"/>
  <c r="U33" i="76"/>
  <c r="U32" i="76" s="1"/>
  <c r="X159" i="74" s="1"/>
  <c r="V33" i="76"/>
  <c r="V32" i="76" s="1"/>
  <c r="Y159" i="74" s="1"/>
  <c r="W33" i="76"/>
  <c r="W32" i="76" s="1"/>
  <c r="X33" i="76"/>
  <c r="X32" i="76" s="1"/>
  <c r="AA159" i="74" s="1"/>
  <c r="Y33" i="76"/>
  <c r="Y32" i="76" s="1"/>
  <c r="AB159" i="74" s="1"/>
  <c r="Z33" i="76"/>
  <c r="Z32" i="76" s="1"/>
  <c r="AC159" i="74" s="1"/>
  <c r="AA33" i="76"/>
  <c r="AA32" i="76" s="1"/>
  <c r="AD159" i="74" s="1"/>
  <c r="AB33" i="76"/>
  <c r="AB32" i="76" s="1"/>
  <c r="AC33" i="76"/>
  <c r="AC32" i="76" s="1"/>
  <c r="AD33" i="76"/>
  <c r="AD32" i="76" s="1"/>
  <c r="AE33" i="76"/>
  <c r="AE32" i="76" s="1"/>
  <c r="AH159" i="74" s="1"/>
  <c r="AF33" i="76"/>
  <c r="AF32" i="76" s="1"/>
  <c r="AG33" i="76"/>
  <c r="AG32" i="76" s="1"/>
  <c r="AJ159" i="74" s="1"/>
  <c r="AH33" i="76"/>
  <c r="AH32" i="76" s="1"/>
  <c r="AK159" i="74" s="1"/>
  <c r="AI33" i="76"/>
  <c r="AI32" i="76" s="1"/>
  <c r="AJ33" i="76"/>
  <c r="AJ32" i="76" s="1"/>
  <c r="AK33" i="76"/>
  <c r="AK32" i="76" s="1"/>
  <c r="AN159" i="74" s="1"/>
  <c r="AL33" i="76"/>
  <c r="AL32" i="76" s="1"/>
  <c r="U28" i="76"/>
  <c r="X155" i="74" s="1"/>
  <c r="X250" i="74" s="1"/>
  <c r="Y28" i="76"/>
  <c r="AB155" i="74" s="1"/>
  <c r="AB250" i="74" s="1"/>
  <c r="Z28" i="76"/>
  <c r="AC155" i="74" s="1"/>
  <c r="AC250" i="74" s="1"/>
  <c r="AB28" i="76"/>
  <c r="AE155" i="74" s="1"/>
  <c r="AE250" i="74" s="1"/>
  <c r="AK28" i="76"/>
  <c r="AN155" i="74" s="1"/>
  <c r="AN250" i="74" s="1"/>
  <c r="AL28" i="76"/>
  <c r="AO155" i="74" s="1"/>
  <c r="AO250" i="74" s="1"/>
  <c r="AE28" i="76"/>
  <c r="AH155" i="74" s="1"/>
  <c r="AH250" i="74" s="1"/>
  <c r="AA28" i="76"/>
  <c r="AD155" i="74" s="1"/>
  <c r="AD250" i="74" s="1"/>
  <c r="AD28" i="76"/>
  <c r="AG155" i="74" s="1"/>
  <c r="AG250" i="74" s="1"/>
  <c r="AC28" i="76"/>
  <c r="AF155" i="74" s="1"/>
  <c r="AF250" i="74" s="1"/>
  <c r="V28" i="76"/>
  <c r="Y155" i="74" s="1"/>
  <c r="Y250" i="74" s="1"/>
  <c r="W28" i="76"/>
  <c r="Z155" i="74" s="1"/>
  <c r="Z250" i="74" s="1"/>
  <c r="AF28" i="76"/>
  <c r="AI155" i="74" s="1"/>
  <c r="AI250" i="74" s="1"/>
  <c r="AH28" i="76"/>
  <c r="AK155" i="74" s="1"/>
  <c r="AK250" i="74" s="1"/>
  <c r="AG28" i="76"/>
  <c r="AJ155" i="74" s="1"/>
  <c r="AJ250" i="74" s="1"/>
  <c r="T28" i="76"/>
  <c r="W155" i="74" s="1"/>
  <c r="W250" i="74" s="1"/>
  <c r="X28" i="76"/>
  <c r="AA155" i="74" s="1"/>
  <c r="AA250" i="74" s="1"/>
  <c r="AJ28" i="76"/>
  <c r="AM155" i="74" s="1"/>
  <c r="AM250" i="74" s="1"/>
  <c r="AI28" i="76"/>
  <c r="AL155" i="74" s="1"/>
  <c r="AL250" i="74" s="1"/>
  <c r="AP155" i="74"/>
  <c r="AP250" i="74" s="1"/>
  <c r="S12" i="76"/>
  <c r="V139" i="74" s="1"/>
  <c r="V208" i="74" s="1"/>
  <c r="AQ155" i="74"/>
  <c r="AQ250" i="74" s="1"/>
  <c r="AT159" i="74"/>
  <c r="AZ160" i="74"/>
  <c r="AZ265" i="74" s="1"/>
  <c r="AZ264" i="74" s="1"/>
  <c r="J150" i="74"/>
  <c r="J245" i="74" s="1"/>
  <c r="J123" i="74"/>
  <c r="J262" i="74" s="1"/>
  <c r="J261" i="74" s="1"/>
  <c r="AJ12" i="76"/>
  <c r="AM139" i="74" s="1"/>
  <c r="AM208" i="74" s="1"/>
  <c r="P12" i="76"/>
  <c r="J111" i="74"/>
  <c r="J232" i="74" s="1"/>
  <c r="J113" i="74"/>
  <c r="J234" i="74" s="1"/>
  <c r="J112" i="74"/>
  <c r="J233" i="74" s="1"/>
  <c r="BA331" i="74"/>
  <c r="BA332" i="74"/>
  <c r="G439" i="45"/>
  <c r="AW26" i="76" s="1"/>
  <c r="J116" i="74"/>
  <c r="J237" i="74" s="1"/>
  <c r="AM32" i="76"/>
  <c r="AS159" i="74"/>
  <c r="G441" i="45"/>
  <c r="BA384" i="74" s="1"/>
  <c r="BA386" i="74" s="1"/>
  <c r="G440" i="45"/>
  <c r="BA379" i="74" s="1"/>
  <c r="BA381" i="74" s="1"/>
  <c r="F46" i="12"/>
  <c r="G46" i="12" s="1"/>
  <c r="H46" i="12" s="1"/>
  <c r="I46" i="12" s="1"/>
  <c r="J46" i="12" s="1"/>
  <c r="K46" i="12" s="1"/>
  <c r="L46" i="12" s="1"/>
  <c r="M46" i="12" s="1"/>
  <c r="N46" i="12" s="1"/>
  <c r="O46" i="12" s="1"/>
  <c r="P46" i="12" s="1"/>
  <c r="Q46" i="12" s="1"/>
  <c r="R46" i="12" s="1"/>
  <c r="S46" i="12" s="1"/>
  <c r="T46" i="12" s="1"/>
  <c r="T49" i="12"/>
  <c r="BA154" i="74"/>
  <c r="BA249" i="74" s="1"/>
  <c r="AZ150" i="74"/>
  <c r="AZ245" i="74" s="1"/>
  <c r="BA150" i="74"/>
  <c r="BA245" i="74" s="1"/>
  <c r="AZ149" i="74"/>
  <c r="AZ244" i="74" s="1"/>
  <c r="BA149" i="74"/>
  <c r="BA244" i="74" s="1"/>
  <c r="BA153" i="74"/>
  <c r="BA248" i="74" s="1"/>
  <c r="D48" i="12"/>
  <c r="AU116" i="74"/>
  <c r="AU237" i="74" s="1"/>
  <c r="AT116" i="74"/>
  <c r="AT237" i="74" s="1"/>
  <c r="AS116" i="74"/>
  <c r="AS237" i="74" s="1"/>
  <c r="AX116" i="74"/>
  <c r="AX237" i="74" s="1"/>
  <c r="AW116" i="74"/>
  <c r="AW237" i="74" s="1"/>
  <c r="AR116" i="74"/>
  <c r="AR237" i="74" s="1"/>
  <c r="AQ116" i="74"/>
  <c r="AQ237" i="74" s="1"/>
  <c r="AV116" i="74"/>
  <c r="AV237" i="74" s="1"/>
  <c r="AW148" i="74"/>
  <c r="AW243" i="74" s="1"/>
  <c r="AX148" i="74"/>
  <c r="AX243" i="74" s="1"/>
  <c r="AG111" i="74"/>
  <c r="AG232" i="74" s="1"/>
  <c r="AQ111" i="74"/>
  <c r="AQ232" i="74" s="1"/>
  <c r="AQ113" i="74"/>
  <c r="AQ234" i="74" s="1"/>
  <c r="AQ112" i="74"/>
  <c r="AQ233" i="74" s="1"/>
  <c r="J350" i="45"/>
  <c r="S350" i="45"/>
  <c r="R350" i="45"/>
  <c r="O350" i="45"/>
  <c r="N350" i="45"/>
  <c r="L350" i="45"/>
  <c r="Q350" i="45"/>
  <c r="K350" i="45"/>
  <c r="AF112" i="74"/>
  <c r="AF233" i="74" s="1"/>
  <c r="H102" i="74"/>
  <c r="H198" i="74" s="1"/>
  <c r="G102" i="74"/>
  <c r="G198" i="74" s="1"/>
  <c r="M159" i="74"/>
  <c r="O159" i="74"/>
  <c r="P159" i="74"/>
  <c r="Q159" i="74"/>
  <c r="S159" i="74"/>
  <c r="AX123" i="74"/>
  <c r="AX262" i="74" s="1"/>
  <c r="AX261" i="74" s="1"/>
  <c r="L148" i="74"/>
  <c r="L243" i="74" s="1"/>
  <c r="M148" i="74"/>
  <c r="M243" i="74" s="1"/>
  <c r="N148" i="74"/>
  <c r="N243" i="74" s="1"/>
  <c r="O148" i="74"/>
  <c r="O243" i="74" s="1"/>
  <c r="P148" i="74"/>
  <c r="P243" i="74" s="1"/>
  <c r="Q148" i="74"/>
  <c r="Q243" i="74" s="1"/>
  <c r="R148" i="74"/>
  <c r="R243" i="74" s="1"/>
  <c r="S148" i="74"/>
  <c r="S243" i="74" s="1"/>
  <c r="L149" i="74"/>
  <c r="L244" i="74" s="1"/>
  <c r="M149" i="74"/>
  <c r="M244" i="74" s="1"/>
  <c r="N149" i="74"/>
  <c r="N244" i="74" s="1"/>
  <c r="O149" i="74"/>
  <c r="O244" i="74" s="1"/>
  <c r="P149" i="74"/>
  <c r="P244" i="74" s="1"/>
  <c r="Q149" i="74"/>
  <c r="Q244" i="74" s="1"/>
  <c r="R149" i="74"/>
  <c r="R244" i="74" s="1"/>
  <c r="S149" i="74"/>
  <c r="S244" i="74" s="1"/>
  <c r="D41" i="92"/>
  <c r="K153" i="74"/>
  <c r="K248" i="74" s="1"/>
  <c r="D47" i="12"/>
  <c r="K149" i="74"/>
  <c r="K244" i="74" s="1"/>
  <c r="K150" i="74"/>
  <c r="K245" i="74" s="1"/>
  <c r="D41" i="35"/>
  <c r="D39" i="35"/>
  <c r="I39" i="35" s="1"/>
  <c r="I40" i="35" s="1"/>
  <c r="E12" i="76" l="1"/>
  <c r="E10" i="76"/>
  <c r="H137" i="74" s="1"/>
  <c r="H206" i="74" s="1"/>
  <c r="O116" i="74"/>
  <c r="O237" i="74" s="1"/>
  <c r="D26" i="94"/>
  <c r="E26" i="94"/>
  <c r="O112" i="74"/>
  <c r="O233" i="74" s="1"/>
  <c r="E22" i="94"/>
  <c r="H112" i="74" s="1"/>
  <c r="H233" i="74" s="1"/>
  <c r="D22" i="94"/>
  <c r="G112" i="74" s="1"/>
  <c r="G233" i="74" s="1"/>
  <c r="D27" i="94"/>
  <c r="E27" i="94"/>
  <c r="D33" i="94"/>
  <c r="G123" i="74" s="1"/>
  <c r="G262" i="74" s="1"/>
  <c r="G261" i="74" s="1"/>
  <c r="E33" i="94"/>
  <c r="H123" i="74" s="1"/>
  <c r="H262" i="74" s="1"/>
  <c r="H261" i="74" s="1"/>
  <c r="D23" i="76"/>
  <c r="E23" i="76"/>
  <c r="Q32" i="76"/>
  <c r="E33" i="76"/>
  <c r="H160" i="74" s="1"/>
  <c r="H265" i="74" s="1"/>
  <c r="D33" i="76"/>
  <c r="O113" i="74"/>
  <c r="O234" i="74" s="1"/>
  <c r="E23" i="94"/>
  <c r="H113" i="74" s="1"/>
  <c r="H234" i="74" s="1"/>
  <c r="D23" i="94"/>
  <c r="G113" i="74" s="1"/>
  <c r="G234" i="74" s="1"/>
  <c r="D12" i="76"/>
  <c r="T155" i="74"/>
  <c r="T250" i="74" s="1"/>
  <c r="E28" i="76"/>
  <c r="H155" i="74" s="1"/>
  <c r="H250" i="74" s="1"/>
  <c r="D28" i="76"/>
  <c r="G155" i="74" s="1"/>
  <c r="G250" i="74" s="1"/>
  <c r="T149" i="74"/>
  <c r="T244" i="74" s="1"/>
  <c r="E22" i="76"/>
  <c r="H149" i="74" s="1"/>
  <c r="H244" i="74" s="1"/>
  <c r="D22" i="76"/>
  <c r="D21" i="94"/>
  <c r="G111" i="74" s="1"/>
  <c r="G232" i="74" s="1"/>
  <c r="E21" i="94"/>
  <c r="H111" i="74" s="1"/>
  <c r="H232" i="74" s="1"/>
  <c r="T148" i="74"/>
  <c r="T243" i="74" s="1"/>
  <c r="E21" i="76"/>
  <c r="H148" i="74" s="1"/>
  <c r="H243" i="74" s="1"/>
  <c r="D21" i="76"/>
  <c r="G148" i="74" s="1"/>
  <c r="G243" i="74" s="1"/>
  <c r="BA388" i="74"/>
  <c r="BA389" i="74"/>
  <c r="Q26" i="76"/>
  <c r="R26" i="76"/>
  <c r="S26" i="76"/>
  <c r="Q26" i="82"/>
  <c r="AM26" i="76"/>
  <c r="AN26" i="76"/>
  <c r="AO26" i="76"/>
  <c r="AP26" i="76"/>
  <c r="AQ26" i="76"/>
  <c r="AR26" i="76"/>
  <c r="AS26" i="76"/>
  <c r="AT26" i="76"/>
  <c r="AU26" i="76"/>
  <c r="AV26" i="76"/>
  <c r="AY153" i="74" s="1"/>
  <c r="AY248" i="74" s="1"/>
  <c r="AI9" i="76"/>
  <c r="AL136" i="74" s="1"/>
  <c r="AL137" i="74"/>
  <c r="AL206" i="74" s="1"/>
  <c r="AL205" i="74" s="1"/>
  <c r="AL174" i="74" s="1"/>
  <c r="G137" i="74"/>
  <c r="G206" i="74" s="1"/>
  <c r="AG137" i="74"/>
  <c r="AG206" i="74" s="1"/>
  <c r="AG205" i="74" s="1"/>
  <c r="AG174" i="74" s="1"/>
  <c r="AD9" i="76"/>
  <c r="AG136" i="74" s="1"/>
  <c r="Q27" i="82"/>
  <c r="J153" i="74"/>
  <c r="J248" i="74" s="1"/>
  <c r="W26" i="76"/>
  <c r="AG26" i="76"/>
  <c r="U26" i="76"/>
  <c r="AI26" i="76"/>
  <c r="Y26" i="76"/>
  <c r="AK26" i="76"/>
  <c r="AA26" i="76"/>
  <c r="AD26" i="76"/>
  <c r="AB26" i="76"/>
  <c r="V26" i="76"/>
  <c r="AC26" i="76"/>
  <c r="T26" i="76"/>
  <c r="AF26" i="76"/>
  <c r="AH26" i="76"/>
  <c r="AJ26" i="76"/>
  <c r="AE26" i="76"/>
  <c r="X26" i="76"/>
  <c r="Z26" i="76"/>
  <c r="AL26" i="76"/>
  <c r="J149" i="74"/>
  <c r="J244" i="74" s="1"/>
  <c r="G32" i="94"/>
  <c r="I41" i="35"/>
  <c r="O9" i="35" s="1"/>
  <c r="S139" i="74"/>
  <c r="S208" i="74" s="1"/>
  <c r="O123" i="74"/>
  <c r="O262" i="74" s="1"/>
  <c r="O261" i="74" s="1"/>
  <c r="L32" i="94"/>
  <c r="O122" i="74" s="1"/>
  <c r="T379" i="74"/>
  <c r="T381" i="74" s="1"/>
  <c r="U379" i="74"/>
  <c r="U381" i="74" s="1"/>
  <c r="V379" i="74"/>
  <c r="V381" i="74" s="1"/>
  <c r="T384" i="74"/>
  <c r="T386" i="74" s="1"/>
  <c r="U384" i="74"/>
  <c r="U386" i="74" s="1"/>
  <c r="V384" i="74"/>
  <c r="V386" i="74" s="1"/>
  <c r="O111" i="74"/>
  <c r="O232" i="74" s="1"/>
  <c r="AZ153" i="74"/>
  <c r="AZ248" i="74" s="1"/>
  <c r="M32" i="94"/>
  <c r="P122" i="74" s="1"/>
  <c r="J76" i="74"/>
  <c r="J223" i="74" s="1"/>
  <c r="W379" i="74"/>
  <c r="W381" i="74" s="1"/>
  <c r="X379" i="74"/>
  <c r="X381" i="74" s="1"/>
  <c r="Y379" i="74"/>
  <c r="Y381" i="74" s="1"/>
  <c r="Z379" i="74"/>
  <c r="Z381" i="74" s="1"/>
  <c r="AA379" i="74"/>
  <c r="AA381" i="74" s="1"/>
  <c r="AB384" i="74"/>
  <c r="AB386" i="74" s="1"/>
  <c r="W384" i="74"/>
  <c r="W386" i="74" s="1"/>
  <c r="X384" i="74"/>
  <c r="X386" i="74" s="1"/>
  <c r="Y384" i="74"/>
  <c r="Y386" i="74" s="1"/>
  <c r="Z384" i="74"/>
  <c r="Z386" i="74" s="1"/>
  <c r="AA384" i="74"/>
  <c r="AA386" i="74" s="1"/>
  <c r="AX384" i="74"/>
  <c r="AX386" i="74" s="1"/>
  <c r="AT384" i="74"/>
  <c r="AT386" i="74" s="1"/>
  <c r="AR384" i="74"/>
  <c r="AR386" i="74" s="1"/>
  <c r="AP384" i="74"/>
  <c r="AP386" i="74" s="1"/>
  <c r="AL384" i="74"/>
  <c r="AL386" i="74" s="1"/>
  <c r="AJ384" i="74"/>
  <c r="AJ386" i="74" s="1"/>
  <c r="AH384" i="74"/>
  <c r="AH386" i="74" s="1"/>
  <c r="AK384" i="74"/>
  <c r="AK386" i="74" s="1"/>
  <c r="AZ384" i="74"/>
  <c r="AZ386" i="74" s="1"/>
  <c r="AI384" i="74"/>
  <c r="AI386" i="74" s="1"/>
  <c r="AW384" i="74"/>
  <c r="AW386" i="74" s="1"/>
  <c r="AG384" i="74"/>
  <c r="AG386" i="74" s="1"/>
  <c r="AV384" i="74"/>
  <c r="AV386" i="74" s="1"/>
  <c r="AF384" i="74"/>
  <c r="AF386" i="74" s="1"/>
  <c r="AU384" i="74"/>
  <c r="AU386" i="74" s="1"/>
  <c r="AE384" i="74"/>
  <c r="AE386" i="74" s="1"/>
  <c r="AS384" i="74"/>
  <c r="AS386" i="74" s="1"/>
  <c r="AQ384" i="74"/>
  <c r="AQ386" i="74" s="1"/>
  <c r="AD384" i="74"/>
  <c r="AD386" i="74" s="1"/>
  <c r="AO384" i="74"/>
  <c r="AO386" i="74" s="1"/>
  <c r="AN384" i="74"/>
  <c r="AN386" i="74" s="1"/>
  <c r="AY384" i="74"/>
  <c r="AY386" i="74" s="1"/>
  <c r="AM384" i="74"/>
  <c r="AM386" i="74" s="1"/>
  <c r="AC384" i="74"/>
  <c r="AC386" i="74" s="1"/>
  <c r="AB379" i="74"/>
  <c r="AB381" i="74" s="1"/>
  <c r="AC379" i="74"/>
  <c r="AC381" i="74" s="1"/>
  <c r="AD379" i="74"/>
  <c r="AD381" i="74" s="1"/>
  <c r="AE379" i="74"/>
  <c r="AE381" i="74" s="1"/>
  <c r="AF379" i="74"/>
  <c r="AF381" i="74" s="1"/>
  <c r="AG379" i="74"/>
  <c r="AG381" i="74" s="1"/>
  <c r="AH379" i="74"/>
  <c r="AH381" i="74" s="1"/>
  <c r="AI379" i="74"/>
  <c r="AI381" i="74" s="1"/>
  <c r="AJ379" i="74"/>
  <c r="AJ381" i="74" s="1"/>
  <c r="AK379" i="74"/>
  <c r="AK381" i="74" s="1"/>
  <c r="AL379" i="74"/>
  <c r="AL381" i="74" s="1"/>
  <c r="AM379" i="74"/>
  <c r="AM381" i="74" s="1"/>
  <c r="AN379" i="74"/>
  <c r="AN381" i="74" s="1"/>
  <c r="AO379" i="74"/>
  <c r="AO381" i="74" s="1"/>
  <c r="AP379" i="74"/>
  <c r="AP381" i="74" s="1"/>
  <c r="AQ379" i="74"/>
  <c r="AQ381" i="74" s="1"/>
  <c r="AR379" i="74"/>
  <c r="AR381" i="74" s="1"/>
  <c r="AS379" i="74"/>
  <c r="AS381" i="74" s="1"/>
  <c r="AT379" i="74"/>
  <c r="AT381" i="74" s="1"/>
  <c r="AU379" i="74"/>
  <c r="AU381" i="74" s="1"/>
  <c r="AV379" i="74"/>
  <c r="AV381" i="74" s="1"/>
  <c r="AW379" i="74"/>
  <c r="AW381" i="74" s="1"/>
  <c r="AX379" i="74"/>
  <c r="AX381" i="74" s="1"/>
  <c r="AY379" i="74"/>
  <c r="AY381" i="74" s="1"/>
  <c r="AZ379" i="74"/>
  <c r="AZ381" i="74" s="1"/>
  <c r="U46" i="12"/>
  <c r="U49" i="12"/>
  <c r="BA148" i="74"/>
  <c r="BA243" i="74" s="1"/>
  <c r="BA159" i="74"/>
  <c r="BA160" i="74"/>
  <c r="BA265" i="74" s="1"/>
  <c r="BA264" i="74" s="1"/>
  <c r="BA253" i="74" s="1"/>
  <c r="AZ148" i="74"/>
  <c r="AZ243" i="74" s="1"/>
  <c r="AZ159" i="74"/>
  <c r="AZ253" i="74"/>
  <c r="AY148" i="74"/>
  <c r="AY243" i="74" s="1"/>
  <c r="AY159" i="74"/>
  <c r="AY160" i="74"/>
  <c r="AY265" i="74" s="1"/>
  <c r="AY264" i="74" s="1"/>
  <c r="AY253" i="74" s="1"/>
  <c r="E47" i="12"/>
  <c r="Q116" i="74"/>
  <c r="Q237" i="74" s="1"/>
  <c r="AO116" i="74"/>
  <c r="AO237" i="74" s="1"/>
  <c r="T116" i="74"/>
  <c r="T237" i="74" s="1"/>
  <c r="P116" i="74"/>
  <c r="P237" i="74" s="1"/>
  <c r="AA116" i="74"/>
  <c r="AA237" i="74" s="1"/>
  <c r="U116" i="74"/>
  <c r="U237" i="74" s="1"/>
  <c r="AM116" i="74"/>
  <c r="AM237" i="74" s="1"/>
  <c r="V116" i="74"/>
  <c r="V237" i="74" s="1"/>
  <c r="AI116" i="74"/>
  <c r="AI237" i="74" s="1"/>
  <c r="AD116" i="74"/>
  <c r="AD237" i="74" s="1"/>
  <c r="X116" i="74"/>
  <c r="X237" i="74" s="1"/>
  <c r="Y116" i="74"/>
  <c r="Y237" i="74" s="1"/>
  <c r="AF116" i="74"/>
  <c r="AF237" i="74" s="1"/>
  <c r="AK116" i="74"/>
  <c r="AK237" i="74" s="1"/>
  <c r="AG116" i="74"/>
  <c r="AG237" i="74" s="1"/>
  <c r="AB116" i="74"/>
  <c r="AB237" i="74" s="1"/>
  <c r="AC116" i="74"/>
  <c r="AC237" i="74" s="1"/>
  <c r="R116" i="74"/>
  <c r="R237" i="74" s="1"/>
  <c r="AJ116" i="74"/>
  <c r="AJ237" i="74" s="1"/>
  <c r="AE116" i="74"/>
  <c r="AE237" i="74" s="1"/>
  <c r="Z116" i="74"/>
  <c r="Z237" i="74" s="1"/>
  <c r="AH116" i="74"/>
  <c r="AH237" i="74" s="1"/>
  <c r="AL116" i="74"/>
  <c r="AL237" i="74" s="1"/>
  <c r="AN116" i="74"/>
  <c r="AN237" i="74" s="1"/>
  <c r="S116" i="74"/>
  <c r="S237" i="74" s="1"/>
  <c r="AL32" i="94"/>
  <c r="AO122" i="74" s="1"/>
  <c r="AO123" i="74"/>
  <c r="AO262" i="74" s="1"/>
  <c r="AO261" i="74" s="1"/>
  <c r="Y32" i="94"/>
  <c r="AB122" i="74" s="1"/>
  <c r="AB123" i="74"/>
  <c r="AB262" i="74" s="1"/>
  <c r="AB261" i="74" s="1"/>
  <c r="Z32" i="94"/>
  <c r="AC122" i="74" s="1"/>
  <c r="AC123" i="74"/>
  <c r="AC262" i="74" s="1"/>
  <c r="AC261" i="74" s="1"/>
  <c r="AT32" i="94"/>
  <c r="AW122" i="74" s="1"/>
  <c r="AW123" i="74"/>
  <c r="AW262" i="74" s="1"/>
  <c r="AW261" i="74" s="1"/>
  <c r="AH32" i="94"/>
  <c r="AK122" i="74" s="1"/>
  <c r="AK123" i="74"/>
  <c r="AK262" i="74" s="1"/>
  <c r="AK261" i="74" s="1"/>
  <c r="V32" i="94"/>
  <c r="Y122" i="74" s="1"/>
  <c r="Y123" i="74"/>
  <c r="Y262" i="74" s="1"/>
  <c r="Y261" i="74" s="1"/>
  <c r="AS32" i="94"/>
  <c r="AV122" i="74" s="1"/>
  <c r="AV123" i="74"/>
  <c r="AV262" i="74" s="1"/>
  <c r="AV261" i="74" s="1"/>
  <c r="AG32" i="94"/>
  <c r="AJ122" i="74" s="1"/>
  <c r="AJ123" i="74"/>
  <c r="AJ262" i="74" s="1"/>
  <c r="AJ261" i="74" s="1"/>
  <c r="U32" i="94"/>
  <c r="X122" i="74" s="1"/>
  <c r="X123" i="74"/>
  <c r="X262" i="74" s="1"/>
  <c r="X261" i="74" s="1"/>
  <c r="N32" i="94"/>
  <c r="Q122" i="74" s="1"/>
  <c r="Q123" i="74"/>
  <c r="Q262" i="74" s="1"/>
  <c r="Q261" i="74" s="1"/>
  <c r="S32" i="94"/>
  <c r="V122" i="74" s="1"/>
  <c r="V123" i="74"/>
  <c r="V262" i="74" s="1"/>
  <c r="V261" i="74" s="1"/>
  <c r="AK32" i="94"/>
  <c r="AN122" i="74" s="1"/>
  <c r="AN123" i="74"/>
  <c r="AN262" i="74" s="1"/>
  <c r="AN261" i="74" s="1"/>
  <c r="W32" i="94"/>
  <c r="Z122" i="74" s="1"/>
  <c r="Z123" i="74"/>
  <c r="Z262" i="74" s="1"/>
  <c r="Z261" i="74" s="1"/>
  <c r="T32" i="94"/>
  <c r="W122" i="74" s="1"/>
  <c r="W123" i="74"/>
  <c r="W262" i="74" s="1"/>
  <c r="W261" i="74" s="1"/>
  <c r="AQ32" i="94"/>
  <c r="AT122" i="74" s="1"/>
  <c r="AT123" i="74"/>
  <c r="AT262" i="74" s="1"/>
  <c r="AT261" i="74" s="1"/>
  <c r="AD32" i="94"/>
  <c r="AG122" i="74" s="1"/>
  <c r="AG123" i="74"/>
  <c r="AG262" i="74" s="1"/>
  <c r="AG261" i="74" s="1"/>
  <c r="AO32" i="94"/>
  <c r="AR122" i="74" s="1"/>
  <c r="AR123" i="74"/>
  <c r="AR262" i="74" s="1"/>
  <c r="AR261" i="74" s="1"/>
  <c r="AC32" i="94"/>
  <c r="AF122" i="74" s="1"/>
  <c r="AF123" i="74"/>
  <c r="AF262" i="74" s="1"/>
  <c r="AF261" i="74" s="1"/>
  <c r="Q32" i="94"/>
  <c r="T122" i="74" s="1"/>
  <c r="T123" i="74"/>
  <c r="T262" i="74" s="1"/>
  <c r="T261" i="74" s="1"/>
  <c r="X32" i="94"/>
  <c r="AA122" i="74" s="1"/>
  <c r="AA123" i="74"/>
  <c r="AA262" i="74" s="1"/>
  <c r="AA261" i="74" s="1"/>
  <c r="AF32" i="94"/>
  <c r="AI122" i="74" s="1"/>
  <c r="AI123" i="74"/>
  <c r="AI262" i="74" s="1"/>
  <c r="AI261" i="74" s="1"/>
  <c r="AE32" i="94"/>
  <c r="AH122" i="74" s="1"/>
  <c r="AH123" i="74"/>
  <c r="AH262" i="74" s="1"/>
  <c r="AH261" i="74" s="1"/>
  <c r="AN32" i="94"/>
  <c r="AQ122" i="74" s="1"/>
  <c r="AQ123" i="74"/>
  <c r="AQ262" i="74" s="1"/>
  <c r="AQ261" i="74" s="1"/>
  <c r="AB32" i="94"/>
  <c r="AE122" i="74" s="1"/>
  <c r="AE123" i="74"/>
  <c r="AE262" i="74" s="1"/>
  <c r="AE261" i="74" s="1"/>
  <c r="P32" i="94"/>
  <c r="S122" i="74" s="1"/>
  <c r="S123" i="74"/>
  <c r="S262" i="74" s="1"/>
  <c r="S261" i="74" s="1"/>
  <c r="AJ32" i="94"/>
  <c r="AM122" i="74" s="1"/>
  <c r="AM123" i="74"/>
  <c r="AM262" i="74" s="1"/>
  <c r="AM261" i="74" s="1"/>
  <c r="AI32" i="94"/>
  <c r="AL122" i="74" s="1"/>
  <c r="AL123" i="74"/>
  <c r="AL262" i="74" s="1"/>
  <c r="AL261" i="74" s="1"/>
  <c r="AR32" i="94"/>
  <c r="AU122" i="74" s="1"/>
  <c r="AU123" i="74"/>
  <c r="AU262" i="74" s="1"/>
  <c r="AU261" i="74" s="1"/>
  <c r="AP32" i="94"/>
  <c r="AS122" i="74" s="1"/>
  <c r="AS123" i="74"/>
  <c r="AS262" i="74" s="1"/>
  <c r="AS261" i="74" s="1"/>
  <c r="R32" i="94"/>
  <c r="U122" i="74" s="1"/>
  <c r="U123" i="74"/>
  <c r="U262" i="74" s="1"/>
  <c r="U261" i="74" s="1"/>
  <c r="AM32" i="94"/>
  <c r="AP122" i="74" s="1"/>
  <c r="AP123" i="74"/>
  <c r="AP262" i="74" s="1"/>
  <c r="AP261" i="74" s="1"/>
  <c r="AA32" i="94"/>
  <c r="AD122" i="74" s="1"/>
  <c r="AD123" i="74"/>
  <c r="AD262" i="74" s="1"/>
  <c r="AD261" i="74" s="1"/>
  <c r="I41" i="92"/>
  <c r="O9" i="92" s="1"/>
  <c r="O32" i="94"/>
  <c r="R122" i="74" s="1"/>
  <c r="AU32" i="94"/>
  <c r="AX122" i="74" s="1"/>
  <c r="I40" i="92"/>
  <c r="O8" i="92" s="1"/>
  <c r="AX160" i="74"/>
  <c r="AX265" i="74" s="1"/>
  <c r="AX264" i="74" s="1"/>
  <c r="AX253" i="74" s="1"/>
  <c r="Z160" i="74"/>
  <c r="Z265" i="74" s="1"/>
  <c r="Z264" i="74" s="1"/>
  <c r="N160" i="74"/>
  <c r="N265" i="74" s="1"/>
  <c r="N264" i="74" s="1"/>
  <c r="AV160" i="74"/>
  <c r="AV265" i="74" s="1"/>
  <c r="AV264" i="74" s="1"/>
  <c r="AV253" i="74" s="1"/>
  <c r="AP160" i="74"/>
  <c r="AP265" i="74" s="1"/>
  <c r="AP264" i="74" s="1"/>
  <c r="AP253" i="74" s="1"/>
  <c r="AG160" i="74"/>
  <c r="AG265" i="74" s="1"/>
  <c r="AG264" i="74" s="1"/>
  <c r="AL160" i="74"/>
  <c r="AL265" i="74" s="1"/>
  <c r="AL264" i="74" s="1"/>
  <c r="AL253" i="74" s="1"/>
  <c r="AI160" i="74"/>
  <c r="AI265" i="74" s="1"/>
  <c r="AI264" i="74" s="1"/>
  <c r="AF160" i="74"/>
  <c r="AF265" i="74" s="1"/>
  <c r="AF264" i="74" s="1"/>
  <c r="L76" i="74"/>
  <c r="L223" i="74" s="1"/>
  <c r="L221" i="74" s="1"/>
  <c r="L270" i="74" s="1"/>
  <c r="L284" i="74" s="1"/>
  <c r="U160" i="74"/>
  <c r="AO160" i="74"/>
  <c r="AO265" i="74" s="1"/>
  <c r="AO264" i="74" s="1"/>
  <c r="AO253" i="74" s="1"/>
  <c r="AE160" i="74"/>
  <c r="AE265" i="74" s="1"/>
  <c r="AE264" i="74" s="1"/>
  <c r="AM160" i="74"/>
  <c r="AM265" i="74" s="1"/>
  <c r="AM264" i="74" s="1"/>
  <c r="AM253" i="74" s="1"/>
  <c r="R160" i="74"/>
  <c r="R265" i="74" s="1"/>
  <c r="R264" i="74" s="1"/>
  <c r="K76" i="74"/>
  <c r="K223" i="74" s="1"/>
  <c r="K221" i="74" s="1"/>
  <c r="K270" i="74" s="1"/>
  <c r="H23" i="82"/>
  <c r="G149" i="74"/>
  <c r="G244" i="74" s="1"/>
  <c r="K148" i="74"/>
  <c r="K243" i="74" s="1"/>
  <c r="J148" i="74"/>
  <c r="J243" i="74" s="1"/>
  <c r="K160" i="74"/>
  <c r="K265" i="74" s="1"/>
  <c r="K264" i="74" s="1"/>
  <c r="K253" i="74" s="1"/>
  <c r="K159" i="74"/>
  <c r="J160" i="74"/>
  <c r="J265" i="74" s="1"/>
  <c r="J264" i="74" s="1"/>
  <c r="J159" i="74"/>
  <c r="J471" i="45"/>
  <c r="O7" i="35"/>
  <c r="R471" i="45"/>
  <c r="L471" i="45"/>
  <c r="O471" i="45"/>
  <c r="O8" i="35"/>
  <c r="K471" i="45"/>
  <c r="Q471" i="45"/>
  <c r="S471" i="45"/>
  <c r="N471" i="45"/>
  <c r="AD160" i="74"/>
  <c r="AD265" i="74" s="1"/>
  <c r="AD264" i="74" s="1"/>
  <c r="W160" i="74"/>
  <c r="W265" i="74" s="1"/>
  <c r="W264" i="74" s="1"/>
  <c r="P160" i="74"/>
  <c r="P265" i="74" s="1"/>
  <c r="P264" i="74" s="1"/>
  <c r="AO159" i="74"/>
  <c r="AR160" i="74"/>
  <c r="AR265" i="74" s="1"/>
  <c r="AR264" i="74" s="1"/>
  <c r="AR253" i="74" s="1"/>
  <c r="AG159" i="74"/>
  <c r="Y160" i="74"/>
  <c r="Y265" i="74" s="1"/>
  <c r="Y264" i="74" s="1"/>
  <c r="X160" i="74"/>
  <c r="X265" i="74" s="1"/>
  <c r="X264" i="74" s="1"/>
  <c r="AW160" i="74"/>
  <c r="AW265" i="74" s="1"/>
  <c r="AW264" i="74" s="1"/>
  <c r="AW253" i="74" s="1"/>
  <c r="AF159" i="74"/>
  <c r="AV159" i="74"/>
  <c r="AX159" i="74"/>
  <c r="AA160" i="74"/>
  <c r="AA265" i="74" s="1"/>
  <c r="AA264" i="74" s="1"/>
  <c r="T160" i="74"/>
  <c r="T265" i="74" s="1"/>
  <c r="T264" i="74" s="1"/>
  <c r="AK160" i="74"/>
  <c r="AK265" i="74" s="1"/>
  <c r="AK264" i="74" s="1"/>
  <c r="O160" i="74"/>
  <c r="O265" i="74" s="1"/>
  <c r="O264" i="74" s="1"/>
  <c r="V160" i="74"/>
  <c r="V265" i="74" s="1"/>
  <c r="V264" i="74" s="1"/>
  <c r="U159" i="74"/>
  <c r="AH160" i="74"/>
  <c r="AH265" i="74" s="1"/>
  <c r="AH264" i="74" s="1"/>
  <c r="AE159" i="74"/>
  <c r="Z159" i="74"/>
  <c r="AM159" i="74"/>
  <c r="R159" i="74"/>
  <c r="AL159" i="74"/>
  <c r="AB160" i="74"/>
  <c r="AB265" i="74" s="1"/>
  <c r="AB264" i="74" s="1"/>
  <c r="AP159" i="74"/>
  <c r="AU160" i="74"/>
  <c r="AU265" i="74" s="1"/>
  <c r="AU264" i="74" s="1"/>
  <c r="AU253" i="74" s="1"/>
  <c r="AN160" i="74"/>
  <c r="AN265" i="74" s="1"/>
  <c r="AN264" i="74" s="1"/>
  <c r="AN253" i="74" s="1"/>
  <c r="S160" i="74"/>
  <c r="S265" i="74" s="1"/>
  <c r="S264" i="74" s="1"/>
  <c r="AQ160" i="74"/>
  <c r="AQ265" i="74" s="1"/>
  <c r="AQ264" i="74" s="1"/>
  <c r="AQ253" i="74" s="1"/>
  <c r="L160" i="74"/>
  <c r="L265" i="74" s="1"/>
  <c r="L264" i="74" s="1"/>
  <c r="N159" i="74"/>
  <c r="AJ160" i="74"/>
  <c r="AJ265" i="74" s="1"/>
  <c r="AJ264" i="74" s="1"/>
  <c r="AC160" i="74"/>
  <c r="AC265" i="74" s="1"/>
  <c r="AC264" i="74" s="1"/>
  <c r="AT160" i="74"/>
  <c r="AT265" i="74" s="1"/>
  <c r="AT264" i="74" s="1"/>
  <c r="AT253" i="74" s="1"/>
  <c r="AS160" i="74"/>
  <c r="AS265" i="74" s="1"/>
  <c r="AS264" i="74" s="1"/>
  <c r="AS253" i="74" s="1"/>
  <c r="AI159" i="74"/>
  <c r="Q160" i="74"/>
  <c r="Q265" i="74" s="1"/>
  <c r="Q264" i="74" s="1"/>
  <c r="M160" i="74"/>
  <c r="M265" i="74" s="1"/>
  <c r="M264" i="74" s="1"/>
  <c r="J122" i="74" l="1"/>
  <c r="E32" i="94"/>
  <c r="D32" i="94"/>
  <c r="G122" i="74" s="1"/>
  <c r="T159" i="74"/>
  <c r="E32" i="76"/>
  <c r="H159" i="74" s="1"/>
  <c r="D32" i="76"/>
  <c r="G159" i="74" s="1"/>
  <c r="E26" i="76"/>
  <c r="D26" i="76"/>
  <c r="R26" i="82"/>
  <c r="K284" i="74"/>
  <c r="H264" i="74"/>
  <c r="U265" i="74"/>
  <c r="U264" i="74" s="1"/>
  <c r="AS389" i="74"/>
  <c r="AS388" i="74"/>
  <c r="AR388" i="74"/>
  <c r="AR389" i="74"/>
  <c r="AU388" i="74"/>
  <c r="AU389" i="74"/>
  <c r="AT388" i="74"/>
  <c r="AT389" i="74"/>
  <c r="AZ388" i="74"/>
  <c r="AZ389" i="74"/>
  <c r="AX389" i="74"/>
  <c r="AX388" i="74"/>
  <c r="AW389" i="74"/>
  <c r="AW388" i="74"/>
  <c r="AV389" i="74"/>
  <c r="AV388" i="74"/>
  <c r="AY388" i="74"/>
  <c r="AY389" i="74"/>
  <c r="G381" i="74"/>
  <c r="V46" i="12"/>
  <c r="V49" i="12"/>
  <c r="D43" i="12"/>
  <c r="F47" i="12"/>
  <c r="E48" i="12"/>
  <c r="G116" i="74"/>
  <c r="G237" i="74" s="1"/>
  <c r="H116" i="74"/>
  <c r="H237" i="74" s="1"/>
  <c r="G160" i="74"/>
  <c r="G265" i="74" s="1"/>
  <c r="L351" i="45"/>
  <c r="K351" i="45"/>
  <c r="J351" i="45"/>
  <c r="N351" i="45"/>
  <c r="R351" i="45"/>
  <c r="O351" i="45"/>
  <c r="S351" i="45"/>
  <c r="Q351" i="45"/>
  <c r="H122" i="74"/>
  <c r="G350" i="45"/>
  <c r="H42" i="82"/>
  <c r="K74" i="74"/>
  <c r="M76" i="74"/>
  <c r="M223" i="74" s="1"/>
  <c r="M221" i="74" s="1"/>
  <c r="M270" i="74" s="1"/>
  <c r="M284" i="74" s="1"/>
  <c r="O472" i="45"/>
  <c r="J472" i="45"/>
  <c r="L472" i="45"/>
  <c r="K472" i="45"/>
  <c r="S472" i="45"/>
  <c r="Q472" i="45"/>
  <c r="N472" i="45"/>
  <c r="R472" i="45"/>
  <c r="G471" i="45"/>
  <c r="L159" i="74"/>
  <c r="S26" i="82" l="1"/>
  <c r="R27" i="82"/>
  <c r="O488" i="45"/>
  <c r="O238" i="45"/>
  <c r="N488" i="45"/>
  <c r="N238" i="45"/>
  <c r="G314" i="74"/>
  <c r="G264" i="74"/>
  <c r="AJ13" i="76"/>
  <c r="AM140" i="74" s="1"/>
  <c r="AM209" i="74" s="1"/>
  <c r="P13" i="76"/>
  <c r="G13" i="94"/>
  <c r="K13" i="94"/>
  <c r="W46" i="12"/>
  <c r="W49" i="12"/>
  <c r="E43" i="12"/>
  <c r="G47" i="12"/>
  <c r="F48" i="12"/>
  <c r="X13" i="76"/>
  <c r="AA140" i="74" s="1"/>
  <c r="AA209" i="74" s="1"/>
  <c r="W13" i="76"/>
  <c r="N13" i="94"/>
  <c r="L13" i="94"/>
  <c r="G351" i="45"/>
  <c r="G13" i="76"/>
  <c r="S13" i="76"/>
  <c r="AX117" i="74"/>
  <c r="AX238" i="74" s="1"/>
  <c r="AX231" i="74" s="1"/>
  <c r="AX271" i="74" s="1"/>
  <c r="AX285" i="74" s="1"/>
  <c r="K91" i="74"/>
  <c r="H43" i="82"/>
  <c r="I23" i="82"/>
  <c r="N76" i="74"/>
  <c r="N223" i="74" s="1"/>
  <c r="N221" i="74" s="1"/>
  <c r="N270" i="74" s="1"/>
  <c r="N284" i="74" s="1"/>
  <c r="J23" i="82"/>
  <c r="G472" i="45"/>
  <c r="E13" i="76" l="1"/>
  <c r="D13" i="76"/>
  <c r="J103" i="74"/>
  <c r="J199" i="74" s="1"/>
  <c r="E13" i="94"/>
  <c r="D13" i="94"/>
  <c r="G238" i="45"/>
  <c r="Z29" i="82" s="1"/>
  <c r="AC79" i="74" s="1"/>
  <c r="AC226" i="74" s="1"/>
  <c r="AK27" i="76"/>
  <c r="AL27" i="76"/>
  <c r="W27" i="76"/>
  <c r="AI27" i="76"/>
  <c r="AJ27" i="76"/>
  <c r="AF27" i="76"/>
  <c r="AG27" i="76"/>
  <c r="V27" i="76"/>
  <c r="X27" i="76"/>
  <c r="Y27" i="76"/>
  <c r="Z27" i="76"/>
  <c r="AA27" i="76"/>
  <c r="AD27" i="76"/>
  <c r="AE27" i="76"/>
  <c r="T27" i="76"/>
  <c r="U27" i="76"/>
  <c r="AB27" i="76"/>
  <c r="AH27" i="76"/>
  <c r="AC27" i="76"/>
  <c r="G488" i="45"/>
  <c r="AW30" i="76" s="1"/>
  <c r="AZ157" i="74" s="1"/>
  <c r="AZ252" i="74" s="1"/>
  <c r="AP29" i="82"/>
  <c r="AS79" i="74" s="1"/>
  <c r="AS226" i="74" s="1"/>
  <c r="AQ29" i="82"/>
  <c r="AT79" i="74" s="1"/>
  <c r="AT226" i="74" s="1"/>
  <c r="AR29" i="82"/>
  <c r="AU79" i="74" s="1"/>
  <c r="AU226" i="74" s="1"/>
  <c r="AS29" i="82"/>
  <c r="AV79" i="74" s="1"/>
  <c r="AV226" i="74" s="1"/>
  <c r="AT29" i="82"/>
  <c r="AW79" i="74" s="1"/>
  <c r="AW226" i="74" s="1"/>
  <c r="AU29" i="82"/>
  <c r="AX79" i="74" s="1"/>
  <c r="AX226" i="74" s="1"/>
  <c r="AV29" i="82"/>
  <c r="AY79" i="74" s="1"/>
  <c r="AY226" i="74" s="1"/>
  <c r="R29" i="82"/>
  <c r="U79" i="74" s="1"/>
  <c r="U226" i="74" s="1"/>
  <c r="AN29" i="82"/>
  <c r="AQ79" i="74" s="1"/>
  <c r="AQ226" i="74" s="1"/>
  <c r="AO29" i="82"/>
  <c r="AR79" i="74" s="1"/>
  <c r="AR226" i="74" s="1"/>
  <c r="AU30" i="76"/>
  <c r="AR30" i="76"/>
  <c r="T26" i="82"/>
  <c r="S27" i="82"/>
  <c r="AF30" i="76"/>
  <c r="V29" i="82"/>
  <c r="AJ29" i="82"/>
  <c r="AM79" i="74" s="1"/>
  <c r="AM226" i="74" s="1"/>
  <c r="AD29" i="82"/>
  <c r="AG79" i="74" s="1"/>
  <c r="AG226" i="74" s="1"/>
  <c r="AI29" i="82"/>
  <c r="AL79" i="74" s="1"/>
  <c r="AL226" i="74" s="1"/>
  <c r="AE29" i="82"/>
  <c r="AH79" i="74" s="1"/>
  <c r="AH226" i="74" s="1"/>
  <c r="AC29" i="82"/>
  <c r="AF79" i="74" s="1"/>
  <c r="AF226" i="74" s="1"/>
  <c r="N103" i="74"/>
  <c r="N199" i="74" s="1"/>
  <c r="S140" i="74"/>
  <c r="S209" i="74" s="1"/>
  <c r="X46" i="12"/>
  <c r="W117" i="74"/>
  <c r="W238" i="74" s="1"/>
  <c r="AZ154" i="74"/>
  <c r="AZ249" i="74" s="1"/>
  <c r="AY154" i="74"/>
  <c r="AY249" i="74" s="1"/>
  <c r="X49" i="12"/>
  <c r="F43" i="12"/>
  <c r="H47" i="12"/>
  <c r="G48" i="12"/>
  <c r="Z140" i="74"/>
  <c r="Z209" i="74" s="1"/>
  <c r="Z205" i="74" s="1"/>
  <c r="W9" i="76"/>
  <c r="Z136" i="74" s="1"/>
  <c r="AF117" i="74"/>
  <c r="AF238" i="74" s="1"/>
  <c r="AE117" i="74"/>
  <c r="AE238" i="74" s="1"/>
  <c r="AT20" i="94"/>
  <c r="AW110" i="74" s="1"/>
  <c r="AW117" i="74"/>
  <c r="AW238" i="74" s="1"/>
  <c r="AW231" i="74" s="1"/>
  <c r="AW271" i="74" s="1"/>
  <c r="AW285" i="74" s="1"/>
  <c r="AS20" i="94"/>
  <c r="AV110" i="74" s="1"/>
  <c r="AV117" i="74"/>
  <c r="AV238" i="74" s="1"/>
  <c r="AV231" i="74" s="1"/>
  <c r="AV271" i="74" s="1"/>
  <c r="AV285" i="74" s="1"/>
  <c r="AP20" i="94"/>
  <c r="AS110" i="74" s="1"/>
  <c r="AS117" i="74"/>
  <c r="AS238" i="74" s="1"/>
  <c r="AS231" i="74" s="1"/>
  <c r="AS271" i="74" s="1"/>
  <c r="AS285" i="74" s="1"/>
  <c r="Q103" i="74"/>
  <c r="Q199" i="74" s="1"/>
  <c r="O103" i="74"/>
  <c r="O199" i="74" s="1"/>
  <c r="AQ117" i="74"/>
  <c r="AQ238" i="74" s="1"/>
  <c r="AR20" i="94"/>
  <c r="AU110" i="74" s="1"/>
  <c r="AU117" i="74"/>
  <c r="AU238" i="74" s="1"/>
  <c r="AU231" i="74" s="1"/>
  <c r="AU271" i="74" s="1"/>
  <c r="AU285" i="74" s="1"/>
  <c r="AQ20" i="94"/>
  <c r="AT110" i="74" s="1"/>
  <c r="AT117" i="74"/>
  <c r="AT238" i="74" s="1"/>
  <c r="AT231" i="74" s="1"/>
  <c r="AT271" i="74" s="1"/>
  <c r="AT285" i="74" s="1"/>
  <c r="AO20" i="94"/>
  <c r="AR110" i="74" s="1"/>
  <c r="AR117" i="74"/>
  <c r="AR238" i="74" s="1"/>
  <c r="AR231" i="74" s="1"/>
  <c r="AR271" i="74" s="1"/>
  <c r="AR285" i="74" s="1"/>
  <c r="AP117" i="74"/>
  <c r="AP238" i="74" s="1"/>
  <c r="H103" i="74"/>
  <c r="H199" i="74" s="1"/>
  <c r="G103" i="74"/>
  <c r="G199" i="74" s="1"/>
  <c r="V140" i="74"/>
  <c r="V209" i="74" s="1"/>
  <c r="AU20" i="94"/>
  <c r="AX110" i="74" s="1"/>
  <c r="I42" i="82"/>
  <c r="L74" i="74"/>
  <c r="K92" i="74"/>
  <c r="K23" i="82"/>
  <c r="M74" i="74"/>
  <c r="J42" i="82"/>
  <c r="W29" i="82" l="1"/>
  <c r="Z79" i="74" s="1"/>
  <c r="Z226" i="74" s="1"/>
  <c r="AB29" i="82"/>
  <c r="AE79" i="74" s="1"/>
  <c r="AE226" i="74" s="1"/>
  <c r="AG29" i="82"/>
  <c r="AJ79" i="74" s="1"/>
  <c r="AJ226" i="74" s="1"/>
  <c r="H58" i="71"/>
  <c r="H8" i="71" s="1"/>
  <c r="AH29" i="82"/>
  <c r="AK79" i="74" s="1"/>
  <c r="AK226" i="74" s="1"/>
  <c r="AM29" i="82"/>
  <c r="AP79" i="74" s="1"/>
  <c r="AP226" i="74" s="1"/>
  <c r="AF29" i="82"/>
  <c r="AI79" i="74" s="1"/>
  <c r="AI226" i="74" s="1"/>
  <c r="AL29" i="82"/>
  <c r="AO79" i="74" s="1"/>
  <c r="AO226" i="74" s="1"/>
  <c r="AA29" i="82"/>
  <c r="AD79" i="74" s="1"/>
  <c r="AD226" i="74" s="1"/>
  <c r="X29" i="82"/>
  <c r="AA79" i="74" s="1"/>
  <c r="AA226" i="74" s="1"/>
  <c r="AK29" i="82"/>
  <c r="AN79" i="74" s="1"/>
  <c r="AN226" i="74" s="1"/>
  <c r="U29" i="82"/>
  <c r="X79" i="74" s="1"/>
  <c r="X226" i="74" s="1"/>
  <c r="T29" i="82"/>
  <c r="W79" i="74" s="1"/>
  <c r="W226" i="74" s="1"/>
  <c r="S29" i="82"/>
  <c r="V79" i="74" s="1"/>
  <c r="V226" i="74" s="1"/>
  <c r="Y29" i="82"/>
  <c r="AB79" i="74" s="1"/>
  <c r="AB226" i="74" s="1"/>
  <c r="Q29" i="82"/>
  <c r="AV30" i="76"/>
  <c r="AY157" i="74" s="1"/>
  <c r="AY252" i="74" s="1"/>
  <c r="D27" i="76"/>
  <c r="E27" i="76"/>
  <c r="R30" i="76"/>
  <c r="S30" i="76"/>
  <c r="T30" i="76"/>
  <c r="AL30" i="76"/>
  <c r="Q30" i="76"/>
  <c r="AG30" i="76"/>
  <c r="U30" i="76"/>
  <c r="AC30" i="76"/>
  <c r="V30" i="76"/>
  <c r="W30" i="76"/>
  <c r="AI30" i="76"/>
  <c r="X30" i="76"/>
  <c r="AN30" i="76"/>
  <c r="Z30" i="76"/>
  <c r="AB30" i="76"/>
  <c r="AQ30" i="76"/>
  <c r="AK30" i="76"/>
  <c r="AM30" i="76"/>
  <c r="AE30" i="76"/>
  <c r="AJ30" i="76"/>
  <c r="AT30" i="76"/>
  <c r="AA30" i="76"/>
  <c r="H22" i="70"/>
  <c r="H6" i="70" s="1"/>
  <c r="AD30" i="76"/>
  <c r="Y30" i="76"/>
  <c r="AP30" i="76"/>
  <c r="AH30" i="76"/>
  <c r="AS30" i="76"/>
  <c r="AO30" i="76"/>
  <c r="T27" i="82"/>
  <c r="U26" i="82"/>
  <c r="Y79" i="74"/>
  <c r="Y226" i="74" s="1"/>
  <c r="Y46" i="12"/>
  <c r="Z174" i="74"/>
  <c r="J117" i="74"/>
  <c r="J238" i="74" s="1"/>
  <c r="Y49" i="12"/>
  <c r="I47" i="12"/>
  <c r="G43" i="12"/>
  <c r="H48" i="12"/>
  <c r="S117" i="74"/>
  <c r="S238" i="74" s="1"/>
  <c r="R117" i="74"/>
  <c r="R238" i="74" s="1"/>
  <c r="T117" i="74"/>
  <c r="T238" i="74" s="1"/>
  <c r="U117" i="74"/>
  <c r="U238" i="74" s="1"/>
  <c r="AJ117" i="74"/>
  <c r="AJ238" i="74" s="1"/>
  <c r="AL117" i="74"/>
  <c r="AL238" i="74" s="1"/>
  <c r="AK117" i="74"/>
  <c r="AK238" i="74" s="1"/>
  <c r="Z117" i="74"/>
  <c r="Z238" i="74" s="1"/>
  <c r="AI117" i="74"/>
  <c r="AI238" i="74" s="1"/>
  <c r="Q117" i="74"/>
  <c r="Q238" i="74" s="1"/>
  <c r="V117" i="74"/>
  <c r="V238" i="74" s="1"/>
  <c r="P117" i="74"/>
  <c r="P238" i="74" s="1"/>
  <c r="AM117" i="74"/>
  <c r="AM238" i="74" s="1"/>
  <c r="AS37" i="94"/>
  <c r="AA117" i="74"/>
  <c r="AA238" i="74" s="1"/>
  <c r="AB117" i="74"/>
  <c r="AB238" i="74" s="1"/>
  <c r="AN117" i="74"/>
  <c r="AN238" i="74" s="1"/>
  <c r="AO37" i="94"/>
  <c r="AG117" i="74"/>
  <c r="AG238" i="74" s="1"/>
  <c r="AC117" i="74"/>
  <c r="AC238" i="74" s="1"/>
  <c r="AO117" i="74"/>
  <c r="AO238" i="74" s="1"/>
  <c r="AQ37" i="94"/>
  <c r="AT37" i="94"/>
  <c r="AP37" i="94"/>
  <c r="X117" i="74"/>
  <c r="X238" i="74" s="1"/>
  <c r="AD117" i="74"/>
  <c r="AD238" i="74" s="1"/>
  <c r="Y117" i="74"/>
  <c r="Y238" i="74" s="1"/>
  <c r="AH117" i="74"/>
  <c r="AH238" i="74" s="1"/>
  <c r="AR37" i="94"/>
  <c r="G117" i="74"/>
  <c r="G238" i="74" s="1"/>
  <c r="H117" i="74"/>
  <c r="H238" i="74" s="1"/>
  <c r="AU37" i="94"/>
  <c r="P76" i="74"/>
  <c r="P223" i="74" s="1"/>
  <c r="P221" i="74" s="1"/>
  <c r="N74" i="74"/>
  <c r="K42" i="82"/>
  <c r="J43" i="82"/>
  <c r="M92" i="74" s="1"/>
  <c r="M91" i="74"/>
  <c r="L91" i="74"/>
  <c r="I43" i="82"/>
  <c r="K154" i="74"/>
  <c r="K249" i="74" s="1"/>
  <c r="H20" i="76"/>
  <c r="K147" i="74" s="1"/>
  <c r="J154" i="74"/>
  <c r="J249" i="74" s="1"/>
  <c r="D30" i="76" l="1"/>
  <c r="E30" i="76"/>
  <c r="T79" i="74"/>
  <c r="T226" i="74" s="1"/>
  <c r="D29" i="82"/>
  <c r="G79" i="74" s="1"/>
  <c r="G226" i="74" s="1"/>
  <c r="E29" i="82"/>
  <c r="H79" i="74" s="1"/>
  <c r="H226" i="74" s="1"/>
  <c r="V26" i="82"/>
  <c r="U27" i="82"/>
  <c r="Z46" i="12"/>
  <c r="Z49" i="12"/>
  <c r="J47" i="12"/>
  <c r="H43" i="12"/>
  <c r="I48" i="12"/>
  <c r="AP38" i="94"/>
  <c r="AS128" i="74" s="1"/>
  <c r="AS127" i="74"/>
  <c r="AS38" i="94"/>
  <c r="AV128" i="74" s="1"/>
  <c r="AV127" i="74"/>
  <c r="AU38" i="94"/>
  <c r="AX128" i="74" s="1"/>
  <c r="AX127" i="74"/>
  <c r="AT38" i="94"/>
  <c r="AW128" i="74" s="1"/>
  <c r="AW127" i="74"/>
  <c r="AO38" i="94"/>
  <c r="AR128" i="74" s="1"/>
  <c r="AR127" i="74"/>
  <c r="AR38" i="94"/>
  <c r="AU128" i="74" s="1"/>
  <c r="AU127" i="74"/>
  <c r="AQ38" i="94"/>
  <c r="AT128" i="74" s="1"/>
  <c r="AT127" i="74"/>
  <c r="K242" i="74"/>
  <c r="K215" i="74" s="1"/>
  <c r="N91" i="74"/>
  <c r="K43" i="82"/>
  <c r="N92" i="74" s="1"/>
  <c r="L92" i="74"/>
  <c r="Q76" i="74"/>
  <c r="Q223" i="74" s="1"/>
  <c r="Q221" i="74" s="1"/>
  <c r="Q270" i="74" s="1"/>
  <c r="Q284" i="74" s="1"/>
  <c r="W26" i="82" l="1"/>
  <c r="V27" i="82"/>
  <c r="AA46" i="12"/>
  <c r="AA49" i="12"/>
  <c r="I43" i="12"/>
  <c r="K47" i="12"/>
  <c r="X26" i="82" s="1"/>
  <c r="J48" i="12"/>
  <c r="N23" i="82"/>
  <c r="R76" i="74"/>
  <c r="R223" i="74" s="1"/>
  <c r="R221" i="74" s="1"/>
  <c r="R270" i="74" s="1"/>
  <c r="R284" i="74" s="1"/>
  <c r="W27" i="82" l="1"/>
  <c r="AB46" i="12"/>
  <c r="AB49" i="12"/>
  <c r="J43" i="12"/>
  <c r="L47" i="12"/>
  <c r="Y26" i="82" s="1"/>
  <c r="K48" i="12"/>
  <c r="O23" i="82"/>
  <c r="Q74" i="74"/>
  <c r="N42" i="82"/>
  <c r="X27" i="82" l="1"/>
  <c r="AC46" i="12"/>
  <c r="AC49" i="12"/>
  <c r="K43" i="12"/>
  <c r="M47" i="12"/>
  <c r="L48" i="12"/>
  <c r="Q91" i="74"/>
  <c r="N43" i="82"/>
  <c r="Q92" i="74" s="1"/>
  <c r="R74" i="74"/>
  <c r="O42" i="82"/>
  <c r="Y27" i="82" l="1"/>
  <c r="Z26" i="82"/>
  <c r="AD46" i="12"/>
  <c r="L43" i="12"/>
  <c r="AD49" i="12"/>
  <c r="N47" i="12"/>
  <c r="M48" i="12"/>
  <c r="U76" i="74"/>
  <c r="U223" i="74" s="1"/>
  <c r="R91" i="74"/>
  <c r="O43" i="82"/>
  <c r="R92" i="74" s="1"/>
  <c r="AE46" i="12" l="1"/>
  <c r="Z27" i="82"/>
  <c r="AA26" i="82"/>
  <c r="AE49" i="12"/>
  <c r="O47" i="12"/>
  <c r="M43" i="12"/>
  <c r="N48" i="12"/>
  <c r="V76" i="74"/>
  <c r="V223" i="74" s="1"/>
  <c r="AF46" i="12" l="1"/>
  <c r="AA27" i="82"/>
  <c r="AB26" i="82"/>
  <c r="AF49" i="12"/>
  <c r="N43" i="12"/>
  <c r="P47" i="12"/>
  <c r="O48" i="12"/>
  <c r="W76" i="74"/>
  <c r="W223" i="74" s="1"/>
  <c r="AG46" i="12" l="1"/>
  <c r="AB27" i="82"/>
  <c r="AG49" i="12"/>
  <c r="AH46" i="12" s="1"/>
  <c r="Q47" i="12"/>
  <c r="O43" i="12"/>
  <c r="P48" i="12"/>
  <c r="X76" i="74"/>
  <c r="X223" i="74" s="1"/>
  <c r="AC27" i="82" l="1"/>
  <c r="AH49" i="12"/>
  <c r="AI46" i="12" s="1"/>
  <c r="R47" i="12"/>
  <c r="P43" i="12"/>
  <c r="Q48" i="12"/>
  <c r="Y76" i="74"/>
  <c r="Y223" i="74" s="1"/>
  <c r="AE26" i="82" l="1"/>
  <c r="AD27" i="82"/>
  <c r="AI49" i="12"/>
  <c r="AJ46" i="12" s="1"/>
  <c r="S47" i="12"/>
  <c r="AF26" i="82" s="1"/>
  <c r="Q43" i="12"/>
  <c r="R48" i="12"/>
  <c r="Z76" i="74"/>
  <c r="Z223" i="74" s="1"/>
  <c r="AE27" i="82" l="1"/>
  <c r="AJ49" i="12"/>
  <c r="AK46" i="12" s="1"/>
  <c r="T47" i="12"/>
  <c r="AG26" i="82" s="1"/>
  <c r="R43" i="12"/>
  <c r="S48" i="12"/>
  <c r="AF27" i="82" s="1"/>
  <c r="AK49" i="12" l="1"/>
  <c r="AL46" i="12" s="1"/>
  <c r="S43" i="12"/>
  <c r="U47" i="12"/>
  <c r="AH26" i="82" s="1"/>
  <c r="T48" i="12"/>
  <c r="AG27" i="82" s="1"/>
  <c r="AB76" i="74"/>
  <c r="AB223" i="74" s="1"/>
  <c r="AL49" i="12" l="1"/>
  <c r="AM46" i="12" s="1"/>
  <c r="V47" i="12"/>
  <c r="AI26" i="82" s="1"/>
  <c r="T43" i="12"/>
  <c r="U48" i="12"/>
  <c r="AH27" i="82" s="1"/>
  <c r="AC76" i="74"/>
  <c r="AC223" i="74" s="1"/>
  <c r="AM49" i="12" l="1"/>
  <c r="AN46" i="12" s="1"/>
  <c r="W47" i="12"/>
  <c r="AJ26" i="82" s="1"/>
  <c r="V48" i="12"/>
  <c r="AI27" i="82" s="1"/>
  <c r="U43" i="12"/>
  <c r="AD76" i="74"/>
  <c r="AD223" i="74" s="1"/>
  <c r="AN49" i="12" l="1"/>
  <c r="AO46" i="12" s="1"/>
  <c r="V43" i="12"/>
  <c r="W48" i="12"/>
  <c r="AJ27" i="82" s="1"/>
  <c r="X47" i="12"/>
  <c r="AK26" i="82" s="1"/>
  <c r="AO49" i="12" l="1"/>
  <c r="AP46" i="12" s="1"/>
  <c r="W43" i="12"/>
  <c r="Y47" i="12"/>
  <c r="AL26" i="82" s="1"/>
  <c r="X48" i="12"/>
  <c r="AK27" i="82" s="1"/>
  <c r="AE76" i="74"/>
  <c r="AE223" i="74" s="1"/>
  <c r="AP49" i="12" l="1"/>
  <c r="AQ46" i="12" s="1"/>
  <c r="Z47" i="12"/>
  <c r="AM26" i="82" s="1"/>
  <c r="X43" i="12"/>
  <c r="Y48" i="12"/>
  <c r="AL27" i="82" s="1"/>
  <c r="AQ49" i="12" l="1"/>
  <c r="AR46" i="12" s="1"/>
  <c r="AA47" i="12"/>
  <c r="AN26" i="82" s="1"/>
  <c r="Y43" i="12"/>
  <c r="Z48" i="12"/>
  <c r="AM27" i="82" s="1"/>
  <c r="AH76" i="74"/>
  <c r="AH223" i="74" s="1"/>
  <c r="AR49" i="12" l="1"/>
  <c r="AS46" i="12" s="1"/>
  <c r="Z43" i="12"/>
  <c r="AB47" i="12"/>
  <c r="AO26" i="82" s="1"/>
  <c r="AA48" i="12"/>
  <c r="AN27" i="82" s="1"/>
  <c r="AI76" i="74"/>
  <c r="AI223" i="74" s="1"/>
  <c r="AS49" i="12" l="1"/>
  <c r="AT46" i="12" s="1"/>
  <c r="D57" i="12"/>
  <c r="AA43" i="12"/>
  <c r="AB48" i="12"/>
  <c r="AO27" i="82" s="1"/>
  <c r="AC47" i="12"/>
  <c r="AP26" i="82" s="1"/>
  <c r="AJ76" i="74"/>
  <c r="AJ223" i="74" s="1"/>
  <c r="AT49" i="12" l="1"/>
  <c r="AU46" i="12" s="1"/>
  <c r="AD47" i="12"/>
  <c r="AQ26" i="82" s="1"/>
  <c r="AB43" i="12"/>
  <c r="AC48" i="12"/>
  <c r="AP27" i="82" s="1"/>
  <c r="AK76" i="74"/>
  <c r="AK223" i="74" s="1"/>
  <c r="AU49" i="12" l="1"/>
  <c r="AV46" i="12" s="1"/>
  <c r="AE47" i="12"/>
  <c r="AR26" i="82" s="1"/>
  <c r="AC43" i="12"/>
  <c r="AD48" i="12"/>
  <c r="AQ27" i="82" s="1"/>
  <c r="AL76" i="74"/>
  <c r="AL223" i="74" s="1"/>
  <c r="AD43" i="12" l="1"/>
  <c r="AV49" i="12"/>
  <c r="AW46" i="12" s="1"/>
  <c r="AE48" i="12"/>
  <c r="AR27" i="82" s="1"/>
  <c r="AF47" i="12"/>
  <c r="AS26" i="82" s="1"/>
  <c r="AE43" i="12" l="1"/>
  <c r="AW49" i="12"/>
  <c r="AX46" i="12" s="1"/>
  <c r="AG47" i="12"/>
  <c r="AT26" i="82" s="1"/>
  <c r="AF48" i="12"/>
  <c r="AS27" i="82" s="1"/>
  <c r="AM76" i="74"/>
  <c r="AM223" i="74" s="1"/>
  <c r="AN76" i="74"/>
  <c r="AN223" i="74" s="1"/>
  <c r="AF43" i="12" l="1"/>
  <c r="AX49" i="12"/>
  <c r="AY46" i="12" s="1"/>
  <c r="AH47" i="12"/>
  <c r="AU26" i="82" s="1"/>
  <c r="AG48" i="12"/>
  <c r="AT27" i="82" s="1"/>
  <c r="AO76" i="74"/>
  <c r="AO223" i="74" s="1"/>
  <c r="AP76" i="74" l="1"/>
  <c r="AP223" i="74" s="1"/>
  <c r="AG43" i="12"/>
  <c r="AY49" i="12"/>
  <c r="AZ46" i="12" s="1"/>
  <c r="AI47" i="12"/>
  <c r="AV26" i="82" s="1"/>
  <c r="AH48" i="12"/>
  <c r="AU27" i="82" s="1"/>
  <c r="AY76" i="74" l="1"/>
  <c r="AY223" i="74" s="1"/>
  <c r="AH43" i="12"/>
  <c r="AZ49" i="12"/>
  <c r="BA46" i="12" s="1"/>
  <c r="AJ47" i="12"/>
  <c r="AI48" i="12"/>
  <c r="AV27" i="82" s="1"/>
  <c r="AQ76" i="74"/>
  <c r="AQ223" i="74" s="1"/>
  <c r="E27" i="82" l="1"/>
  <c r="D27" i="82"/>
  <c r="AI43" i="12"/>
  <c r="AR76" i="74"/>
  <c r="AR223" i="74" s="1"/>
  <c r="BA49" i="12"/>
  <c r="BB46" i="12" s="1"/>
  <c r="AK47" i="12"/>
  <c r="AJ48" i="12"/>
  <c r="AJ43" i="12" l="1"/>
  <c r="AZ76" i="74"/>
  <c r="AZ223" i="74" s="1"/>
  <c r="BB49" i="12"/>
  <c r="BC46" i="12" s="1"/>
  <c r="AL47" i="12"/>
  <c r="AK48" i="12"/>
  <c r="AK43" i="12" s="1"/>
  <c r="AS76" i="74"/>
  <c r="AS223" i="74" s="1"/>
  <c r="BC49" i="12" l="1"/>
  <c r="BD46" i="12" s="1"/>
  <c r="AM47" i="12"/>
  <c r="AL48" i="12"/>
  <c r="AL43" i="12" s="1"/>
  <c r="AT76" i="74"/>
  <c r="AT223" i="74" s="1"/>
  <c r="BD49" i="12" l="1"/>
  <c r="BE46" i="12" s="1"/>
  <c r="AN47" i="12"/>
  <c r="AM48" i="12"/>
  <c r="AM43" i="12" s="1"/>
  <c r="AU76" i="74"/>
  <c r="AU223" i="74" s="1"/>
  <c r="BE49" i="12" l="1"/>
  <c r="BF46" i="12" s="1"/>
  <c r="AO47" i="12"/>
  <c r="AN48" i="12"/>
  <c r="AN43" i="12" s="1"/>
  <c r="AV76" i="74"/>
  <c r="AV223" i="74" s="1"/>
  <c r="BF49" i="12" l="1"/>
  <c r="BG46" i="12" s="1"/>
  <c r="AP47" i="12"/>
  <c r="AO48" i="12"/>
  <c r="AO43" i="12" s="1"/>
  <c r="AW76" i="74"/>
  <c r="AW223" i="74" s="1"/>
  <c r="BG49" i="12" l="1"/>
  <c r="BH46" i="12" s="1"/>
  <c r="AQ47" i="12"/>
  <c r="AX76" i="74" s="1"/>
  <c r="AX223" i="74" s="1"/>
  <c r="AP48" i="12"/>
  <c r="BH49" i="12" l="1"/>
  <c r="BI46" i="12" s="1"/>
  <c r="AP43" i="12"/>
  <c r="AR47" i="12"/>
  <c r="AQ48" i="12"/>
  <c r="AQ43" i="12" s="1"/>
  <c r="BI49" i="12" l="1"/>
  <c r="BJ46" i="12" s="1"/>
  <c r="AS47" i="12"/>
  <c r="AR48" i="12"/>
  <c r="AR43" i="12" s="1"/>
  <c r="BJ49" i="12" l="1"/>
  <c r="BK46" i="12" s="1"/>
  <c r="AT47" i="12"/>
  <c r="AS48" i="12"/>
  <c r="AS43" i="12" s="1"/>
  <c r="BK49" i="12" l="1"/>
  <c r="BL46" i="12" s="1"/>
  <c r="AU47" i="12"/>
  <c r="AT48" i="12"/>
  <c r="AT43" i="12" s="1"/>
  <c r="BL49" i="12" l="1"/>
  <c r="BM46" i="12" s="1"/>
  <c r="AV47" i="12"/>
  <c r="AU48" i="12"/>
  <c r="AU43" i="12" s="1"/>
  <c r="BM49" i="12" l="1"/>
  <c r="BN46" i="12" s="1"/>
  <c r="AW47" i="12"/>
  <c r="AV48" i="12"/>
  <c r="AV43" i="12" s="1"/>
  <c r="BN49" i="12" l="1"/>
  <c r="BO46" i="12" s="1"/>
  <c r="AX47" i="12"/>
  <c r="AW48" i="12"/>
  <c r="AW43" i="12" s="1"/>
  <c r="BO49" i="12" l="1"/>
  <c r="AY47" i="12"/>
  <c r="AX48" i="12"/>
  <c r="AX43" i="12" s="1"/>
  <c r="AZ47" i="12" l="1"/>
  <c r="AY48" i="12"/>
  <c r="AY43" i="12" s="1"/>
  <c r="BA47" i="12" l="1"/>
  <c r="AZ48" i="12"/>
  <c r="AZ43" i="12" s="1"/>
  <c r="BB47" i="12" l="1"/>
  <c r="BA48" i="12"/>
  <c r="BA43" i="12" s="1"/>
  <c r="BC47" i="12" l="1"/>
  <c r="BB48" i="12"/>
  <c r="BB43" i="12" s="1"/>
  <c r="BD47" i="12" l="1"/>
  <c r="BC48" i="12"/>
  <c r="BC43" i="12" s="1"/>
  <c r="BE47" i="12" l="1"/>
  <c r="BD48" i="12"/>
  <c r="BD43" i="12" s="1"/>
  <c r="BF47" i="12" l="1"/>
  <c r="BE48" i="12"/>
  <c r="BE43" i="12" s="1"/>
  <c r="BG47" i="12" l="1"/>
  <c r="BF48" i="12"/>
  <c r="BF43" i="12" s="1"/>
  <c r="BH47" i="12" l="1"/>
  <c r="BG48" i="12"/>
  <c r="BG43" i="12" s="1"/>
  <c r="BI47" i="12" l="1"/>
  <c r="BH48" i="12"/>
  <c r="BH43" i="12" s="1"/>
  <c r="BJ47" i="12" l="1"/>
  <c r="BI48" i="12"/>
  <c r="BI43" i="12" s="1"/>
  <c r="BK47" i="12" l="1"/>
  <c r="BJ48" i="12"/>
  <c r="BJ43" i="12" s="1"/>
  <c r="BL47" i="12" l="1"/>
  <c r="BK48" i="12"/>
  <c r="BK43" i="12" s="1"/>
  <c r="BM47" i="12" l="1"/>
  <c r="BL48" i="12"/>
  <c r="BL43" i="12" s="1"/>
  <c r="BN47" i="12" l="1"/>
  <c r="BM48" i="12"/>
  <c r="BM43" i="12" s="1"/>
  <c r="BO47" i="12" l="1"/>
  <c r="BN48" i="12"/>
  <c r="BN43" i="12" s="1"/>
  <c r="BO48" i="12" l="1"/>
  <c r="AC26" i="82" l="1"/>
  <c r="AD26" i="82"/>
  <c r="AG76" i="74" s="1"/>
  <c r="AG223" i="74" s="1"/>
  <c r="D56" i="12"/>
  <c r="D78" i="12" s="1"/>
  <c r="BO43" i="12"/>
  <c r="D16" i="12" s="1"/>
  <c r="K323" i="74"/>
  <c r="K330" i="74" s="1"/>
  <c r="L323" i="74"/>
  <c r="L330" i="74" s="1"/>
  <c r="M323" i="74"/>
  <c r="M330" i="74" s="1"/>
  <c r="N323" i="74"/>
  <c r="N330" i="74" s="1"/>
  <c r="O323" i="74"/>
  <c r="O330" i="74" s="1"/>
  <c r="P323" i="74"/>
  <c r="P330" i="74" s="1"/>
  <c r="Q323" i="74"/>
  <c r="Q330" i="74" s="1"/>
  <c r="R323" i="74"/>
  <c r="R330" i="74" s="1"/>
  <c r="S323" i="74"/>
  <c r="S330" i="74" s="1"/>
  <c r="T76" i="74"/>
  <c r="T223" i="74" s="1"/>
  <c r="S76" i="74"/>
  <c r="S223" i="74" s="1"/>
  <c r="S221" i="74" s="1"/>
  <c r="S270" i="74" s="1"/>
  <c r="S284" i="74" s="1"/>
  <c r="P23" i="82"/>
  <c r="AA76" i="74"/>
  <c r="AA223" i="74" s="1"/>
  <c r="M23" i="82"/>
  <c r="O76" i="74"/>
  <c r="O223" i="74" s="1"/>
  <c r="O221" i="74" s="1"/>
  <c r="O270" i="74" s="1"/>
  <c r="O284" i="74" s="1"/>
  <c r="L23" i="82"/>
  <c r="G22" i="45"/>
  <c r="D63" i="54" s="1"/>
  <c r="AF76" i="74" l="1"/>
  <c r="AF223" i="74" s="1"/>
  <c r="E26" i="82"/>
  <c r="H76" i="74" s="1"/>
  <c r="H223" i="74" s="1"/>
  <c r="D26" i="82"/>
  <c r="G76" i="74" s="1"/>
  <c r="G223" i="74" s="1"/>
  <c r="O333" i="74"/>
  <c r="M333" i="74"/>
  <c r="N333" i="74"/>
  <c r="S333" i="74"/>
  <c r="P333" i="74"/>
  <c r="Q333" i="74"/>
  <c r="R333" i="74"/>
  <c r="L333" i="74"/>
  <c r="R331" i="74"/>
  <c r="R332" i="74"/>
  <c r="M331" i="74"/>
  <c r="M332" i="74"/>
  <c r="S331" i="74"/>
  <c r="S332" i="74"/>
  <c r="K331" i="74"/>
  <c r="K332" i="74"/>
  <c r="Q331" i="74"/>
  <c r="Q332" i="74"/>
  <c r="P331" i="74"/>
  <c r="J359" i="45" s="1"/>
  <c r="P332" i="74"/>
  <c r="O331" i="74"/>
  <c r="L359" i="45" s="1"/>
  <c r="O332" i="74"/>
  <c r="N331" i="74"/>
  <c r="N332" i="74"/>
  <c r="L331" i="74"/>
  <c r="L332" i="74"/>
  <c r="L479" i="45"/>
  <c r="H56" i="12"/>
  <c r="H7" i="12" s="1"/>
  <c r="L76" i="12"/>
  <c r="J204" i="45"/>
  <c r="O204" i="45"/>
  <c r="N204" i="45"/>
  <c r="L204" i="45"/>
  <c r="K204" i="45"/>
  <c r="Q204" i="45"/>
  <c r="S204" i="45"/>
  <c r="R204" i="45"/>
  <c r="H8" i="12"/>
  <c r="AM9" i="60"/>
  <c r="AM10" i="60" s="1"/>
  <c r="AQ9" i="60"/>
  <c r="AQ10" i="60" s="1"/>
  <c r="AU9" i="60"/>
  <c r="AU10" i="60" s="1"/>
  <c r="AL9" i="60"/>
  <c r="AL10" i="60" s="1"/>
  <c r="AN9" i="60"/>
  <c r="AN10" i="60" s="1"/>
  <c r="AT9" i="60"/>
  <c r="AT10" i="60" s="1"/>
  <c r="AV9" i="60"/>
  <c r="AV10" i="60" s="1"/>
  <c r="AK9" i="60"/>
  <c r="AK10" i="60" s="1"/>
  <c r="AO9" i="60"/>
  <c r="AO10" i="60" s="1"/>
  <c r="AR9" i="60"/>
  <c r="AR10" i="60" s="1"/>
  <c r="AW9" i="60"/>
  <c r="AW10" i="60" s="1"/>
  <c r="AS9" i="60"/>
  <c r="AS10" i="60" s="1"/>
  <c r="AP9" i="60"/>
  <c r="AP10" i="60" s="1"/>
  <c r="AX9" i="60"/>
  <c r="AX10" i="60" s="1"/>
  <c r="H78" i="12"/>
  <c r="H6" i="12" s="1"/>
  <c r="O358" i="45"/>
  <c r="K358" i="45"/>
  <c r="N358" i="45"/>
  <c r="J358" i="45"/>
  <c r="L358" i="45"/>
  <c r="J226" i="45"/>
  <c r="K226" i="45"/>
  <c r="P42" i="82"/>
  <c r="S74" i="74"/>
  <c r="O74" i="74"/>
  <c r="L42" i="82"/>
  <c r="P74" i="74"/>
  <c r="H5" i="12"/>
  <c r="AD9" i="60"/>
  <c r="AC17" i="60" s="1"/>
  <c r="AF11" i="58" s="1"/>
  <c r="AG9" i="60"/>
  <c r="AF17" i="60" s="1"/>
  <c r="Q9" i="60"/>
  <c r="AE9" i="60"/>
  <c r="AD17" i="60" s="1"/>
  <c r="AG11" i="58" s="1"/>
  <c r="O9" i="60"/>
  <c r="AC9" i="60"/>
  <c r="M9" i="60"/>
  <c r="Z9" i="60"/>
  <c r="J9" i="60"/>
  <c r="J10" i="60" s="1"/>
  <c r="Y9" i="60"/>
  <c r="I9" i="60"/>
  <c r="I10" i="60" s="1"/>
  <c r="W9" i="60"/>
  <c r="G9" i="60"/>
  <c r="G10" i="60" s="1"/>
  <c r="U9" i="60"/>
  <c r="E9" i="60"/>
  <c r="E10" i="60" s="1"/>
  <c r="AH9" i="60"/>
  <c r="AG17" i="60" s="1"/>
  <c r="R9" i="60"/>
  <c r="C9" i="60"/>
  <c r="C10" i="60" s="1"/>
  <c r="S9" i="60"/>
  <c r="F9" i="60"/>
  <c r="F10" i="60" s="1"/>
  <c r="AA9" i="60"/>
  <c r="N9" i="60"/>
  <c r="AI9" i="60"/>
  <c r="AH17" i="60" s="1"/>
  <c r="V9" i="60"/>
  <c r="H9" i="60"/>
  <c r="H10" i="60" s="1"/>
  <c r="D9" i="60"/>
  <c r="D10" i="60" s="1"/>
  <c r="P9" i="60"/>
  <c r="L9" i="60"/>
  <c r="X9" i="60"/>
  <c r="T9" i="60"/>
  <c r="AF9" i="60"/>
  <c r="AE17" i="60" s="1"/>
  <c r="AB9" i="60"/>
  <c r="K9" i="60"/>
  <c r="AJ9" i="60"/>
  <c r="AI17" i="60" s="1"/>
  <c r="G56" i="82" l="1"/>
  <c r="J323" i="74" s="1"/>
  <c r="AQ56" i="82"/>
  <c r="AT323" i="74" s="1"/>
  <c r="AT330" i="74" s="1"/>
  <c r="AR56" i="82"/>
  <c r="AU323" i="74" s="1"/>
  <c r="AU330" i="74" s="1"/>
  <c r="AS56" i="82"/>
  <c r="AV323" i="74" s="1"/>
  <c r="AV330" i="74" s="1"/>
  <c r="AT56" i="82"/>
  <c r="AW323" i="74" s="1"/>
  <c r="AW330" i="74" s="1"/>
  <c r="AU56" i="82"/>
  <c r="AX323" i="74" s="1"/>
  <c r="AX330" i="74" s="1"/>
  <c r="AV56" i="82"/>
  <c r="AY323" i="74" s="1"/>
  <c r="AW56" i="82"/>
  <c r="AZ323" i="74" s="1"/>
  <c r="Q56" i="82"/>
  <c r="T323" i="74" s="1"/>
  <c r="T330" i="74" s="1"/>
  <c r="T333" i="74" s="1"/>
  <c r="R56" i="82"/>
  <c r="U323" i="74" s="1"/>
  <c r="U330" i="74" s="1"/>
  <c r="S56" i="82"/>
  <c r="V323" i="74" s="1"/>
  <c r="V330" i="74" s="1"/>
  <c r="AN56" i="82"/>
  <c r="AQ323" i="74" s="1"/>
  <c r="AQ330" i="74" s="1"/>
  <c r="AO56" i="82"/>
  <c r="AR323" i="74" s="1"/>
  <c r="AR330" i="74" s="1"/>
  <c r="AP56" i="82"/>
  <c r="AS323" i="74" s="1"/>
  <c r="AS330" i="74" s="1"/>
  <c r="O359" i="45"/>
  <c r="N359" i="45"/>
  <c r="K359" i="45"/>
  <c r="T56" i="82"/>
  <c r="W323" i="74" s="1"/>
  <c r="W330" i="74" s="1"/>
  <c r="U56" i="82"/>
  <c r="X323" i="74" s="1"/>
  <c r="X330" i="74" s="1"/>
  <c r="V56" i="82"/>
  <c r="Y323" i="74" s="1"/>
  <c r="Y330" i="74" s="1"/>
  <c r="W56" i="82"/>
  <c r="Z323" i="74" s="1"/>
  <c r="Z330" i="74" s="1"/>
  <c r="X56" i="82"/>
  <c r="AA323" i="74" s="1"/>
  <c r="AA330" i="74" s="1"/>
  <c r="Y56" i="82"/>
  <c r="AB323" i="74" s="1"/>
  <c r="AB330" i="74" s="1"/>
  <c r="Z56" i="82"/>
  <c r="AC323" i="74" s="1"/>
  <c r="AC330" i="74" s="1"/>
  <c r="AA56" i="82"/>
  <c r="AD323" i="74" s="1"/>
  <c r="AD330" i="74" s="1"/>
  <c r="AB56" i="82"/>
  <c r="AE323" i="74" s="1"/>
  <c r="AE330" i="74" s="1"/>
  <c r="AC56" i="82"/>
  <c r="AF323" i="74" s="1"/>
  <c r="AF330" i="74" s="1"/>
  <c r="AD56" i="82"/>
  <c r="AG323" i="74" s="1"/>
  <c r="AG330" i="74" s="1"/>
  <c r="AE56" i="82"/>
  <c r="AH323" i="74" s="1"/>
  <c r="AH330" i="74" s="1"/>
  <c r="AF56" i="82"/>
  <c r="AI323" i="74" s="1"/>
  <c r="AI330" i="74" s="1"/>
  <c r="AG56" i="82"/>
  <c r="AJ323" i="74" s="1"/>
  <c r="AJ330" i="74" s="1"/>
  <c r="AH56" i="82"/>
  <c r="AK323" i="74" s="1"/>
  <c r="AK330" i="74" s="1"/>
  <c r="AI56" i="82"/>
  <c r="AL323" i="74" s="1"/>
  <c r="AL330" i="74" s="1"/>
  <c r="AJ56" i="82"/>
  <c r="AM323" i="74" s="1"/>
  <c r="AM330" i="74" s="1"/>
  <c r="AK56" i="82"/>
  <c r="AN323" i="74" s="1"/>
  <c r="AN330" i="74" s="1"/>
  <c r="AL56" i="82"/>
  <c r="AO323" i="74" s="1"/>
  <c r="AO330" i="74" s="1"/>
  <c r="AM56" i="82"/>
  <c r="AP323" i="74" s="1"/>
  <c r="AP330" i="74" s="1"/>
  <c r="L80" i="12"/>
  <c r="L7" i="12" s="1"/>
  <c r="L79" i="12"/>
  <c r="L6" i="12" s="1"/>
  <c r="G204" i="45"/>
  <c r="S205" i="45"/>
  <c r="O205" i="45"/>
  <c r="L205" i="45"/>
  <c r="J205" i="45"/>
  <c r="R205" i="45"/>
  <c r="N205" i="45"/>
  <c r="Q205" i="45"/>
  <c r="K205" i="45"/>
  <c r="P43" i="82"/>
  <c r="S92" i="74" s="1"/>
  <c r="S91" i="74"/>
  <c r="L43" i="82"/>
  <c r="O91" i="74"/>
  <c r="Z10" i="60"/>
  <c r="R17" i="60"/>
  <c r="C17" i="60"/>
  <c r="F11" i="58" s="1"/>
  <c r="K10" i="60"/>
  <c r="AI10" i="60"/>
  <c r="AA17" i="60"/>
  <c r="AD11" i="58" s="1"/>
  <c r="AH10" i="60"/>
  <c r="Z17" i="60"/>
  <c r="AC11" i="58" s="1"/>
  <c r="U10" i="60"/>
  <c r="M17" i="60"/>
  <c r="AC10" i="60"/>
  <c r="U17" i="60"/>
  <c r="X11" i="58" s="1"/>
  <c r="T10" i="60"/>
  <c r="L17" i="60"/>
  <c r="V10" i="60"/>
  <c r="N17" i="60"/>
  <c r="E17" i="60"/>
  <c r="M10" i="60"/>
  <c r="E16" i="60" s="1"/>
  <c r="AA10" i="60"/>
  <c r="S17" i="60"/>
  <c r="D17" i="60"/>
  <c r="L10" i="60"/>
  <c r="D16" i="60" s="1"/>
  <c r="AE10" i="60"/>
  <c r="W17" i="60"/>
  <c r="Z11" i="58" s="1"/>
  <c r="AB10" i="60"/>
  <c r="T17" i="60"/>
  <c r="AF10" i="60"/>
  <c r="X17" i="60"/>
  <c r="AA11" i="58" s="1"/>
  <c r="F17" i="60"/>
  <c r="N10" i="60"/>
  <c r="F16" i="60" s="1"/>
  <c r="S10" i="60"/>
  <c r="K17" i="60"/>
  <c r="Q10" i="60"/>
  <c r="I16" i="60" s="1"/>
  <c r="I17" i="60"/>
  <c r="R10" i="60"/>
  <c r="J17" i="60"/>
  <c r="X10" i="60"/>
  <c r="P17" i="60"/>
  <c r="G17" i="60"/>
  <c r="O10" i="60"/>
  <c r="G16" i="60" s="1"/>
  <c r="W10" i="60"/>
  <c r="O17" i="60"/>
  <c r="P10" i="60"/>
  <c r="H16" i="60" s="1"/>
  <c r="H17" i="60"/>
  <c r="AJ10" i="60"/>
  <c r="AB17" i="60"/>
  <c r="AE11" i="58" s="1"/>
  <c r="Y10" i="60"/>
  <c r="Q17" i="60"/>
  <c r="AG10" i="60"/>
  <c r="Y17" i="60"/>
  <c r="AB11" i="58" s="1"/>
  <c r="AD10" i="60"/>
  <c r="V17" i="60"/>
  <c r="Y11" i="58" s="1"/>
  <c r="BA333" i="74" l="1"/>
  <c r="AZ330" i="74"/>
  <c r="AZ333" i="74" s="1"/>
  <c r="G41" i="55"/>
  <c r="F8" i="58"/>
  <c r="AX333" i="74"/>
  <c r="AN333" i="74"/>
  <c r="AP333" i="74"/>
  <c r="AU333" i="74"/>
  <c r="AF333" i="74"/>
  <c r="X333" i="74"/>
  <c r="AJ333" i="74"/>
  <c r="AH333" i="74"/>
  <c r="U333" i="74"/>
  <c r="AB333" i="74"/>
  <c r="AM333" i="74"/>
  <c r="V333" i="74"/>
  <c r="AL333" i="74"/>
  <c r="AR333" i="74"/>
  <c r="AD333" i="74"/>
  <c r="AA333" i="74"/>
  <c r="AT333" i="74"/>
  <c r="AE333" i="74"/>
  <c r="AV333" i="74"/>
  <c r="AG333" i="74"/>
  <c r="AO333" i="74"/>
  <c r="AI333" i="74"/>
  <c r="W333" i="74"/>
  <c r="AS333" i="74"/>
  <c r="AC333" i="74"/>
  <c r="AY330" i="74"/>
  <c r="AY333" i="74" s="1"/>
  <c r="Y333" i="74"/>
  <c r="AK333" i="74"/>
  <c r="Z333" i="74"/>
  <c r="AQ333" i="74"/>
  <c r="AW333" i="74"/>
  <c r="J330" i="74"/>
  <c r="L334" i="74" s="1"/>
  <c r="K333" i="74"/>
  <c r="AJ331" i="74"/>
  <c r="AJ332" i="74"/>
  <c r="AL331" i="74"/>
  <c r="AL332" i="74"/>
  <c r="AI331" i="74"/>
  <c r="AI332" i="74"/>
  <c r="AE331" i="74"/>
  <c r="AE332" i="74"/>
  <c r="AC331" i="74"/>
  <c r="AC332" i="74"/>
  <c r="AP331" i="74"/>
  <c r="AP332" i="74"/>
  <c r="Z331" i="74"/>
  <c r="Z332" i="74"/>
  <c r="AX331" i="74"/>
  <c r="AX332" i="74"/>
  <c r="AQ331" i="74"/>
  <c r="AQ332" i="74"/>
  <c r="AW331" i="74"/>
  <c r="AW332" i="74"/>
  <c r="AN331" i="74"/>
  <c r="AN332" i="74"/>
  <c r="K480" i="45" s="1"/>
  <c r="T331" i="74"/>
  <c r="T332" i="74"/>
  <c r="L480" i="45" s="1"/>
  <c r="AK331" i="74"/>
  <c r="AK332" i="74"/>
  <c r="AD331" i="74"/>
  <c r="AD332" i="74"/>
  <c r="AO331" i="74"/>
  <c r="AO332" i="74"/>
  <c r="AR331" i="74"/>
  <c r="AR332" i="74"/>
  <c r="AV331" i="74"/>
  <c r="AV332" i="74"/>
  <c r="AM331" i="74"/>
  <c r="AM332" i="74"/>
  <c r="Y331" i="74"/>
  <c r="Y332" i="74"/>
  <c r="AG331" i="74"/>
  <c r="AG332" i="74"/>
  <c r="AF331" i="74"/>
  <c r="AF332" i="74"/>
  <c r="AU331" i="74"/>
  <c r="AU332" i="74"/>
  <c r="AB331" i="74"/>
  <c r="AB332" i="74"/>
  <c r="J480" i="45" s="1"/>
  <c r="AS331" i="74"/>
  <c r="AS332" i="74"/>
  <c r="X331" i="74"/>
  <c r="X332" i="74"/>
  <c r="AA331" i="74"/>
  <c r="AA332" i="74"/>
  <c r="W331" i="74"/>
  <c r="W332" i="74"/>
  <c r="AH331" i="74"/>
  <c r="AH332" i="74"/>
  <c r="AT331" i="74"/>
  <c r="AT332" i="74"/>
  <c r="V331" i="74"/>
  <c r="V332" i="74"/>
  <c r="U331" i="74"/>
  <c r="U332" i="74"/>
  <c r="G205" i="45"/>
  <c r="R215" i="45"/>
  <c r="Q215" i="45"/>
  <c r="S215" i="45"/>
  <c r="S216" i="45"/>
  <c r="Q216" i="45"/>
  <c r="R216" i="45"/>
  <c r="O215" i="45"/>
  <c r="N215" i="45"/>
  <c r="O216" i="45"/>
  <c r="N216" i="45"/>
  <c r="L215" i="45"/>
  <c r="K215" i="45"/>
  <c r="L216" i="45"/>
  <c r="K216" i="45"/>
  <c r="J216" i="45"/>
  <c r="J215" i="45"/>
  <c r="J479" i="45"/>
  <c r="R226" i="45"/>
  <c r="N226" i="45"/>
  <c r="Q226" i="45"/>
  <c r="S226" i="45"/>
  <c r="K479" i="45"/>
  <c r="O226" i="45"/>
  <c r="O479" i="45"/>
  <c r="N479" i="45"/>
  <c r="O92" i="74"/>
  <c r="Q16" i="60"/>
  <c r="T10" i="58" s="1"/>
  <c r="T16" i="60"/>
  <c r="W10" i="58" s="1"/>
  <c r="J16" i="60"/>
  <c r="M10" i="58" s="1"/>
  <c r="K16" i="60"/>
  <c r="N10" i="58" s="1"/>
  <c r="L16" i="60"/>
  <c r="O10" i="58" s="1"/>
  <c r="S16" i="60"/>
  <c r="V10" i="58" s="1"/>
  <c r="P16" i="60"/>
  <c r="S10" i="58" s="1"/>
  <c r="W16" i="60"/>
  <c r="Z10" i="58" s="1"/>
  <c r="AD16" i="60"/>
  <c r="AG10" i="58" s="1"/>
  <c r="N16" i="60"/>
  <c r="Z16" i="60"/>
  <c r="AC10" i="58" s="1"/>
  <c r="AG16" i="60"/>
  <c r="AA16" i="60"/>
  <c r="AD10" i="58" s="1"/>
  <c r="AH16" i="60"/>
  <c r="U16" i="60"/>
  <c r="X10" i="58" s="1"/>
  <c r="AB16" i="60"/>
  <c r="AE10" i="58" s="1"/>
  <c r="AI16" i="60"/>
  <c r="V16" i="60"/>
  <c r="Y10" i="58" s="1"/>
  <c r="AC16" i="60"/>
  <c r="AF10" i="58" s="1"/>
  <c r="X16" i="60"/>
  <c r="AA10" i="58" s="1"/>
  <c r="AE16" i="60"/>
  <c r="Y16" i="60"/>
  <c r="AB10" i="58" s="1"/>
  <c r="AF16" i="60"/>
  <c r="O16" i="60"/>
  <c r="R10" i="58" s="1"/>
  <c r="M16" i="60"/>
  <c r="P10" i="58" s="1"/>
  <c r="R16" i="60"/>
  <c r="T11" i="58"/>
  <c r="Q11" i="58"/>
  <c r="S11" i="58"/>
  <c r="V11" i="58"/>
  <c r="R11" i="58"/>
  <c r="W11" i="58"/>
  <c r="U11" i="58"/>
  <c r="L10" i="58"/>
  <c r="J10" i="58"/>
  <c r="N11" i="58"/>
  <c r="J11" i="58"/>
  <c r="O11" i="58"/>
  <c r="I10" i="58"/>
  <c r="I11" i="58"/>
  <c r="K11" i="58"/>
  <c r="M11" i="58"/>
  <c r="K10" i="58"/>
  <c r="L11" i="58"/>
  <c r="H10" i="58"/>
  <c r="P11" i="58"/>
  <c r="H11" i="58"/>
  <c r="G80" i="55" l="1"/>
  <c r="AZ332" i="74"/>
  <c r="AZ331" i="74"/>
  <c r="G79" i="55"/>
  <c r="G56" i="55"/>
  <c r="J46" i="74"/>
  <c r="J256" i="74" s="1"/>
  <c r="J254" i="74" s="1"/>
  <c r="J253" i="74" s="1"/>
  <c r="G39" i="55"/>
  <c r="AI334" i="74"/>
  <c r="J332" i="74"/>
  <c r="AS334" i="74"/>
  <c r="M334" i="74"/>
  <c r="K334" i="74"/>
  <c r="AV334" i="74"/>
  <c r="AC334" i="74"/>
  <c r="AL334" i="74"/>
  <c r="Q334" i="74"/>
  <c r="AW334" i="74"/>
  <c r="AK334" i="74"/>
  <c r="T334" i="74"/>
  <c r="J331" i="74"/>
  <c r="AJ334" i="74"/>
  <c r="N334" i="74"/>
  <c r="U334" i="74"/>
  <c r="R334" i="74"/>
  <c r="P334" i="74"/>
  <c r="AB334" i="74"/>
  <c r="AD334" i="74"/>
  <c r="Z334" i="74"/>
  <c r="S76" i="45" s="1"/>
  <c r="AY334" i="74"/>
  <c r="N480" i="45"/>
  <c r="O480" i="45"/>
  <c r="BC334" i="74"/>
  <c r="AQ334" i="74"/>
  <c r="AA334" i="74"/>
  <c r="AP334" i="74"/>
  <c r="BE334" i="74"/>
  <c r="AZ334" i="74"/>
  <c r="BD334" i="74"/>
  <c r="AM334" i="74"/>
  <c r="AT334" i="74"/>
  <c r="S334" i="74"/>
  <c r="AE334" i="74"/>
  <c r="AH334" i="74"/>
  <c r="AU334" i="74"/>
  <c r="J334" i="74"/>
  <c r="BA334" i="74"/>
  <c r="AR334" i="74"/>
  <c r="W334" i="74"/>
  <c r="AF334" i="74"/>
  <c r="AY332" i="74"/>
  <c r="AG334" i="74"/>
  <c r="BB334" i="74"/>
  <c r="X334" i="74"/>
  <c r="AO334" i="74"/>
  <c r="AY331" i="74"/>
  <c r="V334" i="74"/>
  <c r="AX334" i="74"/>
  <c r="AN334" i="74"/>
  <c r="Y334" i="74"/>
  <c r="O334" i="74"/>
  <c r="N76" i="45" s="1"/>
  <c r="J333" i="74"/>
  <c r="G215" i="45"/>
  <c r="G216" i="45"/>
  <c r="O227" i="45"/>
  <c r="N227" i="45"/>
  <c r="R227" i="45"/>
  <c r="Q227" i="45"/>
  <c r="S227" i="45"/>
  <c r="O76" i="45"/>
  <c r="J227" i="45"/>
  <c r="K227" i="45"/>
  <c r="AG8" i="58"/>
  <c r="AH41" i="55"/>
  <c r="AH80" i="55" s="1"/>
  <c r="AC8" i="58"/>
  <c r="AD41" i="55"/>
  <c r="AD80" i="55" s="1"/>
  <c r="AA41" i="55"/>
  <c r="AA80" i="55" s="1"/>
  <c r="Z8" i="58"/>
  <c r="AF8" i="58"/>
  <c r="AG41" i="55"/>
  <c r="AG80" i="55" s="1"/>
  <c r="AE8" i="58"/>
  <c r="AF41" i="55"/>
  <c r="AF80" i="55" s="1"/>
  <c r="AB8" i="58"/>
  <c r="AC41" i="55"/>
  <c r="AC80" i="55" s="1"/>
  <c r="X8" i="58"/>
  <c r="Y41" i="55"/>
  <c r="Y80" i="55" s="1"/>
  <c r="AA8" i="58"/>
  <c r="AB41" i="55"/>
  <c r="AB80" i="55" s="1"/>
  <c r="Z41" i="55"/>
  <c r="Z80" i="55" s="1"/>
  <c r="Y8" i="58"/>
  <c r="AD8" i="58"/>
  <c r="AE41" i="55"/>
  <c r="AE80" i="55" s="1"/>
  <c r="P8" i="58"/>
  <c r="I8" i="58"/>
  <c r="T8" i="58"/>
  <c r="S8" i="58"/>
  <c r="K8" i="58"/>
  <c r="L8" i="58"/>
  <c r="W8" i="58"/>
  <c r="R8" i="58"/>
  <c r="H8" i="58"/>
  <c r="V8" i="58"/>
  <c r="O8" i="58"/>
  <c r="N8" i="58"/>
  <c r="M8" i="58"/>
  <c r="J8" i="58"/>
  <c r="Q10" i="58"/>
  <c r="Q8" i="58" s="1"/>
  <c r="U10" i="58"/>
  <c r="U8" i="58" s="1"/>
  <c r="W41" i="55"/>
  <c r="W80" i="55" s="1"/>
  <c r="U41" i="55"/>
  <c r="U80" i="55" s="1"/>
  <c r="T41" i="55"/>
  <c r="T80" i="55" s="1"/>
  <c r="S41" i="55"/>
  <c r="S80" i="55" s="1"/>
  <c r="X41" i="55"/>
  <c r="X80" i="55" s="1"/>
  <c r="J41" i="55"/>
  <c r="J80" i="55" s="1"/>
  <c r="Q41" i="55"/>
  <c r="Q80" i="55" s="1"/>
  <c r="L41" i="55"/>
  <c r="L80" i="55" s="1"/>
  <c r="D11" i="58"/>
  <c r="P41" i="55"/>
  <c r="P80" i="55" s="1"/>
  <c r="K41" i="55"/>
  <c r="K80" i="55" s="1"/>
  <c r="N41" i="55"/>
  <c r="N80" i="55" s="1"/>
  <c r="O41" i="55"/>
  <c r="O80" i="55" s="1"/>
  <c r="M41" i="55"/>
  <c r="M80" i="55" s="1"/>
  <c r="I41" i="55"/>
  <c r="I80" i="55" s="1"/>
  <c r="J16" i="74" l="1"/>
  <c r="J44" i="74"/>
  <c r="L76" i="45"/>
  <c r="S358" i="45"/>
  <c r="Q479" i="45"/>
  <c r="R480" i="45"/>
  <c r="S359" i="45"/>
  <c r="S479" i="45"/>
  <c r="R479" i="45"/>
  <c r="Q358" i="45"/>
  <c r="G358" i="45" s="1"/>
  <c r="D12" i="93" s="1"/>
  <c r="Q480" i="45"/>
  <c r="R358" i="45"/>
  <c r="L226" i="45"/>
  <c r="G226" i="45" s="1"/>
  <c r="D14" i="71" s="1"/>
  <c r="Q359" i="45"/>
  <c r="G359" i="45" s="1"/>
  <c r="D13" i="93" s="1"/>
  <c r="R359" i="45"/>
  <c r="S480" i="45"/>
  <c r="L227" i="45"/>
  <c r="G227" i="45" s="1"/>
  <c r="O79" i="55"/>
  <c r="R16" i="74"/>
  <c r="X79" i="55"/>
  <c r="AA16" i="74"/>
  <c r="Z79" i="55"/>
  <c r="AC16" i="74"/>
  <c r="AB79" i="55"/>
  <c r="AE16" i="74"/>
  <c r="AH79" i="55"/>
  <c r="AK16" i="74"/>
  <c r="AG79" i="55"/>
  <c r="AJ16" i="74"/>
  <c r="K79" i="55"/>
  <c r="N16" i="74"/>
  <c r="T79" i="55"/>
  <c r="W16" i="74"/>
  <c r="N79" i="55"/>
  <c r="Q16" i="74"/>
  <c r="P79" i="55"/>
  <c r="S16" i="74"/>
  <c r="U79" i="55"/>
  <c r="X16" i="74"/>
  <c r="Y79" i="55"/>
  <c r="AB16" i="74"/>
  <c r="S79" i="55"/>
  <c r="V16" i="74"/>
  <c r="W79" i="55"/>
  <c r="Z16" i="74"/>
  <c r="AA79" i="55"/>
  <c r="AD16" i="74"/>
  <c r="AE79" i="55"/>
  <c r="AH16" i="74"/>
  <c r="AC79" i="55"/>
  <c r="AF16" i="74"/>
  <c r="AD79" i="55"/>
  <c r="AG16" i="74"/>
  <c r="Q79" i="55"/>
  <c r="T16" i="74"/>
  <c r="L79" i="55"/>
  <c r="O16" i="74"/>
  <c r="I79" i="55"/>
  <c r="L16" i="74"/>
  <c r="M79" i="55"/>
  <c r="P16" i="74"/>
  <c r="J79" i="55"/>
  <c r="M16" i="74"/>
  <c r="AF79" i="55"/>
  <c r="AI16" i="74"/>
  <c r="G86" i="55"/>
  <c r="J15" i="74"/>
  <c r="Q76" i="45"/>
  <c r="K76" i="45"/>
  <c r="R76" i="45"/>
  <c r="J76" i="45"/>
  <c r="AE46" i="74"/>
  <c r="AE256" i="74" s="1"/>
  <c r="AE254" i="74" s="1"/>
  <c r="AB56" i="55"/>
  <c r="AB55" i="55" s="1"/>
  <c r="AB39" i="55"/>
  <c r="AG56" i="55"/>
  <c r="AG55" i="55" s="1"/>
  <c r="AJ46" i="74"/>
  <c r="AJ256" i="74" s="1"/>
  <c r="AJ254" i="74" s="1"/>
  <c r="AG39" i="55"/>
  <c r="AB46" i="74"/>
  <c r="AB256" i="74" s="1"/>
  <c r="AB254" i="74" s="1"/>
  <c r="Y56" i="55"/>
  <c r="Y55" i="55" s="1"/>
  <c r="Y39" i="55"/>
  <c r="AF56" i="55"/>
  <c r="AF55" i="55" s="1"/>
  <c r="AI46" i="74"/>
  <c r="AI256" i="74" s="1"/>
  <c r="AI254" i="74" s="1"/>
  <c r="AF39" i="55"/>
  <c r="AD46" i="74"/>
  <c r="AD256" i="74" s="1"/>
  <c r="AD254" i="74" s="1"/>
  <c r="AA56" i="55"/>
  <c r="AA55" i="55" s="1"/>
  <c r="AA39" i="55"/>
  <c r="AG46" i="74"/>
  <c r="AG256" i="74" s="1"/>
  <c r="AG254" i="74" s="1"/>
  <c r="AD56" i="55"/>
  <c r="AD55" i="55" s="1"/>
  <c r="AD39" i="55"/>
  <c r="AE56" i="55"/>
  <c r="AE55" i="55" s="1"/>
  <c r="AH46" i="74"/>
  <c r="AH256" i="74" s="1"/>
  <c r="AH254" i="74" s="1"/>
  <c r="AE39" i="55"/>
  <c r="AK46" i="74"/>
  <c r="AK256" i="74" s="1"/>
  <c r="AK254" i="74" s="1"/>
  <c r="AH56" i="55"/>
  <c r="AH55" i="55" s="1"/>
  <c r="AH39" i="55"/>
  <c r="Z56" i="55"/>
  <c r="Z55" i="55" s="1"/>
  <c r="Z39" i="55"/>
  <c r="AC46" i="74"/>
  <c r="AC256" i="74" s="1"/>
  <c r="AC254" i="74" s="1"/>
  <c r="AC39" i="55"/>
  <c r="AF46" i="74"/>
  <c r="AF256" i="74" s="1"/>
  <c r="AF254" i="74" s="1"/>
  <c r="AC56" i="55"/>
  <c r="AC55" i="55" s="1"/>
  <c r="M46" i="74"/>
  <c r="M256" i="74" s="1"/>
  <c r="J39" i="55"/>
  <c r="O46" i="74"/>
  <c r="O256" i="74" s="1"/>
  <c r="L39" i="55"/>
  <c r="L46" i="74"/>
  <c r="L256" i="74" s="1"/>
  <c r="I39" i="55"/>
  <c r="L44" i="74" s="1"/>
  <c r="R46" i="74"/>
  <c r="R256" i="74" s="1"/>
  <c r="O39" i="55"/>
  <c r="V46" i="74"/>
  <c r="V256" i="74" s="1"/>
  <c r="V254" i="74" s="1"/>
  <c r="S39" i="55"/>
  <c r="N46" i="74"/>
  <c r="N256" i="74" s="1"/>
  <c r="K39" i="55"/>
  <c r="Q46" i="74"/>
  <c r="Q256" i="74" s="1"/>
  <c r="N39" i="55"/>
  <c r="W46" i="74"/>
  <c r="W256" i="74" s="1"/>
  <c r="W254" i="74" s="1"/>
  <c r="T39" i="55"/>
  <c r="S46" i="74"/>
  <c r="S256" i="74" s="1"/>
  <c r="P39" i="55"/>
  <c r="X46" i="74"/>
  <c r="X256" i="74" s="1"/>
  <c r="X254" i="74" s="1"/>
  <c r="U39" i="55"/>
  <c r="T46" i="74"/>
  <c r="T256" i="74" s="1"/>
  <c r="T254" i="74" s="1"/>
  <c r="Q39" i="55"/>
  <c r="P46" i="74"/>
  <c r="P256" i="74" s="1"/>
  <c r="M39" i="55"/>
  <c r="AA46" i="74"/>
  <c r="AA256" i="74" s="1"/>
  <c r="AA254" i="74" s="1"/>
  <c r="X39" i="55"/>
  <c r="Z46" i="74"/>
  <c r="Z256" i="74" s="1"/>
  <c r="Z254" i="74" s="1"/>
  <c r="W39" i="55"/>
  <c r="V41" i="55"/>
  <c r="R41" i="55"/>
  <c r="R80" i="55" s="1"/>
  <c r="D10" i="58"/>
  <c r="X56" i="55"/>
  <c r="X55" i="55" s="1"/>
  <c r="T56" i="55"/>
  <c r="T55" i="55" s="1"/>
  <c r="U56" i="55"/>
  <c r="U55" i="55" s="1"/>
  <c r="S56" i="55"/>
  <c r="S55" i="55" s="1"/>
  <c r="W56" i="55"/>
  <c r="W55" i="55" s="1"/>
  <c r="Q56" i="55"/>
  <c r="I56" i="55"/>
  <c r="M56" i="55"/>
  <c r="M55" i="55" s="1"/>
  <c r="L56" i="55"/>
  <c r="O56" i="55"/>
  <c r="O55" i="55" s="1"/>
  <c r="K56" i="55"/>
  <c r="N56" i="55"/>
  <c r="N55" i="55" s="1"/>
  <c r="P56" i="55"/>
  <c r="P55" i="55" s="1"/>
  <c r="J56" i="55"/>
  <c r="J22" i="74" l="1"/>
  <c r="D41" i="55"/>
  <c r="E41" i="55"/>
  <c r="G480" i="45"/>
  <c r="D13" i="70" s="1"/>
  <c r="D37" i="70" s="1"/>
  <c r="G479" i="45"/>
  <c r="D12" i="70" s="1"/>
  <c r="D35" i="93"/>
  <c r="D38" i="93"/>
  <c r="D37" i="93"/>
  <c r="L34" i="93"/>
  <c r="G85" i="55"/>
  <c r="AF86" i="55"/>
  <c r="AI15" i="74"/>
  <c r="L86" i="55"/>
  <c r="O15" i="74"/>
  <c r="AE86" i="55"/>
  <c r="AH15" i="74"/>
  <c r="Y86" i="55"/>
  <c r="AB15" i="74"/>
  <c r="T86" i="55"/>
  <c r="W15" i="74"/>
  <c r="AB86" i="55"/>
  <c r="AE15" i="74"/>
  <c r="J86" i="55"/>
  <c r="M15" i="74"/>
  <c r="Q86" i="55"/>
  <c r="T15" i="74"/>
  <c r="AA86" i="55"/>
  <c r="AD15" i="74"/>
  <c r="U86" i="55"/>
  <c r="X15" i="74"/>
  <c r="K86" i="55"/>
  <c r="N15" i="74"/>
  <c r="Z86" i="55"/>
  <c r="AC15" i="74"/>
  <c r="R79" i="55"/>
  <c r="U16" i="74"/>
  <c r="M86" i="55"/>
  <c r="P15" i="74"/>
  <c r="AD86" i="55"/>
  <c r="AG15" i="74"/>
  <c r="W86" i="55"/>
  <c r="Z15" i="74"/>
  <c r="P86" i="55"/>
  <c r="S15" i="74"/>
  <c r="AG86" i="55"/>
  <c r="AJ15" i="74"/>
  <c r="X86" i="55"/>
  <c r="AA15" i="74"/>
  <c r="I86" i="55"/>
  <c r="L15" i="74"/>
  <c r="AC86" i="55"/>
  <c r="AF15" i="74"/>
  <c r="S86" i="55"/>
  <c r="V15" i="74"/>
  <c r="N86" i="55"/>
  <c r="Q15" i="74"/>
  <c r="AH86" i="55"/>
  <c r="AK15" i="74"/>
  <c r="O86" i="55"/>
  <c r="R15" i="74"/>
  <c r="V39" i="55"/>
  <c r="V80" i="55"/>
  <c r="E80" i="55" s="1"/>
  <c r="G76" i="45"/>
  <c r="D39" i="54" s="1"/>
  <c r="Q254" i="74"/>
  <c r="P254" i="74"/>
  <c r="M254" i="74"/>
  <c r="M253" i="74" s="1"/>
  <c r="N254" i="74"/>
  <c r="N253" i="74" s="1"/>
  <c r="S254" i="74"/>
  <c r="AA253" i="74"/>
  <c r="R254" i="74"/>
  <c r="L254" i="74"/>
  <c r="L253" i="74" s="1"/>
  <c r="Z253" i="74"/>
  <c r="O254" i="74"/>
  <c r="O253" i="74" s="1"/>
  <c r="D15" i="71"/>
  <c r="L49" i="71" s="1"/>
  <c r="L53" i="71" s="1"/>
  <c r="H16" i="71" s="1"/>
  <c r="G26" i="55"/>
  <c r="P17" i="56"/>
  <c r="Q29" i="55" s="1"/>
  <c r="T34" i="74" s="1"/>
  <c r="T178" i="74" s="1"/>
  <c r="K17" i="56"/>
  <c r="L29" i="55" s="1"/>
  <c r="O34" i="74" s="1"/>
  <c r="O178" i="74" s="1"/>
  <c r="AC253" i="74"/>
  <c r="AG44" i="74"/>
  <c r="AF253" i="74"/>
  <c r="AI253" i="74"/>
  <c r="AC44" i="74"/>
  <c r="AB44" i="74"/>
  <c r="AG253" i="74"/>
  <c r="AI44" i="74"/>
  <c r="AK44" i="74"/>
  <c r="AB253" i="74"/>
  <c r="AJ44" i="74"/>
  <c r="AK253" i="74"/>
  <c r="AJ253" i="74"/>
  <c r="AH44" i="74"/>
  <c r="AH253" i="74"/>
  <c r="AD44" i="74"/>
  <c r="AE44" i="74"/>
  <c r="AF44" i="74"/>
  <c r="AD253" i="74"/>
  <c r="AE253" i="74"/>
  <c r="V253" i="74"/>
  <c r="X253" i="74"/>
  <c r="W253" i="74"/>
  <c r="U46" i="74"/>
  <c r="U256" i="74" s="1"/>
  <c r="U254" i="74" s="1"/>
  <c r="R39" i="55"/>
  <c r="E39" i="55" s="1"/>
  <c r="T253" i="74"/>
  <c r="N44" i="74"/>
  <c r="X44" i="74"/>
  <c r="T44" i="74"/>
  <c r="V56" i="55"/>
  <c r="V55" i="55" s="1"/>
  <c r="Y46" i="74"/>
  <c r="Y256" i="74" s="1"/>
  <c r="Y254" i="74" s="1"/>
  <c r="M44" i="74"/>
  <c r="S44" i="74"/>
  <c r="O44" i="74"/>
  <c r="Z44" i="74"/>
  <c r="AA44" i="74"/>
  <c r="W44" i="74"/>
  <c r="Q44" i="74"/>
  <c r="R44" i="74"/>
  <c r="P44" i="74"/>
  <c r="V44" i="74"/>
  <c r="R56" i="55"/>
  <c r="R55" i="55" s="1"/>
  <c r="G46" i="74"/>
  <c r="G256" i="74" s="1"/>
  <c r="G254" i="74" s="1"/>
  <c r="D8" i="58"/>
  <c r="J21" i="74" l="1"/>
  <c r="J282" i="74" s="1"/>
  <c r="K287" i="74" s="1"/>
  <c r="K292" i="74" s="1"/>
  <c r="D38" i="70"/>
  <c r="D35" i="70"/>
  <c r="H16" i="74"/>
  <c r="D80" i="55"/>
  <c r="G16" i="74" s="1"/>
  <c r="D56" i="55"/>
  <c r="D39" i="55"/>
  <c r="G44" i="74" s="1"/>
  <c r="L34" i="70"/>
  <c r="L37" i="70" s="1"/>
  <c r="H13" i="70" s="1"/>
  <c r="O489" i="45" s="1"/>
  <c r="E56" i="55"/>
  <c r="G25" i="55"/>
  <c r="H35" i="93"/>
  <c r="L38" i="93"/>
  <c r="H13" i="93" s="1"/>
  <c r="L37" i="93"/>
  <c r="H12" i="93" s="1"/>
  <c r="G88" i="55"/>
  <c r="G89" i="55"/>
  <c r="J25" i="74" s="1"/>
  <c r="H89" i="55"/>
  <c r="K25" i="74" s="1"/>
  <c r="AD85" i="55"/>
  <c r="AG22" i="74"/>
  <c r="N85" i="55"/>
  <c r="Q22" i="74"/>
  <c r="V79" i="55"/>
  <c r="Y15" i="74" s="1"/>
  <c r="Y16" i="74"/>
  <c r="S85" i="55"/>
  <c r="V22" i="74"/>
  <c r="AG85" i="55"/>
  <c r="AJ22" i="74"/>
  <c r="M85" i="55"/>
  <c r="P22" i="74"/>
  <c r="K85" i="55"/>
  <c r="N22" i="74"/>
  <c r="J85" i="55"/>
  <c r="M22" i="74"/>
  <c r="AE85" i="55"/>
  <c r="AH22" i="74"/>
  <c r="Z85" i="55"/>
  <c r="AC22" i="74"/>
  <c r="Q85" i="55"/>
  <c r="T22" i="74"/>
  <c r="O85" i="55"/>
  <c r="R22" i="74"/>
  <c r="AC85" i="55"/>
  <c r="AF22" i="74"/>
  <c r="P85" i="55"/>
  <c r="S22" i="74"/>
  <c r="U85" i="55"/>
  <c r="X22" i="74"/>
  <c r="AB85" i="55"/>
  <c r="AE22" i="74"/>
  <c r="L85" i="55"/>
  <c r="O22" i="74"/>
  <c r="Y85" i="55"/>
  <c r="AB22" i="74"/>
  <c r="X85" i="55"/>
  <c r="AA22" i="74"/>
  <c r="AH85" i="55"/>
  <c r="AK22" i="74"/>
  <c r="I85" i="55"/>
  <c r="L22" i="74"/>
  <c r="W85" i="55"/>
  <c r="Z22" i="74"/>
  <c r="R86" i="55"/>
  <c r="U15" i="74"/>
  <c r="AA85" i="55"/>
  <c r="AD22" i="74"/>
  <c r="T85" i="55"/>
  <c r="W22" i="74"/>
  <c r="AF85" i="55"/>
  <c r="AI22" i="74"/>
  <c r="Q253" i="74"/>
  <c r="R253" i="74"/>
  <c r="P253" i="74"/>
  <c r="U253" i="74"/>
  <c r="S253" i="74"/>
  <c r="H35" i="70"/>
  <c r="H36" i="70" s="1"/>
  <c r="H10" i="70" s="1"/>
  <c r="Q485" i="45" s="1"/>
  <c r="D50" i="71"/>
  <c r="D53" i="71"/>
  <c r="D52" i="71"/>
  <c r="L52" i="71"/>
  <c r="H15" i="71" s="1"/>
  <c r="E42" i="54"/>
  <c r="E43" i="54"/>
  <c r="E40" i="54"/>
  <c r="F13" i="56"/>
  <c r="F12" i="56" s="1"/>
  <c r="J31" i="74"/>
  <c r="J176" i="74" s="1"/>
  <c r="J175" i="74" s="1"/>
  <c r="S244" i="45"/>
  <c r="R244" i="45"/>
  <c r="Q244" i="45"/>
  <c r="O244" i="45"/>
  <c r="N244" i="45"/>
  <c r="J244" i="45"/>
  <c r="L244" i="45"/>
  <c r="K244" i="45"/>
  <c r="BA156" i="74"/>
  <c r="BA251" i="74" s="1"/>
  <c r="BA242" i="74" s="1"/>
  <c r="AX20" i="76"/>
  <c r="C100" i="55"/>
  <c r="C106" i="55" s="1"/>
  <c r="H46" i="74"/>
  <c r="H256" i="74" s="1"/>
  <c r="H254" i="74" s="1"/>
  <c r="G312" i="74" s="1"/>
  <c r="H312" i="74" s="1"/>
  <c r="Y253" i="74"/>
  <c r="Y44" i="74"/>
  <c r="G253" i="74"/>
  <c r="U44" i="74"/>
  <c r="H44" i="74"/>
  <c r="J287" i="74" l="1"/>
  <c r="J292" i="74" s="1"/>
  <c r="N489" i="45"/>
  <c r="J489" i="45"/>
  <c r="E45" i="54"/>
  <c r="L489" i="45"/>
  <c r="K489" i="45"/>
  <c r="L38" i="70"/>
  <c r="H14" i="70" s="1"/>
  <c r="Q490" i="45" s="1"/>
  <c r="R489" i="45"/>
  <c r="S489" i="45"/>
  <c r="Q489" i="45"/>
  <c r="J24" i="74"/>
  <c r="D79" i="55"/>
  <c r="G15" i="74" s="1"/>
  <c r="E79" i="55"/>
  <c r="H15" i="74" s="1"/>
  <c r="H90" i="55"/>
  <c r="K26" i="74" s="1"/>
  <c r="G90" i="55"/>
  <c r="J26" i="74" s="1"/>
  <c r="H9" i="93"/>
  <c r="H36" i="93"/>
  <c r="H10" i="93" s="1"/>
  <c r="N368" i="45"/>
  <c r="K368" i="45"/>
  <c r="L368" i="45"/>
  <c r="R368" i="45"/>
  <c r="Q368" i="45"/>
  <c r="J368" i="45"/>
  <c r="O368" i="45"/>
  <c r="S368" i="45"/>
  <c r="N369" i="45"/>
  <c r="K369" i="45"/>
  <c r="R369" i="45"/>
  <c r="S369" i="45"/>
  <c r="J369" i="45"/>
  <c r="O369" i="45"/>
  <c r="Q369" i="45"/>
  <c r="L369" i="45"/>
  <c r="V86" i="55"/>
  <c r="Y22" i="74" s="1"/>
  <c r="AA88" i="55"/>
  <c r="AD24" i="74" s="1"/>
  <c r="AD21" i="74"/>
  <c r="AD282" i="74" s="1"/>
  <c r="O88" i="55"/>
  <c r="R24" i="74" s="1"/>
  <c r="R21" i="74"/>
  <c r="R282" i="74" s="1"/>
  <c r="S88" i="55"/>
  <c r="V24" i="74" s="1"/>
  <c r="V21" i="74"/>
  <c r="V282" i="74" s="1"/>
  <c r="R85" i="55"/>
  <c r="S89" i="55" s="1"/>
  <c r="V25" i="74" s="1"/>
  <c r="U22" i="74"/>
  <c r="X88" i="55"/>
  <c r="AA24" i="74" s="1"/>
  <c r="AA21" i="74"/>
  <c r="AA282" i="74" s="1"/>
  <c r="U88" i="55"/>
  <c r="X24" i="74" s="1"/>
  <c r="X21" i="74"/>
  <c r="X282" i="74" s="1"/>
  <c r="Q88" i="55"/>
  <c r="T24" i="74" s="1"/>
  <c r="T21" i="74"/>
  <c r="T282" i="74" s="1"/>
  <c r="K88" i="55"/>
  <c r="N24" i="74" s="1"/>
  <c r="N21" i="74"/>
  <c r="N282" i="74" s="1"/>
  <c r="J88" i="55"/>
  <c r="M24" i="74" s="1"/>
  <c r="M21" i="74"/>
  <c r="M282" i="74" s="1"/>
  <c r="AH88" i="55"/>
  <c r="AK24" i="74" s="1"/>
  <c r="AK21" i="74"/>
  <c r="AK282" i="74" s="1"/>
  <c r="AF88" i="55"/>
  <c r="AI24" i="74" s="1"/>
  <c r="AI21" i="74"/>
  <c r="AI282" i="74" s="1"/>
  <c r="W88" i="55"/>
  <c r="Z24" i="74" s="1"/>
  <c r="Z21" i="74"/>
  <c r="Z282" i="74" s="1"/>
  <c r="Y88" i="55"/>
  <c r="AB24" i="74" s="1"/>
  <c r="AB21" i="74"/>
  <c r="AB282" i="74" s="1"/>
  <c r="P88" i="55"/>
  <c r="S24" i="74" s="1"/>
  <c r="S21" i="74"/>
  <c r="S282" i="74" s="1"/>
  <c r="Z88" i="55"/>
  <c r="AC24" i="74" s="1"/>
  <c r="AC21" i="74"/>
  <c r="AC282" i="74" s="1"/>
  <c r="M88" i="55"/>
  <c r="P24" i="74" s="1"/>
  <c r="P21" i="74"/>
  <c r="P282" i="74" s="1"/>
  <c r="N88" i="55"/>
  <c r="Q24" i="74" s="1"/>
  <c r="Q21" i="74"/>
  <c r="Q282" i="74" s="1"/>
  <c r="AB88" i="55"/>
  <c r="AE24" i="74" s="1"/>
  <c r="AE21" i="74"/>
  <c r="AE282" i="74" s="1"/>
  <c r="T88" i="55"/>
  <c r="W24" i="74" s="1"/>
  <c r="W21" i="74"/>
  <c r="W282" i="74" s="1"/>
  <c r="I88" i="55"/>
  <c r="L21" i="74"/>
  <c r="L282" i="74" s="1"/>
  <c r="K89" i="55"/>
  <c r="N25" i="74" s="1"/>
  <c r="O89" i="55"/>
  <c r="R25" i="74" s="1"/>
  <c r="L89" i="55"/>
  <c r="O25" i="74" s="1"/>
  <c r="Q89" i="55"/>
  <c r="T25" i="74" s="1"/>
  <c r="N89" i="55"/>
  <c r="Q25" i="74" s="1"/>
  <c r="I89" i="55"/>
  <c r="L25" i="74" s="1"/>
  <c r="M89" i="55"/>
  <c r="P25" i="74" s="1"/>
  <c r="P89" i="55"/>
  <c r="S25" i="74" s="1"/>
  <c r="J89" i="55"/>
  <c r="M25" i="74" s="1"/>
  <c r="L88" i="55"/>
  <c r="O24" i="74" s="1"/>
  <c r="O21" i="74"/>
  <c r="O282" i="74" s="1"/>
  <c r="AC88" i="55"/>
  <c r="AF24" i="74" s="1"/>
  <c r="AF21" i="74"/>
  <c r="AF282" i="74" s="1"/>
  <c r="AE88" i="55"/>
  <c r="AH24" i="74" s="1"/>
  <c r="AH21" i="74"/>
  <c r="AH282" i="74" s="1"/>
  <c r="AG88" i="55"/>
  <c r="AJ24" i="74" s="1"/>
  <c r="AJ21" i="74"/>
  <c r="AJ282" i="74" s="1"/>
  <c r="AD88" i="55"/>
  <c r="AG24" i="74" s="1"/>
  <c r="AG21" i="74"/>
  <c r="AG282" i="74" s="1"/>
  <c r="R243" i="45"/>
  <c r="G489" i="45"/>
  <c r="N485" i="45"/>
  <c r="R485" i="45"/>
  <c r="J485" i="45"/>
  <c r="O485" i="45"/>
  <c r="L485" i="45"/>
  <c r="K485" i="45"/>
  <c r="BA215" i="74"/>
  <c r="BA268" i="74" s="1"/>
  <c r="BA274" i="74" s="1"/>
  <c r="BA281" i="74" s="1"/>
  <c r="BA272" i="74"/>
  <c r="J269" i="74"/>
  <c r="Q243" i="45"/>
  <c r="H9" i="70"/>
  <c r="S243" i="45"/>
  <c r="K243" i="45"/>
  <c r="L243" i="45"/>
  <c r="J243" i="45"/>
  <c r="S485" i="45"/>
  <c r="N243" i="45"/>
  <c r="O243" i="45"/>
  <c r="H50" i="71"/>
  <c r="H51" i="71" s="1"/>
  <c r="H12" i="71" s="1"/>
  <c r="K240" i="45" s="1"/>
  <c r="G57" i="55"/>
  <c r="J30" i="74"/>
  <c r="G48" i="55"/>
  <c r="G244" i="45"/>
  <c r="BA147" i="74"/>
  <c r="AX37" i="76"/>
  <c r="H253" i="74"/>
  <c r="L490" i="45" l="1"/>
  <c r="R490" i="45"/>
  <c r="K490" i="45"/>
  <c r="N490" i="45"/>
  <c r="O490" i="45"/>
  <c r="J490" i="45"/>
  <c r="S490" i="45"/>
  <c r="E86" i="55"/>
  <c r="H22" i="74" s="1"/>
  <c r="D86" i="55"/>
  <c r="G22" i="74" s="1"/>
  <c r="G55" i="55"/>
  <c r="K14" i="56"/>
  <c r="K13" i="56" s="1"/>
  <c r="K12" i="56" s="1"/>
  <c r="P14" i="56"/>
  <c r="Q26" i="55" s="1"/>
  <c r="T31" i="74" s="1"/>
  <c r="T176" i="74" s="1"/>
  <c r="T287" i="74"/>
  <c r="T292" i="74" s="1"/>
  <c r="Q287" i="74"/>
  <c r="Q292" i="74" s="1"/>
  <c r="S287" i="74"/>
  <c r="S292" i="74" s="1"/>
  <c r="R287" i="74"/>
  <c r="R292" i="74" s="1"/>
  <c r="P287" i="74"/>
  <c r="P292" i="74" s="1"/>
  <c r="L287" i="74"/>
  <c r="L292" i="74" s="1"/>
  <c r="M287" i="74"/>
  <c r="M292" i="74" s="1"/>
  <c r="N287" i="74"/>
  <c r="N292" i="74" s="1"/>
  <c r="O287" i="74"/>
  <c r="O292" i="74" s="1"/>
  <c r="J283" i="74"/>
  <c r="BA286" i="74"/>
  <c r="G368" i="45"/>
  <c r="H14" i="56"/>
  <c r="I14" i="56"/>
  <c r="J14" i="56"/>
  <c r="S364" i="45"/>
  <c r="J364" i="45"/>
  <c r="L364" i="45"/>
  <c r="O364" i="45"/>
  <c r="R364" i="45"/>
  <c r="Q364" i="45"/>
  <c r="N364" i="45"/>
  <c r="K364" i="45"/>
  <c r="N363" i="45"/>
  <c r="R363" i="45"/>
  <c r="Q363" i="45"/>
  <c r="S363" i="45"/>
  <c r="L363" i="45"/>
  <c r="K363" i="45"/>
  <c r="O363" i="45"/>
  <c r="J363" i="45"/>
  <c r="G369" i="45"/>
  <c r="V85" i="55"/>
  <c r="V88" i="55" s="1"/>
  <c r="Y24" i="74" s="1"/>
  <c r="L24" i="74"/>
  <c r="P90" i="55"/>
  <c r="S26" i="74" s="1"/>
  <c r="K90" i="55"/>
  <c r="N26" i="74" s="1"/>
  <c r="M90" i="55"/>
  <c r="P26" i="74" s="1"/>
  <c r="J90" i="55"/>
  <c r="M26" i="74" s="1"/>
  <c r="O90" i="55"/>
  <c r="R26" i="74" s="1"/>
  <c r="N90" i="55"/>
  <c r="Q26" i="74" s="1"/>
  <c r="L90" i="55"/>
  <c r="O26" i="74" s="1"/>
  <c r="Q90" i="55"/>
  <c r="T26" i="74" s="1"/>
  <c r="I90" i="55"/>
  <c r="L26" i="74" s="1"/>
  <c r="R88" i="55"/>
  <c r="U24" i="74" s="1"/>
  <c r="U21" i="74"/>
  <c r="U282" i="74" s="1"/>
  <c r="V287" i="74" s="1"/>
  <c r="V292" i="74" s="1"/>
  <c r="R89" i="55"/>
  <c r="U25" i="74" s="1"/>
  <c r="U89" i="55"/>
  <c r="X25" i="74" s="1"/>
  <c r="T89" i="55"/>
  <c r="W25" i="74" s="1"/>
  <c r="J119" i="74"/>
  <c r="J240" i="74" s="1"/>
  <c r="J231" i="74" s="1"/>
  <c r="G20" i="94"/>
  <c r="G14" i="94"/>
  <c r="G485" i="45"/>
  <c r="AW29" i="76" s="1"/>
  <c r="G243" i="45"/>
  <c r="G490" i="45"/>
  <c r="N484" i="45"/>
  <c r="S484" i="45"/>
  <c r="K484" i="45"/>
  <c r="Q484" i="45"/>
  <c r="J484" i="45"/>
  <c r="R484" i="45"/>
  <c r="O484" i="45"/>
  <c r="L484" i="45"/>
  <c r="H11" i="71"/>
  <c r="J239" i="45" s="1"/>
  <c r="Q240" i="45"/>
  <c r="O240" i="45"/>
  <c r="R240" i="45"/>
  <c r="S240" i="45"/>
  <c r="L240" i="45"/>
  <c r="J240" i="45"/>
  <c r="N240" i="45"/>
  <c r="H17" i="56"/>
  <c r="I29" i="55" s="1"/>
  <c r="I17" i="56"/>
  <c r="G47" i="55"/>
  <c r="J53" i="74"/>
  <c r="AX38" i="76"/>
  <c r="BA165" i="74" s="1"/>
  <c r="BA164" i="74"/>
  <c r="J110" i="74" l="1"/>
  <c r="E85" i="55"/>
  <c r="D85" i="55"/>
  <c r="L26" i="55"/>
  <c r="D88" i="55"/>
  <c r="L34" i="74"/>
  <c r="L178" i="74" s="1"/>
  <c r="Q29" i="76"/>
  <c r="R29" i="76"/>
  <c r="S29" i="76"/>
  <c r="AQ29" i="76"/>
  <c r="AM29" i="76"/>
  <c r="AU29" i="76"/>
  <c r="AR29" i="76"/>
  <c r="AV29" i="76"/>
  <c r="AY156" i="74" s="1"/>
  <c r="AY251" i="74" s="1"/>
  <c r="AY242" i="74" s="1"/>
  <c r="AY272" i="74" s="1"/>
  <c r="AY286" i="74" s="1"/>
  <c r="AN29" i="76"/>
  <c r="AS29" i="76"/>
  <c r="AO29" i="76"/>
  <c r="AP29" i="76"/>
  <c r="AT29" i="76"/>
  <c r="AI29" i="76"/>
  <c r="Y29" i="76"/>
  <c r="AG29" i="76"/>
  <c r="AK29" i="76"/>
  <c r="T29" i="76"/>
  <c r="AA29" i="76"/>
  <c r="AD29" i="76"/>
  <c r="U29" i="76"/>
  <c r="V29" i="76"/>
  <c r="AC29" i="76"/>
  <c r="W29" i="76"/>
  <c r="AH29" i="76"/>
  <c r="AJ29" i="76"/>
  <c r="AL29" i="76"/>
  <c r="AB29" i="76"/>
  <c r="X29" i="76"/>
  <c r="Z29" i="76"/>
  <c r="AE29" i="76"/>
  <c r="AF29" i="76"/>
  <c r="W89" i="55"/>
  <c r="Z25" i="74" s="1"/>
  <c r="W287" i="74"/>
  <c r="W292" i="74" s="1"/>
  <c r="U287" i="74"/>
  <c r="U292" i="74" s="1"/>
  <c r="J288" i="74"/>
  <c r="J293" i="74" s="1"/>
  <c r="K288" i="74"/>
  <c r="K293" i="74" s="1"/>
  <c r="X287" i="74"/>
  <c r="X292" i="74" s="1"/>
  <c r="G363" i="45"/>
  <c r="K14" i="94" s="1"/>
  <c r="K9" i="94" s="1"/>
  <c r="N99" i="74" s="1"/>
  <c r="AR89" i="55"/>
  <c r="AU25" i="74" s="1"/>
  <c r="AU89" i="55"/>
  <c r="AX25" i="74" s="1"/>
  <c r="AD89" i="55"/>
  <c r="AG25" i="74" s="1"/>
  <c r="BB89" i="55"/>
  <c r="BE25" i="74" s="1"/>
  <c r="AZ89" i="55"/>
  <c r="BC25" i="74" s="1"/>
  <c r="AI89" i="55"/>
  <c r="AL25" i="74" s="1"/>
  <c r="AM89" i="55"/>
  <c r="AP25" i="74" s="1"/>
  <c r="Y89" i="55"/>
  <c r="AB25" i="74" s="1"/>
  <c r="AB89" i="55"/>
  <c r="AE25" i="74" s="1"/>
  <c r="G21" i="74"/>
  <c r="AC89" i="55"/>
  <c r="AF25" i="74" s="1"/>
  <c r="H21" i="74"/>
  <c r="AL89" i="55"/>
  <c r="AO25" i="74" s="1"/>
  <c r="BA89" i="55"/>
  <c r="BD25" i="74" s="1"/>
  <c r="AK89" i="55"/>
  <c r="AN25" i="74" s="1"/>
  <c r="AG89" i="55"/>
  <c r="AJ25" i="74" s="1"/>
  <c r="AQ89" i="55"/>
  <c r="AT25" i="74" s="1"/>
  <c r="AP89" i="55"/>
  <c r="AS25" i="74" s="1"/>
  <c r="G364" i="45"/>
  <c r="AT89" i="55"/>
  <c r="AW25" i="74" s="1"/>
  <c r="AS89" i="55"/>
  <c r="AV25" i="74" s="1"/>
  <c r="AO89" i="55"/>
  <c r="AR25" i="74" s="1"/>
  <c r="AF89" i="55"/>
  <c r="AI25" i="74" s="1"/>
  <c r="AV89" i="55"/>
  <c r="AY25" i="74" s="1"/>
  <c r="AY89" i="55"/>
  <c r="BB25" i="74" s="1"/>
  <c r="AX89" i="55"/>
  <c r="BA25" i="74" s="1"/>
  <c r="AH89" i="55"/>
  <c r="AK25" i="74" s="1"/>
  <c r="Z89" i="55"/>
  <c r="AC25" i="74" s="1"/>
  <c r="AJ89" i="55"/>
  <c r="AM25" i="74" s="1"/>
  <c r="X89" i="55"/>
  <c r="AA25" i="74" s="1"/>
  <c r="V89" i="55"/>
  <c r="Y25" i="74" s="1"/>
  <c r="AE89" i="55"/>
  <c r="AH25" i="74" s="1"/>
  <c r="AA89" i="55"/>
  <c r="AD25" i="74" s="1"/>
  <c r="AW89" i="55"/>
  <c r="AZ25" i="74" s="1"/>
  <c r="Y21" i="74"/>
  <c r="Y282" i="74" s="1"/>
  <c r="AD287" i="74" s="1"/>
  <c r="AD292" i="74" s="1"/>
  <c r="AN89" i="55"/>
  <c r="AQ25" i="74" s="1"/>
  <c r="X90" i="55"/>
  <c r="AA26" i="74" s="1"/>
  <c r="Z90" i="55"/>
  <c r="AC26" i="74" s="1"/>
  <c r="AH90" i="55"/>
  <c r="AK26" i="74" s="1"/>
  <c r="AM90" i="55"/>
  <c r="AP26" i="74" s="1"/>
  <c r="AO90" i="55"/>
  <c r="AR26" i="74" s="1"/>
  <c r="AA90" i="55"/>
  <c r="AD26" i="74" s="1"/>
  <c r="AZ90" i="55"/>
  <c r="BC26" i="74" s="1"/>
  <c r="AC90" i="55"/>
  <c r="AF26" i="74" s="1"/>
  <c r="R90" i="55"/>
  <c r="U26" i="74" s="1"/>
  <c r="AB90" i="55"/>
  <c r="AE26" i="74" s="1"/>
  <c r="Y90" i="55"/>
  <c r="AB26" i="74" s="1"/>
  <c r="AJ90" i="55"/>
  <c r="AM26" i="74" s="1"/>
  <c r="V90" i="55"/>
  <c r="Y26" i="74" s="1"/>
  <c r="AL90" i="55"/>
  <c r="AO26" i="74" s="1"/>
  <c r="AI90" i="55"/>
  <c r="AL26" i="74" s="1"/>
  <c r="AR90" i="55"/>
  <c r="AU26" i="74" s="1"/>
  <c r="W90" i="55"/>
  <c r="Z26" i="74" s="1"/>
  <c r="AE90" i="55"/>
  <c r="AH26" i="74" s="1"/>
  <c r="AU90" i="55"/>
  <c r="AX26" i="74" s="1"/>
  <c r="U90" i="55"/>
  <c r="X26" i="74" s="1"/>
  <c r="AS90" i="55"/>
  <c r="AV26" i="74" s="1"/>
  <c r="G24" i="74"/>
  <c r="AN90" i="55"/>
  <c r="AQ26" i="74" s="1"/>
  <c r="AV90" i="55"/>
  <c r="AY26" i="74" s="1"/>
  <c r="AG90" i="55"/>
  <c r="AJ26" i="74" s="1"/>
  <c r="AF90" i="55"/>
  <c r="AI26" i="74" s="1"/>
  <c r="AP90" i="55"/>
  <c r="AS26" i="74" s="1"/>
  <c r="AX90" i="55"/>
  <c r="BA26" i="74" s="1"/>
  <c r="AY90" i="55"/>
  <c r="BB26" i="74" s="1"/>
  <c r="AW90" i="55"/>
  <c r="AZ26" i="74" s="1"/>
  <c r="AK90" i="55"/>
  <c r="AN26" i="74" s="1"/>
  <c r="AT90" i="55"/>
  <c r="AW26" i="74" s="1"/>
  <c r="BA90" i="55"/>
  <c r="BD26" i="74" s="1"/>
  <c r="AQ90" i="55"/>
  <c r="AT26" i="74" s="1"/>
  <c r="BB90" i="55"/>
  <c r="BE26" i="74" s="1"/>
  <c r="AD90" i="55"/>
  <c r="AG26" i="74" s="1"/>
  <c r="S90" i="55"/>
  <c r="V26" i="74" s="1"/>
  <c r="T90" i="55"/>
  <c r="W26" i="74" s="1"/>
  <c r="J29" i="55"/>
  <c r="M34" i="74" s="1"/>
  <c r="M178" i="74" s="1"/>
  <c r="P13" i="56"/>
  <c r="P12" i="56" s="1"/>
  <c r="J104" i="74"/>
  <c r="J200" i="74" s="1"/>
  <c r="J195" i="74" s="1"/>
  <c r="J271" i="74" s="1"/>
  <c r="J285" i="74" s="1"/>
  <c r="G9" i="94"/>
  <c r="AZ156" i="74"/>
  <c r="AZ251" i="74" s="1"/>
  <c r="AZ242" i="74" s="1"/>
  <c r="G484" i="45"/>
  <c r="P14" i="76" s="1"/>
  <c r="O31" i="74"/>
  <c r="O176" i="74" s="1"/>
  <c r="R239" i="45"/>
  <c r="K239" i="45"/>
  <c r="L239" i="45"/>
  <c r="S239" i="45"/>
  <c r="O239" i="45"/>
  <c r="N239" i="45"/>
  <c r="Q239" i="45"/>
  <c r="G240" i="45"/>
  <c r="AJ14" i="76"/>
  <c r="AM141" i="74" s="1"/>
  <c r="AM210" i="74" s="1"/>
  <c r="AM205" i="74" s="1"/>
  <c r="G70" i="74"/>
  <c r="H70" i="74"/>
  <c r="K26" i="55"/>
  <c r="J13" i="56"/>
  <c r="J26" i="55"/>
  <c r="I13" i="56"/>
  <c r="I12" i="56" s="1"/>
  <c r="J17" i="56"/>
  <c r="H13" i="56"/>
  <c r="I26" i="55"/>
  <c r="D14" i="56"/>
  <c r="J52" i="74"/>
  <c r="G67" i="55"/>
  <c r="G51" i="55"/>
  <c r="J56" i="74" s="1"/>
  <c r="G50" i="55"/>
  <c r="H51" i="55"/>
  <c r="K56" i="74" s="1"/>
  <c r="G66" i="55" l="1"/>
  <c r="J99" i="74"/>
  <c r="E26" i="55"/>
  <c r="D26" i="55"/>
  <c r="E29" i="76"/>
  <c r="D29" i="76"/>
  <c r="AP33" i="82"/>
  <c r="AQ33" i="82"/>
  <c r="AR33" i="82"/>
  <c r="AS33" i="82"/>
  <c r="AT33" i="82"/>
  <c r="AU33" i="82"/>
  <c r="AV33" i="82"/>
  <c r="L29" i="94"/>
  <c r="AM29" i="94"/>
  <c r="AN29" i="94"/>
  <c r="N104" i="74"/>
  <c r="N200" i="74" s="1"/>
  <c r="N195" i="74" s="1"/>
  <c r="N271" i="74" s="1"/>
  <c r="N285" i="74" s="1"/>
  <c r="N290" i="74" s="1"/>
  <c r="Q33" i="82"/>
  <c r="R33" i="82"/>
  <c r="S33" i="82"/>
  <c r="T33" i="82"/>
  <c r="U33" i="82"/>
  <c r="AK33" i="82"/>
  <c r="AL33" i="82"/>
  <c r="AO83" i="74" s="1"/>
  <c r="AO230" i="74" s="1"/>
  <c r="AO221" i="74" s="1"/>
  <c r="AO270" i="74" s="1"/>
  <c r="AO284" i="74" s="1"/>
  <c r="AM33" i="82"/>
  <c r="AN33" i="82"/>
  <c r="AO33" i="82"/>
  <c r="AR83" i="74" s="1"/>
  <c r="AR230" i="74" s="1"/>
  <c r="AR221" i="74" s="1"/>
  <c r="AR270" i="74" s="1"/>
  <c r="AR284" i="74" s="1"/>
  <c r="M29" i="94"/>
  <c r="N29" i="94"/>
  <c r="Z29" i="94"/>
  <c r="Z20" i="94" s="1"/>
  <c r="AA29" i="94"/>
  <c r="AD119" i="74" s="1"/>
  <c r="AD240" i="74" s="1"/>
  <c r="AD231" i="74" s="1"/>
  <c r="AD271" i="74" s="1"/>
  <c r="AD285" i="74" s="1"/>
  <c r="AB29" i="94"/>
  <c r="AB20" i="94" s="1"/>
  <c r="AC29" i="94"/>
  <c r="AC20" i="94" s="1"/>
  <c r="AD29" i="94"/>
  <c r="AG119" i="74" s="1"/>
  <c r="AG240" i="74" s="1"/>
  <c r="AG231" i="74" s="1"/>
  <c r="AG271" i="74" s="1"/>
  <c r="AG285" i="74" s="1"/>
  <c r="AE29" i="94"/>
  <c r="AF29" i="94"/>
  <c r="AI119" i="74" s="1"/>
  <c r="AI240" i="74" s="1"/>
  <c r="AI231" i="74" s="1"/>
  <c r="AI271" i="74" s="1"/>
  <c r="AI285" i="74" s="1"/>
  <c r="AG29" i="94"/>
  <c r="AG20" i="94" s="1"/>
  <c r="AH29" i="94"/>
  <c r="AH20" i="94" s="1"/>
  <c r="AI29" i="94"/>
  <c r="AL119" i="74" s="1"/>
  <c r="AL240" i="74" s="1"/>
  <c r="AL231" i="74" s="1"/>
  <c r="AL271" i="74" s="1"/>
  <c r="AL285" i="74" s="1"/>
  <c r="AJ29" i="94"/>
  <c r="AM119" i="74" s="1"/>
  <c r="AM240" i="74" s="1"/>
  <c r="AM231" i="74" s="1"/>
  <c r="AM271" i="74" s="1"/>
  <c r="AM285" i="74" s="1"/>
  <c r="AK29" i="94"/>
  <c r="AN119" i="74" s="1"/>
  <c r="AN240" i="74" s="1"/>
  <c r="AN231" i="74" s="1"/>
  <c r="AN271" i="74" s="1"/>
  <c r="AN285" i="74" s="1"/>
  <c r="AL29" i="94"/>
  <c r="O29" i="94"/>
  <c r="O20" i="94" s="1"/>
  <c r="P29" i="94"/>
  <c r="P20" i="94" s="1"/>
  <c r="Q29" i="94"/>
  <c r="T119" i="74" s="1"/>
  <c r="T240" i="74" s="1"/>
  <c r="T231" i="74" s="1"/>
  <c r="T271" i="74" s="1"/>
  <c r="T285" i="74" s="1"/>
  <c r="R29" i="94"/>
  <c r="U119" i="74" s="1"/>
  <c r="U240" i="74" s="1"/>
  <c r="U231" i="74" s="1"/>
  <c r="U271" i="74" s="1"/>
  <c r="U285" i="74" s="1"/>
  <c r="S29" i="94"/>
  <c r="V119" i="74" s="1"/>
  <c r="V240" i="74" s="1"/>
  <c r="V231" i="74" s="1"/>
  <c r="V271" i="74" s="1"/>
  <c r="V285" i="74" s="1"/>
  <c r="T29" i="94"/>
  <c r="W119" i="74" s="1"/>
  <c r="W240" i="74" s="1"/>
  <c r="W231" i="74" s="1"/>
  <c r="W271" i="74" s="1"/>
  <c r="W285" i="74" s="1"/>
  <c r="U29" i="94"/>
  <c r="U20" i="94" s="1"/>
  <c r="V29" i="94"/>
  <c r="V20" i="94" s="1"/>
  <c r="W29" i="94"/>
  <c r="Z119" i="74" s="1"/>
  <c r="Z240" i="74" s="1"/>
  <c r="Z231" i="74" s="1"/>
  <c r="Z271" i="74" s="1"/>
  <c r="Z285" i="74" s="1"/>
  <c r="X29" i="94"/>
  <c r="AA119" i="74" s="1"/>
  <c r="AA240" i="74" s="1"/>
  <c r="AA231" i="74" s="1"/>
  <c r="AA271" i="74" s="1"/>
  <c r="AA285" i="74" s="1"/>
  <c r="AB33" i="82"/>
  <c r="Z33" i="82"/>
  <c r="AC83" i="74" s="1"/>
  <c r="AC230" i="74" s="1"/>
  <c r="AC221" i="74" s="1"/>
  <c r="AC270" i="74" s="1"/>
  <c r="AC284" i="74" s="1"/>
  <c r="AE33" i="82"/>
  <c r="AF33" i="82"/>
  <c r="X33" i="82"/>
  <c r="AJ33" i="82"/>
  <c r="V33" i="82"/>
  <c r="AD33" i="82"/>
  <c r="AH33" i="82"/>
  <c r="AH23" i="82" s="1"/>
  <c r="AK74" i="74" s="1"/>
  <c r="AG33" i="82"/>
  <c r="AC33" i="82"/>
  <c r="AA33" i="82"/>
  <c r="W33" i="82"/>
  <c r="Z83" i="74" s="1"/>
  <c r="Z230" i="74" s="1"/>
  <c r="Z221" i="74" s="1"/>
  <c r="Z270" i="74" s="1"/>
  <c r="Z284" i="74" s="1"/>
  <c r="Y33" i="82"/>
  <c r="AB83" i="74" s="1"/>
  <c r="AB230" i="74" s="1"/>
  <c r="AB221" i="74" s="1"/>
  <c r="AB270" i="74" s="1"/>
  <c r="AB284" i="74" s="1"/>
  <c r="AI33" i="82"/>
  <c r="AI23" i="82" s="1"/>
  <c r="AI42" i="82" s="1"/>
  <c r="AI43" i="82" s="1"/>
  <c r="AL92" i="74" s="1"/>
  <c r="Y29" i="94"/>
  <c r="AB119" i="74" s="1"/>
  <c r="AB240" i="74" s="1"/>
  <c r="AB231" i="74" s="1"/>
  <c r="AB271" i="74" s="1"/>
  <c r="AB285" i="74" s="1"/>
  <c r="L14" i="94"/>
  <c r="N14" i="94"/>
  <c r="BC287" i="74"/>
  <c r="BC292" i="74" s="1"/>
  <c r="AU287" i="74"/>
  <c r="AU292" i="74" s="1"/>
  <c r="BA287" i="74"/>
  <c r="BA292" i="74" s="1"/>
  <c r="AG287" i="74"/>
  <c r="AG292" i="74" s="1"/>
  <c r="AY287" i="74"/>
  <c r="AY292" i="74" s="1"/>
  <c r="AW287" i="74"/>
  <c r="AW292" i="74" s="1"/>
  <c r="AF287" i="74"/>
  <c r="AF292" i="74" s="1"/>
  <c r="AQ287" i="74"/>
  <c r="AQ292" i="74" s="1"/>
  <c r="BD287" i="74"/>
  <c r="BD292" i="74" s="1"/>
  <c r="AR287" i="74"/>
  <c r="AR292" i="74" s="1"/>
  <c r="BB287" i="74"/>
  <c r="BB292" i="74" s="1"/>
  <c r="Z287" i="74"/>
  <c r="Z292" i="74" s="1"/>
  <c r="AO287" i="74"/>
  <c r="AO292" i="74" s="1"/>
  <c r="AM287" i="74"/>
  <c r="AM292" i="74" s="1"/>
  <c r="AA287" i="74"/>
  <c r="AA292" i="74" s="1"/>
  <c r="AP287" i="74"/>
  <c r="AP292" i="74" s="1"/>
  <c r="AX287" i="74"/>
  <c r="AX292" i="74" s="1"/>
  <c r="AJ287" i="74"/>
  <c r="AJ292" i="74" s="1"/>
  <c r="AC287" i="74"/>
  <c r="AC292" i="74" s="1"/>
  <c r="J290" i="74"/>
  <c r="K290" i="74"/>
  <c r="L290" i="74"/>
  <c r="M290" i="74"/>
  <c r="AT287" i="74"/>
  <c r="AT292" i="74" s="1"/>
  <c r="AL287" i="74"/>
  <c r="AL292" i="74" s="1"/>
  <c r="AE287" i="74"/>
  <c r="AE292" i="74" s="1"/>
  <c r="BE287" i="74"/>
  <c r="BE292" i="74" s="1"/>
  <c r="AV287" i="74"/>
  <c r="AV292" i="74" s="1"/>
  <c r="AN287" i="74"/>
  <c r="AN292" i="74" s="1"/>
  <c r="AI287" i="74"/>
  <c r="AI292" i="74" s="1"/>
  <c r="AB287" i="74"/>
  <c r="AB292" i="74" s="1"/>
  <c r="Y287" i="74"/>
  <c r="Y292" i="74" s="1"/>
  <c r="AZ287" i="74"/>
  <c r="AZ292" i="74" s="1"/>
  <c r="AS287" i="74"/>
  <c r="AS292" i="74" s="1"/>
  <c r="AK287" i="74"/>
  <c r="AK292" i="74" s="1"/>
  <c r="AH287" i="74"/>
  <c r="AH292" i="74" s="1"/>
  <c r="AH119" i="74"/>
  <c r="AH240" i="74" s="1"/>
  <c r="AH231" i="74" s="1"/>
  <c r="AH271" i="74" s="1"/>
  <c r="AH285" i="74" s="1"/>
  <c r="AE20" i="94"/>
  <c r="AI20" i="94"/>
  <c r="AZ272" i="74"/>
  <c r="AZ286" i="74" s="1"/>
  <c r="K37" i="94"/>
  <c r="G20" i="76"/>
  <c r="J156" i="74"/>
  <c r="J251" i="74" s="1"/>
  <c r="J242" i="74" s="1"/>
  <c r="X14" i="76"/>
  <c r="AA141" i="74" s="1"/>
  <c r="AA210" i="74" s="1"/>
  <c r="AA205" i="74" s="1"/>
  <c r="AA174" i="74" s="1"/>
  <c r="G14" i="76"/>
  <c r="G37" i="94"/>
  <c r="S14" i="76"/>
  <c r="V141" i="74" s="1"/>
  <c r="V210" i="74" s="1"/>
  <c r="V205" i="74" s="1"/>
  <c r="G194" i="74"/>
  <c r="H194" i="74"/>
  <c r="AV20" i="76"/>
  <c r="AV37" i="76" s="1"/>
  <c r="AY164" i="74" s="1"/>
  <c r="AW20" i="76"/>
  <c r="AZ147" i="74" s="1"/>
  <c r="G52" i="55"/>
  <c r="J57" i="74" s="1"/>
  <c r="H52" i="55"/>
  <c r="K57" i="74" s="1"/>
  <c r="N31" i="74"/>
  <c r="N176" i="74" s="1"/>
  <c r="M31" i="74"/>
  <c r="M176" i="74" s="1"/>
  <c r="G239" i="45"/>
  <c r="AM174" i="74"/>
  <c r="AJ9" i="76"/>
  <c r="AM136" i="74" s="1"/>
  <c r="S141" i="74"/>
  <c r="S210" i="74" s="1"/>
  <c r="S205" i="74" s="1"/>
  <c r="P9" i="76"/>
  <c r="S136" i="74" s="1"/>
  <c r="L75" i="45"/>
  <c r="L31" i="74"/>
  <c r="L176" i="74" s="1"/>
  <c r="D13" i="56"/>
  <c r="H12" i="56"/>
  <c r="K29" i="55"/>
  <c r="K25" i="55" s="1"/>
  <c r="J12" i="56"/>
  <c r="D17" i="56"/>
  <c r="J55" i="74"/>
  <c r="J147" i="74" l="1"/>
  <c r="E14" i="94"/>
  <c r="H104" i="74" s="1"/>
  <c r="H200" i="74" s="1"/>
  <c r="H195" i="74" s="1"/>
  <c r="E29" i="55"/>
  <c r="D29" i="55"/>
  <c r="D33" i="82"/>
  <c r="G83" i="74" s="1"/>
  <c r="G230" i="74" s="1"/>
  <c r="E33" i="82"/>
  <c r="H83" i="74" s="1"/>
  <c r="H230" i="74" s="1"/>
  <c r="D14" i="94"/>
  <c r="G104" i="74" s="1"/>
  <c r="G200" i="74" s="1"/>
  <c r="G195" i="74" s="1"/>
  <c r="L20" i="94"/>
  <c r="E29" i="94"/>
  <c r="H119" i="74" s="1"/>
  <c r="H240" i="74" s="1"/>
  <c r="H231" i="74" s="1"/>
  <c r="D29" i="94"/>
  <c r="G119" i="74" s="1"/>
  <c r="G240" i="74" s="1"/>
  <c r="G231" i="74" s="1"/>
  <c r="D14" i="76"/>
  <c r="E14" i="76"/>
  <c r="AA20" i="94"/>
  <c r="AD110" i="74" s="1"/>
  <c r="AF20" i="94"/>
  <c r="AF37" i="94" s="1"/>
  <c r="S119" i="74"/>
  <c r="S240" i="74" s="1"/>
  <c r="S231" i="74" s="1"/>
  <c r="S271" i="74" s="1"/>
  <c r="S285" i="74" s="1"/>
  <c r="AJ119" i="74"/>
  <c r="AJ240" i="74" s="1"/>
  <c r="AJ231" i="74" s="1"/>
  <c r="AJ271" i="74" s="1"/>
  <c r="AJ285" i="74" s="1"/>
  <c r="AD20" i="94"/>
  <c r="AD37" i="94" s="1"/>
  <c r="AC119" i="74"/>
  <c r="AC240" i="74" s="1"/>
  <c r="AC231" i="74" s="1"/>
  <c r="AC271" i="74" s="1"/>
  <c r="AC285" i="74" s="1"/>
  <c r="O119" i="74"/>
  <c r="O240" i="74" s="1"/>
  <c r="O231" i="74" s="1"/>
  <c r="AN20" i="94"/>
  <c r="AQ119" i="74"/>
  <c r="AQ240" i="74" s="1"/>
  <c r="AQ231" i="74" s="1"/>
  <c r="AQ271" i="74" s="1"/>
  <c r="AQ285" i="74" s="1"/>
  <c r="AP119" i="74"/>
  <c r="AP240" i="74" s="1"/>
  <c r="AP231" i="74" s="1"/>
  <c r="AP271" i="74" s="1"/>
  <c r="AP285" i="74" s="1"/>
  <c r="AM20" i="94"/>
  <c r="AK119" i="74"/>
  <c r="AK240" i="74" s="1"/>
  <c r="AK231" i="74" s="1"/>
  <c r="AK271" i="74" s="1"/>
  <c r="AK285" i="74" s="1"/>
  <c r="AE119" i="74"/>
  <c r="AE240" i="74" s="1"/>
  <c r="AE231" i="74" s="1"/>
  <c r="AE271" i="74" s="1"/>
  <c r="AE285" i="74" s="1"/>
  <c r="AK20" i="94"/>
  <c r="AN110" i="74" s="1"/>
  <c r="S20" i="94"/>
  <c r="S37" i="94" s="1"/>
  <c r="X20" i="94"/>
  <c r="X37" i="94" s="1"/>
  <c r="Q20" i="94"/>
  <c r="Q37" i="94" s="1"/>
  <c r="R119" i="74"/>
  <c r="R240" i="74" s="1"/>
  <c r="R231" i="74" s="1"/>
  <c r="R271" i="74" s="1"/>
  <c r="R285" i="74" s="1"/>
  <c r="X119" i="74"/>
  <c r="X240" i="74" s="1"/>
  <c r="X231" i="74" s="1"/>
  <c r="X271" i="74" s="1"/>
  <c r="X285" i="74" s="1"/>
  <c r="W20" i="94"/>
  <c r="W37" i="94" s="1"/>
  <c r="T20" i="94"/>
  <c r="W110" i="74" s="1"/>
  <c r="Y20" i="94"/>
  <c r="Y37" i="94" s="1"/>
  <c r="Y119" i="74"/>
  <c r="Y240" i="74" s="1"/>
  <c r="Y231" i="74" s="1"/>
  <c r="Y271" i="74" s="1"/>
  <c r="Y285" i="74" s="1"/>
  <c r="Q104" i="74"/>
  <c r="Q200" i="74" s="1"/>
  <c r="Q195" i="74" s="1"/>
  <c r="Q174" i="74" s="1"/>
  <c r="N9" i="94"/>
  <c r="Q99" i="74" s="1"/>
  <c r="L9" i="94"/>
  <c r="O104" i="74"/>
  <c r="O200" i="74" s="1"/>
  <c r="O195" i="74" s="1"/>
  <c r="R20" i="94"/>
  <c r="U110" i="74" s="1"/>
  <c r="AF119" i="74"/>
  <c r="AF240" i="74" s="1"/>
  <c r="AF231" i="74" s="1"/>
  <c r="AF271" i="74" s="1"/>
  <c r="AF285" i="74" s="1"/>
  <c r="Q119" i="74"/>
  <c r="Q240" i="74" s="1"/>
  <c r="Q231" i="74" s="1"/>
  <c r="N20" i="94"/>
  <c r="AO119" i="74"/>
  <c r="AO240" i="74" s="1"/>
  <c r="AO231" i="74" s="1"/>
  <c r="AO271" i="74" s="1"/>
  <c r="AO285" i="74" s="1"/>
  <c r="AL20" i="94"/>
  <c r="P119" i="74"/>
  <c r="P240" i="74" s="1"/>
  <c r="P231" i="74" s="1"/>
  <c r="P271" i="74" s="1"/>
  <c r="P285" i="74" s="1"/>
  <c r="M20" i="94"/>
  <c r="AJ20" i="94"/>
  <c r="AM110" i="74" s="1"/>
  <c r="AF110" i="74"/>
  <c r="AC37" i="94"/>
  <c r="Z37" i="94"/>
  <c r="AC110" i="74"/>
  <c r="X110" i="74"/>
  <c r="U37" i="94"/>
  <c r="V37" i="94"/>
  <c r="Y110" i="74"/>
  <c r="S110" i="74"/>
  <c r="P37" i="94"/>
  <c r="R110" i="74"/>
  <c r="O37" i="94"/>
  <c r="AH37" i="94"/>
  <c r="AK110" i="74"/>
  <c r="AH110" i="74"/>
  <c r="AE37" i="94"/>
  <c r="AI37" i="94"/>
  <c r="AL110" i="74"/>
  <c r="AJ110" i="74"/>
  <c r="AG37" i="94"/>
  <c r="AE110" i="74"/>
  <c r="AB37" i="94"/>
  <c r="AT23" i="82"/>
  <c r="AW83" i="74"/>
  <c r="AW230" i="74" s="1"/>
  <c r="AW221" i="74" s="1"/>
  <c r="AW270" i="74" s="1"/>
  <c r="AW284" i="74" s="1"/>
  <c r="AT83" i="74"/>
  <c r="AT230" i="74" s="1"/>
  <c r="AT221" i="74" s="1"/>
  <c r="AT270" i="74" s="1"/>
  <c r="AT284" i="74" s="1"/>
  <c r="AQ23" i="82"/>
  <c r="AX83" i="74"/>
  <c r="AX230" i="74" s="1"/>
  <c r="AX221" i="74" s="1"/>
  <c r="AX270" i="74" s="1"/>
  <c r="AX284" i="74" s="1"/>
  <c r="AU23" i="82"/>
  <c r="AU83" i="74"/>
  <c r="AU230" i="74" s="1"/>
  <c r="AU221" i="74" s="1"/>
  <c r="AU270" i="74" s="1"/>
  <c r="AU284" i="74" s="1"/>
  <c r="AR23" i="82"/>
  <c r="AV83" i="74"/>
  <c r="AV230" i="74" s="1"/>
  <c r="AV221" i="74" s="1"/>
  <c r="AV270" i="74" s="1"/>
  <c r="AV284" i="74" s="1"/>
  <c r="AS23" i="82"/>
  <c r="AV23" i="82"/>
  <c r="AY83" i="74"/>
  <c r="AY230" i="74" s="1"/>
  <c r="AY221" i="74" s="1"/>
  <c r="AY270" i="74" s="1"/>
  <c r="AY284" i="74" s="1"/>
  <c r="AZ83" i="74"/>
  <c r="AZ230" i="74" s="1"/>
  <c r="AZ221" i="74" s="1"/>
  <c r="AW23" i="82"/>
  <c r="K38" i="94"/>
  <c r="N128" i="74" s="1"/>
  <c r="N127" i="74"/>
  <c r="X9" i="76"/>
  <c r="AA136" i="74" s="1"/>
  <c r="AH42" i="82"/>
  <c r="AH43" i="82" s="1"/>
  <c r="AK92" i="74" s="1"/>
  <c r="J83" i="74"/>
  <c r="J230" i="74" s="1"/>
  <c r="J221" i="74" s="1"/>
  <c r="J215" i="74" s="1"/>
  <c r="G23" i="82"/>
  <c r="AK83" i="74"/>
  <c r="AK230" i="74" s="1"/>
  <c r="AK221" i="74" s="1"/>
  <c r="AK270" i="74" s="1"/>
  <c r="AK284" i="74" s="1"/>
  <c r="U18" i="82"/>
  <c r="X69" i="74" s="1"/>
  <c r="X191" i="74" s="1"/>
  <c r="X182" i="74" s="1"/>
  <c r="X174" i="74" s="1"/>
  <c r="G18" i="82"/>
  <c r="G38" i="94"/>
  <c r="J40" i="94"/>
  <c r="M130" i="74" s="1"/>
  <c r="K40" i="94"/>
  <c r="N130" i="74" s="1"/>
  <c r="H40" i="94"/>
  <c r="K130" i="74" s="1"/>
  <c r="G40" i="94"/>
  <c r="J130" i="74" s="1"/>
  <c r="J127" i="74"/>
  <c r="I40" i="94"/>
  <c r="L130" i="74" s="1"/>
  <c r="S9" i="76"/>
  <c r="V136" i="74" s="1"/>
  <c r="AY147" i="74"/>
  <c r="AV38" i="76"/>
  <c r="AY165" i="74" s="1"/>
  <c r="AW37" i="76"/>
  <c r="AW38" i="76" s="1"/>
  <c r="AZ165" i="74" s="1"/>
  <c r="AL23" i="82"/>
  <c r="AL42" i="82" s="1"/>
  <c r="AL43" i="82" s="1"/>
  <c r="AO92" i="74" s="1"/>
  <c r="Z23" i="82"/>
  <c r="Z42" i="82" s="1"/>
  <c r="Z43" i="82" s="1"/>
  <c r="AC92" i="74" s="1"/>
  <c r="S18" i="82"/>
  <c r="Q18" i="82"/>
  <c r="W23" i="82"/>
  <c r="Z74" i="74" s="1"/>
  <c r="M18" i="82"/>
  <c r="M9" i="82" s="1"/>
  <c r="T18" i="82"/>
  <c r="AO23" i="82"/>
  <c r="AR74" i="74" s="1"/>
  <c r="S174" i="74"/>
  <c r="AL83" i="74"/>
  <c r="AL230" i="74" s="1"/>
  <c r="AL221" i="74" s="1"/>
  <c r="AL270" i="74" s="1"/>
  <c r="AL284" i="74" s="1"/>
  <c r="AM83" i="74"/>
  <c r="AM230" i="74" s="1"/>
  <c r="AM221" i="74" s="1"/>
  <c r="AM270" i="74" s="1"/>
  <c r="AM284" i="74" s="1"/>
  <c r="AJ23" i="82"/>
  <c r="AL74" i="74"/>
  <c r="AL91" i="74"/>
  <c r="AS83" i="74"/>
  <c r="AS230" i="74" s="1"/>
  <c r="AS221" i="74" s="1"/>
  <c r="AS270" i="74" s="1"/>
  <c r="AS284" i="74" s="1"/>
  <c r="AP23" i="82"/>
  <c r="T83" i="74"/>
  <c r="T230" i="74" s="1"/>
  <c r="T221" i="74" s="1"/>
  <c r="Q23" i="82"/>
  <c r="T74" i="74" s="1"/>
  <c r="AQ83" i="74"/>
  <c r="AQ230" i="74" s="1"/>
  <c r="AQ221" i="74" s="1"/>
  <c r="AQ270" i="74" s="1"/>
  <c r="AQ284" i="74" s="1"/>
  <c r="AN23" i="82"/>
  <c r="AP83" i="74"/>
  <c r="AP230" i="74" s="1"/>
  <c r="AP221" i="74" s="1"/>
  <c r="AP270" i="74" s="1"/>
  <c r="AP284" i="74" s="1"/>
  <c r="AM23" i="82"/>
  <c r="X83" i="74"/>
  <c r="X230" i="74" s="1"/>
  <c r="X221" i="74" s="1"/>
  <c r="U23" i="82"/>
  <c r="X74" i="74" s="1"/>
  <c r="X23" i="82"/>
  <c r="AA83" i="74"/>
  <c r="AA230" i="74" s="1"/>
  <c r="AA221" i="74" s="1"/>
  <c r="AA270" i="74" s="1"/>
  <c r="AA284" i="74" s="1"/>
  <c r="U83" i="74"/>
  <c r="U230" i="74" s="1"/>
  <c r="U221" i="74" s="1"/>
  <c r="U270" i="74" s="1"/>
  <c r="U284" i="74" s="1"/>
  <c r="R23" i="82"/>
  <c r="AN83" i="74"/>
  <c r="AN230" i="74" s="1"/>
  <c r="AN221" i="74" s="1"/>
  <c r="AN270" i="74" s="1"/>
  <c r="AN284" i="74" s="1"/>
  <c r="AK23" i="82"/>
  <c r="Y83" i="74"/>
  <c r="Y230" i="74" s="1"/>
  <c r="Y221" i="74" s="1"/>
  <c r="Y270" i="74" s="1"/>
  <c r="Y284" i="74" s="1"/>
  <c r="V23" i="82"/>
  <c r="AH83" i="74"/>
  <c r="AH230" i="74" s="1"/>
  <c r="AH221" i="74" s="1"/>
  <c r="AH270" i="74" s="1"/>
  <c r="AH284" i="74" s="1"/>
  <c r="AE23" i="82"/>
  <c r="AC23" i="82"/>
  <c r="AF83" i="74"/>
  <c r="AF230" i="74" s="1"/>
  <c r="AF221" i="74" s="1"/>
  <c r="AF270" i="74" s="1"/>
  <c r="AF284" i="74" s="1"/>
  <c r="V83" i="74"/>
  <c r="V230" i="74" s="1"/>
  <c r="V221" i="74" s="1"/>
  <c r="S23" i="82"/>
  <c r="V74" i="74" s="1"/>
  <c r="AF23" i="82"/>
  <c r="AI83" i="74"/>
  <c r="AI230" i="74" s="1"/>
  <c r="AI221" i="74" s="1"/>
  <c r="AI270" i="74" s="1"/>
  <c r="AI284" i="74" s="1"/>
  <c r="AJ83" i="74"/>
  <c r="AJ230" i="74" s="1"/>
  <c r="AJ221" i="74" s="1"/>
  <c r="AJ270" i="74" s="1"/>
  <c r="AJ284" i="74" s="1"/>
  <c r="AG23" i="82"/>
  <c r="AE83" i="74"/>
  <c r="AE230" i="74" s="1"/>
  <c r="AE221" i="74" s="1"/>
  <c r="AE270" i="74" s="1"/>
  <c r="AE284" i="74" s="1"/>
  <c r="AB23" i="82"/>
  <c r="W83" i="74"/>
  <c r="W230" i="74" s="1"/>
  <c r="W221" i="74" s="1"/>
  <c r="T23" i="82"/>
  <c r="W74" i="74" s="1"/>
  <c r="Y23" i="82"/>
  <c r="AD83" i="74"/>
  <c r="AD230" i="74" s="1"/>
  <c r="AD221" i="74" s="1"/>
  <c r="AD270" i="74" s="1"/>
  <c r="AD284" i="74" s="1"/>
  <c r="AA23" i="82"/>
  <c r="AD23" i="82"/>
  <c r="AG83" i="74"/>
  <c r="AG230" i="74" s="1"/>
  <c r="AG221" i="74" s="1"/>
  <c r="AG270" i="74" s="1"/>
  <c r="AG284" i="74" s="1"/>
  <c r="G34" i="74"/>
  <c r="G178" i="74" s="1"/>
  <c r="N34" i="74"/>
  <c r="N178" i="74" s="1"/>
  <c r="N175" i="74" s="1"/>
  <c r="D12" i="56"/>
  <c r="C96" i="55"/>
  <c r="H31" i="74"/>
  <c r="H176" i="74" s="1"/>
  <c r="G31" i="74"/>
  <c r="G176" i="74" s="1"/>
  <c r="G138" i="74"/>
  <c r="G207" i="74" s="1"/>
  <c r="H138" i="74"/>
  <c r="H207" i="74" s="1"/>
  <c r="AI110" i="74" l="1"/>
  <c r="AG110" i="74"/>
  <c r="E9" i="94"/>
  <c r="D9" i="94"/>
  <c r="G99" i="74" s="1"/>
  <c r="J74" i="74"/>
  <c r="D23" i="82"/>
  <c r="G74" i="74" s="1"/>
  <c r="G221" i="74" s="1"/>
  <c r="E23" i="82"/>
  <c r="H74" i="74" s="1"/>
  <c r="H221" i="74" s="1"/>
  <c r="O110" i="74"/>
  <c r="D20" i="94"/>
  <c r="G110" i="74" s="1"/>
  <c r="E20" i="94"/>
  <c r="H110" i="74" s="1"/>
  <c r="AA37" i="94"/>
  <c r="AA38" i="94" s="1"/>
  <c r="AD128" i="74" s="1"/>
  <c r="D18" i="82"/>
  <c r="G69" i="74" s="1"/>
  <c r="G191" i="74" s="1"/>
  <c r="G182" i="74" s="1"/>
  <c r="E18" i="82"/>
  <c r="H69" i="74" s="1"/>
  <c r="H191" i="74" s="1"/>
  <c r="O271" i="74"/>
  <c r="O285" i="74" s="1"/>
  <c r="O290" i="74" s="1"/>
  <c r="AK37" i="94"/>
  <c r="AK38" i="94" s="1"/>
  <c r="AN128" i="74" s="1"/>
  <c r="AP110" i="74"/>
  <c r="AM37" i="94"/>
  <c r="AQ110" i="74"/>
  <c r="AN37" i="94"/>
  <c r="V110" i="74"/>
  <c r="AA110" i="74"/>
  <c r="R37" i="94"/>
  <c r="U127" i="74" s="1"/>
  <c r="T110" i="74"/>
  <c r="H271" i="74"/>
  <c r="T37" i="94"/>
  <c r="W127" i="74" s="1"/>
  <c r="Z110" i="74"/>
  <c r="AB110" i="74"/>
  <c r="G271" i="74"/>
  <c r="Q271" i="74"/>
  <c r="Q285" i="74" s="1"/>
  <c r="O99" i="74"/>
  <c r="L37" i="94"/>
  <c r="H99" i="74"/>
  <c r="P110" i="74"/>
  <c r="M37" i="94"/>
  <c r="AL37" i="94"/>
  <c r="AO110" i="74"/>
  <c r="Q110" i="74"/>
  <c r="N37" i="94"/>
  <c r="AJ37" i="94"/>
  <c r="AE127" i="74"/>
  <c r="AB38" i="94"/>
  <c r="AE128" i="74" s="1"/>
  <c r="R127" i="74"/>
  <c r="O38" i="94"/>
  <c r="R128" i="74" s="1"/>
  <c r="P38" i="94"/>
  <c r="S128" i="74" s="1"/>
  <c r="S127" i="74"/>
  <c r="AL127" i="74"/>
  <c r="AI38" i="94"/>
  <c r="AL128" i="74" s="1"/>
  <c r="Z127" i="74"/>
  <c r="W38" i="94"/>
  <c r="Z128" i="74" s="1"/>
  <c r="AB127" i="74"/>
  <c r="Y38" i="94"/>
  <c r="AB128" i="74" s="1"/>
  <c r="AE38" i="94"/>
  <c r="AH128" i="74" s="1"/>
  <c r="AH127" i="74"/>
  <c r="X38" i="94"/>
  <c r="AA128" i="74" s="1"/>
  <c r="AA127" i="74"/>
  <c r="V127" i="74"/>
  <c r="S38" i="94"/>
  <c r="V128" i="74" s="1"/>
  <c r="V38" i="94"/>
  <c r="Y128" i="74" s="1"/>
  <c r="Y127" i="74"/>
  <c r="U38" i="94"/>
  <c r="X128" i="74" s="1"/>
  <c r="X127" i="74"/>
  <c r="AH38" i="94"/>
  <c r="AK128" i="74" s="1"/>
  <c r="AK127" i="74"/>
  <c r="AC127" i="74"/>
  <c r="Z38" i="94"/>
  <c r="AC128" i="74" s="1"/>
  <c r="AI127" i="74"/>
  <c r="AF38" i="94"/>
  <c r="AI128" i="74" s="1"/>
  <c r="AG38" i="94"/>
  <c r="AJ128" i="74" s="1"/>
  <c r="AJ127" i="74"/>
  <c r="AC38" i="94"/>
  <c r="AF128" i="74" s="1"/>
  <c r="AF127" i="74"/>
  <c r="AD38" i="94"/>
  <c r="AG128" i="74" s="1"/>
  <c r="AG127" i="74"/>
  <c r="T127" i="74"/>
  <c r="Q38" i="94"/>
  <c r="T128" i="74" s="1"/>
  <c r="AR42" i="82"/>
  <c r="AU74" i="74"/>
  <c r="AZ74" i="74"/>
  <c r="AW42" i="82"/>
  <c r="AX74" i="74"/>
  <c r="AU42" i="82"/>
  <c r="AZ270" i="74"/>
  <c r="AZ215" i="74"/>
  <c r="AZ268" i="74" s="1"/>
  <c r="AZ274" i="74" s="1"/>
  <c r="AZ281" i="74" s="1"/>
  <c r="AT74" i="74"/>
  <c r="AQ42" i="82"/>
  <c r="AV42" i="82"/>
  <c r="AY74" i="74"/>
  <c r="AV74" i="74"/>
  <c r="AS42" i="82"/>
  <c r="AT42" i="82"/>
  <c r="AW74" i="74"/>
  <c r="X270" i="74"/>
  <c r="X284" i="74" s="1"/>
  <c r="AK91" i="74"/>
  <c r="U9" i="82"/>
  <c r="X60" i="74" s="1"/>
  <c r="G41" i="94"/>
  <c r="J131" i="74" s="1"/>
  <c r="J128" i="74"/>
  <c r="H41" i="94"/>
  <c r="K131" i="74" s="1"/>
  <c r="I41" i="94"/>
  <c r="L131" i="74" s="1"/>
  <c r="J41" i="94"/>
  <c r="M131" i="74" s="1"/>
  <c r="K41" i="94"/>
  <c r="N131" i="74" s="1"/>
  <c r="J69" i="74"/>
  <c r="J191" i="74" s="1"/>
  <c r="G9" i="82"/>
  <c r="AZ164" i="74"/>
  <c r="W42" i="82"/>
  <c r="Z91" i="74" s="1"/>
  <c r="AO91" i="74"/>
  <c r="AC74" i="74"/>
  <c r="AC91" i="74"/>
  <c r="AO42" i="82"/>
  <c r="AR91" i="74" s="1"/>
  <c r="AO74" i="74"/>
  <c r="T69" i="74"/>
  <c r="T191" i="74" s="1"/>
  <c r="T182" i="74" s="1"/>
  <c r="T270" i="74" s="1"/>
  <c r="T284" i="74" s="1"/>
  <c r="Q9" i="82"/>
  <c r="T60" i="74" s="1"/>
  <c r="S9" i="82"/>
  <c r="V60" i="74" s="1"/>
  <c r="V69" i="74"/>
  <c r="V191" i="74" s="1"/>
  <c r="V182" i="74" s="1"/>
  <c r="V174" i="74" s="1"/>
  <c r="P69" i="74"/>
  <c r="P191" i="74" s="1"/>
  <c r="P182" i="74" s="1"/>
  <c r="P60" i="74"/>
  <c r="M42" i="82"/>
  <c r="W69" i="74"/>
  <c r="W191" i="74" s="1"/>
  <c r="W182" i="74" s="1"/>
  <c r="W174" i="74" s="1"/>
  <c r="T9" i="82"/>
  <c r="T42" i="82" s="1"/>
  <c r="W91" i="74" s="1"/>
  <c r="AM74" i="74"/>
  <c r="AJ42" i="82"/>
  <c r="AM42" i="82"/>
  <c r="AP74" i="74"/>
  <c r="AN42" i="82"/>
  <c r="AQ74" i="74"/>
  <c r="AP42" i="82"/>
  <c r="AS74" i="74"/>
  <c r="AE74" i="74"/>
  <c r="AB42" i="82"/>
  <c r="Y74" i="74"/>
  <c r="V42" i="82"/>
  <c r="AC42" i="82"/>
  <c r="AF74" i="74"/>
  <c r="AJ74" i="74"/>
  <c r="AG42" i="82"/>
  <c r="AK42" i="82"/>
  <c r="AN74" i="74"/>
  <c r="U74" i="74"/>
  <c r="R42" i="82"/>
  <c r="AB74" i="74"/>
  <c r="Y42" i="82"/>
  <c r="AA42" i="82"/>
  <c r="AD74" i="74"/>
  <c r="AI74" i="74"/>
  <c r="AF42" i="82"/>
  <c r="AE42" i="82"/>
  <c r="AH74" i="74"/>
  <c r="AD42" i="82"/>
  <c r="AG74" i="74"/>
  <c r="AA74" i="74"/>
  <c r="X42" i="82"/>
  <c r="G75" i="45"/>
  <c r="Q27" i="55" s="1"/>
  <c r="K57" i="55"/>
  <c r="K55" i="55" s="1"/>
  <c r="N30" i="74"/>
  <c r="H34" i="74"/>
  <c r="H178" i="74" s="1"/>
  <c r="C98" i="55"/>
  <c r="C105" i="55" s="1"/>
  <c r="C107" i="55" s="1"/>
  <c r="P290" i="74" l="1"/>
  <c r="E9" i="82"/>
  <c r="D9" i="82"/>
  <c r="E37" i="94"/>
  <c r="H127" i="74" s="1"/>
  <c r="D37" i="94"/>
  <c r="G127" i="74" s="1"/>
  <c r="AD127" i="74"/>
  <c r="AX290" i="74"/>
  <c r="AN127" i="74"/>
  <c r="AQ127" i="74"/>
  <c r="AN38" i="94"/>
  <c r="AQ128" i="74" s="1"/>
  <c r="AP127" i="74"/>
  <c r="AM38" i="94"/>
  <c r="AP128" i="74" s="1"/>
  <c r="R38" i="94"/>
  <c r="U128" i="74" s="1"/>
  <c r="T38" i="94"/>
  <c r="W128" i="74" s="1"/>
  <c r="AP290" i="74"/>
  <c r="AQ290" i="74"/>
  <c r="AL290" i="74"/>
  <c r="AC290" i="74"/>
  <c r="AK290" i="74"/>
  <c r="V290" i="74"/>
  <c r="R290" i="74"/>
  <c r="AH290" i="74"/>
  <c r="AO290" i="74"/>
  <c r="Q290" i="74"/>
  <c r="AT290" i="74"/>
  <c r="AS290" i="74"/>
  <c r="AR290" i="74"/>
  <c r="BE290" i="74"/>
  <c r="AE290" i="74"/>
  <c r="AV290" i="74"/>
  <c r="BD290" i="74"/>
  <c r="AJ290" i="74"/>
  <c r="X290" i="74"/>
  <c r="AI290" i="74"/>
  <c r="AD290" i="74"/>
  <c r="S290" i="74"/>
  <c r="AN290" i="74"/>
  <c r="AB290" i="74"/>
  <c r="AA290" i="74"/>
  <c r="AG290" i="74"/>
  <c r="BC290" i="74"/>
  <c r="AM290" i="74"/>
  <c r="Y290" i="74"/>
  <c r="BA290" i="74"/>
  <c r="W290" i="74"/>
  <c r="AW290" i="74"/>
  <c r="BB290" i="74"/>
  <c r="U290" i="74"/>
  <c r="Z290" i="74"/>
  <c r="AY290" i="74"/>
  <c r="T290" i="74"/>
  <c r="AF290" i="74"/>
  <c r="AU290" i="74"/>
  <c r="AZ290" i="74"/>
  <c r="Y40" i="94"/>
  <c r="AB130" i="74" s="1"/>
  <c r="AH40" i="94"/>
  <c r="AK130" i="74" s="1"/>
  <c r="L38" i="94"/>
  <c r="O127" i="74"/>
  <c r="L40" i="94"/>
  <c r="O130" i="74" s="1"/>
  <c r="AP40" i="94"/>
  <c r="AS130" i="74" s="1"/>
  <c r="AM127" i="74"/>
  <c r="AJ38" i="94"/>
  <c r="AM128" i="74" s="1"/>
  <c r="O40" i="94"/>
  <c r="R130" i="74" s="1"/>
  <c r="AZ284" i="74"/>
  <c r="BA40" i="94"/>
  <c r="BD130" i="74" s="1"/>
  <c r="W40" i="94"/>
  <c r="Z130" i="74" s="1"/>
  <c r="AR40" i="94"/>
  <c r="AU130" i="74" s="1"/>
  <c r="AL40" i="94"/>
  <c r="AO130" i="74" s="1"/>
  <c r="R40" i="94"/>
  <c r="U130" i="74" s="1"/>
  <c r="U40" i="94"/>
  <c r="X130" i="74" s="1"/>
  <c r="AY40" i="94"/>
  <c r="BB130" i="74" s="1"/>
  <c r="AA40" i="94"/>
  <c r="AD130" i="74" s="1"/>
  <c r="N38" i="94"/>
  <c r="Q128" i="74" s="1"/>
  <c r="Q127" i="74"/>
  <c r="AI40" i="94"/>
  <c r="AL130" i="74" s="1"/>
  <c r="X40" i="94"/>
  <c r="AA130" i="74" s="1"/>
  <c r="T40" i="94"/>
  <c r="W130" i="74" s="1"/>
  <c r="AF40" i="94"/>
  <c r="AI130" i="74" s="1"/>
  <c r="AM40" i="94"/>
  <c r="AP130" i="74" s="1"/>
  <c r="AB40" i="94"/>
  <c r="AE130" i="74" s="1"/>
  <c r="AJ40" i="94"/>
  <c r="AM130" i="74" s="1"/>
  <c r="AT40" i="94"/>
  <c r="AW130" i="74" s="1"/>
  <c r="BB40" i="94"/>
  <c r="BE130" i="74" s="1"/>
  <c r="AC40" i="94"/>
  <c r="AF130" i="74" s="1"/>
  <c r="AU40" i="94"/>
  <c r="AX130" i="74" s="1"/>
  <c r="AO40" i="94"/>
  <c r="AR130" i="74" s="1"/>
  <c r="V40" i="94"/>
  <c r="Y130" i="74" s="1"/>
  <c r="AD40" i="94"/>
  <c r="AG130" i="74" s="1"/>
  <c r="AE40" i="94"/>
  <c r="AH130" i="74" s="1"/>
  <c r="AW40" i="94"/>
  <c r="AZ130" i="74" s="1"/>
  <c r="AL38" i="94"/>
  <c r="AO128" i="74" s="1"/>
  <c r="AO127" i="74"/>
  <c r="AQ40" i="94"/>
  <c r="AT130" i="74" s="1"/>
  <c r="AG40" i="94"/>
  <c r="AJ130" i="74" s="1"/>
  <c r="Z40" i="94"/>
  <c r="AC130" i="74" s="1"/>
  <c r="AV40" i="94"/>
  <c r="AY130" i="74" s="1"/>
  <c r="Q40" i="94"/>
  <c r="T130" i="74" s="1"/>
  <c r="AN40" i="94"/>
  <c r="AQ130" i="74" s="1"/>
  <c r="AK40" i="94"/>
  <c r="AN130" i="74" s="1"/>
  <c r="P127" i="74"/>
  <c r="M38" i="94"/>
  <c r="M40" i="94"/>
  <c r="P130" i="74" s="1"/>
  <c r="N40" i="94"/>
  <c r="Q130" i="74" s="1"/>
  <c r="P40" i="94"/>
  <c r="S130" i="74" s="1"/>
  <c r="S40" i="94"/>
  <c r="V130" i="74" s="1"/>
  <c r="AZ40" i="94"/>
  <c r="BC130" i="74" s="1"/>
  <c r="AX40" i="94"/>
  <c r="BA130" i="74" s="1"/>
  <c r="AS40" i="94"/>
  <c r="AV130" i="74" s="1"/>
  <c r="B11" i="103"/>
  <c r="B12" i="103" s="1"/>
  <c r="B13" i="103" s="1"/>
  <c r="E46" i="54" s="1"/>
  <c r="L27" i="55"/>
  <c r="AW91" i="74"/>
  <c r="AT43" i="82"/>
  <c r="AW92" i="74" s="1"/>
  <c r="AV91" i="74"/>
  <c r="AS43" i="82"/>
  <c r="AV92" i="74" s="1"/>
  <c r="AX91" i="74"/>
  <c r="AU43" i="82"/>
  <c r="AX92" i="74" s="1"/>
  <c r="AW43" i="82"/>
  <c r="AZ92" i="74" s="1"/>
  <c r="AZ91" i="74"/>
  <c r="AV43" i="82"/>
  <c r="AY92" i="74" s="1"/>
  <c r="AY91" i="74"/>
  <c r="AT91" i="74"/>
  <c r="AQ43" i="82"/>
  <c r="AT92" i="74" s="1"/>
  <c r="AU91" i="74"/>
  <c r="AR43" i="82"/>
  <c r="AU92" i="74" s="1"/>
  <c r="I27" i="55"/>
  <c r="J27" i="55"/>
  <c r="J25" i="55" s="1"/>
  <c r="J182" i="74"/>
  <c r="J270" i="74" s="1"/>
  <c r="V270" i="74"/>
  <c r="V284" i="74" s="1"/>
  <c r="P174" i="74"/>
  <c r="P270" i="74"/>
  <c r="P284" i="74" s="1"/>
  <c r="H182" i="74"/>
  <c r="G307" i="74" s="1"/>
  <c r="W270" i="74"/>
  <c r="W284" i="74" s="1"/>
  <c r="U42" i="82"/>
  <c r="U43" i="82" s="1"/>
  <c r="X92" i="74" s="1"/>
  <c r="J60" i="74"/>
  <c r="G42" i="82"/>
  <c r="W43" i="82"/>
  <c r="Z92" i="74" s="1"/>
  <c r="AO43" i="82"/>
  <c r="AR92" i="74" s="1"/>
  <c r="S42" i="82"/>
  <c r="S43" i="82" s="1"/>
  <c r="V92" i="74" s="1"/>
  <c r="Q42" i="82"/>
  <c r="Q43" i="82" s="1"/>
  <c r="T92" i="74" s="1"/>
  <c r="G270" i="74"/>
  <c r="W60" i="74"/>
  <c r="H60" i="74"/>
  <c r="G60" i="74"/>
  <c r="P91" i="74"/>
  <c r="M43" i="82"/>
  <c r="P92" i="74" s="1"/>
  <c r="N174" i="74"/>
  <c r="G310" i="74"/>
  <c r="AJ43" i="82"/>
  <c r="AM92" i="74" s="1"/>
  <c r="AM91" i="74"/>
  <c r="AS91" i="74"/>
  <c r="AP43" i="82"/>
  <c r="AS92" i="74" s="1"/>
  <c r="T43" i="82"/>
  <c r="W92" i="74" s="1"/>
  <c r="AN43" i="82"/>
  <c r="AQ92" i="74" s="1"/>
  <c r="AQ91" i="74"/>
  <c r="AP91" i="74"/>
  <c r="AM43" i="82"/>
  <c r="AP92" i="74" s="1"/>
  <c r="AD43" i="82"/>
  <c r="AG92" i="74" s="1"/>
  <c r="AG91" i="74"/>
  <c r="U91" i="74"/>
  <c r="R43" i="82"/>
  <c r="U92" i="74" s="1"/>
  <c r="AN91" i="74"/>
  <c r="AK43" i="82"/>
  <c r="AN92" i="74" s="1"/>
  <c r="AJ91" i="74"/>
  <c r="AG43" i="82"/>
  <c r="AJ92" i="74" s="1"/>
  <c r="AF43" i="82"/>
  <c r="AI92" i="74" s="1"/>
  <c r="AI91" i="74"/>
  <c r="AE43" i="82"/>
  <c r="AH92" i="74" s="1"/>
  <c r="AH91" i="74"/>
  <c r="AF91" i="74"/>
  <c r="AC43" i="82"/>
  <c r="AF92" i="74" s="1"/>
  <c r="AD91" i="74"/>
  <c r="AA43" i="82"/>
  <c r="AD92" i="74" s="1"/>
  <c r="Y91" i="74"/>
  <c r="V43" i="82"/>
  <c r="Y92" i="74" s="1"/>
  <c r="X43" i="82"/>
  <c r="AA92" i="74" s="1"/>
  <c r="AA91" i="74"/>
  <c r="Y43" i="82"/>
  <c r="AB92" i="74" s="1"/>
  <c r="AB91" i="74"/>
  <c r="AE91" i="74"/>
  <c r="AB43" i="82"/>
  <c r="AE92" i="74" s="1"/>
  <c r="R154" i="74"/>
  <c r="R249" i="74" s="1"/>
  <c r="S153" i="74"/>
  <c r="S248" i="74" s="1"/>
  <c r="AJ156" i="74"/>
  <c r="AJ251" i="74" s="1"/>
  <c r="AG153" i="74"/>
  <c r="AG248" i="74" s="1"/>
  <c r="X157" i="74"/>
  <c r="X252" i="74" s="1"/>
  <c r="AC156" i="74"/>
  <c r="AC251" i="74" s="1"/>
  <c r="AW154" i="74"/>
  <c r="AW249" i="74" s="1"/>
  <c r="AP154" i="74"/>
  <c r="AP249" i="74" s="1"/>
  <c r="AN153" i="74"/>
  <c r="AN248" i="74" s="1"/>
  <c r="V153" i="74"/>
  <c r="V248" i="74" s="1"/>
  <c r="P157" i="74"/>
  <c r="P252" i="74" s="1"/>
  <c r="AG156" i="74"/>
  <c r="AG251" i="74" s="1"/>
  <c r="AB156" i="74"/>
  <c r="AB251" i="74" s="1"/>
  <c r="AH153" i="74"/>
  <c r="AH248" i="74" s="1"/>
  <c r="AI153" i="74"/>
  <c r="AI248" i="74" s="1"/>
  <c r="AV157" i="74"/>
  <c r="AV252" i="74" s="1"/>
  <c r="AO157" i="74"/>
  <c r="AO252" i="74" s="1"/>
  <c r="AW156" i="74"/>
  <c r="AW251" i="74" s="1"/>
  <c r="AP157" i="74"/>
  <c r="AP252" i="74" s="1"/>
  <c r="AG154" i="74"/>
  <c r="AG249" i="74" s="1"/>
  <c r="O157" i="74"/>
  <c r="O252" i="74" s="1"/>
  <c r="AL153" i="74"/>
  <c r="AL248" i="74" s="1"/>
  <c r="AH154" i="74"/>
  <c r="AH249" i="74" s="1"/>
  <c r="AI156" i="74"/>
  <c r="AI251" i="74" s="1"/>
  <c r="AF156" i="74"/>
  <c r="AF251" i="74" s="1"/>
  <c r="U154" i="74"/>
  <c r="U249" i="74" s="1"/>
  <c r="AK157" i="74"/>
  <c r="AK252" i="74" s="1"/>
  <c r="AF154" i="74"/>
  <c r="AF249" i="74" s="1"/>
  <c r="AA156" i="74"/>
  <c r="AA251" i="74" s="1"/>
  <c r="R156" i="74"/>
  <c r="R251" i="74" s="1"/>
  <c r="AG157" i="74"/>
  <c r="AG252" i="74" s="1"/>
  <c r="X153" i="74"/>
  <c r="X248" i="74" s="1"/>
  <c r="AD153" i="74"/>
  <c r="AD248" i="74" s="1"/>
  <c r="AQ153" i="74"/>
  <c r="AQ248" i="74" s="1"/>
  <c r="AT156" i="74"/>
  <c r="AT251" i="74" s="1"/>
  <c r="AQ154" i="74"/>
  <c r="AQ249" i="74" s="1"/>
  <c r="AS153" i="74"/>
  <c r="AS248" i="74" s="1"/>
  <c r="V156" i="74"/>
  <c r="V251" i="74" s="1"/>
  <c r="U156" i="74"/>
  <c r="U251" i="74" s="1"/>
  <c r="AD154" i="74"/>
  <c r="AD249" i="74" s="1"/>
  <c r="M153" i="74"/>
  <c r="M248" i="74" s="1"/>
  <c r="T154" i="74"/>
  <c r="T249" i="74" s="1"/>
  <c r="N156" i="74"/>
  <c r="N251" i="74" s="1"/>
  <c r="AH157" i="74"/>
  <c r="AH252" i="74" s="1"/>
  <c r="AM153" i="74"/>
  <c r="AM248" i="74" s="1"/>
  <c r="AO154" i="74"/>
  <c r="AO249" i="74" s="1"/>
  <c r="Y153" i="74"/>
  <c r="Y248" i="74" s="1"/>
  <c r="AK153" i="74"/>
  <c r="AK248" i="74" s="1"/>
  <c r="AD157" i="74"/>
  <c r="AD252" i="74" s="1"/>
  <c r="AA157" i="74"/>
  <c r="AA252" i="74" s="1"/>
  <c r="AH156" i="74"/>
  <c r="AH251" i="74" s="1"/>
  <c r="R153" i="74"/>
  <c r="R248" i="74" s="1"/>
  <c r="Y156" i="74"/>
  <c r="Y251" i="74" s="1"/>
  <c r="Q153" i="74"/>
  <c r="Q248" i="74" s="1"/>
  <c r="K145" i="74"/>
  <c r="K214" i="74" s="1"/>
  <c r="N157" i="74"/>
  <c r="N252" i="74" s="1"/>
  <c r="V154" i="74"/>
  <c r="V249" i="74" s="1"/>
  <c r="N154" i="74"/>
  <c r="N249" i="74" s="1"/>
  <c r="AR157" i="74"/>
  <c r="AR252" i="74" s="1"/>
  <c r="Q154" i="74"/>
  <c r="Q249" i="74" s="1"/>
  <c r="AO153" i="74"/>
  <c r="AO248" i="74" s="1"/>
  <c r="AU156" i="74"/>
  <c r="AU251" i="74" s="1"/>
  <c r="AF153" i="74"/>
  <c r="AF248" i="74" s="1"/>
  <c r="K142" i="74"/>
  <c r="K211" i="74" s="1"/>
  <c r="AS156" i="74"/>
  <c r="AS251" i="74" s="1"/>
  <c r="AN154" i="74"/>
  <c r="AN249" i="74" s="1"/>
  <c r="AQ157" i="74"/>
  <c r="AQ252" i="74" s="1"/>
  <c r="AC154" i="74"/>
  <c r="AC249" i="74" s="1"/>
  <c r="AS154" i="74"/>
  <c r="AS249" i="74" s="1"/>
  <c r="AV153" i="74"/>
  <c r="AV248" i="74" s="1"/>
  <c r="AC153" i="74"/>
  <c r="AC248" i="74" s="1"/>
  <c r="U157" i="74"/>
  <c r="U252" i="74" s="1"/>
  <c r="Z153" i="74"/>
  <c r="Z248" i="74" s="1"/>
  <c r="Z154" i="74"/>
  <c r="Z249" i="74" s="1"/>
  <c r="Y154" i="74"/>
  <c r="Y249" i="74" s="1"/>
  <c r="AV156" i="74"/>
  <c r="AV251" i="74" s="1"/>
  <c r="Z156" i="74"/>
  <c r="Z251" i="74" s="1"/>
  <c r="AT153" i="74"/>
  <c r="AT248" i="74" s="1"/>
  <c r="Z157" i="74"/>
  <c r="Z252" i="74" s="1"/>
  <c r="AK156" i="74"/>
  <c r="AK251" i="74" s="1"/>
  <c r="AU157" i="74"/>
  <c r="AU252" i="74" s="1"/>
  <c r="AE156" i="74"/>
  <c r="AE251" i="74" s="1"/>
  <c r="AJ153" i="74"/>
  <c r="AJ248" i="74" s="1"/>
  <c r="R157" i="74"/>
  <c r="R252" i="74" s="1"/>
  <c r="AU154" i="74"/>
  <c r="AU249" i="74" s="1"/>
  <c r="T157" i="74"/>
  <c r="T252" i="74" s="1"/>
  <c r="AL156" i="74"/>
  <c r="AL251" i="74" s="1"/>
  <c r="P156" i="74"/>
  <c r="P251" i="74" s="1"/>
  <c r="Y157" i="74"/>
  <c r="Y252" i="74" s="1"/>
  <c r="X154" i="74"/>
  <c r="X249" i="74" s="1"/>
  <c r="AS157" i="74"/>
  <c r="AS252" i="74" s="1"/>
  <c r="K141" i="74"/>
  <c r="K210" i="74" s="1"/>
  <c r="AB154" i="74"/>
  <c r="AB249" i="74" s="1"/>
  <c r="X156" i="74"/>
  <c r="X251" i="74" s="1"/>
  <c r="K140" i="74"/>
  <c r="K209" i="74" s="1"/>
  <c r="AJ157" i="74"/>
  <c r="AJ252" i="74" s="1"/>
  <c r="AJ154" i="74"/>
  <c r="AJ249" i="74" s="1"/>
  <c r="AM156" i="74"/>
  <c r="AM251" i="74" s="1"/>
  <c r="AT154" i="74"/>
  <c r="AT249" i="74" s="1"/>
  <c r="M154" i="74"/>
  <c r="M249" i="74" s="1"/>
  <c r="AE157" i="74"/>
  <c r="AE252" i="74" s="1"/>
  <c r="AL154" i="74"/>
  <c r="AL249" i="74" s="1"/>
  <c r="AX156" i="74"/>
  <c r="AX251" i="74" s="1"/>
  <c r="AE153" i="74"/>
  <c r="AE248" i="74" s="1"/>
  <c r="S156" i="74"/>
  <c r="S251" i="74" s="1"/>
  <c r="M157" i="74"/>
  <c r="M252" i="74" s="1"/>
  <c r="O153" i="74"/>
  <c r="O248" i="74" s="1"/>
  <c r="AW157" i="74"/>
  <c r="AW252" i="74" s="1"/>
  <c r="S157" i="74"/>
  <c r="S252" i="74" s="1"/>
  <c r="AU153" i="74"/>
  <c r="AU248" i="74" s="1"/>
  <c r="AK154" i="74"/>
  <c r="AK249" i="74" s="1"/>
  <c r="AQ156" i="74"/>
  <c r="AQ251" i="74" s="1"/>
  <c r="AN157" i="74"/>
  <c r="AN252" i="74" s="1"/>
  <c r="AP156" i="74"/>
  <c r="AP251" i="74" s="1"/>
  <c r="AR156" i="74"/>
  <c r="AR251" i="74" s="1"/>
  <c r="Q156" i="74"/>
  <c r="Q251" i="74" s="1"/>
  <c r="AB153" i="74"/>
  <c r="AB248" i="74" s="1"/>
  <c r="AD156" i="74"/>
  <c r="AD251" i="74" s="1"/>
  <c r="T156" i="74"/>
  <c r="T251" i="74" s="1"/>
  <c r="T153" i="74"/>
  <c r="T248" i="74" s="1"/>
  <c r="AM157" i="74"/>
  <c r="AM252" i="74" s="1"/>
  <c r="W157" i="74"/>
  <c r="W252" i="74" s="1"/>
  <c r="U153" i="74"/>
  <c r="U248" i="74" s="1"/>
  <c r="AN156" i="74"/>
  <c r="AN251" i="74" s="1"/>
  <c r="AM154" i="74"/>
  <c r="AM249" i="74" s="1"/>
  <c r="AI154" i="74"/>
  <c r="AI249" i="74" s="1"/>
  <c r="P153" i="74"/>
  <c r="P248" i="74" s="1"/>
  <c r="AR153" i="74"/>
  <c r="AR248" i="74" s="1"/>
  <c r="W154" i="74"/>
  <c r="W249" i="74" s="1"/>
  <c r="AW153" i="74"/>
  <c r="AW248" i="74" s="1"/>
  <c r="AI157" i="74"/>
  <c r="AI252" i="74" s="1"/>
  <c r="M156" i="74"/>
  <c r="M251" i="74" s="1"/>
  <c r="Q157" i="74"/>
  <c r="Q252" i="74" s="1"/>
  <c r="AP153" i="74"/>
  <c r="AP248" i="74" s="1"/>
  <c r="W153" i="74"/>
  <c r="W248" i="74" s="1"/>
  <c r="AC157" i="74"/>
  <c r="AC252" i="74" s="1"/>
  <c r="AV154" i="74"/>
  <c r="AV249" i="74" s="1"/>
  <c r="AX154" i="74"/>
  <c r="AX249" i="74" s="1"/>
  <c r="AE154" i="74"/>
  <c r="AE249" i="74" s="1"/>
  <c r="AX157" i="74"/>
  <c r="AX252" i="74" s="1"/>
  <c r="J141" i="74"/>
  <c r="J210" i="74" s="1"/>
  <c r="M150" i="74"/>
  <c r="M245" i="74" s="1"/>
  <c r="AO150" i="74"/>
  <c r="AO245" i="74" s="1"/>
  <c r="O156" i="74"/>
  <c r="O251" i="74" s="1"/>
  <c r="AF150" i="74"/>
  <c r="AF245" i="74" s="1"/>
  <c r="V157" i="74"/>
  <c r="V252" i="74" s="1"/>
  <c r="AX153" i="74"/>
  <c r="AX248" i="74" s="1"/>
  <c r="AC150" i="74"/>
  <c r="AC245" i="74" s="1"/>
  <c r="O150" i="74"/>
  <c r="O245" i="74" s="1"/>
  <c r="AJ150" i="74"/>
  <c r="AJ245" i="74" s="1"/>
  <c r="S154" i="74"/>
  <c r="S249" i="74" s="1"/>
  <c r="AW150" i="74"/>
  <c r="AW245" i="74" s="1"/>
  <c r="P150" i="74"/>
  <c r="P245" i="74" s="1"/>
  <c r="AE150" i="74"/>
  <c r="AE245" i="74" s="1"/>
  <c r="N150" i="74"/>
  <c r="N245" i="74" s="1"/>
  <c r="W156" i="74"/>
  <c r="W251" i="74" s="1"/>
  <c r="J142" i="74"/>
  <c r="J211" i="74" s="1"/>
  <c r="AP150" i="74"/>
  <c r="AP245" i="74" s="1"/>
  <c r="AN150" i="74"/>
  <c r="AN245" i="74" s="1"/>
  <c r="AG150" i="74"/>
  <c r="AG245" i="74" s="1"/>
  <c r="X150" i="74"/>
  <c r="X245" i="74" s="1"/>
  <c r="Q150" i="74"/>
  <c r="Q245" i="74" s="1"/>
  <c r="AA154" i="74"/>
  <c r="AA249" i="74" s="1"/>
  <c r="AA153" i="74"/>
  <c r="AA248" i="74" s="1"/>
  <c r="AL157" i="74"/>
  <c r="AL252" i="74" s="1"/>
  <c r="AD150" i="74"/>
  <c r="AD245" i="74" s="1"/>
  <c r="AU150" i="74"/>
  <c r="AU245" i="74" s="1"/>
  <c r="AT157" i="74"/>
  <c r="AT252" i="74" s="1"/>
  <c r="O154" i="74"/>
  <c r="O249" i="74" s="1"/>
  <c r="T150" i="74"/>
  <c r="T245" i="74" s="1"/>
  <c r="AT150" i="74"/>
  <c r="AT245" i="74" s="1"/>
  <c r="AK150" i="74"/>
  <c r="AK245" i="74" s="1"/>
  <c r="AL150" i="74"/>
  <c r="AL245" i="74" s="1"/>
  <c r="AM150" i="74"/>
  <c r="AM245" i="74" s="1"/>
  <c r="AX150" i="74"/>
  <c r="AX245" i="74" s="1"/>
  <c r="AR154" i="74"/>
  <c r="AR249" i="74" s="1"/>
  <c r="AS150" i="74"/>
  <c r="AS245" i="74" s="1"/>
  <c r="I58" i="33"/>
  <c r="S15" i="33" s="1"/>
  <c r="AV150" i="74"/>
  <c r="AV245" i="74" s="1"/>
  <c r="D42" i="82" l="1"/>
  <c r="G91" i="74" s="1"/>
  <c r="E42" i="82"/>
  <c r="H91" i="74" s="1"/>
  <c r="E27" i="55"/>
  <c r="D27" i="55"/>
  <c r="G32" i="74" s="1"/>
  <c r="G180" i="74" s="1"/>
  <c r="D38" i="94"/>
  <c r="G128" i="74" s="1"/>
  <c r="I25" i="55"/>
  <c r="I57" i="55" s="1"/>
  <c r="H32" i="74"/>
  <c r="H180" i="74" s="1"/>
  <c r="H175" i="74" s="1"/>
  <c r="O45" i="82"/>
  <c r="R94" i="74" s="1"/>
  <c r="T41" i="94"/>
  <c r="W131" i="74" s="1"/>
  <c r="O41" i="94"/>
  <c r="R131" i="74" s="1"/>
  <c r="O128" i="74"/>
  <c r="L41" i="94"/>
  <c r="O131" i="74" s="1"/>
  <c r="S41" i="94"/>
  <c r="V131" i="74" s="1"/>
  <c r="J284" i="74"/>
  <c r="W41" i="94"/>
  <c r="Z131" i="74" s="1"/>
  <c r="AX41" i="94"/>
  <c r="BA131" i="74" s="1"/>
  <c r="AW41" i="94"/>
  <c r="AZ131" i="74" s="1"/>
  <c r="AE41" i="94"/>
  <c r="AH131" i="74" s="1"/>
  <c r="X41" i="94"/>
  <c r="AA131" i="74" s="1"/>
  <c r="AD41" i="94"/>
  <c r="AG131" i="74" s="1"/>
  <c r="AI41" i="94"/>
  <c r="AL131" i="74" s="1"/>
  <c r="AR41" i="94"/>
  <c r="AU131" i="74" s="1"/>
  <c r="AM41" i="94"/>
  <c r="AP131" i="74" s="1"/>
  <c r="AK41" i="94"/>
  <c r="AN131" i="74" s="1"/>
  <c r="BA41" i="94"/>
  <c r="BD131" i="74" s="1"/>
  <c r="R41" i="94"/>
  <c r="U131" i="74" s="1"/>
  <c r="AO41" i="94"/>
  <c r="AR131" i="74" s="1"/>
  <c r="Q41" i="94"/>
  <c r="T131" i="74" s="1"/>
  <c r="AS41" i="94"/>
  <c r="AV131" i="74" s="1"/>
  <c r="AL41" i="94"/>
  <c r="AO131" i="74" s="1"/>
  <c r="U41" i="94"/>
  <c r="X131" i="74" s="1"/>
  <c r="P128" i="74"/>
  <c r="P41" i="94"/>
  <c r="S131" i="74" s="1"/>
  <c r="N41" i="94"/>
  <c r="Q131" i="74" s="1"/>
  <c r="M41" i="94"/>
  <c r="P131" i="74" s="1"/>
  <c r="AT41" i="94"/>
  <c r="AW131" i="74" s="1"/>
  <c r="AU41" i="94"/>
  <c r="AX131" i="74" s="1"/>
  <c r="V41" i="94"/>
  <c r="Y131" i="74" s="1"/>
  <c r="Z41" i="94"/>
  <c r="AC131" i="74" s="1"/>
  <c r="AF41" i="94"/>
  <c r="AI131" i="74" s="1"/>
  <c r="AG41" i="94"/>
  <c r="AJ131" i="74" s="1"/>
  <c r="AA41" i="94"/>
  <c r="AD131" i="74" s="1"/>
  <c r="AZ41" i="94"/>
  <c r="BC131" i="74" s="1"/>
  <c r="AN41" i="94"/>
  <c r="AQ131" i="74" s="1"/>
  <c r="AJ41" i="94"/>
  <c r="AM131" i="74" s="1"/>
  <c r="AQ41" i="94"/>
  <c r="AT131" i="74" s="1"/>
  <c r="AY41" i="94"/>
  <c r="BB131" i="74" s="1"/>
  <c r="AC41" i="94"/>
  <c r="AF131" i="74" s="1"/>
  <c r="BB41" i="94"/>
  <c r="BE131" i="74" s="1"/>
  <c r="AP41" i="94"/>
  <c r="AS131" i="74" s="1"/>
  <c r="AV41" i="94"/>
  <c r="AY131" i="74" s="1"/>
  <c r="AH41" i="94"/>
  <c r="AK131" i="74" s="1"/>
  <c r="Y41" i="94"/>
  <c r="AB131" i="74" s="1"/>
  <c r="AB41" i="94"/>
  <c r="AE131" i="74" s="1"/>
  <c r="H13" i="57"/>
  <c r="H10" i="57" s="1"/>
  <c r="I13" i="57"/>
  <c r="J36" i="55" s="1"/>
  <c r="J13" i="57"/>
  <c r="K36" i="55" s="1"/>
  <c r="K13" i="57"/>
  <c r="L36" i="55" s="1"/>
  <c r="L13" i="57"/>
  <c r="M36" i="55" s="1"/>
  <c r="N13" i="57"/>
  <c r="N10" i="57" s="1"/>
  <c r="N9" i="57" s="1"/>
  <c r="M13" i="57"/>
  <c r="M10" i="57" s="1"/>
  <c r="M9" i="57" s="1"/>
  <c r="O13" i="57"/>
  <c r="P36" i="55" s="1"/>
  <c r="P13" i="57"/>
  <c r="Q36" i="55" s="1"/>
  <c r="Q13" i="57"/>
  <c r="Q10" i="57" s="1"/>
  <c r="Q9" i="57" s="1"/>
  <c r="R13" i="57"/>
  <c r="S36" i="55" s="1"/>
  <c r="S13" i="57"/>
  <c r="T36" i="55" s="1"/>
  <c r="T13" i="57"/>
  <c r="U36" i="55" s="1"/>
  <c r="U13" i="57"/>
  <c r="V36" i="55" s="1"/>
  <c r="V13" i="57"/>
  <c r="W36" i="55" s="1"/>
  <c r="W13" i="57"/>
  <c r="X36" i="55" s="1"/>
  <c r="X13" i="57"/>
  <c r="Y36" i="55" s="1"/>
  <c r="Y13" i="57"/>
  <c r="Z36" i="55" s="1"/>
  <c r="Z13" i="57"/>
  <c r="AA36" i="55" s="1"/>
  <c r="AA13" i="57"/>
  <c r="AB36" i="55" s="1"/>
  <c r="AB13" i="57"/>
  <c r="AC36" i="55" s="1"/>
  <c r="AC13" i="57"/>
  <c r="AD36" i="55" s="1"/>
  <c r="AD13" i="57"/>
  <c r="AD10" i="57" s="1"/>
  <c r="AD9" i="57" s="1"/>
  <c r="AE13" i="57"/>
  <c r="AF36" i="55" s="1"/>
  <c r="AF13" i="57"/>
  <c r="AF10" i="57" s="1"/>
  <c r="AF9" i="57" s="1"/>
  <c r="AG13" i="57"/>
  <c r="AH36" i="55" s="1"/>
  <c r="AH13" i="57"/>
  <c r="AH10" i="57" s="1"/>
  <c r="AH9" i="57" s="1"/>
  <c r="AI13" i="57"/>
  <c r="AJ36" i="55" s="1"/>
  <c r="AJ13" i="57"/>
  <c r="AJ10" i="57" s="1"/>
  <c r="AJ9" i="57" s="1"/>
  <c r="AK13" i="57"/>
  <c r="AK10" i="57" s="1"/>
  <c r="AK9" i="57" s="1"/>
  <c r="AL13" i="57"/>
  <c r="AL10" i="57" s="1"/>
  <c r="AL9" i="57" s="1"/>
  <c r="AM13" i="57"/>
  <c r="AN36" i="55" s="1"/>
  <c r="AN13" i="57"/>
  <c r="AO36" i="55" s="1"/>
  <c r="AO13" i="57"/>
  <c r="AO10" i="57" s="1"/>
  <c r="AO9" i="57" s="1"/>
  <c r="AP13" i="57"/>
  <c r="AP10" i="57" s="1"/>
  <c r="AP9" i="57" s="1"/>
  <c r="AQ13" i="57"/>
  <c r="AR36" i="55" s="1"/>
  <c r="AR13" i="57"/>
  <c r="AR10" i="57" s="1"/>
  <c r="AR9" i="57" s="1"/>
  <c r="AS13" i="57"/>
  <c r="AS10" i="57" s="1"/>
  <c r="AS9" i="57" s="1"/>
  <c r="AT13" i="57"/>
  <c r="AT10" i="57" s="1"/>
  <c r="AT9" i="57" s="1"/>
  <c r="AU13" i="57"/>
  <c r="AU10" i="57" s="1"/>
  <c r="AU9" i="57" s="1"/>
  <c r="X91" i="74"/>
  <c r="N45" i="82"/>
  <c r="Q94" i="74" s="1"/>
  <c r="P45" i="82"/>
  <c r="S94" i="74" s="1"/>
  <c r="H270" i="74"/>
  <c r="M32" i="74"/>
  <c r="M180" i="74" s="1"/>
  <c r="M175" i="74" s="1"/>
  <c r="J91" i="74"/>
  <c r="K45" i="82"/>
  <c r="N94" i="74" s="1"/>
  <c r="I45" i="82"/>
  <c r="L94" i="74" s="1"/>
  <c r="L45" i="82"/>
  <c r="O94" i="74" s="1"/>
  <c r="J45" i="82"/>
  <c r="M94" i="74" s="1"/>
  <c r="H45" i="82"/>
  <c r="K94" i="74" s="1"/>
  <c r="G45" i="82"/>
  <c r="J94" i="74" s="1"/>
  <c r="G43" i="82"/>
  <c r="D43" i="82" s="1"/>
  <c r="M45" i="82"/>
  <c r="P94" i="74" s="1"/>
  <c r="Q25" i="55"/>
  <c r="T32" i="74"/>
  <c r="T180" i="74" s="1"/>
  <c r="T175" i="74" s="1"/>
  <c r="BA45" i="82"/>
  <c r="BD94" i="74" s="1"/>
  <c r="Y45" i="82"/>
  <c r="AB94" i="74" s="1"/>
  <c r="AC45" i="82"/>
  <c r="AF94" i="74" s="1"/>
  <c r="AE45" i="82"/>
  <c r="AH94" i="74" s="1"/>
  <c r="V91" i="74"/>
  <c r="AL45" i="82"/>
  <c r="AO94" i="74" s="1"/>
  <c r="AM45" i="82"/>
  <c r="AP94" i="74" s="1"/>
  <c r="T45" i="82"/>
  <c r="W94" i="74" s="1"/>
  <c r="AU45" i="82"/>
  <c r="AX94" i="74" s="1"/>
  <c r="AW45" i="82"/>
  <c r="AZ94" i="74" s="1"/>
  <c r="R45" i="82"/>
  <c r="U94" i="74" s="1"/>
  <c r="AK45" i="82"/>
  <c r="AN94" i="74" s="1"/>
  <c r="AY45" i="82"/>
  <c r="BB94" i="74" s="1"/>
  <c r="AN45" i="82"/>
  <c r="AQ94" i="74" s="1"/>
  <c r="AH45" i="82"/>
  <c r="AK94" i="74" s="1"/>
  <c r="AG45" i="82"/>
  <c r="AJ94" i="74" s="1"/>
  <c r="AQ45" i="82"/>
  <c r="AT94" i="74" s="1"/>
  <c r="AZ45" i="82"/>
  <c r="BC94" i="74" s="1"/>
  <c r="AD45" i="82"/>
  <c r="AG94" i="74" s="1"/>
  <c r="AS45" i="82"/>
  <c r="AV94" i="74" s="1"/>
  <c r="BB45" i="82"/>
  <c r="BE94" i="74" s="1"/>
  <c r="AX45" i="82"/>
  <c r="BA94" i="74" s="1"/>
  <c r="AP45" i="82"/>
  <c r="AS94" i="74" s="1"/>
  <c r="W45" i="82"/>
  <c r="Z94" i="74" s="1"/>
  <c r="AV45" i="82"/>
  <c r="AY94" i="74" s="1"/>
  <c r="AB45" i="82"/>
  <c r="AE94" i="74" s="1"/>
  <c r="AA45" i="82"/>
  <c r="AD94" i="74" s="1"/>
  <c r="AO45" i="82"/>
  <c r="AR94" i="74" s="1"/>
  <c r="AR45" i="82"/>
  <c r="AU94" i="74" s="1"/>
  <c r="X45" i="82"/>
  <c r="AA94" i="74" s="1"/>
  <c r="AT45" i="82"/>
  <c r="AW94" i="74" s="1"/>
  <c r="AJ45" i="82"/>
  <c r="AM94" i="74" s="1"/>
  <c r="Z45" i="82"/>
  <c r="AC94" i="74" s="1"/>
  <c r="AF45" i="82"/>
  <c r="AI94" i="74" s="1"/>
  <c r="V45" i="82"/>
  <c r="Y94" i="74" s="1"/>
  <c r="U45" i="82"/>
  <c r="X94" i="74" s="1"/>
  <c r="AI45" i="82"/>
  <c r="AL94" i="74" s="1"/>
  <c r="Q45" i="82"/>
  <c r="T94" i="74" s="1"/>
  <c r="S45" i="82"/>
  <c r="V94" i="74" s="1"/>
  <c r="T91" i="74"/>
  <c r="L32" i="74"/>
  <c r="L180" i="74" s="1"/>
  <c r="L175" i="74" s="1"/>
  <c r="L25" i="55"/>
  <c r="O32" i="74"/>
  <c r="O180" i="74" s="1"/>
  <c r="O175" i="74" s="1"/>
  <c r="M30" i="74"/>
  <c r="J57" i="55"/>
  <c r="J55" i="55" s="1"/>
  <c r="AP242" i="74"/>
  <c r="AP272" i="74" s="1"/>
  <c r="AP286" i="74" s="1"/>
  <c r="T242" i="74"/>
  <c r="T272" i="74" s="1"/>
  <c r="T286" i="74" s="1"/>
  <c r="AT242" i="74"/>
  <c r="AN242" i="74"/>
  <c r="AN272" i="74" s="1"/>
  <c r="AN286" i="74" s="1"/>
  <c r="AV242" i="74"/>
  <c r="AV272" i="74" s="1"/>
  <c r="AV286" i="74" s="1"/>
  <c r="AK242" i="74"/>
  <c r="AK272" i="74" s="1"/>
  <c r="AK286" i="74" s="1"/>
  <c r="AG242" i="74"/>
  <c r="AG272" i="74" s="1"/>
  <c r="AG286" i="74" s="1"/>
  <c r="AC242" i="74"/>
  <c r="AC272" i="74" s="1"/>
  <c r="AC286" i="74" s="1"/>
  <c r="AD242" i="74"/>
  <c r="AD272" i="74" s="1"/>
  <c r="AD286" i="74" s="1"/>
  <c r="AE242" i="74"/>
  <c r="AE272" i="74" s="1"/>
  <c r="AE286" i="74" s="1"/>
  <c r="M242" i="74"/>
  <c r="AS242" i="74"/>
  <c r="AS272" i="74" s="1"/>
  <c r="AS286" i="74" s="1"/>
  <c r="AU242" i="74"/>
  <c r="AU272" i="74" s="1"/>
  <c r="AU286" i="74" s="1"/>
  <c r="AX242" i="74"/>
  <c r="AM242" i="74"/>
  <c r="AM272" i="74" s="1"/>
  <c r="AM286" i="74" s="1"/>
  <c r="Q242" i="74"/>
  <c r="Q272" i="74" s="1"/>
  <c r="Q286" i="74" s="1"/>
  <c r="AJ242" i="74"/>
  <c r="AJ272" i="74" s="1"/>
  <c r="AJ286" i="74" s="1"/>
  <c r="AW242" i="74"/>
  <c r="AL242" i="74"/>
  <c r="AL272" i="74" s="1"/>
  <c r="AL286" i="74" s="1"/>
  <c r="X242" i="74"/>
  <c r="X272" i="74" s="1"/>
  <c r="X286" i="74" s="1"/>
  <c r="O242" i="74"/>
  <c r="O272" i="74" s="1"/>
  <c r="O286" i="74" s="1"/>
  <c r="P20" i="76"/>
  <c r="P37" i="76" s="1"/>
  <c r="AN20" i="76"/>
  <c r="AQ147" i="74" s="1"/>
  <c r="S20" i="76"/>
  <c r="V147" i="74" s="1"/>
  <c r="G140" i="74"/>
  <c r="G209" i="74" s="1"/>
  <c r="H139" i="74"/>
  <c r="H208" i="74" s="1"/>
  <c r="AR20" i="76"/>
  <c r="AU147" i="74" s="1"/>
  <c r="AF20" i="76"/>
  <c r="AF37" i="76" s="1"/>
  <c r="AQ20" i="76"/>
  <c r="AT147" i="74" s="1"/>
  <c r="S150" i="74"/>
  <c r="S245" i="74" s="1"/>
  <c r="S242" i="74" s="1"/>
  <c r="Z20" i="76"/>
  <c r="Z37" i="76" s="1"/>
  <c r="AC164" i="74" s="1"/>
  <c r="W20" i="76"/>
  <c r="Z147" i="74" s="1"/>
  <c r="O20" i="76"/>
  <c r="R147" i="74" s="1"/>
  <c r="AJ20" i="76"/>
  <c r="AM147" i="74" s="1"/>
  <c r="V20" i="76"/>
  <c r="Y147" i="74" s="1"/>
  <c r="J140" i="74"/>
  <c r="J209" i="74" s="1"/>
  <c r="M20" i="76"/>
  <c r="M37" i="76" s="1"/>
  <c r="Y150" i="74"/>
  <c r="Y245" i="74" s="1"/>
  <c r="G154" i="74"/>
  <c r="G249" i="74" s="1"/>
  <c r="G141" i="74"/>
  <c r="G210" i="74" s="1"/>
  <c r="H140" i="74"/>
  <c r="H209" i="74" s="1"/>
  <c r="AS20" i="76"/>
  <c r="Q20" i="76"/>
  <c r="T147" i="74" s="1"/>
  <c r="AA20" i="76"/>
  <c r="AA37" i="76" s="1"/>
  <c r="H9" i="76"/>
  <c r="H37" i="76" s="1"/>
  <c r="H38" i="76" s="1"/>
  <c r="K165" i="74" s="1"/>
  <c r="H156" i="74"/>
  <c r="H251" i="74" s="1"/>
  <c r="R20" i="76"/>
  <c r="U147" i="74" s="1"/>
  <c r="AO20" i="76"/>
  <c r="AR147" i="74" s="1"/>
  <c r="Y20" i="76"/>
  <c r="Y37" i="76" s="1"/>
  <c r="AP20" i="76"/>
  <c r="AS147" i="74" s="1"/>
  <c r="Z150" i="74"/>
  <c r="Z245" i="74" s="1"/>
  <c r="AK20" i="76"/>
  <c r="AK37" i="76" s="1"/>
  <c r="AN164" i="74" s="1"/>
  <c r="AB20" i="76"/>
  <c r="T20" i="76"/>
  <c r="T37" i="76" s="1"/>
  <c r="AC20" i="76"/>
  <c r="AC37" i="76" s="1"/>
  <c r="AQ150" i="74"/>
  <c r="AQ245" i="74" s="1"/>
  <c r="G153" i="74"/>
  <c r="G248" i="74" s="1"/>
  <c r="G157" i="74"/>
  <c r="G252" i="74" s="1"/>
  <c r="I20" i="76"/>
  <c r="AE20" i="76"/>
  <c r="AH147" i="74" s="1"/>
  <c r="X20" i="76"/>
  <c r="AA147" i="74" s="1"/>
  <c r="R150" i="74"/>
  <c r="R245" i="74" s="1"/>
  <c r="AI150" i="74"/>
  <c r="AI245" i="74" s="1"/>
  <c r="AI242" i="74" s="1"/>
  <c r="V150" i="74"/>
  <c r="V245" i="74" s="1"/>
  <c r="V242" i="74" s="1"/>
  <c r="AU20" i="76"/>
  <c r="AD20" i="76"/>
  <c r="AF157" i="74"/>
  <c r="AF252" i="74" s="1"/>
  <c r="AF242" i="74" s="1"/>
  <c r="J20" i="76"/>
  <c r="N153" i="74"/>
  <c r="N248" i="74" s="1"/>
  <c r="N242" i="74" s="1"/>
  <c r="G9" i="76"/>
  <c r="AH20" i="76"/>
  <c r="U150" i="74"/>
  <c r="U245" i="74" s="1"/>
  <c r="U242" i="74" s="1"/>
  <c r="N20" i="76"/>
  <c r="AM20" i="76"/>
  <c r="G139" i="74"/>
  <c r="G208" i="74" s="1"/>
  <c r="AT20" i="76"/>
  <c r="AH150" i="74"/>
  <c r="AH245" i="74" s="1"/>
  <c r="AH242" i="74" s="1"/>
  <c r="H150" i="74"/>
  <c r="H245" i="74" s="1"/>
  <c r="L150" i="74"/>
  <c r="L245" i="74" s="1"/>
  <c r="G150" i="74"/>
  <c r="G245" i="74" s="1"/>
  <c r="W150" i="74"/>
  <c r="W245" i="74" s="1"/>
  <c r="W242" i="74" s="1"/>
  <c r="H154" i="74"/>
  <c r="H249" i="74" s="1"/>
  <c r="L154" i="74"/>
  <c r="L249" i="74" s="1"/>
  <c r="AA150" i="74"/>
  <c r="AA245" i="74" s="1"/>
  <c r="AA242" i="74" s="1"/>
  <c r="G156" i="74"/>
  <c r="G251" i="74" s="1"/>
  <c r="AL20" i="76"/>
  <c r="AO156" i="74"/>
  <c r="AO251" i="74" s="1"/>
  <c r="AO242" i="74" s="1"/>
  <c r="AI20" i="76"/>
  <c r="AG20" i="76"/>
  <c r="J139" i="74"/>
  <c r="J208" i="74" s="1"/>
  <c r="AB157" i="74"/>
  <c r="AB252" i="74" s="1"/>
  <c r="L20" i="76"/>
  <c r="L156" i="74"/>
  <c r="L251" i="74" s="1"/>
  <c r="AR150" i="74"/>
  <c r="AR245" i="74" s="1"/>
  <c r="AR242" i="74" s="1"/>
  <c r="P154" i="74"/>
  <c r="P249" i="74" s="1"/>
  <c r="P242" i="74" s="1"/>
  <c r="U20" i="76"/>
  <c r="K20" i="76"/>
  <c r="H153" i="74"/>
  <c r="H248" i="74" s="1"/>
  <c r="K139" i="74"/>
  <c r="K208" i="74" s="1"/>
  <c r="K205" i="74" s="1"/>
  <c r="H157" i="74"/>
  <c r="H252" i="74" s="1"/>
  <c r="H141" i="74"/>
  <c r="H210" i="74" s="1"/>
  <c r="H142" i="74"/>
  <c r="H211" i="74" s="1"/>
  <c r="G142" i="74"/>
  <c r="G211" i="74" s="1"/>
  <c r="AB150" i="74"/>
  <c r="AB245" i="74" s="1"/>
  <c r="L157" i="74"/>
  <c r="L252" i="74" s="1"/>
  <c r="L153" i="74"/>
  <c r="L248" i="74" s="1"/>
  <c r="J145" i="74"/>
  <c r="J214" i="74" s="1"/>
  <c r="I37" i="76" l="1"/>
  <c r="E20" i="76"/>
  <c r="D20" i="76"/>
  <c r="E9" i="76"/>
  <c r="D9" i="76"/>
  <c r="I55" i="55"/>
  <c r="L30" i="74"/>
  <c r="E25" i="55"/>
  <c r="H30" i="74" s="1"/>
  <c r="D25" i="55"/>
  <c r="G30" i="74" s="1"/>
  <c r="P10" i="57"/>
  <c r="P9" i="57" s="1"/>
  <c r="AA46" i="82"/>
  <c r="AD95" i="74" s="1"/>
  <c r="G92" i="74"/>
  <c r="Y10" i="57"/>
  <c r="Y9" i="57" s="1"/>
  <c r="AG36" i="55"/>
  <c r="AJ41" i="74" s="1"/>
  <c r="AJ219" i="74" s="1"/>
  <c r="AJ216" i="74" s="1"/>
  <c r="AJ269" i="74" s="1"/>
  <c r="I10" i="57"/>
  <c r="I9" i="57" s="1"/>
  <c r="R36" i="55"/>
  <c r="U41" i="74" s="1"/>
  <c r="U219" i="74" s="1"/>
  <c r="U216" i="74" s="1"/>
  <c r="U269" i="74" s="1"/>
  <c r="J289" i="74"/>
  <c r="J294" i="74" s="1"/>
  <c r="J295" i="74" s="1"/>
  <c r="R289" i="74"/>
  <c r="Z289" i="74"/>
  <c r="AH289" i="74"/>
  <c r="AP289" i="74"/>
  <c r="AX289" i="74"/>
  <c r="Q289" i="74"/>
  <c r="BE289" i="74"/>
  <c r="K289" i="74"/>
  <c r="K294" i="74" s="1"/>
  <c r="K295" i="74" s="1"/>
  <c r="S289" i="74"/>
  <c r="AA289" i="74"/>
  <c r="AI289" i="74"/>
  <c r="AQ289" i="74"/>
  <c r="AY289" i="74"/>
  <c r="AW289" i="74"/>
  <c r="L289" i="74"/>
  <c r="T289" i="74"/>
  <c r="AB289" i="74"/>
  <c r="AJ289" i="74"/>
  <c r="AR289" i="74"/>
  <c r="AZ289" i="74"/>
  <c r="P289" i="74"/>
  <c r="AF289" i="74"/>
  <c r="AV289" i="74"/>
  <c r="M289" i="74"/>
  <c r="U289" i="74"/>
  <c r="AC289" i="74"/>
  <c r="AK289" i="74"/>
  <c r="AS289" i="74"/>
  <c r="BA289" i="74"/>
  <c r="Y289" i="74"/>
  <c r="N289" i="74"/>
  <c r="V289" i="74"/>
  <c r="AD289" i="74"/>
  <c r="AL289" i="74"/>
  <c r="AT289" i="74"/>
  <c r="BB289" i="74"/>
  <c r="AO289" i="74"/>
  <c r="O289" i="74"/>
  <c r="W289" i="74"/>
  <c r="AE289" i="74"/>
  <c r="AM289" i="74"/>
  <c r="AU289" i="74"/>
  <c r="BC289" i="74"/>
  <c r="X289" i="74"/>
  <c r="AN289" i="74"/>
  <c r="BD289" i="74"/>
  <c r="AG289" i="74"/>
  <c r="G316" i="74"/>
  <c r="I36" i="55"/>
  <c r="AN10" i="57"/>
  <c r="AN9" i="57" s="1"/>
  <c r="X10" i="57"/>
  <c r="X9" i="57" s="1"/>
  <c r="E43" i="94"/>
  <c r="AG10" i="57"/>
  <c r="AG9" i="57" s="1"/>
  <c r="AP36" i="55"/>
  <c r="AS41" i="74" s="1"/>
  <c r="AS219" i="74" s="1"/>
  <c r="AS216" i="74" s="1"/>
  <c r="AS269" i="74" s="1"/>
  <c r="J10" i="57"/>
  <c r="J9" i="57" s="1"/>
  <c r="R10" i="57"/>
  <c r="R9" i="57" s="1"/>
  <c r="Z10" i="57"/>
  <c r="Z9" i="57" s="1"/>
  <c r="AI36" i="55"/>
  <c r="AI33" i="55" s="1"/>
  <c r="AQ36" i="55"/>
  <c r="AT41" i="74" s="1"/>
  <c r="AT219" i="74" s="1"/>
  <c r="AT216" i="74" s="1"/>
  <c r="AT269" i="74" s="1"/>
  <c r="K10" i="57"/>
  <c r="K9" i="57" s="1"/>
  <c r="S10" i="57"/>
  <c r="S9" i="57" s="1"/>
  <c r="AA10" i="57"/>
  <c r="AA9" i="57" s="1"/>
  <c r="AI10" i="57"/>
  <c r="AI9" i="57" s="1"/>
  <c r="AQ10" i="57"/>
  <c r="AQ9" i="57" s="1"/>
  <c r="L10" i="57"/>
  <c r="L9" i="57" s="1"/>
  <c r="T10" i="57"/>
  <c r="T9" i="57" s="1"/>
  <c r="O36" i="55"/>
  <c r="R41" i="74" s="1"/>
  <c r="R219" i="74" s="1"/>
  <c r="R216" i="74" s="1"/>
  <c r="R269" i="74" s="1"/>
  <c r="U10" i="57"/>
  <c r="U9" i="57" s="1"/>
  <c r="AC10" i="57"/>
  <c r="AC9" i="57" s="1"/>
  <c r="AB10" i="57"/>
  <c r="AB9" i="57" s="1"/>
  <c r="AL36" i="55"/>
  <c r="AO41" i="74" s="1"/>
  <c r="AO219" i="74" s="1"/>
  <c r="AO216" i="74" s="1"/>
  <c r="AO269" i="74" s="1"/>
  <c r="N36" i="55"/>
  <c r="N33" i="55" s="1"/>
  <c r="AK36" i="55"/>
  <c r="AN41" i="74" s="1"/>
  <c r="AN219" i="74" s="1"/>
  <c r="AN216" i="74" s="1"/>
  <c r="AN269" i="74" s="1"/>
  <c r="V10" i="57"/>
  <c r="V9" i="57" s="1"/>
  <c r="AE36" i="55"/>
  <c r="AE33" i="55" s="1"/>
  <c r="AM36" i="55"/>
  <c r="O10" i="57"/>
  <c r="O9" i="57" s="1"/>
  <c r="AS36" i="55"/>
  <c r="AS33" i="55" s="1"/>
  <c r="AT36" i="55"/>
  <c r="AT33" i="55" s="1"/>
  <c r="D13" i="57"/>
  <c r="W10" i="57"/>
  <c r="W9" i="57" s="1"/>
  <c r="AE10" i="57"/>
  <c r="AE9" i="57" s="1"/>
  <c r="AU36" i="55"/>
  <c r="AX41" i="74" s="1"/>
  <c r="AX219" i="74" s="1"/>
  <c r="AX216" i="74" s="1"/>
  <c r="AX269" i="74" s="1"/>
  <c r="AM10" i="57"/>
  <c r="AM9" i="57" s="1"/>
  <c r="AV36" i="55"/>
  <c r="AV33" i="55" s="1"/>
  <c r="H9" i="57"/>
  <c r="AR41" i="74"/>
  <c r="AR219" i="74" s="1"/>
  <c r="AR216" i="74" s="1"/>
  <c r="AR269" i="74" s="1"/>
  <c r="AO33" i="55"/>
  <c r="AK41" i="74"/>
  <c r="AK219" i="74" s="1"/>
  <c r="AK216" i="74" s="1"/>
  <c r="AK269" i="74" s="1"/>
  <c r="AH33" i="55"/>
  <c r="AD41" i="74"/>
  <c r="AD219" i="74" s="1"/>
  <c r="AD216" i="74" s="1"/>
  <c r="AD269" i="74" s="1"/>
  <c r="AA33" i="55"/>
  <c r="W41" i="74"/>
  <c r="W219" i="74" s="1"/>
  <c r="W216" i="74" s="1"/>
  <c r="W269" i="74" s="1"/>
  <c r="T33" i="55"/>
  <c r="P41" i="74"/>
  <c r="P219" i="74" s="1"/>
  <c r="P216" i="74" s="1"/>
  <c r="P269" i="74" s="1"/>
  <c r="M33" i="55"/>
  <c r="AA41" i="74"/>
  <c r="AA219" i="74" s="1"/>
  <c r="AA216" i="74" s="1"/>
  <c r="AA269" i="74" s="1"/>
  <c r="X33" i="55"/>
  <c r="AE41" i="74"/>
  <c r="AE219" i="74" s="1"/>
  <c r="AE216" i="74" s="1"/>
  <c r="AE269" i="74" s="1"/>
  <c r="AB33" i="55"/>
  <c r="T41" i="74"/>
  <c r="T219" i="74" s="1"/>
  <c r="T216" i="74" s="1"/>
  <c r="T269" i="74" s="1"/>
  <c r="Q33" i="55"/>
  <c r="T38" i="74" s="1"/>
  <c r="M41" i="74"/>
  <c r="M219" i="74" s="1"/>
  <c r="M216" i="74" s="1"/>
  <c r="M269" i="74" s="1"/>
  <c r="J33" i="55"/>
  <c r="X41" i="74"/>
  <c r="X219" i="74" s="1"/>
  <c r="X216" i="74" s="1"/>
  <c r="X269" i="74" s="1"/>
  <c r="U33" i="55"/>
  <c r="AI41" i="74"/>
  <c r="AI219" i="74" s="1"/>
  <c r="AI216" i="74" s="1"/>
  <c r="AI269" i="74" s="1"/>
  <c r="AF33" i="55"/>
  <c r="AB41" i="74"/>
  <c r="AB219" i="74" s="1"/>
  <c r="AB216" i="74" s="1"/>
  <c r="AB269" i="74" s="1"/>
  <c r="Y33" i="55"/>
  <c r="N41" i="74"/>
  <c r="N219" i="74" s="1"/>
  <c r="N216" i="74" s="1"/>
  <c r="N269" i="74" s="1"/>
  <c r="K33" i="55"/>
  <c r="AM41" i="74"/>
  <c r="AM219" i="74" s="1"/>
  <c r="AM216" i="74" s="1"/>
  <c r="AM269" i="74" s="1"/>
  <c r="AJ33" i="55"/>
  <c r="AF41" i="74"/>
  <c r="AF219" i="74" s="1"/>
  <c r="AF216" i="74" s="1"/>
  <c r="AF269" i="74" s="1"/>
  <c r="AC33" i="55"/>
  <c r="Y41" i="74"/>
  <c r="Y219" i="74" s="1"/>
  <c r="Y216" i="74" s="1"/>
  <c r="Y269" i="74" s="1"/>
  <c r="V33" i="55"/>
  <c r="AQ41" i="74"/>
  <c r="AQ219" i="74" s="1"/>
  <c r="AQ216" i="74" s="1"/>
  <c r="AQ269" i="74" s="1"/>
  <c r="AN33" i="55"/>
  <c r="AC41" i="74"/>
  <c r="AC219" i="74" s="1"/>
  <c r="AC216" i="74" s="1"/>
  <c r="AC269" i="74" s="1"/>
  <c r="Z33" i="55"/>
  <c r="V41" i="74"/>
  <c r="V219" i="74" s="1"/>
  <c r="V216" i="74" s="1"/>
  <c r="V269" i="74" s="1"/>
  <c r="S33" i="55"/>
  <c r="O41" i="74"/>
  <c r="O219" i="74" s="1"/>
  <c r="O216" i="74" s="1"/>
  <c r="O215" i="74" s="1"/>
  <c r="L33" i="55"/>
  <c r="O38" i="74" s="1"/>
  <c r="AU41" i="74"/>
  <c r="AU219" i="74" s="1"/>
  <c r="AU216" i="74" s="1"/>
  <c r="AU269" i="74" s="1"/>
  <c r="AR33" i="55"/>
  <c r="AG41" i="74"/>
  <c r="AG219" i="74" s="1"/>
  <c r="AG216" i="74" s="1"/>
  <c r="AG269" i="74" s="1"/>
  <c r="AD33" i="55"/>
  <c r="Z41" i="74"/>
  <c r="Z219" i="74" s="1"/>
  <c r="Z216" i="74" s="1"/>
  <c r="Z269" i="74" s="1"/>
  <c r="W33" i="55"/>
  <c r="S41" i="74"/>
  <c r="S219" i="74" s="1"/>
  <c r="S216" i="74" s="1"/>
  <c r="S269" i="74" s="1"/>
  <c r="P33" i="55"/>
  <c r="M174" i="74"/>
  <c r="O174" i="74"/>
  <c r="T174" i="74"/>
  <c r="G175" i="74"/>
  <c r="L174" i="74"/>
  <c r="M46" i="82"/>
  <c r="P95" i="74" s="1"/>
  <c r="AI46" i="82"/>
  <c r="AL95" i="74" s="1"/>
  <c r="AR46" i="82"/>
  <c r="AU95" i="74" s="1"/>
  <c r="AW46" i="82"/>
  <c r="AZ95" i="74" s="1"/>
  <c r="P46" i="82"/>
  <c r="S95" i="74" s="1"/>
  <c r="AS46" i="82"/>
  <c r="AV95" i="74" s="1"/>
  <c r="AP46" i="82"/>
  <c r="AS95" i="74" s="1"/>
  <c r="O46" i="82"/>
  <c r="R95" i="74" s="1"/>
  <c r="AG46" i="82"/>
  <c r="AJ95" i="74" s="1"/>
  <c r="AU46" i="82"/>
  <c r="AX95" i="74" s="1"/>
  <c r="U46" i="82"/>
  <c r="X95" i="74" s="1"/>
  <c r="BA46" i="82"/>
  <c r="BD95" i="74" s="1"/>
  <c r="X46" i="82"/>
  <c r="AA95" i="74" s="1"/>
  <c r="Z46" i="82"/>
  <c r="AC95" i="74" s="1"/>
  <c r="T46" i="82"/>
  <c r="W95" i="74" s="1"/>
  <c r="V46" i="82"/>
  <c r="Y95" i="74" s="1"/>
  <c r="AX46" i="82"/>
  <c r="BA95" i="74" s="1"/>
  <c r="AM46" i="82"/>
  <c r="AP95" i="74" s="1"/>
  <c r="AB46" i="82"/>
  <c r="AE95" i="74" s="1"/>
  <c r="AC46" i="82"/>
  <c r="AF95" i="74" s="1"/>
  <c r="AY46" i="82"/>
  <c r="BB95" i="74" s="1"/>
  <c r="AQ46" i="82"/>
  <c r="AT95" i="74" s="1"/>
  <c r="AE46" i="82"/>
  <c r="AH95" i="74" s="1"/>
  <c r="BB46" i="82"/>
  <c r="BE95" i="74" s="1"/>
  <c r="R46" i="82"/>
  <c r="U95" i="74" s="1"/>
  <c r="AZ46" i="82"/>
  <c r="BC95" i="74" s="1"/>
  <c r="AF46" i="82"/>
  <c r="AI95" i="74" s="1"/>
  <c r="AL46" i="82"/>
  <c r="AO95" i="74" s="1"/>
  <c r="H46" i="82"/>
  <c r="K95" i="74" s="1"/>
  <c r="L46" i="82"/>
  <c r="O95" i="74" s="1"/>
  <c r="K46" i="82"/>
  <c r="N95" i="74" s="1"/>
  <c r="J92" i="74"/>
  <c r="J46" i="82"/>
  <c r="M95" i="74" s="1"/>
  <c r="G46" i="82"/>
  <c r="J95" i="74" s="1"/>
  <c r="I46" i="82"/>
  <c r="L95" i="74" s="1"/>
  <c r="AT46" i="82"/>
  <c r="AW95" i="74" s="1"/>
  <c r="AH46" i="82"/>
  <c r="AK95" i="74" s="1"/>
  <c r="AN46" i="82"/>
  <c r="AQ95" i="74" s="1"/>
  <c r="S46" i="82"/>
  <c r="V95" i="74" s="1"/>
  <c r="AJ46" i="82"/>
  <c r="AM95" i="74" s="1"/>
  <c r="AD46" i="82"/>
  <c r="AG95" i="74" s="1"/>
  <c r="N46" i="82"/>
  <c r="Q95" i="74" s="1"/>
  <c r="AK46" i="82"/>
  <c r="AN95" i="74" s="1"/>
  <c r="W46" i="82"/>
  <c r="Z95" i="74" s="1"/>
  <c r="AO46" i="82"/>
  <c r="AR95" i="74" s="1"/>
  <c r="AV46" i="82"/>
  <c r="AY95" i="74" s="1"/>
  <c r="Y46" i="82"/>
  <c r="AB95" i="74" s="1"/>
  <c r="Q46" i="82"/>
  <c r="T95" i="74" s="1"/>
  <c r="T30" i="74"/>
  <c r="Q57" i="55"/>
  <c r="Q55" i="55" s="1"/>
  <c r="H145" i="74"/>
  <c r="H214" i="74" s="1"/>
  <c r="H212" i="74"/>
  <c r="G145" i="74"/>
  <c r="G214" i="74" s="1"/>
  <c r="G212" i="74"/>
  <c r="G306" i="74"/>
  <c r="U272" i="74"/>
  <c r="U286" i="74" s="1"/>
  <c r="P272" i="74"/>
  <c r="P286" i="74" s="1"/>
  <c r="AF272" i="74"/>
  <c r="AF286" i="74" s="1"/>
  <c r="AA272" i="74"/>
  <c r="AA286" i="74" s="1"/>
  <c r="M272" i="74"/>
  <c r="M286" i="74" s="1"/>
  <c r="S272" i="74"/>
  <c r="S286" i="74" s="1"/>
  <c r="AW272" i="74"/>
  <c r="AW286" i="74" s="1"/>
  <c r="AR272" i="74"/>
  <c r="AR286" i="74" s="1"/>
  <c r="AI272" i="74"/>
  <c r="AI286" i="74" s="1"/>
  <c r="AX272" i="74"/>
  <c r="AX286" i="74" s="1"/>
  <c r="W272" i="74"/>
  <c r="W286" i="74" s="1"/>
  <c r="AH272" i="74"/>
  <c r="AH286" i="74" s="1"/>
  <c r="K174" i="74"/>
  <c r="K268" i="74" s="1"/>
  <c r="K274" i="74" s="1"/>
  <c r="K281" i="74" s="1"/>
  <c r="K272" i="74"/>
  <c r="N272" i="74"/>
  <c r="N286" i="74" s="1"/>
  <c r="V272" i="74"/>
  <c r="V286" i="74" s="1"/>
  <c r="AO272" i="74"/>
  <c r="AO286" i="74" s="1"/>
  <c r="AT272" i="74"/>
  <c r="AT286" i="74" s="1"/>
  <c r="L57" i="55"/>
  <c r="E57" i="55" s="1"/>
  <c r="O30" i="74"/>
  <c r="AB242" i="74"/>
  <c r="AB272" i="74" s="1"/>
  <c r="AB286" i="74" s="1"/>
  <c r="AQ242" i="74"/>
  <c r="AQ272" i="74" s="1"/>
  <c r="AQ286" i="74" s="1"/>
  <c r="L242" i="74"/>
  <c r="L272" i="74" s="1"/>
  <c r="L286" i="74" s="1"/>
  <c r="Y242" i="74"/>
  <c r="Y272" i="74" s="1"/>
  <c r="Y286" i="74" s="1"/>
  <c r="R242" i="74"/>
  <c r="R272" i="74" s="1"/>
  <c r="R286" i="74" s="1"/>
  <c r="Z242" i="74"/>
  <c r="Z272" i="74" s="1"/>
  <c r="Z286" i="74" s="1"/>
  <c r="S147" i="74"/>
  <c r="Z38" i="76"/>
  <c r="AC165" i="74" s="1"/>
  <c r="AN37" i="76"/>
  <c r="AN38" i="76" s="1"/>
  <c r="AQ165" i="74" s="1"/>
  <c r="K136" i="74"/>
  <c r="W37" i="76"/>
  <c r="Z164" i="74" s="1"/>
  <c r="S37" i="76"/>
  <c r="V164" i="74" s="1"/>
  <c r="X37" i="76"/>
  <c r="AA164" i="74" s="1"/>
  <c r="AK38" i="76"/>
  <c r="AN165" i="74" s="1"/>
  <c r="AD147" i="74"/>
  <c r="P147" i="74"/>
  <c r="AN147" i="74"/>
  <c r="AR37" i="76"/>
  <c r="AU164" i="74" s="1"/>
  <c r="Q37" i="76"/>
  <c r="Q38" i="76" s="1"/>
  <c r="T165" i="74" s="1"/>
  <c r="AC147" i="74"/>
  <c r="AQ37" i="76"/>
  <c r="AQ38" i="76" s="1"/>
  <c r="AT165" i="74" s="1"/>
  <c r="AF147" i="74"/>
  <c r="AI147" i="74"/>
  <c r="K164" i="74"/>
  <c r="L147" i="74"/>
  <c r="AJ37" i="76"/>
  <c r="W147" i="74"/>
  <c r="O37" i="76"/>
  <c r="R164" i="74" s="1"/>
  <c r="V37" i="76"/>
  <c r="Y164" i="74" s="1"/>
  <c r="AV147" i="74"/>
  <c r="AS37" i="76"/>
  <c r="AE37" i="76"/>
  <c r="AH164" i="74" s="1"/>
  <c r="AP37" i="76"/>
  <c r="AO37" i="76"/>
  <c r="AO38" i="76" s="1"/>
  <c r="AR165" i="74" s="1"/>
  <c r="AB147" i="74"/>
  <c r="R37" i="76"/>
  <c r="U164" i="74" s="1"/>
  <c r="AE147" i="74"/>
  <c r="AB37" i="76"/>
  <c r="H136" i="74"/>
  <c r="G136" i="74"/>
  <c r="J136" i="74"/>
  <c r="G37" i="76"/>
  <c r="T38" i="76"/>
  <c r="W165" i="74" s="1"/>
  <c r="W164" i="74"/>
  <c r="P164" i="74"/>
  <c r="M38" i="76"/>
  <c r="P165" i="74" s="1"/>
  <c r="AF164" i="74"/>
  <c r="AC38" i="76"/>
  <c r="AF165" i="74" s="1"/>
  <c r="K37" i="76"/>
  <c r="N147" i="74"/>
  <c r="AO147" i="74"/>
  <c r="AL37" i="76"/>
  <c r="AI37" i="76"/>
  <c r="AL147" i="74"/>
  <c r="O147" i="74"/>
  <c r="L37" i="76"/>
  <c r="AI164" i="74"/>
  <c r="AF38" i="76"/>
  <c r="AI165" i="74" s="1"/>
  <c r="AG147" i="74"/>
  <c r="AD37" i="76"/>
  <c r="S164" i="74"/>
  <c r="P38" i="76"/>
  <c r="S165" i="74" s="1"/>
  <c r="X147" i="74"/>
  <c r="U37" i="76"/>
  <c r="M147" i="74"/>
  <c r="J37" i="76"/>
  <c r="AX147" i="74"/>
  <c r="AU37" i="76"/>
  <c r="H147" i="74"/>
  <c r="H242" i="74" s="1"/>
  <c r="Q147" i="74"/>
  <c r="N37" i="76"/>
  <c r="G147" i="74"/>
  <c r="AB164" i="74"/>
  <c r="Y38" i="76"/>
  <c r="AB165" i="74" s="1"/>
  <c r="AW147" i="74"/>
  <c r="AT37" i="76"/>
  <c r="J205" i="74"/>
  <c r="AP147" i="74"/>
  <c r="AM37" i="76"/>
  <c r="AJ147" i="74"/>
  <c r="AG37" i="76"/>
  <c r="AK147" i="74"/>
  <c r="AH37" i="76"/>
  <c r="L164" i="74"/>
  <c r="I38" i="76"/>
  <c r="L165" i="74" s="1"/>
  <c r="AA38" i="76"/>
  <c r="AD165" i="74" s="1"/>
  <c r="AD164" i="74"/>
  <c r="E37" i="76" l="1"/>
  <c r="D37" i="76"/>
  <c r="G164" i="74" s="1"/>
  <c r="D36" i="55"/>
  <c r="G41" i="74" s="1"/>
  <c r="G219" i="74" s="1"/>
  <c r="E36" i="55"/>
  <c r="D57" i="55"/>
  <c r="L41" i="74"/>
  <c r="L219" i="74" s="1"/>
  <c r="L216" i="74" s="1"/>
  <c r="L269" i="74" s="1"/>
  <c r="L283" i="74" s="1"/>
  <c r="I33" i="55"/>
  <c r="R33" i="55"/>
  <c r="U38" i="74" s="1"/>
  <c r="AG33" i="55"/>
  <c r="AG48" i="55" s="1"/>
  <c r="AP33" i="55"/>
  <c r="AS38" i="74" s="1"/>
  <c r="AQ33" i="55"/>
  <c r="AT38" i="74" s="1"/>
  <c r="AM283" i="74"/>
  <c r="AI283" i="74"/>
  <c r="AE283" i="74"/>
  <c r="W283" i="74"/>
  <c r="Z283" i="74"/>
  <c r="V283" i="74"/>
  <c r="AQ283" i="74"/>
  <c r="N283" i="74"/>
  <c r="K286" i="74"/>
  <c r="X283" i="74"/>
  <c r="AS283" i="74"/>
  <c r="AD283" i="74"/>
  <c r="AX283" i="74"/>
  <c r="R283" i="74"/>
  <c r="AT283" i="74"/>
  <c r="AG283" i="74"/>
  <c r="AC283" i="74"/>
  <c r="Y283" i="74"/>
  <c r="U283" i="74"/>
  <c r="S283" i="74"/>
  <c r="M283" i="74"/>
  <c r="AA283" i="74"/>
  <c r="AK283" i="74"/>
  <c r="AN283" i="74"/>
  <c r="AU283" i="74"/>
  <c r="AJ283" i="74"/>
  <c r="AF283" i="74"/>
  <c r="AB283" i="74"/>
  <c r="T283" i="74"/>
  <c r="P283" i="74"/>
  <c r="AR283" i="74"/>
  <c r="AO283" i="74"/>
  <c r="AE215" i="74"/>
  <c r="AE268" i="74" s="1"/>
  <c r="AE274" i="74" s="1"/>
  <c r="AE281" i="74" s="1"/>
  <c r="AL41" i="74"/>
  <c r="AL219" i="74" s="1"/>
  <c r="AL216" i="74" s="1"/>
  <c r="AL269" i="74" s="1"/>
  <c r="M215" i="74"/>
  <c r="M268" i="74" s="1"/>
  <c r="M274" i="74" s="1"/>
  <c r="M281" i="74" s="1"/>
  <c r="AY41" i="74"/>
  <c r="AY219" i="74" s="1"/>
  <c r="AY216" i="74" s="1"/>
  <c r="AY269" i="74" s="1"/>
  <c r="AV41" i="74"/>
  <c r="AV219" i="74" s="1"/>
  <c r="AV216" i="74" s="1"/>
  <c r="AV269" i="74" s="1"/>
  <c r="AD215" i="74"/>
  <c r="AD268" i="74" s="1"/>
  <c r="AD274" i="74" s="1"/>
  <c r="AD281" i="74" s="1"/>
  <c r="O33" i="55"/>
  <c r="O48" i="55" s="1"/>
  <c r="AH41" i="74"/>
  <c r="AH219" i="74" s="1"/>
  <c r="AH216" i="74" s="1"/>
  <c r="AU33" i="55"/>
  <c r="AX38" i="74" s="1"/>
  <c r="AW41" i="74"/>
  <c r="AW219" i="74" s="1"/>
  <c r="AW216" i="74" s="1"/>
  <c r="AW269" i="74" s="1"/>
  <c r="AL33" i="55"/>
  <c r="AO38" i="74" s="1"/>
  <c r="Q41" i="74"/>
  <c r="Q219" i="74" s="1"/>
  <c r="Q216" i="74" s="1"/>
  <c r="AK33" i="55"/>
  <c r="AN38" i="74" s="1"/>
  <c r="V215" i="74"/>
  <c r="V268" i="74" s="1"/>
  <c r="V274" i="74" s="1"/>
  <c r="V281" i="74" s="1"/>
  <c r="H41" i="74"/>
  <c r="H219" i="74" s="1"/>
  <c r="AM33" i="55"/>
  <c r="AP38" i="74" s="1"/>
  <c r="AP41" i="74"/>
  <c r="AP219" i="74" s="1"/>
  <c r="AP216" i="74" s="1"/>
  <c r="AP269" i="74" s="1"/>
  <c r="D10" i="57"/>
  <c r="D9" i="57"/>
  <c r="W215" i="74"/>
  <c r="W268" i="74" s="1"/>
  <c r="W274" i="74" s="1"/>
  <c r="W281" i="74" s="1"/>
  <c r="X215" i="74"/>
  <c r="X268" i="74" s="1"/>
  <c r="X274" i="74" s="1"/>
  <c r="X281" i="74" s="1"/>
  <c r="AA215" i="74"/>
  <c r="AA268" i="74" s="1"/>
  <c r="AA274" i="74" s="1"/>
  <c r="AA281" i="74" s="1"/>
  <c r="AJ215" i="74"/>
  <c r="AJ268" i="74" s="1"/>
  <c r="AJ274" i="74" s="1"/>
  <c r="AJ281" i="74" s="1"/>
  <c r="N215" i="74"/>
  <c r="N268" i="74" s="1"/>
  <c r="N274" i="74" s="1"/>
  <c r="N281" i="74" s="1"/>
  <c r="AX215" i="74"/>
  <c r="AX268" i="74" s="1"/>
  <c r="AX274" i="74" s="1"/>
  <c r="AX281" i="74" s="1"/>
  <c r="AM215" i="74"/>
  <c r="AM268" i="74" s="1"/>
  <c r="AM274" i="74" s="1"/>
  <c r="AM281" i="74" s="1"/>
  <c r="AT215" i="74"/>
  <c r="AT268" i="74" s="1"/>
  <c r="AT274" i="74" s="1"/>
  <c r="AT281" i="74" s="1"/>
  <c r="AR215" i="74"/>
  <c r="AR268" i="74" s="1"/>
  <c r="AR274" i="74" s="1"/>
  <c r="AR281" i="74" s="1"/>
  <c r="O269" i="74"/>
  <c r="S215" i="74"/>
  <c r="S268" i="74" s="1"/>
  <c r="S274" i="74" s="1"/>
  <c r="S281" i="74" s="1"/>
  <c r="AK215" i="74"/>
  <c r="AK268" i="74" s="1"/>
  <c r="AK274" i="74" s="1"/>
  <c r="AK281" i="74" s="1"/>
  <c r="U215" i="74"/>
  <c r="U268" i="74" s="1"/>
  <c r="U274" i="74" s="1"/>
  <c r="U281" i="74" s="1"/>
  <c r="T215" i="74"/>
  <c r="T268" i="74" s="1"/>
  <c r="T274" i="74" s="1"/>
  <c r="T281" i="74" s="1"/>
  <c r="AC215" i="74"/>
  <c r="AC268" i="74" s="1"/>
  <c r="AC274" i="74" s="1"/>
  <c r="AC281" i="74" s="1"/>
  <c r="AI215" i="74"/>
  <c r="AI268" i="74" s="1"/>
  <c r="AI274" i="74" s="1"/>
  <c r="AI281" i="74" s="1"/>
  <c r="AO215" i="74"/>
  <c r="AO268" i="74" s="1"/>
  <c r="AO274" i="74" s="1"/>
  <c r="AO281" i="74" s="1"/>
  <c r="AN215" i="74"/>
  <c r="AN268" i="74" s="1"/>
  <c r="AN274" i="74" s="1"/>
  <c r="AN281" i="74" s="1"/>
  <c r="AU215" i="74"/>
  <c r="AU268" i="74" s="1"/>
  <c r="AU274" i="74" s="1"/>
  <c r="AU281" i="74" s="1"/>
  <c r="AF215" i="74"/>
  <c r="AF268" i="74" s="1"/>
  <c r="AF274" i="74" s="1"/>
  <c r="AF281" i="74" s="1"/>
  <c r="AS215" i="74"/>
  <c r="AS268" i="74" s="1"/>
  <c r="AS274" i="74" s="1"/>
  <c r="AS281" i="74" s="1"/>
  <c r="AG215" i="74"/>
  <c r="AG268" i="74" s="1"/>
  <c r="AG274" i="74" s="1"/>
  <c r="AG281" i="74" s="1"/>
  <c r="L48" i="55"/>
  <c r="O53" i="74" s="1"/>
  <c r="P215" i="74"/>
  <c r="P268" i="74" s="1"/>
  <c r="P274" i="74" s="1"/>
  <c r="P281" i="74" s="1"/>
  <c r="Q48" i="55"/>
  <c r="T53" i="74" s="1"/>
  <c r="AG38" i="74"/>
  <c r="AD48" i="55"/>
  <c r="AC38" i="74"/>
  <c r="Z48" i="55"/>
  <c r="AY38" i="74"/>
  <c r="AV48" i="55"/>
  <c r="Y38" i="74"/>
  <c r="V48" i="55"/>
  <c r="AI38" i="74"/>
  <c r="AF48" i="55"/>
  <c r="AL38" i="74"/>
  <c r="AI48" i="55"/>
  <c r="AK38" i="74"/>
  <c r="AH48" i="55"/>
  <c r="AU38" i="74"/>
  <c r="AR48" i="55"/>
  <c r="AF38" i="74"/>
  <c r="AC48" i="55"/>
  <c r="AB38" i="74"/>
  <c r="Y48" i="55"/>
  <c r="P38" i="74"/>
  <c r="M48" i="55"/>
  <c r="AR38" i="74"/>
  <c r="AO48" i="55"/>
  <c r="S38" i="74"/>
  <c r="P48" i="55"/>
  <c r="AQ38" i="74"/>
  <c r="AN48" i="55"/>
  <c r="AM38" i="74"/>
  <c r="AJ48" i="55"/>
  <c r="X38" i="74"/>
  <c r="U48" i="55"/>
  <c r="AW38" i="74"/>
  <c r="AT48" i="55"/>
  <c r="AA38" i="74"/>
  <c r="X48" i="55"/>
  <c r="W38" i="74"/>
  <c r="T48" i="55"/>
  <c r="AV38" i="74"/>
  <c r="AS48" i="55"/>
  <c r="Z38" i="74"/>
  <c r="W48" i="55"/>
  <c r="V38" i="74"/>
  <c r="S48" i="55"/>
  <c r="Q38" i="74"/>
  <c r="N48" i="55"/>
  <c r="N38" i="74"/>
  <c r="K48" i="55"/>
  <c r="M38" i="74"/>
  <c r="J48" i="55"/>
  <c r="M53" i="74" s="1"/>
  <c r="AE38" i="74"/>
  <c r="AB48" i="55"/>
  <c r="AH38" i="74"/>
  <c r="AE48" i="55"/>
  <c r="AD38" i="74"/>
  <c r="AA48" i="55"/>
  <c r="E48" i="82"/>
  <c r="H205" i="74"/>
  <c r="G308" i="74" s="1"/>
  <c r="H306" i="74" s="1"/>
  <c r="G205" i="74"/>
  <c r="G174" i="74" s="1"/>
  <c r="G311" i="74"/>
  <c r="O268" i="74"/>
  <c r="O274" i="74" s="1"/>
  <c r="O281" i="74" s="1"/>
  <c r="J174" i="74"/>
  <c r="J268" i="74" s="1"/>
  <c r="J272" i="74"/>
  <c r="L55" i="55"/>
  <c r="E55" i="55" s="1"/>
  <c r="AB215" i="74"/>
  <c r="Z215" i="74"/>
  <c r="R215" i="74"/>
  <c r="Y215" i="74"/>
  <c r="AQ215" i="74"/>
  <c r="BA40" i="76"/>
  <c r="BD167" i="74" s="1"/>
  <c r="BB40" i="76"/>
  <c r="BE167" i="74" s="1"/>
  <c r="AV40" i="76"/>
  <c r="AY167" i="74" s="1"/>
  <c r="AW40" i="76"/>
  <c r="AZ167" i="74" s="1"/>
  <c r="AZ40" i="76"/>
  <c r="BC167" i="74" s="1"/>
  <c r="AX40" i="76"/>
  <c r="BA167" i="74" s="1"/>
  <c r="AY40" i="76"/>
  <c r="BB167" i="74" s="1"/>
  <c r="G242" i="74"/>
  <c r="AQ164" i="74"/>
  <c r="W38" i="76"/>
  <c r="Z165" i="74" s="1"/>
  <c r="V38" i="76"/>
  <c r="Y165" i="74" s="1"/>
  <c r="S38" i="76"/>
  <c r="V165" i="74" s="1"/>
  <c r="AT164" i="74"/>
  <c r="X38" i="76"/>
  <c r="AA165" i="74" s="1"/>
  <c r="AR38" i="76"/>
  <c r="AU165" i="74" s="1"/>
  <c r="T164" i="74"/>
  <c r="O38" i="76"/>
  <c r="R165" i="74" s="1"/>
  <c r="AE38" i="76"/>
  <c r="AH165" i="74" s="1"/>
  <c r="AR164" i="74"/>
  <c r="AM164" i="74"/>
  <c r="AJ38" i="76"/>
  <c r="AM165" i="74" s="1"/>
  <c r="R38" i="76"/>
  <c r="U165" i="74" s="1"/>
  <c r="AS164" i="74"/>
  <c r="AP38" i="76"/>
  <c r="AS165" i="74" s="1"/>
  <c r="AB38" i="76"/>
  <c r="AE165" i="74" s="1"/>
  <c r="AE164" i="74"/>
  <c r="AV164" i="74"/>
  <c r="AS38" i="76"/>
  <c r="AV165" i="74" s="1"/>
  <c r="AL164" i="74"/>
  <c r="AI38" i="76"/>
  <c r="AL165" i="74" s="1"/>
  <c r="AK164" i="74"/>
  <c r="AH38" i="76"/>
  <c r="AK165" i="74" s="1"/>
  <c r="AU38" i="76"/>
  <c r="AX165" i="74" s="1"/>
  <c r="AX164" i="74"/>
  <c r="X164" i="74"/>
  <c r="U38" i="76"/>
  <c r="X165" i="74" s="1"/>
  <c r="AO164" i="74"/>
  <c r="AL38" i="76"/>
  <c r="AO165" i="74" s="1"/>
  <c r="N38" i="76"/>
  <c r="Q165" i="74" s="1"/>
  <c r="Q164" i="74"/>
  <c r="M164" i="74"/>
  <c r="J38" i="76"/>
  <c r="M165" i="74" s="1"/>
  <c r="AJ164" i="74"/>
  <c r="AG38" i="76"/>
  <c r="AJ165" i="74" s="1"/>
  <c r="O164" i="74"/>
  <c r="L38" i="76"/>
  <c r="O165" i="74" s="1"/>
  <c r="AD40" i="76"/>
  <c r="AG167" i="74" s="1"/>
  <c r="AK40" i="76"/>
  <c r="AN167" i="74" s="1"/>
  <c r="R40" i="76"/>
  <c r="U167" i="74" s="1"/>
  <c r="Y40" i="76"/>
  <c r="AB167" i="74" s="1"/>
  <c r="T40" i="76"/>
  <c r="W167" i="74" s="1"/>
  <c r="K40" i="76"/>
  <c r="N167" i="74" s="1"/>
  <c r="AE40" i="76"/>
  <c r="AH167" i="74" s="1"/>
  <c r="AH40" i="76"/>
  <c r="AK167" i="74" s="1"/>
  <c r="Q40" i="76"/>
  <c r="T167" i="74" s="1"/>
  <c r="S40" i="76"/>
  <c r="V167" i="74" s="1"/>
  <c r="AC40" i="76"/>
  <c r="AF167" i="74" s="1"/>
  <c r="V40" i="76"/>
  <c r="Y167" i="74" s="1"/>
  <c r="U40" i="76"/>
  <c r="X167" i="74" s="1"/>
  <c r="AA40" i="76"/>
  <c r="AD167" i="74" s="1"/>
  <c r="AI40" i="76"/>
  <c r="AL167" i="74" s="1"/>
  <c r="P40" i="76"/>
  <c r="S167" i="74" s="1"/>
  <c r="AN40" i="76"/>
  <c r="AQ167" i="74" s="1"/>
  <c r="H164" i="74"/>
  <c r="L40" i="76"/>
  <c r="O167" i="74" s="1"/>
  <c r="J40" i="76"/>
  <c r="M167" i="74" s="1"/>
  <c r="N40" i="76"/>
  <c r="Q167" i="74" s="1"/>
  <c r="J164" i="74"/>
  <c r="G40" i="76"/>
  <c r="J167" i="74" s="1"/>
  <c r="AS40" i="76"/>
  <c r="AV167" i="74" s="1"/>
  <c r="AO40" i="76"/>
  <c r="AR167" i="74" s="1"/>
  <c r="M40" i="76"/>
  <c r="P167" i="74" s="1"/>
  <c r="AF40" i="76"/>
  <c r="AI167" i="74" s="1"/>
  <c r="H40" i="76"/>
  <c r="K167" i="74" s="1"/>
  <c r="AB40" i="76"/>
  <c r="AE167" i="74" s="1"/>
  <c r="AQ40" i="76"/>
  <c r="AT167" i="74" s="1"/>
  <c r="AR40" i="76"/>
  <c r="AU167" i="74" s="1"/>
  <c r="AU40" i="76"/>
  <c r="AX167" i="74" s="1"/>
  <c r="AJ40" i="76"/>
  <c r="AM167" i="74" s="1"/>
  <c r="X40" i="76"/>
  <c r="AA167" i="74" s="1"/>
  <c r="AM40" i="76"/>
  <c r="AP167" i="74" s="1"/>
  <c r="AL40" i="76"/>
  <c r="AO167" i="74" s="1"/>
  <c r="AG40" i="76"/>
  <c r="AJ167" i="74" s="1"/>
  <c r="I40" i="76"/>
  <c r="L167" i="74" s="1"/>
  <c r="Z40" i="76"/>
  <c r="AC167" i="74" s="1"/>
  <c r="G38" i="76"/>
  <c r="AP40" i="76"/>
  <c r="AS167" i="74" s="1"/>
  <c r="O40" i="76"/>
  <c r="R167" i="74" s="1"/>
  <c r="W40" i="76"/>
  <c r="Z167" i="74" s="1"/>
  <c r="AT40" i="76"/>
  <c r="AW167" i="74" s="1"/>
  <c r="AG164" i="74"/>
  <c r="AD38" i="76"/>
  <c r="AG165" i="74" s="1"/>
  <c r="N164" i="74"/>
  <c r="K38" i="76"/>
  <c r="N165" i="74" s="1"/>
  <c r="AP164" i="74"/>
  <c r="AM38" i="76"/>
  <c r="AP165" i="74" s="1"/>
  <c r="AT38" i="76"/>
  <c r="AW165" i="74" s="1"/>
  <c r="AW164" i="74"/>
  <c r="L215" i="74" l="1"/>
  <c r="L38" i="74"/>
  <c r="E33" i="55"/>
  <c r="H38" i="74" s="1"/>
  <c r="H216" i="74" s="1"/>
  <c r="H269" i="74" s="1"/>
  <c r="D33" i="55"/>
  <c r="G38" i="74" s="1"/>
  <c r="G216" i="74" s="1"/>
  <c r="G269" i="74" s="1"/>
  <c r="D55" i="55"/>
  <c r="D38" i="76"/>
  <c r="G165" i="74" s="1"/>
  <c r="R48" i="55"/>
  <c r="U53" i="74" s="1"/>
  <c r="I48" i="55"/>
  <c r="AJ38" i="74"/>
  <c r="R38" i="74"/>
  <c r="AQ48" i="55"/>
  <c r="AQ47" i="55" s="1"/>
  <c r="AP48" i="55"/>
  <c r="AS53" i="74" s="1"/>
  <c r="AL215" i="74"/>
  <c r="AL268" i="74" s="1"/>
  <c r="AL274" i="74" s="1"/>
  <c r="AL281" i="74" s="1"/>
  <c r="M288" i="74"/>
  <c r="M293" i="74" s="1"/>
  <c r="M294" i="74" s="1"/>
  <c r="M295" i="74" s="1"/>
  <c r="N288" i="74"/>
  <c r="N293" i="74" s="1"/>
  <c r="N294" i="74" s="1"/>
  <c r="N295" i="74" s="1"/>
  <c r="L288" i="74"/>
  <c r="L293" i="74" s="1"/>
  <c r="L294" i="74" s="1"/>
  <c r="L295" i="74" s="1"/>
  <c r="J286" i="74"/>
  <c r="AW283" i="74"/>
  <c r="AL283" i="74"/>
  <c r="AY283" i="74"/>
  <c r="AP283" i="74"/>
  <c r="O283" i="74"/>
  <c r="AV283" i="74"/>
  <c r="AV215" i="74"/>
  <c r="AV268" i="74" s="1"/>
  <c r="AV274" i="74" s="1"/>
  <c r="AV281" i="74" s="1"/>
  <c r="AY215" i="74"/>
  <c r="AY268" i="74" s="1"/>
  <c r="AY274" i="74" s="1"/>
  <c r="AY281" i="74" s="1"/>
  <c r="AM48" i="55"/>
  <c r="AM47" i="55" s="1"/>
  <c r="AU48" i="55"/>
  <c r="AU47" i="55" s="1"/>
  <c r="AL48" i="55"/>
  <c r="AL47" i="55" s="1"/>
  <c r="AW215" i="74"/>
  <c r="AW268" i="74" s="1"/>
  <c r="AW274" i="74" s="1"/>
  <c r="AW281" i="74" s="1"/>
  <c r="AK48" i="55"/>
  <c r="AK47" i="55" s="1"/>
  <c r="AH269" i="74"/>
  <c r="AH215" i="74"/>
  <c r="AH268" i="74" s="1"/>
  <c r="AH274" i="74" s="1"/>
  <c r="AH281" i="74" s="1"/>
  <c r="AP215" i="74"/>
  <c r="AP268" i="74" s="1"/>
  <c r="AP274" i="74" s="1"/>
  <c r="AP281" i="74" s="1"/>
  <c r="Q269" i="74"/>
  <c r="Q215" i="74"/>
  <c r="Q268" i="74" s="1"/>
  <c r="Q274" i="74" s="1"/>
  <c r="Q281" i="74" s="1"/>
  <c r="J47" i="55"/>
  <c r="J67" i="55" s="1"/>
  <c r="J66" i="55" s="1"/>
  <c r="AR53" i="74"/>
  <c r="AO47" i="55"/>
  <c r="R53" i="74"/>
  <c r="O47" i="55"/>
  <c r="AJ53" i="74"/>
  <c r="AG47" i="55"/>
  <c r="Y53" i="74"/>
  <c r="V47" i="55"/>
  <c r="AH53" i="74"/>
  <c r="AE47" i="55"/>
  <c r="N53" i="74"/>
  <c r="K47" i="55"/>
  <c r="AV53" i="74"/>
  <c r="AS47" i="55"/>
  <c r="X53" i="74"/>
  <c r="U47" i="55"/>
  <c r="P53" i="74"/>
  <c r="M47" i="55"/>
  <c r="AB53" i="74"/>
  <c r="Y47" i="55"/>
  <c r="AU53" i="74"/>
  <c r="AR47" i="55"/>
  <c r="AL53" i="74"/>
  <c r="AI47" i="55"/>
  <c r="AY53" i="74"/>
  <c r="AV47" i="55"/>
  <c r="AE53" i="74"/>
  <c r="AB47" i="55"/>
  <c r="Q53" i="74"/>
  <c r="N47" i="55"/>
  <c r="W53" i="74"/>
  <c r="T47" i="55"/>
  <c r="AF53" i="74"/>
  <c r="AC47" i="55"/>
  <c r="AI53" i="74"/>
  <c r="AF47" i="55"/>
  <c r="AC53" i="74"/>
  <c r="Z47" i="55"/>
  <c r="V53" i="74"/>
  <c r="S47" i="55"/>
  <c r="AA53" i="74"/>
  <c r="X47" i="55"/>
  <c r="AM53" i="74"/>
  <c r="AJ47" i="55"/>
  <c r="S53" i="74"/>
  <c r="P47" i="55"/>
  <c r="AK53" i="74"/>
  <c r="AH47" i="55"/>
  <c r="AG53" i="74"/>
  <c r="AD47" i="55"/>
  <c r="AD53" i="74"/>
  <c r="AA47" i="55"/>
  <c r="Z53" i="74"/>
  <c r="W47" i="55"/>
  <c r="AW53" i="74"/>
  <c r="AT47" i="55"/>
  <c r="AQ53" i="74"/>
  <c r="AN47" i="55"/>
  <c r="Q47" i="55"/>
  <c r="Q67" i="55" s="1"/>
  <c r="Q66" i="55" s="1"/>
  <c r="H174" i="74"/>
  <c r="H272" i="74"/>
  <c r="L47" i="55"/>
  <c r="AQ41" i="76"/>
  <c r="AT168" i="74" s="1"/>
  <c r="AE41" i="76"/>
  <c r="AH168" i="74" s="1"/>
  <c r="S41" i="76"/>
  <c r="V168" i="74" s="1"/>
  <c r="G41" i="76"/>
  <c r="BB41" i="76"/>
  <c r="BE168" i="74" s="1"/>
  <c r="AP41" i="76"/>
  <c r="AS168" i="74" s="1"/>
  <c r="AD41" i="76"/>
  <c r="AG168" i="74" s="1"/>
  <c r="R41" i="76"/>
  <c r="U168" i="74" s="1"/>
  <c r="Z41" i="76"/>
  <c r="AC168" i="74" s="1"/>
  <c r="Y41" i="76"/>
  <c r="AB168" i="74" s="1"/>
  <c r="AU41" i="76"/>
  <c r="AX168" i="74" s="1"/>
  <c r="I41" i="76"/>
  <c r="L168" i="74" s="1"/>
  <c r="T41" i="76"/>
  <c r="W168" i="74" s="1"/>
  <c r="BA41" i="76"/>
  <c r="BD168" i="74" s="1"/>
  <c r="AO41" i="76"/>
  <c r="AR168" i="74" s="1"/>
  <c r="AC41" i="76"/>
  <c r="AF168" i="74" s="1"/>
  <c r="Q41" i="76"/>
  <c r="T168" i="74" s="1"/>
  <c r="M41" i="76"/>
  <c r="P168" i="74" s="1"/>
  <c r="H41" i="76"/>
  <c r="K168" i="74" s="1"/>
  <c r="AZ41" i="76"/>
  <c r="BC168" i="74" s="1"/>
  <c r="AN41" i="76"/>
  <c r="AQ168" i="74" s="1"/>
  <c r="AB41" i="76"/>
  <c r="AE168" i="74" s="1"/>
  <c r="P41" i="76"/>
  <c r="S168" i="74" s="1"/>
  <c r="W41" i="76"/>
  <c r="Z168" i="74" s="1"/>
  <c r="AS41" i="76"/>
  <c r="AV168" i="74" s="1"/>
  <c r="AY41" i="76"/>
  <c r="BB168" i="74" s="1"/>
  <c r="AM41" i="76"/>
  <c r="AP168" i="74" s="1"/>
  <c r="AA41" i="76"/>
  <c r="AD168" i="74" s="1"/>
  <c r="O41" i="76"/>
  <c r="R168" i="74" s="1"/>
  <c r="AL41" i="76"/>
  <c r="AO168" i="74" s="1"/>
  <c r="AW41" i="76"/>
  <c r="AZ168" i="74" s="1"/>
  <c r="AI41" i="76"/>
  <c r="AL168" i="74" s="1"/>
  <c r="AF41" i="76"/>
  <c r="AI168" i="74" s="1"/>
  <c r="AX41" i="76"/>
  <c r="BA168" i="74" s="1"/>
  <c r="N41" i="76"/>
  <c r="Q168" i="74" s="1"/>
  <c r="AK41" i="76"/>
  <c r="AN168" i="74" s="1"/>
  <c r="U41" i="76"/>
  <c r="X168" i="74" s="1"/>
  <c r="AV41" i="76"/>
  <c r="AY168" i="74" s="1"/>
  <c r="AJ41" i="76"/>
  <c r="AM168" i="74" s="1"/>
  <c r="X41" i="76"/>
  <c r="AA168" i="74" s="1"/>
  <c r="L41" i="76"/>
  <c r="O168" i="74" s="1"/>
  <c r="K41" i="76"/>
  <c r="N168" i="74" s="1"/>
  <c r="AT41" i="76"/>
  <c r="AW168" i="74" s="1"/>
  <c r="AH41" i="76"/>
  <c r="AK168" i="74" s="1"/>
  <c r="V41" i="76"/>
  <c r="Y168" i="74" s="1"/>
  <c r="J41" i="76"/>
  <c r="M168" i="74" s="1"/>
  <c r="AG41" i="76"/>
  <c r="AJ168" i="74" s="1"/>
  <c r="AR41" i="76"/>
  <c r="AU168" i="74" s="1"/>
  <c r="J274" i="74"/>
  <c r="J281" i="74" s="1"/>
  <c r="R268" i="74"/>
  <c r="R274" i="74" s="1"/>
  <c r="R281" i="74" s="1"/>
  <c r="J275" i="74"/>
  <c r="AQ268" i="74"/>
  <c r="AQ274" i="74" s="1"/>
  <c r="AQ281" i="74" s="1"/>
  <c r="Y268" i="74"/>
  <c r="Z268" i="74"/>
  <c r="Z274" i="74" s="1"/>
  <c r="Z281" i="74" s="1"/>
  <c r="AB268" i="74"/>
  <c r="L268" i="74"/>
  <c r="L274" i="74" s="1"/>
  <c r="L281" i="74" s="1"/>
  <c r="G272" i="74"/>
  <c r="K275" i="74"/>
  <c r="J165" i="74"/>
  <c r="R47" i="55" l="1"/>
  <c r="L53" i="74"/>
  <c r="E48" i="55"/>
  <c r="H53" i="74" s="1"/>
  <c r="D48" i="55"/>
  <c r="H275" i="74"/>
  <c r="H278" i="74"/>
  <c r="I47" i="55"/>
  <c r="AE51" i="55" s="1"/>
  <c r="AH56" i="74" s="1"/>
  <c r="AP53" i="74"/>
  <c r="M52" i="74"/>
  <c r="J50" i="55"/>
  <c r="M55" i="74" s="1"/>
  <c r="AX53" i="74"/>
  <c r="AT53" i="74"/>
  <c r="AP47" i="55"/>
  <c r="AO53" i="74"/>
  <c r="AN53" i="74"/>
  <c r="J291" i="74"/>
  <c r="J296" i="74" s="1"/>
  <c r="J297" i="74" s="1"/>
  <c r="R291" i="74"/>
  <c r="Z291" i="74"/>
  <c r="AH291" i="74"/>
  <c r="AP291" i="74"/>
  <c r="AX291" i="74"/>
  <c r="AV291" i="74"/>
  <c r="AO291" i="74"/>
  <c r="K291" i="74"/>
  <c r="K296" i="74" s="1"/>
  <c r="K297" i="74" s="1"/>
  <c r="S291" i="74"/>
  <c r="AA291" i="74"/>
  <c r="AI291" i="74"/>
  <c r="AQ291" i="74"/>
  <c r="AY291" i="74"/>
  <c r="AF291" i="74"/>
  <c r="L291" i="74"/>
  <c r="L296" i="74" s="1"/>
  <c r="L297" i="74" s="1"/>
  <c r="T291" i="74"/>
  <c r="AB291" i="74"/>
  <c r="AJ291" i="74"/>
  <c r="AR291" i="74"/>
  <c r="AZ291" i="74"/>
  <c r="P291" i="74"/>
  <c r="AN291" i="74"/>
  <c r="AG291" i="74"/>
  <c r="M291" i="74"/>
  <c r="M296" i="74" s="1"/>
  <c r="M297" i="74" s="1"/>
  <c r="U291" i="74"/>
  <c r="AC291" i="74"/>
  <c r="AK291" i="74"/>
  <c r="AS291" i="74"/>
  <c r="BA291" i="74"/>
  <c r="Y291" i="74"/>
  <c r="N291" i="74"/>
  <c r="N296" i="74" s="1"/>
  <c r="N297" i="74" s="1"/>
  <c r="V291" i="74"/>
  <c r="AD291" i="74"/>
  <c r="AL291" i="74"/>
  <c r="AT291" i="74"/>
  <c r="BB291" i="74"/>
  <c r="BD291" i="74"/>
  <c r="Q291" i="74"/>
  <c r="BE291" i="74"/>
  <c r="O291" i="74"/>
  <c r="W291" i="74"/>
  <c r="AE291" i="74"/>
  <c r="AM291" i="74"/>
  <c r="AU291" i="74"/>
  <c r="BC291" i="74"/>
  <c r="X291" i="74"/>
  <c r="AW291" i="74"/>
  <c r="P288" i="74"/>
  <c r="P293" i="74" s="1"/>
  <c r="P294" i="74" s="1"/>
  <c r="P295" i="74" s="1"/>
  <c r="O288" i="74"/>
  <c r="O293" i="74" s="1"/>
  <c r="O294" i="74" s="1"/>
  <c r="O295" i="74" s="1"/>
  <c r="H215" i="74"/>
  <c r="H268" i="74" s="1"/>
  <c r="Q283" i="74"/>
  <c r="AH283" i="74"/>
  <c r="G315" i="74"/>
  <c r="G317" i="74"/>
  <c r="G53" i="74"/>
  <c r="G309" i="74"/>
  <c r="H309" i="74" s="1"/>
  <c r="G215" i="74"/>
  <c r="G268" i="74" s="1"/>
  <c r="AQ67" i="55"/>
  <c r="AQ66" i="55" s="1"/>
  <c r="AT52" i="74"/>
  <c r="AQ50" i="55"/>
  <c r="AT55" i="74" s="1"/>
  <c r="S52" i="74"/>
  <c r="P50" i="55"/>
  <c r="S55" i="74" s="1"/>
  <c r="P67" i="55"/>
  <c r="P66" i="55" s="1"/>
  <c r="AB67" i="55"/>
  <c r="AB66" i="55" s="1"/>
  <c r="AB50" i="55"/>
  <c r="AE55" i="74" s="1"/>
  <c r="AE52" i="74"/>
  <c r="AB52" i="74"/>
  <c r="Y67" i="55"/>
  <c r="Y66" i="55" s="1"/>
  <c r="Y50" i="55"/>
  <c r="AB55" i="74" s="1"/>
  <c r="AV52" i="74"/>
  <c r="AS50" i="55"/>
  <c r="AV55" i="74" s="1"/>
  <c r="AS67" i="55"/>
  <c r="AS66" i="55" s="1"/>
  <c r="AH50" i="55"/>
  <c r="AK55" i="74" s="1"/>
  <c r="AH67" i="55"/>
  <c r="AH66" i="55" s="1"/>
  <c r="AK52" i="74"/>
  <c r="AL67" i="55"/>
  <c r="AL66" i="55" s="1"/>
  <c r="AL50" i="55"/>
  <c r="AO55" i="74" s="1"/>
  <c r="AO52" i="74"/>
  <c r="AN67" i="55"/>
  <c r="AN66" i="55" s="1"/>
  <c r="AQ52" i="74"/>
  <c r="AN50" i="55"/>
  <c r="AQ55" i="74" s="1"/>
  <c r="AA50" i="55"/>
  <c r="AD55" i="74" s="1"/>
  <c r="AD52" i="74"/>
  <c r="AA67" i="55"/>
  <c r="AA66" i="55" s="1"/>
  <c r="AJ67" i="55"/>
  <c r="AJ66" i="55" s="1"/>
  <c r="AJ50" i="55"/>
  <c r="AM55" i="74" s="1"/>
  <c r="AM52" i="74"/>
  <c r="Z67" i="55"/>
  <c r="Z66" i="55" s="1"/>
  <c r="AC52" i="74"/>
  <c r="Z50" i="55"/>
  <c r="AC55" i="74" s="1"/>
  <c r="AU67" i="55"/>
  <c r="AU66" i="55" s="1"/>
  <c r="AX52" i="74"/>
  <c r="AU50" i="55"/>
  <c r="AX55" i="74" s="1"/>
  <c r="AV50" i="55"/>
  <c r="AY55" i="74" s="1"/>
  <c r="AY52" i="74"/>
  <c r="AV67" i="55"/>
  <c r="AV66" i="55" s="1"/>
  <c r="P52" i="74"/>
  <c r="M67" i="55"/>
  <c r="M66" i="55" s="1"/>
  <c r="M50" i="55"/>
  <c r="P55" i="74" s="1"/>
  <c r="N52" i="74"/>
  <c r="K50" i="55"/>
  <c r="N55" i="74" s="1"/>
  <c r="K67" i="55"/>
  <c r="K66" i="55" s="1"/>
  <c r="AJ52" i="74"/>
  <c r="AG50" i="55"/>
  <c r="AJ55" i="74" s="1"/>
  <c r="AG67" i="55"/>
  <c r="AG66" i="55" s="1"/>
  <c r="AN52" i="74"/>
  <c r="AK67" i="55"/>
  <c r="AK66" i="55" s="1"/>
  <c r="AK50" i="55"/>
  <c r="AN55" i="74" s="1"/>
  <c r="AT50" i="55"/>
  <c r="AW55" i="74" s="1"/>
  <c r="AT67" i="55"/>
  <c r="AT66" i="55" s="1"/>
  <c r="AW52" i="74"/>
  <c r="AA52" i="74"/>
  <c r="X50" i="55"/>
  <c r="AA55" i="74" s="1"/>
  <c r="X67" i="55"/>
  <c r="X66" i="55" s="1"/>
  <c r="AI52" i="74"/>
  <c r="AF50" i="55"/>
  <c r="AI55" i="74" s="1"/>
  <c r="AF67" i="55"/>
  <c r="AF66" i="55" s="1"/>
  <c r="W52" i="74"/>
  <c r="T67" i="55"/>
  <c r="T66" i="55" s="1"/>
  <c r="T50" i="55"/>
  <c r="W55" i="74" s="1"/>
  <c r="AI67" i="55"/>
  <c r="AI66" i="55" s="1"/>
  <c r="AL52" i="74"/>
  <c r="AI50" i="55"/>
  <c r="AL55" i="74" s="1"/>
  <c r="AE67" i="55"/>
  <c r="AE66" i="55" s="1"/>
  <c r="AE50" i="55"/>
  <c r="AH55" i="74" s="1"/>
  <c r="AH52" i="74"/>
  <c r="R52" i="74"/>
  <c r="O67" i="55"/>
  <c r="O66" i="55" s="1"/>
  <c r="O50" i="55"/>
  <c r="R55" i="74" s="1"/>
  <c r="AG52" i="74"/>
  <c r="AD50" i="55"/>
  <c r="AG55" i="74" s="1"/>
  <c r="AD67" i="55"/>
  <c r="AD66" i="55" s="1"/>
  <c r="AM67" i="55"/>
  <c r="AM66" i="55" s="1"/>
  <c r="AM50" i="55"/>
  <c r="AP55" i="74" s="1"/>
  <c r="AP52" i="74"/>
  <c r="Z52" i="74"/>
  <c r="W67" i="55"/>
  <c r="W66" i="55" s="1"/>
  <c r="W50" i="55"/>
  <c r="Z55" i="74" s="1"/>
  <c r="S67" i="55"/>
  <c r="S66" i="55" s="1"/>
  <c r="V52" i="74"/>
  <c r="S50" i="55"/>
  <c r="V55" i="74" s="1"/>
  <c r="AF52" i="74"/>
  <c r="AC50" i="55"/>
  <c r="AF55" i="74" s="1"/>
  <c r="AC67" i="55"/>
  <c r="AC66" i="55" s="1"/>
  <c r="N67" i="55"/>
  <c r="N66" i="55" s="1"/>
  <c r="N50" i="55"/>
  <c r="Q55" i="74" s="1"/>
  <c r="Q52" i="74"/>
  <c r="AR67" i="55"/>
  <c r="AR66" i="55" s="1"/>
  <c r="AU52" i="74"/>
  <c r="AR50" i="55"/>
  <c r="AU55" i="74" s="1"/>
  <c r="X52" i="74"/>
  <c r="U67" i="55"/>
  <c r="U66" i="55" s="1"/>
  <c r="U50" i="55"/>
  <c r="X55" i="74" s="1"/>
  <c r="Y52" i="74"/>
  <c r="V50" i="55"/>
  <c r="Y55" i="74" s="1"/>
  <c r="V67" i="55"/>
  <c r="V66" i="55" s="1"/>
  <c r="AO67" i="55"/>
  <c r="AO66" i="55" s="1"/>
  <c r="AO50" i="55"/>
  <c r="AR55" i="74" s="1"/>
  <c r="AR52" i="74"/>
  <c r="U52" i="74"/>
  <c r="R50" i="55"/>
  <c r="U55" i="74" s="1"/>
  <c r="R67" i="55"/>
  <c r="R66" i="55" s="1"/>
  <c r="P276" i="74"/>
  <c r="T52" i="74"/>
  <c r="Q50" i="55"/>
  <c r="T55" i="74" s="1"/>
  <c r="L67" i="55"/>
  <c r="L66" i="55" s="1"/>
  <c r="L50" i="55"/>
  <c r="O55" i="74" s="1"/>
  <c r="O52" i="74"/>
  <c r="AS275" i="74"/>
  <c r="AC275" i="74"/>
  <c r="V275" i="74"/>
  <c r="AH275" i="74"/>
  <c r="AZ275" i="74"/>
  <c r="N275" i="74"/>
  <c r="R275" i="74"/>
  <c r="BA275" i="74"/>
  <c r="W275" i="74"/>
  <c r="X275" i="74"/>
  <c r="Y275" i="74"/>
  <c r="O275" i="74"/>
  <c r="T275" i="74"/>
  <c r="U275" i="74"/>
  <c r="AB274" i="74"/>
  <c r="AB281" i="74" s="1"/>
  <c r="AV275" i="74"/>
  <c r="BD275" i="74"/>
  <c r="AN275" i="74"/>
  <c r="BB275" i="74"/>
  <c r="AM275" i="74"/>
  <c r="AK275" i="74"/>
  <c r="AR275" i="74"/>
  <c r="AL275" i="74"/>
  <c r="AT275" i="74"/>
  <c r="Z275" i="74"/>
  <c r="AW275" i="74"/>
  <c r="AE275" i="74"/>
  <c r="AA275" i="74"/>
  <c r="BC275" i="74"/>
  <c r="AQ275" i="74"/>
  <c r="AY275" i="74"/>
  <c r="AU275" i="74"/>
  <c r="AF275" i="74"/>
  <c r="AB275" i="74"/>
  <c r="AJ275" i="74"/>
  <c r="Q275" i="74"/>
  <c r="AD275" i="74"/>
  <c r="M275" i="74"/>
  <c r="AI275" i="74"/>
  <c r="AX275" i="74"/>
  <c r="AO275" i="74"/>
  <c r="Y274" i="74"/>
  <c r="Y281" i="74" s="1"/>
  <c r="BE275" i="74"/>
  <c r="AP275" i="74"/>
  <c r="P275" i="74"/>
  <c r="AG275" i="74"/>
  <c r="S275" i="74"/>
  <c r="L275" i="74"/>
  <c r="E43" i="76"/>
  <c r="J168" i="74"/>
  <c r="AD51" i="55" l="1"/>
  <c r="AG56" i="74" s="1"/>
  <c r="AB51" i="55"/>
  <c r="AE56" i="74" s="1"/>
  <c r="AK51" i="55"/>
  <c r="AN56" i="74" s="1"/>
  <c r="L52" i="74"/>
  <c r="E47" i="55"/>
  <c r="H52" i="74" s="1"/>
  <c r="D47" i="55"/>
  <c r="G52" i="74" s="1"/>
  <c r="K51" i="55"/>
  <c r="N56" i="74" s="1"/>
  <c r="P51" i="55"/>
  <c r="S56" i="74" s="1"/>
  <c r="AL51" i="55"/>
  <c r="AO56" i="74" s="1"/>
  <c r="AH51" i="55"/>
  <c r="AK56" i="74" s="1"/>
  <c r="L51" i="55"/>
  <c r="O56" i="74" s="1"/>
  <c r="AG51" i="55"/>
  <c r="AJ56" i="74" s="1"/>
  <c r="AC51" i="55"/>
  <c r="AF56" i="74" s="1"/>
  <c r="M51" i="55"/>
  <c r="P56" i="74" s="1"/>
  <c r="AO51" i="55"/>
  <c r="AR56" i="74" s="1"/>
  <c r="Q51" i="55"/>
  <c r="T56" i="74" s="1"/>
  <c r="T51" i="55"/>
  <c r="W56" i="74" s="1"/>
  <c r="V51" i="55"/>
  <c r="Y56" i="74" s="1"/>
  <c r="S51" i="55"/>
  <c r="V56" i="74" s="1"/>
  <c r="I50" i="55"/>
  <c r="AJ52" i="55" s="1"/>
  <c r="AM57" i="74" s="1"/>
  <c r="W51" i="55"/>
  <c r="Z56" i="74" s="1"/>
  <c r="AJ51" i="55"/>
  <c r="AM56" i="74" s="1"/>
  <c r="O51" i="55"/>
  <c r="R56" i="74" s="1"/>
  <c r="Z51" i="55"/>
  <c r="AC56" i="74" s="1"/>
  <c r="N51" i="55"/>
  <c r="Q56" i="74" s="1"/>
  <c r="AM51" i="55"/>
  <c r="AP56" i="74" s="1"/>
  <c r="X51" i="55"/>
  <c r="AA56" i="74" s="1"/>
  <c r="AP51" i="55"/>
  <c r="AS56" i="74" s="1"/>
  <c r="J51" i="55"/>
  <c r="M56" i="74" s="1"/>
  <c r="Y51" i="55"/>
  <c r="AB56" i="74" s="1"/>
  <c r="R51" i="55"/>
  <c r="U56" i="74" s="1"/>
  <c r="AF51" i="55"/>
  <c r="AI56" i="74" s="1"/>
  <c r="AN51" i="55"/>
  <c r="AQ56" i="74" s="1"/>
  <c r="AI51" i="55"/>
  <c r="AL56" i="74" s="1"/>
  <c r="U51" i="55"/>
  <c r="X56" i="74" s="1"/>
  <c r="AA51" i="55"/>
  <c r="AD56" i="74" s="1"/>
  <c r="I67" i="55"/>
  <c r="I51" i="55"/>
  <c r="L56" i="74" s="1"/>
  <c r="AU51" i="55"/>
  <c r="AX56" i="74" s="1"/>
  <c r="AR51" i="55"/>
  <c r="AU56" i="74" s="1"/>
  <c r="AX51" i="55"/>
  <c r="BA56" i="74" s="1"/>
  <c r="AW51" i="55"/>
  <c r="AZ56" i="74" s="1"/>
  <c r="BB51" i="55"/>
  <c r="BE56" i="74" s="1"/>
  <c r="AQ51" i="55"/>
  <c r="AT56" i="74" s="1"/>
  <c r="AV51" i="55"/>
  <c r="AY56" i="74" s="1"/>
  <c r="AP67" i="55"/>
  <c r="AP66" i="55" s="1"/>
  <c r="AP50" i="55"/>
  <c r="AS55" i="74" s="1"/>
  <c r="AS52" i="74"/>
  <c r="C64" i="55"/>
  <c r="AS51" i="55"/>
  <c r="AV56" i="74" s="1"/>
  <c r="AY51" i="55"/>
  <c r="BB56" i="74" s="1"/>
  <c r="AZ51" i="55"/>
  <c r="BC56" i="74" s="1"/>
  <c r="BA51" i="55"/>
  <c r="BD56" i="74" s="1"/>
  <c r="AT51" i="55"/>
  <c r="AW56" i="74" s="1"/>
  <c r="O296" i="74"/>
  <c r="O297" i="74" s="1"/>
  <c r="P296" i="74"/>
  <c r="P297" i="74" s="1"/>
  <c r="BC288" i="74"/>
  <c r="BC293" i="74" s="1"/>
  <c r="BC294" i="74" s="1"/>
  <c r="BC295" i="74" s="1"/>
  <c r="BC296" i="74" s="1"/>
  <c r="BC297" i="74" s="1"/>
  <c r="AX288" i="74"/>
  <c r="AX293" i="74" s="1"/>
  <c r="AX294" i="74" s="1"/>
  <c r="AX295" i="74" s="1"/>
  <c r="AX296" i="74" s="1"/>
  <c r="AX297" i="74" s="1"/>
  <c r="T288" i="74"/>
  <c r="T293" i="74" s="1"/>
  <c r="T294" i="74" s="1"/>
  <c r="T295" i="74" s="1"/>
  <c r="T296" i="74" s="1"/>
  <c r="T297" i="74" s="1"/>
  <c r="AQ288" i="74"/>
  <c r="AQ293" i="74" s="1"/>
  <c r="AQ294" i="74" s="1"/>
  <c r="AQ295" i="74" s="1"/>
  <c r="AQ296" i="74" s="1"/>
  <c r="AQ297" i="74" s="1"/>
  <c r="Q288" i="74"/>
  <c r="Q293" i="74" s="1"/>
  <c r="Q294" i="74" s="1"/>
  <c r="Q295" i="74" s="1"/>
  <c r="Q296" i="74" s="1"/>
  <c r="Q297" i="74" s="1"/>
  <c r="AA288" i="74"/>
  <c r="AA293" i="74" s="1"/>
  <c r="AA294" i="74" s="1"/>
  <c r="AA295" i="74" s="1"/>
  <c r="AA296" i="74" s="1"/>
  <c r="AA297" i="74" s="1"/>
  <c r="AN288" i="74"/>
  <c r="AN293" i="74" s="1"/>
  <c r="AN294" i="74" s="1"/>
  <c r="AN295" i="74" s="1"/>
  <c r="AN296" i="74" s="1"/>
  <c r="AN297" i="74" s="1"/>
  <c r="AL288" i="74"/>
  <c r="AL293" i="74" s="1"/>
  <c r="AL294" i="74" s="1"/>
  <c r="AL295" i="74" s="1"/>
  <c r="AL296" i="74" s="1"/>
  <c r="AL297" i="74" s="1"/>
  <c r="AF288" i="74"/>
  <c r="AF293" i="74" s="1"/>
  <c r="AF294" i="74" s="1"/>
  <c r="AF295" i="74" s="1"/>
  <c r="AF296" i="74" s="1"/>
  <c r="AF297" i="74" s="1"/>
  <c r="V288" i="74"/>
  <c r="V293" i="74" s="1"/>
  <c r="V294" i="74" s="1"/>
  <c r="V295" i="74" s="1"/>
  <c r="V296" i="74" s="1"/>
  <c r="V297" i="74" s="1"/>
  <c r="AS288" i="74"/>
  <c r="AS293" i="74" s="1"/>
  <c r="AS294" i="74" s="1"/>
  <c r="AS295" i="74" s="1"/>
  <c r="AS296" i="74" s="1"/>
  <c r="AS297" i="74" s="1"/>
  <c r="S288" i="74"/>
  <c r="S293" i="74" s="1"/>
  <c r="S294" i="74" s="1"/>
  <c r="S295" i="74" s="1"/>
  <c r="S296" i="74" s="1"/>
  <c r="S297" i="74" s="1"/>
  <c r="AP288" i="74"/>
  <c r="AP293" i="74" s="1"/>
  <c r="AP294" i="74" s="1"/>
  <c r="AP295" i="74" s="1"/>
  <c r="AP296" i="74" s="1"/>
  <c r="AP297" i="74" s="1"/>
  <c r="Z288" i="74"/>
  <c r="Z293" i="74" s="1"/>
  <c r="Z294" i="74" s="1"/>
  <c r="Z295" i="74" s="1"/>
  <c r="Z296" i="74" s="1"/>
  <c r="Z297" i="74" s="1"/>
  <c r="AU288" i="74"/>
  <c r="AU293" i="74" s="1"/>
  <c r="AU294" i="74" s="1"/>
  <c r="AU295" i="74" s="1"/>
  <c r="AU296" i="74" s="1"/>
  <c r="AU297" i="74" s="1"/>
  <c r="AK288" i="74"/>
  <c r="AK293" i="74" s="1"/>
  <c r="AK294" i="74" s="1"/>
  <c r="AK295" i="74" s="1"/>
  <c r="AK296" i="74" s="1"/>
  <c r="AK297" i="74" s="1"/>
  <c r="AZ288" i="74"/>
  <c r="AZ293" i="74" s="1"/>
  <c r="AZ294" i="74" s="1"/>
  <c r="AZ295" i="74" s="1"/>
  <c r="AZ296" i="74" s="1"/>
  <c r="AZ297" i="74" s="1"/>
  <c r="AD288" i="74"/>
  <c r="AD293" i="74" s="1"/>
  <c r="AD294" i="74" s="1"/>
  <c r="AD295" i="74" s="1"/>
  <c r="AD296" i="74" s="1"/>
  <c r="AD297" i="74" s="1"/>
  <c r="U288" i="74"/>
  <c r="U293" i="74" s="1"/>
  <c r="U294" i="74" s="1"/>
  <c r="U295" i="74" s="1"/>
  <c r="U296" i="74" s="1"/>
  <c r="U297" i="74" s="1"/>
  <c r="AJ288" i="74"/>
  <c r="AJ293" i="74" s="1"/>
  <c r="AJ294" i="74" s="1"/>
  <c r="AJ295" i="74" s="1"/>
  <c r="AJ296" i="74" s="1"/>
  <c r="AJ297" i="74" s="1"/>
  <c r="BD288" i="74"/>
  <c r="BD293" i="74" s="1"/>
  <c r="BD294" i="74" s="1"/>
  <c r="BD295" i="74" s="1"/>
  <c r="BD296" i="74" s="1"/>
  <c r="BD297" i="74" s="1"/>
  <c r="AM288" i="74"/>
  <c r="AM293" i="74" s="1"/>
  <c r="AM294" i="74" s="1"/>
  <c r="AM295" i="74" s="1"/>
  <c r="AM296" i="74" s="1"/>
  <c r="AM297" i="74" s="1"/>
  <c r="Y288" i="74"/>
  <c r="Y293" i="74" s="1"/>
  <c r="Y294" i="74" s="1"/>
  <c r="Y295" i="74" s="1"/>
  <c r="Y296" i="74" s="1"/>
  <c r="Y297" i="74" s="1"/>
  <c r="AH288" i="74"/>
  <c r="AH293" i="74" s="1"/>
  <c r="AH294" i="74" s="1"/>
  <c r="AH295" i="74" s="1"/>
  <c r="AH296" i="74" s="1"/>
  <c r="AH297" i="74" s="1"/>
  <c r="W288" i="74"/>
  <c r="W293" i="74" s="1"/>
  <c r="W294" i="74" s="1"/>
  <c r="W295" i="74" s="1"/>
  <c r="W296" i="74" s="1"/>
  <c r="W297" i="74" s="1"/>
  <c r="BB288" i="74"/>
  <c r="BB293" i="74" s="1"/>
  <c r="BB294" i="74" s="1"/>
  <c r="BB295" i="74" s="1"/>
  <c r="BB296" i="74" s="1"/>
  <c r="BB297" i="74" s="1"/>
  <c r="R288" i="74"/>
  <c r="R293" i="74" s="1"/>
  <c r="R294" i="74" s="1"/>
  <c r="R295" i="74" s="1"/>
  <c r="R296" i="74" s="1"/>
  <c r="R297" i="74" s="1"/>
  <c r="AY288" i="74"/>
  <c r="AY293" i="74" s="1"/>
  <c r="AY294" i="74" s="1"/>
  <c r="AY295" i="74" s="1"/>
  <c r="AY296" i="74" s="1"/>
  <c r="AY297" i="74" s="1"/>
  <c r="AG288" i="74"/>
  <c r="AG293" i="74" s="1"/>
  <c r="AG294" i="74" s="1"/>
  <c r="AG295" i="74" s="1"/>
  <c r="AG296" i="74" s="1"/>
  <c r="AG297" i="74" s="1"/>
  <c r="AR288" i="74"/>
  <c r="AR293" i="74" s="1"/>
  <c r="AR294" i="74" s="1"/>
  <c r="AR295" i="74" s="1"/>
  <c r="AR296" i="74" s="1"/>
  <c r="AR297" i="74" s="1"/>
  <c r="AI288" i="74"/>
  <c r="AI293" i="74" s="1"/>
  <c r="AI294" i="74" s="1"/>
  <c r="AI295" i="74" s="1"/>
  <c r="AI296" i="74" s="1"/>
  <c r="AI297" i="74" s="1"/>
  <c r="AV288" i="74"/>
  <c r="AV293" i="74" s="1"/>
  <c r="AV294" i="74" s="1"/>
  <c r="AV295" i="74" s="1"/>
  <c r="AV296" i="74" s="1"/>
  <c r="AV297" i="74" s="1"/>
  <c r="AB288" i="74"/>
  <c r="AB293" i="74" s="1"/>
  <c r="AB294" i="74" s="1"/>
  <c r="AB295" i="74" s="1"/>
  <c r="AB296" i="74" s="1"/>
  <c r="AB297" i="74" s="1"/>
  <c r="AO288" i="74"/>
  <c r="AO293" i="74" s="1"/>
  <c r="AO294" i="74" s="1"/>
  <c r="AO295" i="74" s="1"/>
  <c r="AO296" i="74" s="1"/>
  <c r="AO297" i="74" s="1"/>
  <c r="AC288" i="74"/>
  <c r="AC293" i="74" s="1"/>
  <c r="AC294" i="74" s="1"/>
  <c r="AC295" i="74" s="1"/>
  <c r="AC296" i="74" s="1"/>
  <c r="AC297" i="74" s="1"/>
  <c r="X288" i="74"/>
  <c r="X293" i="74" s="1"/>
  <c r="X294" i="74" s="1"/>
  <c r="X295" i="74" s="1"/>
  <c r="X296" i="74" s="1"/>
  <c r="X297" i="74" s="1"/>
  <c r="BA288" i="74"/>
  <c r="BA293" i="74" s="1"/>
  <c r="BA294" i="74" s="1"/>
  <c r="BA295" i="74" s="1"/>
  <c r="BA296" i="74" s="1"/>
  <c r="BA297" i="74" s="1"/>
  <c r="AW288" i="74"/>
  <c r="AW293" i="74" s="1"/>
  <c r="AW294" i="74" s="1"/>
  <c r="AW295" i="74" s="1"/>
  <c r="AW296" i="74" s="1"/>
  <c r="AW297" i="74" s="1"/>
  <c r="AT288" i="74"/>
  <c r="AT293" i="74" s="1"/>
  <c r="AT294" i="74" s="1"/>
  <c r="AT295" i="74" s="1"/>
  <c r="AT296" i="74" s="1"/>
  <c r="AT297" i="74" s="1"/>
  <c r="BE288" i="74"/>
  <c r="BE293" i="74" s="1"/>
  <c r="BE294" i="74" s="1"/>
  <c r="BE295" i="74" s="1"/>
  <c r="BE296" i="74" s="1"/>
  <c r="BE297" i="74" s="1"/>
  <c r="AE288" i="74"/>
  <c r="AE293" i="74" s="1"/>
  <c r="AE294" i="74" s="1"/>
  <c r="AE295" i="74" s="1"/>
  <c r="AE296" i="74" s="1"/>
  <c r="AE297" i="74" s="1"/>
  <c r="AT276" i="74"/>
  <c r="AS276" i="74"/>
  <c r="AY276" i="74"/>
  <c r="BB276" i="74"/>
  <c r="Z276" i="74"/>
  <c r="AL276" i="74"/>
  <c r="AV276" i="74"/>
  <c r="AB276" i="74"/>
  <c r="M276" i="74"/>
  <c r="K276" i="74"/>
  <c r="W276" i="74"/>
  <c r="J276" i="74"/>
  <c r="AI276" i="74"/>
  <c r="AX276" i="74"/>
  <c r="AE276" i="74"/>
  <c r="AZ276" i="74"/>
  <c r="AG276" i="74"/>
  <c r="AJ276" i="74"/>
  <c r="T276" i="74"/>
  <c r="AM276" i="74"/>
  <c r="BC276" i="74"/>
  <c r="R276" i="74"/>
  <c r="AH276" i="74"/>
  <c r="Y276" i="74"/>
  <c r="AO276" i="74"/>
  <c r="V276" i="74"/>
  <c r="L276" i="74"/>
  <c r="AA276" i="74"/>
  <c r="AR276" i="74"/>
  <c r="N276" i="74"/>
  <c r="AC276" i="74"/>
  <c r="S276" i="74"/>
  <c r="AW276" i="74"/>
  <c r="O276" i="74"/>
  <c r="AP276" i="74"/>
  <c r="BE276" i="74"/>
  <c r="U276" i="74"/>
  <c r="BD276" i="74"/>
  <c r="AK276" i="74"/>
  <c r="BA276" i="74"/>
  <c r="X276" i="74"/>
  <c r="AD276" i="74"/>
  <c r="Q276" i="74"/>
  <c r="AQ276" i="74"/>
  <c r="AN276" i="74"/>
  <c r="AF276" i="74"/>
  <c r="AU276" i="74"/>
  <c r="E56" i="12"/>
  <c r="M76" i="12" s="1"/>
  <c r="I66" i="55" l="1"/>
  <c r="E66" i="55" s="1"/>
  <c r="E67" i="55"/>
  <c r="D67" i="55"/>
  <c r="I52" i="55"/>
  <c r="L57" i="74" s="1"/>
  <c r="D50" i="55"/>
  <c r="AD52" i="55"/>
  <c r="AG57" i="74" s="1"/>
  <c r="AM52" i="55"/>
  <c r="AP57" i="74" s="1"/>
  <c r="W52" i="55"/>
  <c r="Z57" i="74" s="1"/>
  <c r="K52" i="55"/>
  <c r="N57" i="74" s="1"/>
  <c r="L52" i="55"/>
  <c r="O57" i="74" s="1"/>
  <c r="P52" i="55"/>
  <c r="S57" i="74" s="1"/>
  <c r="AC52" i="55"/>
  <c r="AF57" i="74" s="1"/>
  <c r="AO52" i="55"/>
  <c r="AR57" i="74" s="1"/>
  <c r="S52" i="55"/>
  <c r="V57" i="74" s="1"/>
  <c r="AK52" i="55"/>
  <c r="AN57" i="74" s="1"/>
  <c r="U52" i="55"/>
  <c r="X57" i="74" s="1"/>
  <c r="Z52" i="55"/>
  <c r="AC57" i="74" s="1"/>
  <c r="L55" i="74"/>
  <c r="AN52" i="55"/>
  <c r="AQ57" i="74" s="1"/>
  <c r="J52" i="55"/>
  <c r="M57" i="74" s="1"/>
  <c r="T52" i="55"/>
  <c r="W57" i="74" s="1"/>
  <c r="R52" i="55"/>
  <c r="U57" i="74" s="1"/>
  <c r="AA52" i="55"/>
  <c r="AD57" i="74" s="1"/>
  <c r="M52" i="55"/>
  <c r="P57" i="74" s="1"/>
  <c r="AE52" i="55"/>
  <c r="AH57" i="74" s="1"/>
  <c r="Q52" i="55"/>
  <c r="T57" i="74" s="1"/>
  <c r="AL52" i="55"/>
  <c r="AO57" i="74" s="1"/>
  <c r="AG52" i="55"/>
  <c r="AJ57" i="74" s="1"/>
  <c r="AI52" i="55"/>
  <c r="AL57" i="74" s="1"/>
  <c r="O52" i="55"/>
  <c r="R57" i="74" s="1"/>
  <c r="AB52" i="55"/>
  <c r="AE57" i="74" s="1"/>
  <c r="N52" i="55"/>
  <c r="Q57" i="74" s="1"/>
  <c r="AH52" i="55"/>
  <c r="AK57" i="74" s="1"/>
  <c r="X52" i="55"/>
  <c r="AA57" i="74" s="1"/>
  <c r="AF52" i="55"/>
  <c r="AI57" i="74" s="1"/>
  <c r="V52" i="55"/>
  <c r="Y57" i="74" s="1"/>
  <c r="Y52" i="55"/>
  <c r="AB57" i="74" s="1"/>
  <c r="AR52" i="55"/>
  <c r="AU57" i="74" s="1"/>
  <c r="AY52" i="55"/>
  <c r="BB57" i="74" s="1"/>
  <c r="BB52" i="55"/>
  <c r="BE57" i="74" s="1"/>
  <c r="AT52" i="55"/>
  <c r="AW57" i="74" s="1"/>
  <c r="AZ52" i="55"/>
  <c r="BC57" i="74" s="1"/>
  <c r="AX52" i="55"/>
  <c r="BA57" i="74" s="1"/>
  <c r="AV52" i="55"/>
  <c r="AY57" i="74" s="1"/>
  <c r="AS52" i="55"/>
  <c r="AV57" i="74" s="1"/>
  <c r="BA52" i="55"/>
  <c r="BD57" i="74" s="1"/>
  <c r="AQ52" i="55"/>
  <c r="AT57" i="74" s="1"/>
  <c r="AP52" i="55"/>
  <c r="AS57" i="74" s="1"/>
  <c r="AW52" i="55"/>
  <c r="AZ57" i="74" s="1"/>
  <c r="AU52" i="55"/>
  <c r="AX57" i="74" s="1"/>
  <c r="I8" i="12"/>
  <c r="E63" i="55" l="1"/>
  <c r="G55" i="74"/>
  <c r="G313" i="45"/>
  <c r="N44" i="91" s="1"/>
  <c r="N46" i="91" s="1"/>
  <c r="Q9" i="91" s="1"/>
  <c r="R319" i="45" l="1"/>
  <c r="Q319" i="45"/>
  <c r="S319" i="45"/>
  <c r="N319" i="45"/>
  <c r="O319" i="45"/>
  <c r="L319" i="45"/>
  <c r="K319" i="45"/>
  <c r="J319" i="45"/>
  <c r="G319" i="45" l="1"/>
  <c r="O367" i="74" l="1"/>
  <c r="O369" i="74" s="1"/>
  <c r="O388" i="74" s="1"/>
  <c r="AP367" i="74"/>
  <c r="AP369" i="74" s="1"/>
  <c r="AQ367" i="74"/>
  <c r="AQ369" i="74" s="1"/>
  <c r="AD367" i="74"/>
  <c r="AD369" i="74" s="1"/>
  <c r="AD388" i="74" s="1"/>
  <c r="AO367" i="74"/>
  <c r="AO369" i="74" s="1"/>
  <c r="AO389" i="74" s="1"/>
  <c r="AC367" i="74"/>
  <c r="AC369" i="74" s="1"/>
  <c r="AC388" i="74" s="1"/>
  <c r="AN367" i="74"/>
  <c r="AN369" i="74" s="1"/>
  <c r="AN389" i="74" s="1"/>
  <c r="AJ367" i="74"/>
  <c r="AJ369" i="74" s="1"/>
  <c r="AJ388" i="74" s="1"/>
  <c r="AH367" i="74"/>
  <c r="AH369" i="74" s="1"/>
  <c r="AH389" i="74" s="1"/>
  <c r="AM367" i="74"/>
  <c r="AM369" i="74" s="1"/>
  <c r="AM389" i="74" s="1"/>
  <c r="AK367" i="74"/>
  <c r="AK369" i="74" s="1"/>
  <c r="AK389" i="74" s="1"/>
  <c r="AI367" i="74"/>
  <c r="AI369" i="74" s="1"/>
  <c r="AI388" i="74" s="1"/>
  <c r="AG367" i="74"/>
  <c r="AG369" i="74" s="1"/>
  <c r="AG389" i="74" s="1"/>
  <c r="AF367" i="74"/>
  <c r="AF369" i="74" s="1"/>
  <c r="AF389" i="74" s="1"/>
  <c r="AB367" i="74"/>
  <c r="AB369" i="74" s="1"/>
  <c r="AB388" i="74" s="1"/>
  <c r="AA367" i="74"/>
  <c r="AA369" i="74" s="1"/>
  <c r="AA388" i="74" s="1"/>
  <c r="Y367" i="74"/>
  <c r="Y369" i="74" s="1"/>
  <c r="Y388" i="74" s="1"/>
  <c r="X367" i="74"/>
  <c r="X369" i="74" s="1"/>
  <c r="X389" i="74" s="1"/>
  <c r="W367" i="74"/>
  <c r="W369" i="74" s="1"/>
  <c r="W388" i="74" s="1"/>
  <c r="V367" i="74"/>
  <c r="V369" i="74" s="1"/>
  <c r="V388" i="74" s="1"/>
  <c r="U367" i="74"/>
  <c r="U369" i="74" s="1"/>
  <c r="U389" i="74" s="1"/>
  <c r="T367" i="74"/>
  <c r="T369" i="74" s="1"/>
  <c r="S367" i="74"/>
  <c r="S369" i="74" s="1"/>
  <c r="AE367" i="74"/>
  <c r="AE369" i="74" s="1"/>
  <c r="R367" i="74"/>
  <c r="R369" i="74" s="1"/>
  <c r="P367" i="74"/>
  <c r="P369" i="74" s="1"/>
  <c r="AL367" i="74"/>
  <c r="AL369" i="74" s="1"/>
  <c r="Z367" i="74"/>
  <c r="Z369" i="74" s="1"/>
  <c r="Q367" i="74"/>
  <c r="Q369" i="74" s="1"/>
  <c r="O389" i="74" l="1"/>
  <c r="AQ389" i="74"/>
  <c r="AQ388" i="74"/>
  <c r="AP388" i="74"/>
  <c r="AP389" i="74"/>
  <c r="AO388" i="74"/>
  <c r="AN388" i="74"/>
  <c r="AD389" i="74"/>
  <c r="AC389" i="74"/>
  <c r="AG388" i="74"/>
  <c r="AH388" i="74"/>
  <c r="AM388" i="74"/>
  <c r="V389" i="74"/>
  <c r="AJ389" i="74"/>
  <c r="AI389" i="74"/>
  <c r="AK388" i="74"/>
  <c r="AB389" i="74"/>
  <c r="AF388" i="74"/>
  <c r="AA389" i="74"/>
  <c r="Y389" i="74"/>
  <c r="X388" i="74"/>
  <c r="W389" i="74"/>
  <c r="U388" i="74"/>
  <c r="Q389" i="74"/>
  <c r="Q388" i="74"/>
  <c r="AL389" i="74"/>
  <c r="AL388" i="74"/>
  <c r="S389" i="74"/>
  <c r="S388" i="74"/>
  <c r="T389" i="74"/>
  <c r="T388" i="74"/>
  <c r="R389" i="74"/>
  <c r="R388" i="74"/>
  <c r="Z389" i="74"/>
  <c r="Z388" i="74"/>
  <c r="P388" i="74"/>
  <c r="P389" i="74"/>
  <c r="AE389" i="74"/>
  <c r="AE388" i="74"/>
  <c r="G369"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C36" authorId="0" shapeId="0" xr:uid="{00000000-0006-0000-0300-000001000000}">
      <text>
        <r>
          <rPr>
            <b/>
            <sz val="9"/>
            <color indexed="81"/>
            <rFont val="Tahoma"/>
            <family val="2"/>
          </rPr>
          <t>Malte Renz:</t>
        </r>
        <r>
          <rPr>
            <sz val="9"/>
            <color indexed="81"/>
            <rFont val="Tahoma"/>
            <family val="2"/>
          </rPr>
          <t xml:space="preserve">
Email Kingma, 9.8.18</t>
        </r>
      </text>
    </comment>
    <comment ref="G60" authorId="0" shapeId="0" xr:uid="{00000000-0006-0000-0300-000002000000}">
      <text>
        <r>
          <rPr>
            <sz val="9"/>
            <color indexed="81"/>
            <rFont val="Tahoma"/>
            <family val="2"/>
          </rPr>
          <t>changed from 2051 to 2048, email Kingma 10.8.18</t>
        </r>
      </text>
    </comment>
    <comment ref="F61" authorId="0" shapeId="0" xr:uid="{00000000-0006-0000-0300-000003000000}">
      <text>
        <r>
          <rPr>
            <b/>
            <sz val="9"/>
            <color indexed="81"/>
            <rFont val="Tahoma"/>
            <family val="2"/>
          </rPr>
          <t>Malte Renz:</t>
        </r>
        <r>
          <rPr>
            <sz val="9"/>
            <color indexed="81"/>
            <rFont val="Tahoma"/>
            <family val="2"/>
          </rPr>
          <t xml:space="preserve">
Changed from 2035 to 2048 (subsequent installation CCS-H2)
email Kingma 10.8.18</t>
        </r>
      </text>
    </comment>
    <comment ref="C68" authorId="0" shapeId="0" xr:uid="{00000000-0006-0000-0300-000004000000}">
      <text>
        <r>
          <rPr>
            <b/>
            <sz val="9"/>
            <color indexed="81"/>
            <rFont val="Tahoma"/>
            <family val="2"/>
          </rPr>
          <t>Malte Renz:</t>
        </r>
        <r>
          <rPr>
            <sz val="9"/>
            <color indexed="81"/>
            <rFont val="Tahoma"/>
            <family val="2"/>
          </rPr>
          <t xml:space="preserve">
Email Kingma, 9.8.18</t>
        </r>
      </text>
    </comment>
    <comment ref="C101" authorId="0" shapeId="0" xr:uid="{00000000-0006-0000-0300-000005000000}">
      <text>
        <r>
          <rPr>
            <b/>
            <sz val="9"/>
            <color indexed="81"/>
            <rFont val="Tahoma"/>
            <family val="2"/>
          </rPr>
          <t>Malte Renz:</t>
        </r>
        <r>
          <rPr>
            <sz val="9"/>
            <color indexed="81"/>
            <rFont val="Tahoma"/>
            <family val="2"/>
          </rPr>
          <t xml:space="preserve">
Email Kingma, 9.8.18</t>
        </r>
      </text>
    </comment>
    <comment ref="C133" authorId="0" shapeId="0" xr:uid="{00000000-0006-0000-0300-000006000000}">
      <text>
        <r>
          <rPr>
            <b/>
            <sz val="9"/>
            <color indexed="81"/>
            <rFont val="Tahoma"/>
            <family val="2"/>
          </rPr>
          <t>Malte Renz:</t>
        </r>
        <r>
          <rPr>
            <sz val="9"/>
            <color indexed="81"/>
            <rFont val="Tahoma"/>
            <family val="2"/>
          </rPr>
          <t xml:space="preserve">
Email Chris 22.06</t>
        </r>
      </text>
    </comment>
    <comment ref="C134" authorId="0" shapeId="0" xr:uid="{00000000-0006-0000-0300-000007000000}">
      <text>
        <r>
          <rPr>
            <b/>
            <sz val="9"/>
            <color indexed="81"/>
            <rFont val="Tahoma"/>
            <family val="2"/>
          </rPr>
          <t>Malte Renz:</t>
        </r>
        <r>
          <rPr>
            <sz val="9"/>
            <color indexed="81"/>
            <rFont val="Tahoma"/>
            <family val="2"/>
          </rPr>
          <t xml:space="preserve">
Email Chris 22.06</t>
        </r>
      </text>
    </comment>
    <comment ref="C135" authorId="0" shapeId="0" xr:uid="{00000000-0006-0000-0300-000008000000}">
      <text>
        <r>
          <rPr>
            <b/>
            <sz val="9"/>
            <color indexed="81"/>
            <rFont val="Tahoma"/>
            <family val="2"/>
          </rPr>
          <t>Malte Renz:</t>
        </r>
        <r>
          <rPr>
            <sz val="9"/>
            <color indexed="81"/>
            <rFont val="Tahoma"/>
            <family val="2"/>
          </rPr>
          <t xml:space="preserve">
Email Chris 10.07
</t>
        </r>
      </text>
    </comment>
    <comment ref="C168" authorId="0" shapeId="0" xr:uid="{00000000-0006-0000-0300-000009000000}">
      <text>
        <r>
          <rPr>
            <b/>
            <sz val="9"/>
            <color indexed="81"/>
            <rFont val="Tahoma"/>
            <family val="2"/>
          </rPr>
          <t>Malte Renz:</t>
        </r>
        <r>
          <rPr>
            <sz val="9"/>
            <color indexed="81"/>
            <rFont val="Tahoma"/>
            <family val="2"/>
          </rPr>
          <t xml:space="preserve">
Email Chris 22.06</t>
        </r>
      </text>
    </comment>
    <comment ref="C169" authorId="0" shapeId="0" xr:uid="{00000000-0006-0000-0300-00000A000000}">
      <text>
        <r>
          <rPr>
            <b/>
            <sz val="9"/>
            <color indexed="81"/>
            <rFont val="Tahoma"/>
            <family val="2"/>
          </rPr>
          <t>Malte Renz:</t>
        </r>
        <r>
          <rPr>
            <sz val="9"/>
            <color indexed="81"/>
            <rFont val="Tahoma"/>
            <family val="2"/>
          </rPr>
          <t xml:space="preserve">
Email Chris 10.07
</t>
        </r>
      </text>
    </comment>
    <comment ref="C232" authorId="0" shapeId="0" xr:uid="{00000000-0006-0000-0300-00000B000000}">
      <text>
        <r>
          <rPr>
            <b/>
            <sz val="9"/>
            <color indexed="81"/>
            <rFont val="Tahoma"/>
            <family val="2"/>
          </rPr>
          <t>Malte Renz:</t>
        </r>
        <r>
          <rPr>
            <sz val="9"/>
            <color indexed="81"/>
            <rFont val="Tahoma"/>
            <family val="2"/>
          </rPr>
          <t xml:space="preserve">
Telco w. Total &amp; Taqa 19.09.18</t>
        </r>
      </text>
    </comment>
    <comment ref="C233" authorId="0" shapeId="0" xr:uid="{00000000-0006-0000-0300-00000C000000}">
      <text>
        <r>
          <rPr>
            <b/>
            <sz val="9"/>
            <color indexed="81"/>
            <rFont val="Tahoma"/>
            <family val="2"/>
          </rPr>
          <t>Malte Renz:</t>
        </r>
        <r>
          <rPr>
            <sz val="9"/>
            <color indexed="81"/>
            <rFont val="Tahoma"/>
            <family val="2"/>
          </rPr>
          <t xml:space="preserve">
Email Joris, 10 July 2018</t>
        </r>
      </text>
    </comment>
    <comment ref="C234" authorId="0" shapeId="0" xr:uid="{00000000-0006-0000-0300-00000D000000}">
      <text>
        <r>
          <rPr>
            <b/>
            <sz val="9"/>
            <color indexed="81"/>
            <rFont val="Tahoma"/>
            <family val="2"/>
          </rPr>
          <t>Malte Renz:</t>
        </r>
        <r>
          <rPr>
            <sz val="9"/>
            <color indexed="81"/>
            <rFont val="Tahoma"/>
            <family val="2"/>
          </rPr>
          <t xml:space="preserve">
Email Kingma, 9.8.18</t>
        </r>
      </text>
    </comment>
    <comment ref="C266" authorId="0" shapeId="0" xr:uid="{00000000-0006-0000-0300-00000E000000}">
      <text>
        <r>
          <rPr>
            <b/>
            <sz val="9"/>
            <color indexed="81"/>
            <rFont val="Tahoma"/>
            <family val="2"/>
          </rPr>
          <t>Malte Renz:</t>
        </r>
        <r>
          <rPr>
            <sz val="9"/>
            <color indexed="81"/>
            <rFont val="Tahoma"/>
            <family val="2"/>
          </rPr>
          <t xml:space="preserve">
Email Joris, 10 July 2018</t>
        </r>
      </text>
    </comment>
    <comment ref="C267" authorId="0" shapeId="0" xr:uid="{00000000-0006-0000-0300-00000F000000}">
      <text>
        <r>
          <rPr>
            <b/>
            <sz val="9"/>
            <color indexed="81"/>
            <rFont val="Tahoma"/>
            <family val="2"/>
          </rPr>
          <t>Malte Renz:</t>
        </r>
        <r>
          <rPr>
            <sz val="9"/>
            <color indexed="81"/>
            <rFont val="Tahoma"/>
            <family val="2"/>
          </rPr>
          <t xml:space="preserve">
Email Kingma, 9.8.18</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Wissink, P.L.J. (Pascal)</author>
    <author>Malte Renz</author>
    <author>P.L.J. Wissink MSc</author>
    <author>Auteur</author>
  </authors>
  <commentList>
    <comment ref="J42" authorId="0" shapeId="0" xr:uid="{00000000-0006-0000-0500-000001000000}">
      <text>
        <r>
          <rPr>
            <b/>
            <sz val="9"/>
            <color indexed="81"/>
            <rFont val="Tahoma"/>
            <family val="2"/>
          </rPr>
          <t>Wissink, P.L.J. (Pascal):</t>
        </r>
        <r>
          <rPr>
            <sz val="9"/>
            <color indexed="81"/>
            <rFont val="Tahoma"/>
            <family val="2"/>
          </rPr>
          <t xml:space="preserve">
Afstand K14-HKN</t>
        </r>
      </text>
    </comment>
    <comment ref="K42" authorId="0" shapeId="0" xr:uid="{00000000-0006-0000-0500-000002000000}">
      <text>
        <r>
          <rPr>
            <b/>
            <sz val="9"/>
            <color indexed="81"/>
            <rFont val="Tahoma"/>
            <family val="2"/>
          </rPr>
          <t>Wissink, P.L.J. (Pascal):</t>
        </r>
        <r>
          <rPr>
            <sz val="9"/>
            <color indexed="81"/>
            <rFont val="Tahoma"/>
            <family val="2"/>
          </rPr>
          <t xml:space="preserve">
Afstand K14-HKN</t>
        </r>
      </text>
    </comment>
    <comment ref="L42" authorId="0" shapeId="0" xr:uid="{00000000-0006-0000-0500-000003000000}">
      <text>
        <r>
          <rPr>
            <b/>
            <sz val="9"/>
            <color indexed="81"/>
            <rFont val="Tahoma"/>
            <family val="2"/>
          </rPr>
          <t>Wissink, P.L.J. (Pascal):</t>
        </r>
        <r>
          <rPr>
            <sz val="9"/>
            <color indexed="81"/>
            <rFont val="Tahoma"/>
            <family val="2"/>
          </rPr>
          <t xml:space="preserve">
Afstand K14-HKN</t>
        </r>
      </text>
    </comment>
    <comment ref="N42" authorId="0" shapeId="0" xr:uid="{00000000-0006-0000-0500-000004000000}">
      <text>
        <r>
          <rPr>
            <b/>
            <sz val="9"/>
            <color indexed="81"/>
            <rFont val="Tahoma"/>
            <family val="2"/>
          </rPr>
          <t>Wissink, P.L.J. (Pascal):</t>
        </r>
        <r>
          <rPr>
            <sz val="9"/>
            <color indexed="81"/>
            <rFont val="Tahoma"/>
            <family val="2"/>
          </rPr>
          <t xml:space="preserve">
Afstand P15 naar Luchterduinen</t>
        </r>
      </text>
    </comment>
    <comment ref="O42" authorId="0" shapeId="0" xr:uid="{00000000-0006-0000-0500-000005000000}">
      <text>
        <r>
          <rPr>
            <b/>
            <sz val="9"/>
            <color indexed="81"/>
            <rFont val="Tahoma"/>
            <family val="2"/>
          </rPr>
          <t>Wissink, P.L.J. (Pascal):</t>
        </r>
        <r>
          <rPr>
            <sz val="9"/>
            <color indexed="81"/>
            <rFont val="Tahoma"/>
            <family val="2"/>
          </rPr>
          <t xml:space="preserve">
Afstand P15 naar Luchterduinen</t>
        </r>
      </text>
    </comment>
    <comment ref="Q42" authorId="0" shapeId="0" xr:uid="{00000000-0006-0000-0500-000006000000}">
      <text>
        <r>
          <rPr>
            <b/>
            <sz val="9"/>
            <color indexed="81"/>
            <rFont val="Tahoma"/>
            <family val="2"/>
          </rPr>
          <t>Wissink, P.L.J. (Pascal):</t>
        </r>
        <r>
          <rPr>
            <sz val="9"/>
            <color indexed="81"/>
            <rFont val="Tahoma"/>
            <family val="2"/>
          </rPr>
          <t xml:space="preserve">
Assumption: Cable connection K5 to K14</t>
        </r>
      </text>
    </comment>
    <comment ref="R42" authorId="0" shapeId="0" xr:uid="{00000000-0006-0000-0500-000007000000}">
      <text>
        <r>
          <rPr>
            <b/>
            <sz val="9"/>
            <color indexed="81"/>
            <rFont val="Tahoma"/>
            <family val="2"/>
          </rPr>
          <t>Wissink, P.L.J. (Pascal):</t>
        </r>
        <r>
          <rPr>
            <sz val="9"/>
            <color indexed="81"/>
            <rFont val="Tahoma"/>
            <family val="2"/>
          </rPr>
          <t xml:space="preserve">
Assumption: Cable connection K5 to K14</t>
        </r>
      </text>
    </comment>
    <comment ref="S42" authorId="1" shapeId="0" xr:uid="{00000000-0006-0000-0500-000008000000}">
      <text>
        <r>
          <rPr>
            <b/>
            <sz val="9"/>
            <color indexed="81"/>
            <rFont val="Tahoma"/>
            <family val="2"/>
          </rPr>
          <t xml:space="preserve">Malte Renz:
</t>
        </r>
        <r>
          <rPr>
            <sz val="9"/>
            <color indexed="81"/>
            <rFont val="Tahoma"/>
            <family val="2"/>
          </rPr>
          <t>K5 to Ijmuiden</t>
        </r>
      </text>
    </comment>
    <comment ref="J72" authorId="1" shapeId="0" xr:uid="{00000000-0006-0000-0500-000009000000}">
      <text>
        <r>
          <rPr>
            <b/>
            <sz val="9"/>
            <color indexed="81"/>
            <rFont val="Tahoma"/>
            <family val="2"/>
          </rPr>
          <t>Malte Renz:</t>
        </r>
        <r>
          <rPr>
            <sz val="9"/>
            <color indexed="81"/>
            <rFont val="Tahoma"/>
            <family val="2"/>
          </rPr>
          <t xml:space="preserve">
Additional Total capacity</t>
        </r>
      </text>
    </comment>
    <comment ref="K72" authorId="1" shapeId="0" xr:uid="{00000000-0006-0000-0500-00000A000000}">
      <text>
        <r>
          <rPr>
            <b/>
            <sz val="9"/>
            <color indexed="81"/>
            <rFont val="Tahoma"/>
            <family val="2"/>
          </rPr>
          <t>Malte Renz:</t>
        </r>
        <r>
          <rPr>
            <sz val="9"/>
            <color indexed="81"/>
            <rFont val="Tahoma"/>
            <family val="2"/>
          </rPr>
          <t xml:space="preserve">
Additional Total capacity</t>
        </r>
      </text>
    </comment>
    <comment ref="H74" authorId="1" shapeId="0" xr:uid="{00000000-0006-0000-0500-00000B000000}">
      <text>
        <r>
          <rPr>
            <b/>
            <sz val="9"/>
            <color indexed="81"/>
            <rFont val="Tahoma"/>
            <family val="2"/>
          </rPr>
          <t>Malte Renz:</t>
        </r>
        <r>
          <rPr>
            <sz val="9"/>
            <color indexed="81"/>
            <rFont val="Tahoma"/>
            <family val="2"/>
          </rPr>
          <t xml:space="preserve">
Changed cable capex formula in inv_elec to allow for fixed inputs in parameter sheet</t>
        </r>
      </text>
    </comment>
    <comment ref="H75" authorId="1" shapeId="0" xr:uid="{00000000-0006-0000-0500-00000C000000}">
      <text>
        <r>
          <rPr>
            <b/>
            <sz val="9"/>
            <color indexed="81"/>
            <rFont val="Tahoma"/>
            <family val="2"/>
          </rPr>
          <t>Malte Renz:</t>
        </r>
        <r>
          <rPr>
            <sz val="9"/>
            <color indexed="81"/>
            <rFont val="Tahoma"/>
            <family val="2"/>
          </rPr>
          <t xml:space="preserve">
(1. Cable Capex in electrification_input tab; 2. Shared costs in this row)</t>
        </r>
      </text>
    </comment>
    <comment ref="J75" authorId="2" shapeId="0" xr:uid="{00000000-0006-0000-0500-00000D000000}">
      <text>
        <r>
          <rPr>
            <sz val="9"/>
            <color indexed="81"/>
            <rFont val="Tahoma"/>
            <family val="2"/>
          </rPr>
          <t xml:space="preserve">Amount to be received (+) or paid (-) from other party for shared cable infrastructure. Shared payback / payment will be incurred all at once, i.e., the other cofinancer will install its capacity one-off. </t>
        </r>
      </text>
    </comment>
    <comment ref="K75" authorId="2" shapeId="0" xr:uid="{00000000-0006-0000-0500-00000E000000}">
      <text>
        <r>
          <rPr>
            <sz val="9"/>
            <color indexed="81"/>
            <rFont val="Tahoma"/>
            <family val="2"/>
          </rPr>
          <t xml:space="preserve">Amount to be received (+) or paid (-) from other party for shared cable infrastructure. Shared payback / payment will be incurred all at once, i.e., the other cofinancer will install its capacity one-off. </t>
        </r>
      </text>
    </comment>
    <comment ref="Q75" authorId="2" shapeId="0" xr:uid="{00000000-0006-0000-0500-00000F000000}">
      <text>
        <r>
          <rPr>
            <sz val="9"/>
            <color indexed="81"/>
            <rFont val="Tahoma"/>
            <family val="2"/>
          </rPr>
          <t xml:space="preserve">Amount to be received (+) or paid (-) from other party for shared cable infrastructure. Shared payback / payment will be incurred all at once, i.e., the other cofinancer will install its capacity one-off. </t>
        </r>
      </text>
    </comment>
    <comment ref="R75" authorId="2" shapeId="0" xr:uid="{00000000-0006-0000-0500-000010000000}">
      <text>
        <r>
          <rPr>
            <sz val="9"/>
            <color indexed="81"/>
            <rFont val="Tahoma"/>
            <family val="2"/>
          </rPr>
          <t xml:space="preserve">Amount to be received (+) or paid (-) from other party for shared cable infrastructure. Shared payback / payment will be incurred all at once, i.e., the other cofinancer will install its capacity one-off. </t>
        </r>
      </text>
    </comment>
    <comment ref="S96" authorId="1" shapeId="0" xr:uid="{00000000-0006-0000-0500-000011000000}">
      <text>
        <r>
          <rPr>
            <b/>
            <sz val="9"/>
            <color indexed="81"/>
            <rFont val="Tahoma"/>
            <family val="2"/>
          </rPr>
          <t>Malte Renz:</t>
        </r>
        <r>
          <rPr>
            <sz val="9"/>
            <color indexed="81"/>
            <rFont val="Tahoma"/>
            <family val="2"/>
          </rPr>
          <t xml:space="preserve">
Estimate for 16"pipeline, ~35 km</t>
        </r>
      </text>
    </comment>
    <comment ref="G117" authorId="1" shapeId="0" xr:uid="{00000000-0006-0000-0500-000012000000}">
      <text>
        <r>
          <rPr>
            <sz val="9"/>
            <color indexed="81"/>
            <rFont val="Tahoma"/>
            <family val="2"/>
          </rPr>
          <t>Total: 50€/t flat might not solve the Climate ambitions set at COP21... 
unlikely that that 10€ / t transport fee will be sufficient
 (Berend-Jan, 31.7.18)</t>
        </r>
      </text>
    </comment>
    <comment ref="J158" authorId="1" shapeId="0" xr:uid="{00000000-0006-0000-0500-000013000000}">
      <text>
        <r>
          <rPr>
            <b/>
            <sz val="9"/>
            <color indexed="81"/>
            <rFont val="Tahoma"/>
            <family val="2"/>
          </rPr>
          <t>Malte Renz:</t>
        </r>
        <r>
          <rPr>
            <sz val="9"/>
            <color indexed="81"/>
            <rFont val="Tahoma"/>
            <family val="2"/>
          </rPr>
          <t xml:space="preserve">
telecom</t>
        </r>
      </text>
    </comment>
    <comment ref="K158" authorId="1" shapeId="0" xr:uid="{00000000-0006-0000-0500-000014000000}">
      <text>
        <r>
          <rPr>
            <b/>
            <sz val="9"/>
            <color indexed="81"/>
            <rFont val="Tahoma"/>
            <family val="2"/>
          </rPr>
          <t>Malte Renz:</t>
        </r>
        <r>
          <rPr>
            <sz val="9"/>
            <color indexed="81"/>
            <rFont val="Tahoma"/>
            <family val="2"/>
          </rPr>
          <t xml:space="preserve">
telecom</t>
        </r>
      </text>
    </comment>
    <comment ref="L158" authorId="1" shapeId="0" xr:uid="{00000000-0006-0000-0500-000015000000}">
      <text>
        <r>
          <rPr>
            <b/>
            <sz val="9"/>
            <color indexed="81"/>
            <rFont val="Tahoma"/>
            <family val="2"/>
          </rPr>
          <t>Malte Renz:</t>
        </r>
        <r>
          <rPr>
            <sz val="9"/>
            <color indexed="81"/>
            <rFont val="Tahoma"/>
            <family val="2"/>
          </rPr>
          <t xml:space="preserve">
telecom</t>
        </r>
      </text>
    </comment>
    <comment ref="N158" authorId="1" shapeId="0" xr:uid="{00000000-0006-0000-0500-000016000000}">
      <text>
        <r>
          <rPr>
            <b/>
            <sz val="9"/>
            <color indexed="81"/>
            <rFont val="Tahoma"/>
            <family val="2"/>
          </rPr>
          <t>Malte Renz:</t>
        </r>
        <r>
          <rPr>
            <sz val="9"/>
            <color indexed="81"/>
            <rFont val="Tahoma"/>
            <family val="2"/>
          </rPr>
          <t xml:space="preserve">
telecom</t>
        </r>
      </text>
    </comment>
    <comment ref="O158" authorId="1" shapeId="0" xr:uid="{00000000-0006-0000-0500-000017000000}">
      <text>
        <r>
          <rPr>
            <b/>
            <sz val="9"/>
            <color indexed="81"/>
            <rFont val="Tahoma"/>
            <family val="2"/>
          </rPr>
          <t>Malte Renz:</t>
        </r>
        <r>
          <rPr>
            <sz val="9"/>
            <color indexed="81"/>
            <rFont val="Tahoma"/>
            <family val="2"/>
          </rPr>
          <t xml:space="preserve">
telecom</t>
        </r>
      </text>
    </comment>
    <comment ref="Q158" authorId="1" shapeId="0" xr:uid="{00000000-0006-0000-0500-000018000000}">
      <text>
        <r>
          <rPr>
            <b/>
            <sz val="9"/>
            <color indexed="81"/>
            <rFont val="Tahoma"/>
            <family val="2"/>
          </rPr>
          <t>Malte Renz:</t>
        </r>
        <r>
          <rPr>
            <sz val="9"/>
            <color indexed="81"/>
            <rFont val="Tahoma"/>
            <family val="2"/>
          </rPr>
          <t xml:space="preserve">
telecom</t>
        </r>
      </text>
    </comment>
    <comment ref="R158" authorId="1" shapeId="0" xr:uid="{00000000-0006-0000-0500-000019000000}">
      <text>
        <r>
          <rPr>
            <b/>
            <sz val="9"/>
            <color indexed="81"/>
            <rFont val="Tahoma"/>
            <family val="2"/>
          </rPr>
          <t>Malte Renz:</t>
        </r>
        <r>
          <rPr>
            <sz val="9"/>
            <color indexed="81"/>
            <rFont val="Tahoma"/>
            <family val="2"/>
          </rPr>
          <t xml:space="preserve">
telecom</t>
        </r>
      </text>
    </comment>
    <comment ref="S158" authorId="1" shapeId="0" xr:uid="{00000000-0006-0000-0500-00001A000000}">
      <text>
        <r>
          <rPr>
            <b/>
            <sz val="9"/>
            <color indexed="81"/>
            <rFont val="Tahoma"/>
            <family val="2"/>
          </rPr>
          <t>Malte Renz:</t>
        </r>
        <r>
          <rPr>
            <sz val="9"/>
            <color indexed="81"/>
            <rFont val="Tahoma"/>
            <family val="2"/>
          </rPr>
          <t xml:space="preserve">
telecom</t>
        </r>
      </text>
    </comment>
    <comment ref="H181" authorId="1" shapeId="0" xr:uid="{00000000-0006-0000-0500-00001B000000}">
      <text>
        <r>
          <rPr>
            <b/>
            <sz val="9"/>
            <color indexed="81"/>
            <rFont val="Tahoma"/>
            <family val="2"/>
          </rPr>
          <t>Malte Renz:</t>
        </r>
        <r>
          <rPr>
            <sz val="9"/>
            <color indexed="81"/>
            <rFont val="Tahoma"/>
            <family val="2"/>
          </rPr>
          <t xml:space="preserve">
agreed to be disregarded during workshop 28.06.18</t>
        </r>
      </text>
    </comment>
    <comment ref="H195" authorId="1" shapeId="0" xr:uid="{00000000-0006-0000-0500-00001C000000}">
      <text>
        <r>
          <rPr>
            <b/>
            <sz val="9"/>
            <color indexed="81"/>
            <rFont val="Tahoma"/>
            <family val="2"/>
          </rPr>
          <t>Malte Renz:</t>
        </r>
        <r>
          <rPr>
            <sz val="9"/>
            <color indexed="81"/>
            <rFont val="Tahoma"/>
            <family val="2"/>
          </rPr>
          <t xml:space="preserve">
agreed to be disregarded during workshop 28.06.18</t>
        </r>
      </text>
    </comment>
    <comment ref="G202" authorId="1" shapeId="0" xr:uid="{00000000-0006-0000-0500-00001D000000}">
      <text>
        <r>
          <rPr>
            <b/>
            <sz val="9"/>
            <color indexed="81"/>
            <rFont val="Tahoma"/>
            <family val="2"/>
          </rPr>
          <t>Malte Renz:</t>
        </r>
        <r>
          <rPr>
            <sz val="9"/>
            <color indexed="81"/>
            <rFont val="Tahoma"/>
            <family val="2"/>
          </rPr>
          <t xml:space="preserve">
Technical maximum</t>
        </r>
      </text>
    </comment>
    <comment ref="J202" authorId="1" shapeId="0" xr:uid="{00000000-0006-0000-0500-00001E000000}">
      <text>
        <r>
          <rPr>
            <b/>
            <sz val="9"/>
            <color indexed="81"/>
            <rFont val="Tahoma"/>
            <family val="2"/>
          </rPr>
          <t>Malte Renz:</t>
        </r>
        <r>
          <rPr>
            <sz val="9"/>
            <color indexed="81"/>
            <rFont val="Tahoma"/>
            <family val="2"/>
          </rPr>
          <t xml:space="preserve">
Technical maximum</t>
        </r>
      </text>
    </comment>
    <comment ref="K202" authorId="1" shapeId="0" xr:uid="{00000000-0006-0000-0500-00001F000000}">
      <text>
        <r>
          <rPr>
            <b/>
            <sz val="9"/>
            <color indexed="81"/>
            <rFont val="Tahoma"/>
            <family val="2"/>
          </rPr>
          <t>Malte Renz:</t>
        </r>
        <r>
          <rPr>
            <sz val="9"/>
            <color indexed="81"/>
            <rFont val="Tahoma"/>
            <family val="2"/>
          </rPr>
          <t xml:space="preserve">
Technical maximum</t>
        </r>
      </text>
    </comment>
    <comment ref="L202" authorId="1" shapeId="0" xr:uid="{00000000-0006-0000-0500-000020000000}">
      <text>
        <r>
          <rPr>
            <b/>
            <sz val="9"/>
            <color indexed="81"/>
            <rFont val="Tahoma"/>
            <family val="2"/>
          </rPr>
          <t>Malte Renz:</t>
        </r>
        <r>
          <rPr>
            <sz val="9"/>
            <color indexed="81"/>
            <rFont val="Tahoma"/>
            <family val="2"/>
          </rPr>
          <t xml:space="preserve">
Technical maximum</t>
        </r>
      </text>
    </comment>
    <comment ref="N202" authorId="1" shapeId="0" xr:uid="{00000000-0006-0000-0500-000021000000}">
      <text>
        <r>
          <rPr>
            <b/>
            <sz val="9"/>
            <color indexed="81"/>
            <rFont val="Tahoma"/>
            <family val="2"/>
          </rPr>
          <t>Malte Renz:</t>
        </r>
        <r>
          <rPr>
            <sz val="9"/>
            <color indexed="81"/>
            <rFont val="Tahoma"/>
            <family val="2"/>
          </rPr>
          <t xml:space="preserve">
Technical maximum</t>
        </r>
      </text>
    </comment>
    <comment ref="O202" authorId="1" shapeId="0" xr:uid="{00000000-0006-0000-0500-000022000000}">
      <text>
        <r>
          <rPr>
            <b/>
            <sz val="9"/>
            <color indexed="81"/>
            <rFont val="Tahoma"/>
            <family val="2"/>
          </rPr>
          <t>Malte Renz:</t>
        </r>
        <r>
          <rPr>
            <sz val="9"/>
            <color indexed="81"/>
            <rFont val="Tahoma"/>
            <family val="2"/>
          </rPr>
          <t xml:space="preserve">
Technical maximum</t>
        </r>
      </text>
    </comment>
    <comment ref="Q202" authorId="1" shapeId="0" xr:uid="{00000000-0006-0000-0500-000023000000}">
      <text>
        <r>
          <rPr>
            <b/>
            <sz val="9"/>
            <color indexed="81"/>
            <rFont val="Tahoma"/>
            <family val="2"/>
          </rPr>
          <t>Malte Renz:</t>
        </r>
        <r>
          <rPr>
            <sz val="9"/>
            <color indexed="81"/>
            <rFont val="Tahoma"/>
            <family val="2"/>
          </rPr>
          <t xml:space="preserve">
Technical maximum</t>
        </r>
      </text>
    </comment>
    <comment ref="R202" authorId="1" shapeId="0" xr:uid="{00000000-0006-0000-0500-000024000000}">
      <text>
        <r>
          <rPr>
            <b/>
            <sz val="9"/>
            <color indexed="81"/>
            <rFont val="Tahoma"/>
            <family val="2"/>
          </rPr>
          <t>Malte Renz:</t>
        </r>
        <r>
          <rPr>
            <sz val="9"/>
            <color indexed="81"/>
            <rFont val="Tahoma"/>
            <family val="2"/>
          </rPr>
          <t xml:space="preserve">
Technical maximum</t>
        </r>
      </text>
    </comment>
    <comment ref="S202" authorId="1" shapeId="0" xr:uid="{00000000-0006-0000-0500-000025000000}">
      <text>
        <r>
          <rPr>
            <b/>
            <sz val="9"/>
            <color indexed="81"/>
            <rFont val="Tahoma"/>
            <family val="2"/>
          </rPr>
          <t>Malte Renz:</t>
        </r>
        <r>
          <rPr>
            <sz val="9"/>
            <color indexed="81"/>
            <rFont val="Tahoma"/>
            <family val="2"/>
          </rPr>
          <t xml:space="preserve">
Technical maximum</t>
        </r>
      </text>
    </comment>
    <comment ref="G203" authorId="1" shapeId="0" xr:uid="{00000000-0006-0000-0500-000026000000}">
      <text>
        <r>
          <rPr>
            <b/>
            <sz val="9"/>
            <color indexed="81"/>
            <rFont val="Tahoma"/>
            <family val="2"/>
          </rPr>
          <t>Malte Renz:</t>
        </r>
        <r>
          <rPr>
            <sz val="9"/>
            <color indexed="81"/>
            <rFont val="Tahoma"/>
            <family val="2"/>
          </rPr>
          <t xml:space="preserve">
To be checked (TNO 2008)</t>
        </r>
      </text>
    </comment>
    <comment ref="J203" authorId="1" shapeId="0" xr:uid="{00000000-0006-0000-0500-000027000000}">
      <text>
        <r>
          <rPr>
            <b/>
            <sz val="9"/>
            <color indexed="81"/>
            <rFont val="Tahoma"/>
            <family val="2"/>
          </rPr>
          <t>Malte Renz:</t>
        </r>
        <r>
          <rPr>
            <sz val="9"/>
            <color indexed="81"/>
            <rFont val="Tahoma"/>
            <family val="2"/>
          </rPr>
          <t xml:space="preserve">
To be checked (TNO 2008)</t>
        </r>
      </text>
    </comment>
    <comment ref="K203" authorId="1" shapeId="0" xr:uid="{00000000-0006-0000-0500-000028000000}">
      <text>
        <r>
          <rPr>
            <b/>
            <sz val="9"/>
            <color indexed="81"/>
            <rFont val="Tahoma"/>
            <family val="2"/>
          </rPr>
          <t>Malte Renz:</t>
        </r>
        <r>
          <rPr>
            <sz val="9"/>
            <color indexed="81"/>
            <rFont val="Tahoma"/>
            <family val="2"/>
          </rPr>
          <t xml:space="preserve">
To be checked (TNO 2008)</t>
        </r>
      </text>
    </comment>
    <comment ref="L203" authorId="1" shapeId="0" xr:uid="{00000000-0006-0000-0500-000029000000}">
      <text>
        <r>
          <rPr>
            <b/>
            <sz val="9"/>
            <color indexed="81"/>
            <rFont val="Tahoma"/>
            <family val="2"/>
          </rPr>
          <t>Malte Renz:</t>
        </r>
        <r>
          <rPr>
            <sz val="9"/>
            <color indexed="81"/>
            <rFont val="Tahoma"/>
            <family val="2"/>
          </rPr>
          <t xml:space="preserve">
To be checked (TNO 2008)</t>
        </r>
      </text>
    </comment>
    <comment ref="N203" authorId="1" shapeId="0" xr:uid="{00000000-0006-0000-0500-00002A000000}">
      <text>
        <r>
          <rPr>
            <b/>
            <sz val="9"/>
            <color indexed="81"/>
            <rFont val="Tahoma"/>
            <family val="2"/>
          </rPr>
          <t>Malte Renz:</t>
        </r>
        <r>
          <rPr>
            <sz val="9"/>
            <color indexed="81"/>
            <rFont val="Tahoma"/>
            <family val="2"/>
          </rPr>
          <t xml:space="preserve">
To be checked (TNO 2008)</t>
        </r>
      </text>
    </comment>
    <comment ref="O203" authorId="1" shapeId="0" xr:uid="{00000000-0006-0000-0500-00002B000000}">
      <text>
        <r>
          <rPr>
            <b/>
            <sz val="9"/>
            <color indexed="81"/>
            <rFont val="Tahoma"/>
            <family val="2"/>
          </rPr>
          <t>Malte Renz:</t>
        </r>
        <r>
          <rPr>
            <sz val="9"/>
            <color indexed="81"/>
            <rFont val="Tahoma"/>
            <family val="2"/>
          </rPr>
          <t xml:space="preserve">
To be checked (TNO 2008)</t>
        </r>
      </text>
    </comment>
    <comment ref="Q203" authorId="1" shapeId="0" xr:uid="{00000000-0006-0000-0500-00002C000000}">
      <text>
        <r>
          <rPr>
            <b/>
            <sz val="9"/>
            <color indexed="81"/>
            <rFont val="Tahoma"/>
            <family val="2"/>
          </rPr>
          <t>Malte Renz:</t>
        </r>
        <r>
          <rPr>
            <sz val="9"/>
            <color indexed="81"/>
            <rFont val="Tahoma"/>
            <family val="2"/>
          </rPr>
          <t xml:space="preserve">
To be checked (TNO 2008)</t>
        </r>
      </text>
    </comment>
    <comment ref="R203" authorId="1" shapeId="0" xr:uid="{00000000-0006-0000-0500-00002D000000}">
      <text>
        <r>
          <rPr>
            <b/>
            <sz val="9"/>
            <color indexed="81"/>
            <rFont val="Tahoma"/>
            <family val="2"/>
          </rPr>
          <t>Malte Renz:</t>
        </r>
        <r>
          <rPr>
            <sz val="9"/>
            <color indexed="81"/>
            <rFont val="Tahoma"/>
            <family val="2"/>
          </rPr>
          <t xml:space="preserve">
To be checked (TNO 2008)</t>
        </r>
      </text>
    </comment>
    <comment ref="S203" authorId="1" shapeId="0" xr:uid="{00000000-0006-0000-0500-00002E000000}">
      <text>
        <r>
          <rPr>
            <b/>
            <sz val="9"/>
            <color indexed="81"/>
            <rFont val="Tahoma"/>
            <family val="2"/>
          </rPr>
          <t>Malte Renz:</t>
        </r>
        <r>
          <rPr>
            <sz val="9"/>
            <color indexed="81"/>
            <rFont val="Tahoma"/>
            <family val="2"/>
          </rPr>
          <t xml:space="preserve">
To be checked (TNO 2008)</t>
        </r>
      </text>
    </comment>
    <comment ref="N238" authorId="1" shapeId="0" xr:uid="{00000000-0006-0000-0500-00002F000000}">
      <text>
        <r>
          <rPr>
            <b/>
            <sz val="9"/>
            <color indexed="81"/>
            <rFont val="Tahoma"/>
            <family val="2"/>
          </rPr>
          <t>Malte Renz:</t>
        </r>
        <r>
          <rPr>
            <sz val="9"/>
            <color indexed="81"/>
            <rFont val="Tahoma"/>
            <family val="2"/>
          </rPr>
          <t xml:space="preserve">
Sum of total equipment OPEX and the opex of the platform &lt;= 20 MEUR (Chris Gittins, 18.10.2018)
Assumed share CCS &amp; LH2 50/50</t>
        </r>
      </text>
    </comment>
    <comment ref="E349" authorId="3" shapeId="0" xr:uid="{00000000-0006-0000-0500-000030000000}">
      <text>
        <r>
          <rPr>
            <b/>
            <sz val="9"/>
            <color indexed="81"/>
            <rFont val="Tahoma"/>
            <family val="2"/>
          </rPr>
          <t>mostly between 0,01 and 0,1
http://my.me.queensu.ca/People/Sellens/LossesinPipes.html
Gasunie 7.11.17: 0.013-0.015 for gas transportation</t>
        </r>
      </text>
    </comment>
    <comment ref="E470" authorId="3" shapeId="0" xr:uid="{00000000-0006-0000-0500-000031000000}">
      <text>
        <r>
          <rPr>
            <b/>
            <sz val="9"/>
            <color indexed="81"/>
            <rFont val="Tahoma"/>
            <family val="2"/>
          </rPr>
          <t>mostly between 0,01 and 0,1
http://my.me.queensu.ca/People/Sellens/LossesinPipes.html
Gasunie 7.11.17: 0.013-0.015 for gas transportation</t>
        </r>
      </text>
    </comment>
    <comment ref="N478" authorId="1" shapeId="0" xr:uid="{00000000-0006-0000-0500-000032000000}">
      <text>
        <r>
          <rPr>
            <b/>
            <sz val="9"/>
            <color indexed="81"/>
            <rFont val="Tahoma"/>
            <family val="2"/>
          </rPr>
          <t>Malte Renz:</t>
        </r>
        <r>
          <rPr>
            <sz val="9"/>
            <color indexed="81"/>
            <rFont val="Tahoma"/>
            <family val="2"/>
          </rPr>
          <t xml:space="preserve">
Assuming extra six leg platform
</t>
        </r>
      </text>
    </comment>
    <comment ref="O478" authorId="1" shapeId="0" xr:uid="{00000000-0006-0000-0500-000033000000}">
      <text>
        <r>
          <rPr>
            <b/>
            <sz val="9"/>
            <color indexed="81"/>
            <rFont val="Tahoma"/>
            <family val="2"/>
          </rPr>
          <t>Malte Renz:</t>
        </r>
        <r>
          <rPr>
            <sz val="9"/>
            <color indexed="81"/>
            <rFont val="Tahoma"/>
            <family val="2"/>
          </rPr>
          <t xml:space="preserve">
Assuming extra six leg platform
</t>
        </r>
      </text>
    </comment>
    <comment ref="N488" authorId="1" shapeId="0" xr:uid="{00000000-0006-0000-0500-000034000000}">
      <text>
        <r>
          <rPr>
            <b/>
            <sz val="9"/>
            <color indexed="81"/>
            <rFont val="Tahoma"/>
            <family val="2"/>
          </rPr>
          <t>Malte Renz:</t>
        </r>
        <r>
          <rPr>
            <sz val="9"/>
            <color indexed="81"/>
            <rFont val="Tahoma"/>
            <family val="2"/>
          </rPr>
          <t xml:space="preserve">
Sum of total equipment OPEX and the opex of the platform &lt;= 20 MEUR (Chris Gittins, 18.10.2018)
Assumed share CCS &amp; LH2 50/50</t>
        </r>
      </text>
    </comment>
    <comment ref="O488" authorId="1" shapeId="0" xr:uid="{00000000-0006-0000-0500-000035000000}">
      <text>
        <r>
          <rPr>
            <b/>
            <sz val="9"/>
            <color indexed="81"/>
            <rFont val="Tahoma"/>
            <family val="2"/>
          </rPr>
          <t>Malte Renz:</t>
        </r>
        <r>
          <rPr>
            <sz val="9"/>
            <color indexed="81"/>
            <rFont val="Tahoma"/>
            <family val="2"/>
          </rPr>
          <t xml:space="preserve">
Sum of total equipment OPEX and the opex of the platform &lt;= 20 MEUR (Chris Gittins, 18.10.2018)
Assumed share CCS &amp; LH2 50/50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P.L.J. Wissink MSc</author>
  </authors>
  <commentList>
    <comment ref="B44" authorId="0" shapeId="0" xr:uid="{00000000-0006-0000-0800-000001000000}">
      <text>
        <r>
          <rPr>
            <b/>
            <sz val="9"/>
            <color indexed="81"/>
            <rFont val="Tahoma"/>
            <family val="2"/>
          </rPr>
          <t>P.L.J. Wissink MSc:</t>
        </r>
        <r>
          <rPr>
            <sz val="9"/>
            <color indexed="81"/>
            <rFont val="Tahoma"/>
            <family val="2"/>
          </rPr>
          <t xml:space="preserve">
Rather than an avoided cost item of electrification, CO2 costs have now been integrated as a cost line item for the business as usual scenario instead. (I.e., you don't spend money on CO2 certificates when electrifying, but you do in the business as usual case when powered by gas.) Of course this is not entirely true because the wind won't always blow, such that partially gray energy from land has to be imported. For now, we assume that the associated CO2 emissions from land electricity won't be compensated.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B27" authorId="0" shapeId="0" xr:uid="{00000000-0006-0000-0900-000001000000}">
      <text>
        <r>
          <rPr>
            <b/>
            <sz val="9"/>
            <color indexed="81"/>
            <rFont val="Tahoma"/>
            <family val="2"/>
          </rPr>
          <t>Malte Renz:</t>
        </r>
        <r>
          <rPr>
            <sz val="9"/>
            <color indexed="81"/>
            <rFont val="Tahoma"/>
            <family val="2"/>
          </rPr>
          <t xml:space="preserve">
Market price + transmission fee
For pumps on offshore platform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H22" authorId="0" shapeId="0" xr:uid="{00000000-0006-0000-1400-000001000000}">
      <text>
        <r>
          <rPr>
            <b/>
            <sz val="9"/>
            <color indexed="81"/>
            <rFont val="Tahoma"/>
            <family val="2"/>
          </rPr>
          <t>Malte Renz:</t>
        </r>
        <r>
          <rPr>
            <sz val="9"/>
            <color indexed="81"/>
            <rFont val="Tahoma"/>
            <family val="2"/>
          </rPr>
          <t xml:space="preserve">
Impact?</t>
        </r>
      </text>
    </comment>
    <comment ref="G45" authorId="0" shapeId="0" xr:uid="{00000000-0006-0000-1400-000002000000}">
      <text>
        <r>
          <rPr>
            <b/>
            <sz val="9"/>
            <color indexed="81"/>
            <rFont val="Tahoma"/>
            <family val="2"/>
          </rPr>
          <t>Malte Renz:</t>
        </r>
        <r>
          <rPr>
            <sz val="9"/>
            <color indexed="81"/>
            <rFont val="Tahoma"/>
            <family val="2"/>
          </rPr>
          <t xml:space="preserve">
Knoope 2015, p.96: The compressibility factor and specific heat ratio are strongly related to pressure and temperature and therefore they are different for each stage. In this study, they are related to the inlet pressure of the CO2 for the specific stage at 30°C.</t>
        </r>
      </text>
    </comment>
    <comment ref="T45" authorId="0" shapeId="0" xr:uid="{00000000-0006-0000-1400-000003000000}">
      <text>
        <r>
          <rPr>
            <b/>
            <sz val="9"/>
            <color indexed="81"/>
            <rFont val="Tahoma"/>
            <family val="2"/>
          </rPr>
          <t>Malte Renz:</t>
        </r>
        <r>
          <rPr>
            <sz val="9"/>
            <color indexed="81"/>
            <rFont val="Tahoma"/>
            <family val="2"/>
          </rPr>
          <t xml:space="preserve">
Pump is only used from 83 bar upwards and at 30 Deg C</t>
        </r>
      </text>
    </comment>
    <comment ref="G50" authorId="0" shapeId="0" xr:uid="{00000000-0006-0000-1400-000004000000}">
      <text>
        <r>
          <rPr>
            <b/>
            <sz val="9"/>
            <color indexed="81"/>
            <rFont val="Tahoma"/>
            <family val="2"/>
          </rPr>
          <t>Malte Renz:</t>
        </r>
        <r>
          <rPr>
            <sz val="9"/>
            <color indexed="81"/>
            <rFont val="Tahoma"/>
            <family val="2"/>
          </rPr>
          <t xml:space="preserve">
Does it include intercooling?</t>
        </r>
      </text>
    </comment>
    <comment ref="H52" authorId="0" shapeId="0" xr:uid="{00000000-0006-0000-1400-000005000000}">
      <text>
        <r>
          <rPr>
            <b/>
            <sz val="9"/>
            <color indexed="81"/>
            <rFont val="Tahoma"/>
            <family val="2"/>
          </rPr>
          <t>Malte Renz:</t>
        </r>
        <r>
          <rPr>
            <sz val="9"/>
            <color indexed="81"/>
            <rFont val="Tahoma"/>
            <family val="2"/>
          </rPr>
          <t xml:space="preserve">
currently based on average flow per second, probably needs to be adapted to maximal flow expected</t>
        </r>
      </text>
    </comment>
    <comment ref="D64" authorId="0" shapeId="0" xr:uid="{00000000-0006-0000-1400-000006000000}">
      <text>
        <r>
          <rPr>
            <b/>
            <sz val="9"/>
            <color indexed="81"/>
            <rFont val="Tahoma"/>
            <family val="2"/>
          </rPr>
          <t>Malte Renz:</t>
        </r>
        <r>
          <rPr>
            <sz val="9"/>
            <color indexed="81"/>
            <rFont val="Tahoma"/>
            <family val="2"/>
          </rPr>
          <t xml:space="preserve">
Including already scaling factor</t>
        </r>
      </text>
    </comment>
    <comment ref="C73" authorId="0" shapeId="0" xr:uid="{00000000-0006-0000-1400-000007000000}">
      <text>
        <r>
          <rPr>
            <b/>
            <sz val="9"/>
            <color indexed="81"/>
            <rFont val="Tahoma"/>
            <family val="2"/>
          </rPr>
          <t>Malte Renz:</t>
        </r>
        <r>
          <rPr>
            <sz val="9"/>
            <color indexed="81"/>
            <rFont val="Tahoma"/>
            <family val="2"/>
          </rPr>
          <t xml:space="preserve">
For different pressure parameters, thus not comparable with calculation above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G5" authorId="0" shapeId="0" xr:uid="{00000000-0006-0000-1500-000001000000}">
      <text>
        <r>
          <rPr>
            <b/>
            <sz val="9"/>
            <color indexed="81"/>
            <rFont val="Tahoma"/>
            <family val="2"/>
          </rPr>
          <t>Malte Renz:</t>
        </r>
        <r>
          <rPr>
            <sz val="9"/>
            <color indexed="81"/>
            <rFont val="Tahoma"/>
            <family val="2"/>
          </rPr>
          <t xml:space="preserve">
Refurbishment costs in case of existing pipeline assumed to be 0</t>
        </r>
      </text>
    </comment>
    <comment ref="G6" authorId="0" shapeId="0" xr:uid="{00000000-0006-0000-1500-000002000000}">
      <text>
        <r>
          <rPr>
            <b/>
            <sz val="9"/>
            <color indexed="81"/>
            <rFont val="Tahoma"/>
            <family val="2"/>
          </rPr>
          <t>Malte Renz:</t>
        </r>
        <r>
          <rPr>
            <sz val="9"/>
            <color indexed="81"/>
            <rFont val="Tahoma"/>
            <family val="2"/>
          </rPr>
          <t xml:space="preserve">
Assumed to be similar for new &amp; refurbished pipeline</t>
        </r>
      </text>
    </comment>
    <comment ref="G7" authorId="0" shapeId="0" xr:uid="{00000000-0006-0000-1500-000003000000}">
      <text>
        <r>
          <rPr>
            <b/>
            <sz val="9"/>
            <color indexed="81"/>
            <rFont val="Tahoma"/>
            <family val="2"/>
          </rPr>
          <t>Malte Renz:</t>
        </r>
        <r>
          <rPr>
            <sz val="9"/>
            <color indexed="81"/>
            <rFont val="Tahoma"/>
            <family val="2"/>
          </rPr>
          <t xml:space="preserve">
Just in case of new pipelines</t>
        </r>
      </text>
    </comment>
    <comment ref="H71" authorId="0" shapeId="0" xr:uid="{00000000-0006-0000-1500-000004000000}">
      <text>
        <r>
          <rPr>
            <b/>
            <sz val="9"/>
            <color indexed="81"/>
            <rFont val="Tahoma"/>
            <family val="2"/>
          </rPr>
          <t>Malte Renz:</t>
        </r>
        <r>
          <rPr>
            <sz val="9"/>
            <color indexed="81"/>
            <rFont val="Tahoma"/>
            <family val="2"/>
          </rPr>
          <t xml:space="preserve">
Included already in Knoope cost composition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D14" authorId="0" shapeId="0" xr:uid="{00000000-0006-0000-1600-000001000000}">
      <text>
        <r>
          <rPr>
            <b/>
            <sz val="9"/>
            <color indexed="81"/>
            <rFont val="Tahoma"/>
            <family val="2"/>
          </rPr>
          <t>Malte Renz:</t>
        </r>
        <r>
          <rPr>
            <sz val="9"/>
            <color indexed="81"/>
            <rFont val="Tahoma"/>
            <family val="2"/>
          </rPr>
          <t xml:space="preserve">
Generic figure derived from Nogepa 2008</t>
        </r>
      </text>
    </comment>
    <comment ref="H15" authorId="0" shapeId="0" xr:uid="{00000000-0006-0000-1600-000002000000}">
      <text>
        <r>
          <rPr>
            <b/>
            <sz val="9"/>
            <color indexed="81"/>
            <rFont val="Tahoma"/>
            <family val="2"/>
          </rPr>
          <t>Malte Renz:</t>
        </r>
        <r>
          <rPr>
            <sz val="9"/>
            <color indexed="81"/>
            <rFont val="Tahoma"/>
            <family val="2"/>
          </rPr>
          <t xml:space="preserve">
Has to be limited wrt years where it's actually required</t>
        </r>
      </text>
    </comment>
    <comment ref="G104" authorId="0" shapeId="0" xr:uid="{00000000-0006-0000-1600-000003000000}">
      <text>
        <r>
          <rPr>
            <b/>
            <sz val="9"/>
            <color indexed="81"/>
            <rFont val="Tahoma"/>
            <family val="2"/>
          </rPr>
          <t>Malte Renz:</t>
        </r>
        <r>
          <rPr>
            <sz val="9"/>
            <color indexed="81"/>
            <rFont val="Tahoma"/>
            <family val="2"/>
          </rPr>
          <t xml:space="preserve">
based on Howden, they designed particularly for 1 -80 bar
but w/o dimensions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I3" authorId="0" shapeId="0" xr:uid="{00000000-0006-0000-2600-000001000000}">
      <text>
        <r>
          <rPr>
            <b/>
            <sz val="9"/>
            <color indexed="81"/>
            <rFont val="Tahoma"/>
            <family val="2"/>
          </rPr>
          <t>Malte Renz:</t>
        </r>
        <r>
          <rPr>
            <sz val="9"/>
            <color indexed="81"/>
            <rFont val="Tahoma"/>
            <family val="2"/>
          </rPr>
          <t xml:space="preserve">
Range between 0.75-1.25 Mt/a 
BERR-Development of a CO2 transport and storage network in the north sea
</t>
        </r>
      </text>
    </comment>
    <comment ref="N4" authorId="0" shapeId="0" xr:uid="{00000000-0006-0000-2600-000002000000}">
      <text>
        <r>
          <rPr>
            <b/>
            <sz val="9"/>
            <color indexed="81"/>
            <rFont val="Tahoma"/>
            <family val="2"/>
          </rPr>
          <t>Malte Renz:</t>
        </r>
        <r>
          <rPr>
            <sz val="9"/>
            <color indexed="81"/>
            <rFont val="Tahoma"/>
            <family val="2"/>
          </rPr>
          <t xml:space="preserve">
Assumed reservoir end state pressure based on Nogepa report 2008 p.46</t>
        </r>
      </text>
    </comment>
    <comment ref="N5" authorId="0" shapeId="0" xr:uid="{00000000-0006-0000-2600-000003000000}">
      <text>
        <r>
          <rPr>
            <b/>
            <sz val="9"/>
            <color indexed="81"/>
            <rFont val="Tahoma"/>
            <family val="2"/>
          </rPr>
          <t>Malte Renz:</t>
        </r>
        <r>
          <rPr>
            <sz val="9"/>
            <color indexed="81"/>
            <rFont val="Tahoma"/>
            <family val="2"/>
          </rPr>
          <t xml:space="preserve">
Assumed reservoir end state pressure based on Nogepa report 2008 p.46</t>
        </r>
      </text>
    </comment>
    <comment ref="N6" authorId="0" shapeId="0" xr:uid="{00000000-0006-0000-2600-000004000000}">
      <text>
        <r>
          <rPr>
            <b/>
            <sz val="9"/>
            <color indexed="81"/>
            <rFont val="Tahoma"/>
            <family val="2"/>
          </rPr>
          <t>Malte Renz:</t>
        </r>
        <r>
          <rPr>
            <sz val="9"/>
            <color indexed="81"/>
            <rFont val="Tahoma"/>
            <family val="2"/>
          </rPr>
          <t xml:space="preserve">
Assumed reservoir end state pressure based on Nogepa report 2008 p.46</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U4" authorId="0" shapeId="0" xr:uid="{00000000-0006-0000-2900-000001000000}">
      <text>
        <r>
          <rPr>
            <b/>
            <sz val="9"/>
            <color indexed="81"/>
            <rFont val="Tahoma"/>
            <family val="2"/>
          </rPr>
          <t>Malte Renz:</t>
        </r>
        <r>
          <rPr>
            <sz val="9"/>
            <color indexed="81"/>
            <rFont val="Tahoma"/>
            <family val="2"/>
          </rPr>
          <t xml:space="preserve">
formula change
</t>
        </r>
      </text>
    </comment>
    <comment ref="X4" authorId="0" shapeId="0" xr:uid="{00000000-0006-0000-2900-000002000000}">
      <text>
        <r>
          <rPr>
            <b/>
            <sz val="9"/>
            <color indexed="81"/>
            <rFont val="Tahoma"/>
            <family val="2"/>
          </rPr>
          <t>Malte Renz:</t>
        </r>
        <r>
          <rPr>
            <sz val="9"/>
            <color indexed="81"/>
            <rFont val="Tahoma"/>
            <family val="2"/>
          </rPr>
          <t xml:space="preserve">
formula change
</t>
        </r>
      </text>
    </comment>
    <comment ref="AE4" authorId="0" shapeId="0" xr:uid="{00000000-0006-0000-2900-000003000000}">
      <text>
        <r>
          <rPr>
            <b/>
            <sz val="9"/>
            <color indexed="81"/>
            <rFont val="Tahoma"/>
            <family val="2"/>
          </rPr>
          <t>Malte Renz:</t>
        </r>
        <r>
          <rPr>
            <sz val="9"/>
            <color indexed="81"/>
            <rFont val="Tahoma"/>
            <family val="2"/>
          </rPr>
          <t xml:space="preserve">
formula change
</t>
        </r>
      </text>
    </comment>
    <comment ref="AJ4" authorId="0" shapeId="0" xr:uid="{00000000-0006-0000-2900-000004000000}">
      <text>
        <r>
          <rPr>
            <b/>
            <sz val="9"/>
            <color indexed="81"/>
            <rFont val="Tahoma"/>
            <family val="2"/>
          </rPr>
          <t>Malte Renz:</t>
        </r>
        <r>
          <rPr>
            <sz val="9"/>
            <color indexed="81"/>
            <rFont val="Tahoma"/>
            <family val="2"/>
          </rPr>
          <t xml:space="preserve">
Own continuation</t>
        </r>
      </text>
    </comment>
    <comment ref="U5" authorId="0" shapeId="0" xr:uid="{00000000-0006-0000-2900-000005000000}">
      <text>
        <r>
          <rPr>
            <b/>
            <sz val="9"/>
            <color indexed="81"/>
            <rFont val="Tahoma"/>
            <family val="2"/>
          </rPr>
          <t>Malte Renz:</t>
        </r>
        <r>
          <rPr>
            <sz val="9"/>
            <color indexed="81"/>
            <rFont val="Tahoma"/>
            <family val="2"/>
          </rPr>
          <t xml:space="preserve">
formula change
</t>
        </r>
      </text>
    </comment>
    <comment ref="X5" authorId="0" shapeId="0" xr:uid="{00000000-0006-0000-2900-000006000000}">
      <text>
        <r>
          <rPr>
            <b/>
            <sz val="9"/>
            <color indexed="81"/>
            <rFont val="Tahoma"/>
            <family val="2"/>
          </rPr>
          <t>Malte Renz:</t>
        </r>
        <r>
          <rPr>
            <sz val="9"/>
            <color indexed="81"/>
            <rFont val="Tahoma"/>
            <family val="2"/>
          </rPr>
          <t xml:space="preserve">
formula change
</t>
        </r>
      </text>
    </comment>
    <comment ref="X6" authorId="0" shapeId="0" xr:uid="{00000000-0006-0000-2900-000007000000}">
      <text>
        <r>
          <rPr>
            <b/>
            <sz val="9"/>
            <color indexed="81"/>
            <rFont val="Tahoma"/>
            <family val="2"/>
          </rPr>
          <t>Malte Renz:</t>
        </r>
        <r>
          <rPr>
            <sz val="9"/>
            <color indexed="81"/>
            <rFont val="Tahoma"/>
            <family val="2"/>
          </rPr>
          <t xml:space="preserve">
formula change
</t>
        </r>
      </text>
    </comment>
    <comment ref="AE6" authorId="0" shapeId="0" xr:uid="{00000000-0006-0000-2900-000008000000}">
      <text>
        <r>
          <rPr>
            <b/>
            <sz val="9"/>
            <color indexed="81"/>
            <rFont val="Tahoma"/>
            <family val="2"/>
          </rPr>
          <t>Malte Renz:</t>
        </r>
        <r>
          <rPr>
            <sz val="9"/>
            <color indexed="81"/>
            <rFont val="Tahoma"/>
            <family val="2"/>
          </rPr>
          <t xml:space="preserve">
formula change
</t>
        </r>
      </text>
    </comment>
    <comment ref="AJ6" authorId="0" shapeId="0" xr:uid="{00000000-0006-0000-2900-000009000000}">
      <text>
        <r>
          <rPr>
            <b/>
            <sz val="9"/>
            <color indexed="81"/>
            <rFont val="Tahoma"/>
            <family val="2"/>
          </rPr>
          <t>Malte Renz:</t>
        </r>
        <r>
          <rPr>
            <sz val="9"/>
            <color indexed="81"/>
            <rFont val="Tahoma"/>
            <family val="2"/>
          </rPr>
          <t xml:space="preserve">
Own continuation</t>
        </r>
      </text>
    </comment>
    <comment ref="U7" authorId="0" shapeId="0" xr:uid="{00000000-0006-0000-2900-00000A000000}">
      <text>
        <r>
          <rPr>
            <b/>
            <sz val="9"/>
            <color indexed="81"/>
            <rFont val="Tahoma"/>
            <family val="2"/>
          </rPr>
          <t>Malte Renz:</t>
        </r>
        <r>
          <rPr>
            <sz val="9"/>
            <color indexed="81"/>
            <rFont val="Tahoma"/>
            <family val="2"/>
          </rPr>
          <t xml:space="preserve">
formula change
</t>
        </r>
      </text>
    </comment>
    <comment ref="X7" authorId="0" shapeId="0" xr:uid="{00000000-0006-0000-2900-00000B000000}">
      <text>
        <r>
          <rPr>
            <b/>
            <sz val="9"/>
            <color indexed="81"/>
            <rFont val="Tahoma"/>
            <family val="2"/>
          </rPr>
          <t>Malte Renz:</t>
        </r>
        <r>
          <rPr>
            <sz val="9"/>
            <color indexed="81"/>
            <rFont val="Tahoma"/>
            <family val="2"/>
          </rPr>
          <t xml:space="preserve">
formula change
</t>
        </r>
      </text>
    </comment>
    <comment ref="AE7" authorId="0" shapeId="0" xr:uid="{00000000-0006-0000-2900-00000C000000}">
      <text>
        <r>
          <rPr>
            <b/>
            <sz val="9"/>
            <color indexed="81"/>
            <rFont val="Tahoma"/>
            <family val="2"/>
          </rPr>
          <t>Malte Renz:</t>
        </r>
        <r>
          <rPr>
            <sz val="9"/>
            <color indexed="81"/>
            <rFont val="Tahoma"/>
            <family val="2"/>
          </rPr>
          <t xml:space="preserve">
formula change
</t>
        </r>
      </text>
    </comment>
    <comment ref="AJ7" authorId="0" shapeId="0" xr:uid="{00000000-0006-0000-2900-00000D000000}">
      <text>
        <r>
          <rPr>
            <b/>
            <sz val="9"/>
            <color indexed="81"/>
            <rFont val="Tahoma"/>
            <family val="2"/>
          </rPr>
          <t>Malte Renz:</t>
        </r>
        <r>
          <rPr>
            <sz val="9"/>
            <color indexed="81"/>
            <rFont val="Tahoma"/>
            <family val="2"/>
          </rPr>
          <t xml:space="preserve">
Own continuation</t>
        </r>
      </text>
    </comment>
    <comment ref="U8" authorId="0" shapeId="0" xr:uid="{00000000-0006-0000-2900-00000E000000}">
      <text>
        <r>
          <rPr>
            <b/>
            <sz val="9"/>
            <color indexed="81"/>
            <rFont val="Tahoma"/>
            <family val="2"/>
          </rPr>
          <t>Malte Renz:</t>
        </r>
        <r>
          <rPr>
            <sz val="9"/>
            <color indexed="81"/>
            <rFont val="Tahoma"/>
            <family val="2"/>
          </rPr>
          <t xml:space="preserve">
formula change
</t>
        </r>
      </text>
    </comment>
    <comment ref="X8" authorId="0" shapeId="0" xr:uid="{00000000-0006-0000-2900-00000F000000}">
      <text>
        <r>
          <rPr>
            <b/>
            <sz val="9"/>
            <color indexed="81"/>
            <rFont val="Tahoma"/>
            <family val="2"/>
          </rPr>
          <t>Malte Renz:</t>
        </r>
        <r>
          <rPr>
            <sz val="9"/>
            <color indexed="81"/>
            <rFont val="Tahoma"/>
            <family val="2"/>
          </rPr>
          <t xml:space="preserve">
formula change
</t>
        </r>
      </text>
    </comment>
    <comment ref="AE8" authorId="0" shapeId="0" xr:uid="{00000000-0006-0000-2900-000010000000}">
      <text>
        <r>
          <rPr>
            <b/>
            <sz val="9"/>
            <color indexed="81"/>
            <rFont val="Tahoma"/>
            <family val="2"/>
          </rPr>
          <t>Malte Renz:</t>
        </r>
        <r>
          <rPr>
            <sz val="9"/>
            <color indexed="81"/>
            <rFont val="Tahoma"/>
            <family val="2"/>
          </rPr>
          <t xml:space="preserve">
formula change
</t>
        </r>
      </text>
    </comment>
    <comment ref="AJ8" authorId="0" shapeId="0" xr:uid="{00000000-0006-0000-2900-000011000000}">
      <text>
        <r>
          <rPr>
            <b/>
            <sz val="9"/>
            <color indexed="81"/>
            <rFont val="Tahoma"/>
            <family val="2"/>
          </rPr>
          <t>Malte Renz:</t>
        </r>
        <r>
          <rPr>
            <sz val="9"/>
            <color indexed="81"/>
            <rFont val="Tahoma"/>
            <family val="2"/>
          </rPr>
          <t xml:space="preserve">
Own continuation</t>
        </r>
      </text>
    </comment>
    <comment ref="X9" authorId="0" shapeId="0" xr:uid="{00000000-0006-0000-2900-000012000000}">
      <text>
        <r>
          <rPr>
            <b/>
            <sz val="9"/>
            <color indexed="81"/>
            <rFont val="Tahoma"/>
            <family val="2"/>
          </rPr>
          <t>Malte Renz:</t>
        </r>
        <r>
          <rPr>
            <sz val="9"/>
            <color indexed="81"/>
            <rFont val="Tahoma"/>
            <family val="2"/>
          </rPr>
          <t xml:space="preserve">
formula change
</t>
        </r>
      </text>
    </comment>
    <comment ref="AE9" authorId="0" shapeId="0" xr:uid="{00000000-0006-0000-2900-000013000000}">
      <text>
        <r>
          <rPr>
            <b/>
            <sz val="9"/>
            <color indexed="81"/>
            <rFont val="Tahoma"/>
            <family val="2"/>
          </rPr>
          <t>Malte Renz:</t>
        </r>
        <r>
          <rPr>
            <sz val="9"/>
            <color indexed="81"/>
            <rFont val="Tahoma"/>
            <family val="2"/>
          </rPr>
          <t xml:space="preserve">
formula change
</t>
        </r>
      </text>
    </comment>
    <comment ref="AJ9" authorId="0" shapeId="0" xr:uid="{00000000-0006-0000-2900-000014000000}">
      <text>
        <r>
          <rPr>
            <b/>
            <sz val="9"/>
            <color indexed="81"/>
            <rFont val="Tahoma"/>
            <family val="2"/>
          </rPr>
          <t>Malte Renz:</t>
        </r>
        <r>
          <rPr>
            <sz val="9"/>
            <color indexed="81"/>
            <rFont val="Tahoma"/>
            <family val="2"/>
          </rPr>
          <t xml:space="preserve">
Own continuation</t>
        </r>
      </text>
    </comment>
    <comment ref="AJ10" authorId="0" shapeId="0" xr:uid="{00000000-0006-0000-2900-000015000000}">
      <text>
        <r>
          <rPr>
            <b/>
            <sz val="9"/>
            <color indexed="81"/>
            <rFont val="Tahoma"/>
            <family val="2"/>
          </rPr>
          <t>Malte Renz:</t>
        </r>
        <r>
          <rPr>
            <sz val="9"/>
            <color indexed="81"/>
            <rFont val="Tahoma"/>
            <family val="2"/>
          </rPr>
          <t xml:space="preserve">
Own continuation</t>
        </r>
      </text>
    </comment>
    <comment ref="G11" authorId="0" shapeId="0" xr:uid="{00000000-0006-0000-2900-000016000000}">
      <text>
        <r>
          <rPr>
            <b/>
            <sz val="9"/>
            <color indexed="81"/>
            <rFont val="Tahoma"/>
            <family val="2"/>
          </rPr>
          <t>Malte Renz:</t>
        </r>
        <r>
          <rPr>
            <sz val="9"/>
            <color indexed="81"/>
            <rFont val="Tahoma"/>
            <family val="2"/>
          </rPr>
          <t xml:space="preserve">
CAAGR for further projections</t>
        </r>
      </text>
    </comment>
    <comment ref="AJ11" authorId="0" shapeId="0" xr:uid="{00000000-0006-0000-2900-000017000000}">
      <text>
        <r>
          <rPr>
            <b/>
            <sz val="9"/>
            <color indexed="81"/>
            <rFont val="Tahoma"/>
            <family val="2"/>
          </rPr>
          <t>Malte Renz:</t>
        </r>
        <r>
          <rPr>
            <sz val="9"/>
            <color indexed="81"/>
            <rFont val="Tahoma"/>
            <family val="2"/>
          </rPr>
          <t xml:space="preserve">
Own continuation</t>
        </r>
      </text>
    </comment>
    <comment ref="AJ12" authorId="0" shapeId="0" xr:uid="{00000000-0006-0000-2900-000018000000}">
      <text>
        <r>
          <rPr>
            <b/>
            <sz val="9"/>
            <color indexed="81"/>
            <rFont val="Tahoma"/>
            <family val="2"/>
          </rPr>
          <t>Malte Renz:</t>
        </r>
        <r>
          <rPr>
            <sz val="9"/>
            <color indexed="81"/>
            <rFont val="Tahoma"/>
            <family val="2"/>
          </rPr>
          <t xml:space="preserve">
Own continuation</t>
        </r>
      </text>
    </comment>
    <comment ref="AJ13" authorId="0" shapeId="0" xr:uid="{00000000-0006-0000-2900-000019000000}">
      <text>
        <r>
          <rPr>
            <b/>
            <sz val="9"/>
            <color indexed="81"/>
            <rFont val="Tahoma"/>
            <family val="2"/>
          </rPr>
          <t>Malte Renz:</t>
        </r>
        <r>
          <rPr>
            <sz val="9"/>
            <color indexed="81"/>
            <rFont val="Tahoma"/>
            <family val="2"/>
          </rPr>
          <t xml:space="preserve">
Own continuation</t>
        </r>
      </text>
    </comment>
    <comment ref="K14" authorId="0" shapeId="0" xr:uid="{00000000-0006-0000-2900-00001A000000}">
      <text>
        <r>
          <rPr>
            <b/>
            <sz val="9"/>
            <color indexed="81"/>
            <rFont val="Tahoma"/>
            <family val="2"/>
          </rPr>
          <t>Malte Renz:</t>
        </r>
        <r>
          <rPr>
            <sz val="9"/>
            <color indexed="81"/>
            <rFont val="Tahoma"/>
            <family val="2"/>
          </rPr>
          <t xml:space="preserve">
Extrapolated</t>
        </r>
      </text>
    </comment>
    <comment ref="AJ14" authorId="0" shapeId="0" xr:uid="{00000000-0006-0000-2900-00001B000000}">
      <text>
        <r>
          <rPr>
            <b/>
            <sz val="9"/>
            <color indexed="81"/>
            <rFont val="Tahoma"/>
            <family val="2"/>
          </rPr>
          <t>Malte Renz:</t>
        </r>
        <r>
          <rPr>
            <sz val="9"/>
            <color indexed="81"/>
            <rFont val="Tahoma"/>
            <family val="2"/>
          </rPr>
          <t xml:space="preserve">
Own continuation</t>
        </r>
      </text>
    </comment>
    <comment ref="AJ15" authorId="0" shapeId="0" xr:uid="{00000000-0006-0000-2900-00001C000000}">
      <text>
        <r>
          <rPr>
            <b/>
            <sz val="9"/>
            <color indexed="81"/>
            <rFont val="Tahoma"/>
            <family val="2"/>
          </rPr>
          <t>Malte Renz:</t>
        </r>
        <r>
          <rPr>
            <sz val="9"/>
            <color indexed="81"/>
            <rFont val="Tahoma"/>
            <family val="2"/>
          </rPr>
          <t xml:space="preserve">
Own continuation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D45" authorId="0" shapeId="0" xr:uid="{00000000-0006-0000-2C00-000001000000}">
      <text>
        <r>
          <rPr>
            <b/>
            <sz val="9"/>
            <color indexed="81"/>
            <rFont val="Tahoma"/>
            <family val="2"/>
          </rPr>
          <t>Malte Renz:</t>
        </r>
        <r>
          <rPr>
            <sz val="9"/>
            <color indexed="81"/>
            <rFont val="Tahoma"/>
            <family val="2"/>
          </rPr>
          <t xml:space="preserve">
Changed cable capex formula to allow for fixed inputs in parameter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Malte Renz</author>
  </authors>
  <commentList>
    <comment ref="E66" authorId="0" shapeId="0" xr:uid="{00000000-0006-0000-3100-000001000000}">
      <text>
        <r>
          <rPr>
            <b/>
            <sz val="9"/>
            <color indexed="81"/>
            <rFont val="Tahoma"/>
            <family val="2"/>
          </rPr>
          <t>Malte Renz:</t>
        </r>
        <r>
          <rPr>
            <sz val="9"/>
            <color indexed="81"/>
            <rFont val="Tahoma"/>
            <family val="2"/>
          </rPr>
          <t xml:space="preserve">
collision with platform decomissioning in other modules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P.L.J. Wissink MSc</author>
  </authors>
  <commentList>
    <comment ref="B13" authorId="0" shapeId="0" xr:uid="{00000000-0006-0000-3300-000001000000}">
      <text>
        <r>
          <rPr>
            <b/>
            <sz val="9"/>
            <color indexed="81"/>
            <rFont val="Tahoma"/>
            <family val="2"/>
          </rPr>
          <t>P.L.J. Wissink MSc:</t>
        </r>
        <r>
          <rPr>
            <sz val="9"/>
            <color indexed="81"/>
            <rFont val="Tahoma"/>
            <family val="2"/>
          </rPr>
          <t xml:space="preserve">
CF = </t>
        </r>
        <r>
          <rPr>
            <u/>
            <sz val="9"/>
            <color indexed="81"/>
            <rFont val="Tahoma"/>
            <family val="2"/>
          </rPr>
          <t xml:space="preserve">I*(1+r)^n </t>
        </r>
        <r>
          <rPr>
            <sz val="9"/>
            <color indexed="81"/>
            <rFont val="Tahoma"/>
            <family val="2"/>
          </rPr>
          <t xml:space="preserve">
       sum_{i=0}^{n-1} (1+r)^i</t>
        </r>
      </text>
    </comment>
  </commentList>
</comments>
</file>

<file path=xl/sharedStrings.xml><?xml version="1.0" encoding="utf-8"?>
<sst xmlns="http://schemas.openxmlformats.org/spreadsheetml/2006/main" count="5880" uniqueCount="1751">
  <si>
    <t xml:space="preserve"> </t>
  </si>
  <si>
    <t>Main Variables</t>
  </si>
  <si>
    <t xml:space="preserve">Main results </t>
  </si>
  <si>
    <t>CAPEX</t>
  </si>
  <si>
    <t>OPEX</t>
  </si>
  <si>
    <t>Primary Flows</t>
  </si>
  <si>
    <t xml:space="preserve">Main input </t>
  </si>
  <si>
    <t>Main process</t>
  </si>
  <si>
    <t>Main process parameters</t>
  </si>
  <si>
    <t>Main output</t>
  </si>
  <si>
    <t>CO2</t>
  </si>
  <si>
    <t>%</t>
  </si>
  <si>
    <t>Natural gas</t>
  </si>
  <si>
    <t>Temperature</t>
  </si>
  <si>
    <t>Pressure</t>
  </si>
  <si>
    <t>High</t>
  </si>
  <si>
    <t>Low</t>
  </si>
  <si>
    <t>Celcius</t>
  </si>
  <si>
    <t>Compression</t>
  </si>
  <si>
    <t>kg/s</t>
  </si>
  <si>
    <t>kg/hour</t>
  </si>
  <si>
    <t>Pumping stations required</t>
  </si>
  <si>
    <t>km</t>
  </si>
  <si>
    <t>€</t>
  </si>
  <si>
    <t>rate</t>
  </si>
  <si>
    <t>Van den Broek</t>
  </si>
  <si>
    <t>ElementEnergy</t>
  </si>
  <si>
    <t xml:space="preserve">IEA </t>
  </si>
  <si>
    <t>Heddle</t>
  </si>
  <si>
    <t>Mpa</t>
  </si>
  <si>
    <t>Pump efficiency</t>
  </si>
  <si>
    <t>Minimum pipeline operating pressure</t>
  </si>
  <si>
    <t>CO2 losses</t>
  </si>
  <si>
    <t>Main process compression</t>
  </si>
  <si>
    <t>Main output compression</t>
  </si>
  <si>
    <t>Main process pumping</t>
  </si>
  <si>
    <t>Cooling</t>
  </si>
  <si>
    <t>Pressure rise</t>
  </si>
  <si>
    <t>Pipeline feed-in pressure</t>
  </si>
  <si>
    <t>Mt/y</t>
  </si>
  <si>
    <t>CO2 compressed hour</t>
  </si>
  <si>
    <t>CO2 compressed sec</t>
  </si>
  <si>
    <t>CO2 compressed year</t>
  </si>
  <si>
    <t>CO2 losses sec</t>
  </si>
  <si>
    <t>CO2 losses year</t>
  </si>
  <si>
    <t>CO2 losses hour</t>
  </si>
  <si>
    <t>MW</t>
  </si>
  <si>
    <t>Embodied flows</t>
  </si>
  <si>
    <t>CAPEX pump</t>
  </si>
  <si>
    <t>OPEX pump</t>
  </si>
  <si>
    <t>Pump capacity W (MW)</t>
  </si>
  <si>
    <t>AVERAGE Offshore</t>
  </si>
  <si>
    <t>m</t>
  </si>
  <si>
    <t>Knoope</t>
  </si>
  <si>
    <t>Material</t>
  </si>
  <si>
    <t>right-of-way and miscellaneous costs</t>
  </si>
  <si>
    <t>stage 1</t>
  </si>
  <si>
    <t>stage 0</t>
  </si>
  <si>
    <t>pressure (Mpa)</t>
  </si>
  <si>
    <t>stage 2</t>
  </si>
  <si>
    <t>stage 3</t>
  </si>
  <si>
    <t>stage 4</t>
  </si>
  <si>
    <t>stage 5</t>
  </si>
  <si>
    <t>stage 6</t>
  </si>
  <si>
    <t>Max. compression ratio 2,04</t>
  </si>
  <si>
    <t>Kreutz et al./knoope</t>
  </si>
  <si>
    <t>Average used ratio</t>
  </si>
  <si>
    <t>Zx (temperature 303,2 K)</t>
  </si>
  <si>
    <t>MWh</t>
  </si>
  <si>
    <t>Energy consumption pump</t>
  </si>
  <si>
    <t>Main process pump</t>
  </si>
  <si>
    <t>Direct flows</t>
  </si>
  <si>
    <t>CAPEX offshore pipeline</t>
  </si>
  <si>
    <t>OPEX offshore pipeline</t>
  </si>
  <si>
    <t>Total costs</t>
  </si>
  <si>
    <t>CAPEX Knoope</t>
  </si>
  <si>
    <t xml:space="preserve">Labor </t>
  </si>
  <si>
    <t>Onshore-offshore landfall + platform connection</t>
  </si>
  <si>
    <t>CO2 leakages</t>
  </si>
  <si>
    <t>CO2 tranported hour</t>
  </si>
  <si>
    <t>CO2 tranported sec</t>
  </si>
  <si>
    <t>CO2 tranported year</t>
  </si>
  <si>
    <t>Electricity</t>
  </si>
  <si>
    <t>Dimensions</t>
  </si>
  <si>
    <t>Total</t>
  </si>
  <si>
    <t>Pressure (Mpa)</t>
  </si>
  <si>
    <t>MWh/y</t>
  </si>
  <si>
    <t>Depleted Gas</t>
  </si>
  <si>
    <t>NAM</t>
  </si>
  <si>
    <t>Field</t>
  </si>
  <si>
    <t>Type</t>
  </si>
  <si>
    <t>Operator(s)</t>
  </si>
  <si>
    <t>Moderate</t>
  </si>
  <si>
    <t>Trenching to beach</t>
  </si>
  <si>
    <t>Onshore - Road</t>
  </si>
  <si>
    <t>Onshore - Pipeline</t>
  </si>
  <si>
    <t>Onshore - Other</t>
  </si>
  <si>
    <t>Offshore - Pipeline</t>
  </si>
  <si>
    <t>Offshore – shipping lane</t>
  </si>
  <si>
    <t>CAPEX crossings and landings</t>
  </si>
  <si>
    <t>Current level of risk</t>
  </si>
  <si>
    <t>Geological risk</t>
  </si>
  <si>
    <t>low</t>
  </si>
  <si>
    <t>Wel Intergrity risk</t>
  </si>
  <si>
    <t>Infrastructure risk</t>
  </si>
  <si>
    <t>Timing Considerations</t>
  </si>
  <si>
    <t>Low: limited number of abandoned wells, no reported problems</t>
  </si>
  <si>
    <t>High -old platforms</t>
  </si>
  <si>
    <t>Miltiple fields still producing &amp; using shared infrastructure; mothballing not a serious issue</t>
  </si>
  <si>
    <t>Well pressure</t>
  </si>
  <si>
    <t>Lifetime well</t>
  </si>
  <si>
    <t>year</t>
  </si>
  <si>
    <t>ton</t>
  </si>
  <si>
    <t>TOTAL</t>
  </si>
  <si>
    <t>Moderate: 11 abandoned wells, 1 before 1976</t>
  </si>
  <si>
    <t>Low - relatively modern</t>
  </si>
  <si>
    <t>About 80% of storage potential estimated to be available in same year</t>
  </si>
  <si>
    <t>High: Large number of abandoned wells; problems reported for producing wells</t>
  </si>
  <si>
    <t>Multiple fields still producing, using shared infrastructure; mothballing required, already for anchor field</t>
  </si>
  <si>
    <t>TAQA</t>
  </si>
  <si>
    <t>Platform</t>
  </si>
  <si>
    <t>Year</t>
  </si>
  <si>
    <t>Total field capacity</t>
  </si>
  <si>
    <t>Gas</t>
  </si>
  <si>
    <t>MPa</t>
  </si>
  <si>
    <t>Booster required</t>
  </si>
  <si>
    <t>Yearly pressure increase</t>
  </si>
  <si>
    <t>Main input pump</t>
  </si>
  <si>
    <t>Booster</t>
  </si>
  <si>
    <t>Pressure at platform</t>
  </si>
  <si>
    <t>Bottom hole pressure</t>
  </si>
  <si>
    <t>Electricity used</t>
  </si>
  <si>
    <t>Booster CAPEX</t>
  </si>
  <si>
    <t>Booster OPEX</t>
  </si>
  <si>
    <t>CO2 stored</t>
  </si>
  <si>
    <t>Year booster required</t>
  </si>
  <si>
    <t>ID</t>
  </si>
  <si>
    <t>Country</t>
  </si>
  <si>
    <t>Name</t>
  </si>
  <si>
    <t>Location (blocks)</t>
  </si>
  <si>
    <t>Latitude</t>
  </si>
  <si>
    <t>Longitude</t>
  </si>
  <si>
    <t>Operator</t>
  </si>
  <si>
    <t>Production start</t>
  </si>
  <si>
    <t>Current Status</t>
  </si>
  <si>
    <t>Primary production</t>
  </si>
  <si>
    <t>Category</t>
  </si>
  <si>
    <t>Function</t>
  </si>
  <si>
    <t>Remarks</t>
  </si>
  <si>
    <t>NL008</t>
  </si>
  <si>
    <t>Netherlands</t>
  </si>
  <si>
    <t>AME-2</t>
  </si>
  <si>
    <t>Operational</t>
  </si>
  <si>
    <t>Fixed steel</t>
  </si>
  <si>
    <t>Above water production</t>
  </si>
  <si>
    <t>NL009</t>
  </si>
  <si>
    <t>AWG-1</t>
  </si>
  <si>
    <t>p.i.</t>
  </si>
  <si>
    <t>NL010</t>
  </si>
  <si>
    <t>AWG-1C</t>
  </si>
  <si>
    <t>AWG-1R/1W</t>
  </si>
  <si>
    <t>Compression, incl. AWG-1R/1W</t>
  </si>
  <si>
    <t>NL011</t>
  </si>
  <si>
    <t>F15-A</t>
  </si>
  <si>
    <t>F15-A-01</t>
  </si>
  <si>
    <t>NL012</t>
  </si>
  <si>
    <t>F3-FB-1OLT</t>
  </si>
  <si>
    <t>F03-03</t>
  </si>
  <si>
    <t>Others</t>
  </si>
  <si>
    <t>Offloading boom</t>
  </si>
  <si>
    <t>NL013</t>
  </si>
  <si>
    <t>J6A</t>
  </si>
  <si>
    <t>J06-A-05</t>
  </si>
  <si>
    <t>CH4 Nederland</t>
  </si>
  <si>
    <t>NL014</t>
  </si>
  <si>
    <t>K10-B</t>
  </si>
  <si>
    <t>K10-B-01</t>
  </si>
  <si>
    <t>Wintershall</t>
  </si>
  <si>
    <t>Closed down</t>
  </si>
  <si>
    <t>p.c.</t>
  </si>
  <si>
    <t>NL019</t>
  </si>
  <si>
    <t>K12-A</t>
  </si>
  <si>
    <t>K12-02</t>
  </si>
  <si>
    <t>Gaz de France</t>
  </si>
  <si>
    <t>Wellhead</t>
  </si>
  <si>
    <t>NL020</t>
  </si>
  <si>
    <t>K12-BD</t>
  </si>
  <si>
    <t>K12-B-01</t>
  </si>
  <si>
    <t>NL021</t>
  </si>
  <si>
    <t>K12-BP</t>
  </si>
  <si>
    <t>p.i. (production, compression, accommodation), former D15-FA-1</t>
  </si>
  <si>
    <t>NL022</t>
  </si>
  <si>
    <t>K12-C</t>
  </si>
  <si>
    <t>K12-C-01</t>
  </si>
  <si>
    <t>NL023</t>
  </si>
  <si>
    <t>K12-CC</t>
  </si>
  <si>
    <t>NL024</t>
  </si>
  <si>
    <t>K12-D</t>
  </si>
  <si>
    <t>K12-D-01</t>
  </si>
  <si>
    <t>NL026</t>
  </si>
  <si>
    <t>K13-A</t>
  </si>
  <si>
    <t>K13-01</t>
  </si>
  <si>
    <t>NL028</t>
  </si>
  <si>
    <t>K14-FA-1P</t>
  </si>
  <si>
    <t>K14-01</t>
  </si>
  <si>
    <t>NL029</t>
  </si>
  <si>
    <t>K14-FA-1C</t>
  </si>
  <si>
    <t>K14-08</t>
  </si>
  <si>
    <t>Compression, accommodation</t>
  </si>
  <si>
    <t>NL030</t>
  </si>
  <si>
    <t>K15-FA-1</t>
  </si>
  <si>
    <t>K15-02</t>
  </si>
  <si>
    <t>NL031</t>
  </si>
  <si>
    <t>K15-FB-1</t>
  </si>
  <si>
    <t>K15-03</t>
  </si>
  <si>
    <t>NL032</t>
  </si>
  <si>
    <t>K15-FC-1</t>
  </si>
  <si>
    <t>K15-FC-101</t>
  </si>
  <si>
    <t>NL033</t>
  </si>
  <si>
    <t>K15-FG-1</t>
  </si>
  <si>
    <t>K15-FG-101</t>
  </si>
  <si>
    <t>NL035</t>
  </si>
  <si>
    <t>K5-A</t>
  </si>
  <si>
    <t>K05-A-01</t>
  </si>
  <si>
    <t>NL036</t>
  </si>
  <si>
    <t>K5-B</t>
  </si>
  <si>
    <t>K05-B-01</t>
  </si>
  <si>
    <t>NL037</t>
  </si>
  <si>
    <t>K5-D</t>
  </si>
  <si>
    <t>K05-D-01</t>
  </si>
  <si>
    <t>NL038</t>
  </si>
  <si>
    <t>K5-P</t>
  </si>
  <si>
    <t>p.i., bridge P-A 86</t>
  </si>
  <si>
    <t>NL039</t>
  </si>
  <si>
    <t>K6-C</t>
  </si>
  <si>
    <t>K06-C-01</t>
  </si>
  <si>
    <t>NL040</t>
  </si>
  <si>
    <t>K6-D</t>
  </si>
  <si>
    <t>K06-D-01</t>
  </si>
  <si>
    <t>NL041</t>
  </si>
  <si>
    <t>K6-DN</t>
  </si>
  <si>
    <t>K06-DN-01</t>
  </si>
  <si>
    <t>NL042</t>
  </si>
  <si>
    <t>K6-N</t>
  </si>
  <si>
    <t>K06-N-01</t>
  </si>
  <si>
    <t>NL043</t>
  </si>
  <si>
    <t>K6-P</t>
  </si>
  <si>
    <t>p.i., bridge C-P 105</t>
  </si>
  <si>
    <t>NL044</t>
  </si>
  <si>
    <t>K7-FA-1</t>
  </si>
  <si>
    <t>K07-01</t>
  </si>
  <si>
    <t>p.i., incl. K7-FA-1W</t>
  </si>
  <si>
    <t>NL045</t>
  </si>
  <si>
    <t>K8-FA-1</t>
  </si>
  <si>
    <t>K08-01-S2</t>
  </si>
  <si>
    <t>NL046</t>
  </si>
  <si>
    <t>K8-FA-2</t>
  </si>
  <si>
    <t>NL047</t>
  </si>
  <si>
    <t>K8-FA-3</t>
  </si>
  <si>
    <t>NL048</t>
  </si>
  <si>
    <t>K0AB-A-01-S2</t>
  </si>
  <si>
    <t>K09AB-A-01-S2</t>
  </si>
  <si>
    <t>NL049</t>
  </si>
  <si>
    <t>K09C-A-01</t>
  </si>
  <si>
    <t>NL050</t>
  </si>
  <si>
    <t>L10-AC</t>
  </si>
  <si>
    <t>L10-B-01</t>
  </si>
  <si>
    <t>NL051</t>
  </si>
  <si>
    <t>L10-AD</t>
  </si>
  <si>
    <t>NL052</t>
  </si>
  <si>
    <t>L10-AP</t>
  </si>
  <si>
    <t>NL053</t>
  </si>
  <si>
    <t>L10-AR</t>
  </si>
  <si>
    <t>NL054</t>
  </si>
  <si>
    <t>L10-B</t>
  </si>
  <si>
    <t>NL055</t>
  </si>
  <si>
    <t>L10-BB</t>
  </si>
  <si>
    <t>NL056</t>
  </si>
  <si>
    <t>L10-C</t>
  </si>
  <si>
    <t>NL057</t>
  </si>
  <si>
    <t>L10-D</t>
  </si>
  <si>
    <t>NL058</t>
  </si>
  <si>
    <t>L10-E</t>
  </si>
  <si>
    <t>NL059</t>
  </si>
  <si>
    <t>L10-EE</t>
  </si>
  <si>
    <t>NL060</t>
  </si>
  <si>
    <t>L10-F</t>
  </si>
  <si>
    <t>NL061</t>
  </si>
  <si>
    <t>L10-G</t>
  </si>
  <si>
    <t>L10-01</t>
  </si>
  <si>
    <t>NL063</t>
  </si>
  <si>
    <t>L10-L</t>
  </si>
  <si>
    <t>NL065</t>
  </si>
  <si>
    <t>L11b-A</t>
  </si>
  <si>
    <t>L11-04</t>
  </si>
  <si>
    <t>Unocal</t>
  </si>
  <si>
    <t>NL066</t>
  </si>
  <si>
    <t>L13-FC-1</t>
  </si>
  <si>
    <t>L13-06</t>
  </si>
  <si>
    <t>incl. L13-GC-1W</t>
  </si>
  <si>
    <t>NL067</t>
  </si>
  <si>
    <t>L13-FD-1</t>
  </si>
  <si>
    <t>L13-FD-101-S3</t>
  </si>
  <si>
    <t>NL068</t>
  </si>
  <si>
    <t>L13-FE-1</t>
  </si>
  <si>
    <t>L13-08-S1</t>
  </si>
  <si>
    <t>NL069</t>
  </si>
  <si>
    <t>L15-FA-1</t>
  </si>
  <si>
    <t>L15-01</t>
  </si>
  <si>
    <t>NL071</t>
  </si>
  <si>
    <t>L4-A</t>
  </si>
  <si>
    <t>L04-01</t>
  </si>
  <si>
    <t>NL072</t>
  </si>
  <si>
    <t>L4-B</t>
  </si>
  <si>
    <t>K06-02</t>
  </si>
  <si>
    <t>NL073</t>
  </si>
  <si>
    <t>L5-FA-1</t>
  </si>
  <si>
    <t>L05-03</t>
  </si>
  <si>
    <t>NL074</t>
  </si>
  <si>
    <t>L7-A</t>
  </si>
  <si>
    <t>L07-01</t>
  </si>
  <si>
    <t>NL075</t>
  </si>
  <si>
    <t>L7-B</t>
  </si>
  <si>
    <t>L07-B-01</t>
  </si>
  <si>
    <t>NL076</t>
  </si>
  <si>
    <t>L7B-BB</t>
  </si>
  <si>
    <t>NL077</t>
  </si>
  <si>
    <t>L7-C</t>
  </si>
  <si>
    <t>L07-C-01-S1</t>
  </si>
  <si>
    <t>NL078</t>
  </si>
  <si>
    <t>L7-PK</t>
  </si>
  <si>
    <t>NL079</t>
  </si>
  <si>
    <t>L7-Q</t>
  </si>
  <si>
    <t>Accommodation</t>
  </si>
  <si>
    <t>NL080</t>
  </si>
  <si>
    <t>L7-H</t>
  </si>
  <si>
    <t>L07-H-01</t>
  </si>
  <si>
    <t>NL081</t>
  </si>
  <si>
    <t>L7-N</t>
  </si>
  <si>
    <t>L07-N-01-S1</t>
  </si>
  <si>
    <t>NL082</t>
  </si>
  <si>
    <t>L8-A</t>
  </si>
  <si>
    <t>L08-01-S1</t>
  </si>
  <si>
    <t>NL083</t>
  </si>
  <si>
    <t>L8-G</t>
  </si>
  <si>
    <t>L08-05-S1</t>
  </si>
  <si>
    <t>p.i. (production, compression, accommodation)</t>
  </si>
  <si>
    <t>NL084</t>
  </si>
  <si>
    <t>L8-H</t>
  </si>
  <si>
    <t>L08-09</t>
  </si>
  <si>
    <t>NL085</t>
  </si>
  <si>
    <t>L8-P</t>
  </si>
  <si>
    <t>L08-P-01</t>
  </si>
  <si>
    <t>NL087</t>
  </si>
  <si>
    <t>P12-SW</t>
  </si>
  <si>
    <t>P12-SW-05</t>
  </si>
  <si>
    <t>NL088</t>
  </si>
  <si>
    <t>P14-A</t>
  </si>
  <si>
    <t>P14-A-04</t>
  </si>
  <si>
    <t>NL089</t>
  </si>
  <si>
    <t>P15-D</t>
  </si>
  <si>
    <t>P15-16</t>
  </si>
  <si>
    <t>BP Nederland Energie</t>
  </si>
  <si>
    <t>NL090</t>
  </si>
  <si>
    <t>P15-E</t>
  </si>
  <si>
    <t>P15-E-01-S1</t>
  </si>
  <si>
    <t>NL091</t>
  </si>
  <si>
    <t>P15-F</t>
  </si>
  <si>
    <t>P15-F-01</t>
  </si>
  <si>
    <t>NL092</t>
  </si>
  <si>
    <t>P15-G</t>
  </si>
  <si>
    <t>P15-G-01-S1</t>
  </si>
  <si>
    <t>NL093</t>
  </si>
  <si>
    <t>P15-A</t>
  </si>
  <si>
    <t>NL095</t>
  </si>
  <si>
    <t>P15-C</t>
  </si>
  <si>
    <t>p.c., oil-condensate-water treatment facilities</t>
  </si>
  <si>
    <t>NL096</t>
  </si>
  <si>
    <t>P18-A</t>
  </si>
  <si>
    <t>P18-02</t>
  </si>
  <si>
    <t>NL099</t>
  </si>
  <si>
    <t>P6-A</t>
  </si>
  <si>
    <t>P06-01</t>
  </si>
  <si>
    <t>NL100</t>
  </si>
  <si>
    <t>P6-B</t>
  </si>
  <si>
    <t>NL101</t>
  </si>
  <si>
    <t>P6-S</t>
  </si>
  <si>
    <t>P06-D-01</t>
  </si>
  <si>
    <t>NL109</t>
  </si>
  <si>
    <t>Q8-A</t>
  </si>
  <si>
    <t>Q04-09-S1</t>
  </si>
  <si>
    <t>NL110</t>
  </si>
  <si>
    <t>Q8-B</t>
  </si>
  <si>
    <t>Q04-08</t>
  </si>
  <si>
    <t>r.d.</t>
  </si>
  <si>
    <t>NL113</t>
  </si>
  <si>
    <t>L2-FA-1</t>
  </si>
  <si>
    <t>L02-01</t>
  </si>
  <si>
    <t>NL114</t>
  </si>
  <si>
    <t>L7-P</t>
  </si>
  <si>
    <t>Bridge Q-C 83, bridge Q-P 112,bridge P-PK 15</t>
  </si>
  <si>
    <t>NL115</t>
  </si>
  <si>
    <t>F3-FB-1</t>
  </si>
  <si>
    <t>Gravity-based concrete</t>
  </si>
  <si>
    <t>p.i., incl. F3-FB-1AP</t>
  </si>
  <si>
    <t>NL122</t>
  </si>
  <si>
    <t>D15-A</t>
  </si>
  <si>
    <t>D12-03-S1</t>
  </si>
  <si>
    <t>NL124</t>
  </si>
  <si>
    <t>G17d-A</t>
  </si>
  <si>
    <t>G17-A-01</t>
  </si>
  <si>
    <t>NL125</t>
  </si>
  <si>
    <t>K12-G</t>
  </si>
  <si>
    <t>K12-G-01</t>
  </si>
  <si>
    <t>NL126</t>
  </si>
  <si>
    <t>K1-A</t>
  </si>
  <si>
    <t>J03-02</t>
  </si>
  <si>
    <t>NL127</t>
  </si>
  <si>
    <t>K4-A</t>
  </si>
  <si>
    <t>K04-A-01</t>
  </si>
  <si>
    <t>NL128</t>
  </si>
  <si>
    <t>K4-BE</t>
  </si>
  <si>
    <t>K04-10-S2</t>
  </si>
  <si>
    <t>NL129</t>
  </si>
  <si>
    <t>K6-GT</t>
  </si>
  <si>
    <t>K06-06</t>
  </si>
  <si>
    <t>NL130</t>
  </si>
  <si>
    <t>K7-FD-1</t>
  </si>
  <si>
    <t>K07-10</t>
  </si>
  <si>
    <t>NL131</t>
  </si>
  <si>
    <t>K8-FA-1AP</t>
  </si>
  <si>
    <t>NL132</t>
  </si>
  <si>
    <t>K0AB-B-B-01</t>
  </si>
  <si>
    <t>K09-AB-B-01</t>
  </si>
  <si>
    <t>NL133</t>
  </si>
  <si>
    <t>L10-M</t>
  </si>
  <si>
    <t>L10-M-01</t>
  </si>
  <si>
    <t>NL134</t>
  </si>
  <si>
    <t>L4-PN</t>
  </si>
  <si>
    <t>L01-04</t>
  </si>
  <si>
    <t>NL135</t>
  </si>
  <si>
    <t>L8-P4</t>
  </si>
  <si>
    <t>NL136</t>
  </si>
  <si>
    <t>L9-FF-1P</t>
  </si>
  <si>
    <t>L09-10</t>
  </si>
  <si>
    <t>NL137</t>
  </si>
  <si>
    <t>L9-FF-1W</t>
  </si>
  <si>
    <t>NL138</t>
  </si>
  <si>
    <t>P6-D</t>
  </si>
  <si>
    <t>former P2-SE</t>
  </si>
  <si>
    <t>NL139</t>
  </si>
  <si>
    <t>Q4-A</t>
  </si>
  <si>
    <t>NL140</t>
  </si>
  <si>
    <t>Q4-B</t>
  </si>
  <si>
    <t>NL141</t>
  </si>
  <si>
    <t>L5-B</t>
  </si>
  <si>
    <t>L05-09</t>
  </si>
  <si>
    <t>NL142</t>
  </si>
  <si>
    <t>Q4-C</t>
  </si>
  <si>
    <t>Q04-C-01</t>
  </si>
  <si>
    <t>NL144</t>
  </si>
  <si>
    <t>K7-FB-1</t>
  </si>
  <si>
    <t>K07-02</t>
  </si>
  <si>
    <t>NL145</t>
  </si>
  <si>
    <t>K15-FK-1</t>
  </si>
  <si>
    <t>K15-FK-101</t>
  </si>
  <si>
    <t>NL147</t>
  </si>
  <si>
    <t>K14-FB-1</t>
  </si>
  <si>
    <t>NL148</t>
  </si>
  <si>
    <t>K5EN/C</t>
  </si>
  <si>
    <t>K05-ENC-01</t>
  </si>
  <si>
    <t>NL149</t>
  </si>
  <si>
    <t>NL151</t>
  </si>
  <si>
    <t>D12-A</t>
  </si>
  <si>
    <t>D12-A-01</t>
  </si>
  <si>
    <t>New production platform installed (Source: SodM, 2004, p. 53 MEA 2004, p. 27)</t>
  </si>
  <si>
    <t>NL153</t>
  </si>
  <si>
    <t>G17d-AP</t>
  </si>
  <si>
    <t>Gastreatment platform + compression installed in 2005 (Source SodM 2005, p. 61 MEA 2005, p. 28)</t>
  </si>
  <si>
    <t>NL154</t>
  </si>
  <si>
    <t>G14-A</t>
  </si>
  <si>
    <t>G14-02-S1</t>
  </si>
  <si>
    <t>Re-use of re-furbished K11-B installation installed in 2005 (Source SodM, 2005 MEA 2005, p. 28)</t>
  </si>
  <si>
    <t>NL155</t>
  </si>
  <si>
    <t>G16a-A</t>
  </si>
  <si>
    <t>G16-01</t>
  </si>
  <si>
    <t>Re-use of adjusted K12-E installation installed in 2005  (Source SodM, 2005 MEA 2005, p. 28)</t>
  </si>
  <si>
    <t>NL156</t>
  </si>
  <si>
    <t>K2b-A</t>
  </si>
  <si>
    <t>K03-01</t>
  </si>
  <si>
    <t>Production platform installed in 2005 (Source SodM 2005, p. 61 MEA 2005, p. 28)</t>
  </si>
  <si>
    <t>NL159</t>
  </si>
  <si>
    <t>F16-A</t>
  </si>
  <si>
    <t>F16-03</t>
  </si>
  <si>
    <t>NL160</t>
  </si>
  <si>
    <t>K17-FA-1</t>
  </si>
  <si>
    <t>K17-02-S1</t>
  </si>
  <si>
    <t>Satellite installed in 2005 (Source MEA 2005, p. 28)</t>
  </si>
  <si>
    <t>NL161</t>
  </si>
  <si>
    <t>A12-CPP</t>
  </si>
  <si>
    <t>A12-03</t>
  </si>
  <si>
    <t>CHEVRON</t>
  </si>
  <si>
    <t>Production platform</t>
  </si>
  <si>
    <t>NL164</t>
  </si>
  <si>
    <t>K12-K</t>
  </si>
  <si>
    <t>K12-17</t>
  </si>
  <si>
    <t>GAZ de FRANCE</t>
  </si>
  <si>
    <t>NL166</t>
  </si>
  <si>
    <t>K14-FA-1</t>
  </si>
  <si>
    <t>N.A.M.</t>
  </si>
  <si>
    <t>NL168</t>
  </si>
  <si>
    <t>L5-C</t>
  </si>
  <si>
    <t>L05-10</t>
  </si>
  <si>
    <t>WINTERSHALL</t>
  </si>
  <si>
    <t>NL169</t>
  </si>
  <si>
    <t>L9-FA-1</t>
  </si>
  <si>
    <t>L09-01</t>
  </si>
  <si>
    <t>NL170</t>
  </si>
  <si>
    <t>L9-FB-1</t>
  </si>
  <si>
    <t>L09-06-S1</t>
  </si>
  <si>
    <t>NL171</t>
  </si>
  <si>
    <t>L9-FF-1</t>
  </si>
  <si>
    <t>NL172</t>
  </si>
  <si>
    <t>N7-FA-1</t>
  </si>
  <si>
    <t>N07-02</t>
  </si>
  <si>
    <t>Unknown</t>
  </si>
  <si>
    <t>NL173</t>
  </si>
  <si>
    <t>N7-FA-SP</t>
  </si>
  <si>
    <t>NL177</t>
  </si>
  <si>
    <t>Q1-A</t>
  </si>
  <si>
    <t>CLYDE</t>
  </si>
  <si>
    <t>NL178</t>
  </si>
  <si>
    <t>ZUIDWAL</t>
  </si>
  <si>
    <t>ZDW-01</t>
  </si>
  <si>
    <t>TOTALFINAELF</t>
  </si>
  <si>
    <t>Energy pump</t>
  </si>
  <si>
    <t>Water depth</t>
  </si>
  <si>
    <t>CO2 heating</t>
  </si>
  <si>
    <t>Cooling by seawater</t>
  </si>
  <si>
    <t>Energy required</t>
  </si>
  <si>
    <t>last year of injection</t>
  </si>
  <si>
    <t>Mt/yr</t>
  </si>
  <si>
    <t>Energy for CO2 heating</t>
  </si>
  <si>
    <t>Pipeline</t>
  </si>
  <si>
    <t>CO2 leakages pipe</t>
  </si>
  <si>
    <t>total</t>
  </si>
  <si>
    <t>CO2 leakages pump</t>
  </si>
  <si>
    <t>Index (2016=100)</t>
  </si>
  <si>
    <t>Start investment</t>
  </si>
  <si>
    <t>Start operations</t>
  </si>
  <si>
    <t>Heating and power generator</t>
  </si>
  <si>
    <t>Heater capex</t>
  </si>
  <si>
    <t>CAPEX compressor (with integrated pump)</t>
  </si>
  <si>
    <t>Submarine cables</t>
  </si>
  <si>
    <t>Groothandelsprijs</t>
  </si>
  <si>
    <t>Availability</t>
  </si>
  <si>
    <t>Below resevoir pressure of 35 bar, heating might be needed due to the negative J-T effect of CO2. The theoretical required heat to compensate for the J-T cooling is approx. 240 kJ/kg, for the injection into a resevoir at 30 bar pressure. For a well with medium injectivity (0.5 Mton/year), the required heating is approx. 3.8 MW).</t>
  </si>
  <si>
    <t>K</t>
  </si>
  <si>
    <t>bar</t>
  </si>
  <si>
    <t>Lenntech Reverse Osmosis system</t>
  </si>
  <si>
    <t>Compressor</t>
  </si>
  <si>
    <t>Desalination Unit</t>
  </si>
  <si>
    <t>EUR</t>
  </si>
  <si>
    <t>Electrolysis</t>
  </si>
  <si>
    <t>Distribution pipeline system</t>
  </si>
  <si>
    <t>Hydrogen produced</t>
  </si>
  <si>
    <r>
      <t>kWh</t>
    </r>
    <r>
      <rPr>
        <vertAlign val="subscript"/>
        <sz val="11"/>
        <color theme="1"/>
        <rFont val="Calibri"/>
        <family val="2"/>
        <scheme val="minor"/>
      </rPr>
      <t>el</t>
    </r>
    <r>
      <rPr>
        <sz val="11"/>
        <color theme="1"/>
        <rFont val="Calibri"/>
        <family val="2"/>
        <scheme val="minor"/>
      </rPr>
      <t xml:space="preserve"> / kg H</t>
    </r>
    <r>
      <rPr>
        <vertAlign val="subscript"/>
        <sz val="11"/>
        <color theme="1"/>
        <rFont val="Calibri"/>
        <family val="2"/>
        <scheme val="minor"/>
      </rPr>
      <t>2</t>
    </r>
  </si>
  <si>
    <t>Hydrogen production to compressor</t>
  </si>
  <si>
    <t>Primary Output Flow</t>
  </si>
  <si>
    <t>Primary coefficients</t>
  </si>
  <si>
    <t>Primary Input flow</t>
  </si>
  <si>
    <t>Primary Input Flows</t>
  </si>
  <si>
    <t>1) Primary Flows</t>
  </si>
  <si>
    <t>ηconverter</t>
  </si>
  <si>
    <t>kg/h</t>
  </si>
  <si>
    <t>ηtransformer</t>
  </si>
  <si>
    <t>Max water infeed</t>
  </si>
  <si>
    <t>Main results</t>
  </si>
  <si>
    <t>Secondary Variables</t>
  </si>
  <si>
    <t>Primary Variables</t>
  </si>
  <si>
    <t>Hydrogen compressed</t>
  </si>
  <si>
    <t>Losses compressor</t>
  </si>
  <si>
    <t>Compressor electricity</t>
  </si>
  <si>
    <t>Compressor variables</t>
  </si>
  <si>
    <t>Hydrogen transported onshore</t>
  </si>
  <si>
    <t>mm</t>
  </si>
  <si>
    <r>
      <t>EUR</t>
    </r>
    <r>
      <rPr>
        <vertAlign val="subscript"/>
        <sz val="11"/>
        <rFont val="Calibri"/>
        <family val="2"/>
        <scheme val="minor"/>
      </rPr>
      <t>2014</t>
    </r>
  </si>
  <si>
    <r>
      <t xml:space="preserve">EUR </t>
    </r>
    <r>
      <rPr>
        <vertAlign val="subscript"/>
        <sz val="11"/>
        <rFont val="Calibri"/>
        <family val="2"/>
        <scheme val="minor"/>
      </rPr>
      <t>2014</t>
    </r>
    <r>
      <rPr>
        <sz val="11"/>
        <rFont val="Calibri"/>
        <family val="2"/>
        <scheme val="minor"/>
      </rPr>
      <t xml:space="preserve"> / km</t>
    </r>
  </si>
  <si>
    <r>
      <t xml:space="preserve">EUR </t>
    </r>
    <r>
      <rPr>
        <vertAlign val="subscript"/>
        <sz val="11"/>
        <rFont val="Calibri"/>
        <family val="2"/>
        <scheme val="minor"/>
      </rPr>
      <t>2016</t>
    </r>
  </si>
  <si>
    <t>Electrolyser</t>
  </si>
  <si>
    <t>kWh/kg</t>
  </si>
  <si>
    <t>Unit</t>
  </si>
  <si>
    <t>Value</t>
  </si>
  <si>
    <t>Group search</t>
  </si>
  <si>
    <t>DATABASE INSTALLATIONS</t>
  </si>
  <si>
    <t>Weight topside</t>
  </si>
  <si>
    <t>Weight sub-structure</t>
  </si>
  <si>
    <t>Source</t>
  </si>
  <si>
    <t>Frontier Economics Ltd., “Scenarios for the Dutch electricity supply system,” Frontier Economics Europe, London, 2015.</t>
  </si>
  <si>
    <t>p. 58 f. Base case</t>
  </si>
  <si>
    <t>Inflation</t>
  </si>
  <si>
    <t>EU ETS</t>
  </si>
  <si>
    <r>
      <t>Frontier [€</t>
    </r>
    <r>
      <rPr>
        <vertAlign val="subscript"/>
        <sz val="11"/>
        <color theme="1"/>
        <rFont val="Calibri"/>
        <family val="2"/>
        <scheme val="minor"/>
      </rPr>
      <t>2013</t>
    </r>
    <r>
      <rPr>
        <sz val="11"/>
        <color theme="1"/>
        <rFont val="Calibri"/>
        <family val="2"/>
        <scheme val="minor"/>
      </rPr>
      <t>/tCO2]</t>
    </r>
  </si>
  <si>
    <t>p. 35 Base case, taken from graph</t>
  </si>
  <si>
    <r>
      <t>NEV [€</t>
    </r>
    <r>
      <rPr>
        <vertAlign val="subscript"/>
        <sz val="11"/>
        <color theme="1"/>
        <rFont val="Calibri"/>
        <family val="2"/>
        <scheme val="minor"/>
      </rPr>
      <t>2016</t>
    </r>
    <r>
      <rPr>
        <sz val="11"/>
        <color theme="1"/>
        <rFont val="Calibri"/>
        <family val="2"/>
        <scheme val="minor"/>
      </rPr>
      <t>/tCO2]</t>
    </r>
  </si>
  <si>
    <t>ECN, PBL, CBS, RVO, “ECN-Nationale Energieverkenning 2017,” [Online]. Available: https://www.ecn.nl/nl/energieverkenning/. [Accessed 11 November 2017]</t>
  </si>
  <si>
    <r>
      <t>NEV [€</t>
    </r>
    <r>
      <rPr>
        <vertAlign val="subscript"/>
        <sz val="11"/>
        <color theme="1"/>
        <rFont val="Calibri"/>
        <family val="2"/>
        <scheme val="minor"/>
      </rPr>
      <t>2016</t>
    </r>
    <r>
      <rPr>
        <sz val="11"/>
        <color theme="1"/>
        <rFont val="Calibri"/>
        <family val="2"/>
        <scheme val="minor"/>
      </rPr>
      <t>/MWh]</t>
    </r>
  </si>
  <si>
    <t>Groothandelsprijs basislast</t>
  </si>
  <si>
    <r>
      <t>NEV [€</t>
    </r>
    <r>
      <rPr>
        <vertAlign val="subscript"/>
        <sz val="11"/>
        <color theme="1"/>
        <rFont val="Calibri"/>
        <family val="2"/>
        <scheme val="minor"/>
      </rPr>
      <t>2016</t>
    </r>
    <r>
      <rPr>
        <sz val="11"/>
        <color theme="1"/>
        <rFont val="Calibri"/>
        <family val="2"/>
        <scheme val="minor"/>
      </rPr>
      <t>/m³]</t>
    </r>
  </si>
  <si>
    <t>NEV Annually inflation</t>
  </si>
  <si>
    <t>Exchange rate</t>
  </si>
  <si>
    <t>NEV Dollar/Euro exchange rate</t>
  </si>
  <si>
    <t>Geharmoniseerde consumentenprijsindex HCPI</t>
  </si>
  <si>
    <r>
      <t>CAPEX</t>
    </r>
    <r>
      <rPr>
        <vertAlign val="subscript"/>
        <sz val="11"/>
        <color theme="1"/>
        <rFont val="Calibri"/>
        <family val="2"/>
        <scheme val="minor"/>
      </rPr>
      <t>2015</t>
    </r>
  </si>
  <si>
    <t>Molecule</t>
  </si>
  <si>
    <t>MJ / kg</t>
  </si>
  <si>
    <t>LHV</t>
  </si>
  <si>
    <t>HHV</t>
  </si>
  <si>
    <t>Molair mass</t>
  </si>
  <si>
    <r>
      <t xml:space="preserve">EUR </t>
    </r>
    <r>
      <rPr>
        <vertAlign val="subscript"/>
        <sz val="11"/>
        <rFont val="Calibri"/>
        <family val="2"/>
        <scheme val="minor"/>
      </rPr>
      <t>2008</t>
    </r>
  </si>
  <si>
    <t>Direct Flow</t>
  </si>
  <si>
    <t>Direct coefficients</t>
  </si>
  <si>
    <t>Pump capacity</t>
  </si>
  <si>
    <t>CAPEX Compressor &amp; Pump</t>
  </si>
  <si>
    <t>OPEX Compressor &amp; Pump</t>
  </si>
  <si>
    <r>
      <t>EUR</t>
    </r>
    <r>
      <rPr>
        <vertAlign val="subscript"/>
        <sz val="11"/>
        <color theme="1"/>
        <rFont val="Calibri"/>
        <family val="2"/>
        <scheme val="minor"/>
      </rPr>
      <t>2015</t>
    </r>
  </si>
  <si>
    <t>EUR2015</t>
  </si>
  <si>
    <t>Existing platforms</t>
  </si>
  <si>
    <t>MW(th)</t>
  </si>
  <si>
    <t>Price developments database</t>
  </si>
  <si>
    <t>CO2 import</t>
  </si>
  <si>
    <t>Inlet temperature compressor</t>
  </si>
  <si>
    <t>E comp [kJ/kg]</t>
  </si>
  <si>
    <t>Compressor capacity</t>
  </si>
  <si>
    <t>Energy required total</t>
  </si>
  <si>
    <t>Dimensionless coefficient of friction (Darcy-Weisbach friction factor)</t>
  </si>
  <si>
    <t>Specific gravity G</t>
  </si>
  <si>
    <t>Average fluid compressibility</t>
  </si>
  <si>
    <t>Average fluid temperature</t>
  </si>
  <si>
    <t>Fanning friction factor</t>
  </si>
  <si>
    <t>pipeline efficiency</t>
  </si>
  <si>
    <t>a1</t>
  </si>
  <si>
    <t>a2</t>
  </si>
  <si>
    <t>Pave</t>
  </si>
  <si>
    <t>height difference</t>
  </si>
  <si>
    <t>D Ogden</t>
  </si>
  <si>
    <t>D hydraulic</t>
  </si>
  <si>
    <t>kWh/a</t>
  </si>
  <si>
    <t>Electricity (MVAC)</t>
  </si>
  <si>
    <t>Electricity (LVDC)</t>
  </si>
  <si>
    <t>Direct Input Flows</t>
  </si>
  <si>
    <t>Direct output flow</t>
  </si>
  <si>
    <t>Capacity factor electrolyser</t>
  </si>
  <si>
    <t>kW / (litre/hour)</t>
  </si>
  <si>
    <t>Utilisation</t>
  </si>
  <si>
    <t>Surplus electricity</t>
  </si>
  <si>
    <t>Primary output flow</t>
  </si>
  <si>
    <t>kg/a</t>
  </si>
  <si>
    <t>kg / s</t>
  </si>
  <si>
    <t>Direct Input Flow</t>
  </si>
  <si>
    <t>Direct Output Flow</t>
  </si>
  <si>
    <t>Conventions</t>
  </si>
  <si>
    <t>-Let's use the Electrification calculation sheets from NSE 1 as standard/basis for look and feel of the NSE II model.</t>
  </si>
  <si>
    <t>-please never hardcode formulas (e.g.: '=H6+11+I8') if you want to make this calculation then please place the 11 in a cell and refer to that. This makes the model transparant and flexible</t>
  </si>
  <si>
    <t>-please use the colours below for the different modules and cell styles to show that a value is calculated or assumed</t>
  </si>
  <si>
    <t>-named ranges: keen to hear your preferences on naming ranges and cells to allow for transparant calculations &amp; review</t>
  </si>
  <si>
    <t>-named ranges: Macros. I (Joris) am not an expert so keen to hear your ideas on conventions regarding writing and running macros within this excel model.</t>
  </si>
  <si>
    <t>Legend</t>
  </si>
  <si>
    <t>manual filled in/ assumption</t>
  </si>
  <si>
    <t>calculated cell</t>
  </si>
  <si>
    <t>calculated cell 2</t>
  </si>
  <si>
    <t>calculated cell 3</t>
  </si>
  <si>
    <t>Legend/colours for worksheets</t>
  </si>
  <si>
    <t xml:space="preserve">Natural gas production (electrified) </t>
  </si>
  <si>
    <t>CO2 transport and storage</t>
  </si>
  <si>
    <t>Green hydrogen</t>
  </si>
  <si>
    <t>Decommissioning of platform &amp; infrastructure</t>
  </si>
  <si>
    <t>general assumptions</t>
  </si>
  <si>
    <t>results</t>
  </si>
  <si>
    <t>manual filled in</t>
  </si>
  <si>
    <t>Timeline</t>
  </si>
  <si>
    <t>Activity</t>
  </si>
  <si>
    <t>included</t>
  </si>
  <si>
    <t>order</t>
  </si>
  <si>
    <t xml:space="preserve">start </t>
  </si>
  <si>
    <t>stop</t>
  </si>
  <si>
    <t>Duration (years)</t>
  </si>
  <si>
    <t>Conventional platform operation</t>
  </si>
  <si>
    <t>Yes</t>
  </si>
  <si>
    <t>Connection to e-grid and platform electrification</t>
  </si>
  <si>
    <t>Removal of natural gas production equipment</t>
  </si>
  <si>
    <t>Conversion/addition of CO2 transport and storage assets</t>
  </si>
  <si>
    <t>Operation of CO2 transport and storage assets</t>
  </si>
  <si>
    <t>Removal of CO2 transport and storage assets</t>
  </si>
  <si>
    <t>Conversion/addition of green hydrogen assets - small scale</t>
  </si>
  <si>
    <t>Operation  of green hydrogen assets - small scale</t>
  </si>
  <si>
    <t>Removal of green hydrogen assets -small scale</t>
  </si>
  <si>
    <t>Conversion/addition of green hydrogen assets - full scale</t>
  </si>
  <si>
    <t>Operation  of green hydrogen assets - full scale</t>
  </si>
  <si>
    <t>Removal  of green hydrogen assets - full scale</t>
  </si>
  <si>
    <t>legend</t>
  </si>
  <si>
    <t xml:space="preserve"> CO2 transport and storage</t>
  </si>
  <si>
    <t>green hydrogen</t>
  </si>
  <si>
    <t>color code</t>
  </si>
  <si>
    <t>Module</t>
  </si>
  <si>
    <t>Sub-module</t>
  </si>
  <si>
    <t>Parameter</t>
  </si>
  <si>
    <t>Comment</t>
  </si>
  <si>
    <t xml:space="preserve">General </t>
  </si>
  <si>
    <t>Financial parameters</t>
  </si>
  <si>
    <t>Tax</t>
  </si>
  <si>
    <t>[%]</t>
  </si>
  <si>
    <t>Discount rate</t>
  </si>
  <si>
    <t>WACC</t>
  </si>
  <si>
    <t>Price scenario</t>
  </si>
  <si>
    <t>Flat rate price</t>
  </si>
  <si>
    <t>Hydrogen price at gate,landing point, processing facility (example)</t>
  </si>
  <si>
    <t>Annual gas production</t>
  </si>
  <si>
    <t>[Nm3/y]</t>
  </si>
  <si>
    <t>Usable time for installations</t>
  </si>
  <si>
    <t>Reference</t>
  </si>
  <si>
    <t xml:space="preserve">Gas consumption </t>
  </si>
  <si>
    <r>
      <t>[Nm</t>
    </r>
    <r>
      <rPr>
        <sz val="11"/>
        <color theme="1"/>
        <rFont val="Calibri"/>
        <family val="2"/>
      </rPr>
      <t>3/y</t>
    </r>
    <r>
      <rPr>
        <sz val="11"/>
        <color theme="1"/>
        <rFont val="Calibri"/>
        <family val="2"/>
        <scheme val="minor"/>
      </rPr>
      <t>]</t>
    </r>
  </si>
  <si>
    <t>Annual CO2 emissions</t>
  </si>
  <si>
    <t>[kton/y]</t>
  </si>
  <si>
    <t>Diesel consumption</t>
  </si>
  <si>
    <t>[m3/y]</t>
  </si>
  <si>
    <t>Diesel price</t>
  </si>
  <si>
    <t>Effective reduction</t>
  </si>
  <si>
    <t>Annual effective CO2 reduction</t>
  </si>
  <si>
    <t>CO2 emission rate</t>
  </si>
  <si>
    <t>[kg/Nm3]</t>
  </si>
  <si>
    <t>Consumption P&amp;L</t>
  </si>
  <si>
    <t>Annual baseload energy consumption</t>
  </si>
  <si>
    <t>[GWh/y]</t>
  </si>
  <si>
    <t>Efficiency</t>
  </si>
  <si>
    <t>Annual effective energy consumption</t>
  </si>
  <si>
    <t>Expected increase in system availability</t>
  </si>
  <si>
    <t>Expected days of downtime due to refurbishment</t>
  </si>
  <si>
    <t>[d]</t>
  </si>
  <si>
    <t>Annual maintenance reduction</t>
  </si>
  <si>
    <t>Annual transport tariffs</t>
  </si>
  <si>
    <t>Cable</t>
  </si>
  <si>
    <t>[MWe]</t>
  </si>
  <si>
    <t>transport capacity of power cable connecting substation and platform</t>
  </si>
  <si>
    <t>[y]</t>
  </si>
  <si>
    <t>Cable costs</t>
  </si>
  <si>
    <t>Installation date</t>
  </si>
  <si>
    <t>Refurbishment date</t>
  </si>
  <si>
    <t>Refurbishment costs</t>
  </si>
  <si>
    <t>Electrified system installation date (downtime)</t>
  </si>
  <si>
    <t>Electrified system installation costs (downtime)</t>
  </si>
  <si>
    <t>Electrified platform operational</t>
  </si>
  <si>
    <t>CO2 import pressure (onshore)</t>
  </si>
  <si>
    <t>Pressure of onshore captured CO2 (atmospheric)</t>
  </si>
  <si>
    <t>Temperature of onshore captured CO2</t>
  </si>
  <si>
    <t>Max. Compression ratio</t>
  </si>
  <si>
    <t>-</t>
  </si>
  <si>
    <t>Isentropic efficiency</t>
  </si>
  <si>
    <t>Mechanical efficiency</t>
  </si>
  <si>
    <t>CO2 transport to hub</t>
  </si>
  <si>
    <t xml:space="preserve">CO2 transport capacity </t>
  </si>
  <si>
    <t>Automatic calculation in case of new pipeline, to be retrieved from database in case of re-use</t>
  </si>
  <si>
    <t>CO2 transport pipeline - re-use or new</t>
  </si>
  <si>
    <t>dummy variable to choose between the utilization of existing pipelines or a new dedicated CO2 transport pipeline</t>
  </si>
  <si>
    <t>liquid, source: Knoope</t>
  </si>
  <si>
    <t>Injection</t>
  </si>
  <si>
    <t>storage capacity directly accessible from hub
data retrieved from general database with respect to selected field</t>
  </si>
  <si>
    <t>Mton CO2</t>
  </si>
  <si>
    <t>Mton CO2/a</t>
  </si>
  <si>
    <t>Efficiency electrolyser</t>
  </si>
  <si>
    <t>Outlet pressure electrolyser</t>
  </si>
  <si>
    <t>Pressure outlet electrolyser</t>
  </si>
  <si>
    <t>Power requirement desalination unit</t>
  </si>
  <si>
    <t>€ / a</t>
  </si>
  <si>
    <t>Inlet pressure compressor</t>
  </si>
  <si>
    <t>Inlet pressure of the compressor</t>
  </si>
  <si>
    <t>Diatomic constant factor</t>
  </si>
  <si>
    <t>Molecular mass H2</t>
  </si>
  <si>
    <t>g / mol</t>
  </si>
  <si>
    <t>Compressor efficiency</t>
  </si>
  <si>
    <t>Universal constant of ideal gas</t>
  </si>
  <si>
    <t>J / (mol*K)</t>
  </si>
  <si>
    <t>Driver thermal efficiency</t>
  </si>
  <si>
    <t>kg / Nm³</t>
  </si>
  <si>
    <t>Leakage</t>
  </si>
  <si>
    <t>Dimensionless compressibility factor</t>
  </si>
  <si>
    <t>Relative density hydrogen to air</t>
  </si>
  <si>
    <t>Capacity compressor</t>
  </si>
  <si>
    <t>Depending on compression parameters</t>
  </si>
  <si>
    <t>Capex compressor</t>
  </si>
  <si>
    <t>Opex compressor</t>
  </si>
  <si>
    <t>Excluding electricity</t>
  </si>
  <si>
    <t>Hydrogen capacity</t>
  </si>
  <si>
    <t>Maximum allowable hydrogen flow</t>
  </si>
  <si>
    <t>Inlet pressure pipeline</t>
  </si>
  <si>
    <t>Outlet pressure pipeline</t>
  </si>
  <si>
    <t>Pipeline diameter</t>
  </si>
  <si>
    <t>Gasunie: 0.013-0.015</t>
  </si>
  <si>
    <t>Capex pipeline</t>
  </si>
  <si>
    <t>Opex pipeline</t>
  </si>
  <si>
    <t>Distance hub to shore</t>
  </si>
  <si>
    <t>income for hub</t>
  </si>
  <si>
    <t>CO2 capture temperature</t>
  </si>
  <si>
    <t>Capture</t>
  </si>
  <si>
    <t>hours / a</t>
  </si>
  <si>
    <t>Pipeline operating pressure</t>
  </si>
  <si>
    <t>Pressure drop liquid</t>
  </si>
  <si>
    <t>MPa/km</t>
  </si>
  <si>
    <t>Platform selection</t>
  </si>
  <si>
    <t>m²</t>
  </si>
  <si>
    <t>Storage field</t>
  </si>
  <si>
    <t>General</t>
  </si>
  <si>
    <t xml:space="preserve">Outlet pressure of the compressor </t>
  </si>
  <si>
    <t>Pressure outlet compressor to pipeline</t>
  </si>
  <si>
    <t>Number of compressor stages,</t>
  </si>
  <si>
    <t>Inlet temperature of the compressor</t>
  </si>
  <si>
    <t>CO2 captured per second</t>
  </si>
  <si>
    <t>CO2 captured per hour</t>
  </si>
  <si>
    <t>CO2 captured per year</t>
  </si>
  <si>
    <t>CO2 onshore capture pressure</t>
  </si>
  <si>
    <t>Compressor leakage</t>
  </si>
  <si>
    <t>Knoope 2015, p.95</t>
  </si>
  <si>
    <t>Perry 1997, Section 2-141</t>
  </si>
  <si>
    <t>Perry 1997, Section 2-183</t>
  </si>
  <si>
    <t>Specific heat ratio (CO2) (288K) constant</t>
  </si>
  <si>
    <t>kJ/kg</t>
  </si>
  <si>
    <t>Pump leakage</t>
  </si>
  <si>
    <t>Electricity used compressor</t>
  </si>
  <si>
    <t>Electricity used pump</t>
  </si>
  <si>
    <t>Howden offshore compressor</t>
  </si>
  <si>
    <t>Pipeline diameter constant</t>
  </si>
  <si>
    <t>Pipeline diameter exponent</t>
  </si>
  <si>
    <t>Ecotool Ecofys</t>
  </si>
  <si>
    <t>Capex crossings &amp; landing</t>
  </si>
  <si>
    <t>Energy requirement pump</t>
  </si>
  <si>
    <t>MWh/a</t>
  </si>
  <si>
    <t>a</t>
  </si>
  <si>
    <t>Mpa/a</t>
  </si>
  <si>
    <t>Just informative parameter</t>
  </si>
  <si>
    <t>Heating required CO2</t>
  </si>
  <si>
    <t>Max pressure CO2 heating</t>
  </si>
  <si>
    <t>Minimum injection pressure</t>
  </si>
  <si>
    <t>Temperature (Kelvin)</t>
  </si>
  <si>
    <t>CO2 density (kg/m³) as a function of temperature (Kelvin) and Pressure (Mpa)</t>
  </si>
  <si>
    <t>Energy usage pump [MWh]</t>
  </si>
  <si>
    <t>CAPEX indicator booster</t>
  </si>
  <si>
    <t>Pressure reached at project end</t>
  </si>
  <si>
    <t>MJ/a</t>
  </si>
  <si>
    <t>Nm³/a</t>
  </si>
  <si>
    <t>EUR 2008</t>
  </si>
  <si>
    <t>Based on DHV TNO - Potential for CO2 storage in depleted gas fields at the Dutch Continental Shelf - Phase 2 Costs of transport and storage, p.38 f.
P18</t>
  </si>
  <si>
    <t>CO2 emissions heating</t>
  </si>
  <si>
    <t>Has to be limited wrt years when heating is actually required</t>
  </si>
  <si>
    <t>Tractebel Engineering S.A. (20 MW), E4Tech ; Average of both sources, 2017 based</t>
  </si>
  <si>
    <t>Power required per max. water flow; Lenntech Desalination small RO packages; LENNRO SW 2000</t>
  </si>
  <si>
    <t>Fresh water requirement per kWh used by electrolyser; Silyzer 300 based</t>
  </si>
  <si>
    <t>Fresh water infeed electrolyser</t>
  </si>
  <si>
    <t>litre/h</t>
  </si>
  <si>
    <t>litre/a</t>
  </si>
  <si>
    <t>Embodied Impact</t>
  </si>
  <si>
    <t>OPEX desalination unit</t>
  </si>
  <si>
    <t>EUR / a</t>
  </si>
  <si>
    <t>Energy requirement desalination unit</t>
  </si>
  <si>
    <t>Capex electrolyser</t>
  </si>
  <si>
    <t>Opex electrolyser</t>
  </si>
  <si>
    <t>Density CO2</t>
  </si>
  <si>
    <t>Density H2</t>
  </si>
  <si>
    <t>LHV H2</t>
  </si>
  <si>
    <r>
      <t>EUR</t>
    </r>
    <r>
      <rPr>
        <vertAlign val="subscript"/>
        <sz val="11"/>
        <color theme="1"/>
        <rFont val="Calibri"/>
        <family val="2"/>
        <scheme val="minor"/>
      </rPr>
      <t>2014</t>
    </r>
    <r>
      <rPr>
        <sz val="11"/>
        <color theme="1"/>
        <rFont val="Calibri"/>
        <family val="2"/>
        <scheme val="minor"/>
      </rPr>
      <t xml:space="preserve"> / kW</t>
    </r>
  </si>
  <si>
    <t>Needs to be monetized</t>
  </si>
  <si>
    <t>Pipeline losses (existing pipeline)</t>
  </si>
  <si>
    <t>Pipeline losses (dedicated pipeline)</t>
  </si>
  <si>
    <t>Inlet pressure pipeline=outlet pressure compressor</t>
  </si>
  <si>
    <t>Pressure outlet pipeline, resulting in a pressure drop that defines the pipeline diameter</t>
  </si>
  <si>
    <t>Max. hydrogen output electrolysis</t>
  </si>
  <si>
    <t>Gas mean temperature (seawater)</t>
  </si>
  <si>
    <t>4) Embodied Flows</t>
  </si>
  <si>
    <t>Embodied input</t>
  </si>
  <si>
    <t>new</t>
  </si>
  <si>
    <r>
      <t xml:space="preserve">EUR </t>
    </r>
    <r>
      <rPr>
        <vertAlign val="subscript"/>
        <sz val="11"/>
        <rFont val="Calibri"/>
        <family val="2"/>
        <scheme val="minor"/>
      </rPr>
      <t>2014</t>
    </r>
  </si>
  <si>
    <t>Opex existing pipeline</t>
  </si>
  <si>
    <t>Hydrogen transported</t>
  </si>
  <si>
    <t>kg / a</t>
  </si>
  <si>
    <t>EUR / crossing</t>
  </si>
  <si>
    <t>MWh / a</t>
  </si>
  <si>
    <t>ton / MW</t>
  </si>
  <si>
    <t>kg CO2 / s</t>
  </si>
  <si>
    <t>Relative capex compressor</t>
  </si>
  <si>
    <t>Relative opex compressor</t>
  </si>
  <si>
    <t>Relative capex electrolyser</t>
  </si>
  <si>
    <t>Relative opex electrolyser</t>
  </si>
  <si>
    <t>Relative capex desalination unit</t>
  </si>
  <si>
    <t>Relative opex desalination unit</t>
  </si>
  <si>
    <t>For offshore electrolysis, partly from electrification?, needs to be monetized</t>
  </si>
  <si>
    <t>p. 66 ff.</t>
  </si>
  <si>
    <t>Sensitivity 1a</t>
  </si>
  <si>
    <t>p. 70 ff.</t>
  </si>
  <si>
    <t>Sensitivity 1b</t>
  </si>
  <si>
    <t>p. 74 ff.</t>
  </si>
  <si>
    <t>Sensitivity 2</t>
  </si>
  <si>
    <t>p. 78 ff.</t>
  </si>
  <si>
    <t>Sensitivity 3</t>
  </si>
  <si>
    <t>p. 83 ff.</t>
  </si>
  <si>
    <t>Sensitivity 4</t>
  </si>
  <si>
    <r>
      <t>Frontier, base [€</t>
    </r>
    <r>
      <rPr>
        <vertAlign val="subscript"/>
        <sz val="11"/>
        <color theme="1"/>
        <rFont val="Calibri"/>
        <family val="2"/>
        <scheme val="minor"/>
      </rPr>
      <t>2013</t>
    </r>
    <r>
      <rPr>
        <sz val="11"/>
        <color theme="1"/>
        <rFont val="Calibri"/>
        <family val="2"/>
        <scheme val="minor"/>
      </rPr>
      <t>/MWh]</t>
    </r>
  </si>
  <si>
    <r>
      <t>Frontier, low CO2 prices [€</t>
    </r>
    <r>
      <rPr>
        <vertAlign val="subscript"/>
        <sz val="11"/>
        <color theme="1"/>
        <rFont val="Calibri"/>
        <family val="2"/>
        <scheme val="minor"/>
      </rPr>
      <t>2013</t>
    </r>
    <r>
      <rPr>
        <sz val="11"/>
        <color theme="1"/>
        <rFont val="Calibri"/>
        <family val="2"/>
        <scheme val="minor"/>
      </rPr>
      <t>/MWh]</t>
    </r>
  </si>
  <si>
    <r>
      <t>Frontier, high CO2 prices [€</t>
    </r>
    <r>
      <rPr>
        <vertAlign val="subscript"/>
        <sz val="11"/>
        <color theme="1"/>
        <rFont val="Calibri"/>
        <family val="2"/>
        <scheme val="minor"/>
      </rPr>
      <t>2013</t>
    </r>
    <r>
      <rPr>
        <sz val="11"/>
        <color theme="1"/>
        <rFont val="Calibri"/>
        <family val="2"/>
        <scheme val="minor"/>
      </rPr>
      <t>/MWh]</t>
    </r>
  </si>
  <si>
    <r>
      <t>Frontier, high fuel prices [€</t>
    </r>
    <r>
      <rPr>
        <vertAlign val="subscript"/>
        <sz val="11"/>
        <color theme="1"/>
        <rFont val="Calibri"/>
        <family val="2"/>
        <scheme val="minor"/>
      </rPr>
      <t>2013</t>
    </r>
    <r>
      <rPr>
        <sz val="11"/>
        <color theme="1"/>
        <rFont val="Calibri"/>
        <family val="2"/>
        <scheme val="minor"/>
      </rPr>
      <t>/MWh]</t>
    </r>
  </si>
  <si>
    <r>
      <t>Frontier, slow growth wind power [€</t>
    </r>
    <r>
      <rPr>
        <vertAlign val="subscript"/>
        <sz val="11"/>
        <color theme="1"/>
        <rFont val="Calibri"/>
        <family val="2"/>
        <scheme val="minor"/>
      </rPr>
      <t>2013</t>
    </r>
    <r>
      <rPr>
        <sz val="11"/>
        <color theme="1"/>
        <rFont val="Calibri"/>
        <family val="2"/>
        <scheme val="minor"/>
      </rPr>
      <t>/MWh]</t>
    </r>
  </si>
  <si>
    <r>
      <t>Frontier, increased foreign capacity [€</t>
    </r>
    <r>
      <rPr>
        <vertAlign val="subscript"/>
        <sz val="11"/>
        <color theme="1"/>
        <rFont val="Calibri"/>
        <family val="2"/>
        <scheme val="minor"/>
      </rPr>
      <t>2013</t>
    </r>
    <r>
      <rPr>
        <sz val="11"/>
        <color theme="1"/>
        <rFont val="Calibri"/>
        <family val="2"/>
        <scheme val="minor"/>
      </rPr>
      <t>/MWh]</t>
    </r>
  </si>
  <si>
    <t>H2 processing revenue</t>
  </si>
  <si>
    <t>Relative opex new pipeline</t>
  </si>
  <si>
    <t>Relative opex compressor &amp; pump</t>
  </si>
  <si>
    <t>EUR/a</t>
  </si>
  <si>
    <t>Compressor + pump, needs to be monetized</t>
  </si>
  <si>
    <t>Costs trenching to beach</t>
  </si>
  <si>
    <t>Costs onshore - road</t>
  </si>
  <si>
    <t>Costs onshore - pipeline</t>
  </si>
  <si>
    <t>Costs onshore - other</t>
  </si>
  <si>
    <t>Costs offshore - pipeline</t>
  </si>
  <si>
    <t>Costs submarine cables</t>
  </si>
  <si>
    <t>Costs offshore – shipping lane</t>
  </si>
  <si>
    <t>[EUR/ton CO2]</t>
  </si>
  <si>
    <t>[EUR/ton H2]</t>
  </si>
  <si>
    <t>[EUR/m3]</t>
  </si>
  <si>
    <t>[EUR/y]</t>
  </si>
  <si>
    <t>[EUR]</t>
  </si>
  <si>
    <t xml:space="preserve">EUR </t>
  </si>
  <si>
    <t>Scenario highlights</t>
  </si>
  <si>
    <t>unit</t>
  </si>
  <si>
    <t>platform electrification  installed capacity</t>
  </si>
  <si>
    <t>MWe</t>
  </si>
  <si>
    <t>CO2 transport and storage flow</t>
  </si>
  <si>
    <t>MtCO2/yr</t>
  </si>
  <si>
    <t>H2  electrolyser capacity - small scale</t>
  </si>
  <si>
    <t>Mwe (input)</t>
  </si>
  <si>
    <t>H2  electrolyser capacity - full scale</t>
  </si>
  <si>
    <t>Points of discussion for scenarios and sensitivity analyses</t>
  </si>
  <si>
    <t>Parameters</t>
  </si>
  <si>
    <t>Input</t>
  </si>
  <si>
    <t>Calculated field</t>
  </si>
  <si>
    <t>Common parameters</t>
  </si>
  <si>
    <t>Electricty</t>
  </si>
  <si>
    <t>Comments</t>
  </si>
  <si>
    <t>Timeframe</t>
  </si>
  <si>
    <t>Start year</t>
  </si>
  <si>
    <t>End year</t>
  </si>
  <si>
    <t>Horizon</t>
  </si>
  <si>
    <t>Financial</t>
  </si>
  <si>
    <t>Income tax on gas yield</t>
  </si>
  <si>
    <t>[   ]</t>
  </si>
  <si>
    <t>Frontier Base Case</t>
  </si>
  <si>
    <t>See price sheets further on.</t>
  </si>
  <si>
    <t>[€/MWh|ton]</t>
  </si>
  <si>
    <t>Unit for Gas and electricity: [€/Mwh]; Unit for CO2: [€/ton].</t>
  </si>
  <si>
    <t xml:space="preserve">Technical </t>
  </si>
  <si>
    <t>Annual gas production of the entire P15 platform</t>
  </si>
  <si>
    <t>Electrification</t>
  </si>
  <si>
    <t>Expected annual energy consumption of the electric powered system.</t>
  </si>
  <si>
    <t>Net energy consumption</t>
  </si>
  <si>
    <t>Expected increase in gas yield due to having a higher reliability of an electrified system vs. gas fired.  Default: 1.0%.</t>
  </si>
  <si>
    <t>Corresponds to the no. of days no gas will be produced.</t>
  </si>
  <si>
    <t>[€/y]</t>
  </si>
  <si>
    <t>See ref_consumption tab for OPEX details.</t>
  </si>
  <si>
    <t>Total expected annual costs of transport tariffs to be paid to Tennet.</t>
  </si>
  <si>
    <t>[€]</t>
  </si>
  <si>
    <t>Electrified system installation costs relate to system downtime only.</t>
  </si>
  <si>
    <t>Electrified system fully operational; may be set manually.</t>
  </si>
  <si>
    <t>Total annual gas consumption of the gas fired system</t>
  </si>
  <si>
    <t xml:space="preserve">Total annual CO2 emissions of the gas fired system. </t>
  </si>
  <si>
    <t>Total annual diesel consumption of the gas fired system</t>
  </si>
  <si>
    <t>[€/m3]</t>
  </si>
  <si>
    <t>Flat rate diesel price</t>
  </si>
  <si>
    <t>Percentage of total CO2 emissions that is being reduced.</t>
  </si>
  <si>
    <t>Total annual CO2 reduction of the gas fired system.</t>
  </si>
  <si>
    <t>Cashflow</t>
  </si>
  <si>
    <t>NPV</t>
  </si>
  <si>
    <t>Investments (CAPEX)</t>
  </si>
  <si>
    <t>[kEUR]</t>
  </si>
  <si>
    <t>Production</t>
  </si>
  <si>
    <t>Construction</t>
  </si>
  <si>
    <t>Exploitation (OPEX)</t>
  </si>
  <si>
    <t>Revenues / avoided costs</t>
  </si>
  <si>
    <t>Energy</t>
  </si>
  <si>
    <t>Net Present</t>
  </si>
  <si>
    <t>Cumulative cashflow</t>
  </si>
  <si>
    <t>Cumulative discounted cashflow</t>
  </si>
  <si>
    <t>Payback time</t>
  </si>
  <si>
    <t>Scenario 1: Hollandse Kust Zuid</t>
  </si>
  <si>
    <t>Platform downtime</t>
  </si>
  <si>
    <t>Electricity consumption</t>
  </si>
  <si>
    <t>Increase in system reliability</t>
  </si>
  <si>
    <t>Sales of fuel gas</t>
  </si>
  <si>
    <t>Maintenance reduction</t>
  </si>
  <si>
    <t>CO2 emissions</t>
  </si>
  <si>
    <t>Subtotal EBITDA</t>
  </si>
  <si>
    <t>Definite cashflows</t>
  </si>
  <si>
    <t>Wins</t>
  </si>
  <si>
    <t>Losses</t>
  </si>
  <si>
    <t>Possible cashflows</t>
  </si>
  <si>
    <t>IRR</t>
  </si>
  <si>
    <t>Delta</t>
  </si>
  <si>
    <t>Electrification t.o.v. Reference</t>
  </si>
  <si>
    <t>Scenario 2: Luchterduinen</t>
  </si>
  <si>
    <t>Energy consumption</t>
  </si>
  <si>
    <t>CO2 emission</t>
  </si>
  <si>
    <t>Scenario 1</t>
  </si>
  <si>
    <t>Production/CAPEX</t>
  </si>
  <si>
    <t>Cable production</t>
  </si>
  <si>
    <t>Platform refurbishment</t>
  </si>
  <si>
    <t>Construction/installation</t>
  </si>
  <si>
    <t>Electricity transport costs</t>
  </si>
  <si>
    <t>Gas savings</t>
  </si>
  <si>
    <t>Diesel savings</t>
  </si>
  <si>
    <t>Maintenance and other operation costs reduction (excluding fuel costs)</t>
  </si>
  <si>
    <t>CO2 reduction</t>
  </si>
  <si>
    <t>Cumulative CO2 reduction</t>
  </si>
  <si>
    <t>Gas consumption</t>
  </si>
  <si>
    <t>Total consumption</t>
  </si>
  <si>
    <t>Annual gas consumption</t>
  </si>
  <si>
    <t>Annual diesel consumption</t>
  </si>
  <si>
    <t>The total annual reduction in maintenance and other operation costs (not including fuel costs)</t>
  </si>
  <si>
    <t>Annual power consumption</t>
  </si>
  <si>
    <t>Expected annual costs of transport tariffs to be paid to Tennet.</t>
  </si>
  <si>
    <t>The total annual reduction in OPEX (including maintenance costs).</t>
  </si>
  <si>
    <t>https://unit-converter.gasunie.nl/</t>
  </si>
  <si>
    <t>Nm3</t>
  </si>
  <si>
    <t>GWh</t>
  </si>
  <si>
    <t>Natural Gas</t>
  </si>
  <si>
    <t>€/MWh (th)</t>
  </si>
  <si>
    <t>Frontier sensitivity1</t>
  </si>
  <si>
    <t>Frontier sensitivity2</t>
  </si>
  <si>
    <t>Frontier sensitivity3</t>
  </si>
  <si>
    <t>Frontier sensitivity4</t>
  </si>
  <si>
    <t>NEV 1 (vastgesteld beleid)</t>
  </si>
  <si>
    <t>NEV 2 (vastgesteld en voorgenomen beleid)</t>
  </si>
  <si>
    <t>Flat rate</t>
  </si>
  <si>
    <t>Source:</t>
  </si>
  <si>
    <t>Frontier: Scenarios for the Dutch electricity supply system, A REPORT PREPARED FOR THE DUTCH MINISTRY OF ECONOMIC AFFAIRS (MINISTERIE VAN ECONOMISCHE ZAKEN, September 2015</t>
  </si>
  <si>
    <t>Sensitivity 5= TNO. Alleen delen met externen in overleg met Robert.</t>
  </si>
  <si>
    <t>Current price scenario:</t>
  </si>
  <si>
    <t>€/Nm3</t>
  </si>
  <si>
    <t>Current price</t>
  </si>
  <si>
    <t>Frontier aannames</t>
  </si>
  <si>
    <t>€/MWh</t>
  </si>
  <si>
    <t>€/ton</t>
  </si>
  <si>
    <t>Elektriciteit</t>
  </si>
  <si>
    <t>Gelijk aan scenario 1a Frontier</t>
  </si>
  <si>
    <t>niet gelijk aan scenario 1b frontier</t>
  </si>
  <si>
    <t>Gelijk aan scenario 2 Frontier</t>
  </si>
  <si>
    <t>Gelijk aan Frontier scenario 2</t>
  </si>
  <si>
    <t>Gelijk aan scenario 3 Frontier</t>
  </si>
  <si>
    <t>Gelijk aan scenario 4 Forntier</t>
  </si>
  <si>
    <t>Aannames Frontier</t>
  </si>
  <si>
    <t>Base year:</t>
  </si>
  <si>
    <t>Price index: NEV (index = 2016)</t>
  </si>
  <si>
    <t>Tabel 3a: Prijzen (vastgesteld beleid)</t>
  </si>
  <si>
    <t>Basisjaar:</t>
  </si>
  <si>
    <t>Realisaties</t>
  </si>
  <si>
    <t>Projecties</t>
  </si>
  <si>
    <t>Nadere omschrijving</t>
  </si>
  <si>
    <t>Eenheid
(constante prijzen 2016)</t>
  </si>
  <si>
    <t>Olie</t>
  </si>
  <si>
    <r>
      <t>North Sea Brent</t>
    </r>
    <r>
      <rPr>
        <vertAlign val="superscript"/>
        <sz val="11"/>
        <color theme="1"/>
        <rFont val="Calibri"/>
        <family val="2"/>
        <scheme val="minor"/>
      </rPr>
      <t>1</t>
    </r>
  </si>
  <si>
    <t>Euro per vat</t>
  </si>
  <si>
    <r>
      <t>Groothandelsprijs</t>
    </r>
    <r>
      <rPr>
        <vertAlign val="superscript"/>
        <sz val="11"/>
        <color theme="1"/>
        <rFont val="Calibri"/>
        <family val="2"/>
        <scheme val="minor"/>
      </rPr>
      <t>2</t>
    </r>
  </si>
  <si>
    <r>
      <t>Euro per m</t>
    </r>
    <r>
      <rPr>
        <vertAlign val="superscript"/>
        <sz val="11"/>
        <color theme="1"/>
        <rFont val="Calibri"/>
        <family val="2"/>
        <scheme val="minor"/>
      </rPr>
      <t>3</t>
    </r>
  </si>
  <si>
    <t>Kolen</t>
  </si>
  <si>
    <r>
      <t>Import ketelkolen Nederland</t>
    </r>
    <r>
      <rPr>
        <vertAlign val="superscript"/>
        <sz val="11"/>
        <color theme="1"/>
        <rFont val="Calibri"/>
        <family val="2"/>
        <scheme val="minor"/>
      </rPr>
      <t>3</t>
    </r>
  </si>
  <si>
    <t>Euro per ton</t>
  </si>
  <si>
    <r>
      <t>Groothandelsprijs basislast</t>
    </r>
    <r>
      <rPr>
        <vertAlign val="superscript"/>
        <sz val="11"/>
        <color theme="1"/>
        <rFont val="Calibri"/>
        <family val="2"/>
        <scheme val="minor"/>
      </rPr>
      <t>4</t>
    </r>
  </si>
  <si>
    <t>Euro per MWh</t>
  </si>
  <si>
    <r>
      <t>CO</t>
    </r>
    <r>
      <rPr>
        <vertAlign val="subscript"/>
        <sz val="11"/>
        <color theme="1"/>
        <rFont val="Calibri"/>
        <family val="2"/>
        <scheme val="minor"/>
      </rPr>
      <t>2</t>
    </r>
  </si>
  <si>
    <r>
      <t>Europees emissiehandelssysteem (ETS)</t>
    </r>
    <r>
      <rPr>
        <vertAlign val="superscript"/>
        <sz val="11"/>
        <color theme="1"/>
        <rFont val="Calibri"/>
        <family val="2"/>
        <scheme val="minor"/>
      </rPr>
      <t>5</t>
    </r>
  </si>
  <si>
    <t>Conversiefactoren</t>
  </si>
  <si>
    <t>Prijsindex</t>
  </si>
  <si>
    <r>
      <t>Jaarlijkse inflatie (HICP)</t>
    </r>
    <r>
      <rPr>
        <vertAlign val="superscript"/>
        <sz val="11"/>
        <color theme="1"/>
        <rFont val="Calibri"/>
        <family val="2"/>
        <scheme val="minor"/>
      </rPr>
      <t>6</t>
    </r>
  </si>
  <si>
    <t>Wisselkoers</t>
  </si>
  <si>
    <r>
      <t>Dollar/Euro koers</t>
    </r>
    <r>
      <rPr>
        <vertAlign val="superscript"/>
        <sz val="11"/>
        <color theme="1"/>
        <rFont val="Calibri"/>
        <family val="2"/>
        <scheme val="minor"/>
      </rPr>
      <t>7</t>
    </r>
  </si>
  <si>
    <t>USD/Euro</t>
  </si>
  <si>
    <r>
      <t xml:space="preserve">1) </t>
    </r>
    <r>
      <rPr>
        <sz val="11"/>
        <color theme="1"/>
        <rFont val="Calibri"/>
        <family val="2"/>
        <scheme val="minor"/>
      </rPr>
      <t>Realisaties: t/m 2016 EIA Europe Brent , projecties: 2017 t/m 2020 o.b.v. Brent Crude futures – North Sea, vanaf 2030 IEA World Energy Outlook New Policies scenario, interpolatie ECN</t>
    </r>
  </si>
  <si>
    <r>
      <rPr>
        <vertAlign val="superscript"/>
        <sz val="11"/>
        <color theme="1"/>
        <rFont val="Calibri"/>
        <family val="2"/>
        <scheme val="minor"/>
      </rPr>
      <t>2)</t>
    </r>
    <r>
      <rPr>
        <sz val="11"/>
        <color theme="1"/>
        <rFont val="Calibri"/>
        <family val="2"/>
        <scheme val="minor"/>
      </rPr>
      <t xml:space="preserve"> Realisaties: 2000 en 2005 uit eerdere rapportages ECN, daarna CBS (leveringsprijs grootverbruikers exclusief BTW en belastingen); projecties: 2017-2019 TTF futures, vanaf 2030 IEA World Energy Outlook New Policies scenario, interpolatie ECN</t>
    </r>
  </si>
  <si>
    <r>
      <rPr>
        <vertAlign val="superscript"/>
        <sz val="11"/>
        <color theme="1"/>
        <rFont val="Calibri"/>
        <family val="2"/>
        <scheme val="minor"/>
      </rPr>
      <t>3)</t>
    </r>
    <r>
      <rPr>
        <sz val="11"/>
        <color theme="1"/>
        <rFont val="Calibri"/>
        <family val="2"/>
        <scheme val="minor"/>
      </rPr>
      <t xml:space="preserve"> Realisaties: CBS, waarbij de ketelkolenprijs is genormaliseerd naar een gemiddelde verbrandsingswaarde overeenkomend met de termijnmarkten; projecties: 2017 t/m 2019 Rotterdam coal futures (ARA), vanaf 2030 IEA World Energy Outlook New Policies scenario, interpolaties ECN</t>
    </r>
  </si>
  <si>
    <r>
      <rPr>
        <vertAlign val="superscript"/>
        <sz val="11"/>
        <color theme="1"/>
        <rFont val="Calibri"/>
        <family val="2"/>
        <scheme val="minor"/>
      </rPr>
      <t>4)</t>
    </r>
    <r>
      <rPr>
        <sz val="11"/>
        <color theme="1"/>
        <rFont val="Calibri"/>
        <family val="2"/>
        <scheme val="minor"/>
      </rPr>
      <t xml:space="preserve"> Realisaties: 2000 uit eerdere rapportages ECN en 2005 t/m 2016 op basis van  APX/ENDEX gegevens; projecties op basis van ECN modelresultaten</t>
    </r>
  </si>
  <si>
    <r>
      <rPr>
        <vertAlign val="superscript"/>
        <sz val="11"/>
        <color theme="1"/>
        <rFont val="Calibri"/>
        <family val="2"/>
        <scheme val="minor"/>
      </rPr>
      <t>5)</t>
    </r>
    <r>
      <rPr>
        <sz val="11"/>
        <color theme="1"/>
        <rFont val="Calibri"/>
        <family val="2"/>
        <scheme val="minor"/>
      </rPr>
      <t xml:space="preserve"> Realisaties zijn afkomstig van Point Carbon, projecties: PBL</t>
    </r>
  </si>
  <si>
    <r>
      <rPr>
        <vertAlign val="superscript"/>
        <sz val="11"/>
        <color theme="1"/>
        <rFont val="Calibri"/>
        <family val="2"/>
        <scheme val="minor"/>
      </rPr>
      <t>6)</t>
    </r>
    <r>
      <rPr>
        <sz val="11"/>
        <color theme="1"/>
        <rFont val="Calibri"/>
        <family val="2"/>
        <scheme val="minor"/>
      </rPr>
      <t xml:space="preserve"> Realisaties: Eurostat; projecties: tot 2020 jaarlijkse percentages afgeleid van verwachte inflatie CPB, daarna extrapolatie ECN op basis van gemiddelde inflatie 2018-2020</t>
    </r>
  </si>
  <si>
    <r>
      <rPr>
        <vertAlign val="superscript"/>
        <sz val="11"/>
        <color theme="1"/>
        <rFont val="Calibri"/>
        <family val="2"/>
        <scheme val="minor"/>
      </rPr>
      <t xml:space="preserve">7) </t>
    </r>
    <r>
      <rPr>
        <sz val="11"/>
        <color theme="1"/>
        <rFont val="Calibri"/>
        <family val="2"/>
        <scheme val="minor"/>
      </rPr>
      <t>Projecties: tot 2020 zijn deze gebaseerd op basis van CPB rapportages, daarna de euro-dollarkoers van het basisjaar waarin de projectie van de reële prijzen is opgesteld voor de WEO en WLO</t>
    </r>
  </si>
  <si>
    <t>Nominale prijzen</t>
  </si>
  <si>
    <t>Reële prijzen</t>
  </si>
  <si>
    <t>Tabel 3b: Prijzen (vastgesteld en voorgenomen beleid)</t>
  </si>
  <si>
    <t>NAM Scenario 1</t>
  </si>
  <si>
    <t>NAM Scenario 2</t>
  </si>
  <si>
    <t>TAQA Scenario 1</t>
  </si>
  <si>
    <t>TAQA Scenario 2</t>
  </si>
  <si>
    <t>Total Scenario 1</t>
  </si>
  <si>
    <t>Total Scenario 2</t>
  </si>
  <si>
    <t>P&amp;A costs per CO2 well</t>
  </si>
  <si>
    <t>P&amp;A costs per natural gas well</t>
  </si>
  <si>
    <t>Results wells</t>
  </si>
  <si>
    <t>Relative capex workover wells</t>
  </si>
  <si>
    <r>
      <t xml:space="preserve">EUR </t>
    </r>
    <r>
      <rPr>
        <vertAlign val="subscript"/>
        <sz val="11"/>
        <rFont val="Calibri"/>
        <family val="2"/>
        <scheme val="minor"/>
      </rPr>
      <t>2011</t>
    </r>
    <r>
      <rPr>
        <sz val="11"/>
        <rFont val="Calibri"/>
        <family val="2"/>
        <scheme val="minor"/>
      </rPr>
      <t>/ well</t>
    </r>
  </si>
  <si>
    <t>Capex workover wells</t>
  </si>
  <si>
    <t>After P&amp;A CO2 wells</t>
  </si>
  <si>
    <t>EUR/ton CO2</t>
  </si>
  <si>
    <t>TNO, “Independent storage assessment of offshore CO2 storage options for Rotterdam - Summary report,” TNO, 2011.</t>
  </si>
  <si>
    <t>Relative capex new offshore well</t>
  </si>
  <si>
    <t>Capex new offshore wells</t>
  </si>
  <si>
    <t>Workover / new wells</t>
  </si>
  <si>
    <t>Wells</t>
  </si>
  <si>
    <t>Required wells for CO2 injection</t>
  </si>
  <si>
    <t>Existing electric connection</t>
  </si>
  <si>
    <t>Additional electric connection</t>
  </si>
  <si>
    <t>Cable cost constant</t>
  </si>
  <si>
    <t>Cable cost coefficient 1</t>
  </si>
  <si>
    <t>EUR/km</t>
  </si>
  <si>
    <t>EUR/(MW*km)</t>
  </si>
  <si>
    <t>Cable supply coefficient 2</t>
  </si>
  <si>
    <t>Cable supply coefficient 1</t>
  </si>
  <si>
    <t>Relative opex cable</t>
  </si>
  <si>
    <t>Capex date</t>
  </si>
  <si>
    <t>Capex pump</t>
  </si>
  <si>
    <t>% of Capex</t>
  </si>
  <si>
    <t>Capex desalination unit</t>
  </si>
  <si>
    <t>weighted avarage cost of capital</t>
  </si>
  <si>
    <t>Income tax on profit</t>
  </si>
  <si>
    <t>Total annual gas consumption of the gas fired system (CCGT)</t>
  </si>
  <si>
    <t>Discount rate/WACC</t>
  </si>
  <si>
    <t>End year of electrification</t>
  </si>
  <si>
    <t>[EUR/MWh]</t>
  </si>
  <si>
    <t>Electricity flat rate price</t>
  </si>
  <si>
    <t>Gas flat rate price</t>
  </si>
  <si>
    <t>CO2 flat rate price</t>
  </si>
  <si>
    <t>Hydrogen flat rate price</t>
  </si>
  <si>
    <t>Diesel flat rate price</t>
  </si>
  <si>
    <t>Electricity price scenario</t>
  </si>
  <si>
    <t>Gas price scenario</t>
  </si>
  <si>
    <t>CO2 price scenario</t>
  </si>
  <si>
    <t>To add a scenarios, simply insert a new column. It will appear automatically in the scenario selection list.</t>
  </si>
  <si>
    <t xml:space="preserve">Current scenario selection:  </t>
  </si>
  <si>
    <t>Start year of the business case</t>
  </si>
  <si>
    <t>Periodic maintenance reduction</t>
  </si>
  <si>
    <t>Period:</t>
  </si>
  <si>
    <t>[EUR/period]</t>
  </si>
  <si>
    <t>[€/period]</t>
  </si>
  <si>
    <t>Maintenance period</t>
  </si>
  <si>
    <t>Table of contents</t>
  </si>
  <si>
    <t>Sheet</t>
  </si>
  <si>
    <t>Explanation</t>
  </si>
  <si>
    <t>Scenarios</t>
  </si>
  <si>
    <t>Details of scenarios</t>
  </si>
  <si>
    <t>List of parameters per scenario</t>
  </si>
  <si>
    <t>Parameters E</t>
  </si>
  <si>
    <t>Parameters H2</t>
  </si>
  <si>
    <t>Parameters CCS</t>
  </si>
  <si>
    <t>List of parameters for electrification per scenario</t>
  </si>
  <si>
    <t>List of parameters for H2 per scenario</t>
  </si>
  <si>
    <t>List of parameters for CCS per scenario</t>
  </si>
  <si>
    <t>Output</t>
  </si>
  <si>
    <t>Results per scenario</t>
  </si>
  <si>
    <t>Output E</t>
  </si>
  <si>
    <t>Output H2</t>
  </si>
  <si>
    <t>Output CCS</t>
  </si>
  <si>
    <t>Results for electrification per scenario</t>
  </si>
  <si>
    <t>Results for H2 per scenario</t>
  </si>
  <si>
    <t>Results for CCS per scenario</t>
  </si>
  <si>
    <t>Module decom</t>
  </si>
  <si>
    <t>Module cables</t>
  </si>
  <si>
    <t>Details for power cables</t>
  </si>
  <si>
    <t>Details for decomissioning</t>
  </si>
  <si>
    <t>Modules</t>
  </si>
  <si>
    <t>Other sheets</t>
  </si>
  <si>
    <t>CO2 compression</t>
  </si>
  <si>
    <t>CO2 pipeline</t>
  </si>
  <si>
    <t>CO2 injection</t>
  </si>
  <si>
    <t>CO2 platform</t>
  </si>
  <si>
    <t>H2 compression</t>
  </si>
  <si>
    <t>H2 pipeline</t>
  </si>
  <si>
    <t>H2 platform</t>
  </si>
  <si>
    <t>Database CO2 storage</t>
  </si>
  <si>
    <t>Database platforms</t>
  </si>
  <si>
    <t>P-D-T database</t>
  </si>
  <si>
    <t>Investments_elec</t>
  </si>
  <si>
    <t>Exploitation_elec</t>
  </si>
  <si>
    <t>Revenus_elec</t>
  </si>
  <si>
    <t>CO2 emissions)elec</t>
  </si>
  <si>
    <t>OPEX_elec</t>
  </si>
  <si>
    <t>Unit conversion</t>
  </si>
  <si>
    <t>CO2 price scenarios</t>
  </si>
  <si>
    <t>Electricity price scenarios</t>
  </si>
  <si>
    <t>Frontier</t>
  </si>
  <si>
    <t>NEV Tabel 3a Prijzen V</t>
  </si>
  <si>
    <t>NEX Tabel 3b Prijzen VV</t>
  </si>
  <si>
    <t>Project:</t>
  </si>
  <si>
    <t>TKI NSE</t>
  </si>
  <si>
    <t>Version:</t>
  </si>
  <si>
    <t>Date:</t>
  </si>
  <si>
    <t>Do not change without consulting TNO and New Energy Coalition</t>
  </si>
  <si>
    <t>Prices</t>
  </si>
  <si>
    <t>Price scenarios</t>
  </si>
  <si>
    <t>TKI NSE 2</t>
  </si>
  <si>
    <t>Available electricity electrolysis</t>
  </si>
  <si>
    <t>Capex H2 pipeline crossings &amp; landing</t>
  </si>
  <si>
    <t>Total Scenario 3</t>
  </si>
  <si>
    <t>NAM Scenario 3</t>
  </si>
  <si>
    <t>TAQA Scenario 3</t>
  </si>
  <si>
    <t>Capex compressor &amp; pump onshore</t>
  </si>
  <si>
    <t>OPEX compressor &amp; pump onshore</t>
  </si>
  <si>
    <t>Decommissioning (P&amp;A) natural gas wells</t>
  </si>
  <si>
    <t>Decommissioning (P&amp;A) CO2 wells</t>
  </si>
  <si>
    <t>Capex adjustments CCS on platform</t>
  </si>
  <si>
    <t>Capex adjustments H2 on platform</t>
  </si>
  <si>
    <t>Capex cable (CCS)</t>
  </si>
  <si>
    <t>Opex cable (CCS)</t>
  </si>
  <si>
    <t>Capex cable (H2)</t>
  </si>
  <si>
    <t>Opex cable (H2)</t>
  </si>
  <si>
    <t>Electricity used combined onshore</t>
  </si>
  <si>
    <t>Annual CO2 stored</t>
  </si>
  <si>
    <t>CCS</t>
  </si>
  <si>
    <t>Scenario:</t>
  </si>
  <si>
    <t>Combined cashflow sheet</t>
  </si>
  <si>
    <t>OPEX compressor (with integrated pump)</t>
  </si>
  <si>
    <t>Rotating Machinery for CO2-Compression in CCS Systems, IEAGHG</t>
  </si>
  <si>
    <t>Power</t>
  </si>
  <si>
    <t>Length</t>
  </si>
  <si>
    <t>Width</t>
  </si>
  <si>
    <t>Height</t>
  </si>
  <si>
    <t>Weigth</t>
  </si>
  <si>
    <t>Dimensions, weight based</t>
  </si>
  <si>
    <t>Am³/h</t>
  </si>
  <si>
    <t xml:space="preserve">Flow </t>
  </si>
  <si>
    <t>ajdusted linearly where data was not available</t>
  </si>
  <si>
    <t>workover</t>
  </si>
  <si>
    <t>Pressure output of onshore compression as inlet pressure of pipeline, should be sufficiently high so that the pressure drop does not lead to a two-phase transportation</t>
  </si>
  <si>
    <t>Just in case of new pipelines</t>
  </si>
  <si>
    <t>Benchmark price</t>
  </si>
  <si>
    <t>Electricity benchmark price</t>
  </si>
  <si>
    <t>Determine below which e-price H2 will be produced</t>
  </si>
  <si>
    <t>Dimensions compressor</t>
  </si>
  <si>
    <t>Embodied Impact-Dimensions</t>
  </si>
  <si>
    <t>Silyzer 300</t>
  </si>
  <si>
    <t>m² / MW</t>
  </si>
  <si>
    <t>Electricity costs electrolysis</t>
  </si>
  <si>
    <t>Electricity demand H2 compressor</t>
  </si>
  <si>
    <t>EUR/kg H2</t>
  </si>
  <si>
    <t>Hydrogen selling price</t>
  </si>
  <si>
    <t>Desalination unit</t>
  </si>
  <si>
    <t>Desalination unit relative weight</t>
  </si>
  <si>
    <t>ton / m²</t>
  </si>
  <si>
    <t>Relative area desalination unit</t>
  </si>
  <si>
    <t>m² / (litre/hour)</t>
  </si>
  <si>
    <t>Lenntech pretreatment filter + reverse osmosis</t>
  </si>
  <si>
    <t>Relative capex new pipeline</t>
  </si>
  <si>
    <t>Assumed to be similar to existing pipelines</t>
  </si>
  <si>
    <t>Heating required [MWh]</t>
  </si>
  <si>
    <t>Dimensions heater</t>
  </si>
  <si>
    <t>Heater capacity</t>
  </si>
  <si>
    <t>Rated Power</t>
  </si>
  <si>
    <t>Cable length</t>
  </si>
  <si>
    <t>Cross-section</t>
  </si>
  <si>
    <t>Cable cost constant, b</t>
  </si>
  <si>
    <t>Cable supply coefficient 1, x</t>
  </si>
  <si>
    <t>EUR / (MW*km)</t>
  </si>
  <si>
    <t>Cable supply coefficient 2, y</t>
  </si>
  <si>
    <t>EUR / km</t>
  </si>
  <si>
    <t>Cable cost coefficient 1, z</t>
  </si>
  <si>
    <t>With cable costs = b+ z*distance+ ((y+x*P)*distance)</t>
  </si>
  <si>
    <t>Capex</t>
  </si>
  <si>
    <t>Boundaries</t>
  </si>
  <si>
    <t>Pmax</t>
  </si>
  <si>
    <t>dmax</t>
  </si>
  <si>
    <t>[km]</t>
  </si>
  <si>
    <t>Timeline labels</t>
  </si>
  <si>
    <t>Totals</t>
  </si>
  <si>
    <t>Code</t>
  </si>
  <si>
    <t>Month</t>
  </si>
  <si>
    <t>APXH001</t>
  </si>
  <si>
    <t>APXH002</t>
  </si>
  <si>
    <t>APXH003</t>
  </si>
  <si>
    <t>APXH004</t>
  </si>
  <si>
    <t>APXH005</t>
  </si>
  <si>
    <t>APXH006</t>
  </si>
  <si>
    <t>APXH007</t>
  </si>
  <si>
    <t>APXH008</t>
  </si>
  <si>
    <t>APXH009</t>
  </si>
  <si>
    <t>APXH010</t>
  </si>
  <si>
    <t>APXH011</t>
  </si>
  <si>
    <t>APXH012</t>
  </si>
  <si>
    <t>APXH013</t>
  </si>
  <si>
    <t>APXH014</t>
  </si>
  <si>
    <t>APXH015</t>
  </si>
  <si>
    <t>APXH016</t>
  </si>
  <si>
    <t>APXH017</t>
  </si>
  <si>
    <t>APXH018</t>
  </si>
  <si>
    <t>APXH019</t>
  </si>
  <si>
    <t>APXH020</t>
  </si>
  <si>
    <t>APXH021</t>
  </si>
  <si>
    <t>APXH022</t>
  </si>
  <si>
    <t>APXH023</t>
  </si>
  <si>
    <t>APXH024</t>
  </si>
  <si>
    <t>APXPKHI</t>
  </si>
  <si>
    <t>APXPKLO</t>
  </si>
  <si>
    <t>APXOFPK</t>
  </si>
  <si>
    <t>average</t>
  </si>
  <si>
    <t>st.dev.</t>
  </si>
  <si>
    <t>in % annually</t>
  </si>
  <si>
    <t>Hours below benchmark price</t>
  </si>
  <si>
    <t>Average price during period below benchmark</t>
  </si>
  <si>
    <t>Hours per day on average</t>
  </si>
  <si>
    <t>End operations</t>
  </si>
  <si>
    <t>https://www.ogj.com/articles/print/volume-114/issue-9/special-report-pipeline-economics/natural-gas-pipeline-profits-construction-both-up.html</t>
  </si>
  <si>
    <t>Pipeline costs</t>
  </si>
  <si>
    <t xml:space="preserve">Consulted: </t>
  </si>
  <si>
    <r>
      <rPr>
        <b/>
        <sz val="13"/>
        <color rgb="FFC62A2F"/>
        <rFont val="Arial"/>
        <family val="2"/>
      </rPr>
      <t>US PIPELINE COSTS: ESTIMATED VS. ACTUAL</t>
    </r>
    <r>
      <rPr>
        <b/>
        <sz val="13"/>
        <color rgb="FFCF5B5B"/>
        <rFont val="Arial"/>
        <family val="2"/>
      </rPr>
      <t xml:space="preserve">, </t>
    </r>
    <r>
      <rPr>
        <b/>
        <sz val="13"/>
        <color rgb="FFC62A2F"/>
        <rFont val="Arial"/>
        <family val="2"/>
      </rPr>
      <t>2015-1 6</t>
    </r>
    <r>
      <rPr>
        <b/>
        <sz val="8"/>
        <color rgb="FFCF5B5B"/>
        <rFont val="Arial"/>
        <family val="2"/>
      </rPr>
      <t>1</t>
    </r>
  </si>
  <si>
    <r>
      <rPr>
        <b/>
        <sz val="9"/>
        <color rgb="FF444242"/>
        <rFont val="Arial"/>
        <family val="2"/>
      </rPr>
      <t>LenWih,</t>
    </r>
  </si>
  <si>
    <r>
      <rPr>
        <sz val="9"/>
        <color rgb="FF444242"/>
        <rFont val="Times New Roman"/>
        <family val="1"/>
      </rPr>
      <t>ROW &amp;</t>
    </r>
  </si>
  <si>
    <r>
      <rPr>
        <sz val="8"/>
        <color rgb="FF8A8A8A"/>
        <rFont val="Times New Roman"/>
        <family val="1"/>
      </rPr>
      <t xml:space="preserve">Tobie </t>
    </r>
    <r>
      <rPr>
        <sz val="8"/>
        <color rgb="FF757575"/>
        <rFont val="Times New Roman"/>
        <family val="1"/>
      </rPr>
      <t>7</t>
    </r>
  </si>
  <si>
    <r>
      <rPr>
        <b/>
        <sz val="9"/>
        <color rgb="FF444242"/>
        <rFont val="Arial"/>
        <family val="2"/>
      </rPr>
      <t>Size</t>
    </r>
    <r>
      <rPr>
        <b/>
        <sz val="9"/>
        <color rgb="FF757575"/>
        <rFont val="Arial"/>
        <family val="2"/>
      </rPr>
      <t xml:space="preserve">, </t>
    </r>
    <r>
      <rPr>
        <b/>
        <sz val="9"/>
        <color rgb="FF565656"/>
        <rFont val="Arial"/>
        <family val="2"/>
      </rPr>
      <t>in</t>
    </r>
    <r>
      <rPr>
        <b/>
        <sz val="9"/>
        <rFont val="Arial"/>
        <family val="2"/>
      </rPr>
      <t xml:space="preserve">.          </t>
    </r>
    <r>
      <rPr>
        <b/>
        <sz val="9"/>
        <color rgb="FF444242"/>
        <rFont val="Times New Roman"/>
        <family val="1"/>
      </rPr>
      <t xml:space="preserve">location                      </t>
    </r>
    <r>
      <rPr>
        <b/>
        <sz val="9"/>
        <color rgb="FF444242"/>
        <rFont val="Arial"/>
        <family val="2"/>
      </rPr>
      <t xml:space="preserve"> </t>
    </r>
    <r>
      <rPr>
        <b/>
        <sz val="8"/>
        <color rgb="FF444242"/>
        <rFont val="Arial"/>
        <family val="2"/>
      </rPr>
      <t xml:space="preserve">m les             </t>
    </r>
    <r>
      <rPr>
        <b/>
        <u/>
        <sz val="9"/>
        <color rgb="FF444242"/>
        <rFont val="Arial"/>
        <family val="2"/>
      </rPr>
      <t>Mate</t>
    </r>
    <r>
      <rPr>
        <b/>
        <u/>
        <sz val="9"/>
        <color rgb="FF757575"/>
        <rFont val="Arial"/>
        <family val="2"/>
      </rPr>
      <t>ri</t>
    </r>
    <r>
      <rPr>
        <b/>
        <u/>
        <sz val="9"/>
        <color rgb="FF444242"/>
        <rFont val="Arial"/>
        <family val="2"/>
      </rPr>
      <t>als                 </t>
    </r>
    <r>
      <rPr>
        <b/>
        <u/>
        <sz val="8"/>
        <color rgb="FF444242"/>
        <rFont val="Arial"/>
        <family val="2"/>
      </rPr>
      <t>Labor    </t>
    </r>
  </si>
  <si>
    <r>
      <rPr>
        <b/>
        <sz val="9"/>
        <color rgb="FF444242"/>
        <rFont val="Arial"/>
        <family val="2"/>
      </rPr>
      <t>Misc.2</t>
    </r>
  </si>
  <si>
    <r>
      <rPr>
        <sz val="8"/>
        <color rgb="FF565656"/>
        <rFont val="Times New Roman"/>
        <family val="1"/>
      </rPr>
      <t>$</t>
    </r>
  </si>
  <si>
    <r>
      <rPr>
        <b/>
        <sz val="9"/>
        <color rgb="FF444242"/>
        <rFont val="Arial"/>
        <family val="2"/>
      </rPr>
      <t xml:space="preserve">damaaes               </t>
    </r>
    <r>
      <rPr>
        <b/>
        <sz val="9"/>
        <color rgb="FF444242"/>
        <rFont val="Times New Roman"/>
        <family val="1"/>
      </rPr>
      <t xml:space="preserve"> </t>
    </r>
    <r>
      <rPr>
        <b/>
        <sz val="8"/>
        <color rgb="FF444242"/>
        <rFont val="Times New Roman"/>
        <family val="1"/>
      </rPr>
      <t xml:space="preserve">To1a1             </t>
    </r>
    <r>
      <rPr>
        <sz val="9"/>
        <color rgb="FF565656"/>
        <rFont val="Times New Roman"/>
        <family val="1"/>
      </rPr>
      <t>$/mil•</t>
    </r>
  </si>
  <si>
    <r>
      <rPr>
        <b/>
        <sz val="12"/>
        <color rgb="FF2B2A2A"/>
        <rFont val="Arial"/>
        <family val="2"/>
      </rPr>
      <t xml:space="preserve">Land </t>
    </r>
    <r>
      <rPr>
        <b/>
        <sz val="12"/>
        <color rgb="FF444242"/>
        <rFont val="Arial"/>
        <family val="2"/>
      </rPr>
      <t>pipelines</t>
    </r>
  </si>
  <si>
    <r>
      <rPr>
        <sz val="9"/>
        <color rgb="FF8A8A8A"/>
        <rFont val="Arial"/>
        <family val="2"/>
      </rPr>
      <t>N</t>
    </r>
    <r>
      <rPr>
        <sz val="9"/>
        <color rgb="FF8A8A8A"/>
        <rFont val="Times New Roman"/>
        <family val="1"/>
      </rPr>
      <t xml:space="preserve">evada </t>
    </r>
    <r>
      <rPr>
        <sz val="8"/>
        <color rgb="FF8A8A8A"/>
        <rFont val="Times New Roman"/>
        <family val="1"/>
      </rPr>
      <t>(lal.)</t>
    </r>
  </si>
  <si>
    <r>
      <rPr>
        <sz val="9"/>
        <color rgb="FF8A8A8A"/>
        <rFont val="Arial"/>
        <family val="2"/>
      </rPr>
      <t>Estimated</t>
    </r>
  </si>
  <si>
    <r>
      <rPr>
        <sz val="9"/>
        <color rgb="FF8A8A8A"/>
        <rFont val="Times New Roman"/>
        <family val="1"/>
      </rPr>
      <t>6,282,G&amp;;</t>
    </r>
  </si>
  <si>
    <r>
      <rPr>
        <sz val="9"/>
        <color rgb="FF8A8A8A"/>
        <rFont val="Arial"/>
        <family val="2"/>
      </rPr>
      <t>Actual</t>
    </r>
  </si>
  <si>
    <r>
      <rPr>
        <sz val="9"/>
        <color rgb="FF8A8A8A"/>
        <rFont val="Times New Roman"/>
        <family val="1"/>
      </rPr>
      <t>17.690.000</t>
    </r>
  </si>
  <si>
    <r>
      <rPr>
        <sz val="9"/>
        <color rgb="FF757575"/>
        <rFont val="Times New Roman"/>
        <family val="1"/>
      </rPr>
      <t>12, 16</t>
    </r>
  </si>
  <si>
    <r>
      <rPr>
        <b/>
        <sz val="8"/>
        <color rgb="FF8A8A8A"/>
        <rFont val="Arial"/>
        <family val="2"/>
      </rPr>
      <t>New YorkPenn. (lat.)</t>
    </r>
  </si>
  <si>
    <r>
      <rPr>
        <b/>
        <sz val="8"/>
        <color rgb="FF8A8A8A"/>
        <rFont val="Arial"/>
        <family val="2"/>
      </rPr>
      <t>Estimated</t>
    </r>
  </si>
  <si>
    <r>
      <rPr>
        <sz val="9"/>
        <color rgb="FF757575"/>
        <rFont val="Arial"/>
        <family val="2"/>
      </rPr>
      <t>Oregon</t>
    </r>
    <r>
      <rPr>
        <sz val="9"/>
        <color rgb="FF757575"/>
        <rFont val="Times New Roman"/>
        <family val="1"/>
      </rPr>
      <t xml:space="preserve"> </t>
    </r>
    <r>
      <rPr>
        <sz val="8"/>
        <color rgb="FF8A8A8A"/>
        <rFont val="Times New Roman"/>
        <family val="1"/>
      </rPr>
      <t>(lat.)</t>
    </r>
  </si>
  <si>
    <r>
      <rPr>
        <b/>
        <sz val="9"/>
        <color rgb="FF8A8A8A"/>
        <rFont val="Arial"/>
        <family val="2"/>
      </rPr>
      <t>EStlmated</t>
    </r>
  </si>
  <si>
    <r>
      <rPr>
        <b/>
        <sz val="8"/>
        <color rgb="FF757575"/>
        <rFont val="Arial"/>
        <family val="2"/>
      </rPr>
      <t>Actual</t>
    </r>
  </si>
  <si>
    <r>
      <rPr>
        <b/>
        <sz val="9"/>
        <color rgb="FF8A8A8A"/>
        <rFont val="Arial"/>
        <family val="2"/>
      </rPr>
      <t>New Jersey</t>
    </r>
  </si>
  <si>
    <r>
      <rPr>
        <b/>
        <sz val="9"/>
        <color rgb="FF8A8A8A"/>
        <rFont val="Arial"/>
        <family val="2"/>
      </rPr>
      <t>Mississippi</t>
    </r>
  </si>
  <si>
    <r>
      <rPr>
        <sz val="9"/>
        <color rgb="FF757575"/>
        <rFont val="Times New Roman"/>
        <family val="1"/>
      </rPr>
      <t>1.061.440</t>
    </r>
  </si>
  <si>
    <r>
      <rPr>
        <b/>
        <sz val="9"/>
        <color rgb="FF757575"/>
        <rFont val="Arial"/>
        <family val="2"/>
      </rPr>
      <t>Virnia</t>
    </r>
  </si>
  <si>
    <r>
      <rPr>
        <b/>
        <sz val="8"/>
        <color rgb="FF8A8A8A"/>
        <rFont val="Arial"/>
        <family val="2"/>
      </rPr>
      <t>stimated</t>
    </r>
  </si>
  <si>
    <r>
      <rPr>
        <sz val="9"/>
        <color rgb="FF8A8A8A"/>
        <rFont val="Times New Roman"/>
        <family val="1"/>
      </rPr>
      <t>2.349.279</t>
    </r>
  </si>
  <si>
    <r>
      <rPr>
        <sz val="9"/>
        <color rgb="FF757575"/>
        <rFont val="Times New Roman"/>
        <family val="1"/>
      </rPr>
      <t xml:space="preserve">124, </t>
    </r>
    <r>
      <rPr>
        <sz val="9"/>
        <color rgb="FF8A8A8A"/>
        <rFont val="Times New Roman"/>
        <family val="1"/>
      </rPr>
      <t>196,390</t>
    </r>
  </si>
  <si>
    <r>
      <rPr>
        <b/>
        <sz val="8"/>
        <color rgb="FF8A8A8A"/>
        <rFont val="Arial"/>
        <family val="2"/>
      </rPr>
      <t xml:space="preserve">Pennsytvania /R/
</t>
    </r>
    <r>
      <rPr>
        <sz val="9"/>
        <color rgb="FF8A8A8A"/>
        <rFont val="Arial"/>
        <family val="2"/>
      </rPr>
      <t>Estimated</t>
    </r>
  </si>
  <si>
    <r>
      <rPr>
        <sz val="9"/>
        <color rgb="FF8A8A8A"/>
        <rFont val="Arial"/>
        <family val="2"/>
      </rPr>
      <t>Pennsylvania-NJ Estimated</t>
    </r>
  </si>
  <si>
    <r>
      <rPr>
        <b/>
        <i/>
        <sz val="9"/>
        <color rgb="FF8A8A8A"/>
        <rFont val="Arial"/>
        <family val="2"/>
      </rPr>
      <t xml:space="preserve">New </t>
    </r>
    <r>
      <rPr>
        <b/>
        <sz val="8"/>
        <color rgb="FF8A8A8A"/>
        <rFont val="Arial"/>
        <family val="2"/>
      </rPr>
      <t>York</t>
    </r>
  </si>
  <si>
    <r>
      <rPr>
        <sz val="9"/>
        <color rgb="FF8A8A8A"/>
        <rFont val="Times New Roman"/>
        <family val="1"/>
      </rPr>
      <t>1.282.166</t>
    </r>
  </si>
  <si>
    <r>
      <rPr>
        <b/>
        <sz val="8"/>
        <color rgb="FF757575"/>
        <rFont val="Arial"/>
        <family val="2"/>
      </rPr>
      <t>Ohio</t>
    </r>
  </si>
  <si>
    <r>
      <rPr>
        <sz val="9"/>
        <color rgb="FF757575"/>
        <rFont val="Times New Roman"/>
        <family val="1"/>
      </rPr>
      <t>4,f00.017</t>
    </r>
  </si>
  <si>
    <r>
      <rPr>
        <sz val="9"/>
        <color rgb="FF757575"/>
        <rFont val="Times New Roman"/>
        <family val="1"/>
      </rPr>
      <t>138.069.046</t>
    </r>
  </si>
  <si>
    <r>
      <rPr>
        <sz val="9"/>
        <color rgb="FF757575"/>
        <rFont val="Times New Roman"/>
        <family val="1"/>
      </rPr>
      <t>387.575, 116</t>
    </r>
  </si>
  <si>
    <r>
      <rPr>
        <sz val="10"/>
        <color rgb="FF8A8A8A"/>
        <rFont val="Times New Roman"/>
        <family val="1"/>
      </rPr>
      <t xml:space="preserve">30                  </t>
    </r>
    <r>
      <rPr>
        <sz val="9"/>
        <color rgb="FF8A8A8A"/>
        <rFont val="Arial"/>
        <family val="2"/>
      </rPr>
      <t>N</t>
    </r>
    <r>
      <rPr>
        <sz val="9"/>
        <color rgb="FF8A8A8A"/>
        <rFont val="Times New Roman"/>
        <family val="1"/>
      </rPr>
      <t xml:space="preserve">ew York </t>
    </r>
    <r>
      <rPr>
        <sz val="8"/>
        <color rgb="FF8A8A8A"/>
        <rFont val="Times New Roman"/>
        <family val="1"/>
      </rPr>
      <t xml:space="preserve">(L)                      </t>
    </r>
    <r>
      <rPr>
        <sz val="9"/>
        <color rgb="FF8A8A8A"/>
        <rFont val="Times New Roman"/>
        <family val="1"/>
      </rPr>
      <t>3</t>
    </r>
    <r>
      <rPr>
        <sz val="9"/>
        <color rgb="FFA5A5A5"/>
        <rFont val="Times New Roman"/>
        <family val="1"/>
      </rPr>
      <t>.</t>
    </r>
    <r>
      <rPr>
        <sz val="9"/>
        <color rgb="FF757575"/>
        <rFont val="Times New Roman"/>
        <family val="1"/>
      </rPr>
      <t>10</t>
    </r>
  </si>
  <si>
    <r>
      <rPr>
        <b/>
        <sz val="8"/>
        <color rgb="FF8A8A8A"/>
        <rFont val="Arial"/>
        <family val="2"/>
      </rPr>
      <t xml:space="preserve">Estimated                                    </t>
    </r>
    <r>
      <rPr>
        <b/>
        <sz val="8"/>
        <color rgb="FF8A8A8A"/>
        <rFont val="Times New Roman"/>
        <family val="1"/>
      </rPr>
      <t xml:space="preserve"> </t>
    </r>
    <r>
      <rPr>
        <sz val="9"/>
        <color rgb="FF8A8A8A"/>
        <rFont val="Times New Roman"/>
        <family val="1"/>
      </rPr>
      <t xml:space="preserve">4.608,100         11,627,450         </t>
    </r>
    <r>
      <rPr>
        <sz val="9"/>
        <color rgb="FF757575"/>
        <rFont val="Times New Roman"/>
        <family val="1"/>
      </rPr>
      <t xml:space="preserve">10,268,204         </t>
    </r>
    <r>
      <rPr>
        <sz val="9"/>
        <color rgb="FF8A8A8A"/>
        <rFont val="Times New Roman"/>
        <family val="1"/>
      </rPr>
      <t>1,005,000      27,508,754      8,873.792</t>
    </r>
  </si>
  <si>
    <r>
      <rPr>
        <b/>
        <sz val="8"/>
        <color rgb="FF757575"/>
        <rFont val="Arial"/>
        <family val="2"/>
      </rPr>
      <t xml:space="preserve">Actual
</t>
    </r>
    <r>
      <rPr>
        <sz val="9"/>
        <color rgb="FF757575"/>
        <rFont val="Times New Roman"/>
        <family val="1"/>
      </rPr>
      <t xml:space="preserve">42               </t>
    </r>
    <r>
      <rPr>
        <sz val="9"/>
        <color rgb="FF8A8A8A"/>
        <rFont val="Arial"/>
        <family val="2"/>
      </rPr>
      <t>P</t>
    </r>
    <r>
      <rPr>
        <sz val="9"/>
        <color rgb="FF8A8A8A"/>
        <rFont val="Times New Roman"/>
        <family val="1"/>
      </rPr>
      <t xml:space="preserve">ennsylvania </t>
    </r>
    <r>
      <rPr>
        <sz val="8"/>
        <color rgb="FF8A8A8A"/>
        <rFont val="Times New Roman"/>
        <family val="1"/>
      </rPr>
      <t>(l)</t>
    </r>
  </si>
  <si>
    <r>
      <rPr>
        <b/>
        <sz val="8"/>
        <color rgb="FF8A8A8A"/>
        <rFont val="Arial"/>
        <family val="2"/>
      </rPr>
      <t>Actual</t>
    </r>
  </si>
  <si>
    <r>
      <rPr>
        <sz val="9"/>
        <color rgb="FF757575"/>
        <rFont val="Times New Roman"/>
        <family val="1"/>
      </rPr>
      <t xml:space="preserve">42                    </t>
    </r>
    <r>
      <rPr>
        <sz val="9"/>
        <color rgb="FF8A8A8A"/>
        <rFont val="Arial"/>
        <family val="2"/>
      </rPr>
      <t>N</t>
    </r>
    <r>
      <rPr>
        <sz val="9"/>
        <color rgb="FF8A8A8A"/>
        <rFont val="Times New Roman"/>
        <family val="1"/>
      </rPr>
      <t xml:space="preserve">ew Jersey </t>
    </r>
    <r>
      <rPr>
        <sz val="8"/>
        <color rgb="FF8A8A8A"/>
        <rFont val="Times New Roman"/>
        <family val="1"/>
      </rPr>
      <t xml:space="preserve">(L)
</t>
    </r>
    <r>
      <rPr>
        <b/>
        <sz val="8"/>
        <color rgb="FF8A8A8A"/>
        <rFont val="Arial"/>
        <family val="2"/>
      </rPr>
      <t>Estimated</t>
    </r>
  </si>
  <si>
    <r>
      <rPr>
        <sz val="9"/>
        <color rgb="FF757575"/>
        <rFont val="Times New Roman"/>
        <family val="1"/>
      </rPr>
      <t xml:space="preserve">42                    </t>
    </r>
    <r>
      <rPr>
        <sz val="9"/>
        <color rgb="FF8A8A8A"/>
        <rFont val="Arial"/>
        <family val="2"/>
      </rPr>
      <t>N</t>
    </r>
    <r>
      <rPr>
        <sz val="9"/>
        <color rgb="FF8A8A8A"/>
        <rFont val="Times New Roman"/>
        <family val="1"/>
      </rPr>
      <t xml:space="preserve">ew Jersey </t>
    </r>
    <r>
      <rPr>
        <sz val="8"/>
        <color rgb="FF8A8A8A"/>
        <rFont val="Times New Roman"/>
        <family val="1"/>
      </rPr>
      <t xml:space="preserve">(L)
</t>
    </r>
    <r>
      <rPr>
        <sz val="9"/>
        <color rgb="FF8A8A8A"/>
        <rFont val="Arial"/>
        <family val="2"/>
      </rPr>
      <t>Estimated</t>
    </r>
  </si>
  <si>
    <r>
      <rPr>
        <sz val="9"/>
        <color rgb="FF757575"/>
        <rFont val="Times New Roman"/>
        <family val="1"/>
      </rPr>
      <t xml:space="preserve">42                 </t>
    </r>
    <r>
      <rPr>
        <sz val="9"/>
        <color rgb="FF757575"/>
        <rFont val="Arial"/>
        <family val="2"/>
      </rPr>
      <t xml:space="preserve"> </t>
    </r>
    <r>
      <rPr>
        <sz val="9"/>
        <color rgb="FF8A8A8A"/>
        <rFont val="Arial"/>
        <family val="2"/>
      </rPr>
      <t xml:space="preserve">Pennsylvania (U
</t>
    </r>
    <r>
      <rPr>
        <b/>
        <sz val="9"/>
        <color rgb="FF8A8A8A"/>
        <rFont val="Arial"/>
        <family val="2"/>
      </rPr>
      <t>Estimated</t>
    </r>
  </si>
  <si>
    <r>
      <rPr>
        <b/>
        <sz val="9"/>
        <color rgb="FF444242"/>
        <rFont val="Times New Roman"/>
        <family val="1"/>
      </rPr>
      <t xml:space="preserve">Total </t>
    </r>
    <r>
      <rPr>
        <b/>
        <sz val="9"/>
        <color rgb="FF565656"/>
        <rFont val="Times New Roman"/>
        <family val="1"/>
      </rPr>
      <t xml:space="preserve">land, miles
</t>
    </r>
    <r>
      <rPr>
        <b/>
        <sz val="9"/>
        <color rgb="FF2B2A2A"/>
        <rFont val="Times New Roman"/>
        <family val="1"/>
      </rPr>
      <t>Es</t>
    </r>
    <r>
      <rPr>
        <b/>
        <sz val="9"/>
        <color rgb="FF565656"/>
        <rFont val="Times New Roman"/>
        <family val="1"/>
      </rPr>
      <t>timated</t>
    </r>
  </si>
  <si>
    <r>
      <rPr>
        <b/>
        <sz val="9"/>
        <color rgb="FF444242"/>
        <rFont val="Times New Roman"/>
        <family val="1"/>
      </rPr>
      <t>Actual</t>
    </r>
  </si>
  <si>
    <r>
      <rPr>
        <sz val="9"/>
        <color rgb="FF565656"/>
        <rFont val="Times New Roman"/>
        <family val="1"/>
      </rPr>
      <t xml:space="preserve">567,284, </t>
    </r>
    <r>
      <rPr>
        <sz val="9"/>
        <color rgb="FF444242"/>
        <rFont val="Times New Roman"/>
        <family val="1"/>
      </rPr>
      <t>142</t>
    </r>
  </si>
  <si>
    <r>
      <rPr>
        <b/>
        <sz val="12"/>
        <color rgb="FF2B2A2A"/>
        <rFont val="Arial"/>
        <family val="2"/>
      </rPr>
      <t xml:space="preserve">Offshore </t>
    </r>
    <r>
      <rPr>
        <b/>
        <sz val="12"/>
        <color rgb="FF444242"/>
        <rFont val="Arial"/>
        <family val="2"/>
      </rPr>
      <t>p</t>
    </r>
    <r>
      <rPr>
        <b/>
        <sz val="12"/>
        <color rgb="FF181818"/>
        <rFont val="Arial"/>
        <family val="2"/>
      </rPr>
      <t>i</t>
    </r>
    <r>
      <rPr>
        <b/>
        <sz val="12"/>
        <color rgb="FF444242"/>
        <rFont val="Arial"/>
        <family val="2"/>
      </rPr>
      <t>pelines</t>
    </r>
  </si>
  <si>
    <r>
      <rPr>
        <sz val="9"/>
        <color rgb="FF8A8A8A"/>
        <rFont val="Times New Roman"/>
        <family val="1"/>
      </rPr>
      <t xml:space="preserve">26                  </t>
    </r>
    <r>
      <rPr>
        <sz val="9"/>
        <color rgb="FF8A8A8A"/>
        <rFont val="Arial"/>
        <family val="2"/>
      </rPr>
      <t xml:space="preserve"> </t>
    </r>
    <r>
      <rPr>
        <b/>
        <sz val="8"/>
        <color rgb="FF8A8A8A"/>
        <rFont val="Arial"/>
        <family val="2"/>
      </rPr>
      <t>New YQr'k</t>
    </r>
  </si>
  <si>
    <r>
      <rPr>
        <sz val="9"/>
        <color rgb="FF565656"/>
        <rFont val="Times New Roman"/>
        <family val="1"/>
      </rPr>
      <t>19</t>
    </r>
    <r>
      <rPr>
        <sz val="9"/>
        <color rgb="FF2B2A2A"/>
        <rFont val="Times New Roman"/>
        <family val="1"/>
      </rPr>
      <t xml:space="preserve">1 </t>
    </r>
    <r>
      <rPr>
        <sz val="9"/>
        <color rgb="FF565656"/>
        <rFont val="Times New Roman"/>
        <family val="1"/>
      </rPr>
      <t>,566,4</t>
    </r>
    <r>
      <rPr>
        <sz val="9"/>
        <color rgb="FF2B2A2A"/>
        <rFont val="Times New Roman"/>
        <family val="1"/>
      </rPr>
      <t>19</t>
    </r>
  </si>
  <si>
    <r>
      <rPr>
        <b/>
        <sz val="8"/>
        <color rgb="FF2B2A2A"/>
        <rFont val="Arial"/>
        <family val="2"/>
      </rPr>
      <t>To</t>
    </r>
    <r>
      <rPr>
        <b/>
        <sz val="8"/>
        <color rgb="FF565656"/>
        <rFont val="Arial"/>
        <family val="2"/>
      </rPr>
      <t>ta</t>
    </r>
    <r>
      <rPr>
        <b/>
        <sz val="8"/>
        <color rgb="FF2B2A2A"/>
        <rFont val="Arial"/>
        <family val="2"/>
      </rPr>
      <t xml:space="preserve">l </t>
    </r>
    <r>
      <rPr>
        <b/>
        <sz val="8"/>
        <color rgb="FF444242"/>
        <rFont val="Arial"/>
        <family val="2"/>
      </rPr>
      <t>offshore, miles</t>
    </r>
  </si>
  <si>
    <r>
      <rPr>
        <b/>
        <sz val="8"/>
        <color rgb="FF444242"/>
        <rFont val="Arial"/>
        <family val="2"/>
      </rPr>
      <t>Estimated</t>
    </r>
  </si>
  <si>
    <r>
      <rPr>
        <b/>
        <sz val="8"/>
        <color rgb="FF2B2A2A"/>
        <rFont val="Arial"/>
        <family val="2"/>
      </rPr>
      <t>To</t>
    </r>
    <r>
      <rPr>
        <b/>
        <sz val="8"/>
        <color rgb="FF565656"/>
        <rFont val="Arial"/>
        <family val="2"/>
      </rPr>
      <t>1a</t>
    </r>
    <r>
      <rPr>
        <b/>
        <sz val="8"/>
        <color rgb="FF181818"/>
        <rFont val="Arial"/>
        <family val="2"/>
      </rPr>
      <t>1</t>
    </r>
    <r>
      <rPr>
        <b/>
        <sz val="8"/>
        <color rgb="FF444242"/>
        <rFont val="Arial"/>
        <family val="2"/>
      </rPr>
      <t xml:space="preserve">, </t>
    </r>
    <r>
      <rPr>
        <b/>
        <sz val="8"/>
        <color rgb="FF565656"/>
        <rFont val="Arial"/>
        <family val="2"/>
      </rPr>
      <t>m</t>
    </r>
    <r>
      <rPr>
        <b/>
        <sz val="8"/>
        <color rgb="FF2B2A2A"/>
        <rFont val="Arial"/>
        <family val="2"/>
      </rPr>
      <t>il</t>
    </r>
    <r>
      <rPr>
        <b/>
        <sz val="8"/>
        <color rgb="FF565656"/>
        <rFont val="Arial"/>
        <family val="2"/>
      </rPr>
      <t>es</t>
    </r>
  </si>
  <si>
    <r>
      <rPr>
        <b/>
        <sz val="9"/>
        <color rgb="FF444242"/>
        <rFont val="Times New Roman"/>
        <family val="1"/>
      </rPr>
      <t>Estimated</t>
    </r>
  </si>
  <si>
    <r>
      <rPr>
        <b/>
        <sz val="5"/>
        <color rgb="FFA5A5A5"/>
        <rFont val="Arial"/>
        <family val="2"/>
      </rPr>
      <t>1</t>
    </r>
    <r>
      <rPr>
        <b/>
        <sz val="8"/>
        <color rgb="FF8A8A8A"/>
        <rFont val="Arial"/>
        <family val="2"/>
      </rPr>
      <t xml:space="preserve">Actual </t>
    </r>
    <r>
      <rPr>
        <b/>
        <sz val="8"/>
        <color rgb="FF8A8A8A"/>
        <rFont val="Times New Roman"/>
        <family val="1"/>
      </rPr>
      <t>coS1</t>
    </r>
    <r>
      <rPr>
        <b/>
        <sz val="8"/>
        <color rgb="FF8A8A8A"/>
        <rFont val="Arial"/>
        <family val="2"/>
      </rPr>
      <t xml:space="preserve"> data muS1 be liledwitlWI 6mordls klllotMg</t>
    </r>
    <r>
      <rPr>
        <b/>
        <sz val="8"/>
        <color rgb="FF8A8A8A"/>
        <rFont val="Times New Roman"/>
        <family val="1"/>
      </rPr>
      <t>final</t>
    </r>
    <r>
      <rPr>
        <b/>
        <sz val="8"/>
        <color rgb="FF8A8A8A"/>
        <rFont val="Arial"/>
        <family val="2"/>
      </rPr>
      <t xml:space="preserve"> IY,&lt;drOSUtlC </t>
    </r>
    <r>
      <rPr>
        <b/>
        <sz val="8"/>
        <color rgb="FF8A8A8A"/>
        <rFont val="Times New Roman"/>
        <family val="1"/>
      </rPr>
      <t>t</t>
    </r>
    <r>
      <rPr>
        <b/>
        <sz val="8"/>
        <color rgb="FF8A8A8A"/>
        <rFont val="Arial"/>
        <family val="2"/>
      </rPr>
      <t xml:space="preserve">est </t>
    </r>
    <r>
      <rPr>
        <b/>
        <i/>
        <sz val="8"/>
        <color rgb="FF8A8A8A"/>
        <rFont val="Times New Roman"/>
        <family val="1"/>
      </rPr>
      <t>d</t>
    </r>
    <r>
      <rPr>
        <b/>
        <i/>
        <sz val="8"/>
        <color rgb="FF8A8A8A"/>
        <rFont val="Arial"/>
        <family val="2"/>
      </rPr>
      <t xml:space="preserve"> </t>
    </r>
    <r>
      <rPr>
        <b/>
        <sz val="8"/>
        <color rgb="FF8A8A8A"/>
        <rFont val="Arial"/>
        <family val="2"/>
      </rPr>
      <t>PClcline</t>
    </r>
    <r>
      <rPr>
        <b/>
        <sz val="8"/>
        <color rgb="FFA5A5A5"/>
        <rFont val="Arial"/>
        <family val="2"/>
      </rPr>
      <t xml:space="preserve">,   </t>
    </r>
    <r>
      <rPr>
        <b/>
        <sz val="8"/>
        <color rgb="FF8A8A8A"/>
        <rFont val="Arial"/>
        <family val="2"/>
      </rPr>
      <t xml:space="preserve">all </t>
    </r>
    <r>
      <rPr>
        <b/>
        <sz val="8"/>
        <color rgb="FF8A8A8A"/>
        <rFont val="Times New Roman"/>
        <family val="1"/>
      </rPr>
      <t>projects</t>
    </r>
    <r>
      <rPr>
        <b/>
        <sz val="8"/>
        <color rgb="FF8A8A8A"/>
        <rFont val="Arial"/>
        <family val="2"/>
      </rPr>
      <t xml:space="preserve"> </t>
    </r>
    <r>
      <rPr>
        <b/>
        <sz val="7"/>
        <color rgb="FF8A8A8A"/>
        <rFont val="Arial"/>
        <family val="2"/>
      </rPr>
      <t xml:space="preserve">t)roposed </t>
    </r>
    <r>
      <rPr>
        <b/>
        <sz val="8"/>
        <color rgb="FF8A8A8A"/>
        <rFont val="Times New Roman"/>
        <family val="1"/>
      </rPr>
      <t>(tseinvlod</t>
    </r>
    <r>
      <rPr>
        <b/>
        <sz val="8"/>
        <color rgb="FF8A8A8A"/>
        <rFont val="Arial"/>
        <family val="2"/>
      </rPr>
      <t xml:space="preserve"> </t>
    </r>
    <r>
      <rPr>
        <b/>
        <sz val="7"/>
        <color rgb="FF8A8A8A"/>
        <rFont val="Arial"/>
        <family val="2"/>
      </rPr>
      <t>costs)</t>
    </r>
    <r>
      <rPr>
        <b/>
        <sz val="8"/>
        <color rgb="FF8A8A8A"/>
        <rFont val="Arial"/>
        <family val="2"/>
      </rPr>
      <t>are buh</t>
    </r>
    <r>
      <rPr>
        <b/>
        <sz val="8"/>
        <color rgb="FF8A8A8A"/>
        <rFont val="Times New Roman"/>
        <family val="1"/>
      </rPr>
      <t>(actual</t>
    </r>
    <r>
      <rPr>
        <b/>
        <sz val="8"/>
        <color rgb="FF8A8A8A"/>
        <rFont val="Arial"/>
        <family val="2"/>
      </rPr>
      <t xml:space="preserve"> coslSt l</t>
    </r>
    <r>
      <rPr>
        <b/>
        <sz val="8"/>
        <color rgb="FFB8B8B8"/>
        <rFont val="Arial"/>
        <family val="2"/>
      </rPr>
      <t xml:space="preserve">• </t>
    </r>
    <r>
      <rPr>
        <b/>
        <sz val="8"/>
        <color rgb="FF8A8A8A"/>
        <rFont val="Times New Roman"/>
        <family val="1"/>
      </rPr>
      <t>k&gt;op</t>
    </r>
    <r>
      <rPr>
        <b/>
        <sz val="8"/>
        <color rgb="FF8A8A8A"/>
        <rFont val="Arial"/>
        <family val="2"/>
      </rPr>
      <t xml:space="preserve">,lat. ..tamlR </t>
    </r>
    <r>
      <rPr>
        <b/>
        <sz val="8"/>
        <color rgb="FFA5A5A5"/>
        <rFont val="Arial"/>
        <family val="2"/>
      </rPr>
      <t>..</t>
    </r>
    <r>
      <rPr>
        <b/>
        <sz val="6"/>
        <color rgb="FF8A8A8A"/>
        <rFont val="Arial"/>
        <family val="2"/>
      </rPr>
      <t>rt·</t>
    </r>
  </si>
  <si>
    <r>
      <rPr>
        <b/>
        <sz val="8"/>
        <color rgb="FF8A8A8A"/>
        <rFont val="Times New Roman"/>
        <family val="1"/>
      </rPr>
      <t xml:space="preserve">men!. 2Generally inctudes </t>
    </r>
    <r>
      <rPr>
        <b/>
        <sz val="6"/>
        <color rgb="FF8A8A8A"/>
        <rFont val="Times New Roman"/>
        <family val="1"/>
      </rPr>
      <t xml:space="preserve">SOO'e)'S. </t>
    </r>
    <r>
      <rPr>
        <b/>
        <sz val="8"/>
        <color rgb="FF8A8A8A"/>
        <rFont val="Times New Roman"/>
        <family val="1"/>
      </rPr>
      <t xml:space="preserve">MIJ., sup¥e1VislcJ1, </t>
    </r>
    <r>
      <rPr>
        <b/>
        <sz val="7"/>
        <color rgb="FF8A8A8A"/>
        <rFont val="Arial"/>
        <family val="2"/>
      </rPr>
      <t>in1eres</t>
    </r>
    <r>
      <rPr>
        <b/>
        <sz val="7"/>
        <color rgb="FF8A8A8A"/>
        <rFont val="Times New Roman"/>
        <family val="1"/>
      </rPr>
      <t xml:space="preserve">1, </t>
    </r>
    <r>
      <rPr>
        <b/>
        <sz val="8"/>
        <color rgb="FF757575"/>
        <rFont val="Times New Roman"/>
        <family val="1"/>
      </rPr>
      <t xml:space="preserve">freI. </t>
    </r>
    <r>
      <rPr>
        <b/>
        <sz val="8"/>
        <color rgb="FF8A8A8A"/>
        <rFont val="Times New Roman"/>
        <family val="1"/>
      </rPr>
      <t xml:space="preserve">laxes, aMW!istraOOn </t>
    </r>
    <r>
      <rPr>
        <b/>
        <sz val="7"/>
        <color rgb="FF8A8A8A"/>
        <rFont val="Arial"/>
        <family val="2"/>
      </rPr>
      <t>¥ld</t>
    </r>
    <r>
      <rPr>
        <b/>
        <sz val="7"/>
        <color rgb="FF8A8A8A"/>
        <rFont val="Times New Roman"/>
        <family val="1"/>
      </rPr>
      <t xml:space="preserve"> </t>
    </r>
    <r>
      <rPr>
        <b/>
        <sz val="8"/>
        <color rgb="FF8A8A8A"/>
        <rFont val="Times New Roman"/>
        <family val="1"/>
      </rPr>
      <t xml:space="preserve">CM!fheacts. coobflgencies. allowances for </t>
    </r>
    <r>
      <rPr>
        <b/>
        <sz val="7"/>
        <color rgb="FF8A8A8A"/>
        <rFont val="Arial"/>
        <family val="2"/>
      </rPr>
      <t>foods</t>
    </r>
    <r>
      <rPr>
        <b/>
        <sz val="7"/>
        <color rgb="FF8A8A8A"/>
        <rFont val="Times New Roman"/>
        <family val="1"/>
      </rPr>
      <t xml:space="preserve"> </t>
    </r>
    <r>
      <rPr>
        <b/>
        <sz val="8"/>
        <color rgb="FF8A8A8A"/>
        <rFont val="Times New Roman"/>
        <family val="1"/>
      </rPr>
      <t>used d'"1g</t>
    </r>
    <r>
      <rPr>
        <b/>
        <sz val="8"/>
        <color rgb="FF8A8A8A"/>
        <rFont val="Arial"/>
        <family val="2"/>
      </rPr>
      <t>oonstroc:tioo</t>
    </r>
    <r>
      <rPr>
        <b/>
        <sz val="8"/>
        <color rgb="FF8A8A8A"/>
        <rFont val="Times New Roman"/>
        <family val="1"/>
      </rPr>
      <t xml:space="preserve"> </t>
    </r>
    <r>
      <rPr>
        <b/>
        <sz val="7"/>
        <color rgb="FF8A8A8A"/>
        <rFont val="Times New Roman"/>
        <family val="1"/>
      </rPr>
      <t>(afudc)</t>
    </r>
    <r>
      <rPr>
        <b/>
        <sz val="7"/>
        <color rgb="FFA5A5A5"/>
        <rFont val="Times New Roman"/>
        <family val="1"/>
      </rPr>
      <t xml:space="preserve">, </t>
    </r>
    <r>
      <rPr>
        <b/>
        <sz val="8"/>
        <color rgb="FF8A8A8A"/>
        <rFont val="Times New Roman"/>
        <family val="1"/>
      </rPr>
      <t>and regula·</t>
    </r>
  </si>
  <si>
    <r>
      <rPr>
        <sz val="9"/>
        <color rgb="FF8A8A8A"/>
        <rFont val="Arial"/>
        <family val="2"/>
      </rPr>
      <t>IO&lt;Y -</t>
    </r>
  </si>
  <si>
    <r>
      <rPr>
        <b/>
        <sz val="8"/>
        <color rgb="FF8A8A8A"/>
        <rFont val="Times New Roman"/>
        <family val="1"/>
      </rPr>
      <t xml:space="preserve">Source: US FERC: for comJ)lettd-pro,ectOOS1S Red </t>
    </r>
    <r>
      <rPr>
        <b/>
        <sz val="8"/>
        <color rgb="FF8A8A8A"/>
        <rFont val="Arial"/>
        <family val="2"/>
      </rPr>
      <t>betwHr'I</t>
    </r>
    <r>
      <rPr>
        <b/>
        <sz val="8"/>
        <color rgb="FF8A8A8A"/>
        <rFont val="Times New Roman"/>
        <family val="1"/>
      </rPr>
      <t xml:space="preserve"> Ally l, 2015, </t>
    </r>
    <r>
      <rPr>
        <b/>
        <sz val="8"/>
        <color rgb="FF8A8A8A"/>
        <rFont val="Arial"/>
        <family val="2"/>
      </rPr>
      <t>and</t>
    </r>
    <r>
      <rPr>
        <b/>
        <sz val="8"/>
        <color rgb="FF8A8A8A"/>
        <rFont val="Times New Roman"/>
        <family val="1"/>
      </rPr>
      <t xml:space="preserve"> JooeJO. 2016. under CFR </t>
    </r>
    <r>
      <rPr>
        <b/>
        <sz val="8"/>
        <color rgb="FF8A8A8A"/>
        <rFont val="Arial"/>
        <family val="2"/>
      </rPr>
      <t xml:space="preserve">Section </t>
    </r>
    <r>
      <rPr>
        <b/>
        <sz val="8"/>
        <color rgb="FF8A8A8A"/>
        <rFont val="Times New Roman"/>
        <family val="1"/>
      </rPr>
      <t>157.20(e)(4)</t>
    </r>
    <r>
      <rPr>
        <b/>
        <sz val="8"/>
        <color rgb="FFA5A5A5"/>
        <rFont val="Times New Roman"/>
        <family val="1"/>
      </rPr>
      <t>.</t>
    </r>
  </si>
  <si>
    <t>https://reader.elsevier.com/reader/sd/7536A45FC15F852BAC183C127D35DD04619AC49413C489142A355E2E5B96FF2C67B2EB76257C27C04E42AA69DC275278</t>
  </si>
  <si>
    <t>Kaiser (2017), Offshore pipeline construction cost in the US Gulf of Mexico, Marine Policy 82, pp. 147-166.</t>
  </si>
  <si>
    <t>Throughput in M nm3 per day</t>
  </si>
  <si>
    <t>Throughput in nm3 per day</t>
  </si>
  <si>
    <t>Throughput in 1000 nm3 per day</t>
  </si>
  <si>
    <t>UTC in EUR/1000 Nm3</t>
  </si>
  <si>
    <t>UTC per day</t>
  </si>
  <si>
    <t>UTC per year</t>
  </si>
  <si>
    <t>=Total operating expenditures of major trunklines are currently ~ Eur. 65 mln.</t>
  </si>
  <si>
    <t>https://www.loyensloeff.com/media/7323/domino-presentation-ll.pdf</t>
  </si>
  <si>
    <t>EUR/1000 Nm3</t>
  </si>
  <si>
    <t>Pipeline OPEX</t>
  </si>
  <si>
    <t>Gas production</t>
  </si>
  <si>
    <t>[Nm3]</t>
  </si>
  <si>
    <t>Natural gas production</t>
  </si>
  <si>
    <t>Average</t>
  </si>
  <si>
    <t>UTC EUR/1000 Nm3</t>
  </si>
  <si>
    <t>Stop operation</t>
  </si>
  <si>
    <t>Stop operations</t>
  </si>
  <si>
    <t>Assume CO2 stored in Rijn oil field and aquifer from 2033</t>
  </si>
  <si>
    <t>Assume new CO2 pipeline to P15-ACD and onshipment north</t>
  </si>
  <si>
    <t>Need a new platform for  large scale green hydrogen</t>
  </si>
  <si>
    <t>Assume natural gas pipeline reused for hydrogen transport</t>
  </si>
  <si>
    <r>
      <t xml:space="preserve">Assume CO2 tansported across P15-ACD but </t>
    </r>
    <r>
      <rPr>
        <sz val="8.8000000000000007"/>
        <color rgb="FFFF0000"/>
        <rFont val="Calibri"/>
        <family val="2"/>
      </rPr>
      <t>no storage</t>
    </r>
    <r>
      <rPr>
        <sz val="11"/>
        <color theme="1"/>
        <rFont val="Calibri"/>
        <family val="2"/>
        <scheme val="minor"/>
      </rPr>
      <t xml:space="preserve"> !</t>
    </r>
  </si>
  <si>
    <t>Assume reuse natural gas pipeline from P15-ACD to shore for CO2 transport</t>
  </si>
  <si>
    <t>Assume remove all gas processing eqipment from P15-D to make space for large scale electrolyser</t>
  </si>
  <si>
    <t>Assume new pipeline for hydrogen transport</t>
  </si>
  <si>
    <t>Assume small scale hydrogen comingled with natural gas</t>
  </si>
  <si>
    <t>Relative decommissioning cost topside + jacket</t>
  </si>
  <si>
    <t>EUR / ton</t>
  </si>
  <si>
    <t>Onshore disposal, remidiation and monitoring</t>
  </si>
  <si>
    <t>Project managment and facility running cost</t>
  </si>
  <si>
    <t>Relative costs natural gas well P&amp;A</t>
  </si>
  <si>
    <t>Relative costs pipeline 'making safe' and decom</t>
  </si>
  <si>
    <t>EUR /well</t>
  </si>
  <si>
    <t>EUR /km</t>
  </si>
  <si>
    <t>Large scale green hydrogen</t>
  </si>
  <si>
    <t>Small scale green hydrogen</t>
  </si>
  <si>
    <t>Assume H2 admixture to existing natural gas stream</t>
  </si>
  <si>
    <t>Scenario:  Assume gas production till 2035</t>
  </si>
  <si>
    <t>CCS and gas production can be parrallel (using LowCal line for CCS), asume a field available for CCS after 2027. Full scale hydrogen after gas production.</t>
  </si>
  <si>
    <t>Assumed 25yr lifetime of new units.</t>
  </si>
  <si>
    <t>size 100MW electrolyser unit open for discussion</t>
  </si>
  <si>
    <t>Case study K14FA (JDA)</t>
  </si>
  <si>
    <t>Scenario:  Assume gas production till 2048</t>
  </si>
  <si>
    <t>CCS and gas production can be parrallel (using LowCal line for CCS), asume a field available for CCS after 2027.</t>
  </si>
  <si>
    <t>100MW big unit open for discussion</t>
  </si>
  <si>
    <t>No</t>
  </si>
  <si>
    <t>Scenario:  Assume gasproduction till 2048</t>
  </si>
  <si>
    <t xml:space="preserve">NO CCS, but gas production and H2 production parrallel. </t>
  </si>
  <si>
    <t>100MW first assumption, option to install more capacity</t>
  </si>
  <si>
    <t>Assume first installation small unit, and full scale unit in 2028 .</t>
  </si>
  <si>
    <t>Electrification from Hollandse Kust Noord TENNET platform</t>
  </si>
  <si>
    <t>Electrification project: pay-out by cheaper gas production</t>
  </si>
  <si>
    <t>CCS will start in 2029 in ‘hybrid mode’ – together with continuing gas production, i.e. additional investment and platform modification required</t>
  </si>
  <si>
    <t>An additional pipeline is required (assumed between K5-P and K6-P) to allow evacuation of gas thru NGT (another cross-over is assumed for NAM’s K14 to NGT – e.g. by L10)</t>
  </si>
  <si>
    <t>The WGT line is assumed to reverse flow direction, supplying CO2 as of 2033</t>
  </si>
  <si>
    <t xml:space="preserve"> Electrification project: pay-out by cheaper gas production</t>
  </si>
  <si>
    <t>CCS will start after ending of gas production in 2033</t>
  </si>
  <si>
    <t>Electrification with Ijmuiden Ver</t>
  </si>
  <si>
    <t>A decision is required if gas production will be electrified for the small amount of remaining gas.</t>
  </si>
  <si>
    <t>CCS will start in 2029 in ‘hybrid mode’ – together with continuing gas production</t>
  </si>
  <si>
    <t>The electrification project and CCS conversion project are merged too.</t>
  </si>
  <si>
    <t>Decom &amp; refub</t>
  </si>
  <si>
    <t>Boolean refurbishment required</t>
  </si>
  <si>
    <t>Boolean decommissioning topside &amp; substructure required</t>
  </si>
  <si>
    <t>Boolean decommissioning wells required</t>
  </si>
  <si>
    <t>Boolean decommissioning pipelines required</t>
  </si>
  <si>
    <t>Boolean</t>
  </si>
  <si>
    <t>Postpone decom pipe campain to COP</t>
  </si>
  <si>
    <t>Amount of pipeline to be removed</t>
  </si>
  <si>
    <t>Number of required producing wells NG</t>
  </si>
  <si>
    <t>Number of wells to be abbandonent at end phase</t>
  </si>
  <si>
    <t>Decom cost E &amp; NG phase</t>
  </si>
  <si>
    <t>New CO2 wells required</t>
  </si>
  <si>
    <t>Number of available for CO2 wells at start phase</t>
  </si>
  <si>
    <t>NG compressors converted to CO2 compressors</t>
  </si>
  <si>
    <t>Cable and pipeline capacities</t>
  </si>
  <si>
    <t>[MW]</t>
  </si>
  <si>
    <t>Pump capacity required at project end</t>
  </si>
  <si>
    <t>In case of bottom hole pressure &lt; well pressure 
data retrieved from general database with respect to selected field</t>
  </si>
  <si>
    <t>CO2 pipeline capacity required</t>
  </si>
  <si>
    <t>[kg/h]</t>
  </si>
  <si>
    <t>Size electrolyser</t>
  </si>
  <si>
    <t>litre / MWh</t>
  </si>
  <si>
    <t>EUR / (litre/hour)</t>
  </si>
  <si>
    <t>Lenntech 2000 l/h, 18 kW +30% remote control</t>
  </si>
  <si>
    <t>Fresh water requirement per MWh used by electrolyser; Silyzer 300 based</t>
  </si>
  <si>
    <t>Large H2</t>
  </si>
  <si>
    <t>Small H2</t>
  </si>
  <si>
    <t>CO2 pump</t>
  </si>
  <si>
    <t>Electrolyser S</t>
  </si>
  <si>
    <t>Desalination Unit S</t>
  </si>
  <si>
    <t>Compressor S</t>
  </si>
  <si>
    <t>H2 pipeline capacity required S</t>
  </si>
  <si>
    <t>Electrolyser L</t>
  </si>
  <si>
    <t>Desalination Unit L</t>
  </si>
  <si>
    <t>Compressor L</t>
  </si>
  <si>
    <t>H2 pipeline capacity required L</t>
  </si>
  <si>
    <t>Combined pipeline capacity required</t>
  </si>
  <si>
    <t>Combined electric capacitiy required (based on year of operation)</t>
  </si>
  <si>
    <t>Sum</t>
  </si>
  <si>
    <t>Total installed capacity</t>
  </si>
  <si>
    <t>Active equipment</t>
  </si>
  <si>
    <t>Interview NAM, 50% uncertainty, 2,700,000</t>
  </si>
  <si>
    <t>Integration of substation changes</t>
  </si>
  <si>
    <t>Tennet substation changes</t>
  </si>
  <si>
    <t>Transport tariff</t>
  </si>
  <si>
    <t>EUR / MWh</t>
  </si>
  <si>
    <t>Fixed connection fee</t>
  </si>
  <si>
    <t>Connection fee Tennet - Platform operator</t>
  </si>
  <si>
    <t>Transmission fee onshore / WP to platform</t>
  </si>
  <si>
    <t>Including transport tariff</t>
  </si>
  <si>
    <t>Tariff included in sub-module</t>
  </si>
  <si>
    <t>existing</t>
  </si>
  <si>
    <r>
      <t>EUR/kg H</t>
    </r>
    <r>
      <rPr>
        <vertAlign val="subscript"/>
        <sz val="11"/>
        <color theme="1"/>
        <rFont val="Calibri"/>
        <family val="2"/>
        <scheme val="minor"/>
      </rPr>
      <t>2</t>
    </r>
  </si>
  <si>
    <t>Cost of hydrogen extraction (admix)</t>
  </si>
  <si>
    <t>PSA at pressure-reduction facility onshore</t>
  </si>
  <si>
    <t>Primary Flow</t>
  </si>
  <si>
    <t>Separation (admix)</t>
  </si>
  <si>
    <t>Relative cost of hydrogen separation (admix)</t>
  </si>
  <si>
    <t>Hydrogen recovery factor separation (admix)</t>
  </si>
  <si>
    <t>Electric connection to Luchterduinen</t>
  </si>
  <si>
    <t>Avg. Injectivity per well [Mton CO2/a]</t>
  </si>
  <si>
    <t>Transport distance cluster to reservoir [km]</t>
  </si>
  <si>
    <t>Initial well pressure [MPa]</t>
  </si>
  <si>
    <t>Technical maximum reservoir end state [MPa]</t>
  </si>
  <si>
    <t>Platform Cluster</t>
  </si>
  <si>
    <t>Estimated Availability</t>
  </si>
  <si>
    <t>Total reservoir capacity [MtCO2]</t>
  </si>
  <si>
    <t>Available wells for workover (CCS)</t>
  </si>
  <si>
    <t>Non-usable CO2 wells</t>
  </si>
  <si>
    <t>DATABASE CO2 STORAGE</t>
  </si>
  <si>
    <t>Static pressure added by collum [MPa]</t>
  </si>
  <si>
    <t>Routing according to Joris'estimations</t>
  </si>
  <si>
    <t>Share the cable and costs in scenario 1 and 2 going to HKN with K14</t>
  </si>
  <si>
    <t>K14 Cluster</t>
  </si>
  <si>
    <t>K5 Cluster</t>
  </si>
  <si>
    <t>P15/18 Cluster</t>
  </si>
  <si>
    <t>Electrolyser capacity [MW]</t>
  </si>
  <si>
    <t>H2 price admixing (NG)</t>
  </si>
  <si>
    <t>EUR/Nm³</t>
  </si>
  <si>
    <t>Hydrogen injection</t>
  </si>
  <si>
    <t>Admix</t>
  </si>
  <si>
    <t>Admixing scenario, similar value to NG, flat price</t>
  </si>
  <si>
    <t>Separated</t>
  </si>
  <si>
    <t>Capacity required</t>
  </si>
  <si>
    <t>Cable installation</t>
  </si>
  <si>
    <t>Capacity being installed</t>
  </si>
  <si>
    <t>This figure may differ from the capacity required for electrification due using the cable for other activities simultaneously or in a later stage</t>
  </si>
  <si>
    <t>Cable OPEX</t>
  </si>
  <si>
    <t>Cable CAPEX</t>
  </si>
  <si>
    <t>Annual gas production profile</t>
  </si>
  <si>
    <t>Gas production flat rate</t>
  </si>
  <si>
    <t>[-]</t>
  </si>
  <si>
    <t>Gas sales profiles for each scenario (gas volumes in BCM/y)</t>
  </si>
  <si>
    <t>[BCM/y]</t>
  </si>
  <si>
    <t>Gas production scenario</t>
  </si>
  <si>
    <t>#</t>
  </si>
  <si>
    <t>m²/MW</t>
  </si>
  <si>
    <t>Dimensions spreadsheet, similar to NG compressor, onshore compressor size not relevant</t>
  </si>
  <si>
    <t>Dimensions pump</t>
  </si>
  <si>
    <t>Pump</t>
  </si>
  <si>
    <t>Total compressor area</t>
  </si>
  <si>
    <t>Total compressor weight</t>
  </si>
  <si>
    <t>Total pump area</t>
  </si>
  <si>
    <t>Total pump weight</t>
  </si>
  <si>
    <t>Specific compressor area</t>
  </si>
  <si>
    <t>Specific weight compressor</t>
  </si>
  <si>
    <t>Specific pump area</t>
  </si>
  <si>
    <t>Specific pump weight</t>
  </si>
  <si>
    <t>t</t>
  </si>
  <si>
    <t>Dimensions spreadsheet, scaled dimensions Speck plunger pump</t>
  </si>
  <si>
    <t>Specific area electrical equipment</t>
  </si>
  <si>
    <t>Specific weight electrical equipment</t>
  </si>
  <si>
    <t>Dimensions spreadsheet, based on offshore substations</t>
  </si>
  <si>
    <t>Dimensions spreadsheet, based on transformer</t>
  </si>
  <si>
    <t>Total area electrical equipment</t>
  </si>
  <si>
    <t>Total weight electrical equipment</t>
  </si>
  <si>
    <t>Relative electrolyser area</t>
  </si>
  <si>
    <t>dimensions spreadsheet, Hylizer 1000-30 incl. utilities</t>
  </si>
  <si>
    <t>Total electrolyser weigth</t>
  </si>
  <si>
    <t>Total electrolyser area</t>
  </si>
  <si>
    <t>Total desalination unit area</t>
  </si>
  <si>
    <t>Total desalination unit weight</t>
  </si>
  <si>
    <t>Relative area compressor</t>
  </si>
  <si>
    <t>Relative weight compressor</t>
  </si>
  <si>
    <t>dimensions spreadsheet, Howden</t>
  </si>
  <si>
    <t>dimensions spreadsheet, Rix Industries 2DS</t>
  </si>
  <si>
    <t>Total area compressor</t>
  </si>
  <si>
    <t>Total weight compressor</t>
  </si>
  <si>
    <t>Relative electrolyser weight</t>
  </si>
  <si>
    <t>Oil and gas UK (decommissioning insight 2017)</t>
  </si>
  <si>
    <t>Topside + jacket</t>
  </si>
  <si>
    <t>natural gas well P&amp;A</t>
  </si>
  <si>
    <t>pipeline 'making safe' and decom</t>
  </si>
  <si>
    <t>NG + CO2 hybrid mode present</t>
  </si>
  <si>
    <t>Number of available wells at start of business case</t>
  </si>
  <si>
    <t>Booleans</t>
  </si>
  <si>
    <t>Percentages en general decom data</t>
  </si>
  <si>
    <t>Platform variables</t>
  </si>
  <si>
    <t>Refurbishment calculations</t>
  </si>
  <si>
    <t>Decom costs jacket, pipe and wells</t>
  </si>
  <si>
    <t>decom cost topside + jacket</t>
  </si>
  <si>
    <t>kEuro</t>
  </si>
  <si>
    <t>decom cost well pluging</t>
  </si>
  <si>
    <t>decom cost pipe making safe and removal</t>
  </si>
  <si>
    <t>Decom cost CO2 phase</t>
  </si>
  <si>
    <t>Decom cost CCS phase</t>
  </si>
  <si>
    <t>Decom cost H2 small phase</t>
  </si>
  <si>
    <t>Decom cost H2 large phase</t>
  </si>
  <si>
    <t>Decom cost H2L phase</t>
  </si>
  <si>
    <t>Decom cost H2S phase</t>
  </si>
  <si>
    <t>Relative area electric motor</t>
  </si>
  <si>
    <t>Relative weight electric motor</t>
  </si>
  <si>
    <t>Total area electric motor</t>
  </si>
  <si>
    <t>Total weight electric motor</t>
  </si>
  <si>
    <t>Relative area electric compressor</t>
  </si>
  <si>
    <t>Relative weight electric compressor</t>
  </si>
  <si>
    <t>Source: EBN &amp; Gasunie: Transport en opslag van CO2 in Nederland, 2017</t>
  </si>
  <si>
    <t>Source: Nogepa: Potential for CO2 storage in depleted gas fields on the Dutch Continental Shelf, Phase 1: Technical Assessment, 2008</t>
  </si>
  <si>
    <t>Hydrostatic pressure</t>
  </si>
  <si>
    <t>Depth [km]</t>
  </si>
  <si>
    <t>Pressure [bar]</t>
  </si>
  <si>
    <t>Source: Nogepa: Potential for CO2 storage in depleted gas fields on the Dutch Continental Shelf, Phase 1: Technical Assessment, 2008 (p.33)</t>
  </si>
  <si>
    <t>m=</t>
  </si>
  <si>
    <r>
      <t xml:space="preserve">Pressure [MPa] </t>
    </r>
    <r>
      <rPr>
        <i/>
        <sz val="11"/>
        <color theme="1"/>
        <rFont val="Calibri"/>
        <family val="2"/>
        <scheme val="minor"/>
      </rPr>
      <t>31/12</t>
    </r>
  </si>
  <si>
    <r>
      <t xml:space="preserve">Stored CO2 [Mt/a] </t>
    </r>
    <r>
      <rPr>
        <i/>
        <sz val="11"/>
        <color theme="1"/>
        <rFont val="Calibri"/>
        <family val="2"/>
        <scheme val="minor"/>
      </rPr>
      <t>31/12</t>
    </r>
  </si>
  <si>
    <t>Reservoir volume used without pumping</t>
  </si>
  <si>
    <t>Available field capacity</t>
  </si>
  <si>
    <t>Additional electric connection (shared infr.)</t>
  </si>
  <si>
    <t>Demand driven</t>
  </si>
  <si>
    <t>To be updated always for Total NAM case</t>
  </si>
  <si>
    <t>Cable costs shared</t>
  </si>
  <si>
    <t>Shared cable costs</t>
  </si>
  <si>
    <t>Shared cable capex</t>
  </si>
  <si>
    <t>Electrification with HKN, shared electric infrastructure with Total</t>
  </si>
  <si>
    <t>Electrification with NAM K14, shared costs for capacity between HKN and K14</t>
  </si>
  <si>
    <t>Opex platform</t>
  </si>
  <si>
    <t>Fixed rate</t>
  </si>
  <si>
    <t>Pipeline opex</t>
  </si>
  <si>
    <t>Combined area and available weight required</t>
  </si>
  <si>
    <t>Tennet</t>
  </si>
  <si>
    <t>EUR / kW</t>
  </si>
  <si>
    <t>m² p. 40 ft container</t>
  </si>
  <si>
    <t>40 ft container</t>
  </si>
  <si>
    <t>incl. utilities</t>
  </si>
  <si>
    <t>Mton / a</t>
  </si>
  <si>
    <t>ton/MW</t>
  </si>
  <si>
    <t>Removal of already existing pipeline networks not considered yet</t>
  </si>
  <si>
    <t>Stand-alone required cable capacity</t>
  </si>
  <si>
    <t>Cable capacity to be installed</t>
  </si>
  <si>
    <t>[€/MWh]</t>
  </si>
  <si>
    <t>Nm³/hour</t>
  </si>
  <si>
    <t>NO LH2, Telco H.Kingma 07.09.18</t>
  </si>
  <si>
    <t>[€/Nm3]</t>
  </si>
  <si>
    <t>In case this number is nonzero, the other OPEX figure is overridden</t>
  </si>
  <si>
    <t>http://appsso.eurostat.ec.europa.eu/nui/show.do?dataset=prc_hicp_aind&amp;lang=en</t>
  </si>
  <si>
    <t>Price index: HICP (index = 2015)</t>
  </si>
  <si>
    <t>Realised &amp; implied inflation</t>
  </si>
  <si>
    <t>Adj. price index Frontier (index = 2013)</t>
  </si>
  <si>
    <t>Price index: BuCa (index = 2019)</t>
  </si>
  <si>
    <t>Base year: 2013</t>
  </si>
  <si>
    <t>CAPEX date start</t>
  </si>
  <si>
    <t>CAPEX date end</t>
  </si>
  <si>
    <t>CAPEX duration</t>
  </si>
  <si>
    <t>End investment</t>
  </si>
  <si>
    <t>CO2 Booster</t>
  </si>
  <si>
    <t>CO2 boosting</t>
  </si>
  <si>
    <t>Transportation only scenario (no injection)</t>
  </si>
  <si>
    <t>Pressure increase</t>
  </si>
  <si>
    <t>Booster capacity</t>
  </si>
  <si>
    <t>Costs</t>
  </si>
  <si>
    <t>Energy consumption booster</t>
  </si>
  <si>
    <t>Total area booster</t>
  </si>
  <si>
    <t>Total weight booster</t>
  </si>
  <si>
    <t>Capex booster</t>
  </si>
  <si>
    <t>Opex booster</t>
  </si>
  <si>
    <t>Relative opex booster</t>
  </si>
  <si>
    <t>Energy consumption pumps</t>
  </si>
  <si>
    <t>Installation requirement SH2</t>
  </si>
  <si>
    <t>Installation requirement LH2</t>
  </si>
  <si>
    <t>Installation requirement CO2</t>
  </si>
  <si>
    <t>Selected scenario</t>
  </si>
  <si>
    <t>[MEUR]</t>
  </si>
  <si>
    <t>Total cumulative discounted cashflow</t>
  </si>
  <si>
    <t>Total cumulative cashflow</t>
  </si>
  <si>
    <t>E4tech Sàrl with Element Energy Ltd, “Development of water electrolysis in the European Union,” E4tech Sàrl with Element Energy Ltd, 2014.</t>
  </si>
  <si>
    <t>Tractebel Engineering S.A., “Study on Early Business Cases for H2 in Energy Storage and more broadly Power to H2 Applications,” FCH 2 JU, Brussels, 2017.</t>
  </si>
  <si>
    <t>E4Tech learning curve [€/kW]</t>
  </si>
  <si>
    <t>Tractebel learning curve [€/kW]</t>
  </si>
  <si>
    <t>Including learning curve average from two sources</t>
  </si>
  <si>
    <r>
      <t>E4Tech learning curve efficiency [kWh</t>
    </r>
    <r>
      <rPr>
        <vertAlign val="subscript"/>
        <sz val="11"/>
        <color theme="1"/>
        <rFont val="Calibri"/>
        <family val="2"/>
        <scheme val="minor"/>
      </rPr>
      <t>el</t>
    </r>
    <r>
      <rPr>
        <sz val="11"/>
        <color theme="1"/>
        <rFont val="Calibri"/>
        <family val="2"/>
        <scheme val="minor"/>
      </rPr>
      <t>/kg</t>
    </r>
    <r>
      <rPr>
        <vertAlign val="subscript"/>
        <sz val="11"/>
        <color theme="1"/>
        <rFont val="Calibri"/>
        <family val="2"/>
        <scheme val="minor"/>
      </rPr>
      <t>H2</t>
    </r>
    <r>
      <rPr>
        <sz val="11"/>
        <color theme="1"/>
        <rFont val="Calibri"/>
        <family val="2"/>
        <scheme val="minor"/>
      </rPr>
      <t>]</t>
    </r>
  </si>
  <si>
    <r>
      <t>Tractebel learning curve efficiency [kWh</t>
    </r>
    <r>
      <rPr>
        <vertAlign val="subscript"/>
        <sz val="11"/>
        <color theme="1"/>
        <rFont val="Calibri"/>
        <family val="2"/>
        <scheme val="minor"/>
      </rPr>
      <t>el</t>
    </r>
    <r>
      <rPr>
        <sz val="11"/>
        <color theme="1"/>
        <rFont val="Calibri"/>
        <family val="2"/>
        <scheme val="minor"/>
      </rPr>
      <t>/kg</t>
    </r>
    <r>
      <rPr>
        <vertAlign val="subscript"/>
        <sz val="11"/>
        <color theme="1"/>
        <rFont val="Calibri"/>
        <family val="2"/>
        <scheme val="minor"/>
      </rPr>
      <t>H2</t>
    </r>
    <r>
      <rPr>
        <sz val="11"/>
        <color theme="1"/>
        <rFont val="Calibri"/>
        <family val="2"/>
        <scheme val="minor"/>
      </rPr>
      <t>]</t>
    </r>
  </si>
  <si>
    <t>Total required area</t>
  </si>
  <si>
    <t>Nr. of 40 ft container</t>
  </si>
  <si>
    <t>Relative Opex wells</t>
  </si>
  <si>
    <t>Total Opex wells</t>
  </si>
  <si>
    <t>Opex monitoring abandoned CO2 wells</t>
  </si>
  <si>
    <t>Based on DHV TNO - Potential for CO2 storage in depleted gas fields at the Dutch Continental Shelf - Phase 2 Costs of transport and storage, p.3
P18</t>
  </si>
  <si>
    <t>Surrounding fields K14</t>
  </si>
  <si>
    <t>Surrounding fields K5</t>
  </si>
  <si>
    <t>Surrounding fields P15</t>
  </si>
  <si>
    <t>One-off</t>
  </si>
  <si>
    <t>Annual power consumption in GWh</t>
  </si>
  <si>
    <t>Annual power consumption in €</t>
  </si>
  <si>
    <t>Implied production efficiency</t>
  </si>
  <si>
    <t>Implied production efficiency (max load)</t>
  </si>
  <si>
    <t>The efficiency of the electro motor: How many GWh does the electric system consume for each GWh of gas produced, based on the maximal annual gas production?</t>
  </si>
  <si>
    <t>NPV = -Investment + Cashflow_1/(1+r) + Cashflow_2 / (1+r)^2 + Cashflow_3 / (1+r)^3 + …</t>
  </si>
  <si>
    <t>Suppose NPV=0 and Cashflow_1=Cashflow_2=Cashflow_3=…</t>
  </si>
  <si>
    <t>return</t>
  </si>
  <si>
    <t>investments</t>
  </si>
  <si>
    <t>years</t>
  </si>
  <si>
    <t>One-off or annual fee</t>
  </si>
  <si>
    <t>Annual fee</t>
  </si>
  <si>
    <t>Cable costs (annual fee)</t>
  </si>
  <si>
    <t>[]</t>
  </si>
  <si>
    <t>End year of cable requirement</t>
  </si>
  <si>
    <t>Decomissioning of platform and infrastructure</t>
  </si>
  <si>
    <t>Start of decommisioning</t>
  </si>
  <si>
    <t>Additional platforms required</t>
  </si>
  <si>
    <t>EUR/platform</t>
  </si>
  <si>
    <t>Relative capex platforms</t>
  </si>
  <si>
    <t>Platforms</t>
  </si>
  <si>
    <t>Total capex new platforms (CCS)</t>
  </si>
  <si>
    <t>Total capex new platforms (SH2)</t>
  </si>
  <si>
    <t>Total capex new platforms (LH2)</t>
  </si>
  <si>
    <r>
      <t xml:space="preserve">An additional pipeline is required (assumed between K5-P and K6-P) to allow evacuation of gas thru NGT (another cross-over is assumed for NAM’s K14 to NGT – e.g. by L10)
</t>
    </r>
    <r>
      <rPr>
        <sz val="11"/>
        <color theme="1"/>
        <rFont val="Calibri"/>
        <family val="2"/>
        <scheme val="minor"/>
      </rPr>
      <t>Evacuation of NG via WGT</t>
    </r>
  </si>
  <si>
    <t>Additional pipeline CAPEX</t>
  </si>
  <si>
    <t>Org</t>
  </si>
  <si>
    <t>Cable costs (one-off), particular case (shared costs) for NAM&amp;Total</t>
  </si>
  <si>
    <t>Revenue for NAM, Costs for Total</t>
  </si>
  <si>
    <t>Keep Y-as consistent for figures of same platform!</t>
  </si>
  <si>
    <t>End figure after decom date</t>
  </si>
  <si>
    <t>Scenario: Business as usual</t>
  </si>
  <si>
    <t>Decom cost electrification phase</t>
  </si>
  <si>
    <t>Decom cost NG phase</t>
  </si>
  <si>
    <t>Platform OPEX</t>
  </si>
  <si>
    <t>Maintenance extra</t>
  </si>
  <si>
    <t>Business as usual</t>
  </si>
  <si>
    <t>EOY compounded investment</t>
  </si>
  <si>
    <t>Implied annual CF</t>
  </si>
  <si>
    <t>Cable lifetime</t>
  </si>
  <si>
    <t>Cable lease fee</t>
  </si>
  <si>
    <t>Leasing of cables. Leave this field blank or 0 if you want to use the default calculation of a rate based on the entire lifetime of the platform and the current WACC.</t>
  </si>
  <si>
    <t>Annual cable lease fee</t>
  </si>
  <si>
    <t>Platform identifier</t>
  </si>
  <si>
    <t>K14 Scenario 1</t>
  </si>
  <si>
    <t>K14 Scenario 2</t>
  </si>
  <si>
    <t>K14 Scenario 3</t>
  </si>
  <si>
    <t>P15 Scenario 1</t>
  </si>
  <si>
    <t>P15 Scenario 2</t>
  </si>
  <si>
    <t>K5 Scenario 1</t>
  </si>
  <si>
    <t>K5 Scenario 2</t>
  </si>
  <si>
    <t>K5 Scenario 3</t>
  </si>
  <si>
    <t>Cable CAPEX: One-off, demand-driven or lease contracat</t>
  </si>
  <si>
    <t xml:space="preserve">One-off takes the entire cable capex required for all technical phases of the platform at once in the very beginning; 
Demand-driven takes the capex in installments: Whenever extra capacity is required for a new technical phase extra cables will be laid. 
Lease contract does not carry a capex, but instead assumes an annual fee (opex) to be paid to the cable owner of the amount specified below. </t>
  </si>
  <si>
    <t>See accompanying Powerpoint file.</t>
  </si>
  <si>
    <t>NPVs</t>
  </si>
  <si>
    <t>Cumulative cashflows</t>
  </si>
  <si>
    <t>Delta cumulative cashflows</t>
  </si>
  <si>
    <t>(c) 2018 TNO and New Energy Coalition</t>
  </si>
  <si>
    <t>Duration monitoring</t>
  </si>
  <si>
    <t>Opex monitoring CO2 wells per well</t>
  </si>
  <si>
    <t>Assumption</t>
  </si>
  <si>
    <t>In case of flat price scenario</t>
  </si>
  <si>
    <t>most important parameters for scenario</t>
  </si>
  <si>
    <t>Pipeline length</t>
  </si>
  <si>
    <t>Lifetime system</t>
  </si>
  <si>
    <t>Lifetime stack</t>
  </si>
  <si>
    <t>Capex share stack</t>
  </si>
  <si>
    <t>Stack cost share of total electrolyser expenses</t>
  </si>
  <si>
    <t>Capex stack replacement</t>
  </si>
  <si>
    <t>To be updated always for Total &amp; NAM case</t>
  </si>
  <si>
    <r>
      <rPr>
        <b/>
        <sz val="14"/>
        <color theme="1"/>
        <rFont val="Calibri"/>
        <family val="2"/>
        <scheme val="minor"/>
      </rPr>
      <t>Delta</t>
    </r>
    <r>
      <rPr>
        <b/>
        <sz val="14"/>
        <color theme="0"/>
        <rFont val="Calibri"/>
        <family val="2"/>
        <scheme val="minor"/>
      </rPr>
      <t xml:space="preserve"> wrt business as usual</t>
    </r>
  </si>
  <si>
    <t>CCS fee Flat rate transport &amp; storage</t>
  </si>
  <si>
    <t>CCS fee Flat rate transport only</t>
  </si>
  <si>
    <t>CO2 price Flat rate</t>
  </si>
  <si>
    <t>CCS revenue source</t>
  </si>
  <si>
    <t xml:space="preserve">CCS revenue </t>
  </si>
  <si>
    <t>P15 Scenario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</si>
</sst>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7">
    <numFmt numFmtId="41" formatCode="_ * #,##0_ ;_ * \-#,##0_ ;_ * &quot;-&quot;_ ;_ @_ "/>
    <numFmt numFmtId="43" formatCode="_ * #,##0.00_ ;_ * \-#,##0.00_ ;_ * &quot;-&quot;??_ ;_ @_ "/>
    <numFmt numFmtId="164" formatCode="_-&quot;£&quot;* #,##0.00_-;\-&quot;£&quot;* #,##0.00_-;_-&quot;£&quot;* &quot;-&quot;??_-;_-@_-"/>
    <numFmt numFmtId="165" formatCode="_-* #,##0.00_-;\-* #,##0.00_-;_-* &quot;-&quot;??_-;_-@_-"/>
    <numFmt numFmtId="166" formatCode="&quot;€&quot;#,##0.00;[Red]\-&quot;€&quot;#,##0.00"/>
    <numFmt numFmtId="167" formatCode="_-&quot;€&quot;* #,##0.00_-;\-&quot;€&quot;* #,##0.00_-;_-&quot;€&quot;* &quot;-&quot;??_-;_-@_-"/>
    <numFmt numFmtId="168" formatCode="0.0%"/>
    <numFmt numFmtId="169" formatCode="#,##0.000"/>
    <numFmt numFmtId="170" formatCode="_ * #,##0_ ;_ * \-#,##0_ ;_ * &quot;-&quot;??_ ;_ @_ "/>
    <numFmt numFmtId="171" formatCode="_ * #,##0.0000000_ ;_ * \-#,##0.0000000_ ;_ * &quot;-&quot;??_ ;_ @_ "/>
    <numFmt numFmtId="172" formatCode="0.000%"/>
    <numFmt numFmtId="173" formatCode="_-* #,##0_-;\-* #,##0_-;_-* &quot;-&quot;??_-;_-@_-"/>
    <numFmt numFmtId="174" formatCode="_-* #,##0.0000_-;\-* #,##0.0000_-;_-* &quot;-&quot;??_-;_-@_-"/>
    <numFmt numFmtId="175" formatCode="_-* #,##0.000_-;\-* #,##0.000_-;_-* &quot;-&quot;??_-;_-@_-"/>
    <numFmt numFmtId="176" formatCode="0.0000"/>
    <numFmt numFmtId="177" formatCode="_ * #,##0.0_ ;_ * \-#,##0.0_ ;_ * &quot;-&quot;??_ ;_ @_ "/>
    <numFmt numFmtId="178" formatCode="_-* #,##0.0_-;\-* #,##0.0_-;_-* &quot;-&quot;??_-;_-@_-"/>
    <numFmt numFmtId="179" formatCode="&quot;€&quot;#,##0"/>
    <numFmt numFmtId="180" formatCode="_ * #,##0.000_ ;_ * \-#,##0.000_ ;_ * &quot;-&quot;??_ ;_ @_ "/>
    <numFmt numFmtId="181" formatCode="0.000"/>
    <numFmt numFmtId="182" formatCode="_ * #,##0.0_ ;[Red]_ * \-#,##0.0_ ;_ * &quot;-&quot;?_ ;_ @_ "/>
    <numFmt numFmtId="183" formatCode="_ * #,##0_ ;[Red]_ * \-#,##0_ ;_ * &quot;-&quot;?_ ;_ @_ "/>
    <numFmt numFmtId="184" formatCode="\+&quot;€&quot;#,##0;\-&quot;€&quot;#,##0;&quot;€&quot;#,##0"/>
    <numFmt numFmtId="185" formatCode="_ * #,##0.0_ ;_ * \-#,##0.0_ ;_ * &quot;-&quot;?_ ;_ @_ "/>
    <numFmt numFmtId="186" formatCode="_-&quot;€&quot;* #,##0_-;\-&quot;€&quot;* #,##0_-;_-&quot;€&quot;* &quot;-&quot;??_-;_-@_-"/>
    <numFmt numFmtId="187" formatCode="0.000000000000"/>
    <numFmt numFmtId="188" formatCode="_-&quot;€&quot;* #,##0.0_-;\-&quot;€&quot;* #,##0.0_-;_-&quot;€&quot;* &quot;-&quot;??_-;_-@_-"/>
    <numFmt numFmtId="189" formatCode="_-[$€-2]\ * #,##0.0000_-;\-[$€-2]\ * #,##0.0000_-;_-[$€-2]\ * &quot;-&quot;??_-;_-@_-"/>
    <numFmt numFmtId="190" formatCode="0.0"/>
    <numFmt numFmtId="191" formatCode="0.00000"/>
    <numFmt numFmtId="192" formatCode="_(* #,##0.00_);_(* \(#,##0.00\);_(* &quot;-&quot;??_);_(@_)"/>
    <numFmt numFmtId="193" formatCode="###0;###0"/>
    <numFmt numFmtId="194" formatCode="###0.0;###0.0"/>
    <numFmt numFmtId="195" formatCode="#,##0;#,##0"/>
    <numFmt numFmtId="196" formatCode="###0.000;###0.000"/>
    <numFmt numFmtId="197" formatCode="#,##0.000000;#,##0.000000"/>
    <numFmt numFmtId="198" formatCode="#,##0.000;#,##0.000"/>
    <numFmt numFmtId="199" formatCode="###0.00;###0.00"/>
    <numFmt numFmtId="200" formatCode="\$#,##0;\$#,##0"/>
    <numFmt numFmtId="201" formatCode="_-[$€-2]\ * #,##0.00_-;\-[$€-2]\ * #,##0.00_-;_-[$€-2]\ * &quot;-&quot;??_-;_-@_-"/>
    <numFmt numFmtId="202" formatCode="_-* #,##0.00000_-;\-* #,##0.00000_-;_-* &quot;-&quot;??_-;_-@_-"/>
    <numFmt numFmtId="203" formatCode="&quot;€&quot;#,##0.00"/>
    <numFmt numFmtId="204" formatCode="_-&quot;€&quot;* #,##0.000_-;\-&quot;€&quot;* #,##0.000_-;_-&quot;€&quot;* &quot;-&quot;??_-;_-@_-"/>
    <numFmt numFmtId="205" formatCode="&quot;€&quot;#,##0.000"/>
    <numFmt numFmtId="206" formatCode="0.0000%"/>
    <numFmt numFmtId="207" formatCode="0.0000000"/>
    <numFmt numFmtId="208" formatCode="0.00000000%"/>
  </numFmts>
  <fonts count="1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4"/>
      <color theme="1"/>
      <name val="Calibri"/>
      <family val="2"/>
      <scheme val="minor"/>
    </font>
    <font>
      <u/>
      <sz val="11"/>
      <color theme="10"/>
      <name val="Calibri"/>
      <family val="2"/>
      <scheme val="minor"/>
    </font>
    <font>
      <u/>
      <sz val="11"/>
      <name val="Calibri"/>
      <family val="2"/>
      <scheme val="minor"/>
    </font>
    <font>
      <sz val="9"/>
      <color indexed="81"/>
      <name val="Tahoma"/>
      <family val="2"/>
    </font>
    <font>
      <b/>
      <sz val="9"/>
      <color indexed="81"/>
      <name val="Tahoma"/>
      <family val="2"/>
    </font>
    <font>
      <sz val="7"/>
      <color indexed="22"/>
      <name val="Arial"/>
      <family val="2"/>
    </font>
    <font>
      <sz val="8"/>
      <name val="Arial"/>
      <family val="2"/>
    </font>
    <font>
      <sz val="7"/>
      <name val="Arial"/>
      <family val="2"/>
    </font>
    <font>
      <b/>
      <sz val="11"/>
      <name val="Calibri"/>
      <family val="2"/>
      <scheme val="minor"/>
    </font>
    <font>
      <sz val="10"/>
      <name val="Arial"/>
      <family val="2"/>
    </font>
    <font>
      <sz val="11"/>
      <color indexed="8"/>
      <name val="Calibri"/>
      <family val="2"/>
      <scheme val="minor"/>
    </font>
    <font>
      <sz val="9"/>
      <color theme="1"/>
      <name val="Calibri"/>
      <family val="2"/>
      <scheme val="minor"/>
    </font>
    <font>
      <b/>
      <i/>
      <sz val="32"/>
      <color theme="1"/>
      <name val="Calibri"/>
      <family val="2"/>
      <scheme val="minor"/>
    </font>
    <font>
      <b/>
      <sz val="16"/>
      <color theme="1"/>
      <name val="Calibri"/>
      <family val="2"/>
      <scheme val="minor"/>
    </font>
    <font>
      <sz val="11"/>
      <color theme="1"/>
      <name val="Calibri"/>
      <family val="2"/>
    </font>
    <font>
      <sz val="11"/>
      <name val="Calibri"/>
      <family val="2"/>
    </font>
    <font>
      <b/>
      <sz val="11"/>
      <name val="Calibri"/>
      <family val="2"/>
    </font>
    <font>
      <b/>
      <sz val="11"/>
      <color rgb="FFFF0000"/>
      <name val="Calibri"/>
      <family val="2"/>
      <scheme val="minor"/>
    </font>
    <font>
      <vertAlign val="subscript"/>
      <sz val="11"/>
      <color theme="1"/>
      <name val="Calibri"/>
      <family val="2"/>
      <scheme val="minor"/>
    </font>
    <font>
      <b/>
      <sz val="20"/>
      <color theme="1"/>
      <name val="Calibri"/>
      <family val="2"/>
      <scheme val="minor"/>
    </font>
    <font>
      <vertAlign val="subscript"/>
      <sz val="11"/>
      <name val="Calibri"/>
      <family val="2"/>
      <scheme val="minor"/>
    </font>
    <font>
      <sz val="7"/>
      <name val="Arial"/>
      <family val="2"/>
    </font>
    <font>
      <b/>
      <sz val="11"/>
      <color theme="0"/>
      <name val="Calibri"/>
      <family val="2"/>
      <scheme val="minor"/>
    </font>
    <font>
      <sz val="11"/>
      <color theme="0"/>
      <name val="Calibri"/>
      <family val="2"/>
      <scheme val="minor"/>
    </font>
    <font>
      <sz val="16"/>
      <color theme="4" tint="-0.249977111117893"/>
      <name val="Calibri"/>
      <family val="2"/>
      <scheme val="minor"/>
    </font>
    <font>
      <sz val="11"/>
      <color theme="9" tint="-0.499984740745262"/>
      <name val="Calibri"/>
      <family val="2"/>
      <scheme val="minor"/>
    </font>
    <font>
      <sz val="11"/>
      <color rgb="FF3F3F76"/>
      <name val="Calibri"/>
      <family val="2"/>
      <scheme val="minor"/>
    </font>
    <font>
      <b/>
      <sz val="11"/>
      <color rgb="FFFA7D00"/>
      <name val="Calibri"/>
      <family val="2"/>
      <scheme val="minor"/>
    </font>
    <font>
      <b/>
      <sz val="18"/>
      <color theme="1"/>
      <name val="Calibri"/>
      <family val="2"/>
      <scheme val="minor"/>
    </font>
    <font>
      <b/>
      <sz val="11"/>
      <color theme="1"/>
      <name val="Arial"/>
      <family val="2"/>
    </font>
    <font>
      <i/>
      <sz val="11"/>
      <color theme="1"/>
      <name val="Calibri"/>
      <family val="2"/>
      <scheme val="minor"/>
    </font>
    <font>
      <b/>
      <sz val="24"/>
      <color theme="1"/>
      <name val="Calibri"/>
      <family val="2"/>
      <scheme val="minor"/>
    </font>
    <font>
      <b/>
      <sz val="12"/>
      <color theme="0"/>
      <name val="Calibri"/>
      <family val="2"/>
      <scheme val="minor"/>
    </font>
    <font>
      <sz val="11"/>
      <color rgb="FF9C6500"/>
      <name val="Calibri"/>
      <family val="2"/>
      <scheme val="minor"/>
    </font>
    <font>
      <b/>
      <sz val="16"/>
      <color theme="0"/>
      <name val="Calibri"/>
      <family val="2"/>
      <scheme val="minor"/>
    </font>
    <font>
      <b/>
      <sz val="11"/>
      <color indexed="8"/>
      <name val="Arial"/>
      <family val="2"/>
    </font>
    <font>
      <b/>
      <sz val="11"/>
      <color rgb="FF3F3F76"/>
      <name val="Calibri"/>
      <family val="2"/>
      <scheme val="minor"/>
    </font>
    <font>
      <sz val="11"/>
      <color indexed="8"/>
      <name val="Arial"/>
      <family val="2"/>
    </font>
    <font>
      <sz val="11"/>
      <color rgb="FF000000"/>
      <name val="Calibri"/>
      <family val="2"/>
      <scheme val="minor"/>
    </font>
    <font>
      <sz val="10"/>
      <color theme="1"/>
      <name val="Times New Roman"/>
      <family val="1"/>
    </font>
    <font>
      <b/>
      <sz val="11"/>
      <color rgb="FF000000"/>
      <name val="Calibri"/>
      <family val="2"/>
      <scheme val="minor"/>
    </font>
    <font>
      <sz val="11"/>
      <color rgb="FFA6A6A6"/>
      <name val="Calibri"/>
      <family val="2"/>
      <scheme val="minor"/>
    </font>
    <font>
      <sz val="11"/>
      <color indexed="62"/>
      <name val="Arial"/>
      <family val="2"/>
    </font>
    <font>
      <b/>
      <sz val="11"/>
      <color indexed="62"/>
      <name val="Arial"/>
      <family val="2"/>
    </font>
    <font>
      <i/>
      <sz val="11"/>
      <color rgb="FFFF0000"/>
      <name val="Calibri"/>
      <family val="2"/>
      <scheme val="minor"/>
    </font>
    <font>
      <vertAlign val="superscript"/>
      <sz val="11"/>
      <color theme="1"/>
      <name val="Calibri"/>
      <family val="2"/>
      <scheme val="minor"/>
    </font>
    <font>
      <sz val="10"/>
      <color rgb="FF000000"/>
      <name val="Tahoma"/>
      <family val="2"/>
    </font>
    <font>
      <b/>
      <sz val="14"/>
      <color theme="0"/>
      <name val="Calibri"/>
      <family val="2"/>
      <scheme val="minor"/>
    </font>
    <font>
      <sz val="9"/>
      <color rgb="FFFF0000"/>
      <name val="Calibri"/>
      <family val="2"/>
      <scheme val="minor"/>
    </font>
    <font>
      <sz val="18"/>
      <color theme="1"/>
      <name val="Calibri"/>
      <family val="2"/>
      <scheme val="minor"/>
    </font>
    <font>
      <b/>
      <sz val="36"/>
      <color theme="1"/>
      <name val="Calibri"/>
      <family val="2"/>
      <scheme val="minor"/>
    </font>
    <font>
      <sz val="10"/>
      <name val="Calibri"/>
      <family val="2"/>
      <scheme val="minor"/>
    </font>
    <font>
      <sz val="9"/>
      <color theme="1"/>
      <name val="Arial"/>
      <family val="2"/>
    </font>
    <font>
      <b/>
      <sz val="18"/>
      <color theme="0"/>
      <name val="Calibri"/>
      <family val="2"/>
      <scheme val="minor"/>
    </font>
    <font>
      <b/>
      <sz val="18"/>
      <name val="Calibri"/>
      <family val="2"/>
      <scheme val="minor"/>
    </font>
    <font>
      <b/>
      <sz val="12"/>
      <name val="Arial"/>
      <family val="2"/>
    </font>
    <font>
      <sz val="10"/>
      <color rgb="FF000000"/>
      <name val="Times New Roman"/>
      <family val="1"/>
    </font>
    <font>
      <b/>
      <sz val="9"/>
      <name val="Arial"/>
      <family val="2"/>
    </font>
    <font>
      <sz val="9"/>
      <name val="Times New Roman"/>
      <family val="1"/>
    </font>
    <font>
      <sz val="8"/>
      <name val="Times New Roman"/>
      <family val="1"/>
    </font>
    <font>
      <sz val="9"/>
      <color rgb="FF757575"/>
      <name val="Times New Roman"/>
      <family val="2"/>
    </font>
    <font>
      <sz val="9"/>
      <name val="Arial"/>
      <family val="2"/>
    </font>
    <font>
      <sz val="9"/>
      <color rgb="FF8A8A8A"/>
      <name val="Times New Roman"/>
      <family val="2"/>
    </font>
    <font>
      <b/>
      <sz val="8"/>
      <name val="Arial"/>
      <family val="2"/>
    </font>
    <font>
      <sz val="10"/>
      <color rgb="FF8A8A8A"/>
      <name val="Arial"/>
      <family val="2"/>
    </font>
    <font>
      <sz val="10"/>
      <color rgb="FF8A8A8A"/>
      <name val="Times New Roman"/>
      <family val="2"/>
    </font>
    <font>
      <sz val="9"/>
      <color rgb="FF444242"/>
      <name val="Times New Roman"/>
      <family val="2"/>
    </font>
    <font>
      <sz val="9"/>
      <color rgb="FF565656"/>
      <name val="Times New Roman"/>
      <family val="2"/>
    </font>
    <font>
      <b/>
      <sz val="9"/>
      <name val="Times New Roman"/>
      <family val="1"/>
    </font>
    <font>
      <b/>
      <sz val="9"/>
      <color rgb="FF444242"/>
      <name val="Times New Roman"/>
      <family val="2"/>
    </font>
    <font>
      <sz val="9"/>
      <color rgb="FF2B2A2A"/>
      <name val="Times New Roman"/>
      <family val="2"/>
    </font>
    <font>
      <b/>
      <sz val="13"/>
      <color rgb="FFC62A2F"/>
      <name val="Arial"/>
      <family val="2"/>
    </font>
    <font>
      <b/>
      <sz val="13"/>
      <color rgb="FFCF5B5B"/>
      <name val="Arial"/>
      <family val="2"/>
    </font>
    <font>
      <b/>
      <sz val="8"/>
      <color rgb="FFCF5B5B"/>
      <name val="Arial"/>
      <family val="2"/>
    </font>
    <font>
      <b/>
      <sz val="9"/>
      <color rgb="FF444242"/>
      <name val="Arial"/>
      <family val="2"/>
    </font>
    <font>
      <sz val="9"/>
      <color rgb="FF444242"/>
      <name val="Times New Roman"/>
      <family val="1"/>
    </font>
    <font>
      <sz val="8"/>
      <color rgb="FF8A8A8A"/>
      <name val="Times New Roman"/>
      <family val="1"/>
    </font>
    <font>
      <sz val="8"/>
      <color rgb="FF757575"/>
      <name val="Times New Roman"/>
      <family val="1"/>
    </font>
    <font>
      <b/>
      <sz val="9"/>
      <color rgb="FF757575"/>
      <name val="Arial"/>
      <family val="2"/>
    </font>
    <font>
      <b/>
      <sz val="9"/>
      <color rgb="FF565656"/>
      <name val="Arial"/>
      <family val="2"/>
    </font>
    <font>
      <b/>
      <sz val="9"/>
      <color rgb="FF444242"/>
      <name val="Times New Roman"/>
      <family val="1"/>
    </font>
    <font>
      <b/>
      <sz val="8"/>
      <color rgb="FF444242"/>
      <name val="Arial"/>
      <family val="2"/>
    </font>
    <font>
      <b/>
      <u/>
      <sz val="9"/>
      <color rgb="FF444242"/>
      <name val="Arial"/>
      <family val="2"/>
    </font>
    <font>
      <b/>
      <u/>
      <sz val="9"/>
      <color rgb="FF757575"/>
      <name val="Arial"/>
      <family val="2"/>
    </font>
    <font>
      <b/>
      <u/>
      <sz val="8"/>
      <color rgb="FF444242"/>
      <name val="Arial"/>
      <family val="2"/>
    </font>
    <font>
      <sz val="8"/>
      <color rgb="FF565656"/>
      <name val="Times New Roman"/>
      <family val="1"/>
    </font>
    <font>
      <b/>
      <sz val="8"/>
      <color rgb="FF444242"/>
      <name val="Times New Roman"/>
      <family val="1"/>
    </font>
    <font>
      <sz val="9"/>
      <color rgb="FF565656"/>
      <name val="Times New Roman"/>
      <family val="1"/>
    </font>
    <font>
      <b/>
      <sz val="12"/>
      <color rgb="FF2B2A2A"/>
      <name val="Arial"/>
      <family val="2"/>
    </font>
    <font>
      <b/>
      <sz val="12"/>
      <color rgb="FF444242"/>
      <name val="Arial"/>
      <family val="2"/>
    </font>
    <font>
      <sz val="9"/>
      <color rgb="FF8A8A8A"/>
      <name val="Arial"/>
      <family val="2"/>
    </font>
    <font>
      <sz val="9"/>
      <color rgb="FF8A8A8A"/>
      <name val="Times New Roman"/>
      <family val="1"/>
    </font>
    <font>
      <sz val="9"/>
      <color rgb="FF757575"/>
      <name val="Times New Roman"/>
      <family val="1"/>
    </font>
    <font>
      <b/>
      <sz val="8"/>
      <color rgb="FF8A8A8A"/>
      <name val="Arial"/>
      <family val="2"/>
    </font>
    <font>
      <sz val="9"/>
      <color rgb="FF757575"/>
      <name val="Arial"/>
      <family val="2"/>
    </font>
    <font>
      <b/>
      <sz val="9"/>
      <color rgb="FF8A8A8A"/>
      <name val="Arial"/>
      <family val="2"/>
    </font>
    <font>
      <b/>
      <sz val="8"/>
      <color rgb="FF757575"/>
      <name val="Arial"/>
      <family val="2"/>
    </font>
    <font>
      <b/>
      <i/>
      <sz val="9"/>
      <color rgb="FF8A8A8A"/>
      <name val="Arial"/>
      <family val="2"/>
    </font>
    <font>
      <sz val="10"/>
      <color rgb="FF8A8A8A"/>
      <name val="Times New Roman"/>
      <family val="1"/>
    </font>
    <font>
      <sz val="9"/>
      <color rgb="FFA5A5A5"/>
      <name val="Times New Roman"/>
      <family val="1"/>
    </font>
    <font>
      <b/>
      <sz val="8"/>
      <color rgb="FF8A8A8A"/>
      <name val="Times New Roman"/>
      <family val="1"/>
    </font>
    <font>
      <b/>
      <sz val="9"/>
      <color rgb="FF565656"/>
      <name val="Times New Roman"/>
      <family val="1"/>
    </font>
    <font>
      <b/>
      <sz val="9"/>
      <color rgb="FF2B2A2A"/>
      <name val="Times New Roman"/>
      <family val="1"/>
    </font>
    <font>
      <b/>
      <sz val="12"/>
      <color rgb="FF181818"/>
      <name val="Arial"/>
      <family val="2"/>
    </font>
    <font>
      <sz val="9"/>
      <color rgb="FF2B2A2A"/>
      <name val="Times New Roman"/>
      <family val="1"/>
    </font>
    <font>
      <b/>
      <sz val="8"/>
      <color rgb="FF2B2A2A"/>
      <name val="Arial"/>
      <family val="2"/>
    </font>
    <font>
      <b/>
      <sz val="8"/>
      <color rgb="FF565656"/>
      <name val="Arial"/>
      <family val="2"/>
    </font>
    <font>
      <b/>
      <sz val="8"/>
      <color rgb="FF181818"/>
      <name val="Arial"/>
      <family val="2"/>
    </font>
    <font>
      <b/>
      <sz val="5"/>
      <color rgb="FFA5A5A5"/>
      <name val="Arial"/>
      <family val="2"/>
    </font>
    <font>
      <b/>
      <i/>
      <sz val="8"/>
      <color rgb="FF8A8A8A"/>
      <name val="Times New Roman"/>
      <family val="1"/>
    </font>
    <font>
      <b/>
      <i/>
      <sz val="8"/>
      <color rgb="FF8A8A8A"/>
      <name val="Arial"/>
      <family val="2"/>
    </font>
    <font>
      <b/>
      <sz val="8"/>
      <color rgb="FFA5A5A5"/>
      <name val="Arial"/>
      <family val="2"/>
    </font>
    <font>
      <b/>
      <sz val="7"/>
      <color rgb="FF8A8A8A"/>
      <name val="Arial"/>
      <family val="2"/>
    </font>
    <font>
      <b/>
      <sz val="8"/>
      <color rgb="FFB8B8B8"/>
      <name val="Arial"/>
      <family val="2"/>
    </font>
    <font>
      <b/>
      <sz val="6"/>
      <color rgb="FF8A8A8A"/>
      <name val="Arial"/>
      <family val="2"/>
    </font>
    <font>
      <b/>
      <sz val="6"/>
      <color rgb="FF8A8A8A"/>
      <name val="Times New Roman"/>
      <family val="1"/>
    </font>
    <font>
      <b/>
      <sz val="7"/>
      <color rgb="FF8A8A8A"/>
      <name val="Times New Roman"/>
      <family val="1"/>
    </font>
    <font>
      <b/>
      <sz val="8"/>
      <color rgb="FF757575"/>
      <name val="Times New Roman"/>
      <family val="1"/>
    </font>
    <font>
      <b/>
      <sz val="7"/>
      <color rgb="FFA5A5A5"/>
      <name val="Times New Roman"/>
      <family val="1"/>
    </font>
    <font>
      <b/>
      <sz val="8"/>
      <color rgb="FFA5A5A5"/>
      <name val="Times New Roman"/>
      <family val="1"/>
    </font>
    <font>
      <sz val="8.8000000000000007"/>
      <color rgb="FFFF0000"/>
      <name val="Calibri"/>
      <family val="2"/>
    </font>
    <font>
      <i/>
      <sz val="11"/>
      <name val="Calibri"/>
      <family val="2"/>
      <scheme val="minor"/>
    </font>
    <font>
      <sz val="11"/>
      <color theme="5"/>
      <name val="Calibri"/>
      <family val="2"/>
      <scheme val="minor"/>
    </font>
    <font>
      <strike/>
      <sz val="11"/>
      <color theme="1"/>
      <name val="Calibri"/>
      <family val="2"/>
      <scheme val="minor"/>
    </font>
    <font>
      <sz val="12"/>
      <name val="Times New Roman"/>
      <family val="1"/>
    </font>
    <font>
      <b/>
      <sz val="11"/>
      <color indexed="9"/>
      <name val="Arial"/>
      <family val="2"/>
    </font>
    <font>
      <sz val="11"/>
      <color indexed="52"/>
      <name val="Arial"/>
      <family val="2"/>
    </font>
    <font>
      <sz val="11"/>
      <color indexed="17"/>
      <name val="Arial"/>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20"/>
      <name val="Arial"/>
      <family val="2"/>
    </font>
    <font>
      <b/>
      <sz val="18"/>
      <color indexed="56"/>
      <name val="Cambria"/>
      <family val="2"/>
    </font>
    <font>
      <b/>
      <sz val="11"/>
      <color indexed="63"/>
      <name val="Arial"/>
      <family val="2"/>
    </font>
    <font>
      <i/>
      <sz val="11"/>
      <color indexed="23"/>
      <name val="Arial"/>
      <family val="2"/>
    </font>
    <font>
      <sz val="11"/>
      <color indexed="10"/>
      <name val="Arial"/>
      <family val="2"/>
    </font>
    <font>
      <b/>
      <sz val="11"/>
      <color rgb="FF3F3F3F"/>
      <name val="Calibri"/>
      <family val="2"/>
      <scheme val="minor"/>
    </font>
    <font>
      <sz val="26"/>
      <color theme="1"/>
      <name val="Calibri"/>
      <family val="2"/>
      <scheme val="minor"/>
    </font>
    <font>
      <sz val="9"/>
      <color theme="0"/>
      <name val="Calibri"/>
      <family val="2"/>
      <scheme val="minor"/>
    </font>
    <font>
      <u/>
      <sz val="9"/>
      <color indexed="81"/>
      <name val="Tahoma"/>
      <family val="2"/>
    </font>
    <font>
      <b/>
      <sz val="16"/>
      <color rgb="FFFF0000"/>
      <name val="Calibri"/>
      <family val="2"/>
      <scheme val="minor"/>
    </font>
  </fonts>
  <fills count="52">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indexed="43"/>
        <bgColor indexed="64"/>
      </patternFill>
    </fill>
    <fill>
      <patternFill patternType="solid">
        <fgColor rgb="FF0070C0"/>
        <bgColor indexed="64"/>
      </patternFill>
    </fill>
    <fill>
      <patternFill patternType="solid">
        <fgColor theme="4" tint="0.39997558519241921"/>
        <bgColor indexed="64"/>
      </patternFill>
    </fill>
    <fill>
      <patternFill patternType="solid">
        <fgColor theme="4"/>
        <bgColor indexed="64"/>
      </patternFill>
    </fill>
    <fill>
      <patternFill patternType="solid">
        <fgColor rgb="FFFF0000"/>
        <bgColor indexed="64"/>
      </patternFill>
    </fill>
    <fill>
      <patternFill patternType="solid">
        <fgColor theme="9"/>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5"/>
      </patternFill>
    </fill>
    <fill>
      <patternFill patternType="solid">
        <fgColor theme="5" tint="0.79998168889431442"/>
        <bgColor indexed="65"/>
      </patternFill>
    </fill>
    <fill>
      <patternFill patternType="solid">
        <fgColor theme="9" tint="0.79998168889431442"/>
        <bgColor indexed="65"/>
      </patternFill>
    </fill>
    <fill>
      <patternFill patternType="solid">
        <fgColor theme="0" tint="-0.34998626667073579"/>
        <bgColor indexed="64"/>
      </patternFill>
    </fill>
    <fill>
      <patternFill patternType="solid">
        <fgColor theme="7" tint="0.39997558519241921"/>
        <bgColor indexed="64"/>
      </patternFill>
    </fill>
    <fill>
      <patternFill patternType="solid">
        <fgColor theme="1"/>
        <bgColor indexed="64"/>
      </patternFill>
    </fill>
    <fill>
      <patternFill patternType="solid">
        <fgColor rgb="FFA9D08E"/>
        <bgColor indexed="64"/>
      </patternFill>
    </fill>
    <fill>
      <patternFill patternType="solid">
        <fgColor rgb="FFD0CECE"/>
        <bgColor indexed="64"/>
      </patternFill>
    </fill>
    <fill>
      <patternFill patternType="solid">
        <fgColor rgb="FFFFEB9C"/>
      </patternFill>
    </fill>
    <fill>
      <patternFill patternType="solid">
        <fgColor rgb="FFFFCC99"/>
      </patternFill>
    </fill>
    <fill>
      <patternFill patternType="solid">
        <fgColor rgb="FFCCFF99"/>
        <bgColor indexed="64"/>
      </patternFill>
    </fill>
    <fill>
      <patternFill patternType="solid">
        <fgColor rgb="FFFFFFCC"/>
        <bgColor indexed="64"/>
      </patternFill>
    </fill>
    <fill>
      <patternFill patternType="solid">
        <fgColor indexed="26"/>
      </patternFill>
    </fill>
    <fill>
      <patternFill patternType="solid">
        <fgColor rgb="FFE2EFDA"/>
        <bgColor indexed="64"/>
      </patternFill>
    </fill>
    <fill>
      <patternFill patternType="solid">
        <fgColor indexed="47"/>
      </patternFill>
    </fill>
    <fill>
      <patternFill patternType="solid">
        <fgColor rgb="FFD9D9D9"/>
        <bgColor indexed="64"/>
      </patternFill>
    </fill>
    <fill>
      <patternFill patternType="solid">
        <fgColor rgb="FFE60ECC"/>
        <bgColor indexed="64"/>
      </patternFill>
    </fill>
    <fill>
      <patternFill patternType="solid">
        <fgColor rgb="FFF779E8"/>
        <bgColor indexed="64"/>
      </patternFill>
    </fill>
    <fill>
      <patternFill patternType="solid">
        <fgColor rgb="FF649EC9"/>
        <bgColor indexed="64"/>
      </patternFill>
    </fill>
    <fill>
      <patternFill patternType="solid">
        <fgColor rgb="FFCCECFF"/>
        <bgColor indexed="64"/>
      </patternFill>
    </fill>
    <fill>
      <patternFill patternType="solid">
        <fgColor theme="9" tint="0.79998168889431442"/>
        <bgColor indexed="64"/>
      </patternFill>
    </fill>
    <fill>
      <patternFill patternType="solid">
        <fgColor rgb="FFFFAA0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5" tint="0.79998168889431442"/>
        <bgColor indexed="64"/>
      </patternFill>
    </fill>
    <fill>
      <patternFill patternType="solid">
        <fgColor indexed="22"/>
      </patternFill>
    </fill>
    <fill>
      <patternFill patternType="solid">
        <fgColor indexed="55"/>
      </patternFill>
    </fill>
    <fill>
      <patternFill patternType="solid">
        <fgColor indexed="42"/>
      </patternFill>
    </fill>
    <fill>
      <patternFill patternType="solid">
        <fgColor indexed="43"/>
      </patternFill>
    </fill>
    <fill>
      <patternFill patternType="solid">
        <fgColor indexed="45"/>
      </patternFill>
    </fill>
    <fill>
      <patternFill patternType="solid">
        <fgColor theme="8"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249977111117893"/>
        <bgColor indexed="64"/>
      </patternFill>
    </fill>
  </fills>
  <borders count="7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dotted">
        <color auto="1"/>
      </left>
      <right style="dotted">
        <color auto="1"/>
      </right>
      <top style="dotted">
        <color auto="1"/>
      </top>
      <bottom style="dotted">
        <color auto="1"/>
      </bottom>
      <diagonal/>
    </border>
    <border>
      <left style="thin">
        <color rgb="FF7F7F7F"/>
      </left>
      <right style="thin">
        <color rgb="FF7F7F7F"/>
      </right>
      <top style="thin">
        <color rgb="FF7F7F7F"/>
      </top>
      <bottom style="thin">
        <color rgb="FF7F7F7F"/>
      </bottom>
      <diagonal/>
    </border>
    <border>
      <left/>
      <right/>
      <top style="hair">
        <color auto="1"/>
      </top>
      <bottom/>
      <diagonal/>
    </border>
    <border>
      <left/>
      <right/>
      <top/>
      <bottom style="hair">
        <color auto="1"/>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style="thin">
        <color indexed="64"/>
      </bottom>
      <diagonal/>
    </border>
    <border>
      <left/>
      <right/>
      <top style="thin">
        <color indexed="62"/>
      </top>
      <bottom style="double">
        <color indexed="62"/>
      </bottom>
      <diagonal/>
    </border>
    <border>
      <left style="thin">
        <color indexed="64"/>
      </left>
      <right/>
      <top style="thin">
        <color indexed="62"/>
      </top>
      <bottom style="medium">
        <color indexed="64"/>
      </bottom>
      <diagonal/>
    </border>
    <border>
      <left style="medium">
        <color indexed="64"/>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right/>
      <top style="medium">
        <color auto="1"/>
      </top>
      <bottom/>
      <diagonal/>
    </border>
    <border>
      <left/>
      <right style="thin">
        <color auto="1"/>
      </right>
      <top style="medium">
        <color auto="1"/>
      </top>
      <bottom/>
      <diagonal/>
    </border>
    <border>
      <left/>
      <right/>
      <top/>
      <bottom style="medium">
        <color auto="1"/>
      </bottom>
      <diagonal/>
    </border>
    <border>
      <left style="thin">
        <color auto="1"/>
      </left>
      <right/>
      <top/>
      <bottom style="medium">
        <color auto="1"/>
      </bottom>
      <diagonal/>
    </border>
    <border>
      <left style="thin">
        <color auto="1"/>
      </left>
      <right/>
      <top style="medium">
        <color auto="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style="thin">
        <color rgb="FFB2B2B2"/>
      </right>
      <top/>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right style="thin">
        <color rgb="FFB2B2B2"/>
      </right>
      <top style="thin">
        <color rgb="FFB2B2B2"/>
      </top>
      <bottom style="thin">
        <color rgb="FFB2B2B2"/>
      </bottom>
      <diagonal/>
    </border>
    <border>
      <left/>
      <right style="thin">
        <color rgb="FF3F3F3F"/>
      </right>
      <top style="thin">
        <color rgb="FF3F3F3F"/>
      </top>
      <bottom style="thin">
        <color rgb="FF3F3F3F"/>
      </bottom>
      <diagonal/>
    </border>
    <border>
      <left/>
      <right/>
      <top/>
      <bottom style="double">
        <color theme="8" tint="-0.24994659260841701"/>
      </bottom>
      <diagonal/>
    </border>
    <border>
      <left/>
      <right/>
      <top/>
      <bottom style="thin">
        <color rgb="FFCF5B5B"/>
      </bottom>
      <diagonal/>
    </border>
    <border>
      <left/>
      <right/>
      <top style="double">
        <color auto="1"/>
      </top>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hair">
        <color auto="1"/>
      </top>
      <bottom style="double">
        <color auto="1"/>
      </bottom>
      <diagonal/>
    </border>
  </borders>
  <cellStyleXfs count="63">
    <xf numFmtId="0" fontId="0" fillId="0" borderId="0"/>
    <xf numFmtId="9" fontId="1" fillId="0" borderId="0" applyFont="0" applyFill="0" applyBorder="0" applyAlignment="0" applyProtection="0"/>
    <xf numFmtId="0" fontId="6" fillId="0" borderId="0" applyNumberForma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0" fontId="10" fillId="0" borderId="0" applyNumberFormat="0" applyBorder="0">
      <alignment horizontal="right"/>
    </xf>
    <xf numFmtId="0" fontId="11" fillId="8" borderId="16" applyNumberFormat="0" applyFont="0" applyBorder="0" applyAlignment="0">
      <protection locked="0"/>
    </xf>
    <xf numFmtId="0" fontId="14" fillId="0" borderId="0"/>
    <xf numFmtId="165" fontId="1" fillId="0" borderId="0" applyFont="0" applyFill="0" applyBorder="0" applyAlignment="0" applyProtection="0"/>
    <xf numFmtId="0" fontId="15" fillId="0" borderId="0"/>
    <xf numFmtId="0" fontId="14" fillId="0" borderId="0"/>
    <xf numFmtId="0" fontId="14" fillId="0" borderId="0"/>
    <xf numFmtId="0" fontId="15" fillId="0" borderId="0"/>
    <xf numFmtId="0" fontId="14" fillId="0" borderId="0"/>
    <xf numFmtId="0" fontId="16" fillId="0" borderId="0"/>
    <xf numFmtId="0" fontId="15" fillId="0" borderId="0"/>
    <xf numFmtId="0" fontId="1" fillId="3" borderId="0" applyFill="0"/>
    <xf numFmtId="164" fontId="1" fillId="0" borderId="0" applyFont="0" applyFill="0" applyBorder="0" applyAlignment="0" applyProtection="0"/>
    <xf numFmtId="165" fontId="1" fillId="0" borderId="0" applyFont="0" applyFill="0" applyBorder="0" applyAlignment="0" applyProtection="0"/>
    <xf numFmtId="0" fontId="2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43" fontId="1" fillId="0" borderId="0" applyFont="0" applyFill="0" applyBorder="0" applyAlignment="0" applyProtection="0"/>
    <xf numFmtId="0" fontId="32" fillId="14" borderId="35" applyNumberFormat="0" applyAlignment="0" applyProtection="0"/>
    <xf numFmtId="43" fontId="1" fillId="0" borderId="0" applyFont="0" applyFill="0" applyBorder="0" applyAlignment="0" applyProtection="0"/>
    <xf numFmtId="0" fontId="38" fillId="25" borderId="0" applyNumberFormat="0" applyBorder="0" applyAlignment="0" applyProtection="0"/>
    <xf numFmtId="0" fontId="40" fillId="0" borderId="41" applyNumberFormat="0" applyFill="0" applyAlignment="0" applyProtection="0"/>
    <xf numFmtId="0" fontId="14" fillId="0" borderId="0"/>
    <xf numFmtId="192" fontId="1" fillId="0" borderId="0" applyFont="0" applyFill="0" applyBorder="0" applyAlignment="0" applyProtection="0"/>
    <xf numFmtId="0" fontId="61" fillId="0" borderId="0"/>
    <xf numFmtId="0" fontId="1" fillId="16" borderId="33" applyNumberFormat="0" applyFont="0" applyAlignment="0" applyProtection="0"/>
    <xf numFmtId="0" fontId="129" fillId="0" borderId="0"/>
    <xf numFmtId="165"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65" fontId="14" fillId="0" borderId="0" applyFont="0" applyFill="0" applyBorder="0" applyAlignment="0" applyProtection="0"/>
    <xf numFmtId="0" fontId="15" fillId="0" borderId="0"/>
    <xf numFmtId="0" fontId="14" fillId="0" borderId="0"/>
    <xf numFmtId="0" fontId="130" fillId="44" borderId="65" applyNumberFormat="0" applyAlignment="0" applyProtection="0"/>
    <xf numFmtId="0" fontId="131" fillId="0" borderId="66" applyNumberFormat="0" applyFill="0" applyAlignment="0" applyProtection="0"/>
    <xf numFmtId="0" fontId="132" fillId="45" borderId="0" applyNumberFormat="0" applyBorder="0" applyAlignment="0" applyProtection="0"/>
    <xf numFmtId="0" fontId="47" fillId="31" borderId="49" applyNumberFormat="0" applyAlignment="0" applyProtection="0"/>
    <xf numFmtId="0" fontId="133" fillId="0" borderId="67" applyNumberFormat="0" applyFill="0" applyAlignment="0" applyProtection="0"/>
    <xf numFmtId="0" fontId="134" fillId="0" borderId="68" applyNumberFormat="0" applyFill="0" applyAlignment="0" applyProtection="0"/>
    <xf numFmtId="0" fontId="135" fillId="0" borderId="69" applyNumberFormat="0" applyFill="0" applyAlignment="0" applyProtection="0"/>
    <xf numFmtId="0" fontId="135" fillId="0" borderId="0" applyNumberFormat="0" applyFill="0" applyBorder="0" applyAlignment="0" applyProtection="0"/>
    <xf numFmtId="0" fontId="136" fillId="46" borderId="0" applyNumberFormat="0" applyBorder="0" applyAlignment="0" applyProtection="0"/>
    <xf numFmtId="0" fontId="42" fillId="29" borderId="44" applyNumberFormat="0" applyFont="0" applyAlignment="0" applyProtection="0"/>
    <xf numFmtId="0" fontId="137" fillId="47" borderId="0" applyNumberFormat="0" applyBorder="0" applyAlignment="0" applyProtection="0"/>
    <xf numFmtId="0" fontId="138" fillId="0" borderId="0" applyNumberFormat="0" applyFill="0" applyBorder="0" applyAlignment="0" applyProtection="0"/>
    <xf numFmtId="0" fontId="139" fillId="43" borderId="70" applyNumberFormat="0" applyAlignment="0" applyProtection="0"/>
    <xf numFmtId="0" fontId="140" fillId="0" borderId="0" applyNumberFormat="0" applyFill="0" applyBorder="0" applyAlignment="0" applyProtection="0"/>
    <xf numFmtId="0" fontId="141" fillId="0" borderId="0" applyNumberFormat="0" applyFill="0" applyBorder="0" applyAlignment="0" applyProtection="0"/>
    <xf numFmtId="0" fontId="14" fillId="0" borderId="0"/>
    <xf numFmtId="0" fontId="31" fillId="26" borderId="35" applyNumberFormat="0" applyAlignment="0" applyProtection="0"/>
    <xf numFmtId="0" fontId="1" fillId="16" borderId="33"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42" fillId="14" borderId="31" applyNumberFormat="0" applyAlignment="0" applyProtection="0"/>
    <xf numFmtId="0" fontId="27" fillId="15" borderId="32" applyNumberFormat="0" applyAlignment="0" applyProtection="0"/>
  </cellStyleXfs>
  <cellXfs count="1384">
    <xf numFmtId="0" fontId="0" fillId="0" borderId="0" xfId="0"/>
    <xf numFmtId="0" fontId="0" fillId="2" borderId="0" xfId="0" applyFill="1"/>
    <xf numFmtId="0" fontId="0" fillId="2" borderId="0" xfId="0" applyFill="1" applyBorder="1"/>
    <xf numFmtId="0" fontId="0" fillId="3" borderId="0" xfId="0" applyFill="1"/>
    <xf numFmtId="0" fontId="0" fillId="3" borderId="0" xfId="0" applyFill="1" applyBorder="1"/>
    <xf numFmtId="0" fontId="0" fillId="4" borderId="0" xfId="0" applyFill="1"/>
    <xf numFmtId="0" fontId="0" fillId="2" borderId="4" xfId="0" applyFill="1" applyBorder="1"/>
    <xf numFmtId="0" fontId="0" fillId="5" borderId="0" xfId="0" applyFill="1"/>
    <xf numFmtId="0" fontId="0" fillId="5" borderId="4" xfId="0" applyFill="1" applyBorder="1"/>
    <xf numFmtId="0" fontId="0" fillId="5" borderId="0" xfId="0" applyFill="1" applyBorder="1"/>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applyBorder="1"/>
    <xf numFmtId="0" fontId="0" fillId="4" borderId="5" xfId="0" applyFill="1" applyBorder="1"/>
    <xf numFmtId="0" fontId="0" fillId="4" borderId="0" xfId="0" applyFill="1" applyBorder="1" applyAlignment="1">
      <alignment wrapText="1"/>
    </xf>
    <xf numFmtId="0" fontId="0" fillId="4" borderId="0" xfId="0" applyFill="1" applyBorder="1" applyAlignment="1"/>
    <xf numFmtId="0" fontId="0" fillId="4" borderId="6" xfId="0" applyFill="1" applyBorder="1"/>
    <xf numFmtId="0" fontId="0" fillId="4" borderId="7" xfId="0" applyFill="1" applyBorder="1"/>
    <xf numFmtId="0" fontId="0" fillId="4" borderId="8" xfId="0" applyFill="1" applyBorder="1"/>
    <xf numFmtId="0" fontId="0" fillId="6" borderId="1" xfId="0" applyFill="1" applyBorder="1"/>
    <xf numFmtId="0" fontId="0" fillId="6" borderId="2" xfId="0" applyFill="1" applyBorder="1"/>
    <xf numFmtId="0" fontId="0" fillId="6" borderId="4" xfId="0" applyFill="1" applyBorder="1"/>
    <xf numFmtId="0" fontId="0" fillId="6" borderId="0" xfId="0" applyFill="1" applyBorder="1"/>
    <xf numFmtId="0" fontId="0" fillId="6" borderId="5" xfId="0" applyFill="1" applyBorder="1"/>
    <xf numFmtId="0" fontId="0" fillId="7" borderId="0" xfId="0" applyFill="1"/>
    <xf numFmtId="0" fontId="0" fillId="5" borderId="5" xfId="0" applyFill="1" applyBorder="1"/>
    <xf numFmtId="0" fontId="5" fillId="5" borderId="4" xfId="0" applyFont="1" applyFill="1" applyBorder="1"/>
    <xf numFmtId="0" fontId="5" fillId="5" borderId="5" xfId="0" applyFont="1" applyFill="1" applyBorder="1"/>
    <xf numFmtId="0" fontId="0" fillId="3" borderId="9" xfId="0" applyFill="1" applyBorder="1"/>
    <xf numFmtId="0" fontId="0" fillId="4" borderId="0" xfId="0" applyFill="1" applyBorder="1" applyAlignment="1">
      <alignment horizontal="right"/>
    </xf>
    <xf numFmtId="0" fontId="0" fillId="2" borderId="1" xfId="0" applyFill="1" applyBorder="1"/>
    <xf numFmtId="0" fontId="0" fillId="2" borderId="2" xfId="0" applyFill="1" applyBorder="1"/>
    <xf numFmtId="0" fontId="0" fillId="2" borderId="3"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3" borderId="10" xfId="0" applyFill="1" applyBorder="1"/>
    <xf numFmtId="0" fontId="0" fillId="3" borderId="11" xfId="0" applyFill="1" applyBorder="1"/>
    <xf numFmtId="0" fontId="0" fillId="3" borderId="12" xfId="0" applyFill="1" applyBorder="1"/>
    <xf numFmtId="0" fontId="3" fillId="4" borderId="0" xfId="0" applyFont="1" applyFill="1" applyBorder="1"/>
    <xf numFmtId="9" fontId="0" fillId="2" borderId="0" xfId="1" applyFont="1" applyFill="1" applyBorder="1"/>
    <xf numFmtId="0" fontId="0" fillId="5" borderId="0" xfId="0" applyFont="1" applyFill="1" applyBorder="1"/>
    <xf numFmtId="0" fontId="0" fillId="6" borderId="2" xfId="0" applyFont="1" applyFill="1" applyBorder="1"/>
    <xf numFmtId="0" fontId="0" fillId="6" borderId="3" xfId="0" applyFont="1" applyFill="1" applyBorder="1"/>
    <xf numFmtId="0" fontId="0" fillId="6" borderId="0" xfId="0" applyFont="1" applyFill="1" applyBorder="1" applyAlignment="1">
      <alignment horizontal="right"/>
    </xf>
    <xf numFmtId="0" fontId="0" fillId="6" borderId="0" xfId="0" applyFont="1" applyFill="1" applyBorder="1"/>
    <xf numFmtId="0" fontId="0" fillId="6" borderId="5" xfId="0" applyFont="1" applyFill="1" applyBorder="1"/>
    <xf numFmtId="0" fontId="0" fillId="6" borderId="6" xfId="0" applyFont="1" applyFill="1" applyBorder="1"/>
    <xf numFmtId="0" fontId="0" fillId="6" borderId="7" xfId="0" applyFont="1" applyFill="1" applyBorder="1" applyAlignment="1">
      <alignment horizontal="right"/>
    </xf>
    <xf numFmtId="0" fontId="0" fillId="6" borderId="7" xfId="0" applyFont="1" applyFill="1" applyBorder="1"/>
    <xf numFmtId="0" fontId="0" fillId="6" borderId="8" xfId="0" applyFont="1" applyFill="1" applyBorder="1"/>
    <xf numFmtId="0" fontId="0" fillId="5" borderId="0" xfId="0" applyFont="1" applyFill="1" applyBorder="1" applyAlignment="1">
      <alignment horizontal="right"/>
    </xf>
    <xf numFmtId="0" fontId="0" fillId="5" borderId="11" xfId="0" applyFont="1" applyFill="1" applyBorder="1"/>
    <xf numFmtId="0" fontId="0" fillId="4" borderId="0" xfId="0" applyFont="1" applyFill="1" applyBorder="1"/>
    <xf numFmtId="0" fontId="4" fillId="4" borderId="0" xfId="0" applyFont="1" applyFill="1" applyBorder="1"/>
    <xf numFmtId="0" fontId="0" fillId="4" borderId="2" xfId="0" applyFont="1" applyFill="1" applyBorder="1"/>
    <xf numFmtId="0" fontId="0" fillId="4" borderId="3" xfId="0" applyFont="1" applyFill="1" applyBorder="1"/>
    <xf numFmtId="0" fontId="0" fillId="4" borderId="0" xfId="0" applyFont="1" applyFill="1" applyBorder="1" applyAlignment="1">
      <alignment horizontal="right"/>
    </xf>
    <xf numFmtId="0" fontId="0" fillId="4" borderId="5" xfId="0" applyFont="1" applyFill="1" applyBorder="1"/>
    <xf numFmtId="0" fontId="0" fillId="4" borderId="6" xfId="0" applyFont="1" applyFill="1" applyBorder="1"/>
    <xf numFmtId="0" fontId="0" fillId="4" borderId="7" xfId="0" applyFont="1" applyFill="1" applyBorder="1" applyAlignment="1">
      <alignment horizontal="right"/>
    </xf>
    <xf numFmtId="0" fontId="0" fillId="4" borderId="7" xfId="0" applyFont="1" applyFill="1" applyBorder="1"/>
    <xf numFmtId="0" fontId="0" fillId="4" borderId="8" xfId="0" applyFont="1" applyFill="1" applyBorder="1"/>
    <xf numFmtId="0" fontId="0" fillId="4" borderId="11" xfId="0" applyFont="1" applyFill="1" applyBorder="1"/>
    <xf numFmtId="0" fontId="5" fillId="4" borderId="4" xfId="0" applyFont="1" applyFill="1" applyBorder="1"/>
    <xf numFmtId="0" fontId="5" fillId="4" borderId="5" xfId="0" applyFont="1" applyFill="1" applyBorder="1"/>
    <xf numFmtId="0" fontId="4" fillId="4" borderId="0" xfId="0" applyFont="1" applyFill="1" applyBorder="1" applyAlignment="1">
      <alignment horizontal="right"/>
    </xf>
    <xf numFmtId="0" fontId="3" fillId="4" borderId="4" xfId="0" applyFont="1" applyFill="1" applyBorder="1"/>
    <xf numFmtId="0" fontId="0" fillId="2" borderId="5" xfId="0" applyFill="1" applyBorder="1" applyAlignment="1">
      <alignment horizontal="right"/>
    </xf>
    <xf numFmtId="0" fontId="0" fillId="2" borderId="0" xfId="3" applyNumberFormat="1" applyFont="1" applyFill="1" applyBorder="1"/>
    <xf numFmtId="0" fontId="0" fillId="4" borderId="0" xfId="0" applyFill="1" applyBorder="1" applyAlignment="1">
      <alignment vertical="top" wrapText="1"/>
    </xf>
    <xf numFmtId="0" fontId="5" fillId="4" borderId="0" xfId="0" applyFont="1" applyFill="1" applyBorder="1"/>
    <xf numFmtId="9" fontId="0" fillId="4" borderId="0" xfId="0" applyNumberFormat="1" applyFill="1" applyBorder="1"/>
    <xf numFmtId="0" fontId="0" fillId="2" borderId="5" xfId="0" applyFill="1" applyBorder="1" applyAlignment="1">
      <alignment horizontal="left"/>
    </xf>
    <xf numFmtId="2" fontId="0" fillId="2" borderId="0" xfId="0" applyNumberFormat="1" applyFill="1" applyBorder="1"/>
    <xf numFmtId="2" fontId="0" fillId="4" borderId="0" xfId="0" applyNumberFormat="1" applyFill="1" applyBorder="1"/>
    <xf numFmtId="9" fontId="0" fillId="4" borderId="0" xfId="1" applyFont="1" applyFill="1" applyBorder="1"/>
    <xf numFmtId="2" fontId="0" fillId="2" borderId="0" xfId="1" applyNumberFormat="1" applyFont="1" applyFill="1" applyBorder="1"/>
    <xf numFmtId="165" fontId="0" fillId="2" borderId="0" xfId="3" applyFont="1" applyFill="1" applyBorder="1"/>
    <xf numFmtId="165" fontId="0" fillId="2" borderId="7" xfId="3" applyFont="1" applyFill="1" applyBorder="1"/>
    <xf numFmtId="165" fontId="0" fillId="4" borderId="0" xfId="3" applyFont="1" applyFill="1" applyBorder="1"/>
    <xf numFmtId="2" fontId="0" fillId="2" borderId="5" xfId="0" applyNumberFormat="1" applyFill="1" applyBorder="1"/>
    <xf numFmtId="165" fontId="0" fillId="2" borderId="0" xfId="0" applyNumberFormat="1" applyFill="1" applyBorder="1"/>
    <xf numFmtId="165" fontId="0" fillId="2" borderId="2" xfId="3" applyFont="1" applyFill="1" applyBorder="1"/>
    <xf numFmtId="165" fontId="0" fillId="2" borderId="7" xfId="0" applyNumberFormat="1" applyFill="1" applyBorder="1"/>
    <xf numFmtId="165" fontId="0" fillId="2" borderId="0" xfId="0" applyNumberFormat="1" applyFill="1"/>
    <xf numFmtId="0" fontId="0" fillId="4" borderId="15" xfId="0" applyFill="1" applyBorder="1"/>
    <xf numFmtId="165" fontId="0" fillId="2" borderId="0" xfId="3" applyNumberFormat="1" applyFont="1" applyFill="1" applyBorder="1"/>
    <xf numFmtId="0" fontId="0" fillId="4" borderId="13" xfId="0" applyFill="1" applyBorder="1"/>
    <xf numFmtId="165" fontId="0" fillId="4" borderId="0" xfId="0" applyNumberFormat="1" applyFill="1" applyBorder="1"/>
    <xf numFmtId="164" fontId="0" fillId="2" borderId="0" xfId="4" applyFont="1" applyFill="1" applyBorder="1"/>
    <xf numFmtId="164" fontId="0" fillId="2" borderId="0" xfId="0" applyNumberFormat="1" applyFill="1" applyBorder="1"/>
    <xf numFmtId="164" fontId="0" fillId="2" borderId="2" xfId="4" applyFont="1" applyFill="1" applyBorder="1"/>
    <xf numFmtId="165" fontId="0" fillId="2" borderId="5" xfId="0" applyNumberFormat="1" applyFill="1" applyBorder="1"/>
    <xf numFmtId="164" fontId="0" fillId="2" borderId="7" xfId="0" applyNumberFormat="1" applyFill="1" applyBorder="1"/>
    <xf numFmtId="168" fontId="0" fillId="2" borderId="0" xfId="1" applyNumberFormat="1" applyFont="1" applyFill="1" applyBorder="1"/>
    <xf numFmtId="2" fontId="0" fillId="2" borderId="3" xfId="0" applyNumberFormat="1" applyFill="1" applyBorder="1"/>
    <xf numFmtId="2" fontId="0" fillId="2" borderId="5" xfId="0" applyNumberFormat="1" applyFill="1" applyBorder="1" applyAlignment="1">
      <alignment horizontal="right"/>
    </xf>
    <xf numFmtId="165" fontId="0" fillId="4" borderId="0" xfId="3" applyNumberFormat="1" applyFont="1" applyFill="1" applyBorder="1"/>
    <xf numFmtId="164" fontId="0" fillId="4" borderId="0" xfId="4" applyFont="1" applyFill="1" applyBorder="1"/>
    <xf numFmtId="164" fontId="0" fillId="2" borderId="4" xfId="4" applyFont="1" applyFill="1" applyBorder="1"/>
    <xf numFmtId="164" fontId="0" fillId="2" borderId="5" xfId="4" applyFont="1" applyFill="1" applyBorder="1"/>
    <xf numFmtId="164" fontId="0" fillId="2" borderId="6" xfId="4" applyFont="1" applyFill="1" applyBorder="1"/>
    <xf numFmtId="164" fontId="0" fillId="2" borderId="7" xfId="4" applyFont="1" applyFill="1" applyBorder="1"/>
    <xf numFmtId="164" fontId="0" fillId="2" borderId="8" xfId="4" applyFont="1" applyFill="1" applyBorder="1"/>
    <xf numFmtId="165" fontId="0" fillId="2" borderId="4" xfId="0" applyNumberFormat="1" applyFill="1" applyBorder="1"/>
    <xf numFmtId="0" fontId="0" fillId="2" borderId="1" xfId="0" applyFill="1" applyBorder="1" applyAlignment="1">
      <alignment horizontal="right"/>
    </xf>
    <xf numFmtId="164" fontId="0" fillId="2" borderId="3" xfId="0" applyNumberFormat="1" applyFill="1" applyBorder="1"/>
    <xf numFmtId="0" fontId="0" fillId="2" borderId="4" xfId="0" applyFill="1" applyBorder="1" applyAlignment="1">
      <alignment horizontal="right"/>
    </xf>
    <xf numFmtId="164" fontId="0" fillId="2" borderId="5" xfId="0" applyNumberFormat="1" applyFill="1" applyBorder="1"/>
    <xf numFmtId="0" fontId="0" fillId="2" borderId="6" xfId="0" applyFill="1" applyBorder="1" applyAlignment="1">
      <alignment horizontal="right"/>
    </xf>
    <xf numFmtId="0" fontId="2" fillId="2" borderId="4" xfId="0" applyFont="1" applyFill="1" applyBorder="1"/>
    <xf numFmtId="165" fontId="0" fillId="2" borderId="5" xfId="3" applyFont="1" applyFill="1" applyBorder="1"/>
    <xf numFmtId="164" fontId="0" fillId="2" borderId="2" xfId="0" applyNumberFormat="1" applyFill="1" applyBorder="1"/>
    <xf numFmtId="0" fontId="0" fillId="4" borderId="14" xfId="0" applyFill="1" applyBorder="1"/>
    <xf numFmtId="2" fontId="0" fillId="2" borderId="0" xfId="0" applyNumberFormat="1" applyFill="1" applyBorder="1" applyAlignment="1">
      <alignment horizontal="right"/>
    </xf>
    <xf numFmtId="164" fontId="2" fillId="2" borderId="0" xfId="4" applyFont="1" applyFill="1" applyBorder="1"/>
    <xf numFmtId="0" fontId="0" fillId="4" borderId="9" xfId="0" applyFill="1" applyBorder="1"/>
    <xf numFmtId="168" fontId="0" fillId="4" borderId="0" xfId="1" applyNumberFormat="1" applyFont="1" applyFill="1" applyBorder="1"/>
    <xf numFmtId="165" fontId="0" fillId="2" borderId="1" xfId="0" applyNumberFormat="1" applyFill="1" applyBorder="1"/>
    <xf numFmtId="165" fontId="0" fillId="2" borderId="2" xfId="0" applyNumberFormat="1" applyFill="1" applyBorder="1"/>
    <xf numFmtId="9" fontId="0" fillId="4" borderId="0" xfId="1" applyFont="1" applyFill="1" applyBorder="1" applyAlignment="1">
      <alignment horizontal="center"/>
    </xf>
    <xf numFmtId="0" fontId="0" fillId="3" borderId="0" xfId="0" applyFill="1" applyAlignment="1"/>
    <xf numFmtId="0" fontId="0" fillId="4" borderId="4" xfId="0" applyFill="1" applyBorder="1" applyAlignment="1"/>
    <xf numFmtId="0" fontId="0" fillId="0" borderId="0" xfId="0" applyAlignment="1"/>
    <xf numFmtId="0" fontId="6" fillId="4" borderId="0" xfId="2" applyFill="1" applyBorder="1"/>
    <xf numFmtId="0" fontId="0" fillId="4" borderId="9" xfId="0" applyFont="1" applyFill="1" applyBorder="1"/>
    <xf numFmtId="0" fontId="7" fillId="4" borderId="0" xfId="2" applyFont="1" applyFill="1" applyBorder="1"/>
    <xf numFmtId="0" fontId="0" fillId="4" borderId="5" xfId="0" applyFill="1" applyBorder="1" applyAlignment="1"/>
    <xf numFmtId="0" fontId="3" fillId="4" borderId="0" xfId="0" applyFont="1" applyFill="1" applyBorder="1" applyAlignment="1">
      <alignment horizontal="center"/>
    </xf>
    <xf numFmtId="2" fontId="0" fillId="2" borderId="0" xfId="3" applyNumberFormat="1" applyFont="1" applyFill="1" applyBorder="1"/>
    <xf numFmtId="0" fontId="0" fillId="4" borderId="0" xfId="0" applyFill="1" applyBorder="1" applyAlignment="1">
      <alignment horizontal="center"/>
    </xf>
    <xf numFmtId="16" fontId="0" fillId="4" borderId="0" xfId="0" applyNumberFormat="1" applyFill="1" applyBorder="1"/>
    <xf numFmtId="17" fontId="0" fillId="4" borderId="0" xfId="0" applyNumberFormat="1" applyFill="1" applyBorder="1"/>
    <xf numFmtId="0" fontId="0" fillId="2" borderId="0" xfId="1" applyNumberFormat="1" applyFont="1" applyFill="1" applyBorder="1"/>
    <xf numFmtId="0" fontId="0" fillId="3" borderId="0" xfId="0" applyFill="1" applyAlignment="1">
      <alignment wrapText="1"/>
    </xf>
    <xf numFmtId="0" fontId="0" fillId="4" borderId="4" xfId="0" applyFill="1" applyBorder="1" applyAlignment="1">
      <alignment wrapText="1"/>
    </xf>
    <xf numFmtId="0" fontId="0" fillId="4" borderId="5" xfId="0" applyFill="1" applyBorder="1" applyAlignment="1">
      <alignment wrapText="1"/>
    </xf>
    <xf numFmtId="0" fontId="0" fillId="0" borderId="0" xfId="0" applyAlignment="1">
      <alignment wrapText="1"/>
    </xf>
    <xf numFmtId="0" fontId="0" fillId="4" borderId="9" xfId="0" applyFont="1" applyFill="1" applyBorder="1" applyAlignment="1">
      <alignment wrapText="1"/>
    </xf>
    <xf numFmtId="165" fontId="0" fillId="2" borderId="0" xfId="1" applyNumberFormat="1" applyFont="1" applyFill="1" applyBorder="1"/>
    <xf numFmtId="0" fontId="0" fillId="4" borderId="0" xfId="0" applyFont="1" applyFill="1" applyBorder="1" applyAlignment="1">
      <alignment wrapText="1"/>
    </xf>
    <xf numFmtId="2" fontId="0" fillId="4" borderId="0" xfId="3" applyNumberFormat="1" applyFont="1" applyFill="1" applyBorder="1"/>
    <xf numFmtId="2" fontId="0" fillId="4" borderId="9" xfId="0" applyNumberFormat="1" applyFill="1" applyBorder="1"/>
    <xf numFmtId="0" fontId="0" fillId="3" borderId="4" xfId="0" applyFill="1" applyBorder="1"/>
    <xf numFmtId="0" fontId="0" fillId="3" borderId="10" xfId="0" applyFont="1" applyFill="1" applyBorder="1"/>
    <xf numFmtId="0" fontId="0" fillId="2" borderId="5" xfId="0" applyFont="1" applyFill="1" applyBorder="1"/>
    <xf numFmtId="0" fontId="0" fillId="2" borderId="8" xfId="0" applyFont="1" applyFill="1" applyBorder="1"/>
    <xf numFmtId="0" fontId="0" fillId="4" borderId="2" xfId="0" applyFont="1" applyFill="1" applyBorder="1" applyAlignment="1"/>
    <xf numFmtId="0" fontId="0" fillId="2" borderId="4" xfId="0" applyFill="1" applyBorder="1" applyAlignment="1">
      <alignment horizontal="left" vertical="center"/>
    </xf>
    <xf numFmtId="0" fontId="0" fillId="2" borderId="6" xfId="0" applyFill="1" applyBorder="1" applyAlignment="1">
      <alignment horizontal="left" vertical="center"/>
    </xf>
    <xf numFmtId="0" fontId="2" fillId="2" borderId="5" xfId="0" applyFont="1" applyFill="1" applyBorder="1"/>
    <xf numFmtId="169" fontId="0" fillId="4" borderId="0" xfId="0" applyNumberFormat="1" applyFill="1" applyBorder="1"/>
    <xf numFmtId="165" fontId="4" fillId="4" borderId="9" xfId="0" applyNumberFormat="1" applyFont="1" applyFill="1" applyBorder="1"/>
    <xf numFmtId="0" fontId="0" fillId="2" borderId="0" xfId="0" applyNumberFormat="1" applyFill="1" applyBorder="1"/>
    <xf numFmtId="0" fontId="0" fillId="4" borderId="0" xfId="0" applyFill="1" applyAlignment="1"/>
    <xf numFmtId="165" fontId="0" fillId="4" borderId="0" xfId="0" applyNumberFormat="1" applyFill="1"/>
    <xf numFmtId="0" fontId="0" fillId="4" borderId="0" xfId="4" applyNumberFormat="1" applyFont="1" applyFill="1" applyBorder="1"/>
    <xf numFmtId="9" fontId="0" fillId="4" borderId="2" xfId="0" applyNumberFormat="1" applyFill="1" applyBorder="1"/>
    <xf numFmtId="170" fontId="0" fillId="4" borderId="7" xfId="3" applyNumberFormat="1" applyFont="1" applyFill="1" applyBorder="1" applyAlignment="1">
      <alignment horizontal="right"/>
    </xf>
    <xf numFmtId="165" fontId="0" fillId="4" borderId="2" xfId="3" applyFont="1" applyFill="1" applyBorder="1"/>
    <xf numFmtId="0" fontId="0" fillId="3" borderId="0" xfId="0" applyFont="1" applyFill="1"/>
    <xf numFmtId="0" fontId="0" fillId="0" borderId="0" xfId="0" applyFont="1"/>
    <xf numFmtId="9" fontId="0" fillId="4" borderId="0" xfId="1" applyFont="1" applyFill="1" applyBorder="1" applyAlignment="1">
      <alignment horizontal="right"/>
    </xf>
    <xf numFmtId="1" fontId="0" fillId="4" borderId="0" xfId="0" applyNumberFormat="1" applyFill="1" applyBorder="1"/>
    <xf numFmtId="0" fontId="0" fillId="0" borderId="4" xfId="0" applyBorder="1"/>
    <xf numFmtId="0" fontId="0" fillId="0" borderId="5" xfId="0" applyBorder="1"/>
    <xf numFmtId="0" fontId="3" fillId="3" borderId="0" xfId="0" applyFont="1" applyFill="1"/>
    <xf numFmtId="0" fontId="0" fillId="0" borderId="0" xfId="0"/>
    <xf numFmtId="0" fontId="3" fillId="4" borderId="1" xfId="0" applyFont="1" applyFill="1" applyBorder="1"/>
    <xf numFmtId="0" fontId="3" fillId="4" borderId="2" xfId="0" applyFont="1" applyFill="1" applyBorder="1" applyAlignment="1"/>
    <xf numFmtId="165" fontId="0" fillId="2" borderId="8" xfId="0" applyNumberFormat="1" applyFill="1" applyBorder="1"/>
    <xf numFmtId="1" fontId="0" fillId="2" borderId="0" xfId="0" applyNumberFormat="1" applyFill="1" applyBorder="1"/>
    <xf numFmtId="0" fontId="0" fillId="4" borderId="11" xfId="0" applyFill="1" applyBorder="1"/>
    <xf numFmtId="0" fontId="0" fillId="2" borderId="7" xfId="1" applyNumberFormat="1" applyFont="1" applyFill="1" applyBorder="1" applyAlignment="1">
      <alignment horizontal="right"/>
    </xf>
    <xf numFmtId="164" fontId="4" fillId="2" borderId="0" xfId="4" applyFont="1" applyFill="1" applyBorder="1"/>
    <xf numFmtId="0" fontId="17" fillId="3" borderId="0" xfId="0" applyFont="1" applyFill="1" applyBorder="1"/>
    <xf numFmtId="0" fontId="17" fillId="3" borderId="0" xfId="0" applyFont="1" applyFill="1"/>
    <xf numFmtId="0" fontId="17" fillId="3" borderId="0" xfId="0" applyFont="1" applyFill="1" applyAlignment="1">
      <alignment horizontal="left"/>
    </xf>
    <xf numFmtId="165" fontId="0" fillId="2" borderId="4" xfId="0" applyNumberFormat="1" applyFill="1" applyBorder="1" applyAlignment="1">
      <alignment horizontal="left"/>
    </xf>
    <xf numFmtId="9" fontId="0" fillId="4" borderId="0" xfId="3" applyNumberFormat="1" applyFont="1" applyFill="1" applyBorder="1"/>
    <xf numFmtId="1" fontId="0" fillId="4" borderId="0" xfId="3" applyNumberFormat="1" applyFont="1" applyFill="1" applyBorder="1"/>
    <xf numFmtId="164" fontId="0" fillId="4" borderId="0" xfId="4" applyFont="1" applyFill="1"/>
    <xf numFmtId="165" fontId="0" fillId="4" borderId="7" xfId="3" applyFont="1" applyFill="1" applyBorder="1"/>
    <xf numFmtId="164" fontId="0" fillId="4" borderId="0" xfId="4" applyFont="1" applyFill="1" applyAlignment="1"/>
    <xf numFmtId="171" fontId="0" fillId="2" borderId="0" xfId="3" applyNumberFormat="1" applyFont="1" applyFill="1" applyBorder="1"/>
    <xf numFmtId="172" fontId="0" fillId="4" borderId="0" xfId="4" applyNumberFormat="1" applyFont="1" applyFill="1" applyBorder="1"/>
    <xf numFmtId="172" fontId="0" fillId="2" borderId="0" xfId="3" applyNumberFormat="1" applyFont="1" applyFill="1" applyBorder="1"/>
    <xf numFmtId="0" fontId="2" fillId="2" borderId="6" xfId="0" applyFont="1" applyFill="1" applyBorder="1"/>
    <xf numFmtId="165" fontId="2" fillId="2" borderId="7" xfId="3" applyFont="1" applyFill="1" applyBorder="1"/>
    <xf numFmtId="0" fontId="0" fillId="9" borderId="0" xfId="0" applyFill="1"/>
    <xf numFmtId="0" fontId="0" fillId="10" borderId="0" xfId="0" applyFill="1"/>
    <xf numFmtId="0" fontId="0" fillId="10" borderId="0" xfId="0" applyFill="1" applyBorder="1" applyAlignment="1">
      <alignment horizontal="left"/>
    </xf>
    <xf numFmtId="0" fontId="19" fillId="10" borderId="0" xfId="0" applyFont="1" applyFill="1" applyBorder="1" applyAlignment="1">
      <alignment horizontal="left"/>
    </xf>
    <xf numFmtId="165" fontId="19" fillId="10" borderId="0" xfId="18" applyFont="1" applyFill="1" applyBorder="1" applyAlignment="1">
      <alignment horizontal="left"/>
    </xf>
    <xf numFmtId="165" fontId="0" fillId="10" borderId="0" xfId="0" applyNumberFormat="1" applyFill="1" applyAlignment="1">
      <alignment horizontal="left"/>
    </xf>
    <xf numFmtId="0" fontId="0" fillId="9" borderId="0" xfId="0" applyFill="1" applyAlignment="1">
      <alignment vertical="center"/>
    </xf>
    <xf numFmtId="0" fontId="24" fillId="9" borderId="0" xfId="0" applyFont="1" applyFill="1" applyAlignment="1">
      <alignment horizontal="left"/>
    </xf>
    <xf numFmtId="0" fontId="0" fillId="9" borderId="0" xfId="0" applyFill="1" applyAlignment="1">
      <alignment horizontal="left"/>
    </xf>
    <xf numFmtId="0" fontId="0" fillId="10" borderId="0" xfId="0" applyFill="1" applyAlignment="1">
      <alignment horizontal="left"/>
    </xf>
    <xf numFmtId="165" fontId="0" fillId="10" borderId="0" xfId="18" applyFont="1" applyFill="1" applyAlignment="1">
      <alignment horizontal="left"/>
    </xf>
    <xf numFmtId="0" fontId="0" fillId="11" borderId="8" xfId="0" applyFill="1" applyBorder="1" applyAlignment="1">
      <alignment horizontal="left"/>
    </xf>
    <xf numFmtId="165" fontId="0" fillId="11" borderId="7" xfId="0" applyNumberFormat="1" applyFill="1" applyBorder="1" applyAlignment="1">
      <alignment horizontal="left"/>
    </xf>
    <xf numFmtId="0" fontId="0" fillId="11" borderId="7" xfId="0" applyFill="1" applyBorder="1" applyAlignment="1">
      <alignment horizontal="left"/>
    </xf>
    <xf numFmtId="0" fontId="0" fillId="11" borderId="6" xfId="0" applyFill="1" applyBorder="1" applyAlignment="1">
      <alignment horizontal="left"/>
    </xf>
    <xf numFmtId="0" fontId="0" fillId="11" borderId="5" xfId="0" applyFill="1" applyBorder="1" applyAlignment="1">
      <alignment horizontal="left"/>
    </xf>
    <xf numFmtId="165" fontId="0" fillId="11" borderId="0" xfId="0" applyNumberFormat="1" applyFill="1" applyBorder="1" applyAlignment="1">
      <alignment horizontal="left"/>
    </xf>
    <xf numFmtId="0" fontId="0" fillId="11" borderId="0" xfId="0" applyFill="1" applyBorder="1" applyAlignment="1">
      <alignment horizontal="left"/>
    </xf>
    <xf numFmtId="0" fontId="0" fillId="11" borderId="4" xfId="0" applyFill="1" applyBorder="1" applyAlignment="1">
      <alignment horizontal="left"/>
    </xf>
    <xf numFmtId="165" fontId="0" fillId="10" borderId="0" xfId="0" applyNumberFormat="1" applyFill="1" applyAlignment="1">
      <alignment horizontal="left"/>
    </xf>
    <xf numFmtId="165" fontId="0" fillId="11" borderId="0" xfId="18" applyFont="1" applyFill="1" applyBorder="1" applyAlignment="1">
      <alignment horizontal="center"/>
    </xf>
    <xf numFmtId="0" fontId="0" fillId="11" borderId="0" xfId="0" applyFill="1" applyBorder="1" applyAlignment="1">
      <alignment horizontal="right"/>
    </xf>
    <xf numFmtId="0" fontId="4" fillId="11" borderId="5" xfId="0" applyFont="1" applyFill="1" applyBorder="1" applyAlignment="1">
      <alignment horizontal="left"/>
    </xf>
    <xf numFmtId="0" fontId="4" fillId="11" borderId="0" xfId="0" applyFont="1" applyFill="1" applyBorder="1" applyAlignment="1">
      <alignment horizontal="left"/>
    </xf>
    <xf numFmtId="0" fontId="4" fillId="11" borderId="4" xfId="0" applyFont="1" applyFill="1" applyBorder="1" applyAlignment="1">
      <alignment horizontal="left"/>
    </xf>
    <xf numFmtId="1" fontId="0" fillId="10" borderId="0" xfId="0" applyNumberFormat="1" applyFill="1" applyAlignment="1">
      <alignment horizontal="left"/>
    </xf>
    <xf numFmtId="0" fontId="19" fillId="11" borderId="0" xfId="0" applyFont="1" applyFill="1" applyBorder="1" applyAlignment="1">
      <alignment horizontal="right"/>
    </xf>
    <xf numFmtId="9" fontId="0" fillId="11" borderId="0" xfId="0" applyNumberFormat="1" applyFill="1" applyBorder="1" applyAlignment="1">
      <alignment horizontal="right"/>
    </xf>
    <xf numFmtId="0" fontId="2" fillId="11" borderId="0" xfId="0" applyFont="1" applyFill="1" applyBorder="1" applyAlignment="1">
      <alignment horizontal="left"/>
    </xf>
    <xf numFmtId="0" fontId="3" fillId="11" borderId="4" xfId="0" applyFont="1" applyFill="1" applyBorder="1" applyAlignment="1">
      <alignment horizontal="left"/>
    </xf>
    <xf numFmtId="0" fontId="0" fillId="11" borderId="3" xfId="0" applyFill="1" applyBorder="1" applyAlignment="1">
      <alignment horizontal="left"/>
    </xf>
    <xf numFmtId="0" fontId="0" fillId="11" borderId="2" xfId="0" applyFill="1" applyBorder="1" applyAlignment="1">
      <alignment horizontal="left"/>
    </xf>
    <xf numFmtId="0" fontId="3" fillId="11" borderId="1" xfId="0" applyFont="1" applyFill="1" applyBorder="1" applyAlignment="1">
      <alignment horizontal="left"/>
    </xf>
    <xf numFmtId="0" fontId="0" fillId="11" borderId="12" xfId="0" applyFill="1" applyBorder="1" applyAlignment="1">
      <alignment horizontal="left"/>
    </xf>
    <xf numFmtId="0" fontId="0" fillId="11" borderId="11" xfId="0" applyFill="1" applyBorder="1" applyAlignment="1">
      <alignment horizontal="left"/>
    </xf>
    <xf numFmtId="0" fontId="3" fillId="11" borderId="10" xfId="0" applyFont="1" applyFill="1" applyBorder="1" applyAlignment="1">
      <alignment horizontal="left"/>
    </xf>
    <xf numFmtId="0" fontId="3" fillId="10" borderId="0" xfId="0" applyFont="1" applyFill="1" applyAlignment="1">
      <alignment horizontal="left"/>
    </xf>
    <xf numFmtId="9" fontId="0" fillId="10" borderId="0" xfId="1" applyFont="1" applyFill="1" applyAlignment="1">
      <alignment horizontal="left"/>
    </xf>
    <xf numFmtId="0" fontId="18" fillId="10" borderId="0" xfId="0" applyFont="1" applyFill="1" applyAlignment="1">
      <alignment horizontal="left"/>
    </xf>
    <xf numFmtId="165" fontId="0" fillId="10" borderId="0" xfId="18" applyFont="1" applyFill="1" applyBorder="1" applyAlignment="1">
      <alignment horizontal="left"/>
    </xf>
    <xf numFmtId="2" fontId="0" fillId="11" borderId="7" xfId="0" applyNumberFormat="1" applyFill="1" applyBorder="1" applyAlignment="1">
      <alignment horizontal="left"/>
    </xf>
    <xf numFmtId="2" fontId="0" fillId="11" borderId="7" xfId="0" applyNumberFormat="1" applyFill="1" applyBorder="1" applyAlignment="1">
      <alignment horizontal="right"/>
    </xf>
    <xf numFmtId="0" fontId="19" fillId="11" borderId="0" xfId="0" applyFont="1" applyFill="1" applyBorder="1" applyAlignment="1">
      <alignment horizontal="left"/>
    </xf>
    <xf numFmtId="9" fontId="0" fillId="11" borderId="0" xfId="0" applyNumberFormat="1" applyFill="1" applyAlignment="1">
      <alignment horizontal="right"/>
    </xf>
    <xf numFmtId="165" fontId="0" fillId="11" borderId="0" xfId="0" applyNumberFormat="1" applyFill="1" applyAlignment="1">
      <alignment horizontal="left"/>
    </xf>
    <xf numFmtId="2" fontId="0" fillId="10" borderId="0" xfId="0" applyNumberFormat="1" applyFill="1" applyAlignment="1">
      <alignment horizontal="left"/>
    </xf>
    <xf numFmtId="9" fontId="0" fillId="11" borderId="0" xfId="0" applyNumberFormat="1" applyFill="1" applyAlignment="1">
      <alignment horizontal="left"/>
    </xf>
    <xf numFmtId="165" fontId="0" fillId="11" borderId="0" xfId="18" applyFont="1" applyFill="1" applyAlignment="1">
      <alignment horizontal="right"/>
    </xf>
    <xf numFmtId="165" fontId="0" fillId="11" borderId="0" xfId="18" applyFont="1" applyFill="1" applyBorder="1" applyAlignment="1">
      <alignment horizontal="left"/>
    </xf>
    <xf numFmtId="165" fontId="0" fillId="11" borderId="0" xfId="0" applyNumberFormat="1" applyFill="1" applyAlignment="1">
      <alignment horizontal="right"/>
    </xf>
    <xf numFmtId="165" fontId="19" fillId="11" borderId="0" xfId="18" applyFont="1" applyFill="1" applyBorder="1" applyAlignment="1">
      <alignment horizontal="right"/>
    </xf>
    <xf numFmtId="165" fontId="19" fillId="10" borderId="0" xfId="0" applyNumberFormat="1" applyFont="1" applyFill="1" applyBorder="1" applyAlignment="1">
      <alignment horizontal="left"/>
    </xf>
    <xf numFmtId="165" fontId="0" fillId="11" borderId="7" xfId="18" applyFont="1" applyFill="1" applyBorder="1" applyAlignment="1">
      <alignment horizontal="left"/>
    </xf>
    <xf numFmtId="9" fontId="0" fillId="11" borderId="0" xfId="1" applyFont="1" applyFill="1" applyBorder="1" applyAlignment="1">
      <alignment horizontal="left"/>
    </xf>
    <xf numFmtId="10" fontId="0" fillId="11" borderId="0" xfId="1" applyNumberFormat="1" applyFont="1" applyFill="1" applyBorder="1" applyAlignment="1">
      <alignment horizontal="left"/>
    </xf>
    <xf numFmtId="0" fontId="13" fillId="11" borderId="4" xfId="0" applyFont="1" applyFill="1" applyBorder="1" applyAlignment="1">
      <alignment horizontal="left"/>
    </xf>
    <xf numFmtId="0" fontId="13" fillId="11" borderId="1" xfId="0" applyFont="1" applyFill="1" applyBorder="1" applyAlignment="1">
      <alignment horizontal="left"/>
    </xf>
    <xf numFmtId="0" fontId="0" fillId="11" borderId="7" xfId="0" applyFill="1" applyBorder="1" applyAlignment="1">
      <alignment horizontal="center"/>
    </xf>
    <xf numFmtId="165" fontId="20" fillId="11" borderId="0" xfId="0" applyNumberFormat="1" applyFont="1" applyFill="1" applyBorder="1" applyAlignment="1">
      <alignment horizontal="left"/>
    </xf>
    <xf numFmtId="9" fontId="20" fillId="11" borderId="0" xfId="1" applyFont="1" applyFill="1" applyBorder="1" applyAlignment="1">
      <alignment horizontal="right"/>
    </xf>
    <xf numFmtId="165" fontId="20" fillId="11" borderId="0" xfId="0" applyNumberFormat="1" applyFont="1" applyFill="1" applyBorder="1" applyAlignment="1">
      <alignment horizontal="right"/>
    </xf>
    <xf numFmtId="0" fontId="20" fillId="11" borderId="0" xfId="0" applyFont="1" applyFill="1" applyBorder="1" applyAlignment="1">
      <alignment horizontal="left"/>
    </xf>
    <xf numFmtId="0" fontId="20" fillId="11" borderId="0" xfId="0" applyFont="1" applyFill="1" applyBorder="1" applyAlignment="1">
      <alignment horizontal="right"/>
    </xf>
    <xf numFmtId="165" fontId="20" fillId="11" borderId="0" xfId="18" applyFont="1" applyFill="1" applyBorder="1" applyAlignment="1">
      <alignment horizontal="right"/>
    </xf>
    <xf numFmtId="10" fontId="20" fillId="11" borderId="0" xfId="1" applyNumberFormat="1" applyFont="1" applyFill="1" applyBorder="1" applyAlignment="1">
      <alignment horizontal="left"/>
    </xf>
    <xf numFmtId="10" fontId="20" fillId="11" borderId="0" xfId="1" applyNumberFormat="1" applyFont="1" applyFill="1" applyBorder="1" applyAlignment="1">
      <alignment horizontal="right"/>
    </xf>
    <xf numFmtId="174" fontId="20" fillId="11" borderId="0" xfId="18" applyNumberFormat="1" applyFont="1" applyFill="1" applyBorder="1" applyAlignment="1">
      <alignment horizontal="right"/>
    </xf>
    <xf numFmtId="165" fontId="0" fillId="11" borderId="0" xfId="0" applyNumberFormat="1" applyFill="1" applyBorder="1" applyAlignment="1">
      <alignment horizontal="right"/>
    </xf>
    <xf numFmtId="172" fontId="0" fillId="11" borderId="0" xfId="1" applyNumberFormat="1" applyFont="1" applyFill="1" applyBorder="1" applyAlignment="1">
      <alignment horizontal="left"/>
    </xf>
    <xf numFmtId="175" fontId="0" fillId="11" borderId="0" xfId="18" applyNumberFormat="1" applyFont="1" applyFill="1" applyBorder="1" applyAlignment="1">
      <alignment horizontal="left"/>
    </xf>
    <xf numFmtId="0" fontId="0" fillId="11" borderId="7" xfId="0" applyFill="1" applyBorder="1" applyAlignment="1">
      <alignment horizontal="right"/>
    </xf>
    <xf numFmtId="9" fontId="19" fillId="11" borderId="0" xfId="0" applyNumberFormat="1" applyFont="1" applyFill="1" applyBorder="1" applyAlignment="1">
      <alignment horizontal="right"/>
    </xf>
    <xf numFmtId="165" fontId="0" fillId="11" borderId="5" xfId="18" applyFont="1" applyFill="1" applyBorder="1" applyAlignment="1">
      <alignment horizontal="left"/>
    </xf>
    <xf numFmtId="0" fontId="19" fillId="11" borderId="4" xfId="0" applyFont="1" applyFill="1" applyBorder="1" applyAlignment="1"/>
    <xf numFmtId="165" fontId="19" fillId="11" borderId="0" xfId="18" applyFont="1" applyFill="1" applyBorder="1" applyAlignment="1">
      <alignment horizontal="left"/>
    </xf>
    <xf numFmtId="175" fontId="19" fillId="11" borderId="0" xfId="18" applyNumberFormat="1" applyFont="1" applyFill="1" applyBorder="1" applyAlignment="1">
      <alignment horizontal="right"/>
    </xf>
    <xf numFmtId="165" fontId="0" fillId="11" borderId="0" xfId="18" applyFont="1" applyFill="1" applyBorder="1" applyAlignment="1">
      <alignment horizontal="right"/>
    </xf>
    <xf numFmtId="0" fontId="3" fillId="11" borderId="2" xfId="0" applyFont="1" applyFill="1" applyBorder="1" applyAlignment="1">
      <alignment horizontal="right"/>
    </xf>
    <xf numFmtId="0" fontId="2" fillId="2" borderId="0" xfId="0" applyFont="1" applyFill="1" applyBorder="1"/>
    <xf numFmtId="165" fontId="0" fillId="2" borderId="0" xfId="3" applyFont="1" applyFill="1" applyBorder="1" applyAlignment="1">
      <alignment horizontal="right"/>
    </xf>
    <xf numFmtId="165" fontId="0" fillId="10" borderId="0" xfId="3" applyFont="1" applyFill="1"/>
    <xf numFmtId="0" fontId="0" fillId="2" borderId="9" xfId="0" applyFill="1" applyBorder="1"/>
    <xf numFmtId="0" fontId="0" fillId="2" borderId="9" xfId="0" applyFill="1" applyBorder="1" applyAlignment="1">
      <alignment horizontal="center"/>
    </xf>
    <xf numFmtId="2" fontId="0" fillId="2" borderId="9" xfId="3" applyNumberFormat="1" applyFont="1" applyFill="1" applyBorder="1" applyAlignment="1">
      <alignment horizontal="center" vertical="center"/>
    </xf>
    <xf numFmtId="0" fontId="0" fillId="2" borderId="9" xfId="0" applyNumberFormat="1" applyFill="1" applyBorder="1" applyAlignment="1">
      <alignment horizontal="center"/>
    </xf>
    <xf numFmtId="2" fontId="0" fillId="2" borderId="9" xfId="0" applyNumberFormat="1" applyFill="1" applyBorder="1" applyAlignment="1">
      <alignment horizontal="center" vertical="center"/>
    </xf>
    <xf numFmtId="2" fontId="0" fillId="2" borderId="9" xfId="0" applyNumberFormat="1" applyFill="1" applyBorder="1" applyAlignment="1">
      <alignment horizontal="center"/>
    </xf>
    <xf numFmtId="0" fontId="0" fillId="2" borderId="10" xfId="0" applyFill="1" applyBorder="1"/>
    <xf numFmtId="2" fontId="0" fillId="2" borderId="0" xfId="3" applyNumberFormat="1" applyFont="1" applyFill="1" applyBorder="1" applyAlignment="1">
      <alignment horizontal="center"/>
    </xf>
    <xf numFmtId="2" fontId="0" fillId="2" borderId="0" xfId="0" applyNumberFormat="1" applyFill="1" applyBorder="1" applyAlignment="1">
      <alignment horizontal="center"/>
    </xf>
    <xf numFmtId="2" fontId="0" fillId="2" borderId="7" xfId="3" applyNumberFormat="1" applyFont="1" applyFill="1" applyBorder="1" applyAlignment="1">
      <alignment horizontal="center"/>
    </xf>
    <xf numFmtId="2" fontId="0" fillId="2" borderId="7" xfId="0" applyNumberFormat="1" applyFill="1" applyBorder="1" applyAlignment="1">
      <alignment horizontal="center"/>
    </xf>
    <xf numFmtId="165" fontId="0" fillId="2" borderId="9" xfId="3" applyFont="1" applyFill="1" applyBorder="1" applyAlignment="1">
      <alignment horizontal="center" vertical="center"/>
    </xf>
    <xf numFmtId="165" fontId="0" fillId="2" borderId="9" xfId="3" applyFont="1" applyFill="1" applyBorder="1" applyAlignment="1">
      <alignment horizontal="center"/>
    </xf>
    <xf numFmtId="164" fontId="2" fillId="2" borderId="0" xfId="0" applyNumberFormat="1" applyFont="1" applyFill="1" applyBorder="1"/>
    <xf numFmtId="9" fontId="3" fillId="11" borderId="0" xfId="0" applyNumberFormat="1" applyFont="1" applyFill="1" applyAlignment="1">
      <alignment horizontal="right"/>
    </xf>
    <xf numFmtId="9" fontId="3" fillId="11" borderId="0" xfId="0" applyNumberFormat="1" applyFont="1" applyFill="1" applyAlignment="1"/>
    <xf numFmtId="0" fontId="3" fillId="3" borderId="10" xfId="0" applyFont="1" applyFill="1" applyBorder="1"/>
    <xf numFmtId="10" fontId="0" fillId="2" borderId="0" xfId="1" applyNumberFormat="1" applyFont="1" applyFill="1" applyBorder="1"/>
    <xf numFmtId="165" fontId="0" fillId="2" borderId="9" xfId="3" applyFont="1" applyFill="1" applyBorder="1"/>
    <xf numFmtId="165" fontId="0" fillId="2" borderId="10" xfId="3" applyFont="1" applyFill="1" applyBorder="1"/>
    <xf numFmtId="165" fontId="0" fillId="4" borderId="0" xfId="3" applyNumberFormat="1" applyFont="1" applyFill="1" applyBorder="1" applyAlignment="1">
      <alignment horizontal="left"/>
    </xf>
    <xf numFmtId="165" fontId="0" fillId="11" borderId="0" xfId="3" applyFont="1" applyFill="1" applyAlignment="1">
      <alignment horizontal="right"/>
    </xf>
    <xf numFmtId="165" fontId="4" fillId="11" borderId="0" xfId="3" applyFont="1" applyFill="1" applyBorder="1" applyAlignment="1">
      <alignment horizontal="left"/>
    </xf>
    <xf numFmtId="165" fontId="0" fillId="11" borderId="0" xfId="3" applyFont="1" applyFill="1" applyBorder="1" applyAlignment="1">
      <alignment horizontal="left"/>
    </xf>
    <xf numFmtId="0" fontId="0" fillId="11" borderId="4" xfId="0" applyFont="1" applyFill="1" applyBorder="1" applyAlignment="1">
      <alignment horizontal="left"/>
    </xf>
    <xf numFmtId="165" fontId="0" fillId="11" borderId="0" xfId="3" applyFont="1" applyFill="1" applyBorder="1" applyAlignment="1">
      <alignment horizontal="right"/>
    </xf>
    <xf numFmtId="9" fontId="3" fillId="11" borderId="4" xfId="0" applyNumberFormat="1" applyFont="1" applyFill="1" applyBorder="1" applyAlignment="1">
      <alignment horizontal="left"/>
    </xf>
    <xf numFmtId="9" fontId="0" fillId="11" borderId="4" xfId="0" applyNumberFormat="1" applyFill="1" applyBorder="1" applyAlignment="1">
      <alignment horizontal="left"/>
    </xf>
    <xf numFmtId="9" fontId="0" fillId="11" borderId="0" xfId="1" applyFont="1" applyFill="1" applyBorder="1" applyAlignment="1">
      <alignment horizontal="right"/>
    </xf>
    <xf numFmtId="9" fontId="0" fillId="11" borderId="4" xfId="0" applyNumberFormat="1" applyFont="1" applyFill="1" applyBorder="1" applyAlignment="1">
      <alignment horizontal="left"/>
    </xf>
    <xf numFmtId="0" fontId="19" fillId="11" borderId="4" xfId="0" applyFont="1" applyFill="1" applyBorder="1" applyAlignment="1">
      <alignment horizontal="right"/>
    </xf>
    <xf numFmtId="9" fontId="0" fillId="11" borderId="7" xfId="1" applyFont="1" applyFill="1" applyBorder="1" applyAlignment="1">
      <alignment horizontal="center"/>
    </xf>
    <xf numFmtId="9" fontId="13" fillId="11" borderId="4" xfId="0" applyNumberFormat="1" applyFont="1" applyFill="1" applyBorder="1" applyAlignment="1">
      <alignment horizontal="left"/>
    </xf>
    <xf numFmtId="0" fontId="0" fillId="11" borderId="0" xfId="0" applyFont="1" applyFill="1" applyBorder="1" applyAlignment="1">
      <alignment horizontal="right"/>
    </xf>
    <xf numFmtId="0" fontId="28" fillId="17" borderId="0" xfId="19"/>
    <xf numFmtId="0" fontId="3" fillId="0" borderId="0" xfId="0" applyFont="1"/>
    <xf numFmtId="0" fontId="0" fillId="16" borderId="33" xfId="47" applyFont="1" applyFill="1" applyBorder="1"/>
    <xf numFmtId="0" fontId="0" fillId="0" borderId="0" xfId="0" quotePrefix="1"/>
    <xf numFmtId="0" fontId="2" fillId="0" borderId="0" xfId="0" quotePrefix="1" applyFont="1"/>
    <xf numFmtId="0" fontId="4" fillId="14" borderId="31" xfId="50" applyFont="1" applyFill="1" applyBorder="1"/>
    <xf numFmtId="0" fontId="0" fillId="11" borderId="0" xfId="0" applyFill="1"/>
    <xf numFmtId="0" fontId="0" fillId="20" borderId="0" xfId="0" applyFill="1"/>
    <xf numFmtId="0" fontId="0" fillId="13" borderId="0" xfId="0" applyFill="1"/>
    <xf numFmtId="0" fontId="0" fillId="12" borderId="0" xfId="0" applyFill="1"/>
    <xf numFmtId="0" fontId="0" fillId="21" borderId="0" xfId="0" applyFill="1"/>
    <xf numFmtId="0" fontId="0" fillId="22" borderId="0" xfId="0" applyFill="1"/>
    <xf numFmtId="0" fontId="29" fillId="0" borderId="0" xfId="0" applyFont="1"/>
    <xf numFmtId="0" fontId="22" fillId="0" borderId="0" xfId="0" applyFont="1"/>
    <xf numFmtId="0" fontId="27" fillId="15" borderId="32" xfId="38" applyFont="1" applyFill="1" applyBorder="1"/>
    <xf numFmtId="0" fontId="0" fillId="0" borderId="34" xfId="0" applyBorder="1"/>
    <xf numFmtId="0" fontId="4" fillId="14" borderId="31" xfId="50" applyFont="1" applyFill="1" applyBorder="1"/>
    <xf numFmtId="0" fontId="0" fillId="16" borderId="33" xfId="47" applyFont="1" applyFill="1" applyBorder="1"/>
    <xf numFmtId="0" fontId="2" fillId="16" borderId="33" xfId="47" applyFont="1" applyFill="1" applyBorder="1"/>
    <xf numFmtId="9" fontId="0" fillId="16" borderId="33" xfId="47" applyNumberFormat="1" applyFont="1" applyFill="1" applyBorder="1"/>
    <xf numFmtId="165" fontId="30" fillId="16" borderId="33" xfId="3" applyFont="1" applyFill="1" applyBorder="1"/>
    <xf numFmtId="9" fontId="30" fillId="16" borderId="33" xfId="47" applyNumberFormat="1" applyFont="1" applyFill="1" applyBorder="1"/>
    <xf numFmtId="10" fontId="30" fillId="16" borderId="33" xfId="47" applyNumberFormat="1" applyFont="1" applyFill="1" applyBorder="1"/>
    <xf numFmtId="165" fontId="30" fillId="14" borderId="31" xfId="3" applyFont="1" applyFill="1" applyBorder="1"/>
    <xf numFmtId="0" fontId="30" fillId="16" borderId="33" xfId="47" applyFont="1" applyFill="1" applyBorder="1"/>
    <xf numFmtId="0" fontId="30" fillId="14" borderId="31" xfId="50" applyFont="1" applyFill="1" applyBorder="1"/>
    <xf numFmtId="0" fontId="20" fillId="16" borderId="33" xfId="47" applyFont="1" applyFill="1" applyBorder="1"/>
    <xf numFmtId="165" fontId="2" fillId="2" borderId="0" xfId="3" applyNumberFormat="1" applyFont="1" applyFill="1" applyBorder="1"/>
    <xf numFmtId="2" fontId="2" fillId="2" borderId="5" xfId="0" applyNumberFormat="1" applyFont="1" applyFill="1" applyBorder="1"/>
    <xf numFmtId="0" fontId="0" fillId="16" borderId="33" xfId="47" applyFont="1" applyFill="1" applyBorder="1" applyAlignment="1">
      <alignment wrapText="1"/>
    </xf>
    <xf numFmtId="165" fontId="30" fillId="16" borderId="33" xfId="47" applyNumberFormat="1" applyFont="1" applyFill="1" applyBorder="1"/>
    <xf numFmtId="165" fontId="2" fillId="2" borderId="0" xfId="0" applyNumberFormat="1" applyFont="1" applyFill="1" applyBorder="1"/>
    <xf numFmtId="2" fontId="2" fillId="2" borderId="9" xfId="3" applyNumberFormat="1" applyFont="1" applyFill="1" applyBorder="1" applyAlignment="1">
      <alignment horizontal="center" vertical="center"/>
    </xf>
    <xf numFmtId="2" fontId="2" fillId="2" borderId="9" xfId="0" applyNumberFormat="1" applyFont="1" applyFill="1" applyBorder="1" applyAlignment="1">
      <alignment horizontal="center"/>
    </xf>
    <xf numFmtId="2" fontId="2" fillId="2" borderId="9" xfId="0" applyNumberFormat="1" applyFont="1" applyFill="1" applyBorder="1" applyAlignment="1">
      <alignment horizontal="center" vertical="center"/>
    </xf>
    <xf numFmtId="165" fontId="0" fillId="4" borderId="5" xfId="0" applyNumberFormat="1" applyFill="1" applyBorder="1"/>
    <xf numFmtId="165" fontId="2" fillId="2" borderId="8" xfId="0" applyNumberFormat="1" applyFont="1" applyFill="1" applyBorder="1"/>
    <xf numFmtId="165" fontId="30" fillId="14" borderId="31" xfId="50" applyNumberFormat="1" applyFont="1" applyFill="1" applyBorder="1"/>
    <xf numFmtId="170" fontId="30" fillId="16" borderId="33" xfId="3" applyNumberFormat="1" applyFont="1" applyFill="1" applyBorder="1"/>
    <xf numFmtId="165" fontId="4" fillId="2" borderId="0" xfId="3" applyFont="1" applyFill="1" applyBorder="1"/>
    <xf numFmtId="165" fontId="0" fillId="2" borderId="0" xfId="3" applyFont="1" applyFill="1"/>
    <xf numFmtId="0" fontId="30" fillId="14" borderId="31" xfId="3" applyNumberFormat="1" applyFont="1" applyFill="1" applyBorder="1"/>
    <xf numFmtId="165" fontId="30" fillId="14" borderId="31" xfId="3" applyNumberFormat="1" applyFont="1" applyFill="1" applyBorder="1"/>
    <xf numFmtId="165" fontId="4" fillId="4" borderId="0" xfId="0" applyNumberFormat="1" applyFont="1" applyFill="1" applyBorder="1"/>
    <xf numFmtId="165" fontId="4" fillId="4" borderId="5" xfId="0" applyNumberFormat="1" applyFont="1" applyFill="1" applyBorder="1"/>
    <xf numFmtId="0" fontId="0" fillId="16" borderId="33" xfId="47" applyFont="1" applyFill="1" applyBorder="1" applyAlignment="1"/>
    <xf numFmtId="0" fontId="0" fillId="23" borderId="0" xfId="0" applyFill="1"/>
    <xf numFmtId="0" fontId="24" fillId="23" borderId="0" xfId="0" applyFont="1" applyFill="1" applyAlignment="1">
      <alignment horizontal="left"/>
    </xf>
    <xf numFmtId="0" fontId="0" fillId="23" borderId="0" xfId="0" applyFill="1" applyAlignment="1">
      <alignment vertical="center"/>
    </xf>
    <xf numFmtId="0" fontId="0" fillId="24" borderId="0" xfId="0" applyFill="1" applyBorder="1"/>
    <xf numFmtId="0" fontId="0" fillId="24" borderId="0" xfId="0" applyFill="1"/>
    <xf numFmtId="0" fontId="3" fillId="24" borderId="10" xfId="0" applyFont="1" applyFill="1" applyBorder="1"/>
    <xf numFmtId="0" fontId="3" fillId="24" borderId="11" xfId="0" applyFont="1" applyFill="1" applyBorder="1"/>
    <xf numFmtId="0" fontId="3" fillId="24" borderId="12" xfId="0" applyFont="1" applyFill="1" applyBorder="1"/>
    <xf numFmtId="0" fontId="3" fillId="24" borderId="0" xfId="0" applyFont="1" applyFill="1"/>
    <xf numFmtId="0" fontId="0" fillId="24" borderId="9" xfId="0" applyFill="1" applyBorder="1" applyAlignment="1">
      <alignment horizontal="center"/>
    </xf>
    <xf numFmtId="0" fontId="3" fillId="24" borderId="30" xfId="0" applyFont="1" applyFill="1" applyBorder="1" applyAlignment="1">
      <alignment horizontal="center"/>
    </xf>
    <xf numFmtId="0" fontId="3" fillId="24" borderId="28" xfId="0" applyFont="1" applyFill="1" applyBorder="1" applyAlignment="1">
      <alignment horizontal="center"/>
    </xf>
    <xf numFmtId="0" fontId="3" fillId="24" borderId="29" xfId="0" applyFont="1" applyFill="1" applyBorder="1" applyAlignment="1">
      <alignment horizontal="center"/>
    </xf>
    <xf numFmtId="0" fontId="3" fillId="24" borderId="25" xfId="0" applyFont="1" applyFill="1" applyBorder="1" applyAlignment="1">
      <alignment horizontal="center"/>
    </xf>
    <xf numFmtId="0" fontId="0" fillId="24" borderId="17" xfId="0" applyFill="1" applyBorder="1" applyAlignment="1">
      <alignment horizontal="center"/>
    </xf>
    <xf numFmtId="0" fontId="0" fillId="24" borderId="18" xfId="0" applyFill="1" applyBorder="1" applyAlignment="1">
      <alignment horizontal="center"/>
    </xf>
    <xf numFmtId="0" fontId="0" fillId="24" borderId="19" xfId="0" applyFill="1" applyBorder="1" applyAlignment="1">
      <alignment horizontal="center"/>
    </xf>
    <xf numFmtId="0" fontId="3" fillId="24" borderId="26" xfId="0" applyFont="1" applyFill="1" applyBorder="1" applyAlignment="1">
      <alignment horizontal="center"/>
    </xf>
    <xf numFmtId="0" fontId="0" fillId="24" borderId="20" xfId="0" applyFill="1" applyBorder="1" applyAlignment="1">
      <alignment horizontal="center"/>
    </xf>
    <xf numFmtId="0" fontId="0" fillId="24" borderId="21" xfId="0" applyFill="1" applyBorder="1" applyAlignment="1">
      <alignment horizontal="center"/>
    </xf>
    <xf numFmtId="9" fontId="0" fillId="24" borderId="0" xfId="0" applyNumberFormat="1" applyFill="1"/>
    <xf numFmtId="9" fontId="0" fillId="24" borderId="0" xfId="1" applyFont="1" applyFill="1"/>
    <xf numFmtId="165" fontId="0" fillId="24" borderId="0" xfId="18" applyFont="1" applyFill="1"/>
    <xf numFmtId="10" fontId="0" fillId="24" borderId="0" xfId="1" applyNumberFormat="1" applyFont="1" applyFill="1"/>
    <xf numFmtId="0" fontId="4" fillId="24" borderId="21" xfId="2" applyFont="1" applyFill="1" applyBorder="1" applyAlignment="1">
      <alignment horizontal="center"/>
    </xf>
    <xf numFmtId="0" fontId="0" fillId="24" borderId="20" xfId="0" applyFont="1" applyFill="1" applyBorder="1" applyAlignment="1">
      <alignment horizontal="center"/>
    </xf>
    <xf numFmtId="0" fontId="0" fillId="24" borderId="9" xfId="0" applyFont="1" applyFill="1" applyBorder="1" applyAlignment="1">
      <alignment horizontal="center"/>
    </xf>
    <xf numFmtId="165" fontId="0" fillId="24" borderId="0" xfId="0" applyNumberFormat="1" applyFill="1"/>
    <xf numFmtId="0" fontId="4" fillId="24" borderId="0" xfId="0" applyFont="1" applyFill="1"/>
    <xf numFmtId="0" fontId="3" fillId="24" borderId="27" xfId="0" applyFont="1" applyFill="1" applyBorder="1" applyAlignment="1">
      <alignment horizontal="center"/>
    </xf>
    <xf numFmtId="0" fontId="0" fillId="24" borderId="22" xfId="0" applyFill="1" applyBorder="1" applyAlignment="1">
      <alignment horizontal="center"/>
    </xf>
    <xf numFmtId="0" fontId="0" fillId="24" borderId="23" xfId="0" applyFill="1" applyBorder="1" applyAlignment="1">
      <alignment horizontal="center"/>
    </xf>
    <xf numFmtId="0" fontId="0" fillId="24" borderId="24" xfId="0" applyFill="1" applyBorder="1" applyAlignment="1">
      <alignment horizontal="center"/>
    </xf>
    <xf numFmtId="0" fontId="20" fillId="24" borderId="0" xfId="0" applyFont="1" applyFill="1" applyBorder="1" applyAlignment="1">
      <alignment horizontal="left"/>
    </xf>
    <xf numFmtId="172" fontId="4" fillId="24" borderId="0" xfId="1" applyNumberFormat="1" applyFont="1" applyFill="1" applyBorder="1" applyAlignment="1">
      <alignment horizontal="right"/>
    </xf>
    <xf numFmtId="0" fontId="4" fillId="24" borderId="0" xfId="0" applyFont="1" applyFill="1" applyBorder="1" applyAlignment="1">
      <alignment horizontal="left"/>
    </xf>
    <xf numFmtId="175" fontId="4" fillId="24" borderId="0" xfId="18" applyNumberFormat="1" applyFont="1" applyFill="1" applyBorder="1" applyAlignment="1">
      <alignment horizontal="left"/>
    </xf>
    <xf numFmtId="165" fontId="4" fillId="24" borderId="0" xfId="3" applyFont="1" applyFill="1" applyBorder="1" applyAlignment="1">
      <alignment horizontal="right"/>
    </xf>
    <xf numFmtId="0" fontId="20" fillId="24" borderId="0" xfId="0" applyFont="1" applyFill="1" applyBorder="1" applyAlignment="1">
      <alignment horizontal="right"/>
    </xf>
    <xf numFmtId="0" fontId="2" fillId="24" borderId="0" xfId="0" applyFont="1" applyFill="1"/>
    <xf numFmtId="0" fontId="21" fillId="24" borderId="0" xfId="0" applyFont="1" applyFill="1" applyBorder="1" applyAlignment="1">
      <alignment horizontal="left"/>
    </xf>
    <xf numFmtId="9" fontId="4" fillId="24" borderId="0" xfId="0" applyNumberFormat="1" applyFont="1" applyFill="1"/>
    <xf numFmtId="165" fontId="20" fillId="24" borderId="0" xfId="3" applyFont="1" applyFill="1" applyBorder="1" applyAlignment="1">
      <alignment horizontal="right"/>
    </xf>
    <xf numFmtId="0" fontId="12" fillId="24" borderId="0" xfId="5" applyFont="1" applyFill="1" applyBorder="1">
      <alignment horizontal="right"/>
    </xf>
    <xf numFmtId="0" fontId="4" fillId="24" borderId="0" xfId="6" applyFont="1" applyFill="1" applyBorder="1">
      <protection locked="0"/>
    </xf>
    <xf numFmtId="0" fontId="4" fillId="24" borderId="0" xfId="0" applyFont="1" applyFill="1" applyBorder="1"/>
    <xf numFmtId="0" fontId="26" fillId="24" borderId="0" xfId="5" applyFont="1" applyFill="1" applyBorder="1">
      <alignment horizontal="right"/>
    </xf>
    <xf numFmtId="11" fontId="4" fillId="24" borderId="0" xfId="6" applyNumberFormat="1" applyFont="1" applyFill="1" applyBorder="1">
      <protection locked="0"/>
    </xf>
    <xf numFmtId="165" fontId="4" fillId="24" borderId="0" xfId="6" applyNumberFormat="1" applyFont="1" applyFill="1" applyBorder="1">
      <protection locked="0"/>
    </xf>
    <xf numFmtId="165" fontId="4" fillId="24" borderId="0" xfId="3" applyFont="1" applyFill="1" applyBorder="1" applyProtection="1">
      <protection locked="0"/>
    </xf>
    <xf numFmtId="9" fontId="4" fillId="24" borderId="0" xfId="6" applyNumberFormat="1" applyFont="1" applyFill="1" applyBorder="1">
      <protection locked="0"/>
    </xf>
    <xf numFmtId="9" fontId="4" fillId="24" borderId="0" xfId="1" applyFont="1" applyFill="1" applyBorder="1"/>
    <xf numFmtId="0" fontId="13" fillId="24" borderId="0" xfId="0" applyFont="1" applyFill="1"/>
    <xf numFmtId="173" fontId="4" fillId="24" borderId="0" xfId="18" applyNumberFormat="1" applyFont="1" applyFill="1"/>
    <xf numFmtId="165" fontId="4" fillId="24" borderId="0" xfId="18" applyFont="1" applyFill="1"/>
    <xf numFmtId="165" fontId="4" fillId="24" borderId="0" xfId="0" applyNumberFormat="1" applyFont="1" applyFill="1"/>
    <xf numFmtId="10" fontId="4" fillId="24" borderId="0" xfId="0" applyNumberFormat="1" applyFont="1" applyFill="1"/>
    <xf numFmtId="0" fontId="4" fillId="11" borderId="1" xfId="0" applyFont="1" applyFill="1" applyBorder="1" applyAlignment="1">
      <alignment horizontal="left"/>
    </xf>
    <xf numFmtId="165" fontId="4" fillId="11" borderId="0" xfId="0" applyNumberFormat="1" applyFont="1" applyFill="1" applyBorder="1" applyAlignment="1">
      <alignment horizontal="left"/>
    </xf>
    <xf numFmtId="165" fontId="4" fillId="11" borderId="0" xfId="3" applyFont="1" applyFill="1" applyBorder="1" applyAlignment="1">
      <alignment horizontal="right"/>
    </xf>
    <xf numFmtId="165" fontId="0" fillId="11" borderId="0" xfId="0" applyNumberFormat="1" applyFill="1" applyAlignment="1">
      <alignment horizontal="right"/>
    </xf>
    <xf numFmtId="10" fontId="4" fillId="11" borderId="0" xfId="3" applyNumberFormat="1" applyFont="1" applyFill="1" applyBorder="1" applyAlignment="1">
      <alignment horizontal="left"/>
    </xf>
    <xf numFmtId="165" fontId="0" fillId="11" borderId="0" xfId="0" applyNumberFormat="1" applyFill="1" applyBorder="1" applyAlignment="1">
      <alignment horizontal="left"/>
    </xf>
    <xf numFmtId="168" fontId="30" fillId="16" borderId="33" xfId="47" applyNumberFormat="1" applyFont="1" applyFill="1" applyBorder="1"/>
    <xf numFmtId="165" fontId="20" fillId="11" borderId="0" xfId="0" applyNumberFormat="1" applyFont="1" applyFill="1" applyBorder="1" applyAlignment="1">
      <alignment horizontal="right"/>
    </xf>
    <xf numFmtId="10" fontId="0" fillId="11" borderId="0" xfId="1" applyNumberFormat="1" applyFont="1" applyFill="1" applyBorder="1" applyAlignment="1">
      <alignment horizontal="right"/>
    </xf>
    <xf numFmtId="10" fontId="30" fillId="16" borderId="33" xfId="3" applyNumberFormat="1" applyFont="1" applyFill="1" applyBorder="1"/>
    <xf numFmtId="10" fontId="19" fillId="11" borderId="0" xfId="1" applyNumberFormat="1" applyFont="1" applyFill="1" applyBorder="1" applyAlignment="1">
      <alignment horizontal="right"/>
    </xf>
    <xf numFmtId="165" fontId="19" fillId="11" borderId="0" xfId="3" applyFont="1" applyFill="1" applyBorder="1" applyAlignment="1">
      <alignment horizontal="right"/>
    </xf>
    <xf numFmtId="165" fontId="19" fillId="11" borderId="0" xfId="0" applyNumberFormat="1" applyFont="1" applyFill="1" applyBorder="1" applyAlignment="1">
      <alignment horizontal="right"/>
    </xf>
    <xf numFmtId="165" fontId="0" fillId="11" borderId="2" xfId="0" applyNumberFormat="1" applyFill="1" applyBorder="1" applyAlignment="1">
      <alignment horizontal="left"/>
    </xf>
    <xf numFmtId="0" fontId="0" fillId="11" borderId="2" xfId="0" applyNumberFormat="1" applyFill="1" applyBorder="1" applyAlignment="1">
      <alignment horizontal="left"/>
    </xf>
    <xf numFmtId="165" fontId="0" fillId="11" borderId="2" xfId="3" applyFont="1" applyFill="1" applyBorder="1" applyAlignment="1">
      <alignment horizontal="left"/>
    </xf>
    <xf numFmtId="0" fontId="0" fillId="2" borderId="3" xfId="0" applyFill="1" applyBorder="1" applyAlignment="1">
      <alignment horizontal="left"/>
    </xf>
    <xf numFmtId="9" fontId="0" fillId="16" borderId="33" xfId="1" applyFont="1" applyFill="1" applyBorder="1"/>
    <xf numFmtId="9" fontId="30" fillId="14" borderId="31" xfId="1" applyFont="1" applyFill="1" applyBorder="1"/>
    <xf numFmtId="0" fontId="0" fillId="0" borderId="9" xfId="0" applyBorder="1"/>
    <xf numFmtId="0" fontId="27" fillId="15" borderId="9" xfId="38" applyFont="1" applyFill="1" applyBorder="1"/>
    <xf numFmtId="0" fontId="0" fillId="11" borderId="9" xfId="0" applyFill="1" applyBorder="1"/>
    <xf numFmtId="170" fontId="0" fillId="0" borderId="34" xfId="22" applyNumberFormat="1" applyFont="1" applyBorder="1"/>
    <xf numFmtId="0" fontId="0" fillId="20" borderId="9" xfId="0" applyFill="1" applyBorder="1"/>
    <xf numFmtId="0" fontId="0" fillId="13" borderId="9" xfId="0" applyFill="1" applyBorder="1"/>
    <xf numFmtId="0" fontId="33" fillId="0" borderId="0" xfId="0" applyFont="1"/>
    <xf numFmtId="0" fontId="1" fillId="0" borderId="0" xfId="0" applyFont="1"/>
    <xf numFmtId="9" fontId="34" fillId="27" borderId="16" xfId="1" applyNumberFormat="1" applyFont="1" applyFill="1" applyBorder="1" applyAlignment="1">
      <alignment horizontal="center" vertical="center"/>
    </xf>
    <xf numFmtId="0" fontId="34" fillId="28" borderId="33" xfId="47" applyNumberFormat="1" applyFont="1" applyFill="1" applyBorder="1" applyAlignment="1">
      <alignment horizontal="center" vertical="center"/>
    </xf>
    <xf numFmtId="0" fontId="1" fillId="0" borderId="7" xfId="0" applyFont="1" applyBorder="1"/>
    <xf numFmtId="0" fontId="13" fillId="0" borderId="7" xfId="0" applyFont="1" applyBorder="1"/>
    <xf numFmtId="0" fontId="13" fillId="0" borderId="7" xfId="0" applyFont="1" applyBorder="1" applyAlignment="1">
      <alignment wrapText="1"/>
    </xf>
    <xf numFmtId="0" fontId="13" fillId="0" borderId="0" xfId="0" applyFont="1" applyFill="1" applyBorder="1" applyAlignment="1">
      <alignment wrapText="1"/>
    </xf>
    <xf numFmtId="0" fontId="13" fillId="0" borderId="0" xfId="0" applyFont="1"/>
    <xf numFmtId="0" fontId="27" fillId="22" borderId="0" xfId="0" applyFont="1" applyFill="1"/>
    <xf numFmtId="0" fontId="27" fillId="22" borderId="7" xfId="0" applyFont="1" applyFill="1" applyBorder="1"/>
    <xf numFmtId="0" fontId="28" fillId="22" borderId="0" xfId="0" applyFont="1" applyFill="1"/>
    <xf numFmtId="0" fontId="35" fillId="0" borderId="1" xfId="0" applyFont="1" applyBorder="1" applyAlignment="1">
      <alignment horizontal="left" indent="2"/>
    </xf>
    <xf numFmtId="0" fontId="1" fillId="0" borderId="2" xfId="0" applyFont="1" applyBorder="1"/>
    <xf numFmtId="0" fontId="1" fillId="0" borderId="3" xfId="0" applyFont="1" applyBorder="1"/>
    <xf numFmtId="0" fontId="1" fillId="0" borderId="4" xfId="0" applyFont="1" applyBorder="1" applyAlignment="1">
      <alignment horizontal="left" indent="4"/>
    </xf>
    <xf numFmtId="0" fontId="1" fillId="0" borderId="0" xfId="0" applyFont="1" applyBorder="1"/>
    <xf numFmtId="14" fontId="1" fillId="27" borderId="16" xfId="24" applyNumberFormat="1" applyFont="1" applyFill="1" applyBorder="1"/>
    <xf numFmtId="0" fontId="1" fillId="27" borderId="16" xfId="0" applyFont="1" applyFill="1" applyBorder="1"/>
    <xf numFmtId="0" fontId="1" fillId="0" borderId="5" xfId="0" applyFont="1" applyBorder="1"/>
    <xf numFmtId="14" fontId="1" fillId="16" borderId="33" xfId="47" applyNumberFormat="1" applyFont="1" applyFill="1" applyBorder="1"/>
    <xf numFmtId="0" fontId="1" fillId="16" borderId="33" xfId="47" applyNumberFormat="1" applyFont="1" applyFill="1" applyBorder="1"/>
    <xf numFmtId="0" fontId="0" fillId="0" borderId="0" xfId="0" applyFont="1" applyFill="1" applyBorder="1"/>
    <xf numFmtId="0" fontId="35" fillId="0" borderId="4" xfId="0" applyFont="1" applyBorder="1" applyAlignment="1">
      <alignment horizontal="left" indent="2"/>
    </xf>
    <xf numFmtId="9" fontId="1" fillId="27" borderId="16" xfId="1" applyNumberFormat="1" applyFont="1" applyFill="1" applyBorder="1"/>
    <xf numFmtId="168" fontId="1" fillId="27" borderId="16" xfId="1" applyNumberFormat="1" applyFont="1" applyFill="1" applyBorder="1"/>
    <xf numFmtId="0" fontId="0" fillId="0" borderId="4" xfId="0" applyFont="1" applyBorder="1" applyAlignment="1">
      <alignment horizontal="left" indent="4"/>
    </xf>
    <xf numFmtId="0" fontId="0" fillId="27" borderId="16" xfId="0" applyFont="1" applyFill="1" applyBorder="1"/>
    <xf numFmtId="167" fontId="1" fillId="27" borderId="16" xfId="1" applyNumberFormat="1" applyFont="1" applyFill="1" applyBorder="1"/>
    <xf numFmtId="0" fontId="0" fillId="0" borderId="4" xfId="0" applyFont="1" applyBorder="1" applyAlignment="1">
      <alignment horizontal="left" wrapText="1" indent="4"/>
    </xf>
    <xf numFmtId="0" fontId="0" fillId="0" borderId="0" xfId="0" applyFont="1" applyFill="1" applyBorder="1" applyAlignment="1">
      <alignment vertical="top"/>
    </xf>
    <xf numFmtId="0" fontId="1" fillId="0" borderId="0" xfId="0" applyFont="1" applyFill="1" applyBorder="1" applyAlignment="1">
      <alignment vertical="top"/>
    </xf>
    <xf numFmtId="0" fontId="0" fillId="0" borderId="0" xfId="0" applyFont="1" applyBorder="1"/>
    <xf numFmtId="170" fontId="1" fillId="27" borderId="16" xfId="24" applyNumberFormat="1" applyFont="1" applyFill="1" applyBorder="1"/>
    <xf numFmtId="0" fontId="2" fillId="0" borderId="0" xfId="0" applyFont="1" applyBorder="1"/>
    <xf numFmtId="0" fontId="1" fillId="0" borderId="6" xfId="0" applyFont="1" applyBorder="1" applyAlignment="1">
      <alignment horizontal="left" indent="4"/>
    </xf>
    <xf numFmtId="0" fontId="1" fillId="0" borderId="7" xfId="0" applyFont="1" applyFill="1" applyBorder="1"/>
    <xf numFmtId="0" fontId="1" fillId="0" borderId="8" xfId="0" applyFont="1" applyBorder="1"/>
    <xf numFmtId="0" fontId="1" fillId="0" borderId="0" xfId="0" applyFont="1" applyAlignment="1">
      <alignment horizontal="left" indent="1"/>
    </xf>
    <xf numFmtId="0" fontId="27" fillId="22" borderId="1" xfId="0" applyFont="1" applyFill="1" applyBorder="1"/>
    <xf numFmtId="0" fontId="27" fillId="22" borderId="7" xfId="0" applyFont="1" applyFill="1" applyBorder="1" applyAlignment="1">
      <alignment wrapText="1"/>
    </xf>
    <xf numFmtId="0" fontId="27" fillId="22" borderId="2" xfId="0" applyFont="1" applyFill="1" applyBorder="1" applyAlignment="1">
      <alignment horizontal="left" indent="1"/>
    </xf>
    <xf numFmtId="0" fontId="1" fillId="0" borderId="0" xfId="0" applyFont="1" applyBorder="1" applyAlignment="1">
      <alignment horizontal="left" indent="1"/>
    </xf>
    <xf numFmtId="177" fontId="0" fillId="27" borderId="16" xfId="24" applyNumberFormat="1" applyFont="1" applyFill="1" applyBorder="1"/>
    <xf numFmtId="9" fontId="0" fillId="27" borderId="16" xfId="1" applyFont="1" applyFill="1" applyBorder="1"/>
    <xf numFmtId="0" fontId="1" fillId="0" borderId="4" xfId="0" applyFont="1" applyBorder="1" applyAlignment="1">
      <alignment horizontal="left" vertical="center" wrapText="1" indent="4"/>
    </xf>
    <xf numFmtId="0" fontId="0" fillId="0" borderId="0" xfId="0" applyFont="1" applyFill="1" applyBorder="1" applyAlignment="1">
      <alignment vertical="center"/>
    </xf>
    <xf numFmtId="168" fontId="1" fillId="27" borderId="16" xfId="1" applyNumberFormat="1" applyFont="1" applyFill="1" applyBorder="1" applyAlignment="1">
      <alignment vertical="center"/>
    </xf>
    <xf numFmtId="165" fontId="1" fillId="0" borderId="0" xfId="0" applyNumberFormat="1" applyFont="1" applyFill="1" applyBorder="1" applyAlignment="1">
      <alignment vertical="top"/>
    </xf>
    <xf numFmtId="0" fontId="0" fillId="27" borderId="16" xfId="0" applyFont="1" applyFill="1" applyBorder="1" applyAlignment="1">
      <alignment wrapText="1"/>
    </xf>
    <xf numFmtId="170" fontId="1" fillId="0" borderId="0" xfId="24" applyNumberFormat="1" applyFont="1"/>
    <xf numFmtId="170" fontId="1" fillId="0" borderId="0" xfId="0" applyNumberFormat="1" applyFont="1"/>
    <xf numFmtId="0" fontId="35" fillId="0" borderId="4" xfId="0" applyFont="1" applyBorder="1" applyAlignment="1">
      <alignment horizontal="left" wrapText="1" indent="2"/>
    </xf>
    <xf numFmtId="173" fontId="1" fillId="0" borderId="0" xfId="0" applyNumberFormat="1" applyFont="1"/>
    <xf numFmtId="0" fontId="1" fillId="0" borderId="4" xfId="0" applyFont="1" applyBorder="1" applyAlignment="1">
      <alignment horizontal="left" wrapText="1" indent="4"/>
    </xf>
    <xf numFmtId="0" fontId="1" fillId="27" borderId="16" xfId="0" applyFont="1" applyFill="1" applyBorder="1" applyAlignment="1">
      <alignment wrapText="1"/>
    </xf>
    <xf numFmtId="179" fontId="1" fillId="27" borderId="16" xfId="24" applyNumberFormat="1" applyFont="1" applyFill="1" applyBorder="1" applyAlignment="1">
      <alignment horizontal="right"/>
    </xf>
    <xf numFmtId="0" fontId="1" fillId="0" borderId="6" xfId="0" applyFont="1" applyBorder="1" applyAlignment="1">
      <alignment horizontal="left" indent="1"/>
    </xf>
    <xf numFmtId="0" fontId="3" fillId="0" borderId="4" xfId="0" applyFont="1" applyBorder="1"/>
    <xf numFmtId="180" fontId="1" fillId="27" borderId="16" xfId="24" applyNumberFormat="1" applyFont="1" applyFill="1" applyBorder="1"/>
    <xf numFmtId="9" fontId="1" fillId="27" borderId="16" xfId="1" applyFont="1" applyFill="1" applyBorder="1"/>
    <xf numFmtId="0" fontId="1" fillId="0" borderId="6" xfId="0" applyFont="1" applyBorder="1"/>
    <xf numFmtId="0" fontId="0" fillId="0" borderId="0" xfId="0" applyFont="1" applyFill="1" applyBorder="1" applyAlignment="1">
      <alignment horizontal="left" indent="4"/>
    </xf>
    <xf numFmtId="0" fontId="36" fillId="0" borderId="0" xfId="0" applyFont="1"/>
    <xf numFmtId="9" fontId="1" fillId="0" borderId="0" xfId="0" applyNumberFormat="1" applyFont="1"/>
    <xf numFmtId="0" fontId="37" fillId="22" borderId="0" xfId="0" applyFont="1" applyFill="1" applyBorder="1"/>
    <xf numFmtId="182" fontId="37" fillId="22" borderId="0" xfId="0" applyNumberFormat="1" applyFont="1" applyFill="1" applyBorder="1"/>
    <xf numFmtId="182" fontId="37" fillId="22" borderId="0" xfId="0" applyNumberFormat="1" applyFont="1" applyFill="1" applyBorder="1" applyAlignment="1">
      <alignment horizontal="right"/>
    </xf>
    <xf numFmtId="0" fontId="27" fillId="22" borderId="7" xfId="0" applyNumberFormat="1" applyFont="1" applyFill="1" applyBorder="1"/>
    <xf numFmtId="182" fontId="3" fillId="0" borderId="0" xfId="24" applyNumberFormat="1" applyFont="1" applyFill="1"/>
    <xf numFmtId="182" fontId="3" fillId="0" borderId="0" xfId="24" applyNumberFormat="1" applyFont="1"/>
    <xf numFmtId="0" fontId="1" fillId="0" borderId="36" xfId="0" applyFont="1" applyBorder="1" applyAlignment="1">
      <alignment horizontal="left" indent="1"/>
    </xf>
    <xf numFmtId="0" fontId="1" fillId="0" borderId="36" xfId="0" applyFont="1" applyBorder="1" applyAlignment="1">
      <alignment horizontal="left"/>
    </xf>
    <xf numFmtId="182" fontId="1" fillId="0" borderId="36" xfId="24" applyNumberFormat="1" applyFont="1" applyFill="1" applyBorder="1"/>
    <xf numFmtId="182" fontId="1" fillId="0" borderId="36" xfId="24" applyNumberFormat="1" applyFont="1" applyBorder="1"/>
    <xf numFmtId="0" fontId="1" fillId="0" borderId="0" xfId="0" applyFont="1" applyBorder="1" applyAlignment="1">
      <alignment horizontal="left"/>
    </xf>
    <xf numFmtId="182" fontId="1" fillId="0" borderId="0" xfId="24" applyNumberFormat="1" applyFont="1" applyFill="1" applyBorder="1"/>
    <xf numFmtId="182" fontId="1" fillId="0" borderId="0" xfId="24" applyNumberFormat="1" applyFont="1" applyBorder="1"/>
    <xf numFmtId="182" fontId="1" fillId="0" borderId="7" xfId="0" applyNumberFormat="1" applyFont="1" applyFill="1" applyBorder="1"/>
    <xf numFmtId="182" fontId="1" fillId="0" borderId="7" xfId="0" applyNumberFormat="1" applyFont="1" applyBorder="1"/>
    <xf numFmtId="182" fontId="1" fillId="0" borderId="0" xfId="0" applyNumberFormat="1" applyFont="1" applyFill="1"/>
    <xf numFmtId="182" fontId="1" fillId="0" borderId="0" xfId="0" applyNumberFormat="1" applyFont="1"/>
    <xf numFmtId="0" fontId="3" fillId="0" borderId="11" xfId="0" applyFont="1" applyBorder="1"/>
    <xf numFmtId="182" fontId="3" fillId="0" borderId="11" xfId="24" applyNumberFormat="1" applyFont="1" applyFill="1" applyBorder="1"/>
    <xf numFmtId="182" fontId="3" fillId="0" borderId="11" xfId="24" applyNumberFormat="1" applyFont="1" applyBorder="1"/>
    <xf numFmtId="0" fontId="3" fillId="0" borderId="2" xfId="0" applyFont="1" applyBorder="1"/>
    <xf numFmtId="182" fontId="3" fillId="0" borderId="2" xfId="24" applyNumberFormat="1" applyFont="1" applyFill="1" applyBorder="1"/>
    <xf numFmtId="182" fontId="4" fillId="0" borderId="0" xfId="25" applyNumberFormat="1" applyFont="1" applyFill="1"/>
    <xf numFmtId="0" fontId="3" fillId="0" borderId="0" xfId="0" applyFont="1" applyBorder="1"/>
    <xf numFmtId="182" fontId="3" fillId="0" borderId="0" xfId="24" applyNumberFormat="1" applyFont="1" applyFill="1" applyBorder="1"/>
    <xf numFmtId="41" fontId="1" fillId="0" borderId="0" xfId="0" applyNumberFormat="1" applyFont="1" applyBorder="1"/>
    <xf numFmtId="41" fontId="1" fillId="0" borderId="0" xfId="0" applyNumberFormat="1" applyFont="1"/>
    <xf numFmtId="41" fontId="1" fillId="2" borderId="0" xfId="0" applyNumberFormat="1" applyFont="1" applyFill="1"/>
    <xf numFmtId="168" fontId="1" fillId="27" borderId="16" xfId="0" applyNumberFormat="1" applyFont="1" applyFill="1" applyBorder="1"/>
    <xf numFmtId="183" fontId="3" fillId="0" borderId="0" xfId="24" applyNumberFormat="1" applyFont="1" applyFill="1"/>
    <xf numFmtId="183" fontId="3" fillId="0" borderId="0" xfId="0" applyNumberFormat="1" applyFont="1"/>
    <xf numFmtId="183" fontId="3" fillId="0" borderId="0" xfId="24" applyNumberFormat="1" applyFont="1"/>
    <xf numFmtId="0" fontId="0" fillId="0" borderId="36" xfId="0" applyFont="1" applyBorder="1" applyAlignment="1">
      <alignment horizontal="left" indent="1"/>
    </xf>
    <xf numFmtId="183" fontId="1" fillId="0" borderId="36" xfId="24" applyNumberFormat="1" applyFont="1" applyFill="1" applyBorder="1"/>
    <xf numFmtId="183" fontId="1" fillId="0" borderId="36" xfId="0" applyNumberFormat="1" applyFont="1" applyBorder="1" applyAlignment="1">
      <alignment horizontal="left" indent="1"/>
    </xf>
    <xf numFmtId="183" fontId="1" fillId="0" borderId="36" xfId="24" applyNumberFormat="1" applyFont="1" applyBorder="1"/>
    <xf numFmtId="0" fontId="0" fillId="0" borderId="0" xfId="0" applyFont="1" applyBorder="1" applyAlignment="1">
      <alignment horizontal="left" indent="1"/>
    </xf>
    <xf numFmtId="183" fontId="1" fillId="0" borderId="0" xfId="24" applyNumberFormat="1" applyFont="1" applyFill="1" applyBorder="1"/>
    <xf numFmtId="183" fontId="1" fillId="0" borderId="0" xfId="0" applyNumberFormat="1" applyFont="1" applyBorder="1" applyAlignment="1">
      <alignment horizontal="left" indent="1"/>
    </xf>
    <xf numFmtId="183" fontId="1" fillId="0" borderId="0" xfId="24" applyNumberFormat="1" applyFont="1" applyBorder="1"/>
    <xf numFmtId="183" fontId="1" fillId="0" borderId="7" xfId="0" applyNumberFormat="1" applyFont="1" applyFill="1" applyBorder="1"/>
    <xf numFmtId="183" fontId="1" fillId="0" borderId="7" xfId="0" applyNumberFormat="1" applyFont="1" applyBorder="1"/>
    <xf numFmtId="0" fontId="0" fillId="0" borderId="36" xfId="0" applyBorder="1" applyAlignment="1">
      <alignment horizontal="left"/>
    </xf>
    <xf numFmtId="0" fontId="0" fillId="0" borderId="0" xfId="0" applyAlignment="1">
      <alignment horizontal="left" indent="1"/>
    </xf>
    <xf numFmtId="0" fontId="0" fillId="0" borderId="0" xfId="0" applyBorder="1"/>
    <xf numFmtId="170" fontId="1" fillId="0" borderId="0" xfId="24" applyNumberFormat="1" applyFont="1" applyBorder="1" applyAlignment="1">
      <alignment horizontal="left"/>
    </xf>
    <xf numFmtId="0" fontId="0" fillId="0" borderId="36" xfId="0" applyFont="1" applyBorder="1" applyAlignment="1">
      <alignment horizontal="left" indent="2"/>
    </xf>
    <xf numFmtId="183" fontId="1" fillId="0" borderId="0" xfId="0" applyNumberFormat="1" applyFont="1" applyFill="1"/>
    <xf numFmtId="183" fontId="1" fillId="0" borderId="0" xfId="0" applyNumberFormat="1" applyFont="1"/>
    <xf numFmtId="183" fontId="3" fillId="0" borderId="11" xfId="24" applyNumberFormat="1" applyFont="1" applyFill="1" applyBorder="1"/>
    <xf numFmtId="183" fontId="3" fillId="0" borderId="11" xfId="0" applyNumberFormat="1" applyFont="1" applyBorder="1"/>
    <xf numFmtId="183" fontId="3" fillId="0" borderId="11" xfId="24" applyNumberFormat="1" applyFont="1" applyBorder="1"/>
    <xf numFmtId="183" fontId="3" fillId="0" borderId="0" xfId="0" applyNumberFormat="1" applyFont="1" applyBorder="1"/>
    <xf numFmtId="183" fontId="3" fillId="0" borderId="0" xfId="24" applyNumberFormat="1" applyFont="1" applyBorder="1"/>
    <xf numFmtId="0" fontId="1" fillId="0" borderId="37" xfId="0" applyFont="1" applyBorder="1"/>
    <xf numFmtId="183" fontId="1" fillId="0" borderId="37" xfId="0" applyNumberFormat="1" applyFont="1" applyFill="1" applyBorder="1"/>
    <xf numFmtId="183" fontId="1" fillId="0" borderId="37" xfId="0" applyNumberFormat="1" applyFont="1" applyBorder="1"/>
    <xf numFmtId="183" fontId="1" fillId="0" borderId="0" xfId="0" applyNumberFormat="1" applyFont="1" applyBorder="1"/>
    <xf numFmtId="0" fontId="3" fillId="0" borderId="38" xfId="0" applyFont="1" applyBorder="1"/>
    <xf numFmtId="183" fontId="3" fillId="0" borderId="38" xfId="24" applyNumberFormat="1" applyFont="1" applyBorder="1"/>
    <xf numFmtId="183" fontId="37" fillId="22" borderId="0" xfId="0" applyNumberFormat="1" applyFont="1" applyFill="1" applyBorder="1"/>
    <xf numFmtId="183" fontId="27" fillId="22" borderId="7" xfId="0" applyNumberFormat="1" applyFont="1" applyFill="1" applyBorder="1"/>
    <xf numFmtId="0" fontId="3" fillId="0" borderId="7" xfId="0" applyFont="1" applyBorder="1"/>
    <xf numFmtId="179" fontId="1" fillId="0" borderId="0" xfId="0" applyNumberFormat="1" applyFont="1"/>
    <xf numFmtId="184" fontId="1" fillId="0" borderId="0" xfId="0" applyNumberFormat="1" applyFont="1"/>
    <xf numFmtId="0" fontId="0" fillId="0" borderId="7" xfId="0" applyBorder="1"/>
    <xf numFmtId="0" fontId="3" fillId="0" borderId="39" xfId="0" applyFont="1" applyBorder="1" applyAlignment="1">
      <alignment horizontal="left" indent="1"/>
    </xf>
    <xf numFmtId="0" fontId="3" fillId="0" borderId="39" xfId="0" applyFont="1" applyBorder="1" applyAlignment="1">
      <alignment horizontal="left"/>
    </xf>
    <xf numFmtId="183" fontId="3" fillId="0" borderId="39" xfId="24" applyNumberFormat="1" applyFont="1" applyFill="1" applyBorder="1"/>
    <xf numFmtId="182" fontId="3" fillId="0" borderId="39" xfId="24" applyNumberFormat="1" applyFont="1" applyBorder="1"/>
    <xf numFmtId="0" fontId="0" fillId="0" borderId="0" xfId="0" applyAlignment="1">
      <alignment horizontal="left" indent="2"/>
    </xf>
    <xf numFmtId="183" fontId="0" fillId="0" borderId="0" xfId="0" applyNumberFormat="1" applyFill="1"/>
    <xf numFmtId="182" fontId="0" fillId="0" borderId="0" xfId="0" applyNumberFormat="1"/>
    <xf numFmtId="182" fontId="0" fillId="27" borderId="16" xfId="0" applyNumberFormat="1" applyFill="1" applyBorder="1"/>
    <xf numFmtId="183" fontId="0" fillId="0" borderId="0" xfId="0" applyNumberFormat="1"/>
    <xf numFmtId="183" fontId="0" fillId="0" borderId="7" xfId="0" applyNumberFormat="1" applyFill="1" applyBorder="1"/>
    <xf numFmtId="0" fontId="0" fillId="0" borderId="40" xfId="0" applyBorder="1"/>
    <xf numFmtId="183" fontId="3" fillId="0" borderId="39" xfId="24" applyNumberFormat="1" applyFont="1" applyBorder="1"/>
    <xf numFmtId="0" fontId="0" fillId="0" borderId="0" xfId="0" applyAlignment="1">
      <alignment horizontal="left"/>
    </xf>
    <xf numFmtId="183" fontId="0" fillId="27" borderId="16" xfId="0" applyNumberFormat="1" applyFill="1" applyBorder="1"/>
    <xf numFmtId="2" fontId="0" fillId="0" borderId="0" xfId="0" applyNumberFormat="1"/>
    <xf numFmtId="185" fontId="0" fillId="0" borderId="0" xfId="0" applyNumberFormat="1"/>
    <xf numFmtId="183" fontId="3" fillId="0" borderId="39" xfId="0" applyNumberFormat="1" applyFont="1" applyBorder="1" applyAlignment="1">
      <alignment horizontal="left" indent="1"/>
    </xf>
    <xf numFmtId="182" fontId="0" fillId="0" borderId="7" xfId="0" applyNumberFormat="1" applyFill="1" applyBorder="1"/>
    <xf numFmtId="182" fontId="0" fillId="0" borderId="7" xfId="0" applyNumberFormat="1" applyBorder="1"/>
    <xf numFmtId="0" fontId="0" fillId="0" borderId="36" xfId="0" applyBorder="1" applyAlignment="1">
      <alignment horizontal="left" indent="1"/>
    </xf>
    <xf numFmtId="183" fontId="0" fillId="0" borderId="36" xfId="24" applyNumberFormat="1" applyFont="1" applyFill="1" applyBorder="1"/>
    <xf numFmtId="183" fontId="0" fillId="27" borderId="16" xfId="24" applyNumberFormat="1" applyFont="1" applyFill="1" applyBorder="1"/>
    <xf numFmtId="183" fontId="0" fillId="0" borderId="0" xfId="24" applyNumberFormat="1" applyFont="1" applyFill="1" applyBorder="1"/>
    <xf numFmtId="0" fontId="0" fillId="0" borderId="0" xfId="0" applyBorder="1" applyAlignment="1">
      <alignment horizontal="left" indent="1"/>
    </xf>
    <xf numFmtId="182" fontId="0" fillId="0" borderId="0" xfId="0" applyNumberFormat="1" applyFill="1" applyBorder="1"/>
    <xf numFmtId="182" fontId="0" fillId="0" borderId="0" xfId="0" applyNumberFormat="1" applyBorder="1"/>
    <xf numFmtId="0" fontId="0" fillId="0" borderId="0" xfId="0" applyAlignment="1">
      <alignment vertical="top"/>
    </xf>
    <xf numFmtId="170" fontId="0" fillId="0" borderId="0" xfId="24" applyNumberFormat="1" applyFont="1" applyAlignment="1">
      <alignment horizontal="right"/>
    </xf>
    <xf numFmtId="0" fontId="39" fillId="22" borderId="0" xfId="0" applyFont="1" applyFill="1"/>
    <xf numFmtId="167" fontId="0" fillId="0" borderId="0" xfId="0" applyNumberFormat="1" applyFont="1"/>
    <xf numFmtId="186" fontId="0" fillId="0" borderId="7" xfId="0" applyNumberFormat="1" applyFont="1" applyBorder="1"/>
    <xf numFmtId="186" fontId="0" fillId="0" borderId="0" xfId="0" applyNumberFormat="1" applyFont="1"/>
    <xf numFmtId="0" fontId="40" fillId="0" borderId="42" xfId="26" applyBorder="1"/>
    <xf numFmtId="0" fontId="41" fillId="26" borderId="43" xfId="41" applyFont="1" applyFill="1" applyBorder="1"/>
    <xf numFmtId="0" fontId="3" fillId="29" borderId="45" xfId="47" applyFont="1" applyBorder="1"/>
    <xf numFmtId="0" fontId="3" fillId="29" borderId="44" xfId="47" applyFont="1"/>
    <xf numFmtId="186" fontId="0" fillId="0" borderId="0" xfId="0" applyNumberFormat="1"/>
    <xf numFmtId="0" fontId="0" fillId="0" borderId="0" xfId="0" applyFill="1" applyBorder="1"/>
    <xf numFmtId="0" fontId="0" fillId="0" borderId="0" xfId="0" applyAlignment="1">
      <alignment vertical="top" wrapText="1"/>
    </xf>
    <xf numFmtId="186" fontId="0" fillId="0" borderId="0" xfId="0" applyNumberFormat="1" applyAlignment="1">
      <alignment vertical="top"/>
    </xf>
    <xf numFmtId="0" fontId="0" fillId="27" borderId="16" xfId="0" applyFill="1" applyBorder="1" applyAlignment="1">
      <alignment wrapText="1"/>
    </xf>
    <xf numFmtId="186" fontId="41" fillId="26" borderId="43" xfId="41" applyNumberFormat="1" applyFont="1" applyFill="1" applyBorder="1" applyAlignment="1">
      <alignment vertical="top"/>
    </xf>
    <xf numFmtId="0" fontId="0" fillId="0" borderId="46" xfId="0" applyFont="1" applyBorder="1" applyAlignment="1">
      <alignment horizontal="left" vertical="top"/>
    </xf>
    <xf numFmtId="0" fontId="0" fillId="0" borderId="47" xfId="0" applyFont="1" applyBorder="1" applyAlignment="1">
      <alignment horizontal="left"/>
    </xf>
    <xf numFmtId="0" fontId="0" fillId="0" borderId="48" xfId="0" applyFont="1" applyBorder="1" applyAlignment="1">
      <alignment horizontal="left"/>
    </xf>
    <xf numFmtId="0" fontId="6" fillId="0" borderId="0" xfId="2"/>
    <xf numFmtId="187" fontId="0" fillId="0" borderId="0" xfId="0" applyNumberFormat="1" applyAlignment="1">
      <alignment wrapText="1"/>
    </xf>
    <xf numFmtId="187" fontId="0" fillId="0" borderId="0" xfId="0" applyNumberFormat="1"/>
    <xf numFmtId="0" fontId="43" fillId="0" borderId="0" xfId="0" applyFont="1" applyAlignment="1">
      <alignment wrapText="1"/>
    </xf>
    <xf numFmtId="0" fontId="44" fillId="0" borderId="0" xfId="0" applyFont="1" applyAlignment="1">
      <alignment wrapText="1"/>
    </xf>
    <xf numFmtId="0" fontId="45" fillId="0" borderId="0" xfId="0" applyFont="1" applyAlignment="1">
      <alignment wrapText="1"/>
    </xf>
    <xf numFmtId="0" fontId="46" fillId="0" borderId="0" xfId="0" applyFont="1" applyAlignment="1">
      <alignment wrapText="1"/>
    </xf>
    <xf numFmtId="188" fontId="43" fillId="30" borderId="0" xfId="0" applyNumberFormat="1" applyFont="1" applyFill="1" applyAlignment="1">
      <alignment wrapText="1"/>
    </xf>
    <xf numFmtId="188" fontId="0" fillId="0" borderId="0" xfId="0" applyNumberFormat="1"/>
    <xf numFmtId="167" fontId="43" fillId="30" borderId="0" xfId="0" applyNumberFormat="1" applyFont="1" applyFill="1" applyAlignment="1">
      <alignment wrapText="1"/>
    </xf>
    <xf numFmtId="188" fontId="48" fillId="31" borderId="49" xfId="41" applyNumberFormat="1" applyFont="1" applyAlignment="1">
      <alignment wrapText="1"/>
    </xf>
    <xf numFmtId="0" fontId="35" fillId="0" borderId="0" xfId="0" applyFont="1"/>
    <xf numFmtId="0" fontId="49" fillId="0" borderId="0" xfId="0" applyFont="1"/>
    <xf numFmtId="0" fontId="31" fillId="26" borderId="35" xfId="41" applyFont="1" applyFill="1" applyBorder="1"/>
    <xf numFmtId="189" fontId="0" fillId="0" borderId="0" xfId="0" applyNumberFormat="1"/>
    <xf numFmtId="190" fontId="43" fillId="32" borderId="0" xfId="0" applyNumberFormat="1" applyFont="1" applyFill="1" applyAlignment="1">
      <alignment wrapText="1"/>
    </xf>
    <xf numFmtId="190" fontId="0" fillId="0" borderId="0" xfId="0" applyNumberFormat="1"/>
    <xf numFmtId="190" fontId="31" fillId="26" borderId="35" xfId="41" applyNumberFormat="1" applyFont="1" applyFill="1" applyBorder="1" applyAlignment="1">
      <alignment wrapText="1"/>
    </xf>
    <xf numFmtId="17" fontId="0" fillId="0" borderId="0" xfId="0" applyNumberFormat="1"/>
    <xf numFmtId="43" fontId="0" fillId="0" borderId="0" xfId="24" applyFont="1"/>
    <xf numFmtId="190" fontId="43" fillId="30" borderId="0" xfId="0" applyNumberFormat="1" applyFont="1" applyFill="1" applyAlignment="1">
      <alignment wrapText="1"/>
    </xf>
    <xf numFmtId="190" fontId="47" fillId="31" borderId="49" xfId="41" applyNumberFormat="1" applyAlignment="1">
      <alignment wrapText="1"/>
    </xf>
    <xf numFmtId="167" fontId="0" fillId="0" borderId="0" xfId="0" applyNumberFormat="1"/>
    <xf numFmtId="0" fontId="5" fillId="0" borderId="0" xfId="0" applyFont="1"/>
    <xf numFmtId="181" fontId="0" fillId="0" borderId="0" xfId="0" applyNumberFormat="1"/>
    <xf numFmtId="0" fontId="3" fillId="0" borderId="0" xfId="0" applyFont="1" applyAlignment="1">
      <alignment horizontal="left"/>
    </xf>
    <xf numFmtId="190" fontId="0" fillId="0" borderId="0" xfId="0" applyNumberFormat="1" applyFill="1" applyBorder="1" applyAlignment="1">
      <alignment vertical="top"/>
    </xf>
    <xf numFmtId="0" fontId="3" fillId="0" borderId="0" xfId="0" applyFont="1" applyAlignment="1"/>
    <xf numFmtId="0" fontId="0" fillId="0" borderId="50" xfId="0" applyBorder="1" applyAlignment="1"/>
    <xf numFmtId="0" fontId="0" fillId="0" borderId="52" xfId="0" applyBorder="1" applyAlignment="1"/>
    <xf numFmtId="0" fontId="0" fillId="0" borderId="52" xfId="0" applyBorder="1" applyAlignment="1">
      <alignment vertical="top"/>
    </xf>
    <xf numFmtId="0" fontId="0" fillId="0" borderId="52" xfId="0" applyBorder="1" applyAlignment="1">
      <alignment vertical="top" wrapText="1"/>
    </xf>
    <xf numFmtId="0" fontId="0" fillId="0" borderId="52" xfId="0" applyBorder="1" applyAlignment="1">
      <alignment horizontal="center" vertical="top"/>
    </xf>
    <xf numFmtId="0" fontId="0" fillId="0" borderId="30" xfId="0" applyBorder="1" applyAlignment="1">
      <alignment horizontal="center" vertical="top"/>
    </xf>
    <xf numFmtId="1" fontId="0" fillId="0" borderId="0" xfId="0" applyNumberFormat="1" applyFill="1" applyBorder="1" applyAlignment="1"/>
    <xf numFmtId="1" fontId="0" fillId="0" borderId="5" xfId="0" applyNumberFormat="1" applyFill="1" applyBorder="1" applyAlignment="1"/>
    <xf numFmtId="1" fontId="0" fillId="0" borderId="0" xfId="0" applyNumberFormat="1" applyFill="1" applyAlignment="1"/>
    <xf numFmtId="2" fontId="0" fillId="0" borderId="0" xfId="0" applyNumberFormat="1" applyFill="1" applyBorder="1" applyAlignment="1"/>
    <xf numFmtId="2" fontId="0" fillId="0" borderId="5" xfId="0" applyNumberFormat="1" applyFill="1" applyBorder="1" applyAlignment="1"/>
    <xf numFmtId="2" fontId="0" fillId="0" borderId="0" xfId="0" applyNumberFormat="1" applyFill="1" applyAlignment="1"/>
    <xf numFmtId="1" fontId="4" fillId="0" borderId="0" xfId="0" applyNumberFormat="1" applyFont="1" applyFill="1" applyBorder="1" applyAlignment="1"/>
    <xf numFmtId="1" fontId="4" fillId="0" borderId="5" xfId="0" applyNumberFormat="1" applyFont="1" applyFill="1" applyBorder="1" applyAlignment="1"/>
    <xf numFmtId="1" fontId="4" fillId="0" borderId="0" xfId="0" applyNumberFormat="1" applyFont="1" applyFill="1" applyAlignment="1"/>
    <xf numFmtId="0" fontId="0" fillId="0" borderId="0" xfId="0" applyBorder="1" applyAlignment="1">
      <alignment vertical="top"/>
    </xf>
    <xf numFmtId="0" fontId="0" fillId="0" borderId="0" xfId="0" applyBorder="1" applyAlignment="1">
      <alignment vertical="top" wrapText="1"/>
    </xf>
    <xf numFmtId="1" fontId="0" fillId="0" borderId="0" xfId="0" applyNumberFormat="1" applyFill="1" applyBorder="1" applyAlignment="1">
      <alignment vertical="top"/>
    </xf>
    <xf numFmtId="1" fontId="0" fillId="0" borderId="5" xfId="0" applyNumberFormat="1" applyFill="1" applyBorder="1" applyAlignment="1">
      <alignment vertical="top"/>
    </xf>
    <xf numFmtId="0" fontId="0" fillId="0" borderId="2" xfId="0" applyBorder="1" applyAlignment="1">
      <alignment vertical="top"/>
    </xf>
    <xf numFmtId="0" fontId="0" fillId="0" borderId="2" xfId="0" applyBorder="1" applyAlignment="1">
      <alignment vertical="top" wrapText="1"/>
    </xf>
    <xf numFmtId="1" fontId="0" fillId="0" borderId="2" xfId="0" applyNumberFormat="1" applyFill="1" applyBorder="1" applyAlignment="1">
      <alignment vertical="top"/>
    </xf>
    <xf numFmtId="1" fontId="0" fillId="0" borderId="1" xfId="0" applyNumberFormat="1" applyFill="1" applyBorder="1" applyAlignment="1">
      <alignment vertical="top"/>
    </xf>
    <xf numFmtId="190" fontId="0" fillId="0" borderId="4" xfId="0" applyNumberFormat="1" applyFill="1" applyBorder="1" applyAlignment="1">
      <alignment vertical="top"/>
    </xf>
    <xf numFmtId="191" fontId="0" fillId="0" borderId="0" xfId="0" applyNumberFormat="1" applyAlignment="1"/>
    <xf numFmtId="1" fontId="0" fillId="0" borderId="52" xfId="0" applyNumberFormat="1" applyFill="1" applyBorder="1" applyAlignment="1">
      <alignment vertical="top"/>
    </xf>
    <xf numFmtId="2" fontId="0" fillId="0" borderId="52" xfId="0" applyNumberFormat="1" applyFill="1" applyBorder="1" applyAlignment="1">
      <alignment vertical="top"/>
    </xf>
    <xf numFmtId="2" fontId="0" fillId="0" borderId="53" xfId="0" applyNumberFormat="1" applyFill="1" applyBorder="1" applyAlignment="1">
      <alignment vertical="top"/>
    </xf>
    <xf numFmtId="0" fontId="50" fillId="0" borderId="0" xfId="0" applyFont="1" applyFill="1" applyAlignment="1"/>
    <xf numFmtId="0" fontId="0" fillId="0" borderId="0" xfId="0" applyFill="1" applyAlignment="1"/>
    <xf numFmtId="0" fontId="3" fillId="0" borderId="0" xfId="0" applyFont="1" applyFill="1" applyAlignment="1"/>
    <xf numFmtId="0" fontId="0" fillId="0" borderId="0" xfId="0" applyFont="1" applyFill="1" applyAlignment="1"/>
    <xf numFmtId="2" fontId="0" fillId="0" borderId="0" xfId="0" applyNumberFormat="1" applyFont="1" applyFill="1" applyAlignment="1"/>
    <xf numFmtId="0" fontId="51" fillId="0" borderId="0" xfId="0" quotePrefix="1" applyFont="1" applyFill="1" applyAlignment="1">
      <alignment vertical="center"/>
    </xf>
    <xf numFmtId="176" fontId="47" fillId="31" borderId="49" xfId="41" applyNumberFormat="1" applyAlignment="1"/>
    <xf numFmtId="0" fontId="32" fillId="14" borderId="35" xfId="23" applyAlignment="1"/>
    <xf numFmtId="1" fontId="0" fillId="0" borderId="30" xfId="0" applyNumberFormat="1" applyFill="1" applyBorder="1" applyAlignment="1">
      <alignment vertical="top"/>
    </xf>
    <xf numFmtId="1" fontId="0" fillId="0" borderId="54" xfId="0" applyNumberFormat="1" applyFill="1" applyBorder="1" applyAlignment="1">
      <alignment vertical="top"/>
    </xf>
    <xf numFmtId="168" fontId="0" fillId="16" borderId="33" xfId="1" applyNumberFormat="1" applyFont="1" applyFill="1" applyBorder="1"/>
    <xf numFmtId="173" fontId="0" fillId="16" borderId="33" xfId="3" applyNumberFormat="1" applyFont="1" applyFill="1" applyBorder="1"/>
    <xf numFmtId="190" fontId="0" fillId="16" borderId="33" xfId="47" applyNumberFormat="1" applyFont="1" applyFill="1" applyBorder="1"/>
    <xf numFmtId="179" fontId="0" fillId="16" borderId="33" xfId="3" applyNumberFormat="1" applyFont="1" applyFill="1" applyBorder="1"/>
    <xf numFmtId="179" fontId="0" fillId="16" borderId="33" xfId="47" applyNumberFormat="1" applyFont="1" applyFill="1" applyBorder="1"/>
    <xf numFmtId="165" fontId="30" fillId="16" borderId="0" xfId="47" applyNumberFormat="1" applyFont="1" applyFill="1" applyBorder="1"/>
    <xf numFmtId="165" fontId="2" fillId="2" borderId="0" xfId="3" applyFont="1" applyFill="1" applyBorder="1"/>
    <xf numFmtId="172" fontId="30" fillId="16" borderId="33" xfId="1" applyNumberFormat="1" applyFont="1" applyFill="1" applyBorder="1"/>
    <xf numFmtId="0" fontId="0" fillId="2" borderId="4" xfId="0" applyNumberFormat="1" applyFill="1" applyBorder="1"/>
    <xf numFmtId="0" fontId="30" fillId="28" borderId="33" xfId="47" applyNumberFormat="1" applyFont="1" applyFill="1" applyBorder="1"/>
    <xf numFmtId="165" fontId="30" fillId="28" borderId="33" xfId="47" applyNumberFormat="1" applyFont="1" applyFill="1" applyBorder="1"/>
    <xf numFmtId="165" fontId="30" fillId="28" borderId="33" xfId="3" applyFont="1" applyFill="1" applyBorder="1"/>
    <xf numFmtId="170" fontId="30" fillId="28" borderId="33" xfId="3" applyNumberFormat="1" applyFont="1" applyFill="1" applyBorder="1"/>
    <xf numFmtId="0" fontId="30" fillId="28" borderId="33" xfId="47" applyFont="1" applyFill="1" applyBorder="1"/>
    <xf numFmtId="165" fontId="0" fillId="11" borderId="7" xfId="3" applyFont="1" applyFill="1" applyBorder="1" applyAlignment="1">
      <alignment horizontal="right"/>
    </xf>
    <xf numFmtId="9" fontId="20" fillId="11" borderId="0" xfId="0" applyNumberFormat="1" applyFont="1" applyFill="1" applyBorder="1" applyAlignment="1">
      <alignment horizontal="right"/>
    </xf>
    <xf numFmtId="165" fontId="20" fillId="11" borderId="0" xfId="3" applyFont="1" applyFill="1" applyBorder="1" applyAlignment="1">
      <alignment horizontal="right"/>
    </xf>
    <xf numFmtId="9" fontId="20" fillId="11" borderId="0" xfId="0" applyNumberFormat="1" applyFont="1" applyFill="1" applyBorder="1" applyAlignment="1">
      <alignment horizontal="left"/>
    </xf>
    <xf numFmtId="173" fontId="30" fillId="14" borderId="31" xfId="3" applyNumberFormat="1" applyFont="1" applyFill="1" applyBorder="1"/>
    <xf numFmtId="173" fontId="0" fillId="2" borderId="2" xfId="3" applyNumberFormat="1" applyFont="1" applyFill="1" applyBorder="1"/>
    <xf numFmtId="175" fontId="30" fillId="14" borderId="31" xfId="50" applyNumberFormat="1" applyFont="1" applyFill="1" applyBorder="1"/>
    <xf numFmtId="165" fontId="0" fillId="4" borderId="2" xfId="0" applyNumberFormat="1" applyFill="1" applyBorder="1" applyAlignment="1">
      <alignment wrapText="1"/>
    </xf>
    <xf numFmtId="165" fontId="0" fillId="0" borderId="0" xfId="3" applyFont="1"/>
    <xf numFmtId="164" fontId="4" fillId="2" borderId="5" xfId="4" applyFont="1" applyFill="1" applyBorder="1"/>
    <xf numFmtId="164" fontId="4" fillId="2" borderId="5" xfId="0" applyNumberFormat="1" applyFont="1" applyFill="1" applyBorder="1"/>
    <xf numFmtId="0" fontId="4" fillId="2" borderId="5" xfId="0" applyFont="1" applyFill="1" applyBorder="1"/>
    <xf numFmtId="0" fontId="4" fillId="2" borderId="5" xfId="4" applyNumberFormat="1" applyFont="1" applyFill="1" applyBorder="1"/>
    <xf numFmtId="0" fontId="4" fillId="2" borderId="5" xfId="0" applyNumberFormat="1" applyFont="1" applyFill="1" applyBorder="1"/>
    <xf numFmtId="0" fontId="0" fillId="2" borderId="5" xfId="0" applyNumberFormat="1" applyFill="1" applyBorder="1"/>
    <xf numFmtId="10" fontId="30" fillId="28" borderId="33" xfId="3" applyNumberFormat="1" applyFont="1" applyFill="1" applyBorder="1"/>
    <xf numFmtId="0" fontId="37" fillId="34" borderId="56" xfId="0" applyFont="1" applyFill="1" applyBorder="1" applyAlignment="1">
      <alignment horizontal="left"/>
    </xf>
    <xf numFmtId="0" fontId="53" fillId="0" borderId="0" xfId="0" applyFont="1"/>
    <xf numFmtId="0" fontId="0" fillId="16" borderId="33" xfId="47" applyNumberFormat="1" applyFont="1" applyFill="1" applyBorder="1"/>
    <xf numFmtId="0" fontId="0" fillId="0" borderId="0" xfId="0" applyNumberFormat="1"/>
    <xf numFmtId="2" fontId="30" fillId="14" borderId="31" xfId="50" applyNumberFormat="1" applyFont="1" applyFill="1" applyBorder="1"/>
    <xf numFmtId="1" fontId="30" fillId="14" borderId="31" xfId="50" applyNumberFormat="1" applyFont="1" applyFill="1" applyBorder="1"/>
    <xf numFmtId="168" fontId="0" fillId="0" borderId="0" xfId="1" applyNumberFormat="1" applyFont="1"/>
    <xf numFmtId="167" fontId="0" fillId="16" borderId="33" xfId="47" applyNumberFormat="1" applyFont="1" applyFill="1" applyBorder="1"/>
    <xf numFmtId="178" fontId="0" fillId="29" borderId="44" xfId="47" applyNumberFormat="1" applyFont="1"/>
    <xf numFmtId="186" fontId="30" fillId="14" borderId="31" xfId="50" applyNumberFormat="1" applyFont="1" applyFill="1" applyBorder="1"/>
    <xf numFmtId="179" fontId="1" fillId="27" borderId="16" xfId="24" applyNumberFormat="1" applyFont="1" applyFill="1" applyBorder="1"/>
    <xf numFmtId="0" fontId="52" fillId="33" borderId="55" xfId="0" applyFont="1" applyFill="1" applyBorder="1" applyAlignment="1">
      <alignment horizontal="right"/>
    </xf>
    <xf numFmtId="0" fontId="0" fillId="16" borderId="33" xfId="1" applyNumberFormat="1" applyFont="1" applyFill="1" applyBorder="1"/>
    <xf numFmtId="0" fontId="0" fillId="16" borderId="57" xfId="47" applyFont="1" applyFill="1" applyBorder="1"/>
    <xf numFmtId="0" fontId="54" fillId="0" borderId="0" xfId="0" applyFont="1"/>
    <xf numFmtId="0" fontId="55" fillId="0" borderId="0" xfId="0" applyFont="1"/>
    <xf numFmtId="0" fontId="0" fillId="27" borderId="58" xfId="0" applyFill="1" applyBorder="1"/>
    <xf numFmtId="0" fontId="0" fillId="27" borderId="39" xfId="0" applyFill="1" applyBorder="1"/>
    <xf numFmtId="0" fontId="0" fillId="27" borderId="59" xfId="0" applyFill="1" applyBorder="1"/>
    <xf numFmtId="0" fontId="0" fillId="27" borderId="16" xfId="0" applyFill="1" applyBorder="1" applyAlignment="1">
      <alignment horizontal="left"/>
    </xf>
    <xf numFmtId="14" fontId="0" fillId="27" borderId="16" xfId="0" applyNumberFormat="1" applyFill="1" applyBorder="1" applyAlignment="1">
      <alignment horizontal="left"/>
    </xf>
    <xf numFmtId="0" fontId="0" fillId="0" borderId="0" xfId="0" applyFill="1"/>
    <xf numFmtId="0" fontId="0" fillId="35" borderId="0" xfId="0" applyFill="1"/>
    <xf numFmtId="0" fontId="11" fillId="0" borderId="0" xfId="10" applyFont="1"/>
    <xf numFmtId="0" fontId="56" fillId="0" borderId="0" xfId="10" applyFont="1"/>
    <xf numFmtId="0" fontId="57" fillId="0" borderId="0" xfId="0" applyFont="1"/>
    <xf numFmtId="0" fontId="0" fillId="16" borderId="60" xfId="47" applyFont="1" applyFill="1" applyBorder="1"/>
    <xf numFmtId="0" fontId="4" fillId="14" borderId="61" xfId="50" applyFont="1" applyFill="1" applyBorder="1"/>
    <xf numFmtId="0" fontId="1" fillId="18" borderId="61" xfId="20" applyBorder="1"/>
    <xf numFmtId="0" fontId="1" fillId="19" borderId="61" xfId="21" applyBorder="1"/>
    <xf numFmtId="165" fontId="1" fillId="0" borderId="0" xfId="0" applyNumberFormat="1" applyFont="1" applyBorder="1" applyAlignment="1">
      <alignment horizontal="left" indent="1"/>
    </xf>
    <xf numFmtId="0" fontId="2" fillId="0" borderId="0" xfId="0" applyFont="1" applyBorder="1" applyAlignment="1">
      <alignment horizontal="left" indent="1"/>
    </xf>
    <xf numFmtId="165" fontId="1" fillId="0" borderId="36" xfId="0" applyNumberFormat="1" applyFont="1" applyBorder="1" applyAlignment="1">
      <alignment horizontal="left" indent="1"/>
    </xf>
    <xf numFmtId="0" fontId="0" fillId="16" borderId="33" xfId="47" quotePrefix="1" applyFont="1" applyFill="1" applyBorder="1"/>
    <xf numFmtId="165" fontId="0" fillId="16" borderId="33" xfId="47" applyNumberFormat="1" applyFont="1" applyFill="1" applyBorder="1"/>
    <xf numFmtId="0" fontId="4" fillId="0" borderId="36" xfId="0" applyFont="1" applyBorder="1" applyAlignment="1">
      <alignment horizontal="left" indent="1"/>
    </xf>
    <xf numFmtId="0" fontId="1" fillId="2" borderId="0" xfId="0" applyFont="1" applyFill="1"/>
    <xf numFmtId="0" fontId="1" fillId="2" borderId="0" xfId="0" applyFont="1" applyFill="1" applyBorder="1"/>
    <xf numFmtId="0" fontId="27" fillId="2" borderId="0" xfId="0" applyFont="1" applyFill="1" applyBorder="1"/>
    <xf numFmtId="0" fontId="0" fillId="2" borderId="0" xfId="0" applyFont="1" applyFill="1" applyBorder="1"/>
    <xf numFmtId="41" fontId="1" fillId="2" borderId="0" xfId="0" applyNumberFormat="1" applyFont="1" applyFill="1" applyBorder="1"/>
    <xf numFmtId="0" fontId="3" fillId="2" borderId="0" xfId="0" applyFont="1" applyFill="1"/>
    <xf numFmtId="0" fontId="3" fillId="11" borderId="0" xfId="0" applyFont="1" applyFill="1"/>
    <xf numFmtId="0" fontId="52" fillId="11" borderId="0" xfId="0" applyFont="1" applyFill="1"/>
    <xf numFmtId="0" fontId="52" fillId="20" borderId="0" xfId="0" applyFont="1" applyFill="1"/>
    <xf numFmtId="0" fontId="58" fillId="13" borderId="0" xfId="0" applyFont="1" applyFill="1"/>
    <xf numFmtId="0" fontId="33" fillId="2" borderId="0" xfId="0" applyFont="1" applyFill="1"/>
    <xf numFmtId="0" fontId="24" fillId="2" borderId="0" xfId="0" applyFont="1" applyFill="1"/>
    <xf numFmtId="0" fontId="1" fillId="2" borderId="36" xfId="0" applyFont="1" applyFill="1" applyBorder="1" applyAlignment="1">
      <alignment horizontal="left"/>
    </xf>
    <xf numFmtId="0" fontId="1" fillId="2" borderId="0" xfId="0" applyFont="1" applyFill="1" applyBorder="1" applyAlignment="1">
      <alignment horizontal="left"/>
    </xf>
    <xf numFmtId="0" fontId="0" fillId="11" borderId="7" xfId="0" applyFill="1" applyBorder="1"/>
    <xf numFmtId="0" fontId="0" fillId="20" borderId="7" xfId="0" applyFill="1" applyBorder="1"/>
    <xf numFmtId="0" fontId="37" fillId="22" borderId="7" xfId="0" applyFont="1" applyFill="1" applyBorder="1"/>
    <xf numFmtId="182" fontId="37" fillId="22" borderId="7" xfId="0" applyNumberFormat="1" applyFont="1" applyFill="1" applyBorder="1"/>
    <xf numFmtId="182" fontId="37" fillId="22" borderId="7" xfId="0" applyNumberFormat="1" applyFont="1" applyFill="1" applyBorder="1" applyAlignment="1">
      <alignment horizontal="right"/>
    </xf>
    <xf numFmtId="0" fontId="0" fillId="36" borderId="0" xfId="0" applyFill="1"/>
    <xf numFmtId="0" fontId="3" fillId="36" borderId="0" xfId="0" applyFont="1" applyFill="1"/>
    <xf numFmtId="183" fontId="3" fillId="36" borderId="0" xfId="24" applyNumberFormat="1" applyFont="1" applyFill="1"/>
    <xf numFmtId="183" fontId="3" fillId="36" borderId="0" xfId="0" applyNumberFormat="1" applyFont="1" applyFill="1"/>
    <xf numFmtId="0" fontId="0" fillId="36" borderId="36" xfId="0" applyFont="1" applyFill="1" applyBorder="1" applyAlignment="1">
      <alignment horizontal="left" indent="1"/>
    </xf>
    <xf numFmtId="0" fontId="1" fillId="36" borderId="36" xfId="0" applyFont="1" applyFill="1" applyBorder="1" applyAlignment="1">
      <alignment horizontal="left"/>
    </xf>
    <xf numFmtId="183" fontId="1" fillId="36" borderId="36" xfId="24" applyNumberFormat="1" applyFont="1" applyFill="1" applyBorder="1"/>
    <xf numFmtId="183" fontId="1" fillId="36" borderId="36" xfId="0" applyNumberFormat="1" applyFont="1" applyFill="1" applyBorder="1" applyAlignment="1">
      <alignment horizontal="left" indent="1"/>
    </xf>
    <xf numFmtId="0" fontId="0" fillId="36" borderId="0" xfId="0" applyFont="1" applyFill="1" applyBorder="1" applyAlignment="1">
      <alignment horizontal="left" indent="1"/>
    </xf>
    <xf numFmtId="0" fontId="1" fillId="36" borderId="0" xfId="0" applyFont="1" applyFill="1" applyBorder="1" applyAlignment="1">
      <alignment horizontal="left"/>
    </xf>
    <xf numFmtId="183" fontId="1" fillId="36" borderId="0" xfId="24" applyNumberFormat="1" applyFont="1" applyFill="1" applyBorder="1"/>
    <xf numFmtId="183" fontId="1" fillId="36" borderId="0" xfId="0" applyNumberFormat="1" applyFont="1" applyFill="1" applyBorder="1" applyAlignment="1">
      <alignment horizontal="left" indent="1"/>
    </xf>
    <xf numFmtId="0" fontId="1" fillId="36" borderId="7" xfId="0" applyFont="1" applyFill="1" applyBorder="1"/>
    <xf numFmtId="183" fontId="1" fillId="36" borderId="7" xfId="0" applyNumberFormat="1" applyFont="1" applyFill="1" applyBorder="1"/>
    <xf numFmtId="0" fontId="1" fillId="36" borderId="36" xfId="0" applyFont="1" applyFill="1" applyBorder="1" applyAlignment="1">
      <alignment horizontal="left" indent="1"/>
    </xf>
    <xf numFmtId="0" fontId="0" fillId="36" borderId="36" xfId="0" applyFill="1" applyBorder="1" applyAlignment="1">
      <alignment horizontal="left"/>
    </xf>
    <xf numFmtId="0" fontId="0" fillId="36" borderId="0" xfId="0" applyFill="1" applyAlignment="1">
      <alignment horizontal="left" indent="1"/>
    </xf>
    <xf numFmtId="0" fontId="0" fillId="36" borderId="0" xfId="0" applyFill="1" applyBorder="1"/>
    <xf numFmtId="0" fontId="1" fillId="36" borderId="0" xfId="0" applyFont="1" applyFill="1" applyBorder="1" applyAlignment="1">
      <alignment horizontal="left" indent="1"/>
    </xf>
    <xf numFmtId="170" fontId="1" fillId="36" borderId="0" xfId="24" applyNumberFormat="1" applyFont="1" applyFill="1" applyBorder="1" applyAlignment="1">
      <alignment horizontal="left"/>
    </xf>
    <xf numFmtId="0" fontId="0" fillId="36" borderId="36" xfId="0" applyFont="1" applyFill="1" applyBorder="1" applyAlignment="1">
      <alignment horizontal="left" indent="2"/>
    </xf>
    <xf numFmtId="0" fontId="1" fillId="36" borderId="0" xfId="0" applyFont="1" applyFill="1"/>
    <xf numFmtId="183" fontId="1" fillId="36" borderId="0" xfId="0" applyNumberFormat="1" applyFont="1" applyFill="1"/>
    <xf numFmtId="0" fontId="3" fillId="36" borderId="11" xfId="0" applyFont="1" applyFill="1" applyBorder="1"/>
    <xf numFmtId="183" fontId="3" fillId="36" borderId="11" xfId="24" applyNumberFormat="1" applyFont="1" applyFill="1" applyBorder="1"/>
    <xf numFmtId="183" fontId="3" fillId="36" borderId="11" xfId="0" applyNumberFormat="1" applyFont="1" applyFill="1" applyBorder="1"/>
    <xf numFmtId="0" fontId="0" fillId="36" borderId="0" xfId="0" applyFont="1" applyFill="1" applyBorder="1"/>
    <xf numFmtId="183" fontId="3" fillId="36" borderId="0" xfId="0" applyNumberFormat="1" applyFont="1" applyFill="1" applyBorder="1"/>
    <xf numFmtId="183" fontId="3" fillId="36" borderId="0" xfId="24" applyNumberFormat="1" applyFont="1" applyFill="1" applyBorder="1"/>
    <xf numFmtId="41" fontId="1" fillId="36" borderId="0" xfId="0" applyNumberFormat="1" applyFont="1" applyFill="1" applyBorder="1"/>
    <xf numFmtId="41" fontId="1" fillId="36" borderId="0" xfId="0" applyNumberFormat="1" applyFont="1" applyFill="1"/>
    <xf numFmtId="0" fontId="0" fillId="36" borderId="7" xfId="0" applyFill="1" applyBorder="1"/>
    <xf numFmtId="0" fontId="0" fillId="6" borderId="0" xfId="0" applyFill="1"/>
    <xf numFmtId="0" fontId="3" fillId="6" borderId="0" xfId="0" applyFont="1" applyFill="1"/>
    <xf numFmtId="0" fontId="1" fillId="6" borderId="36" xfId="0" applyFont="1" applyFill="1" applyBorder="1" applyAlignment="1">
      <alignment horizontal="left"/>
    </xf>
    <xf numFmtId="0" fontId="1" fillId="6" borderId="0" xfId="0" applyFont="1" applyFill="1" applyBorder="1" applyAlignment="1">
      <alignment horizontal="left" indent="1"/>
    </xf>
    <xf numFmtId="0" fontId="1" fillId="6" borderId="0" xfId="0" applyFont="1" applyFill="1" applyBorder="1" applyAlignment="1">
      <alignment horizontal="left"/>
    </xf>
    <xf numFmtId="182" fontId="1" fillId="6" borderId="0" xfId="24" applyNumberFormat="1" applyFont="1" applyFill="1" applyBorder="1"/>
    <xf numFmtId="41" fontId="1" fillId="6" borderId="0" xfId="0" applyNumberFormat="1" applyFont="1" applyFill="1"/>
    <xf numFmtId="0" fontId="1" fillId="6" borderId="7" xfId="0" applyFont="1" applyFill="1" applyBorder="1"/>
    <xf numFmtId="182" fontId="1" fillId="6" borderId="7" xfId="0" applyNumberFormat="1" applyFont="1" applyFill="1" applyBorder="1"/>
    <xf numFmtId="183" fontId="3" fillId="6" borderId="0" xfId="24" applyNumberFormat="1" applyFont="1" applyFill="1"/>
    <xf numFmtId="183" fontId="3" fillId="6" borderId="0" xfId="0" applyNumberFormat="1" applyFont="1" applyFill="1"/>
    <xf numFmtId="0" fontId="2" fillId="6" borderId="0" xfId="0" applyFont="1" applyFill="1" applyBorder="1" applyAlignment="1">
      <alignment horizontal="left" indent="1"/>
    </xf>
    <xf numFmtId="41" fontId="1" fillId="6" borderId="0" xfId="0" applyNumberFormat="1" applyFont="1" applyFill="1" applyBorder="1"/>
    <xf numFmtId="0" fontId="4" fillId="6" borderId="36" xfId="0" applyFont="1" applyFill="1" applyBorder="1" applyAlignment="1">
      <alignment horizontal="left" indent="1"/>
    </xf>
    <xf numFmtId="0" fontId="1" fillId="6" borderId="0" xfId="0" applyFont="1" applyFill="1"/>
    <xf numFmtId="0" fontId="3" fillId="6" borderId="11" xfId="0" applyFont="1" applyFill="1" applyBorder="1"/>
    <xf numFmtId="0" fontId="1" fillId="6" borderId="0" xfId="0" applyFont="1" applyFill="1" applyAlignment="1">
      <alignment horizontal="left" indent="1"/>
    </xf>
    <xf numFmtId="0" fontId="3" fillId="6" borderId="2" xfId="0" applyFont="1" applyFill="1" applyBorder="1"/>
    <xf numFmtId="0" fontId="3" fillId="6" borderId="0" xfId="0" applyFont="1" applyFill="1" applyBorder="1"/>
    <xf numFmtId="0" fontId="0" fillId="6" borderId="7" xfId="0" applyFill="1" applyBorder="1"/>
    <xf numFmtId="183" fontId="1" fillId="6" borderId="36" xfId="24" applyNumberFormat="1" applyFont="1" applyFill="1" applyBorder="1"/>
    <xf numFmtId="183" fontId="1" fillId="6" borderId="36" xfId="0" applyNumberFormat="1" applyFont="1" applyFill="1" applyBorder="1" applyAlignment="1">
      <alignment horizontal="left" indent="1"/>
    </xf>
    <xf numFmtId="183" fontId="1" fillId="6" borderId="0" xfId="0" applyNumberFormat="1" applyFont="1" applyFill="1"/>
    <xf numFmtId="183" fontId="1" fillId="6" borderId="0" xfId="24" applyNumberFormat="1" applyFont="1" applyFill="1" applyBorder="1"/>
    <xf numFmtId="183" fontId="1" fillId="6" borderId="0" xfId="0" applyNumberFormat="1" applyFont="1" applyFill="1" applyBorder="1" applyAlignment="1">
      <alignment horizontal="left" indent="1"/>
    </xf>
    <xf numFmtId="183" fontId="3" fillId="6" borderId="11" xfId="24" applyNumberFormat="1" applyFont="1" applyFill="1" applyBorder="1"/>
    <xf numFmtId="183" fontId="3" fillId="6" borderId="11" xfId="0" applyNumberFormat="1" applyFont="1" applyFill="1" applyBorder="1"/>
    <xf numFmtId="183" fontId="3" fillId="6" borderId="2" xfId="24" applyNumberFormat="1" applyFont="1" applyFill="1" applyBorder="1"/>
    <xf numFmtId="183" fontId="4" fillId="6" borderId="0" xfId="25" applyNumberFormat="1" applyFont="1" applyFill="1"/>
    <xf numFmtId="183" fontId="3" fillId="6" borderId="0" xfId="24" applyNumberFormat="1" applyFont="1" applyFill="1" applyBorder="1"/>
    <xf numFmtId="183" fontId="1" fillId="6" borderId="0" xfId="0" applyNumberFormat="1" applyFont="1" applyFill="1" applyBorder="1"/>
    <xf numFmtId="0" fontId="0" fillId="37" borderId="0" xfId="0" applyFill="1"/>
    <xf numFmtId="0" fontId="3" fillId="37" borderId="0" xfId="0" applyFont="1" applyFill="1"/>
    <xf numFmtId="182" fontId="3" fillId="37" borderId="0" xfId="24" applyNumberFormat="1" applyFont="1" applyFill="1"/>
    <xf numFmtId="0" fontId="1" fillId="37" borderId="36" xfId="0" applyFont="1" applyFill="1" applyBorder="1" applyAlignment="1">
      <alignment horizontal="left" indent="1"/>
    </xf>
    <xf numFmtId="0" fontId="1" fillId="37" borderId="36" xfId="0" applyFont="1" applyFill="1" applyBorder="1" applyAlignment="1">
      <alignment horizontal="left"/>
    </xf>
    <xf numFmtId="183" fontId="1" fillId="37" borderId="36" xfId="24" applyNumberFormat="1" applyFont="1" applyFill="1" applyBorder="1"/>
    <xf numFmtId="0" fontId="1" fillId="37" borderId="0" xfId="0" applyFont="1" applyFill="1" applyBorder="1" applyAlignment="1">
      <alignment horizontal="left" indent="1"/>
    </xf>
    <xf numFmtId="0" fontId="1" fillId="37" borderId="0" xfId="0" applyFont="1" applyFill="1" applyBorder="1" applyAlignment="1">
      <alignment horizontal="left"/>
    </xf>
    <xf numFmtId="183" fontId="1" fillId="37" borderId="0" xfId="24" applyNumberFormat="1" applyFont="1" applyFill="1" applyBorder="1"/>
    <xf numFmtId="41" fontId="1" fillId="37" borderId="0" xfId="0" applyNumberFormat="1" applyFont="1" applyFill="1"/>
    <xf numFmtId="182" fontId="1" fillId="37" borderId="0" xfId="24" applyNumberFormat="1" applyFont="1" applyFill="1" applyBorder="1"/>
    <xf numFmtId="0" fontId="1" fillId="37" borderId="7" xfId="0" applyFont="1" applyFill="1" applyBorder="1"/>
    <xf numFmtId="182" fontId="1" fillId="37" borderId="7" xfId="0" applyNumberFormat="1" applyFont="1" applyFill="1" applyBorder="1"/>
    <xf numFmtId="182" fontId="1" fillId="37" borderId="36" xfId="24" applyNumberFormat="1" applyFont="1" applyFill="1" applyBorder="1"/>
    <xf numFmtId="0" fontId="1" fillId="37" borderId="0" xfId="0" applyFont="1" applyFill="1"/>
    <xf numFmtId="182" fontId="1" fillId="37" borderId="0" xfId="0" applyNumberFormat="1" applyFont="1" applyFill="1"/>
    <xf numFmtId="0" fontId="3" fillId="37" borderId="11" xfId="0" applyFont="1" applyFill="1" applyBorder="1"/>
    <xf numFmtId="182" fontId="3" fillId="37" borderId="11" xfId="24" applyNumberFormat="1" applyFont="1" applyFill="1" applyBorder="1"/>
    <xf numFmtId="0" fontId="1" fillId="37" borderId="0" xfId="0" applyFont="1" applyFill="1" applyAlignment="1">
      <alignment horizontal="left" indent="1"/>
    </xf>
    <xf numFmtId="0" fontId="3" fillId="37" borderId="2" xfId="0" applyFont="1" applyFill="1" applyBorder="1"/>
    <xf numFmtId="182" fontId="3" fillId="37" borderId="2" xfId="24" applyNumberFormat="1" applyFont="1" applyFill="1" applyBorder="1"/>
    <xf numFmtId="182" fontId="4" fillId="37" borderId="0" xfId="25" applyNumberFormat="1" applyFont="1" applyFill="1"/>
    <xf numFmtId="0" fontId="3" fillId="37" borderId="0" xfId="0" applyFont="1" applyFill="1" applyBorder="1"/>
    <xf numFmtId="182" fontId="3" fillId="37" borderId="0" xfId="24" applyNumberFormat="1" applyFont="1" applyFill="1" applyBorder="1"/>
    <xf numFmtId="41" fontId="1" fillId="37" borderId="0" xfId="0" applyNumberFormat="1" applyFont="1" applyFill="1" applyBorder="1"/>
    <xf numFmtId="0" fontId="4" fillId="28" borderId="0" xfId="0" applyFont="1" applyFill="1"/>
    <xf numFmtId="0" fontId="0" fillId="28" borderId="0" xfId="0" applyFill="1"/>
    <xf numFmtId="173" fontId="0" fillId="2" borderId="0" xfId="3" applyNumberFormat="1" applyFont="1" applyFill="1"/>
    <xf numFmtId="183" fontId="1" fillId="6" borderId="36" xfId="0" applyNumberFormat="1" applyFont="1" applyFill="1" applyBorder="1" applyAlignment="1">
      <alignment horizontal="left"/>
    </xf>
    <xf numFmtId="183" fontId="1" fillId="6" borderId="0" xfId="0" applyNumberFormat="1" applyFont="1" applyFill="1" applyBorder="1" applyAlignment="1">
      <alignment horizontal="left"/>
    </xf>
    <xf numFmtId="183" fontId="1" fillId="6" borderId="7" xfId="0" applyNumberFormat="1" applyFont="1" applyFill="1" applyBorder="1"/>
    <xf numFmtId="183" fontId="4" fillId="6" borderId="0" xfId="0" applyNumberFormat="1" applyFont="1" applyFill="1" applyBorder="1" applyAlignment="1">
      <alignment horizontal="left" indent="1"/>
    </xf>
    <xf numFmtId="0" fontId="4" fillId="37" borderId="36" xfId="0" applyFont="1" applyFill="1" applyBorder="1" applyAlignment="1">
      <alignment horizontal="left" indent="1"/>
    </xf>
    <xf numFmtId="0" fontId="4" fillId="37" borderId="0" xfId="0" applyFont="1" applyFill="1" applyBorder="1" applyAlignment="1">
      <alignment horizontal="left" indent="1"/>
    </xf>
    <xf numFmtId="0" fontId="13" fillId="28" borderId="0" xfId="0" applyFont="1" applyFill="1"/>
    <xf numFmtId="0" fontId="3" fillId="20" borderId="0" xfId="0" applyFont="1" applyFill="1"/>
    <xf numFmtId="0" fontId="3" fillId="13" borderId="0" xfId="0" applyFont="1" applyFill="1"/>
    <xf numFmtId="183" fontId="3" fillId="2" borderId="37" xfId="24" applyNumberFormat="1" applyFont="1" applyFill="1" applyBorder="1"/>
    <xf numFmtId="0" fontId="3" fillId="2" borderId="38" xfId="0" applyFont="1" applyFill="1" applyBorder="1"/>
    <xf numFmtId="0" fontId="3" fillId="2" borderId="37" xfId="0" applyFont="1" applyFill="1" applyBorder="1"/>
    <xf numFmtId="0" fontId="0" fillId="2" borderId="0" xfId="0" applyFont="1" applyFill="1" applyAlignment="1">
      <alignment horizontal="left" indent="1"/>
    </xf>
    <xf numFmtId="183" fontId="0" fillId="2" borderId="0" xfId="24" applyNumberFormat="1" applyFont="1" applyFill="1"/>
    <xf numFmtId="0" fontId="0" fillId="2" borderId="7" xfId="0" applyFont="1" applyFill="1" applyBorder="1" applyAlignment="1">
      <alignment horizontal="left" indent="1"/>
    </xf>
    <xf numFmtId="183" fontId="0" fillId="2" borderId="7" xfId="24" applyNumberFormat="1" applyFont="1" applyFill="1" applyBorder="1"/>
    <xf numFmtId="165" fontId="0" fillId="2" borderId="0" xfId="0" applyNumberFormat="1" applyFont="1" applyFill="1" applyAlignment="1">
      <alignment horizontal="left"/>
    </xf>
    <xf numFmtId="183" fontId="3" fillId="2" borderId="37" xfId="0" applyNumberFormat="1" applyFont="1" applyFill="1" applyBorder="1"/>
    <xf numFmtId="183" fontId="0" fillId="2" borderId="0" xfId="24" applyNumberFormat="1" applyFont="1" applyFill="1" applyAlignment="1">
      <alignment horizontal="left"/>
    </xf>
    <xf numFmtId="0" fontId="28" fillId="38" borderId="0" xfId="0" applyFont="1" applyFill="1"/>
    <xf numFmtId="0" fontId="52" fillId="38" borderId="7" xfId="0" applyFont="1" applyFill="1" applyBorder="1"/>
    <xf numFmtId="183" fontId="52" fillId="38" borderId="7" xfId="24" applyNumberFormat="1" applyFont="1" applyFill="1" applyBorder="1"/>
    <xf numFmtId="173" fontId="3" fillId="2" borderId="37" xfId="3" applyNumberFormat="1" applyFont="1" applyFill="1" applyBorder="1"/>
    <xf numFmtId="173" fontId="3" fillId="2" borderId="38" xfId="3" applyNumberFormat="1" applyFont="1" applyFill="1" applyBorder="1"/>
    <xf numFmtId="173" fontId="0" fillId="2" borderId="7" xfId="3" applyNumberFormat="1" applyFont="1" applyFill="1" applyBorder="1"/>
    <xf numFmtId="0" fontId="0" fillId="13" borderId="62" xfId="0" applyFill="1" applyBorder="1"/>
    <xf numFmtId="0" fontId="0" fillId="37" borderId="62" xfId="0" applyFill="1" applyBorder="1"/>
    <xf numFmtId="0" fontId="0" fillId="2" borderId="62" xfId="0" applyFill="1" applyBorder="1"/>
    <xf numFmtId="183" fontId="0" fillId="2" borderId="0" xfId="0" applyNumberFormat="1" applyFill="1"/>
    <xf numFmtId="183" fontId="1" fillId="2" borderId="0" xfId="0" applyNumberFormat="1" applyFont="1" applyFill="1" applyBorder="1" applyAlignment="1">
      <alignment horizontal="left"/>
    </xf>
    <xf numFmtId="0" fontId="4" fillId="2" borderId="4" xfId="0" applyFont="1" applyFill="1" applyBorder="1"/>
    <xf numFmtId="165" fontId="4" fillId="2" borderId="7" xfId="3" applyFont="1" applyFill="1" applyBorder="1"/>
    <xf numFmtId="165" fontId="4" fillId="2" borderId="2" xfId="3" applyFont="1" applyFill="1" applyBorder="1"/>
    <xf numFmtId="9" fontId="4" fillId="11" borderId="4" xfId="0" applyNumberFormat="1" applyFont="1" applyFill="1" applyBorder="1" applyAlignment="1">
      <alignment horizontal="left"/>
    </xf>
    <xf numFmtId="9" fontId="4" fillId="11" borderId="0" xfId="0" applyNumberFormat="1" applyFont="1" applyFill="1" applyBorder="1" applyAlignment="1">
      <alignment horizontal="left"/>
    </xf>
    <xf numFmtId="165" fontId="0" fillId="11" borderId="4" xfId="3" applyFont="1" applyFill="1" applyBorder="1" applyAlignment="1">
      <alignment horizontal="left"/>
    </xf>
    <xf numFmtId="0" fontId="19" fillId="11" borderId="0" xfId="0" applyNumberFormat="1" applyFont="1" applyFill="1" applyBorder="1" applyAlignment="1">
      <alignment horizontal="right"/>
    </xf>
    <xf numFmtId="0" fontId="0" fillId="11" borderId="0" xfId="0" applyNumberFormat="1" applyFill="1" applyAlignment="1">
      <alignment horizontal="left"/>
    </xf>
    <xf numFmtId="0" fontId="0" fillId="11" borderId="5" xfId="0" applyNumberFormat="1" applyFill="1" applyBorder="1" applyAlignment="1">
      <alignment horizontal="left"/>
    </xf>
    <xf numFmtId="9" fontId="19" fillId="11" borderId="0" xfId="1" applyFont="1" applyFill="1" applyBorder="1" applyAlignment="1">
      <alignment horizontal="right"/>
    </xf>
    <xf numFmtId="9" fontId="0" fillId="11" borderId="0" xfId="1" applyFont="1" applyFill="1" applyAlignment="1">
      <alignment horizontal="left"/>
    </xf>
    <xf numFmtId="9" fontId="0" fillId="11" borderId="5" xfId="1" applyFont="1" applyFill="1" applyBorder="1" applyAlignment="1">
      <alignment horizontal="left"/>
    </xf>
    <xf numFmtId="165" fontId="0" fillId="11" borderId="0" xfId="3" applyFont="1" applyFill="1" applyAlignment="1">
      <alignment horizontal="left"/>
    </xf>
    <xf numFmtId="165" fontId="0" fillId="11" borderId="0" xfId="0" applyNumberFormat="1" applyFill="1" applyAlignment="1"/>
    <xf numFmtId="0" fontId="3" fillId="11" borderId="2" xfId="0" applyFont="1" applyFill="1" applyBorder="1" applyAlignment="1">
      <alignment horizontal="left"/>
    </xf>
    <xf numFmtId="165" fontId="0" fillId="11" borderId="0" xfId="1" applyNumberFormat="1" applyFont="1" applyFill="1" applyBorder="1" applyAlignment="1">
      <alignment horizontal="left"/>
    </xf>
    <xf numFmtId="9" fontId="0" fillId="11" borderId="5" xfId="0" applyNumberFormat="1" applyFill="1" applyBorder="1" applyAlignment="1">
      <alignment horizontal="left"/>
    </xf>
    <xf numFmtId="0" fontId="4" fillId="16" borderId="33" xfId="47" applyFont="1" applyFill="1" applyBorder="1"/>
    <xf numFmtId="2" fontId="0" fillId="2" borderId="4" xfId="0" applyNumberFormat="1" applyFill="1" applyBorder="1"/>
    <xf numFmtId="165" fontId="0" fillId="11" borderId="7" xfId="0" applyNumberFormat="1" applyFill="1" applyBorder="1" applyAlignment="1">
      <alignment horizontal="right"/>
    </xf>
    <xf numFmtId="9" fontId="1" fillId="0" borderId="0" xfId="0" applyNumberFormat="1" applyFont="1" applyBorder="1" applyAlignment="1">
      <alignment horizontal="left" indent="1"/>
    </xf>
    <xf numFmtId="0" fontId="4" fillId="0" borderId="0" xfId="0" applyFont="1" applyFill="1" applyBorder="1" applyAlignment="1">
      <alignment horizontal="left" indent="1"/>
    </xf>
    <xf numFmtId="165" fontId="0" fillId="0" borderId="0" xfId="0" applyNumberFormat="1"/>
    <xf numFmtId="1" fontId="0" fillId="0" borderId="0" xfId="0" applyNumberFormat="1"/>
    <xf numFmtId="0" fontId="0" fillId="40" borderId="0" xfId="0" applyFill="1"/>
    <xf numFmtId="179" fontId="0" fillId="2" borderId="0" xfId="0" applyNumberFormat="1" applyFill="1"/>
    <xf numFmtId="14" fontId="0" fillId="0" borderId="0" xfId="0" applyNumberFormat="1"/>
    <xf numFmtId="9" fontId="0" fillId="0" borderId="0" xfId="1" applyFont="1"/>
    <xf numFmtId="165" fontId="0" fillId="0" borderId="0" xfId="3" applyNumberFormat="1" applyFont="1"/>
    <xf numFmtId="173" fontId="0" fillId="0" borderId="0" xfId="3" applyNumberFormat="1" applyFont="1"/>
    <xf numFmtId="173" fontId="0" fillId="0" borderId="0" xfId="0" applyNumberFormat="1"/>
    <xf numFmtId="9" fontId="0" fillId="0" borderId="0" xfId="0" applyNumberFormat="1"/>
    <xf numFmtId="0" fontId="0" fillId="29" borderId="44" xfId="47" applyFont="1"/>
    <xf numFmtId="0" fontId="0" fillId="29" borderId="33" xfId="47" applyFont="1" applyBorder="1"/>
    <xf numFmtId="0" fontId="24" fillId="0" borderId="0" xfId="0" applyFont="1"/>
    <xf numFmtId="0" fontId="0" fillId="39" borderId="0" xfId="0" applyFill="1"/>
    <xf numFmtId="0" fontId="6" fillId="39" borderId="0" xfId="2" applyFill="1"/>
    <xf numFmtId="14" fontId="0" fillId="39" borderId="0" xfId="0" applyNumberFormat="1" applyFont="1" applyFill="1"/>
    <xf numFmtId="0" fontId="61" fillId="39" borderId="0" xfId="29" applyFill="1" applyBorder="1" applyAlignment="1">
      <alignment horizontal="left" vertical="top"/>
    </xf>
    <xf numFmtId="0" fontId="62" fillId="39" borderId="0" xfId="29" applyFont="1" applyFill="1" applyBorder="1" applyAlignment="1">
      <alignment horizontal="center" vertical="top"/>
    </xf>
    <xf numFmtId="0" fontId="63" fillId="39" borderId="0" xfId="29" applyFont="1" applyFill="1" applyBorder="1" applyAlignment="1">
      <alignment horizontal="left" vertical="top"/>
    </xf>
    <xf numFmtId="0" fontId="64" fillId="39" borderId="0" xfId="29" applyFont="1" applyFill="1" applyBorder="1" applyAlignment="1">
      <alignment horizontal="left" vertical="top"/>
    </xf>
    <xf numFmtId="0" fontId="62" fillId="39" borderId="0" xfId="29" applyFont="1" applyFill="1" applyBorder="1" applyAlignment="1">
      <alignment horizontal="left" vertical="top"/>
    </xf>
    <xf numFmtId="0" fontId="61" fillId="39" borderId="0" xfId="29" applyFill="1" applyBorder="1" applyAlignment="1">
      <alignment horizontal="left" vertical="top" wrapText="1"/>
    </xf>
    <xf numFmtId="195" fontId="67" fillId="39" borderId="0" xfId="29" applyNumberFormat="1" applyFont="1" applyFill="1" applyBorder="1" applyAlignment="1">
      <alignment horizontal="left" vertical="top" wrapText="1"/>
    </xf>
    <xf numFmtId="197" fontId="67" fillId="39" borderId="0" xfId="29" applyNumberFormat="1" applyFont="1" applyFill="1" applyBorder="1" applyAlignment="1">
      <alignment horizontal="left" vertical="top" wrapText="1"/>
    </xf>
    <xf numFmtId="195" fontId="65" fillId="39" borderId="0" xfId="29" applyNumberFormat="1" applyFont="1" applyFill="1" applyBorder="1" applyAlignment="1">
      <alignment horizontal="left" vertical="top" wrapText="1"/>
    </xf>
    <xf numFmtId="195" fontId="67" fillId="39" borderId="0" xfId="29" applyNumberFormat="1" applyFont="1" applyFill="1" applyBorder="1" applyAlignment="1">
      <alignment horizontal="left" vertical="center" wrapText="1"/>
    </xf>
    <xf numFmtId="198" fontId="67" fillId="39" borderId="0" xfId="29" applyNumberFormat="1" applyFont="1" applyFill="1" applyBorder="1" applyAlignment="1">
      <alignment horizontal="left" vertical="top" wrapText="1"/>
    </xf>
    <xf numFmtId="198" fontId="65" fillId="39" borderId="0" xfId="29" applyNumberFormat="1" applyFont="1" applyFill="1" applyBorder="1" applyAlignment="1">
      <alignment horizontal="left" vertical="top" wrapText="1"/>
    </xf>
    <xf numFmtId="0" fontId="63" fillId="39" borderId="0" xfId="29" applyFont="1" applyFill="1" applyBorder="1" applyAlignment="1">
      <alignment horizontal="left" vertical="top" wrapText="1"/>
    </xf>
    <xf numFmtId="195" fontId="65" fillId="39" borderId="0" xfId="29" applyNumberFormat="1" applyFont="1" applyFill="1" applyBorder="1" applyAlignment="1">
      <alignment horizontal="left" vertical="center" wrapText="1"/>
    </xf>
    <xf numFmtId="198" fontId="67" fillId="39" borderId="0" xfId="29" applyNumberFormat="1" applyFont="1" applyFill="1" applyBorder="1" applyAlignment="1">
      <alignment horizontal="left" vertical="center" wrapText="1"/>
    </xf>
    <xf numFmtId="195" fontId="72" fillId="39" borderId="0" xfId="29" applyNumberFormat="1" applyFont="1" applyFill="1" applyBorder="1" applyAlignment="1">
      <alignment horizontal="left" vertical="center" wrapText="1"/>
    </xf>
    <xf numFmtId="195" fontId="72" fillId="39" borderId="0" xfId="29" applyNumberFormat="1" applyFont="1" applyFill="1" applyBorder="1" applyAlignment="1">
      <alignment horizontal="left" vertical="top" wrapText="1"/>
    </xf>
    <xf numFmtId="0" fontId="60" fillId="39" borderId="0" xfId="29" applyFont="1" applyFill="1" applyBorder="1" applyAlignment="1">
      <alignment horizontal="left" vertical="top"/>
    </xf>
    <xf numFmtId="0" fontId="66" fillId="39" borderId="0" xfId="29" applyFont="1" applyFill="1" applyBorder="1" applyAlignment="1">
      <alignment horizontal="right" vertical="top"/>
    </xf>
    <xf numFmtId="0" fontId="68" fillId="39" borderId="0" xfId="29" applyFont="1" applyFill="1" applyBorder="1" applyAlignment="1">
      <alignment horizontal="right" vertical="top"/>
    </xf>
    <xf numFmtId="199" fontId="67" fillId="39" borderId="0" xfId="29" applyNumberFormat="1" applyFont="1" applyFill="1" applyBorder="1" applyAlignment="1">
      <alignment horizontal="left" vertical="top" wrapText="1"/>
    </xf>
    <xf numFmtId="199" fontId="72" fillId="39" borderId="0" xfId="29" applyNumberFormat="1" applyFont="1" applyFill="1" applyBorder="1" applyAlignment="1">
      <alignment horizontal="left" vertical="top" wrapText="1"/>
    </xf>
    <xf numFmtId="0" fontId="61" fillId="39" borderId="63" xfId="29" applyFill="1" applyBorder="1" applyAlignment="1">
      <alignment horizontal="left" vertical="top" wrapText="1"/>
    </xf>
    <xf numFmtId="0" fontId="68" fillId="39" borderId="0" xfId="29" applyFont="1" applyFill="1" applyBorder="1" applyAlignment="1">
      <alignment horizontal="left" vertical="top"/>
    </xf>
    <xf numFmtId="0" fontId="73" fillId="39" borderId="0" xfId="29" applyFont="1" applyFill="1" applyBorder="1" applyAlignment="1">
      <alignment horizontal="right" vertical="top"/>
    </xf>
    <xf numFmtId="0" fontId="73" fillId="39" borderId="0" xfId="29" applyFont="1" applyFill="1" applyBorder="1" applyAlignment="1">
      <alignment horizontal="left" vertical="top"/>
    </xf>
    <xf numFmtId="0" fontId="66" fillId="39" borderId="0" xfId="29" applyFont="1" applyFill="1" applyBorder="1" applyAlignment="1">
      <alignment horizontal="left" vertical="top"/>
    </xf>
    <xf numFmtId="0" fontId="6" fillId="37" borderId="0" xfId="2" applyFill="1"/>
    <xf numFmtId="14" fontId="0" fillId="37" borderId="0" xfId="0" applyNumberFormat="1" applyFont="1" applyFill="1"/>
    <xf numFmtId="10" fontId="0" fillId="0" borderId="0" xfId="1" applyNumberFormat="1" applyFont="1"/>
    <xf numFmtId="201" fontId="0" fillId="0" borderId="0" xfId="0" applyNumberFormat="1"/>
    <xf numFmtId="173" fontId="37" fillId="22" borderId="0" xfId="3" applyNumberFormat="1" applyFont="1" applyFill="1" applyBorder="1"/>
    <xf numFmtId="183" fontId="3" fillId="36" borderId="11" xfId="24" applyNumberFormat="1" applyFont="1" applyFill="1" applyBorder="1" applyAlignment="1">
      <alignment horizontal="left" indent="1"/>
    </xf>
    <xf numFmtId="165" fontId="19" fillId="11" borderId="0" xfId="1" applyNumberFormat="1" applyFont="1" applyFill="1" applyBorder="1" applyAlignment="1">
      <alignment horizontal="right"/>
    </xf>
    <xf numFmtId="168" fontId="0" fillId="0" borderId="0" xfId="1" applyNumberFormat="1" applyFont="1" applyFill="1" applyBorder="1" applyAlignment="1">
      <alignment vertical="top"/>
    </xf>
    <xf numFmtId="165" fontId="0" fillId="16" borderId="33" xfId="3" applyFont="1" applyFill="1" applyBorder="1"/>
    <xf numFmtId="165" fontId="2" fillId="16" borderId="33" xfId="3" applyFont="1" applyFill="1" applyBorder="1"/>
    <xf numFmtId="0" fontId="2" fillId="0" borderId="0" xfId="0" applyFont="1"/>
    <xf numFmtId="0" fontId="4" fillId="28" borderId="33" xfId="47" applyNumberFormat="1" applyFont="1" applyFill="1" applyBorder="1"/>
    <xf numFmtId="165" fontId="4" fillId="16" borderId="33" xfId="47" applyNumberFormat="1" applyFont="1" applyFill="1" applyBorder="1"/>
    <xf numFmtId="0" fontId="4" fillId="0" borderId="0" xfId="0" applyFont="1"/>
    <xf numFmtId="165" fontId="4" fillId="16" borderId="33" xfId="3" applyFont="1" applyFill="1" applyBorder="1"/>
    <xf numFmtId="0" fontId="1" fillId="40" borderId="0" xfId="0" applyFont="1" applyFill="1" applyBorder="1"/>
    <xf numFmtId="165" fontId="4" fillId="14" borderId="31" xfId="3" applyFont="1" applyFill="1" applyBorder="1"/>
    <xf numFmtId="0" fontId="30" fillId="0" borderId="0" xfId="0" applyFont="1"/>
    <xf numFmtId="165" fontId="4" fillId="28" borderId="33" xfId="47" applyNumberFormat="1" applyFont="1" applyFill="1" applyBorder="1"/>
    <xf numFmtId="9" fontId="4" fillId="16" borderId="33" xfId="47" applyNumberFormat="1" applyFont="1" applyFill="1" applyBorder="1"/>
    <xf numFmtId="10" fontId="4" fillId="16" borderId="33" xfId="47" applyNumberFormat="1" applyFont="1" applyFill="1" applyBorder="1"/>
    <xf numFmtId="191" fontId="4" fillId="16" borderId="33" xfId="47" applyNumberFormat="1" applyFont="1" applyFill="1" applyBorder="1"/>
    <xf numFmtId="191" fontId="4" fillId="0" borderId="0" xfId="0" applyNumberFormat="1" applyFont="1"/>
    <xf numFmtId="175" fontId="4" fillId="14" borderId="31" xfId="50" applyNumberFormat="1" applyFont="1" applyFill="1" applyBorder="1"/>
    <xf numFmtId="10" fontId="4" fillId="28" borderId="33" xfId="3" applyNumberFormat="1" applyFont="1" applyFill="1" applyBorder="1"/>
    <xf numFmtId="10" fontId="30" fillId="14" borderId="31" xfId="1" applyNumberFormat="1" applyFont="1" applyFill="1" applyBorder="1"/>
    <xf numFmtId="165" fontId="30" fillId="14" borderId="31" xfId="1" applyNumberFormat="1" applyFont="1" applyFill="1" applyBorder="1"/>
    <xf numFmtId="165" fontId="0" fillId="11" borderId="0" xfId="1" applyNumberFormat="1" applyFont="1" applyFill="1" applyBorder="1" applyAlignment="1">
      <alignment horizontal="right"/>
    </xf>
    <xf numFmtId="202" fontId="0" fillId="11" borderId="0" xfId="3" applyNumberFormat="1" applyFont="1" applyFill="1" applyBorder="1" applyAlignment="1">
      <alignment horizontal="right"/>
    </xf>
    <xf numFmtId="9" fontId="0" fillId="2" borderId="0" xfId="1" applyFont="1" applyFill="1"/>
    <xf numFmtId="0" fontId="1" fillId="0" borderId="0" xfId="0" applyFont="1" applyFill="1" applyBorder="1" applyAlignment="1">
      <alignment horizontal="left" indent="1"/>
    </xf>
    <xf numFmtId="0" fontId="1" fillId="0" borderId="36" xfId="0" applyFont="1" applyFill="1" applyBorder="1" applyAlignment="1">
      <alignment horizontal="left" indent="1"/>
    </xf>
    <xf numFmtId="9" fontId="1" fillId="0" borderId="0" xfId="0" applyNumberFormat="1" applyFont="1" applyFill="1" applyBorder="1" applyAlignment="1">
      <alignment horizontal="left" indent="1"/>
    </xf>
    <xf numFmtId="0" fontId="1" fillId="28" borderId="33" xfId="47" applyNumberFormat="1" applyFont="1" applyFill="1" applyBorder="1"/>
    <xf numFmtId="43" fontId="0" fillId="16" borderId="33" xfId="47" applyNumberFormat="1" applyFont="1" applyFill="1" applyBorder="1"/>
    <xf numFmtId="0" fontId="0" fillId="0" borderId="0" xfId="0" applyFont="1" applyFill="1" applyBorder="1" applyAlignment="1">
      <alignment horizontal="left" indent="1"/>
    </xf>
    <xf numFmtId="183" fontId="0" fillId="0" borderId="0" xfId="0" applyNumberFormat="1" applyFill="1" applyBorder="1"/>
    <xf numFmtId="0" fontId="0" fillId="0" borderId="0" xfId="0" applyFont="1" applyBorder="1" applyAlignment="1">
      <alignment horizontal="left"/>
    </xf>
    <xf numFmtId="0" fontId="2" fillId="28" borderId="33" xfId="47" applyNumberFormat="1" applyFont="1" applyFill="1" applyBorder="1"/>
    <xf numFmtId="0" fontId="1" fillId="16" borderId="33" xfId="47" applyFont="1" applyFill="1" applyBorder="1"/>
    <xf numFmtId="165" fontId="1" fillId="14" borderId="31" xfId="3" applyFont="1" applyFill="1" applyBorder="1"/>
    <xf numFmtId="165" fontId="1" fillId="0" borderId="0" xfId="3" applyFont="1"/>
    <xf numFmtId="9" fontId="0" fillId="11" borderId="0" xfId="0" applyNumberFormat="1" applyFill="1" applyBorder="1" applyAlignment="1">
      <alignment horizontal="left"/>
    </xf>
    <xf numFmtId="9" fontId="4" fillId="11" borderId="0" xfId="1" applyFont="1" applyFill="1" applyBorder="1" applyAlignment="1">
      <alignment horizontal="left"/>
    </xf>
    <xf numFmtId="178" fontId="4" fillId="14" borderId="31" xfId="50" applyNumberFormat="1" applyFont="1" applyFill="1" applyBorder="1"/>
    <xf numFmtId="0" fontId="58" fillId="40" borderId="0" xfId="0" applyFont="1" applyFill="1"/>
    <xf numFmtId="0" fontId="0" fillId="40" borderId="62" xfId="0" applyFill="1" applyBorder="1"/>
    <xf numFmtId="0" fontId="3" fillId="40" borderId="0" xfId="0" applyFont="1" applyFill="1"/>
    <xf numFmtId="182" fontId="3" fillId="3" borderId="0" xfId="24" applyNumberFormat="1" applyFont="1" applyFill="1"/>
    <xf numFmtId="0" fontId="1" fillId="3" borderId="36" xfId="0" applyFont="1" applyFill="1" applyBorder="1" applyAlignment="1">
      <alignment horizontal="left" indent="1"/>
    </xf>
    <xf numFmtId="0" fontId="1" fillId="3" borderId="36" xfId="0" applyFont="1" applyFill="1" applyBorder="1" applyAlignment="1">
      <alignment horizontal="left"/>
    </xf>
    <xf numFmtId="183" fontId="1" fillId="3" borderId="36" xfId="24" applyNumberFormat="1" applyFont="1" applyFill="1" applyBorder="1"/>
    <xf numFmtId="0" fontId="1" fillId="3" borderId="0" xfId="0" applyFont="1" applyFill="1" applyBorder="1" applyAlignment="1">
      <alignment horizontal="left" indent="1"/>
    </xf>
    <xf numFmtId="0" fontId="1" fillId="3" borderId="0" xfId="0" applyFont="1" applyFill="1" applyBorder="1" applyAlignment="1">
      <alignment horizontal="left"/>
    </xf>
    <xf numFmtId="183" fontId="1" fillId="3" borderId="0" xfId="24" applyNumberFormat="1" applyFont="1" applyFill="1" applyBorder="1"/>
    <xf numFmtId="0" fontId="1" fillId="3" borderId="7" xfId="0" applyFont="1" applyFill="1" applyBorder="1"/>
    <xf numFmtId="182" fontId="1" fillId="3" borderId="7" xfId="0" applyNumberFormat="1" applyFont="1" applyFill="1" applyBorder="1"/>
    <xf numFmtId="182" fontId="1" fillId="3" borderId="36" xfId="24" applyNumberFormat="1" applyFont="1" applyFill="1" applyBorder="1"/>
    <xf numFmtId="182" fontId="1" fillId="3" borderId="0" xfId="24" applyNumberFormat="1" applyFont="1" applyFill="1" applyBorder="1"/>
    <xf numFmtId="0" fontId="4" fillId="3" borderId="36" xfId="0" applyFont="1" applyFill="1" applyBorder="1" applyAlignment="1">
      <alignment horizontal="left" indent="1"/>
    </xf>
    <xf numFmtId="0" fontId="4" fillId="3" borderId="0" xfId="0" applyFont="1" applyFill="1" applyBorder="1" applyAlignment="1">
      <alignment horizontal="left" indent="1"/>
    </xf>
    <xf numFmtId="41" fontId="1" fillId="3" borderId="0" xfId="0" applyNumberFormat="1" applyFont="1" applyFill="1"/>
    <xf numFmtId="0" fontId="1" fillId="3" borderId="0" xfId="0" applyFont="1" applyFill="1"/>
    <xf numFmtId="182" fontId="1" fillId="3" borderId="0" xfId="0" applyNumberFormat="1" applyFont="1" applyFill="1"/>
    <xf numFmtId="0" fontId="3" fillId="3" borderId="11" xfId="0" applyFont="1" applyFill="1" applyBorder="1"/>
    <xf numFmtId="182" fontId="3" fillId="3" borderId="11" xfId="24" applyNumberFormat="1" applyFont="1" applyFill="1" applyBorder="1"/>
    <xf numFmtId="0" fontId="1" fillId="3" borderId="0" xfId="0" applyFont="1" applyFill="1" applyAlignment="1">
      <alignment horizontal="left" indent="1"/>
    </xf>
    <xf numFmtId="0" fontId="3" fillId="3" borderId="2" xfId="0" applyFont="1" applyFill="1" applyBorder="1"/>
    <xf numFmtId="182" fontId="3" fillId="3" borderId="2" xfId="24" applyNumberFormat="1" applyFont="1" applyFill="1" applyBorder="1"/>
    <xf numFmtId="182" fontId="4" fillId="3" borderId="0" xfId="25" applyNumberFormat="1" applyFont="1" applyFill="1"/>
    <xf numFmtId="0" fontId="3" fillId="3" borderId="0" xfId="0" applyFont="1" applyFill="1" applyBorder="1"/>
    <xf numFmtId="182" fontId="3" fillId="3" borderId="0" xfId="24" applyNumberFormat="1" applyFont="1" applyFill="1" applyBorder="1"/>
    <xf numFmtId="41" fontId="1" fillId="3" borderId="0" xfId="0" applyNumberFormat="1" applyFont="1" applyFill="1" applyBorder="1"/>
    <xf numFmtId="0" fontId="0" fillId="3" borderId="62" xfId="0" applyFill="1" applyBorder="1"/>
    <xf numFmtId="183" fontId="3" fillId="2" borderId="38" xfId="24" applyNumberFormat="1" applyFont="1" applyFill="1" applyBorder="1"/>
    <xf numFmtId="183" fontId="3" fillId="2" borderId="38" xfId="0" applyNumberFormat="1" applyFont="1" applyFill="1" applyBorder="1"/>
    <xf numFmtId="0" fontId="0" fillId="2" borderId="64" xfId="0" applyFill="1" applyBorder="1"/>
    <xf numFmtId="165" fontId="0" fillId="2" borderId="64" xfId="0" applyNumberFormat="1" applyFill="1" applyBorder="1"/>
    <xf numFmtId="165" fontId="0" fillId="2" borderId="64" xfId="0" applyNumberFormat="1" applyFont="1" applyFill="1" applyBorder="1"/>
    <xf numFmtId="165" fontId="0" fillId="2" borderId="0" xfId="0" applyNumberFormat="1" applyFont="1" applyFill="1" applyBorder="1"/>
    <xf numFmtId="9" fontId="1" fillId="0" borderId="0" xfId="1" applyFont="1"/>
    <xf numFmtId="168" fontId="1" fillId="0" borderId="0" xfId="1" applyNumberFormat="1" applyFont="1"/>
    <xf numFmtId="10" fontId="1" fillId="0" borderId="0" xfId="1" applyNumberFormat="1" applyFont="1"/>
    <xf numFmtId="43" fontId="4" fillId="16" borderId="33" xfId="3" applyNumberFormat="1" applyFont="1" applyFill="1" applyBorder="1"/>
    <xf numFmtId="43" fontId="30" fillId="16" borderId="33" xfId="3" applyNumberFormat="1" applyFont="1" applyFill="1" applyBorder="1"/>
    <xf numFmtId="9" fontId="4" fillId="16" borderId="33" xfId="1" applyFont="1" applyFill="1" applyBorder="1"/>
    <xf numFmtId="9" fontId="30" fillId="16" borderId="33" xfId="1" applyFont="1" applyFill="1" applyBorder="1"/>
    <xf numFmtId="9" fontId="19" fillId="11" borderId="0" xfId="18" applyNumberFormat="1" applyFont="1" applyFill="1" applyBorder="1" applyAlignment="1">
      <alignment horizontal="right"/>
    </xf>
    <xf numFmtId="165" fontId="0" fillId="11" borderId="4" xfId="0" applyNumberFormat="1" applyFill="1" applyBorder="1" applyAlignment="1">
      <alignment horizontal="left"/>
    </xf>
    <xf numFmtId="165" fontId="0" fillId="11" borderId="5" xfId="0" applyNumberFormat="1" applyFill="1" applyBorder="1" applyAlignment="1">
      <alignment horizontal="left"/>
    </xf>
    <xf numFmtId="0" fontId="126" fillId="7" borderId="9" xfId="0" applyFont="1" applyFill="1" applyBorder="1" applyAlignment="1">
      <alignment horizontal="left" vertical="center" wrapText="1"/>
    </xf>
    <xf numFmtId="165" fontId="126" fillId="7" borderId="9" xfId="3" applyFont="1" applyFill="1" applyBorder="1" applyAlignment="1">
      <alignment horizontal="left" vertical="center" wrapText="1"/>
    </xf>
    <xf numFmtId="165" fontId="126" fillId="7" borderId="9" xfId="3" applyFont="1" applyFill="1" applyBorder="1" applyAlignment="1">
      <alignment vertical="center" wrapText="1"/>
    </xf>
    <xf numFmtId="0" fontId="4" fillId="4" borderId="9" xfId="0" applyFont="1" applyFill="1" applyBorder="1" applyAlignment="1">
      <alignment vertical="center"/>
    </xf>
    <xf numFmtId="0" fontId="4" fillId="4" borderId="9" xfId="0" applyFont="1" applyFill="1" applyBorder="1" applyAlignment="1">
      <alignment vertical="center" wrapText="1"/>
    </xf>
    <xf numFmtId="0" fontId="4" fillId="4" borderId="9" xfId="0" applyFont="1" applyFill="1" applyBorder="1" applyAlignment="1">
      <alignment horizontal="left" vertical="center" wrapText="1"/>
    </xf>
    <xf numFmtId="0" fontId="17" fillId="3" borderId="6" xfId="0" applyFont="1" applyFill="1" applyBorder="1"/>
    <xf numFmtId="0" fontId="0" fillId="3" borderId="7" xfId="0" applyFill="1" applyBorder="1"/>
    <xf numFmtId="0" fontId="3" fillId="16" borderId="33" xfId="47" applyFont="1" applyFill="1" applyBorder="1"/>
    <xf numFmtId="0" fontId="0" fillId="41" borderId="0" xfId="0" applyFill="1"/>
    <xf numFmtId="0" fontId="0" fillId="42" borderId="0" xfId="0" applyFill="1"/>
    <xf numFmtId="165" fontId="0" fillId="41" borderId="0" xfId="0" applyNumberFormat="1" applyFill="1"/>
    <xf numFmtId="165" fontId="0" fillId="7" borderId="0" xfId="3" applyFont="1" applyFill="1"/>
    <xf numFmtId="165" fontId="0" fillId="42" borderId="0" xfId="3" applyFont="1" applyFill="1"/>
    <xf numFmtId="165" fontId="0" fillId="10" borderId="0" xfId="0" applyNumberFormat="1" applyFill="1"/>
    <xf numFmtId="0" fontId="0" fillId="2" borderId="4" xfId="0" applyFill="1" applyBorder="1" applyAlignment="1">
      <alignment horizontal="left" indent="4"/>
    </xf>
    <xf numFmtId="203" fontId="1" fillId="27" borderId="16" xfId="24" applyNumberFormat="1" applyFont="1" applyFill="1" applyBorder="1"/>
    <xf numFmtId="43" fontId="1" fillId="27" borderId="16" xfId="24" applyNumberFormat="1" applyFont="1" applyFill="1" applyBorder="1"/>
    <xf numFmtId="0" fontId="3" fillId="0" borderId="9" xfId="0" applyFont="1" applyBorder="1"/>
    <xf numFmtId="2" fontId="0" fillId="0" borderId="9" xfId="0" applyNumberFormat="1" applyBorder="1"/>
    <xf numFmtId="2" fontId="0" fillId="39" borderId="9" xfId="0" applyNumberFormat="1" applyFill="1" applyBorder="1"/>
    <xf numFmtId="173" fontId="1" fillId="27" borderId="16" xfId="3" applyNumberFormat="1" applyFont="1" applyFill="1" applyBorder="1"/>
    <xf numFmtId="165" fontId="0" fillId="11" borderId="7" xfId="3" applyFont="1" applyFill="1" applyBorder="1" applyAlignment="1">
      <alignment horizontal="left"/>
    </xf>
    <xf numFmtId="165" fontId="0" fillId="11" borderId="0" xfId="3" applyFont="1" applyFill="1" applyAlignment="1"/>
    <xf numFmtId="9" fontId="0" fillId="11" borderId="0" xfId="0" applyNumberFormat="1" applyFill="1" applyAlignment="1"/>
    <xf numFmtId="0" fontId="0" fillId="11" borderId="7" xfId="0" applyFill="1" applyBorder="1" applyAlignment="1"/>
    <xf numFmtId="191" fontId="30" fillId="16" borderId="33" xfId="47" applyNumberFormat="1" applyFont="1" applyFill="1" applyBorder="1"/>
    <xf numFmtId="191" fontId="30" fillId="0" borderId="0" xfId="0" applyNumberFormat="1" applyFont="1"/>
    <xf numFmtId="0" fontId="0" fillId="11" borderId="0" xfId="3" applyNumberFormat="1" applyFont="1" applyFill="1" applyAlignment="1"/>
    <xf numFmtId="0" fontId="0" fillId="11" borderId="7" xfId="3" applyNumberFormat="1" applyFont="1" applyFill="1" applyBorder="1" applyAlignment="1"/>
    <xf numFmtId="2" fontId="0" fillId="29" borderId="44" xfId="47" applyNumberFormat="1" applyFont="1"/>
    <xf numFmtId="0" fontId="0" fillId="0" borderId="0" xfId="47" applyFont="1" applyFill="1" applyBorder="1"/>
    <xf numFmtId="165" fontId="30" fillId="0" borderId="0" xfId="3" applyFont="1" applyFill="1" applyBorder="1"/>
    <xf numFmtId="43" fontId="0" fillId="0" borderId="0" xfId="47" applyNumberFormat="1" applyFont="1" applyFill="1" applyBorder="1"/>
    <xf numFmtId="0" fontId="3" fillId="4" borderId="0" xfId="0" applyFont="1" applyFill="1" applyBorder="1" applyAlignment="1"/>
    <xf numFmtId="0" fontId="0" fillId="4" borderId="0" xfId="0" applyFont="1" applyFill="1" applyBorder="1" applyAlignment="1"/>
    <xf numFmtId="0" fontId="0" fillId="0" borderId="1" xfId="0" applyFill="1" applyBorder="1"/>
    <xf numFmtId="0" fontId="0" fillId="0" borderId="2" xfId="0" applyFill="1" applyBorder="1"/>
    <xf numFmtId="0" fontId="0" fillId="0" borderId="3" xfId="0" applyFill="1" applyBorder="1"/>
    <xf numFmtId="0" fontId="0" fillId="0" borderId="4" xfId="0" applyFill="1" applyBorder="1"/>
    <xf numFmtId="0" fontId="0" fillId="0" borderId="5" xfId="0" applyFill="1" applyBorder="1"/>
    <xf numFmtId="0" fontId="0" fillId="0" borderId="6" xfId="0" applyFill="1" applyBorder="1"/>
    <xf numFmtId="0" fontId="0" fillId="0" borderId="7" xfId="0" applyFill="1" applyBorder="1"/>
    <xf numFmtId="0" fontId="0" fillId="0" borderId="8" xfId="0" applyFill="1" applyBorder="1"/>
    <xf numFmtId="1" fontId="0" fillId="2" borderId="2" xfId="0" applyNumberFormat="1" applyFill="1" applyBorder="1"/>
    <xf numFmtId="164" fontId="0" fillId="4" borderId="0" xfId="0" applyNumberFormat="1" applyFont="1" applyFill="1" applyBorder="1"/>
    <xf numFmtId="1" fontId="0" fillId="2" borderId="7" xfId="0" applyNumberFormat="1" applyFill="1" applyBorder="1"/>
    <xf numFmtId="1" fontId="4" fillId="2" borderId="5" xfId="0" applyNumberFormat="1" applyFont="1" applyFill="1" applyBorder="1"/>
    <xf numFmtId="1" fontId="0" fillId="2" borderId="8" xfId="0" applyNumberFormat="1" applyFill="1" applyBorder="1"/>
    <xf numFmtId="165" fontId="0" fillId="4" borderId="0" xfId="0" applyNumberFormat="1" applyFont="1" applyFill="1" applyBorder="1"/>
    <xf numFmtId="0" fontId="0" fillId="2" borderId="33" xfId="47" applyFont="1" applyFill="1" applyBorder="1"/>
    <xf numFmtId="43" fontId="0" fillId="2" borderId="33" xfId="47" applyNumberFormat="1" applyFont="1" applyFill="1" applyBorder="1"/>
    <xf numFmtId="164" fontId="0" fillId="4" borderId="0" xfId="0" applyNumberFormat="1" applyFill="1" applyBorder="1"/>
    <xf numFmtId="0" fontId="0" fillId="4" borderId="0" xfId="0" applyFill="1" applyBorder="1" applyAlignment="1">
      <alignment horizontal="left"/>
    </xf>
    <xf numFmtId="164" fontId="4" fillId="4" borderId="0" xfId="4" applyFont="1" applyFill="1" applyBorder="1"/>
    <xf numFmtId="164" fontId="2" fillId="4" borderId="0" xfId="4" applyFont="1" applyFill="1" applyBorder="1"/>
    <xf numFmtId="164" fontId="4" fillId="4" borderId="0" xfId="0" applyNumberFormat="1" applyFont="1" applyFill="1" applyBorder="1"/>
    <xf numFmtId="0" fontId="0" fillId="4" borderId="0" xfId="3" applyNumberFormat="1" applyFont="1" applyFill="1" applyBorder="1"/>
    <xf numFmtId="165" fontId="4" fillId="4" borderId="0" xfId="3" applyFont="1" applyFill="1" applyBorder="1"/>
    <xf numFmtId="165" fontId="2" fillId="0" borderId="0" xfId="3" applyFont="1"/>
    <xf numFmtId="2" fontId="4" fillId="4" borderId="0" xfId="3" applyNumberFormat="1" applyFont="1" applyFill="1" applyBorder="1"/>
    <xf numFmtId="165" fontId="0" fillId="0" borderId="0" xfId="3" applyFont="1" applyFill="1" applyBorder="1"/>
    <xf numFmtId="0" fontId="127" fillId="16" borderId="33" xfId="47" applyFont="1" applyFill="1" applyBorder="1"/>
    <xf numFmtId="0" fontId="127" fillId="0" borderId="0" xfId="0" applyFont="1"/>
    <xf numFmtId="9" fontId="127" fillId="16" borderId="33" xfId="1" applyFont="1" applyFill="1" applyBorder="1"/>
    <xf numFmtId="165" fontId="127" fillId="14" borderId="31" xfId="3" applyFont="1" applyFill="1" applyBorder="1"/>
    <xf numFmtId="0" fontId="128" fillId="16" borderId="33" xfId="47" applyFont="1" applyFill="1" applyBorder="1"/>
    <xf numFmtId="9" fontId="0" fillId="2" borderId="7" xfId="0" applyNumberFormat="1" applyFill="1" applyBorder="1"/>
    <xf numFmtId="0" fontId="0" fillId="2" borderId="0" xfId="0" applyFont="1" applyFill="1"/>
    <xf numFmtId="9" fontId="0" fillId="2" borderId="0" xfId="0" applyNumberFormat="1" applyFont="1" applyFill="1"/>
    <xf numFmtId="173" fontId="0" fillId="2" borderId="64" xfId="0" applyNumberFormat="1" applyFill="1" applyBorder="1"/>
    <xf numFmtId="176" fontId="30" fillId="16" borderId="33" xfId="47" applyNumberFormat="1" applyFont="1" applyFill="1" applyBorder="1"/>
    <xf numFmtId="165" fontId="2" fillId="28" borderId="33" xfId="3" applyFont="1" applyFill="1" applyBorder="1"/>
    <xf numFmtId="186" fontId="14" fillId="0" borderId="0" xfId="3" applyNumberFormat="1" applyFont="1"/>
    <xf numFmtId="183" fontId="0" fillId="0" borderId="0" xfId="0" applyNumberFormat="1" applyFont="1" applyBorder="1" applyAlignment="1"/>
    <xf numFmtId="204" fontId="0" fillId="16" borderId="33" xfId="47" applyNumberFormat="1" applyFont="1" applyFill="1" applyBorder="1"/>
    <xf numFmtId="204" fontId="0" fillId="0" borderId="0" xfId="47" applyNumberFormat="1" applyFont="1" applyFill="1" applyBorder="1"/>
    <xf numFmtId="0" fontId="1" fillId="16" borderId="0" xfId="47" applyNumberFormat="1" applyFont="1" applyFill="1" applyBorder="1"/>
    <xf numFmtId="205" fontId="1" fillId="27" borderId="16" xfId="24" applyNumberFormat="1" applyFont="1" applyFill="1" applyBorder="1"/>
    <xf numFmtId="186" fontId="0" fillId="29" borderId="44" xfId="47" applyNumberFormat="1" applyFont="1"/>
    <xf numFmtId="203" fontId="1" fillId="0" borderId="0" xfId="0" applyNumberFormat="1" applyFont="1" applyFill="1" applyBorder="1" applyAlignment="1">
      <alignment vertical="top"/>
    </xf>
    <xf numFmtId="203" fontId="1" fillId="0" borderId="0" xfId="0" applyNumberFormat="1" applyFont="1"/>
    <xf numFmtId="190" fontId="1" fillId="0" borderId="0" xfId="0" applyNumberFormat="1" applyFont="1" applyFill="1" applyBorder="1" applyAlignment="1">
      <alignment vertical="top"/>
    </xf>
    <xf numFmtId="0" fontId="0" fillId="29" borderId="44" xfId="47" applyNumberFormat="1" applyFont="1"/>
    <xf numFmtId="188" fontId="43" fillId="30" borderId="0" xfId="0" applyNumberFormat="1" applyFont="1" applyFill="1" applyAlignment="1">
      <alignment wrapText="1"/>
    </xf>
    <xf numFmtId="190" fontId="43" fillId="32" borderId="0" xfId="0" applyNumberFormat="1" applyFont="1" applyFill="1" applyAlignment="1">
      <alignment wrapText="1"/>
    </xf>
    <xf numFmtId="190" fontId="38" fillId="25" borderId="0" xfId="25" applyNumberFormat="1" applyAlignment="1">
      <alignment wrapText="1"/>
    </xf>
    <xf numFmtId="188" fontId="38" fillId="25" borderId="0" xfId="25" applyNumberFormat="1" applyAlignment="1">
      <alignment wrapText="1"/>
    </xf>
    <xf numFmtId="0" fontId="0" fillId="0" borderId="0" xfId="0"/>
    <xf numFmtId="190" fontId="43" fillId="30" borderId="0" xfId="0" applyNumberFormat="1" applyFont="1" applyFill="1" applyAlignment="1">
      <alignment wrapText="1"/>
    </xf>
    <xf numFmtId="190" fontId="38" fillId="25" borderId="0" xfId="25" applyNumberFormat="1" applyAlignment="1">
      <alignment wrapText="1"/>
    </xf>
    <xf numFmtId="0" fontId="0" fillId="0" borderId="0" xfId="0"/>
    <xf numFmtId="0" fontId="3" fillId="0" borderId="0" xfId="0" applyFont="1"/>
    <xf numFmtId="0" fontId="45" fillId="0" borderId="0" xfId="0" applyFont="1" applyAlignment="1">
      <alignment wrapText="1"/>
    </xf>
    <xf numFmtId="190" fontId="0" fillId="0" borderId="0" xfId="0" applyNumberFormat="1"/>
    <xf numFmtId="190" fontId="0" fillId="0" borderId="0" xfId="0" applyNumberFormat="1" applyFill="1" applyBorder="1" applyAlignment="1">
      <alignment vertical="top"/>
    </xf>
    <xf numFmtId="190" fontId="32" fillId="14" borderId="35" xfId="23" applyNumberFormat="1"/>
    <xf numFmtId="190" fontId="45" fillId="0" borderId="0" xfId="0" applyNumberFormat="1" applyFont="1" applyAlignment="1">
      <alignment wrapText="1"/>
    </xf>
    <xf numFmtId="190" fontId="14" fillId="0" borderId="0" xfId="1" applyNumberFormat="1" applyFont="1"/>
    <xf numFmtId="190" fontId="4" fillId="0" borderId="0" xfId="0" applyNumberFormat="1" applyFont="1" applyAlignment="1">
      <alignment wrapText="1"/>
    </xf>
    <xf numFmtId="168" fontId="4" fillId="49" borderId="0" xfId="1" applyNumberFormat="1" applyFont="1" applyFill="1" applyAlignment="1">
      <alignment wrapText="1"/>
    </xf>
    <xf numFmtId="0" fontId="13" fillId="0" borderId="0" xfId="0" applyFont="1" applyAlignment="1">
      <alignment wrapText="1"/>
    </xf>
    <xf numFmtId="190" fontId="4" fillId="48" borderId="0" xfId="1" applyNumberFormat="1" applyFont="1" applyFill="1" applyAlignment="1">
      <alignment wrapText="1"/>
    </xf>
    <xf numFmtId="190" fontId="4" fillId="49" borderId="0" xfId="1" applyNumberFormat="1" applyFont="1" applyFill="1" applyAlignment="1">
      <alignment wrapText="1"/>
    </xf>
    <xf numFmtId="0" fontId="0" fillId="0" borderId="0" xfId="0"/>
    <xf numFmtId="190" fontId="0" fillId="0" borderId="0" xfId="0" applyNumberFormat="1"/>
    <xf numFmtId="183" fontId="0" fillId="27" borderId="16" xfId="0" applyNumberFormat="1" applyFill="1" applyBorder="1"/>
    <xf numFmtId="0" fontId="1" fillId="0" borderId="0" xfId="0" applyFont="1"/>
    <xf numFmtId="0" fontId="1" fillId="0" borderId="0" xfId="0" applyFont="1" applyBorder="1"/>
    <xf numFmtId="0" fontId="0" fillId="0" borderId="0" xfId="0" applyFont="1"/>
    <xf numFmtId="14" fontId="1" fillId="27" borderId="16" xfId="24" applyNumberFormat="1" applyFont="1" applyFill="1" applyBorder="1"/>
    <xf numFmtId="0" fontId="1" fillId="0" borderId="5" xfId="0" applyFont="1" applyBorder="1"/>
    <xf numFmtId="0" fontId="1" fillId="0" borderId="0" xfId="0" applyFont="1" applyFill="1" applyBorder="1" applyAlignment="1">
      <alignment vertical="top"/>
    </xf>
    <xf numFmtId="0" fontId="0" fillId="0" borderId="4" xfId="0" applyFont="1" applyBorder="1" applyAlignment="1">
      <alignment horizontal="left" wrapText="1" indent="4"/>
    </xf>
    <xf numFmtId="0" fontId="0" fillId="0" borderId="0" xfId="0" applyFont="1" applyFill="1" applyBorder="1"/>
    <xf numFmtId="190" fontId="14" fillId="0" borderId="0" xfId="1" applyNumberFormat="1" applyFont="1"/>
    <xf numFmtId="168" fontId="4" fillId="48" borderId="0" xfId="1" applyNumberFormat="1" applyFont="1" applyFill="1" applyAlignment="1">
      <alignment wrapText="1"/>
    </xf>
    <xf numFmtId="168" fontId="4" fillId="49" borderId="0" xfId="1" applyNumberFormat="1" applyFont="1" applyFill="1" applyAlignment="1">
      <alignment wrapText="1"/>
    </xf>
    <xf numFmtId="165" fontId="4" fillId="2" borderId="0" xfId="0" applyNumberFormat="1" applyFont="1" applyFill="1" applyBorder="1"/>
    <xf numFmtId="0" fontId="0" fillId="4" borderId="0" xfId="0" applyNumberFormat="1" applyFill="1"/>
    <xf numFmtId="165" fontId="2" fillId="14" borderId="31" xfId="3" applyFont="1" applyFill="1" applyBorder="1"/>
    <xf numFmtId="9" fontId="30" fillId="28" borderId="33" xfId="3" applyNumberFormat="1" applyFont="1" applyFill="1" applyBorder="1"/>
    <xf numFmtId="9" fontId="30" fillId="28" borderId="33" xfId="1" applyFont="1" applyFill="1" applyBorder="1"/>
    <xf numFmtId="0" fontId="4" fillId="16" borderId="33" xfId="47" applyNumberFormat="1" applyFont="1" applyFill="1" applyBorder="1"/>
    <xf numFmtId="183" fontId="0" fillId="2" borderId="7" xfId="0" applyNumberFormat="1" applyFont="1" applyFill="1" applyBorder="1" applyAlignment="1">
      <alignment horizontal="left" indent="1"/>
    </xf>
    <xf numFmtId="164" fontId="0" fillId="2" borderId="7" xfId="0" applyNumberFormat="1" applyFont="1" applyFill="1" applyBorder="1" applyAlignment="1">
      <alignment horizontal="left"/>
    </xf>
    <xf numFmtId="9" fontId="30" fillId="16" borderId="33" xfId="1" applyNumberFormat="1" applyFont="1" applyFill="1" applyBorder="1"/>
    <xf numFmtId="190" fontId="2" fillId="30" borderId="0" xfId="0" applyNumberFormat="1" applyFont="1" applyFill="1" applyAlignment="1">
      <alignment wrapText="1"/>
    </xf>
    <xf numFmtId="179" fontId="4" fillId="16" borderId="33" xfId="47" applyNumberFormat="1" applyFont="1" applyFill="1" applyBorder="1"/>
    <xf numFmtId="0" fontId="0" fillId="2" borderId="0" xfId="0" applyFont="1" applyFill="1" applyBorder="1" applyAlignment="1">
      <alignment horizontal="left"/>
    </xf>
    <xf numFmtId="9" fontId="30" fillId="16" borderId="33" xfId="3" applyNumberFormat="1" applyFont="1" applyFill="1" applyBorder="1"/>
    <xf numFmtId="164" fontId="0" fillId="2" borderId="4" xfId="0" applyNumberFormat="1" applyFill="1" applyBorder="1"/>
    <xf numFmtId="164" fontId="0" fillId="16" borderId="33" xfId="47" applyNumberFormat="1" applyFont="1" applyFill="1" applyBorder="1"/>
    <xf numFmtId="164" fontId="1" fillId="0" borderId="0" xfId="0" applyNumberFormat="1" applyFont="1" applyBorder="1" applyAlignment="1">
      <alignment horizontal="left" indent="1"/>
    </xf>
    <xf numFmtId="165" fontId="0" fillId="2" borderId="3" xfId="3" applyFont="1" applyFill="1" applyBorder="1"/>
    <xf numFmtId="165" fontId="4" fillId="2" borderId="5" xfId="3" applyFont="1" applyFill="1" applyBorder="1"/>
    <xf numFmtId="165" fontId="0" fillId="2" borderId="8" xfId="3" applyFont="1" applyFill="1" applyBorder="1"/>
    <xf numFmtId="9" fontId="1" fillId="0" borderId="7" xfId="1" applyFont="1" applyFill="1" applyBorder="1"/>
    <xf numFmtId="0" fontId="0" fillId="0" borderId="0" xfId="0" applyFont="1" applyAlignment="1">
      <alignment horizontal="left"/>
    </xf>
    <xf numFmtId="173" fontId="1" fillId="0" borderId="0" xfId="3" applyNumberFormat="1" applyFont="1"/>
    <xf numFmtId="206" fontId="0" fillId="0" borderId="0" xfId="1" applyNumberFormat="1" applyFont="1"/>
    <xf numFmtId="207" fontId="0" fillId="0" borderId="0" xfId="0" applyNumberFormat="1"/>
    <xf numFmtId="178" fontId="1" fillId="0" borderId="0" xfId="3" applyNumberFormat="1" applyFont="1"/>
    <xf numFmtId="208" fontId="0" fillId="0" borderId="0" xfId="1" applyNumberFormat="1" applyFont="1"/>
    <xf numFmtId="11" fontId="0" fillId="0" borderId="0" xfId="0" applyNumberFormat="1"/>
    <xf numFmtId="3" fontId="0" fillId="0" borderId="0" xfId="0" applyNumberFormat="1"/>
    <xf numFmtId="10" fontId="0" fillId="29" borderId="44" xfId="1" applyNumberFormat="1" applyFont="1" applyFill="1" applyBorder="1"/>
    <xf numFmtId="0" fontId="0" fillId="0" borderId="0" xfId="0"/>
    <xf numFmtId="0" fontId="3" fillId="0" borderId="0" xfId="0" applyFont="1"/>
    <xf numFmtId="0" fontId="0" fillId="16" borderId="33" xfId="47" applyFont="1" applyFill="1" applyBorder="1"/>
    <xf numFmtId="0" fontId="0" fillId="11" borderId="0" xfId="0" applyFill="1"/>
    <xf numFmtId="0" fontId="1" fillId="0" borderId="0" xfId="0" applyFont="1"/>
    <xf numFmtId="0" fontId="1" fillId="0" borderId="0" xfId="0" applyFont="1" applyBorder="1"/>
    <xf numFmtId="0" fontId="1" fillId="0" borderId="5" xfId="0" applyFont="1" applyBorder="1"/>
    <xf numFmtId="0" fontId="0" fillId="0" borderId="4" xfId="0" applyFont="1" applyBorder="1" applyAlignment="1">
      <alignment horizontal="left" indent="4"/>
    </xf>
    <xf numFmtId="0" fontId="0" fillId="27" borderId="16" xfId="0" applyFont="1" applyFill="1" applyBorder="1"/>
    <xf numFmtId="0" fontId="0" fillId="0" borderId="0" xfId="0" applyFont="1" applyFill="1" applyBorder="1" applyAlignment="1">
      <alignment vertical="top"/>
    </xf>
    <xf numFmtId="186" fontId="0" fillId="0" borderId="0" xfId="0" applyNumberFormat="1"/>
    <xf numFmtId="186" fontId="0" fillId="0" borderId="0" xfId="0" applyNumberFormat="1" applyAlignment="1">
      <alignment vertical="top"/>
    </xf>
    <xf numFmtId="10" fontId="30" fillId="14" borderId="31" xfId="1" applyNumberFormat="1" applyFont="1" applyFill="1" applyBorder="1"/>
    <xf numFmtId="167" fontId="1" fillId="0" borderId="0" xfId="0" applyNumberFormat="1" applyFont="1"/>
    <xf numFmtId="166" fontId="0" fillId="0" borderId="0" xfId="0" applyNumberFormat="1"/>
    <xf numFmtId="14" fontId="1" fillId="0" borderId="0" xfId="0" applyNumberFormat="1" applyFont="1"/>
    <xf numFmtId="0" fontId="30" fillId="16" borderId="33" xfId="3" applyNumberFormat="1" applyFont="1" applyFill="1" applyBorder="1"/>
    <xf numFmtId="0" fontId="1" fillId="27" borderId="16" xfId="24" applyNumberFormat="1" applyFont="1" applyFill="1" applyBorder="1"/>
    <xf numFmtId="165" fontId="1" fillId="0" borderId="0" xfId="0" applyNumberFormat="1" applyFont="1" applyFill="1" applyBorder="1" applyAlignment="1">
      <alignment horizontal="left" indent="1"/>
    </xf>
    <xf numFmtId="0" fontId="128" fillId="16" borderId="33" xfId="47" applyFont="1" applyFill="1" applyBorder="1" applyAlignment="1">
      <alignment wrapText="1"/>
    </xf>
    <xf numFmtId="0" fontId="2" fillId="11" borderId="0" xfId="0" applyFont="1" applyFill="1"/>
    <xf numFmtId="165" fontId="2" fillId="0" borderId="0" xfId="3" applyFont="1" applyFill="1" applyBorder="1"/>
    <xf numFmtId="0" fontId="4" fillId="16" borderId="33" xfId="47" quotePrefix="1" applyFont="1" applyFill="1" applyBorder="1"/>
    <xf numFmtId="165" fontId="0" fillId="4" borderId="0" xfId="0" applyNumberFormat="1" applyFill="1" applyBorder="1" applyAlignment="1">
      <alignment horizontal="center"/>
    </xf>
    <xf numFmtId="165" fontId="0" fillId="12" borderId="8" xfId="3" applyFont="1" applyFill="1" applyBorder="1"/>
    <xf numFmtId="165" fontId="127" fillId="0" borderId="0" xfId="0" applyNumberFormat="1" applyFont="1"/>
    <xf numFmtId="0" fontId="143" fillId="2" borderId="0" xfId="0" applyFont="1" applyFill="1"/>
    <xf numFmtId="0" fontId="27" fillId="22" borderId="2" xfId="0" applyFont="1" applyFill="1" applyBorder="1" applyAlignment="1"/>
    <xf numFmtId="0" fontId="0" fillId="50" borderId="3" xfId="0" applyFill="1" applyBorder="1"/>
    <xf numFmtId="0" fontId="0" fillId="50" borderId="5" xfId="0" applyFill="1" applyBorder="1"/>
    <xf numFmtId="0" fontId="0" fillId="50" borderId="8" xfId="0" applyFill="1" applyBorder="1"/>
    <xf numFmtId="0" fontId="0" fillId="51" borderId="0" xfId="0" applyFill="1" applyBorder="1"/>
    <xf numFmtId="0" fontId="37" fillId="42" borderId="0" xfId="0" applyFont="1" applyFill="1" applyBorder="1"/>
    <xf numFmtId="182" fontId="37" fillId="42" borderId="0" xfId="0" applyNumberFormat="1" applyFont="1" applyFill="1" applyBorder="1"/>
    <xf numFmtId="182" fontId="37" fillId="42" borderId="0" xfId="0" applyNumberFormat="1" applyFont="1" applyFill="1" applyBorder="1" applyAlignment="1">
      <alignment horizontal="right"/>
    </xf>
    <xf numFmtId="0" fontId="27" fillId="42" borderId="0" xfId="0" applyFont="1" applyFill="1" applyBorder="1"/>
    <xf numFmtId="0" fontId="3" fillId="42" borderId="0" xfId="0" applyFont="1" applyFill="1"/>
    <xf numFmtId="183" fontId="3" fillId="42" borderId="0" xfId="24" applyNumberFormat="1" applyFont="1" applyFill="1"/>
    <xf numFmtId="183" fontId="3" fillId="42" borderId="0" xfId="0" applyNumberFormat="1" applyFont="1" applyFill="1"/>
    <xf numFmtId="0" fontId="0" fillId="42" borderId="36" xfId="0" applyFont="1" applyFill="1" applyBorder="1" applyAlignment="1">
      <alignment horizontal="left" indent="1"/>
    </xf>
    <xf numFmtId="0" fontId="1" fillId="42" borderId="36" xfId="0" applyFont="1" applyFill="1" applyBorder="1" applyAlignment="1">
      <alignment horizontal="left"/>
    </xf>
    <xf numFmtId="183" fontId="1" fillId="42" borderId="36" xfId="24" applyNumberFormat="1" applyFont="1" applyFill="1" applyBorder="1"/>
    <xf numFmtId="183" fontId="1" fillId="42" borderId="36" xfId="0" applyNumberFormat="1" applyFont="1" applyFill="1" applyBorder="1" applyAlignment="1">
      <alignment horizontal="left" indent="1"/>
    </xf>
    <xf numFmtId="0" fontId="1" fillId="42" borderId="7" xfId="0" applyFont="1" applyFill="1" applyBorder="1"/>
    <xf numFmtId="183" fontId="1" fillId="42" borderId="7" xfId="0" applyNumberFormat="1" applyFont="1" applyFill="1" applyBorder="1"/>
    <xf numFmtId="0" fontId="0" fillId="42" borderId="0" xfId="0" applyFont="1" applyFill="1" applyBorder="1" applyAlignment="1">
      <alignment horizontal="left" indent="1"/>
    </xf>
    <xf numFmtId="183" fontId="0" fillId="42" borderId="0" xfId="0" applyNumberFormat="1" applyFont="1" applyFill="1" applyBorder="1" applyAlignment="1"/>
    <xf numFmtId="183" fontId="1" fillId="42" borderId="0" xfId="0" applyNumberFormat="1" applyFont="1" applyFill="1" applyBorder="1" applyAlignment="1">
      <alignment horizontal="left" indent="1"/>
    </xf>
    <xf numFmtId="183" fontId="1" fillId="42" borderId="0" xfId="24" applyNumberFormat="1" applyFont="1" applyFill="1" applyBorder="1"/>
    <xf numFmtId="0" fontId="1" fillId="42" borderId="0" xfId="0" applyFont="1" applyFill="1" applyBorder="1" applyAlignment="1">
      <alignment horizontal="left"/>
    </xf>
    <xf numFmtId="0" fontId="0" fillId="42" borderId="36" xfId="0" applyFont="1" applyFill="1" applyBorder="1" applyAlignment="1">
      <alignment horizontal="left" indent="2"/>
    </xf>
    <xf numFmtId="0" fontId="1" fillId="42" borderId="0" xfId="0" applyFont="1" applyFill="1"/>
    <xf numFmtId="0" fontId="3" fillId="42" borderId="11" xfId="0" applyFont="1" applyFill="1" applyBorder="1"/>
    <xf numFmtId="183" fontId="3" fillId="42" borderId="11" xfId="24" applyNumberFormat="1" applyFont="1" applyFill="1" applyBorder="1"/>
    <xf numFmtId="183" fontId="3" fillId="42" borderId="11" xfId="0" applyNumberFormat="1" applyFont="1" applyFill="1" applyBorder="1"/>
    <xf numFmtId="0" fontId="0" fillId="42" borderId="0" xfId="0" applyFont="1" applyFill="1" applyBorder="1"/>
    <xf numFmtId="183" fontId="3" fillId="42" borderId="0" xfId="0" applyNumberFormat="1" applyFont="1" applyFill="1" applyBorder="1"/>
    <xf numFmtId="183" fontId="3" fillId="42" borderId="0" xfId="24" applyNumberFormat="1" applyFont="1" applyFill="1" applyBorder="1"/>
    <xf numFmtId="41" fontId="1" fillId="42" borderId="0" xfId="0" applyNumberFormat="1" applyFont="1" applyFill="1" applyBorder="1"/>
    <xf numFmtId="41" fontId="1" fillId="42" borderId="0" xfId="0" applyNumberFormat="1" applyFont="1" applyFill="1"/>
    <xf numFmtId="0" fontId="0" fillId="42" borderId="0" xfId="0" applyFont="1" applyFill="1" applyBorder="1" applyAlignment="1">
      <alignment horizontal="left"/>
    </xf>
    <xf numFmtId="0" fontId="0" fillId="51" borderId="7" xfId="0" applyFill="1" applyBorder="1"/>
    <xf numFmtId="0" fontId="37" fillId="42" borderId="7" xfId="0" applyFont="1" applyFill="1" applyBorder="1"/>
    <xf numFmtId="182" fontId="37" fillId="42" borderId="7" xfId="0" applyNumberFormat="1" applyFont="1" applyFill="1" applyBorder="1"/>
    <xf numFmtId="182" fontId="37" fillId="42" borderId="7" xfId="0" applyNumberFormat="1" applyFont="1" applyFill="1" applyBorder="1" applyAlignment="1">
      <alignment horizontal="right"/>
    </xf>
    <xf numFmtId="0" fontId="27" fillId="42" borderId="7" xfId="0" applyFont="1" applyFill="1" applyBorder="1"/>
    <xf numFmtId="0" fontId="144" fillId="2" borderId="0" xfId="0" applyFont="1" applyFill="1" applyBorder="1"/>
    <xf numFmtId="0" fontId="28" fillId="2" borderId="0" xfId="0" applyFont="1" applyFill="1"/>
    <xf numFmtId="173" fontId="28" fillId="2" borderId="0" xfId="0" applyNumberFormat="1" applyFont="1" applyFill="1"/>
    <xf numFmtId="165" fontId="28" fillId="2" borderId="0" xfId="3" applyFont="1" applyFill="1"/>
    <xf numFmtId="165" fontId="4" fillId="2" borderId="33" xfId="3" applyFont="1" applyFill="1" applyBorder="1"/>
    <xf numFmtId="43" fontId="0" fillId="2" borderId="0" xfId="0" applyNumberFormat="1" applyFill="1"/>
    <xf numFmtId="0" fontId="0" fillId="2" borderId="0" xfId="0" quotePrefix="1" applyFill="1"/>
    <xf numFmtId="2" fontId="0" fillId="2" borderId="0" xfId="0" applyNumberFormat="1" applyFill="1"/>
    <xf numFmtId="9" fontId="0" fillId="0" borderId="0" xfId="0" applyNumberFormat="1" applyFont="1"/>
    <xf numFmtId="183" fontId="3" fillId="3" borderId="0" xfId="24" applyNumberFormat="1" applyFont="1" applyFill="1"/>
    <xf numFmtId="0" fontId="4" fillId="16" borderId="33" xfId="47" applyFont="1" applyFill="1" applyBorder="1" applyAlignment="1"/>
    <xf numFmtId="0" fontId="36" fillId="0" borderId="0" xfId="0" applyFont="1" applyAlignment="1">
      <alignment horizontal="left" indent="3"/>
    </xf>
    <xf numFmtId="0" fontId="36" fillId="0" borderId="0" xfId="0" applyFont="1" applyAlignment="1">
      <alignment horizontal="left" indent="4"/>
    </xf>
    <xf numFmtId="0" fontId="36" fillId="0" borderId="0" xfId="0" applyFont="1" applyAlignment="1">
      <alignment horizontal="left" indent="5"/>
    </xf>
    <xf numFmtId="0" fontId="36" fillId="0" borderId="0" xfId="0" applyFont="1" applyAlignment="1">
      <alignment horizontal="left" indent="6"/>
    </xf>
    <xf numFmtId="0" fontId="0" fillId="2" borderId="0" xfId="0" applyFont="1" applyFill="1" applyAlignment="1"/>
    <xf numFmtId="0" fontId="1" fillId="2" borderId="0" xfId="0" applyFont="1" applyFill="1" applyAlignment="1">
      <alignment vertical="top"/>
    </xf>
    <xf numFmtId="0" fontId="0" fillId="2" borderId="0" xfId="0" applyFont="1" applyFill="1" applyAlignment="1">
      <alignment vertical="top"/>
    </xf>
    <xf numFmtId="0" fontId="0" fillId="2" borderId="0" xfId="0" applyFill="1" applyAlignment="1"/>
    <xf numFmtId="0" fontId="2" fillId="2" borderId="0" xfId="0" applyFont="1" applyFill="1" applyAlignment="1"/>
    <xf numFmtId="0" fontId="2" fillId="2" borderId="0" xfId="0" applyFont="1" applyFill="1"/>
    <xf numFmtId="0" fontId="13" fillId="2" borderId="0" xfId="0" applyFont="1" applyFill="1" applyAlignment="1"/>
    <xf numFmtId="0" fontId="4" fillId="2" borderId="0" xfId="0" quotePrefix="1" applyFont="1" applyFill="1" applyAlignment="1"/>
    <xf numFmtId="0" fontId="1" fillId="2" borderId="0" xfId="0" applyFont="1" applyFill="1" applyAlignment="1"/>
    <xf numFmtId="0" fontId="0" fillId="2" borderId="0" xfId="0" applyFont="1" applyFill="1" applyAlignment="1">
      <alignment horizontal="left" vertical="top"/>
    </xf>
    <xf numFmtId="0" fontId="4" fillId="2" borderId="0" xfId="0" applyFont="1" applyFill="1" applyAlignment="1"/>
    <xf numFmtId="0" fontId="146" fillId="2" borderId="0" xfId="0" applyFont="1" applyFill="1" applyAlignment="1"/>
    <xf numFmtId="0" fontId="0" fillId="2" borderId="37" xfId="0" applyFill="1" applyBorder="1"/>
    <xf numFmtId="173" fontId="0" fillId="2" borderId="37" xfId="3" applyNumberFormat="1" applyFont="1" applyFill="1" applyBorder="1"/>
    <xf numFmtId="183" fontId="0" fillId="2" borderId="37" xfId="0" applyNumberFormat="1" applyFill="1" applyBorder="1"/>
    <xf numFmtId="173" fontId="0" fillId="2" borderId="0" xfId="3" applyNumberFormat="1" applyFont="1" applyFill="1" applyAlignment="1">
      <alignment horizontal="left"/>
    </xf>
    <xf numFmtId="0" fontId="0" fillId="2" borderId="0" xfId="0" applyFill="1" applyAlignment="1">
      <alignment horizontal="left" indent="1"/>
    </xf>
    <xf numFmtId="0" fontId="0" fillId="2" borderId="37" xfId="0" applyFill="1" applyBorder="1" applyAlignment="1">
      <alignment horizontal="left" indent="1"/>
    </xf>
    <xf numFmtId="173" fontId="0" fillId="2" borderId="0" xfId="3" applyNumberFormat="1" applyFont="1" applyFill="1" applyBorder="1"/>
    <xf numFmtId="173" fontId="0" fillId="2" borderId="0" xfId="3" applyNumberFormat="1" applyFont="1" applyFill="1" applyBorder="1" applyAlignment="1">
      <alignment horizontal="left"/>
    </xf>
    <xf numFmtId="183" fontId="0" fillId="2" borderId="0" xfId="0" applyNumberFormat="1" applyFill="1" applyBorder="1"/>
    <xf numFmtId="0" fontId="0" fillId="13" borderId="37" xfId="0" applyFill="1" applyBorder="1"/>
    <xf numFmtId="173" fontId="0" fillId="2" borderId="71" xfId="3" applyNumberFormat="1" applyFont="1" applyFill="1" applyBorder="1"/>
    <xf numFmtId="0" fontId="0" fillId="2" borderId="71" xfId="0" applyFill="1" applyBorder="1"/>
    <xf numFmtId="183" fontId="0" fillId="2" borderId="71" xfId="0" applyNumberFormat="1" applyFill="1" applyBorder="1"/>
    <xf numFmtId="0" fontId="3" fillId="2" borderId="0" xfId="0" applyFont="1" applyFill="1" applyAlignment="1">
      <alignment horizontal="center"/>
    </xf>
    <xf numFmtId="165" fontId="4" fillId="0" borderId="0" xfId="3" applyFont="1" applyFill="1" applyBorder="1"/>
    <xf numFmtId="173" fontId="4" fillId="16" borderId="33" xfId="3" applyNumberFormat="1" applyFont="1" applyFill="1" applyBorder="1"/>
    <xf numFmtId="0" fontId="4" fillId="0" borderId="0" xfId="47" applyFont="1" applyFill="1" applyBorder="1"/>
    <xf numFmtId="0" fontId="3" fillId="0" borderId="10" xfId="0" applyFont="1" applyFill="1" applyBorder="1"/>
    <xf numFmtId="0" fontId="3" fillId="0" borderId="11" xfId="0" applyFont="1" applyFill="1" applyBorder="1"/>
    <xf numFmtId="0" fontId="24" fillId="0" borderId="0" xfId="0" applyFont="1" applyFill="1" applyAlignment="1">
      <alignment horizontal="left"/>
    </xf>
    <xf numFmtId="0" fontId="0" fillId="0" borderId="0" xfId="0" applyFill="1" applyAlignment="1">
      <alignment vertical="center"/>
    </xf>
    <xf numFmtId="165" fontId="0" fillId="0" borderId="1" xfId="3" applyFont="1" applyFill="1" applyBorder="1"/>
    <xf numFmtId="165" fontId="0" fillId="0" borderId="2" xfId="3" applyFont="1" applyFill="1" applyBorder="1"/>
    <xf numFmtId="165" fontId="0" fillId="0" borderId="3" xfId="3" applyFont="1" applyFill="1" applyBorder="1"/>
    <xf numFmtId="165" fontId="0" fillId="0" borderId="4" xfId="3" applyFont="1" applyFill="1" applyBorder="1"/>
    <xf numFmtId="165" fontId="0" fillId="0" borderId="5" xfId="3" applyFont="1" applyFill="1" applyBorder="1"/>
    <xf numFmtId="165" fontId="0" fillId="0" borderId="7" xfId="3" applyFont="1" applyFill="1" applyBorder="1"/>
    <xf numFmtId="165" fontId="2" fillId="0" borderId="7" xfId="3" applyFont="1" applyFill="1" applyBorder="1"/>
    <xf numFmtId="0" fontId="3" fillId="0" borderId="12" xfId="0" applyFont="1" applyFill="1" applyBorder="1"/>
    <xf numFmtId="0" fontId="3" fillId="0" borderId="9" xfId="0" applyFont="1" applyFill="1" applyBorder="1"/>
    <xf numFmtId="165" fontId="0" fillId="0" borderId="14" xfId="3" applyFont="1" applyFill="1" applyBorder="1"/>
    <xf numFmtId="165" fontId="0" fillId="0" borderId="13" xfId="3" applyFont="1" applyFill="1" applyBorder="1"/>
    <xf numFmtId="0" fontId="0" fillId="0" borderId="13" xfId="0" applyFont="1" applyFill="1" applyBorder="1"/>
    <xf numFmtId="0" fontId="0" fillId="0" borderId="13" xfId="0" applyFill="1" applyBorder="1"/>
    <xf numFmtId="0" fontId="0" fillId="0" borderId="15" xfId="0" applyFont="1" applyFill="1" applyBorder="1"/>
    <xf numFmtId="0" fontId="0" fillId="0" borderId="15" xfId="0" applyFill="1" applyBorder="1"/>
    <xf numFmtId="165" fontId="127" fillId="16" borderId="33" xfId="47" applyNumberFormat="1" applyFont="1" applyFill="1" applyBorder="1"/>
    <xf numFmtId="0" fontId="0" fillId="7" borderId="33" xfId="47" applyFont="1" applyFill="1" applyBorder="1"/>
    <xf numFmtId="0" fontId="4" fillId="21" borderId="0" xfId="0" applyFont="1" applyFill="1"/>
    <xf numFmtId="0" fontId="4" fillId="7" borderId="33" xfId="47" applyFont="1" applyFill="1" applyBorder="1"/>
    <xf numFmtId="1" fontId="4" fillId="14" borderId="31" xfId="50" applyNumberFormat="1" applyFont="1" applyFill="1" applyBorder="1"/>
    <xf numFmtId="1" fontId="4" fillId="0" borderId="0" xfId="0" applyNumberFormat="1" applyFont="1"/>
    <xf numFmtId="0" fontId="1" fillId="7" borderId="33" xfId="47" applyFont="1" applyFill="1" applyBorder="1"/>
    <xf numFmtId="0" fontId="20" fillId="7" borderId="33" xfId="47" applyFont="1" applyFill="1" applyBorder="1"/>
    <xf numFmtId="0" fontId="30" fillId="50" borderId="33" xfId="47" applyNumberFormat="1" applyFont="1" applyFill="1" applyBorder="1"/>
    <xf numFmtId="165" fontId="30" fillId="50" borderId="33" xfId="47" applyNumberFormat="1" applyFont="1" applyFill="1" applyBorder="1"/>
    <xf numFmtId="0" fontId="19" fillId="11" borderId="0" xfId="1" applyNumberFormat="1" applyFont="1" applyFill="1" applyBorder="1" applyAlignment="1">
      <alignment horizontal="right"/>
    </xf>
    <xf numFmtId="0" fontId="4" fillId="40" borderId="0" xfId="0" applyFont="1" applyFill="1"/>
    <xf numFmtId="165" fontId="4" fillId="14" borderId="31" xfId="1" applyNumberFormat="1" applyFont="1" applyFill="1" applyBorder="1"/>
    <xf numFmtId="0" fontId="4" fillId="13" borderId="0" xfId="0" applyFont="1" applyFill="1"/>
    <xf numFmtId="0" fontId="52" fillId="51" borderId="0" xfId="0" applyFont="1" applyFill="1" applyAlignment="1"/>
    <xf numFmtId="173" fontId="0" fillId="2" borderId="0" xfId="0" applyNumberFormat="1" applyFill="1"/>
    <xf numFmtId="165" fontId="127" fillId="16" borderId="33" xfId="3" applyFont="1" applyFill="1" applyBorder="1"/>
    <xf numFmtId="165" fontId="1" fillId="0" borderId="0" xfId="3" applyFont="1" applyBorder="1"/>
    <xf numFmtId="0" fontId="59" fillId="28" borderId="0" xfId="0" applyFont="1" applyFill="1" applyAlignment="1">
      <alignment horizontal="left" vertical="top" wrapText="1"/>
    </xf>
    <xf numFmtId="0" fontId="0" fillId="0" borderId="50" xfId="0" applyBorder="1" applyAlignment="1">
      <alignment horizontal="center"/>
    </xf>
    <xf numFmtId="0" fontId="0" fillId="0" borderId="51" xfId="0" applyBorder="1" applyAlignment="1">
      <alignment horizontal="center"/>
    </xf>
    <xf numFmtId="0" fontId="0" fillId="0" borderId="0" xfId="0" applyFill="1" applyAlignment="1">
      <alignment wrapText="1"/>
    </xf>
    <xf numFmtId="0" fontId="0" fillId="0" borderId="0" xfId="0" applyFill="1" applyAlignment="1">
      <alignment horizontal="left" wrapText="1"/>
    </xf>
    <xf numFmtId="0" fontId="0" fillId="0" borderId="0" xfId="0" applyAlignment="1">
      <alignment horizontal="center" wrapText="1"/>
    </xf>
    <xf numFmtId="0" fontId="0" fillId="24" borderId="10" xfId="0" applyFill="1" applyBorder="1" applyAlignment="1">
      <alignment horizontal="center"/>
    </xf>
    <xf numFmtId="0" fontId="0" fillId="24" borderId="11" xfId="0" applyFill="1" applyBorder="1" applyAlignment="1">
      <alignment horizontal="center"/>
    </xf>
    <xf numFmtId="0" fontId="0" fillId="24" borderId="12" xfId="0" applyFill="1" applyBorder="1" applyAlignment="1">
      <alignment horizontal="center"/>
    </xf>
    <xf numFmtId="0" fontId="60" fillId="39" borderId="0" xfId="29" applyFont="1" applyFill="1" applyBorder="1" applyAlignment="1">
      <alignment horizontal="left" vertical="top" wrapText="1"/>
    </xf>
    <xf numFmtId="193" fontId="65" fillId="39" borderId="0" xfId="29" applyNumberFormat="1" applyFont="1" applyFill="1" applyBorder="1" applyAlignment="1">
      <alignment horizontal="left" vertical="top" wrapText="1"/>
    </xf>
    <xf numFmtId="0" fontId="61" fillId="39" borderId="0" xfId="29" applyFill="1" applyBorder="1" applyAlignment="1">
      <alignment horizontal="left" vertical="top" wrapText="1"/>
    </xf>
    <xf numFmtId="194" fontId="65" fillId="39" borderId="0" xfId="29" applyNumberFormat="1" applyFont="1" applyFill="1" applyBorder="1" applyAlignment="1">
      <alignment horizontal="left" vertical="top" wrapText="1"/>
    </xf>
    <xf numFmtId="0" fontId="66" fillId="39" borderId="0" xfId="29" applyFont="1" applyFill="1" applyBorder="1" applyAlignment="1">
      <alignment horizontal="left" vertical="top" wrapText="1"/>
    </xf>
    <xf numFmtId="195" fontId="67" fillId="39" borderId="0" xfId="29" applyNumberFormat="1" applyFont="1" applyFill="1" applyBorder="1" applyAlignment="1">
      <alignment horizontal="left" vertical="top" wrapText="1"/>
    </xf>
    <xf numFmtId="0" fontId="63" fillId="39" borderId="0" xfId="29" applyFont="1" applyFill="1" applyBorder="1" applyAlignment="1">
      <alignment horizontal="left" vertical="top" wrapText="1"/>
    </xf>
    <xf numFmtId="196" fontId="67" fillId="39" borderId="0" xfId="29" applyNumberFormat="1" applyFont="1" applyFill="1" applyBorder="1" applyAlignment="1">
      <alignment horizontal="left" vertical="top" wrapText="1"/>
    </xf>
    <xf numFmtId="0" fontId="66" fillId="39" borderId="0" xfId="29" applyFont="1" applyFill="1" applyBorder="1" applyAlignment="1">
      <alignment horizontal="center" vertical="top" wrapText="1"/>
    </xf>
    <xf numFmtId="197" fontId="67" fillId="39" borderId="0" xfId="29" applyNumberFormat="1" applyFont="1" applyFill="1" applyBorder="1" applyAlignment="1">
      <alignment horizontal="left" vertical="top" wrapText="1"/>
    </xf>
    <xf numFmtId="198" fontId="67" fillId="39" borderId="0" xfId="29" applyNumberFormat="1" applyFont="1" applyFill="1" applyBorder="1" applyAlignment="1">
      <alignment horizontal="left" vertical="top" wrapText="1"/>
    </xf>
    <xf numFmtId="0" fontId="68" fillId="39" borderId="0" xfId="29" applyFont="1" applyFill="1" applyBorder="1" applyAlignment="1">
      <alignment horizontal="left" vertical="top" wrapText="1"/>
    </xf>
    <xf numFmtId="199" fontId="65" fillId="39" borderId="0" xfId="29" applyNumberFormat="1" applyFont="1" applyFill="1" applyBorder="1" applyAlignment="1">
      <alignment horizontal="left" vertical="top" wrapText="1"/>
    </xf>
    <xf numFmtId="198" fontId="65" fillId="39" borderId="0" xfId="29" applyNumberFormat="1" applyFont="1" applyFill="1" applyBorder="1" applyAlignment="1">
      <alignment horizontal="left" vertical="top" wrapText="1"/>
    </xf>
    <xf numFmtId="195" fontId="65" fillId="39" borderId="0" xfId="29" applyNumberFormat="1" applyFont="1" applyFill="1" applyBorder="1" applyAlignment="1">
      <alignment horizontal="left" vertical="top" wrapText="1"/>
    </xf>
    <xf numFmtId="193" fontId="67" fillId="39" borderId="0" xfId="29" applyNumberFormat="1" applyFont="1" applyFill="1" applyBorder="1" applyAlignment="1">
      <alignment horizontal="left" vertical="top" wrapText="1"/>
    </xf>
    <xf numFmtId="199" fontId="67" fillId="39" borderId="0" xfId="29" applyNumberFormat="1" applyFont="1" applyFill="1" applyBorder="1" applyAlignment="1">
      <alignment horizontal="left" vertical="top" wrapText="1"/>
    </xf>
    <xf numFmtId="0" fontId="62" fillId="39" borderId="0" xfId="29" applyFont="1" applyFill="1" applyBorder="1" applyAlignment="1">
      <alignment horizontal="left" vertical="top" wrapText="1"/>
    </xf>
    <xf numFmtId="0" fontId="68" fillId="39" borderId="0" xfId="29" applyFont="1" applyFill="1" applyBorder="1" applyAlignment="1">
      <alignment horizontal="center" vertical="top" wrapText="1"/>
    </xf>
    <xf numFmtId="0" fontId="62" fillId="39" borderId="0" xfId="29" applyFont="1" applyFill="1" applyBorder="1" applyAlignment="1">
      <alignment horizontal="left" vertical="center" wrapText="1"/>
    </xf>
    <xf numFmtId="195" fontId="69" fillId="39" borderId="0" xfId="29" applyNumberFormat="1" applyFont="1" applyFill="1" applyBorder="1" applyAlignment="1">
      <alignment horizontal="left" vertical="top" wrapText="1"/>
    </xf>
    <xf numFmtId="0" fontId="61" fillId="39" borderId="0" xfId="29" applyFill="1" applyBorder="1" applyAlignment="1">
      <alignment horizontal="center" vertical="top" wrapText="1"/>
    </xf>
    <xf numFmtId="195" fontId="67" fillId="39" borderId="0" xfId="29" applyNumberFormat="1" applyFont="1" applyFill="1" applyBorder="1" applyAlignment="1">
      <alignment horizontal="left" vertical="center" wrapText="1"/>
    </xf>
    <xf numFmtId="195" fontId="65" fillId="39" borderId="0" xfId="29" applyNumberFormat="1" applyFont="1" applyFill="1" applyBorder="1" applyAlignment="1">
      <alignment horizontal="left" vertical="center" wrapText="1"/>
    </xf>
    <xf numFmtId="195" fontId="70" fillId="39" borderId="0" xfId="29" applyNumberFormat="1" applyFont="1" applyFill="1" applyBorder="1" applyAlignment="1">
      <alignment horizontal="left" vertical="top" wrapText="1"/>
    </xf>
    <xf numFmtId="197" fontId="65" fillId="39" borderId="0" xfId="29" applyNumberFormat="1" applyFont="1" applyFill="1" applyBorder="1" applyAlignment="1">
      <alignment horizontal="left" vertical="top" wrapText="1"/>
    </xf>
    <xf numFmtId="199" fontId="65" fillId="39" borderId="0" xfId="29" applyNumberFormat="1" applyFont="1" applyFill="1" applyBorder="1" applyAlignment="1">
      <alignment horizontal="left" vertical="center" wrapText="1"/>
    </xf>
    <xf numFmtId="197" fontId="67" fillId="39" borderId="0" xfId="29" applyNumberFormat="1" applyFont="1" applyFill="1" applyBorder="1" applyAlignment="1">
      <alignment horizontal="left" vertical="center" wrapText="1"/>
    </xf>
    <xf numFmtId="198" fontId="65" fillId="39" borderId="0" xfId="29" applyNumberFormat="1" applyFont="1" applyFill="1" applyBorder="1" applyAlignment="1">
      <alignment horizontal="left" vertical="center" wrapText="1"/>
    </xf>
    <xf numFmtId="199" fontId="71" fillId="39" borderId="0" xfId="29" applyNumberFormat="1" applyFont="1" applyFill="1" applyBorder="1" applyAlignment="1">
      <alignment horizontal="left" vertical="top" wrapText="1"/>
    </xf>
    <xf numFmtId="195" fontId="71" fillId="39" borderId="0" xfId="29" applyNumberFormat="1" applyFont="1" applyFill="1" applyBorder="1" applyAlignment="1">
      <alignment horizontal="left" vertical="center" wrapText="1"/>
    </xf>
    <xf numFmtId="200" fontId="71" fillId="39" borderId="0" xfId="29" applyNumberFormat="1" applyFont="1" applyFill="1" applyBorder="1" applyAlignment="1">
      <alignment horizontal="left" vertical="center" wrapText="1"/>
    </xf>
    <xf numFmtId="0" fontId="73" fillId="39" borderId="0" xfId="29" applyFont="1" applyFill="1" applyBorder="1" applyAlignment="1">
      <alignment horizontal="left" vertical="top" wrapText="1"/>
    </xf>
    <xf numFmtId="195" fontId="71" fillId="39" borderId="0" xfId="29" applyNumberFormat="1" applyFont="1" applyFill="1" applyBorder="1" applyAlignment="1">
      <alignment horizontal="left" vertical="top" wrapText="1"/>
    </xf>
    <xf numFmtId="195" fontId="74" fillId="39" borderId="0" xfId="29" applyNumberFormat="1" applyFont="1" applyFill="1" applyBorder="1" applyAlignment="1">
      <alignment horizontal="left" vertical="top" wrapText="1"/>
    </xf>
    <xf numFmtId="200" fontId="72" fillId="39" borderId="0" xfId="29" applyNumberFormat="1" applyFont="1" applyFill="1" applyBorder="1" applyAlignment="1">
      <alignment horizontal="left" vertical="top" wrapText="1"/>
    </xf>
    <xf numFmtId="195" fontId="72" fillId="39" borderId="0" xfId="29" applyNumberFormat="1" applyFont="1" applyFill="1" applyBorder="1" applyAlignment="1">
      <alignment horizontal="left" vertical="center" wrapText="1"/>
    </xf>
    <xf numFmtId="195" fontId="75" fillId="39" borderId="0" xfId="29" applyNumberFormat="1" applyFont="1" applyFill="1" applyBorder="1" applyAlignment="1">
      <alignment horizontal="left" vertical="top" wrapText="1"/>
    </xf>
    <xf numFmtId="197" fontId="72" fillId="39" borderId="63" xfId="29" applyNumberFormat="1" applyFont="1" applyFill="1" applyBorder="1" applyAlignment="1">
      <alignment horizontal="left" vertical="top" wrapText="1"/>
    </xf>
    <xf numFmtId="195" fontId="71" fillId="39" borderId="63" xfId="29" applyNumberFormat="1" applyFont="1" applyFill="1" applyBorder="1" applyAlignment="1">
      <alignment horizontal="left" vertical="top" wrapText="1"/>
    </xf>
    <xf numFmtId="198" fontId="71" fillId="39" borderId="63" xfId="29" applyNumberFormat="1" applyFont="1" applyFill="1" applyBorder="1" applyAlignment="1">
      <alignment horizontal="left" vertical="top" wrapText="1"/>
    </xf>
    <xf numFmtId="198" fontId="75" fillId="39" borderId="63" xfId="29" applyNumberFormat="1" applyFont="1" applyFill="1" applyBorder="1" applyAlignment="1">
      <alignment horizontal="left" vertical="top" wrapText="1"/>
    </xf>
  </cellXfs>
  <cellStyles count="63">
    <cellStyle name="=C:\WINNT35\SYSTEM32\COMMAND.COM" xfId="7" xr:uid="{00000000-0005-0000-0000-000000000000}"/>
    <cellStyle name="0,0_x000d__x000a_NA_x000d__x000a_" xfId="37" xr:uid="{00000000-0005-0000-0000-000001000000}"/>
    <cellStyle name="20% - Accent2" xfId="20" builtinId="34"/>
    <cellStyle name="20% - Accent6" xfId="21" builtinId="50"/>
    <cellStyle name="Accent2" xfId="19" builtinId="33"/>
    <cellStyle name="Berekening" xfId="23" xr:uid="{00000000-0005-0000-0000-000005000000}"/>
    <cellStyle name="Check Cell" xfId="38" builtinId="23"/>
    <cellStyle name="Check Cell 2" xfId="62" xr:uid="{00000000-0005-0000-0000-000006000000}"/>
    <cellStyle name="Comma" xfId="3" builtinId="3"/>
    <cellStyle name="Comma 2" xfId="24" xr:uid="{00000000-0005-0000-0000-000007000000}"/>
    <cellStyle name="Comma 2 2" xfId="35" xr:uid="{00000000-0005-0000-0000-000008000000}"/>
    <cellStyle name="Comma 2 3" xfId="32" xr:uid="{00000000-0005-0000-0000-000009000000}"/>
    <cellStyle name="Comma 3" xfId="57" xr:uid="{00000000-0005-0000-0000-00000A000000}"/>
    <cellStyle name="Comma 4" xfId="58" xr:uid="{00000000-0005-0000-0000-00000B000000}"/>
    <cellStyle name="Currency" xfId="4" builtinId="4"/>
    <cellStyle name="EF_DataInput" xfId="6" xr:uid="{00000000-0005-0000-0000-00000D000000}"/>
    <cellStyle name="EF_NamedRange" xfId="5" xr:uid="{00000000-0005-0000-0000-00000E000000}"/>
    <cellStyle name="Gekoppelde cel" xfId="39" xr:uid="{00000000-0005-0000-0000-00000F000000}"/>
    <cellStyle name="Goed" xfId="40" xr:uid="{00000000-0005-0000-0000-000010000000}"/>
    <cellStyle name="Hyperlink" xfId="2" builtinId="8"/>
    <cellStyle name="Input" xfId="41" builtinId="20"/>
    <cellStyle name="Input 2" xfId="54" xr:uid="{00000000-0005-0000-0000-000012000000}"/>
    <cellStyle name="Komma 2" xfId="8" xr:uid="{00000000-0005-0000-0000-000015000000}"/>
    <cellStyle name="Komma 2 2" xfId="59" xr:uid="{00000000-0005-0000-0000-000016000000}"/>
    <cellStyle name="Komma 3" xfId="18" xr:uid="{00000000-0005-0000-0000-000017000000}"/>
    <cellStyle name="Komma 3 2" xfId="60" xr:uid="{00000000-0005-0000-0000-000018000000}"/>
    <cellStyle name="Komma 4" xfId="22" xr:uid="{00000000-0005-0000-0000-000019000000}"/>
    <cellStyle name="Komma 4 2" xfId="28" xr:uid="{00000000-0005-0000-0000-00001A000000}"/>
    <cellStyle name="Komma 4 2 2" xfId="56" xr:uid="{00000000-0005-0000-0000-00001B000000}"/>
    <cellStyle name="Kop 1" xfId="42" xr:uid="{00000000-0005-0000-0000-00001C000000}"/>
    <cellStyle name="Kop 2" xfId="43" xr:uid="{00000000-0005-0000-0000-00001D000000}"/>
    <cellStyle name="Kop 3" xfId="44" xr:uid="{00000000-0005-0000-0000-00001E000000}"/>
    <cellStyle name="Kop 4" xfId="45" xr:uid="{00000000-0005-0000-0000-00001F000000}"/>
    <cellStyle name="Neutraal" xfId="46" xr:uid="{00000000-0005-0000-0000-000020000000}"/>
    <cellStyle name="Neutral 2" xfId="25" xr:uid="{00000000-0005-0000-0000-000021000000}"/>
    <cellStyle name="Normal" xfId="0" builtinId="0"/>
    <cellStyle name="Normal 2" xfId="9" xr:uid="{00000000-0005-0000-0000-000022000000}"/>
    <cellStyle name="Normal 2 2" xfId="10" xr:uid="{00000000-0005-0000-0000-000023000000}"/>
    <cellStyle name="Normal 2 3" xfId="53" xr:uid="{00000000-0005-0000-0000-000024000000}"/>
    <cellStyle name="Normal 2 4" xfId="31" xr:uid="{00000000-0005-0000-0000-000025000000}"/>
    <cellStyle name="Normal 3" xfId="11" xr:uid="{00000000-0005-0000-0000-000026000000}"/>
    <cellStyle name="Normal 3 2" xfId="27" xr:uid="{00000000-0005-0000-0000-000027000000}"/>
    <cellStyle name="Normal 3 3" xfId="36" xr:uid="{00000000-0005-0000-0000-000028000000}"/>
    <cellStyle name="Normal 4" xfId="29" xr:uid="{00000000-0005-0000-0000-000029000000}"/>
    <cellStyle name="Normal 9" xfId="12" xr:uid="{00000000-0005-0000-0000-00002A000000}"/>
    <cellStyle name="Note" xfId="47" builtinId="10"/>
    <cellStyle name="Note 2" xfId="55" xr:uid="{00000000-0005-0000-0000-00002B000000}"/>
    <cellStyle name="Notitie 2" xfId="30" xr:uid="{00000000-0005-0000-0000-00002D000000}"/>
    <cellStyle name="Ongeldig" xfId="48" xr:uid="{00000000-0005-0000-0000-00002E000000}"/>
    <cellStyle name="Output" xfId="50" builtinId="21"/>
    <cellStyle name="Output 2" xfId="61" xr:uid="{00000000-0005-0000-0000-00002F000000}"/>
    <cellStyle name="Percent" xfId="1" builtinId="5"/>
    <cellStyle name="Percent 2" xfId="33" xr:uid="{00000000-0005-0000-0000-000030000000}"/>
    <cellStyle name="Percent 3" xfId="34" xr:uid="{00000000-0005-0000-0000-000031000000}"/>
    <cellStyle name="Standaard 2 2" xfId="13" xr:uid="{00000000-0005-0000-0000-000034000000}"/>
    <cellStyle name="Standaard 4" xfId="14" xr:uid="{00000000-0005-0000-0000-000035000000}"/>
    <cellStyle name="Standaard 5" xfId="15" xr:uid="{00000000-0005-0000-0000-000036000000}"/>
    <cellStyle name="Stijl 1" xfId="16" xr:uid="{00000000-0005-0000-0000-000037000000}"/>
    <cellStyle name="Titel" xfId="49" xr:uid="{00000000-0005-0000-0000-000038000000}"/>
    <cellStyle name="Totaal" xfId="26" xr:uid="{00000000-0005-0000-0000-000039000000}"/>
    <cellStyle name="Valuta 2" xfId="17" xr:uid="{00000000-0005-0000-0000-00003C000000}"/>
    <cellStyle name="Verklarende tekst" xfId="51" xr:uid="{00000000-0005-0000-0000-00003D000000}"/>
    <cellStyle name="Waarschuwingstekst" xfId="52" xr:uid="{00000000-0005-0000-0000-00003E000000}"/>
  </cellStyles>
  <dxfs count="1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ont>
        <color theme="0" tint="-0.14996795556505021"/>
      </font>
      <fill>
        <patternFill>
          <bgColor theme="0" tint="-4.9989318521683403E-2"/>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0" tint="-0.34998626667073579"/>
        </patternFill>
      </fill>
    </dxf>
    <dxf>
      <fill>
        <patternFill>
          <bgColor theme="1"/>
        </patternFill>
      </fill>
    </dxf>
  </dxfs>
  <tableStyles count="0" defaultTableStyle="TableStyleMedium2" defaultPivotStyle="PivotStyleLight16"/>
  <colors>
    <mruColors>
      <color rgb="FFFF0000"/>
      <color rgb="FF960000"/>
      <color rgb="FFCC0000"/>
      <color rgb="FFFF9999"/>
      <color rgb="FFFF8585"/>
      <color rgb="FFFFAA00"/>
      <color rgb="FFFFFFCC"/>
      <color rgb="FFCCECFF"/>
      <color rgb="FF843C0C"/>
      <color rgb="FFC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openxmlformats.org/officeDocument/2006/relationships/chartUserShapes" Target="../drawings/drawing4.xml"/><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5831028339534834E-2"/>
          <c:y val="0.10506610584114426"/>
          <c:w val="0.63607176695952361"/>
          <c:h val="0.77798172900878848"/>
        </c:manualLayout>
      </c:layout>
      <c:barChart>
        <c:barDir val="col"/>
        <c:grouping val="stacked"/>
        <c:varyColors val="0"/>
        <c:ser>
          <c:idx val="5"/>
          <c:order val="0"/>
          <c:tx>
            <c:strRef>
              <c:f>Output!$E$306</c:f>
              <c:strCache>
                <c:ptCount val="1"/>
                <c:pt idx="0">
                  <c:v>Investments (CAPEX)</c:v>
                </c:pt>
              </c:strCache>
            </c:strRef>
          </c:tx>
          <c:spPr>
            <a:solidFill>
              <a:srgbClr val="FF9999"/>
            </a:solidFill>
          </c:spPr>
          <c:invertIfNegative val="0"/>
          <c:dLbls>
            <c:dLbl>
              <c:idx val="0"/>
              <c:layout>
                <c:manualLayout>
                  <c:x val="-8.1346238945549279E-2"/>
                  <c:y val="-1.154644911459418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D13-4505-A0BD-4EFA4EC1323D}"/>
                </c:ext>
              </c:extLst>
            </c:dLbl>
            <c:dLbl>
              <c:idx val="2"/>
              <c:layout>
                <c:manualLayout>
                  <c:x val="0.11553523792266408"/>
                  <c:y val="4.907263602933081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D13-4505-A0BD-4EFA4EC1323D}"/>
                </c:ext>
              </c:extLst>
            </c:dLbl>
            <c:spPr>
              <a:noFill/>
              <a:ln>
                <a:noFill/>
              </a:ln>
              <a:effectLst/>
            </c:spPr>
            <c:txPr>
              <a:bodyPr wrap="square" lIns="38100" tIns="19050" rIns="38100" bIns="19050" anchor="ctr">
                <a:spAutoFit/>
              </a:bodyPr>
              <a:lstStyle/>
              <a:p>
                <a:pPr>
                  <a:defRPr sz="2000">
                    <a:ln>
                      <a:solidFill>
                        <a:schemeClr val="bg1">
                          <a:lumMod val="75000"/>
                        </a:schemeClr>
                      </a:solidFill>
                    </a:ln>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Output!$F$306:$F$308</c:f>
              <c:strCache>
                <c:ptCount val="3"/>
                <c:pt idx="0">
                  <c:v>Electrification</c:v>
                </c:pt>
                <c:pt idx="1">
                  <c:v>CCS</c:v>
                </c:pt>
                <c:pt idx="2">
                  <c:v>Large H2</c:v>
                </c:pt>
              </c:strCache>
            </c:strRef>
          </c:cat>
          <c:val>
            <c:numRef>
              <c:f>Output!$G$306:$G$308</c:f>
              <c:numCache>
                <c:formatCode>"€"#,##0</c:formatCode>
                <c:ptCount val="3"/>
                <c:pt idx="0">
                  <c:v>-48.226466393039296</c:v>
                </c:pt>
                <c:pt idx="1">
                  <c:v>-68.329549208789572</c:v>
                </c:pt>
                <c:pt idx="2">
                  <c:v>-83.4813651909501</c:v>
                </c:pt>
              </c:numCache>
            </c:numRef>
          </c:val>
          <c:extLst>
            <c:ext xmlns:c16="http://schemas.microsoft.com/office/drawing/2014/chart" uri="{C3380CC4-5D6E-409C-BE32-E72D297353CC}">
              <c16:uniqueId val="{00000000-F139-47A9-930C-4A7DB6FA2098}"/>
            </c:ext>
          </c:extLst>
        </c:ser>
        <c:ser>
          <c:idx val="2"/>
          <c:order val="1"/>
          <c:tx>
            <c:strRef>
              <c:f>Output!$E$309</c:f>
              <c:strCache>
                <c:ptCount val="1"/>
                <c:pt idx="0">
                  <c:v>Exploitation (OPEX)</c:v>
                </c:pt>
              </c:strCache>
            </c:strRef>
          </c:tx>
          <c:spPr>
            <a:solidFill>
              <a:srgbClr val="960000"/>
            </a:solidFill>
          </c:spPr>
          <c:invertIfNegative val="0"/>
          <c:dLbls>
            <c:dLbl>
              <c:idx val="0"/>
              <c:layout>
                <c:manualLayout>
                  <c:x val="0"/>
                  <c:y val="-9.525820519540205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13-4505-A0BD-4EFA4EC1323D}"/>
                </c:ext>
              </c:extLst>
            </c:dLbl>
            <c:dLbl>
              <c:idx val="1"/>
              <c:layout>
                <c:manualLayout>
                  <c:x val="5.8946549960543371E-3"/>
                  <c:y val="-4.61857964583766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D13-4505-A0BD-4EFA4EC1323D}"/>
                </c:ext>
              </c:extLst>
            </c:dLbl>
            <c:dLbl>
              <c:idx val="2"/>
              <c:layout>
                <c:manualLayout>
                  <c:x val="0.10138806593213377"/>
                  <c:y val="-2.886612278648536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D13-4505-A0BD-4EFA4EC1323D}"/>
                </c:ext>
              </c:extLst>
            </c:dLbl>
            <c:spPr>
              <a:noFill/>
              <a:ln>
                <a:noFill/>
              </a:ln>
              <a:effectLst/>
            </c:spPr>
            <c:txPr>
              <a:bodyPr wrap="square" lIns="38100" tIns="19050" rIns="38100" bIns="19050" anchor="ctr">
                <a:spAutoFit/>
              </a:bodyPr>
              <a:lstStyle/>
              <a:p>
                <a:pPr>
                  <a:defRPr sz="1600">
                    <a:ln>
                      <a:solidFill>
                        <a:schemeClr val="bg1">
                          <a:lumMod val="75000"/>
                        </a:schemeClr>
                      </a:solidFill>
                    </a:ln>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Output!$F$306:$F$308</c:f>
              <c:strCache>
                <c:ptCount val="3"/>
                <c:pt idx="0">
                  <c:v>Electrification</c:v>
                </c:pt>
                <c:pt idx="1">
                  <c:v>CCS</c:v>
                </c:pt>
                <c:pt idx="2">
                  <c:v>Large H2</c:v>
                </c:pt>
              </c:strCache>
            </c:strRef>
          </c:cat>
          <c:val>
            <c:numRef>
              <c:f>Output!$G$309:$G$311</c:f>
              <c:numCache>
                <c:formatCode>"€"#,##0</c:formatCode>
                <c:ptCount val="3"/>
                <c:pt idx="0">
                  <c:v>-125.14772662004079</c:v>
                </c:pt>
                <c:pt idx="1">
                  <c:v>-31.856298721456206</c:v>
                </c:pt>
                <c:pt idx="2">
                  <c:v>-94.219268753351315</c:v>
                </c:pt>
              </c:numCache>
            </c:numRef>
          </c:val>
          <c:extLst>
            <c:ext xmlns:c16="http://schemas.microsoft.com/office/drawing/2014/chart" uri="{C3380CC4-5D6E-409C-BE32-E72D297353CC}">
              <c16:uniqueId val="{00000001-F139-47A9-930C-4A7DB6FA2098}"/>
            </c:ext>
          </c:extLst>
        </c:ser>
        <c:ser>
          <c:idx val="0"/>
          <c:order val="2"/>
          <c:tx>
            <c:strRef>
              <c:f>Output!$E$312</c:f>
              <c:strCache>
                <c:ptCount val="1"/>
                <c:pt idx="0">
                  <c:v>Revenues / avoided costs</c:v>
                </c:pt>
              </c:strCache>
            </c:strRef>
          </c:tx>
          <c:spPr>
            <a:solidFill>
              <a:srgbClr val="70AD47">
                <a:lumMod val="20000"/>
                <a:lumOff val="80000"/>
              </a:srgbClr>
            </a:solidFill>
          </c:spPr>
          <c:invertIfNegative val="0"/>
          <c:dLbls>
            <c:dLbl>
              <c:idx val="2"/>
              <c:layout>
                <c:manualLayout>
                  <c:x val="0"/>
                  <c:y val="-8.371175608080787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D13-4505-A0BD-4EFA4EC1323D}"/>
                </c:ext>
              </c:extLst>
            </c:dLbl>
            <c:numFmt formatCode="_-[$€-2]\ * #,##0_-;\-[$€-2]\ * #,##0_-;_-[$€-2]\ * &quot;-&quot;_-;_-@_-" sourceLinked="0"/>
            <c:spPr>
              <a:noFill/>
              <a:ln>
                <a:noFill/>
              </a:ln>
              <a:effectLst/>
            </c:spPr>
            <c:txPr>
              <a:bodyPr wrap="square" lIns="38100" tIns="19050" rIns="38100" bIns="19050" anchor="ctr">
                <a:spAutoFit/>
              </a:bodyPr>
              <a:lstStyle/>
              <a:p>
                <a:pPr>
                  <a:defRPr sz="1800">
                    <a:ln>
                      <a:solidFill>
                        <a:schemeClr val="bg1">
                          <a:lumMod val="75000"/>
                        </a:schemeClr>
                      </a:solidFill>
                    </a:ln>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Output!$F$306:$F$308</c:f>
              <c:strCache>
                <c:ptCount val="3"/>
                <c:pt idx="0">
                  <c:v>Electrification</c:v>
                </c:pt>
                <c:pt idx="1">
                  <c:v>CCS</c:v>
                </c:pt>
                <c:pt idx="2">
                  <c:v>Large H2</c:v>
                </c:pt>
              </c:strCache>
            </c:strRef>
          </c:cat>
          <c:val>
            <c:numRef>
              <c:f>Output!$G$312:$G$314</c:f>
              <c:numCache>
                <c:formatCode>"€"#,##0</c:formatCode>
                <c:ptCount val="3"/>
                <c:pt idx="0">
                  <c:v>474.7220593974173</c:v>
                </c:pt>
                <c:pt idx="1">
                  <c:v>300.27754322803685</c:v>
                </c:pt>
                <c:pt idx="2" formatCode="_ * #,##0_ ;[Red]_ * \-#,##0_ ;_ * &quot;-&quot;?_ ;_ @_ ">
                  <c:v>58.825792423478198</c:v>
                </c:pt>
              </c:numCache>
            </c:numRef>
          </c:val>
          <c:extLst>
            <c:ext xmlns:c16="http://schemas.microsoft.com/office/drawing/2014/chart" uri="{C3380CC4-5D6E-409C-BE32-E72D297353CC}">
              <c16:uniqueId val="{00000002-F139-47A9-930C-4A7DB6FA2098}"/>
            </c:ext>
          </c:extLst>
        </c:ser>
        <c:dLbls>
          <c:dLblPos val="ctr"/>
          <c:showLegendKey val="0"/>
          <c:showVal val="1"/>
          <c:showCatName val="0"/>
          <c:showSerName val="0"/>
          <c:showPercent val="0"/>
          <c:showBubbleSize val="0"/>
        </c:dLbls>
        <c:gapWidth val="150"/>
        <c:overlap val="100"/>
        <c:axId val="485934824"/>
        <c:axId val="485935152"/>
        <c:extLst/>
      </c:barChart>
      <c:catAx>
        <c:axId val="4859348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ln>
                  <a:solidFill>
                    <a:schemeClr val="bg1">
                      <a:lumMod val="50000"/>
                    </a:schemeClr>
                  </a:solidFill>
                </a:ln>
                <a:solidFill>
                  <a:sysClr val="windowText" lastClr="000000"/>
                </a:solidFill>
                <a:latin typeface="+mn-lt"/>
                <a:ea typeface="+mn-ea"/>
                <a:cs typeface="+mn-cs"/>
              </a:defRPr>
            </a:pPr>
            <a:endParaRPr lang="en-US"/>
          </a:p>
        </c:txPr>
        <c:crossAx val="485935152"/>
        <c:crosses val="autoZero"/>
        <c:auto val="1"/>
        <c:lblAlgn val="ctr"/>
        <c:lblOffset val="100"/>
        <c:noMultiLvlLbl val="0"/>
      </c:catAx>
      <c:valAx>
        <c:axId val="485935152"/>
        <c:scaling>
          <c:orientation val="minMax"/>
        </c:scaling>
        <c:delete val="0"/>
        <c:axPos val="l"/>
        <c:title>
          <c:tx>
            <c:rich>
              <a:bodyPr/>
              <a:lstStyle/>
              <a:p>
                <a:pPr>
                  <a:defRPr/>
                </a:pPr>
                <a:r>
                  <a:rPr lang="en-GB" sz="1800"/>
                  <a:t>Net</a:t>
                </a:r>
                <a:r>
                  <a:rPr lang="en-GB" sz="1800" baseline="0"/>
                  <a:t> Present Value [Million EUR]</a:t>
                </a:r>
                <a:endParaRPr lang="en-GB" sz="1800"/>
              </a:p>
            </c:rich>
          </c:tx>
          <c:overlay val="0"/>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485934824"/>
        <c:crosses val="autoZero"/>
        <c:crossBetween val="between"/>
      </c:valAx>
    </c:plotArea>
    <c:legend>
      <c:legendPos val="tr"/>
      <c:layout>
        <c:manualLayout>
          <c:xMode val="edge"/>
          <c:yMode val="edge"/>
          <c:x val="0.65973217441529475"/>
          <c:y val="0.18915040232763675"/>
          <c:w val="0.19995529742194526"/>
          <c:h val="0.1865932242794941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nchor="t" anchorCtr="0"/>
    <a:lstStyle/>
    <a:p>
      <a:pPr>
        <a:defRPr/>
      </a:pPr>
      <a:endParaRPr lang="en-US"/>
    </a:p>
  </c:txPr>
  <c:printSettings>
    <c:headerFooter/>
    <c:pageMargins b="0.75" l="0.7" r="0.7" t="0.75" header="0.3" footer="0.3"/>
    <c:pageSetup/>
  </c:printSettings>
  <c:userShapes r:id="rId2"/>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Output!$G$3</c:f>
          <c:strCache>
            <c:ptCount val="1"/>
            <c:pt idx="0">
              <c:v>P15 Scenario 1</c:v>
            </c:pt>
          </c:strCache>
        </c:strRef>
      </c:tx>
      <c:overlay val="0"/>
      <c:spPr>
        <a:noFill/>
        <a:ln>
          <a:noFill/>
        </a:ln>
        <a:effectLst/>
      </c:spPr>
      <c:txPr>
        <a:bodyPr rot="0" spcFirstLastPara="1" vertOverflow="ellipsis" vert="horz" wrap="square" anchor="ctr" anchorCtr="1"/>
        <a:lstStyle/>
        <a:p>
          <a:pPr>
            <a:defRPr sz="2400" b="1" i="0" u="none" strike="noStrike" kern="1200" spc="0" baseline="0">
              <a:ln>
                <a:noFill/>
              </a:ln>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5"/>
          <c:order val="5"/>
          <c:tx>
            <c:strRef>
              <c:f>Output!$F$389</c:f>
              <c:strCache>
                <c:ptCount val="1"/>
                <c:pt idx="0">
                  <c:v>Nr. of 40 ft container</c:v>
                </c:pt>
              </c:strCache>
            </c:strRef>
          </c:tx>
          <c:spPr>
            <a:solidFill>
              <a:schemeClr val="bg2"/>
            </a:solidFill>
            <a:ln>
              <a:noFill/>
            </a:ln>
            <a:effectLst/>
          </c:spPr>
          <c:invertIfNegative val="0"/>
          <c:cat>
            <c:numRef>
              <c:extLst>
                <c:ext xmlns:c15="http://schemas.microsoft.com/office/drawing/2012/chart" uri="{02D57815-91ED-43cb-92C2-25804820EDAC}">
                  <c15:fullRef>
                    <c15:sqref>Output!$J$6:$BE$6</c15:sqref>
                  </c15:fullRef>
                </c:ext>
              </c:extLst>
              <c:f>Output!$J$6:$AQ$6</c:f>
              <c:numCache>
                <c:formatCode>General</c:formatCode>
                <c:ptCount val="34"/>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numCache>
            </c:numRef>
          </c:cat>
          <c:val>
            <c:numRef>
              <c:extLst>
                <c:ext xmlns:c15="http://schemas.microsoft.com/office/drawing/2012/chart" uri="{02D57815-91ED-43cb-92C2-25804820EDAC}">
                  <c15:fullRef>
                    <c15:sqref>Output!$J$389:$BE$389</c15:sqref>
                  </c15:fullRef>
                </c:ext>
              </c:extLst>
              <c:f>Output!$J$389:$AQ$389</c:f>
              <c:numCache>
                <c:formatCode>General</c:formatCode>
                <c:ptCount val="34"/>
                <c:pt idx="0">
                  <c:v>0</c:v>
                </c:pt>
                <c:pt idx="1">
                  <c:v>0</c:v>
                </c:pt>
                <c:pt idx="2">
                  <c:v>0</c:v>
                </c:pt>
                <c:pt idx="3">
                  <c:v>0</c:v>
                </c:pt>
                <c:pt idx="4">
                  <c:v>4</c:v>
                </c:pt>
                <c:pt idx="5">
                  <c:v>4</c:v>
                </c:pt>
                <c:pt idx="6">
                  <c:v>4</c:v>
                </c:pt>
                <c:pt idx="7">
                  <c:v>4</c:v>
                </c:pt>
                <c:pt idx="8">
                  <c:v>7</c:v>
                </c:pt>
                <c:pt idx="9">
                  <c:v>7</c:v>
                </c:pt>
                <c:pt idx="10">
                  <c:v>7</c:v>
                </c:pt>
                <c:pt idx="11">
                  <c:v>7</c:v>
                </c:pt>
                <c:pt idx="12">
                  <c:v>7</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0</c:v>
                </c:pt>
              </c:numCache>
            </c:numRef>
          </c:val>
          <c:extLst>
            <c:ext xmlns:c16="http://schemas.microsoft.com/office/drawing/2014/chart" uri="{C3380CC4-5D6E-409C-BE32-E72D297353CC}">
              <c16:uniqueId val="{00000035-60A6-455C-859B-D5766F039BE4}"/>
            </c:ext>
          </c:extLst>
        </c:ser>
        <c:dLbls>
          <c:showLegendKey val="0"/>
          <c:showVal val="0"/>
          <c:showCatName val="0"/>
          <c:showSerName val="0"/>
          <c:showPercent val="0"/>
          <c:showBubbleSize val="0"/>
        </c:dLbls>
        <c:gapWidth val="150"/>
        <c:axId val="609595880"/>
        <c:axId val="609590632"/>
      </c:barChart>
      <c:lineChart>
        <c:grouping val="standard"/>
        <c:varyColors val="0"/>
        <c:ser>
          <c:idx val="0"/>
          <c:order val="0"/>
          <c:tx>
            <c:strRef>
              <c:f>Output!$E$388</c:f>
              <c:strCache>
                <c:ptCount val="1"/>
                <c:pt idx="0">
                  <c:v>Total required area</c:v>
                </c:pt>
              </c:strCache>
            </c:strRef>
          </c:tx>
          <c:spPr>
            <a:ln w="28575" cap="rnd">
              <a:solidFill>
                <a:srgbClr val="C00000"/>
              </a:solidFill>
              <a:round/>
            </a:ln>
            <a:effectLst/>
          </c:spPr>
          <c:marker>
            <c:symbol val="none"/>
          </c:marker>
          <c:cat>
            <c:numRef>
              <c:extLst>
                <c:ext xmlns:c15="http://schemas.microsoft.com/office/drawing/2012/chart" uri="{02D57815-91ED-43cb-92C2-25804820EDAC}">
                  <c15:fullRef>
                    <c15:sqref>Output!$J$6:$BE$6</c15:sqref>
                  </c15:fullRef>
                </c:ext>
              </c:extLst>
              <c:f>Output!$J$6:$AQ$6</c:f>
              <c:numCache>
                <c:formatCode>General</c:formatCode>
                <c:ptCount val="34"/>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numCache>
            </c:numRef>
          </c:cat>
          <c:val>
            <c:numRef>
              <c:extLst>
                <c:ext xmlns:c15="http://schemas.microsoft.com/office/drawing/2012/chart" uri="{02D57815-91ED-43cb-92C2-25804820EDAC}">
                  <c15:fullRef>
                    <c15:sqref>Output!$J$388:$BE$388</c15:sqref>
                  </c15:fullRef>
                </c:ext>
              </c:extLst>
              <c:f>Output!$J$388:$AQ$388</c:f>
              <c:numCache>
                <c:formatCode>_-* #,##0.00_-;\-* #,##0.00_-;_-* "-"??_-;_-@_-</c:formatCode>
                <c:ptCount val="34"/>
                <c:pt idx="0">
                  <c:v>0</c:v>
                </c:pt>
                <c:pt idx="1">
                  <c:v>0</c:v>
                </c:pt>
                <c:pt idx="2">
                  <c:v>0</c:v>
                </c:pt>
                <c:pt idx="3">
                  <c:v>0</c:v>
                </c:pt>
                <c:pt idx="4">
                  <c:v>198.67680265964393</c:v>
                </c:pt>
                <c:pt idx="5">
                  <c:v>198.67680265964393</c:v>
                </c:pt>
                <c:pt idx="6">
                  <c:v>198.67680265964393</c:v>
                </c:pt>
                <c:pt idx="7">
                  <c:v>198.67680265964393</c:v>
                </c:pt>
                <c:pt idx="8">
                  <c:v>358.66583456876981</c:v>
                </c:pt>
                <c:pt idx="9">
                  <c:v>358.66583456876981</c:v>
                </c:pt>
                <c:pt idx="10">
                  <c:v>358.66583456876981</c:v>
                </c:pt>
                <c:pt idx="11">
                  <c:v>358.66583456876981</c:v>
                </c:pt>
                <c:pt idx="12">
                  <c:v>358.66583456876981</c:v>
                </c:pt>
                <c:pt idx="13">
                  <c:v>1139.2770081651383</c:v>
                </c:pt>
                <c:pt idx="14">
                  <c:v>1139.2770081651383</c:v>
                </c:pt>
                <c:pt idx="15">
                  <c:v>1139.2770081651383</c:v>
                </c:pt>
                <c:pt idx="16">
                  <c:v>1139.2770081651383</c:v>
                </c:pt>
                <c:pt idx="17">
                  <c:v>1139.2770081651383</c:v>
                </c:pt>
                <c:pt idx="18">
                  <c:v>1139.2770081651383</c:v>
                </c:pt>
                <c:pt idx="19">
                  <c:v>1139.2770081651383</c:v>
                </c:pt>
                <c:pt idx="20">
                  <c:v>1139.2770081651383</c:v>
                </c:pt>
                <c:pt idx="21">
                  <c:v>1139.2770081651383</c:v>
                </c:pt>
                <c:pt idx="22">
                  <c:v>1139.2770081651383</c:v>
                </c:pt>
                <c:pt idx="23">
                  <c:v>1139.2770081651383</c:v>
                </c:pt>
                <c:pt idx="24">
                  <c:v>1139.2770081651383</c:v>
                </c:pt>
                <c:pt idx="25">
                  <c:v>1139.2770081651383</c:v>
                </c:pt>
                <c:pt idx="26">
                  <c:v>1139.2770081651383</c:v>
                </c:pt>
                <c:pt idx="27">
                  <c:v>1139.2770081651383</c:v>
                </c:pt>
                <c:pt idx="28">
                  <c:v>1139.2770081651383</c:v>
                </c:pt>
                <c:pt idx="29">
                  <c:v>1139.2770081651383</c:v>
                </c:pt>
                <c:pt idx="30">
                  <c:v>1139.2770081651383</c:v>
                </c:pt>
                <c:pt idx="31">
                  <c:v>1139.2770081651383</c:v>
                </c:pt>
                <c:pt idx="32">
                  <c:v>1139.2770081651383</c:v>
                </c:pt>
                <c:pt idx="33">
                  <c:v>0</c:v>
                </c:pt>
              </c:numCache>
            </c:numRef>
          </c:val>
          <c:smooth val="0"/>
          <c:extLst>
            <c:ext xmlns:c16="http://schemas.microsoft.com/office/drawing/2014/chart" uri="{C3380CC4-5D6E-409C-BE32-E72D297353CC}">
              <c16:uniqueId val="{00000030-60A6-455C-859B-D5766F039BE4}"/>
            </c:ext>
          </c:extLst>
        </c:ser>
        <c:ser>
          <c:idx val="1"/>
          <c:order val="1"/>
          <c:tx>
            <c:strRef>
              <c:f>Output!$E$346</c:f>
              <c:strCache>
                <c:ptCount val="1"/>
                <c:pt idx="0">
                  <c:v>Electrification</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Output!$J$6:$BE$6</c15:sqref>
                  </c15:fullRef>
                </c:ext>
              </c:extLst>
              <c:f>Output!$J$6:$AQ$6</c:f>
              <c:numCache>
                <c:formatCode>General</c:formatCode>
                <c:ptCount val="34"/>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numCache>
            </c:numRef>
          </c:cat>
          <c:val>
            <c:numRef>
              <c:extLst>
                <c:ext xmlns:c15="http://schemas.microsoft.com/office/drawing/2012/chart" uri="{02D57815-91ED-43cb-92C2-25804820EDAC}">
                  <c15:fullRef>
                    <c15:sqref>Output!$J$350:$BE$350</c15:sqref>
                  </c15:fullRef>
                </c:ext>
              </c:extLst>
              <c:f>Output!$J$350:$AQ$350</c:f>
              <c:numCache>
                <c:formatCode>_-* #,##0.00_-;\-* #,##0.00_-;_-* "-"??_-;_-@_-</c:formatCode>
                <c:ptCount val="34"/>
                <c:pt idx="0">
                  <c:v>0</c:v>
                </c:pt>
                <c:pt idx="1">
                  <c:v>0</c:v>
                </c:pt>
                <c:pt idx="2">
                  <c:v>0</c:v>
                </c:pt>
                <c:pt idx="3">
                  <c:v>0</c:v>
                </c:pt>
                <c:pt idx="4">
                  <c:v>198.67680265964393</c:v>
                </c:pt>
                <c:pt idx="5">
                  <c:v>198.67680265964393</c:v>
                </c:pt>
                <c:pt idx="6">
                  <c:v>198.67680265964393</c:v>
                </c:pt>
                <c:pt idx="7">
                  <c:v>198.67680265964393</c:v>
                </c:pt>
                <c:pt idx="8">
                  <c:v>198.67680265964393</c:v>
                </c:pt>
                <c:pt idx="9">
                  <c:v>198.67680265964393</c:v>
                </c:pt>
                <c:pt idx="10">
                  <c:v>198.67680265964393</c:v>
                </c:pt>
                <c:pt idx="11">
                  <c:v>198.67680265964393</c:v>
                </c:pt>
                <c:pt idx="12">
                  <c:v>198.67680265964393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1-60A6-455C-859B-D5766F039BE4}"/>
            </c:ext>
          </c:extLst>
        </c:ser>
        <c:ser>
          <c:idx val="2"/>
          <c:order val="2"/>
          <c:tx>
            <c:strRef>
              <c:f>Output!$E$356</c:f>
              <c:strCache>
                <c:ptCount val="1"/>
                <c:pt idx="0">
                  <c:v>CCS</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Output!$J$6:$BE$6</c15:sqref>
                  </c15:fullRef>
                </c:ext>
              </c:extLst>
              <c:f>Output!$J$6:$AQ$6</c:f>
              <c:numCache>
                <c:formatCode>General</c:formatCode>
                <c:ptCount val="34"/>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numCache>
            </c:numRef>
          </c:cat>
          <c:val>
            <c:numRef>
              <c:extLst>
                <c:ext xmlns:c15="http://schemas.microsoft.com/office/drawing/2012/chart" uri="{02D57815-91ED-43cb-92C2-25804820EDAC}">
                  <c15:fullRef>
                    <c15:sqref>Output!$J$359:$BE$359</c15:sqref>
                  </c15:fullRef>
                </c:ext>
              </c:extLst>
              <c:f>Output!$J$359:$AQ$359</c:f>
              <c:numCache>
                <c:formatCode>_-* #,##0.00_-;\-* #,##0.00_-;_-*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2-60A6-455C-859B-D5766F039BE4}"/>
            </c:ext>
          </c:extLst>
        </c:ser>
        <c:ser>
          <c:idx val="3"/>
          <c:order val="3"/>
          <c:tx>
            <c:strRef>
              <c:f>Output!$E$376</c:f>
              <c:strCache>
                <c:ptCount val="1"/>
                <c:pt idx="0">
                  <c:v>Large H2</c:v>
                </c:pt>
              </c:strCache>
            </c:strRef>
          </c:tx>
          <c:spPr>
            <a:ln w="28575"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Output!$J$6:$BE$6</c15:sqref>
                  </c15:fullRef>
                </c:ext>
              </c:extLst>
              <c:f>Output!$J$6:$AQ$6</c:f>
              <c:numCache>
                <c:formatCode>General</c:formatCode>
                <c:ptCount val="34"/>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numCache>
            </c:numRef>
          </c:cat>
          <c:val>
            <c:numRef>
              <c:extLst>
                <c:ext xmlns:c15="http://schemas.microsoft.com/office/drawing/2012/chart" uri="{02D57815-91ED-43cb-92C2-25804820EDAC}">
                  <c15:fullRef>
                    <c15:sqref>Output!$J$381:$BE$381</c15:sqref>
                  </c15:fullRef>
                </c:ext>
              </c:extLst>
              <c:f>Output!$J$381:$AQ$381</c:f>
              <c:numCache>
                <c:formatCode>_-* #,##0.00_-;\-* #,##0.00_-;_-*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1139.2770081651383</c:v>
                </c:pt>
                <c:pt idx="14">
                  <c:v>1139.2770081651383</c:v>
                </c:pt>
                <c:pt idx="15">
                  <c:v>1139.2770081651383</c:v>
                </c:pt>
                <c:pt idx="16">
                  <c:v>1139.2770081651383</c:v>
                </c:pt>
                <c:pt idx="17">
                  <c:v>1139.2770081651383</c:v>
                </c:pt>
                <c:pt idx="18">
                  <c:v>1139.2770081651383</c:v>
                </c:pt>
                <c:pt idx="19">
                  <c:v>1139.2770081651383</c:v>
                </c:pt>
                <c:pt idx="20">
                  <c:v>1139.2770081651383</c:v>
                </c:pt>
                <c:pt idx="21">
                  <c:v>1139.2770081651383</c:v>
                </c:pt>
                <c:pt idx="22">
                  <c:v>1139.2770081651383</c:v>
                </c:pt>
                <c:pt idx="23">
                  <c:v>1139.2770081651383</c:v>
                </c:pt>
                <c:pt idx="24">
                  <c:v>1139.2770081651383</c:v>
                </c:pt>
                <c:pt idx="25">
                  <c:v>1139.2770081651383</c:v>
                </c:pt>
                <c:pt idx="26">
                  <c:v>1139.2770081651383</c:v>
                </c:pt>
                <c:pt idx="27">
                  <c:v>1139.2770081651383</c:v>
                </c:pt>
                <c:pt idx="28">
                  <c:v>1139.2770081651383</c:v>
                </c:pt>
                <c:pt idx="29">
                  <c:v>1139.2770081651383</c:v>
                </c:pt>
                <c:pt idx="30">
                  <c:v>1139.2770081651383</c:v>
                </c:pt>
                <c:pt idx="31">
                  <c:v>1139.2770081651383</c:v>
                </c:pt>
                <c:pt idx="32">
                  <c:v>1139.2770081651383</c:v>
                </c:pt>
                <c:pt idx="33">
                  <c:v>0</c:v>
                </c:pt>
              </c:numCache>
            </c:numRef>
          </c:val>
          <c:smooth val="0"/>
          <c:extLst>
            <c:ext xmlns:c16="http://schemas.microsoft.com/office/drawing/2014/chart" uri="{C3380CC4-5D6E-409C-BE32-E72D297353CC}">
              <c16:uniqueId val="{00000033-60A6-455C-859B-D5766F039BE4}"/>
            </c:ext>
          </c:extLst>
        </c:ser>
        <c:ser>
          <c:idx val="4"/>
          <c:order val="4"/>
          <c:tx>
            <c:strRef>
              <c:f>Output!$E$364</c:f>
              <c:strCache>
                <c:ptCount val="1"/>
                <c:pt idx="0">
                  <c:v>Small H2</c:v>
                </c:pt>
              </c:strCache>
            </c:strRef>
          </c:tx>
          <c:spPr>
            <a:ln w="28575" cap="rnd">
              <a:solidFill>
                <a:schemeClr val="accent6">
                  <a:lumMod val="60000"/>
                  <a:lumOff val="40000"/>
                </a:schemeClr>
              </a:solidFill>
              <a:round/>
            </a:ln>
            <a:effectLst/>
          </c:spPr>
          <c:marker>
            <c:symbol val="none"/>
          </c:marker>
          <c:cat>
            <c:numRef>
              <c:extLst>
                <c:ext xmlns:c15="http://schemas.microsoft.com/office/drawing/2012/chart" uri="{02D57815-91ED-43cb-92C2-25804820EDAC}">
                  <c15:fullRef>
                    <c15:sqref>Output!$J$6:$BE$6</c15:sqref>
                  </c15:fullRef>
                </c:ext>
              </c:extLst>
              <c:f>Output!$J$6:$AQ$6</c:f>
              <c:numCache>
                <c:formatCode>General</c:formatCode>
                <c:ptCount val="34"/>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numCache>
            </c:numRef>
          </c:cat>
          <c:val>
            <c:numRef>
              <c:extLst>
                <c:ext xmlns:c15="http://schemas.microsoft.com/office/drawing/2012/chart" uri="{02D57815-91ED-43cb-92C2-25804820EDAC}">
                  <c15:fullRef>
                    <c15:sqref>Output!$J$369:$BE$369</c15:sqref>
                  </c15:fullRef>
                </c:ext>
              </c:extLst>
              <c:f>Output!$J$369:$AQ$369</c:f>
              <c:numCache>
                <c:formatCode>_-* #,##0.00_-;\-* #,##0.00_-;_-* "-"??_-;_-@_-</c:formatCode>
                <c:ptCount val="34"/>
                <c:pt idx="0">
                  <c:v>0</c:v>
                </c:pt>
                <c:pt idx="1">
                  <c:v>0</c:v>
                </c:pt>
                <c:pt idx="2">
                  <c:v>0</c:v>
                </c:pt>
                <c:pt idx="3">
                  <c:v>0</c:v>
                </c:pt>
                <c:pt idx="4">
                  <c:v>0</c:v>
                </c:pt>
                <c:pt idx="5">
                  <c:v>0</c:v>
                </c:pt>
                <c:pt idx="6">
                  <c:v>0</c:v>
                </c:pt>
                <c:pt idx="7">
                  <c:v>0</c:v>
                </c:pt>
                <c:pt idx="8">
                  <c:v>159.98903190912586</c:v>
                </c:pt>
                <c:pt idx="9">
                  <c:v>159.98903190912586</c:v>
                </c:pt>
                <c:pt idx="10">
                  <c:v>159.98903190912586</c:v>
                </c:pt>
                <c:pt idx="11">
                  <c:v>159.98903190912586</c:v>
                </c:pt>
                <c:pt idx="12">
                  <c:v>159.98903190912586</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34-60A6-455C-859B-D5766F039BE4}"/>
            </c:ext>
          </c:extLst>
        </c:ser>
        <c:dLbls>
          <c:showLegendKey val="0"/>
          <c:showVal val="0"/>
          <c:showCatName val="0"/>
          <c:showSerName val="0"/>
          <c:showPercent val="0"/>
          <c:showBubbleSize val="0"/>
        </c:dLbls>
        <c:marker val="1"/>
        <c:smooth val="0"/>
        <c:axId val="607988656"/>
        <c:axId val="607986032"/>
      </c:lineChart>
      <c:catAx>
        <c:axId val="607988656"/>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2700000" spcFirstLastPara="1" vertOverflow="ellipsis"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7986032"/>
        <c:crosses val="autoZero"/>
        <c:auto val="1"/>
        <c:lblAlgn val="ctr"/>
        <c:lblOffset val="100"/>
        <c:noMultiLvlLbl val="0"/>
      </c:catAx>
      <c:valAx>
        <c:axId val="607986032"/>
        <c:scaling>
          <c:orientation val="minMax"/>
        </c:scaling>
        <c:delete val="0"/>
        <c:axPos val="l"/>
        <c:majorGridlines>
          <c:spPr>
            <a:ln w="317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GB" sz="1800" baseline="0"/>
                  <a:t>Required area on platforms [m²]</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7988656"/>
        <c:crosses val="autoZero"/>
        <c:crossBetween val="between"/>
      </c:valAx>
      <c:valAx>
        <c:axId val="609590632"/>
        <c:scaling>
          <c:orientation val="minMax"/>
        </c:scaling>
        <c:delete val="0"/>
        <c:axPos val="r"/>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GB" sz="1800"/>
                  <a:t>Nr.</a:t>
                </a:r>
                <a:r>
                  <a:rPr lang="en-GB" sz="1800" baseline="0"/>
                  <a:t> of  equivalent 40 ft container</a:t>
                </a:r>
                <a:endParaRPr lang="en-GB" sz="1800"/>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9595880"/>
        <c:crosses val="max"/>
        <c:crossBetween val="between"/>
      </c:valAx>
      <c:catAx>
        <c:axId val="609595880"/>
        <c:scaling>
          <c:orientation val="minMax"/>
        </c:scaling>
        <c:delete val="1"/>
        <c:axPos val="b"/>
        <c:numFmt formatCode="General" sourceLinked="1"/>
        <c:majorTickMark val="out"/>
        <c:minorTickMark val="none"/>
        <c:tickLblPos val="nextTo"/>
        <c:crossAx val="6095906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Output!$G$3</c:f>
          <c:strCache>
            <c:ptCount val="1"/>
            <c:pt idx="0">
              <c:v>P15 Scenario 1</c:v>
            </c:pt>
          </c:strCache>
        </c:strRef>
      </c:tx>
      <c:overlay val="0"/>
      <c:spPr>
        <a:noFill/>
        <a:ln>
          <a:noFill/>
        </a:ln>
        <a:effectLst/>
      </c:spPr>
      <c:txPr>
        <a:bodyPr rot="0" spcFirstLastPara="1" vertOverflow="ellipsis" vert="horz" wrap="square" anchor="ctr" anchorCtr="1"/>
        <a:lstStyle/>
        <a:p>
          <a:pPr>
            <a:defRPr sz="2400" b="1" i="0" u="none" strike="noStrike" kern="1200" spc="0" baseline="0">
              <a:ln>
                <a:noFill/>
              </a:ln>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Output!$E$276</c:f>
              <c:strCache>
                <c:ptCount val="1"/>
                <c:pt idx="0">
                  <c:v>Total cumulative discounted cashflow</c:v>
                </c:pt>
              </c:strCache>
            </c:strRef>
          </c:tx>
          <c:spPr>
            <a:ln w="38100" cap="rnd">
              <a:solidFill>
                <a:srgbClr val="CC0000"/>
              </a:solidFill>
              <a:round/>
            </a:ln>
            <a:effectLst/>
          </c:spPr>
          <c:marker>
            <c:symbol val="none"/>
          </c:marker>
          <c:dLbls>
            <c:dLbl>
              <c:idx val="0"/>
              <c:tx>
                <c:rich>
                  <a:bodyPr/>
                  <a:lstStyle/>
                  <a:p>
                    <a:fld id="{C7F8C775-0583-45F9-B852-8A9672DE4F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F0F-4DF5-BD25-A837C1A902AA}"/>
                </c:ext>
              </c:extLst>
            </c:dLbl>
            <c:dLbl>
              <c:idx val="1"/>
              <c:tx>
                <c:rich>
                  <a:bodyPr/>
                  <a:lstStyle/>
                  <a:p>
                    <a:fld id="{A4D2F39C-F183-4D72-9189-BF56ED07EBE0}" type="CELLRANGE">
                      <a:rPr lang="en-GB"/>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F0F-4DF5-BD25-A837C1A902AA}"/>
                </c:ext>
              </c:extLst>
            </c:dLbl>
            <c:dLbl>
              <c:idx val="2"/>
              <c:layout>
                <c:manualLayout>
                  <c:x val="-4.4757434225186736E-2"/>
                  <c:y val="-0.20460904288991061"/>
                </c:manualLayout>
              </c:layout>
              <c:tx>
                <c:rich>
                  <a:bodyPr/>
                  <a:lstStyle/>
                  <a:p>
                    <a:fld id="{5ED893F5-5D2E-40F1-A68B-D2FBF56D9D4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F0F-4DF5-BD25-A837C1A902AA}"/>
                </c:ext>
              </c:extLst>
            </c:dLbl>
            <c:dLbl>
              <c:idx val="3"/>
              <c:layout>
                <c:manualLayout>
                  <c:x val="-3.7871675113619545E-2"/>
                  <c:y val="6.8806580794837202E-2"/>
                </c:manualLayout>
              </c:layout>
              <c:tx>
                <c:rich>
                  <a:bodyPr/>
                  <a:lstStyle/>
                  <a:p>
                    <a:fld id="{E6161453-738D-4168-AA94-3687F9C8C0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F0F-4DF5-BD25-A837C1A902AA}"/>
                </c:ext>
              </c:extLst>
            </c:dLbl>
            <c:dLbl>
              <c:idx val="4"/>
              <c:tx>
                <c:rich>
                  <a:bodyPr/>
                  <a:lstStyle/>
                  <a:p>
                    <a:fld id="{71E2BC59-7F9B-4B60-8D4B-6D3F15DE07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F0F-4DF5-BD25-A837C1A902AA}"/>
                </c:ext>
              </c:extLst>
            </c:dLbl>
            <c:dLbl>
              <c:idx val="5"/>
              <c:layout>
                <c:manualLayout>
                  <c:x val="-9.4821923674878683E-2"/>
                  <c:y val="-0.32146801202544628"/>
                </c:manualLayout>
              </c:layout>
              <c:tx>
                <c:rich>
                  <a:bodyPr/>
                  <a:lstStyle/>
                  <a:p>
                    <a:fld id="{97594079-25CC-471A-B699-43FB22AD2A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F0F-4DF5-BD25-A837C1A902AA}"/>
                </c:ext>
              </c:extLst>
            </c:dLbl>
            <c:dLbl>
              <c:idx val="6"/>
              <c:layout>
                <c:manualLayout>
                  <c:x val="0.11705790489664222"/>
                  <c:y val="-0.11045266917065978"/>
                </c:manualLayout>
              </c:layout>
              <c:tx>
                <c:rich>
                  <a:bodyPr/>
                  <a:lstStyle/>
                  <a:p>
                    <a:fld id="{E8CF9FD3-C34B-4A3C-8DD8-D8F2ABB0A5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F0F-4DF5-BD25-A837C1A902AA}"/>
                </c:ext>
              </c:extLst>
            </c:dLbl>
            <c:dLbl>
              <c:idx val="7"/>
              <c:tx>
                <c:rich>
                  <a:bodyPr/>
                  <a:lstStyle/>
                  <a:p>
                    <a:fld id="{C9145B98-8FF9-4B4B-8DD2-572CB0284D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F0F-4DF5-BD25-A837C1A902AA}"/>
                </c:ext>
              </c:extLst>
            </c:dLbl>
            <c:dLbl>
              <c:idx val="8"/>
              <c:tx>
                <c:rich>
                  <a:bodyPr/>
                  <a:lstStyle/>
                  <a:p>
                    <a:fld id="{7492160F-DB00-4174-8B38-F0B5BA91D0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F0F-4DF5-BD25-A837C1A902AA}"/>
                </c:ext>
              </c:extLst>
            </c:dLbl>
            <c:dLbl>
              <c:idx val="9"/>
              <c:layout>
                <c:manualLayout>
                  <c:x val="6.8857591115671895E-3"/>
                  <c:y val="9.4156373719250896E-2"/>
                </c:manualLayout>
              </c:layout>
              <c:tx>
                <c:rich>
                  <a:bodyPr/>
                  <a:lstStyle/>
                  <a:p>
                    <a:fld id="{23358454-CC5B-47A8-94C2-DED064AFD9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F0F-4DF5-BD25-A837C1A902AA}"/>
                </c:ext>
              </c:extLst>
            </c:dLbl>
            <c:dLbl>
              <c:idx val="10"/>
              <c:layout>
                <c:manualLayout>
                  <c:x val="1.8362024297512505E-2"/>
                  <c:y val="-0.3005761161037625"/>
                </c:manualLayout>
              </c:layout>
              <c:tx>
                <c:rich>
                  <a:bodyPr/>
                  <a:lstStyle/>
                  <a:p>
                    <a:fld id="{E8F27A00-565F-4D5E-A8BE-F6BFF802D1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F0F-4DF5-BD25-A837C1A902AA}"/>
                </c:ext>
              </c:extLst>
            </c:dLbl>
            <c:dLbl>
              <c:idx val="11"/>
              <c:tx>
                <c:rich>
                  <a:bodyPr/>
                  <a:lstStyle/>
                  <a:p>
                    <a:fld id="{D076F488-FFDF-4902-857F-2B44FCAABB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F0F-4DF5-BD25-A837C1A902AA}"/>
                </c:ext>
              </c:extLst>
            </c:dLbl>
            <c:dLbl>
              <c:idx val="12"/>
              <c:layout>
                <c:manualLayout>
                  <c:x val="-0.24788732801641883"/>
                  <c:y val="-0.17744855047089592"/>
                </c:manualLayout>
              </c:layout>
              <c:tx>
                <c:rich>
                  <a:bodyPr/>
                  <a:lstStyle/>
                  <a:p>
                    <a:fld id="{752D67FF-0B17-446D-8EEF-E0E588FB24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F0F-4DF5-BD25-A837C1A902AA}"/>
                </c:ext>
              </c:extLst>
            </c:dLbl>
            <c:dLbl>
              <c:idx val="13"/>
              <c:layout>
                <c:manualLayout>
                  <c:x val="-3.4428795557836789E-3"/>
                  <c:y val="-0.24806583076033412"/>
                </c:manualLayout>
              </c:layout>
              <c:tx>
                <c:rich>
                  <a:bodyPr/>
                  <a:lstStyle/>
                  <a:p>
                    <a:fld id="{63C62FEE-0254-496D-BA81-55D5270017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F0F-4DF5-BD25-A837C1A902AA}"/>
                </c:ext>
              </c:extLst>
            </c:dLbl>
            <c:dLbl>
              <c:idx val="14"/>
              <c:layout>
                <c:manualLayout>
                  <c:x val="-8.4820444247188098E-2"/>
                  <c:y val="-0.17201645198709301"/>
                </c:manualLayout>
              </c:layout>
              <c:tx>
                <c:rich>
                  <a:bodyPr/>
                  <a:lstStyle/>
                  <a:p>
                    <a:fld id="{A97E3221-43ED-41FF-AFBA-1B16167758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1F0F-4DF5-BD25-A837C1A902AA}"/>
                </c:ext>
              </c:extLst>
            </c:dLbl>
            <c:dLbl>
              <c:idx val="15"/>
              <c:tx>
                <c:rich>
                  <a:bodyPr/>
                  <a:lstStyle/>
                  <a:p>
                    <a:fld id="{4DA77D5E-9EDA-4365-AB83-2EDA6A8C06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1F0F-4DF5-BD25-A837C1A902AA}"/>
                </c:ext>
              </c:extLst>
            </c:dLbl>
            <c:dLbl>
              <c:idx val="16"/>
              <c:tx>
                <c:rich>
                  <a:bodyPr/>
                  <a:lstStyle/>
                  <a:p>
                    <a:fld id="{DCA3F00D-0E22-4B0B-9740-AC44FF626C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1F0F-4DF5-BD25-A837C1A902AA}"/>
                </c:ext>
              </c:extLst>
            </c:dLbl>
            <c:dLbl>
              <c:idx val="17"/>
              <c:layout>
                <c:manualLayout>
                  <c:x val="-0.11705790489664222"/>
                  <c:y val="-8.6913575740846988E-2"/>
                </c:manualLayout>
              </c:layout>
              <c:tx>
                <c:rich>
                  <a:bodyPr/>
                  <a:lstStyle/>
                  <a:p>
                    <a:fld id="{87169D6D-C407-4BD2-A673-5556F1FF4F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1F0F-4DF5-BD25-A837C1A902AA}"/>
                </c:ext>
              </c:extLst>
            </c:dLbl>
            <c:dLbl>
              <c:idx val="18"/>
              <c:tx>
                <c:rich>
                  <a:bodyPr/>
                  <a:lstStyle/>
                  <a:p>
                    <a:fld id="{D66FF36D-E4D7-4ACE-884B-3F263C00C8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1F0F-4DF5-BD25-A837C1A902AA}"/>
                </c:ext>
              </c:extLst>
            </c:dLbl>
            <c:dLbl>
              <c:idx val="19"/>
              <c:tx>
                <c:rich>
                  <a:bodyPr/>
                  <a:lstStyle/>
                  <a:p>
                    <a:fld id="{3191126E-5200-46B1-8370-57099A1E7C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F0F-4DF5-BD25-A837C1A902AA}"/>
                </c:ext>
              </c:extLst>
            </c:dLbl>
            <c:dLbl>
              <c:idx val="20"/>
              <c:tx>
                <c:rich>
                  <a:bodyPr/>
                  <a:lstStyle/>
                  <a:p>
                    <a:fld id="{0096CEEC-BFAF-478F-AD74-77CD3215EF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F0F-4DF5-BD25-A837C1A902AA}"/>
                </c:ext>
              </c:extLst>
            </c:dLbl>
            <c:dLbl>
              <c:idx val="21"/>
              <c:tx>
                <c:rich>
                  <a:bodyPr/>
                  <a:lstStyle/>
                  <a:p>
                    <a:fld id="{BCE45BA5-B84A-4254-AC98-AF3E9BABC8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F0F-4DF5-BD25-A837C1A902AA}"/>
                </c:ext>
              </c:extLst>
            </c:dLbl>
            <c:dLbl>
              <c:idx val="22"/>
              <c:tx>
                <c:rich>
                  <a:bodyPr/>
                  <a:lstStyle/>
                  <a:p>
                    <a:fld id="{96A26639-2A15-44BB-B87F-FF0B963E89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F0F-4DF5-BD25-A837C1A902AA}"/>
                </c:ext>
              </c:extLst>
            </c:dLbl>
            <c:dLbl>
              <c:idx val="23"/>
              <c:tx>
                <c:rich>
                  <a:bodyPr/>
                  <a:lstStyle/>
                  <a:p>
                    <a:fld id="{3281F14D-49BD-4115-9CD4-9774531971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F0F-4DF5-BD25-A837C1A902AA}"/>
                </c:ext>
              </c:extLst>
            </c:dLbl>
            <c:dLbl>
              <c:idx val="24"/>
              <c:tx>
                <c:rich>
                  <a:bodyPr/>
                  <a:lstStyle/>
                  <a:p>
                    <a:fld id="{941CA338-C001-4257-9EAF-B804E61BE8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F0F-4DF5-BD25-A837C1A902AA}"/>
                </c:ext>
              </c:extLst>
            </c:dLbl>
            <c:dLbl>
              <c:idx val="25"/>
              <c:tx>
                <c:rich>
                  <a:bodyPr/>
                  <a:lstStyle/>
                  <a:p>
                    <a:fld id="{CD69ECEF-5D38-4C42-98C3-F237BAC52FB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F0F-4DF5-BD25-A837C1A902AA}"/>
                </c:ext>
              </c:extLst>
            </c:dLbl>
            <c:dLbl>
              <c:idx val="26"/>
              <c:tx>
                <c:rich>
                  <a:bodyPr/>
                  <a:lstStyle/>
                  <a:p>
                    <a:fld id="{36C7AD1D-4563-4E60-A723-E82765357E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F0F-4DF5-BD25-A837C1A902AA}"/>
                </c:ext>
              </c:extLst>
            </c:dLbl>
            <c:dLbl>
              <c:idx val="27"/>
              <c:tx>
                <c:rich>
                  <a:bodyPr/>
                  <a:lstStyle/>
                  <a:p>
                    <a:fld id="{3C18079F-594E-4497-ADE9-51531E67CA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F0F-4DF5-BD25-A837C1A902AA}"/>
                </c:ext>
              </c:extLst>
            </c:dLbl>
            <c:dLbl>
              <c:idx val="28"/>
              <c:tx>
                <c:rich>
                  <a:bodyPr/>
                  <a:lstStyle/>
                  <a:p>
                    <a:fld id="{FF05FA36-649C-4D13-BFDA-959A5F2CD8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F0F-4DF5-BD25-A837C1A902AA}"/>
                </c:ext>
              </c:extLst>
            </c:dLbl>
            <c:dLbl>
              <c:idx val="29"/>
              <c:tx>
                <c:rich>
                  <a:bodyPr/>
                  <a:lstStyle/>
                  <a:p>
                    <a:fld id="{4C9845CA-1344-4316-BEC6-D9715456937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F0F-4DF5-BD25-A837C1A902AA}"/>
                </c:ext>
              </c:extLst>
            </c:dLbl>
            <c:dLbl>
              <c:idx val="30"/>
              <c:tx>
                <c:rich>
                  <a:bodyPr/>
                  <a:lstStyle/>
                  <a:p>
                    <a:fld id="{877C3EFA-CE48-4636-B844-0B463ED409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F0F-4DF5-BD25-A837C1A902AA}"/>
                </c:ext>
              </c:extLst>
            </c:dLbl>
            <c:dLbl>
              <c:idx val="31"/>
              <c:layout>
                <c:manualLayout>
                  <c:x val="-2.1703012842283573E-2"/>
                  <c:y val="-8.3292176751645033E-2"/>
                </c:manualLayout>
              </c:layout>
              <c:tx>
                <c:rich>
                  <a:bodyPr/>
                  <a:lstStyle/>
                  <a:p>
                    <a:fld id="{3C244BD7-40C6-47F8-B01B-31F0BB7876D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1F0F-4DF5-BD25-A837C1A902AA}"/>
                </c:ext>
              </c:extLst>
            </c:dLbl>
            <c:dLbl>
              <c:idx val="32"/>
              <c:layout>
                <c:manualLayout>
                  <c:x val="0"/>
                  <c:y val="-4.5267487365024485E-2"/>
                </c:manualLayout>
              </c:layout>
              <c:tx>
                <c:rich>
                  <a:bodyPr/>
                  <a:lstStyle/>
                  <a:p>
                    <a:fld id="{79F0B229-452E-4F1D-941E-D6C3511D2F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1F0F-4DF5-BD25-A837C1A902AA}"/>
                </c:ext>
              </c:extLst>
            </c:dLbl>
            <c:dLbl>
              <c:idx val="33"/>
              <c:tx>
                <c:rich>
                  <a:bodyPr/>
                  <a:lstStyle/>
                  <a:p>
                    <a:fld id="{65CD3EF7-5EBC-426E-B1AD-2C11D54E21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E81-4A0F-800A-3AE019E907B2}"/>
                </c:ext>
              </c:extLst>
            </c:dLbl>
            <c:dLbl>
              <c:idx val="34"/>
              <c:tx>
                <c:rich>
                  <a:bodyPr/>
                  <a:lstStyle/>
                  <a:p>
                    <a:fld id="{BC69961B-27C8-40DA-AF99-675F62082A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376-4CA2-8D74-61057DD6EDC3}"/>
                </c:ext>
              </c:extLst>
            </c:dLbl>
            <c:dLbl>
              <c:idx val="35"/>
              <c:layout>
                <c:manualLayout>
                  <c:x val="-5.7113191690219653E-2"/>
                  <c:y val="-7.2427979784039156E-2"/>
                </c:manualLayout>
              </c:layout>
              <c:tx>
                <c:rich>
                  <a:bodyPr/>
                  <a:lstStyle/>
                  <a:p>
                    <a:fld id="{155E5361-9C85-4810-AAC3-61FF910332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376-4CA2-8D74-61057DD6EDC3}"/>
                </c:ext>
              </c:extLst>
            </c:dLbl>
            <c:dLbl>
              <c:idx val="36"/>
              <c:tx>
                <c:rich>
                  <a:bodyPr/>
                  <a:lstStyle/>
                  <a:p>
                    <a:fld id="{63A4A26F-75B5-44AF-8B5B-C2042B3704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376-4CA2-8D74-61057DD6EDC3}"/>
                </c:ext>
              </c:extLst>
            </c:dLbl>
            <c:dLbl>
              <c:idx val="37"/>
              <c:tx>
                <c:rich>
                  <a:bodyPr/>
                  <a:lstStyle/>
                  <a:p>
                    <a:fld id="{9680426E-0BD8-43DE-973B-5178CC9B81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376-4CA2-8D74-61057DD6EDC3}"/>
                </c:ext>
              </c:extLst>
            </c:dLbl>
            <c:dLbl>
              <c:idx val="38"/>
              <c:tx>
                <c:rich>
                  <a:bodyPr/>
                  <a:lstStyle/>
                  <a:p>
                    <a:fld id="{EC2997F9-E9F6-4E98-BE03-23C2C56FD5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376-4CA2-8D74-61057DD6EDC3}"/>
                </c:ext>
              </c:extLst>
            </c:dLbl>
            <c:dLbl>
              <c:idx val="39"/>
              <c:tx>
                <c:rich>
                  <a:bodyPr/>
                  <a:lstStyle/>
                  <a:p>
                    <a:fld id="{2F119C4A-E68A-407D-A1DC-9863274DC7D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376-4CA2-8D74-61057DD6EDC3}"/>
                </c:ext>
              </c:extLst>
            </c:dLbl>
            <c:dLbl>
              <c:idx val="40"/>
              <c:tx>
                <c:rich>
                  <a:bodyPr/>
                  <a:lstStyle/>
                  <a:p>
                    <a:fld id="{17E3B04D-5507-4F23-8F8D-44FD615136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376-4CA2-8D74-61057DD6EDC3}"/>
                </c:ext>
              </c:extLst>
            </c:dLbl>
            <c:dLbl>
              <c:idx val="41"/>
              <c:tx>
                <c:rich>
                  <a:bodyPr/>
                  <a:lstStyle/>
                  <a:p>
                    <a:fld id="{2D855F73-B1BA-4DE2-8A24-0BA1535E53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376-4CA2-8D74-61057DD6EDC3}"/>
                </c:ext>
              </c:extLst>
            </c:dLbl>
            <c:dLbl>
              <c:idx val="42"/>
              <c:tx>
                <c:rich>
                  <a:bodyPr/>
                  <a:lstStyle/>
                  <a:p>
                    <a:fld id="{905EE83A-A2B1-408C-BB25-8AFC51A9D0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376-4CA2-8D74-61057DD6EDC3}"/>
                </c:ext>
              </c:extLst>
            </c:dLbl>
            <c:dLbl>
              <c:idx val="43"/>
              <c:layout>
                <c:manualLayout>
                  <c:x val="-1.7162261115739933E-2"/>
                  <c:y val="-6.6995881300236232E-2"/>
                </c:manualLayout>
              </c:layout>
              <c:tx>
                <c:rich>
                  <a:bodyPr/>
                  <a:lstStyle/>
                  <a:p>
                    <a:fld id="{52B68460-ED42-43E4-9D65-2A8062E718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376-4CA2-8D74-61057DD6EDC3}"/>
                </c:ext>
              </c:extLst>
            </c:dLbl>
            <c:dLbl>
              <c:idx val="44"/>
              <c:tx>
                <c:rich>
                  <a:bodyPr/>
                  <a:lstStyle/>
                  <a:p>
                    <a:fld id="{35390E53-5CF3-4C5C-BA15-AE7417B0DE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376-4CA2-8D74-61057DD6EDC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Output!$J$276:$BE$276</c15:sqref>
                  </c15:fullRef>
                </c:ext>
              </c:extLst>
              <c:f>Output!$J$276:$BB$276</c:f>
              <c:numCache>
                <c:formatCode>_ * #,##0_ ;[Red]_ * \-#,##0_ ;_ * "-"?_ ;_ @_ </c:formatCode>
                <c:ptCount val="45"/>
                <c:pt idx="0">
                  <c:v>0</c:v>
                </c:pt>
                <c:pt idx="1">
                  <c:v>0</c:v>
                </c:pt>
                <c:pt idx="2">
                  <c:v>0</c:v>
                </c:pt>
                <c:pt idx="3">
                  <c:v>-48.226466393039289</c:v>
                </c:pt>
                <c:pt idx="4">
                  <c:v>4.6113912903464609</c:v>
                </c:pt>
                <c:pt idx="5">
                  <c:v>55.612507388309517</c:v>
                </c:pt>
                <c:pt idx="6">
                  <c:v>103.47522352781834</c:v>
                </c:pt>
                <c:pt idx="7">
                  <c:v>132.46778876423468</c:v>
                </c:pt>
                <c:pt idx="8">
                  <c:v>173.45082553819222</c:v>
                </c:pt>
                <c:pt idx="9">
                  <c:v>211.87188071136762</c:v>
                </c:pt>
                <c:pt idx="10">
                  <c:v>247.86778221056969</c:v>
                </c:pt>
                <c:pt idx="11">
                  <c:v>281.59263456060097</c:v>
                </c:pt>
                <c:pt idx="12">
                  <c:v>203.98408477881492</c:v>
                </c:pt>
                <c:pt idx="13">
                  <c:v>133.53481236063527</c:v>
                </c:pt>
                <c:pt idx="14">
                  <c:v>130.40810824039863</c:v>
                </c:pt>
                <c:pt idx="15">
                  <c:v>156.37653387943908</c:v>
                </c:pt>
                <c:pt idx="16">
                  <c:v>180.45497903520786</c:v>
                </c:pt>
                <c:pt idx="17">
                  <c:v>202.78099630354458</c:v>
                </c:pt>
                <c:pt idx="18">
                  <c:v>223.48212722097082</c:v>
                </c:pt>
                <c:pt idx="19">
                  <c:v>242.67663086785262</c:v>
                </c:pt>
                <c:pt idx="20">
                  <c:v>260.47415944397864</c:v>
                </c:pt>
                <c:pt idx="21">
                  <c:v>276.97638467588854</c:v>
                </c:pt>
                <c:pt idx="22">
                  <c:v>292.27757863440451</c:v>
                </c:pt>
                <c:pt idx="23">
                  <c:v>304.32913035140137</c:v>
                </c:pt>
                <c:pt idx="24">
                  <c:v>317.48562803275672</c:v>
                </c:pt>
                <c:pt idx="25">
                  <c:v>329.6852895191044</c:v>
                </c:pt>
                <c:pt idx="26">
                  <c:v>340.99770289735409</c:v>
                </c:pt>
                <c:pt idx="27">
                  <c:v>351.48739530264015</c:v>
                </c:pt>
                <c:pt idx="28">
                  <c:v>361.2142009875418</c:v>
                </c:pt>
                <c:pt idx="29">
                  <c:v>370.23360262263242</c:v>
                </c:pt>
                <c:pt idx="30">
                  <c:v>367.95883911537737</c:v>
                </c:pt>
                <c:pt idx="31">
                  <c:v>367.00919395336842</c:v>
                </c:pt>
                <c:pt idx="32">
                  <c:v>363.19882631121243</c:v>
                </c:pt>
                <c:pt idx="33">
                  <c:v>363.12985542411622</c:v>
                </c:pt>
                <c:pt idx="34">
                  <c:v>363.0659006015361</c:v>
                </c:pt>
                <c:pt idx="35">
                  <c:v>363.00659703878</c:v>
                </c:pt>
                <c:pt idx="36">
                  <c:v>362.95160646240618</c:v>
                </c:pt>
                <c:pt idx="37">
                  <c:v>362.90061520067769</c:v>
                </c:pt>
                <c:pt idx="38">
                  <c:v>362.85333239434766</c:v>
                </c:pt>
                <c:pt idx="39">
                  <c:v>362.80948833756889</c:v>
                </c:pt>
                <c:pt idx="40">
                  <c:v>362.80948833756889</c:v>
                </c:pt>
                <c:pt idx="41">
                  <c:v>362.80948833756889</c:v>
                </c:pt>
                <c:pt idx="42">
                  <c:v>362.80948833756889</c:v>
                </c:pt>
                <c:pt idx="43">
                  <c:v>362.80948833756889</c:v>
                </c:pt>
                <c:pt idx="44">
                  <c:v>362.80948833756889</c:v>
                </c:pt>
              </c:numCache>
            </c:numRef>
          </c:val>
          <c:smooth val="0"/>
          <c:extLst>
            <c:ext xmlns:c15="http://schemas.microsoft.com/office/drawing/2012/chart" uri="{02D57815-91ED-43cb-92C2-25804820EDAC}">
              <c15:datalabelsRange>
                <c15:f>Output!$J$278:$BE$278</c15:f>
                <c15:dlblRangeCache>
                  <c:ptCount val="48"/>
                  <c:pt idx="3">
                    <c:v>Start phase Natural gas production (electrified) </c:v>
                  </c:pt>
                  <c:pt idx="12">
                    <c:v>Start phase Large scale green hydrogen</c:v>
                  </c:pt>
                  <c:pt idx="13">
                    <c:v>Start phase CO2 transport and storage</c:v>
                  </c:pt>
                  <c:pt idx="32">
                    <c:v>Start of decommisioning</c:v>
                  </c:pt>
                </c15:dlblRangeCache>
              </c15:datalabelsRange>
            </c:ext>
            <c:ext xmlns:c16="http://schemas.microsoft.com/office/drawing/2014/chart" uri="{C3380CC4-5D6E-409C-BE32-E72D297353CC}">
              <c16:uniqueId val="{00000030-1F0F-4DF5-BD25-A837C1A902AA}"/>
            </c:ext>
          </c:extLst>
        </c:ser>
        <c:ser>
          <c:idx val="1"/>
          <c:order val="1"/>
          <c:tx>
            <c:strRef>
              <c:f>Output!$B$30</c:f>
              <c:strCache>
                <c:ptCount val="1"/>
                <c:pt idx="0">
                  <c:v>Electrification</c:v>
                </c:pt>
              </c:strCache>
            </c:strRef>
          </c:tx>
          <c:spPr>
            <a:ln w="28575" cap="rnd">
              <a:solidFill>
                <a:schemeClr val="accent1"/>
              </a:solidFill>
              <a:prstDash val="sysDash"/>
              <a:round/>
            </a:ln>
            <a:effectLst/>
          </c:spPr>
          <c:marker>
            <c:symbol val="none"/>
          </c:marker>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Output!$J$57:$BE$57</c15:sqref>
                  </c15:fullRef>
                </c:ext>
              </c:extLst>
              <c:f>Output!$J$57:$BB$57</c:f>
              <c:numCache>
                <c:formatCode>_(* #,##0_);_(* \(#,##0\);_(* "-"_);_(@_)</c:formatCode>
                <c:ptCount val="45"/>
                <c:pt idx="0">
                  <c:v>0</c:v>
                </c:pt>
                <c:pt idx="1">
                  <c:v>0</c:v>
                </c:pt>
                <c:pt idx="2">
                  <c:v>0</c:v>
                </c:pt>
                <c:pt idx="3">
                  <c:v>-48.226466393039296</c:v>
                </c:pt>
                <c:pt idx="4">
                  <c:v>4.6113912903464662</c:v>
                </c:pt>
                <c:pt idx="5">
                  <c:v>55.612507388309524</c:v>
                </c:pt>
                <c:pt idx="6">
                  <c:v>103.47522352781836</c:v>
                </c:pt>
                <c:pt idx="7">
                  <c:v>148.34630030259433</c:v>
                </c:pt>
                <c:pt idx="8">
                  <c:v>190.4108828153349</c:v>
                </c:pt>
                <c:pt idx="9">
                  <c:v>229.83482922549084</c:v>
                </c:pt>
                <c:pt idx="10">
                  <c:v>266.76068754217596</c:v>
                </c:pt>
                <c:pt idx="11">
                  <c:v>301.34786638433724</c:v>
                </c:pt>
                <c:pt idx="12">
                  <c:v>301.34786638433724</c:v>
                </c:pt>
                <c:pt idx="13">
                  <c:v>301.34786638433724</c:v>
                </c:pt>
                <c:pt idx="14">
                  <c:v>301.34786638433724</c:v>
                </c:pt>
                <c:pt idx="15">
                  <c:v>301.34786638433724</c:v>
                </c:pt>
                <c:pt idx="16">
                  <c:v>301.34786638433724</c:v>
                </c:pt>
                <c:pt idx="17">
                  <c:v>301.34786638433724</c:v>
                </c:pt>
                <c:pt idx="18">
                  <c:v>301.34786638433724</c:v>
                </c:pt>
                <c:pt idx="19">
                  <c:v>301.34786638433724</c:v>
                </c:pt>
                <c:pt idx="20">
                  <c:v>301.34786638433724</c:v>
                </c:pt>
                <c:pt idx="21">
                  <c:v>301.34786638433724</c:v>
                </c:pt>
                <c:pt idx="22">
                  <c:v>301.34786638433724</c:v>
                </c:pt>
                <c:pt idx="23">
                  <c:v>301.34786638433724</c:v>
                </c:pt>
                <c:pt idx="24">
                  <c:v>301.34786638433724</c:v>
                </c:pt>
                <c:pt idx="25">
                  <c:v>301.34786638433724</c:v>
                </c:pt>
                <c:pt idx="26">
                  <c:v>301.34786638433724</c:v>
                </c:pt>
                <c:pt idx="27">
                  <c:v>301.34786638433724</c:v>
                </c:pt>
                <c:pt idx="28">
                  <c:v>301.34786638433724</c:v>
                </c:pt>
                <c:pt idx="29">
                  <c:v>301.34786638433724</c:v>
                </c:pt>
                <c:pt idx="30">
                  <c:v>301.34786638433724</c:v>
                </c:pt>
                <c:pt idx="31">
                  <c:v>301.34786638433724</c:v>
                </c:pt>
                <c:pt idx="32">
                  <c:v>301.34786638433724</c:v>
                </c:pt>
                <c:pt idx="33">
                  <c:v>301.34786638433724</c:v>
                </c:pt>
                <c:pt idx="34">
                  <c:v>301.34786638433724</c:v>
                </c:pt>
                <c:pt idx="35">
                  <c:v>301.34786638433724</c:v>
                </c:pt>
                <c:pt idx="36">
                  <c:v>301.34786638433724</c:v>
                </c:pt>
                <c:pt idx="37">
                  <c:v>301.34786638433724</c:v>
                </c:pt>
                <c:pt idx="38">
                  <c:v>301.34786638433724</c:v>
                </c:pt>
                <c:pt idx="39">
                  <c:v>301.34786638433724</c:v>
                </c:pt>
                <c:pt idx="40">
                  <c:v>301.34786638433724</c:v>
                </c:pt>
                <c:pt idx="41">
                  <c:v>301.34786638433724</c:v>
                </c:pt>
                <c:pt idx="42">
                  <c:v>301.34786638433724</c:v>
                </c:pt>
                <c:pt idx="43">
                  <c:v>301.34786638433724</c:v>
                </c:pt>
                <c:pt idx="44">
                  <c:v>301.34786638433724</c:v>
                </c:pt>
              </c:numCache>
            </c:numRef>
          </c:val>
          <c:smooth val="0"/>
          <c:extLst>
            <c:ext xmlns:c16="http://schemas.microsoft.com/office/drawing/2014/chart" uri="{C3380CC4-5D6E-409C-BE32-E72D297353CC}">
              <c16:uniqueId val="{00000031-1F0F-4DF5-BD25-A837C1A902AA}"/>
            </c:ext>
          </c:extLst>
        </c:ser>
        <c:ser>
          <c:idx val="2"/>
          <c:order val="2"/>
          <c:tx>
            <c:strRef>
              <c:f>Output!$B$60</c:f>
              <c:strCache>
                <c:ptCount val="1"/>
                <c:pt idx="0">
                  <c:v>CCS</c:v>
                </c:pt>
              </c:strCache>
            </c:strRef>
          </c:tx>
          <c:spPr>
            <a:ln w="28575" cap="rnd">
              <a:solidFill>
                <a:schemeClr val="accent3"/>
              </a:solidFill>
              <a:prstDash val="sysDash"/>
              <a:round/>
            </a:ln>
            <a:effectLst/>
          </c:spPr>
          <c:marker>
            <c:symbol val="none"/>
          </c:marker>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Output!$J$95:$BE$95</c15:sqref>
                  </c15:fullRef>
                </c:ext>
              </c:extLst>
              <c:f>Output!$J$95:$BB$95</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-67.078912837034395</c:v>
                </c:pt>
                <c:pt idx="14">
                  <c:v>-67.078912837034395</c:v>
                </c:pt>
                <c:pt idx="15">
                  <c:v>-38.209824439657176</c:v>
                </c:pt>
                <c:pt idx="16">
                  <c:v>-11.440417083050802</c:v>
                </c:pt>
                <c:pt idx="17">
                  <c:v>13.382021379423113</c:v>
                </c:pt>
                <c:pt idx="18">
                  <c:v>36.399096169487734</c:v>
                </c:pt>
                <c:pt idx="19">
                  <c:v>57.742113402997759</c:v>
                </c:pt>
                <c:pt idx="20">
                  <c:v>77.532829155405452</c:v>
                </c:pt>
                <c:pt idx="21">
                  <c:v>95.884144046859149</c:v>
                </c:pt>
                <c:pt idx="22">
                  <c:v>112.90074730935268</c:v>
                </c:pt>
                <c:pt idx="23">
                  <c:v>128.67977942548305</c:v>
                </c:pt>
                <c:pt idx="24">
                  <c:v>143.31124556953122</c:v>
                </c:pt>
                <c:pt idx="25">
                  <c:v>156.87860508492133</c:v>
                </c:pt>
                <c:pt idx="26">
                  <c:v>169.4592475446467</c:v>
                </c:pt>
                <c:pt idx="27">
                  <c:v>181.12493418911933</c:v>
                </c:pt>
                <c:pt idx="28">
                  <c:v>191.94220725944848</c:v>
                </c:pt>
                <c:pt idx="29">
                  <c:v>201.97276956102641</c:v>
                </c:pt>
                <c:pt idx="30">
                  <c:v>200.63562776269598</c:v>
                </c:pt>
                <c:pt idx="31">
                  <c:v>200.55541363987166</c:v>
                </c:pt>
                <c:pt idx="32">
                  <c:v>200.48103327143457</c:v>
                </c:pt>
                <c:pt idx="33">
                  <c:v>200.41206238433838</c:v>
                </c:pt>
                <c:pt idx="34">
                  <c:v>200.34810756175824</c:v>
                </c:pt>
                <c:pt idx="35">
                  <c:v>200.28880399900214</c:v>
                </c:pt>
                <c:pt idx="36">
                  <c:v>200.23381342262829</c:v>
                </c:pt>
                <c:pt idx="37">
                  <c:v>200.1828221608998</c:v>
                </c:pt>
                <c:pt idx="38">
                  <c:v>200.13553935456977</c:v>
                </c:pt>
                <c:pt idx="39">
                  <c:v>200.09169529779101</c:v>
                </c:pt>
                <c:pt idx="40">
                  <c:v>200.09169529779101</c:v>
                </c:pt>
                <c:pt idx="41">
                  <c:v>200.09169529779101</c:v>
                </c:pt>
                <c:pt idx="42">
                  <c:v>200.09169529779101</c:v>
                </c:pt>
                <c:pt idx="43">
                  <c:v>200.09169529779101</c:v>
                </c:pt>
                <c:pt idx="44">
                  <c:v>200.09169529779101</c:v>
                </c:pt>
              </c:numCache>
            </c:numRef>
          </c:val>
          <c:smooth val="0"/>
          <c:extLst>
            <c:ext xmlns:c16="http://schemas.microsoft.com/office/drawing/2014/chart" uri="{C3380CC4-5D6E-409C-BE32-E72D297353CC}">
              <c16:uniqueId val="{00000032-1F0F-4DF5-BD25-A837C1A902AA}"/>
            </c:ext>
          </c:extLst>
        </c:ser>
        <c:ser>
          <c:idx val="3"/>
          <c:order val="3"/>
          <c:tx>
            <c:strRef>
              <c:f>Output!$B$136</c:f>
              <c:strCache>
                <c:ptCount val="1"/>
                <c:pt idx="0">
                  <c:v>Large H2</c:v>
                </c:pt>
              </c:strCache>
            </c:strRef>
          </c:tx>
          <c:spPr>
            <a:ln w="28575" cap="rnd">
              <a:solidFill>
                <a:schemeClr val="accent6"/>
              </a:solidFill>
              <a:prstDash val="sysDash"/>
              <a:round/>
            </a:ln>
            <a:effectLst/>
          </c:spPr>
          <c:marker>
            <c:symbol val="none"/>
          </c:marker>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Output!$J$168:$BE$168</c15:sqref>
                  </c15:fullRef>
                </c:ext>
              </c:extLst>
              <c:f>Output!$J$168:$BB$168</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-77.608549781786039</c:v>
                </c:pt>
                <c:pt idx="13">
                  <c:v>-80.978909362931319</c:v>
                </c:pt>
                <c:pt idx="14">
                  <c:v>-84.105613483167957</c:v>
                </c:pt>
                <c:pt idx="15">
                  <c:v>-87.006276241504722</c:v>
                </c:pt>
                <c:pt idx="16">
                  <c:v>-89.697238442342325</c:v>
                </c:pt>
                <c:pt idx="17">
                  <c:v>-92.193659636479524</c:v>
                </c:pt>
                <c:pt idx="18">
                  <c:v>-94.509603509117909</c:v>
                </c:pt>
                <c:pt idx="19">
                  <c:v>-96.65811709574615</c:v>
                </c:pt>
                <c:pt idx="20">
                  <c:v>-98.651304272027801</c:v>
                </c:pt>
                <c:pt idx="21">
                  <c:v>-100.50039393157162</c:v>
                </c:pt>
                <c:pt idx="22">
                  <c:v>-102.21580323554922</c:v>
                </c:pt>
                <c:pt idx="23">
                  <c:v>-105.9432836346827</c:v>
                </c:pt>
                <c:pt idx="24">
                  <c:v>-107.4182520973755</c:v>
                </c:pt>
                <c:pt idx="25">
                  <c:v>-108.78595012641792</c:v>
                </c:pt>
                <c:pt idx="26">
                  <c:v>-110.05417920789361</c:v>
                </c:pt>
                <c:pt idx="27">
                  <c:v>-111.23017344708016</c:v>
                </c:pt>
                <c:pt idx="28">
                  <c:v>-112.32064083250769</c:v>
                </c:pt>
                <c:pt idx="29">
                  <c:v>-113.33180149899503</c:v>
                </c:pt>
                <c:pt idx="30">
                  <c:v>-114.26942320791967</c:v>
                </c:pt>
                <c:pt idx="31">
                  <c:v>-115.13885424710432</c:v>
                </c:pt>
                <c:pt idx="32">
                  <c:v>-118.87484152082322</c:v>
                </c:pt>
                <c:pt idx="33">
                  <c:v>-118.87484152082322</c:v>
                </c:pt>
                <c:pt idx="34">
                  <c:v>-118.87484152082322</c:v>
                </c:pt>
                <c:pt idx="35">
                  <c:v>-118.87484152082322</c:v>
                </c:pt>
                <c:pt idx="36">
                  <c:v>-118.87484152082322</c:v>
                </c:pt>
                <c:pt idx="37">
                  <c:v>-118.87484152082322</c:v>
                </c:pt>
                <c:pt idx="38">
                  <c:v>-118.87484152082322</c:v>
                </c:pt>
                <c:pt idx="39">
                  <c:v>-118.87484152082322</c:v>
                </c:pt>
                <c:pt idx="40">
                  <c:v>-118.87484152082322</c:v>
                </c:pt>
                <c:pt idx="41">
                  <c:v>-118.87484152082322</c:v>
                </c:pt>
                <c:pt idx="42">
                  <c:v>-118.87484152082322</c:v>
                </c:pt>
                <c:pt idx="43">
                  <c:v>-118.87484152082322</c:v>
                </c:pt>
                <c:pt idx="44">
                  <c:v>-118.87484152082322</c:v>
                </c:pt>
              </c:numCache>
            </c:numRef>
          </c:val>
          <c:smooth val="0"/>
          <c:extLst>
            <c:ext xmlns:c16="http://schemas.microsoft.com/office/drawing/2014/chart" uri="{C3380CC4-5D6E-409C-BE32-E72D297353CC}">
              <c16:uniqueId val="{00000033-1F0F-4DF5-BD25-A837C1A902AA}"/>
            </c:ext>
          </c:extLst>
        </c:ser>
        <c:ser>
          <c:idx val="4"/>
          <c:order val="4"/>
          <c:tx>
            <c:strRef>
              <c:f>Output!$E$271</c:f>
              <c:strCache>
                <c:ptCount val="1"/>
                <c:pt idx="0">
                  <c:v>Small H2</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Output!$J$131:$BE$131</c15:sqref>
                  </c15:fullRef>
                </c:ext>
              </c:extLst>
              <c:f>Output!$J$131:$BB$131</c:f>
              <c:numCache>
                <c:formatCode>_(* #,##0_);_(* \(#,##0\);_(* "-"_);_(@_)</c:formatCode>
                <c:ptCount val="45"/>
                <c:pt idx="0">
                  <c:v>0</c:v>
                </c:pt>
                <c:pt idx="1">
                  <c:v>0</c:v>
                </c:pt>
                <c:pt idx="2">
                  <c:v>0</c:v>
                </c:pt>
                <c:pt idx="3">
                  <c:v>0</c:v>
                </c:pt>
                <c:pt idx="4">
                  <c:v>0</c:v>
                </c:pt>
                <c:pt idx="5">
                  <c:v>0</c:v>
                </c:pt>
                <c:pt idx="6">
                  <c:v>0</c:v>
                </c:pt>
                <c:pt idx="7">
                  <c:v>-15.878511538359634</c:v>
                </c:pt>
                <c:pt idx="8">
                  <c:v>-16.415526795469184</c:v>
                </c:pt>
                <c:pt idx="9">
                  <c:v>-16.913489767625215</c:v>
                </c:pt>
                <c:pt idx="10">
                  <c:v>-17.375240375907325</c:v>
                </c:pt>
                <c:pt idx="11">
                  <c:v>-17.803412019505604</c:v>
                </c:pt>
                <c:pt idx="12">
                  <c:v>-17.803412019505604</c:v>
                </c:pt>
                <c:pt idx="13">
                  <c:v>-17.803412019505604</c:v>
                </c:pt>
                <c:pt idx="14">
                  <c:v>-17.803412019505604</c:v>
                </c:pt>
                <c:pt idx="15">
                  <c:v>-17.803412019505604</c:v>
                </c:pt>
                <c:pt idx="16">
                  <c:v>-17.803412019505604</c:v>
                </c:pt>
                <c:pt idx="17">
                  <c:v>-17.803412019505604</c:v>
                </c:pt>
                <c:pt idx="18">
                  <c:v>-17.803412019505604</c:v>
                </c:pt>
                <c:pt idx="19">
                  <c:v>-17.803412019505604</c:v>
                </c:pt>
                <c:pt idx="20">
                  <c:v>-17.803412019505604</c:v>
                </c:pt>
                <c:pt idx="21">
                  <c:v>-17.803412019505604</c:v>
                </c:pt>
                <c:pt idx="22">
                  <c:v>-17.803412019505604</c:v>
                </c:pt>
                <c:pt idx="23">
                  <c:v>-17.803412019505604</c:v>
                </c:pt>
                <c:pt idx="24">
                  <c:v>-17.803412019505604</c:v>
                </c:pt>
                <c:pt idx="25">
                  <c:v>-17.803412019505604</c:v>
                </c:pt>
                <c:pt idx="26">
                  <c:v>-17.803412019505604</c:v>
                </c:pt>
                <c:pt idx="27">
                  <c:v>-17.803412019505604</c:v>
                </c:pt>
                <c:pt idx="28">
                  <c:v>-17.803412019505604</c:v>
                </c:pt>
                <c:pt idx="29">
                  <c:v>-17.803412019505604</c:v>
                </c:pt>
                <c:pt idx="30">
                  <c:v>-17.803412019505604</c:v>
                </c:pt>
                <c:pt idx="31">
                  <c:v>-17.803412019505604</c:v>
                </c:pt>
                <c:pt idx="32">
                  <c:v>-17.803412019505604</c:v>
                </c:pt>
                <c:pt idx="33">
                  <c:v>-17.803412019505604</c:v>
                </c:pt>
                <c:pt idx="34">
                  <c:v>-17.803412019505604</c:v>
                </c:pt>
                <c:pt idx="35">
                  <c:v>-17.803412019505604</c:v>
                </c:pt>
                <c:pt idx="36">
                  <c:v>-17.803412019505604</c:v>
                </c:pt>
                <c:pt idx="37">
                  <c:v>-17.803412019505604</c:v>
                </c:pt>
                <c:pt idx="38">
                  <c:v>-17.803412019505604</c:v>
                </c:pt>
                <c:pt idx="39">
                  <c:v>-17.803412019505604</c:v>
                </c:pt>
                <c:pt idx="40">
                  <c:v>-17.803412019505604</c:v>
                </c:pt>
                <c:pt idx="41">
                  <c:v>-17.803412019505604</c:v>
                </c:pt>
                <c:pt idx="42">
                  <c:v>-17.803412019505604</c:v>
                </c:pt>
                <c:pt idx="43">
                  <c:v>-17.803412019505604</c:v>
                </c:pt>
                <c:pt idx="44">
                  <c:v>-17.803412019505604</c:v>
                </c:pt>
              </c:numCache>
            </c:numRef>
          </c:val>
          <c:smooth val="0"/>
          <c:extLst>
            <c:ext xmlns:c16="http://schemas.microsoft.com/office/drawing/2014/chart" uri="{C3380CC4-5D6E-409C-BE32-E72D297353CC}">
              <c16:uniqueId val="{00000034-1F0F-4DF5-BD25-A837C1A902AA}"/>
            </c:ext>
          </c:extLst>
        </c:ser>
        <c:ser>
          <c:idx val="5"/>
          <c:order val="5"/>
          <c:tx>
            <c:strRef>
              <c:f>Output!$B$7</c:f>
              <c:strCache>
                <c:ptCount val="1"/>
                <c:pt idx="0">
                  <c:v>Business as usual</c:v>
                </c:pt>
              </c:strCache>
            </c:strRef>
          </c:tx>
          <c:spPr>
            <a:ln w="28575" cap="rnd">
              <a:solidFill>
                <a:schemeClr val="tx1"/>
              </a:solidFill>
              <a:round/>
            </a:ln>
            <a:effectLst/>
          </c:spPr>
          <c:marker>
            <c:symbol val="none"/>
          </c:marker>
          <c:cat>
            <c:strLit>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Output!$J$26:$BE$26</c15:sqref>
                  </c15:fullRef>
                </c:ext>
              </c:extLst>
              <c:f>Output!$J$26:$BB$26</c:f>
              <c:numCache>
                <c:formatCode>_(* #,##0_);_(* \(#,##0\);_(* "-"_);_(@_)</c:formatCode>
                <c:ptCount val="45"/>
                <c:pt idx="0">
                  <c:v>0</c:v>
                </c:pt>
                <c:pt idx="1">
                  <c:v>0</c:v>
                </c:pt>
                <c:pt idx="2">
                  <c:v>0</c:v>
                </c:pt>
                <c:pt idx="3">
                  <c:v>0</c:v>
                </c:pt>
                <c:pt idx="4">
                  <c:v>38.81207536744823</c:v>
                </c:pt>
                <c:pt idx="5">
                  <c:v>76.534258375464816</c:v>
                </c:pt>
                <c:pt idx="6">
                  <c:v>111.95830851701636</c:v>
                </c:pt>
                <c:pt idx="7">
                  <c:v>145.17900139705199</c:v>
                </c:pt>
                <c:pt idx="8">
                  <c:v>176.33261419448462</c:v>
                </c:pt>
                <c:pt idx="9">
                  <c:v>205.53907578062143</c:v>
                </c:pt>
                <c:pt idx="10">
                  <c:v>232.89777454913084</c:v>
                </c:pt>
                <c:pt idx="11">
                  <c:v>258.52756924650151</c:v>
                </c:pt>
                <c:pt idx="12">
                  <c:v>239.15532060507655</c:v>
                </c:pt>
                <c:pt idx="13">
                  <c:v>239.15532060507655</c:v>
                </c:pt>
                <c:pt idx="14">
                  <c:v>239.15532060507655</c:v>
                </c:pt>
                <c:pt idx="15">
                  <c:v>239.15532060507655</c:v>
                </c:pt>
                <c:pt idx="16">
                  <c:v>239.15532060507655</c:v>
                </c:pt>
                <c:pt idx="17">
                  <c:v>239.15532060507655</c:v>
                </c:pt>
                <c:pt idx="18">
                  <c:v>239.15532060507655</c:v>
                </c:pt>
                <c:pt idx="19">
                  <c:v>239.15532060507655</c:v>
                </c:pt>
                <c:pt idx="20">
                  <c:v>239.15532060507655</c:v>
                </c:pt>
                <c:pt idx="21">
                  <c:v>239.15532060507655</c:v>
                </c:pt>
                <c:pt idx="22">
                  <c:v>239.15532060507655</c:v>
                </c:pt>
                <c:pt idx="23">
                  <c:v>239.15532060507655</c:v>
                </c:pt>
                <c:pt idx="24">
                  <c:v>239.15532060507655</c:v>
                </c:pt>
                <c:pt idx="25">
                  <c:v>239.15532060507655</c:v>
                </c:pt>
                <c:pt idx="26">
                  <c:v>239.15532060507655</c:v>
                </c:pt>
                <c:pt idx="27">
                  <c:v>239.15532060507655</c:v>
                </c:pt>
                <c:pt idx="28">
                  <c:v>239.15532060507655</c:v>
                </c:pt>
                <c:pt idx="29">
                  <c:v>239.15532060507655</c:v>
                </c:pt>
                <c:pt idx="30">
                  <c:v>239.15532060507655</c:v>
                </c:pt>
                <c:pt idx="31">
                  <c:v>239.15532060507655</c:v>
                </c:pt>
                <c:pt idx="32">
                  <c:v>239.15532060507655</c:v>
                </c:pt>
                <c:pt idx="33">
                  <c:v>239.15532060507655</c:v>
                </c:pt>
                <c:pt idx="34">
                  <c:v>239.15532060507655</c:v>
                </c:pt>
                <c:pt idx="35">
                  <c:v>239.15532060507655</c:v>
                </c:pt>
                <c:pt idx="36">
                  <c:v>239.15532060507655</c:v>
                </c:pt>
                <c:pt idx="37">
                  <c:v>239.15532060507655</c:v>
                </c:pt>
                <c:pt idx="38">
                  <c:v>239.15532060507655</c:v>
                </c:pt>
                <c:pt idx="39">
                  <c:v>239.15532060507655</c:v>
                </c:pt>
                <c:pt idx="40">
                  <c:v>239.15532060507655</c:v>
                </c:pt>
                <c:pt idx="41">
                  <c:v>239.15532060507655</c:v>
                </c:pt>
                <c:pt idx="42">
                  <c:v>239.15532060507655</c:v>
                </c:pt>
                <c:pt idx="43">
                  <c:v>239.15532060507655</c:v>
                </c:pt>
                <c:pt idx="44">
                  <c:v>239.15532060507655</c:v>
                </c:pt>
              </c:numCache>
            </c:numRef>
          </c:val>
          <c:smooth val="0"/>
          <c:extLst>
            <c:ext xmlns:c16="http://schemas.microsoft.com/office/drawing/2014/chart" uri="{C3380CC4-5D6E-409C-BE32-E72D297353CC}">
              <c16:uniqueId val="{00000000-B4CC-44D2-913C-A7241E541A6E}"/>
            </c:ext>
          </c:extLst>
        </c:ser>
        <c:dLbls>
          <c:showLegendKey val="0"/>
          <c:showVal val="0"/>
          <c:showCatName val="0"/>
          <c:showSerName val="0"/>
          <c:showPercent val="0"/>
          <c:showBubbleSize val="0"/>
        </c:dLbls>
        <c:smooth val="0"/>
        <c:axId val="607988656"/>
        <c:axId val="607986032"/>
      </c:lineChart>
      <c:catAx>
        <c:axId val="607988656"/>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2700000" spcFirstLastPara="1" vertOverflow="ellipsis"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7986032"/>
        <c:crosses val="autoZero"/>
        <c:auto val="1"/>
        <c:lblAlgn val="ctr"/>
        <c:lblOffset val="100"/>
        <c:noMultiLvlLbl val="0"/>
      </c:catAx>
      <c:valAx>
        <c:axId val="607986032"/>
        <c:scaling>
          <c:orientation val="minMax"/>
          <c:max val="1000"/>
        </c:scaling>
        <c:delete val="0"/>
        <c:axPos val="l"/>
        <c:majorGridlines>
          <c:spPr>
            <a:ln w="317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GB" sz="1800"/>
                  <a:t>Cumulated disc.</a:t>
                </a:r>
                <a:r>
                  <a:rPr lang="en-GB" sz="1800" baseline="0"/>
                  <a:t> cashflows [Million EUR]</a:t>
                </a:r>
                <a:endParaRPr lang="en-GB" sz="1800"/>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_ * #,##0_ ;[Red]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79886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Output!$G$3</c:f>
          <c:strCache>
            <c:ptCount val="1"/>
            <c:pt idx="0">
              <c:v>P15 Scenario 1</c:v>
            </c:pt>
          </c:strCache>
        </c:strRef>
      </c:tx>
      <c:overlay val="0"/>
      <c:spPr>
        <a:noFill/>
        <a:ln>
          <a:noFill/>
        </a:ln>
        <a:effectLst/>
      </c:spPr>
      <c:txPr>
        <a:bodyPr rot="0" spcFirstLastPara="1" vertOverflow="ellipsis" vert="horz" wrap="square" anchor="ctr" anchorCtr="1"/>
        <a:lstStyle/>
        <a:p>
          <a:pPr>
            <a:defRPr sz="2400" b="1" i="0" u="none" strike="noStrike" kern="1200" spc="0" baseline="0">
              <a:ln>
                <a:noFill/>
              </a:ln>
              <a:solidFill>
                <a:sysClr val="windowText" lastClr="000000"/>
              </a:solidFill>
              <a:latin typeface="+mn-lt"/>
              <a:ea typeface="+mn-ea"/>
              <a:cs typeface="+mn-cs"/>
            </a:defRPr>
          </a:pPr>
          <a:endParaRPr lang="en-US"/>
        </a:p>
      </c:txPr>
    </c:title>
    <c:autoTitleDeleted val="0"/>
    <c:plotArea>
      <c:layout/>
      <c:lineChart>
        <c:grouping val="standard"/>
        <c:varyColors val="0"/>
        <c:ser>
          <c:idx val="6"/>
          <c:order val="4"/>
          <c:tx>
            <c:strRef>
              <c:f>Output!$E$281</c:f>
              <c:strCache>
                <c:ptCount val="1"/>
                <c:pt idx="0">
                  <c:v>Delta wrt business as usual</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ullRef>
                    <c15:sqref>Output!$J$6:$BE$6</c15:sqref>
                  </c15:fullRef>
                </c:ext>
              </c:extLst>
              <c:f>Output!$J$6:$AT$6</c:f>
              <c:numCache>
                <c:formatCode>General</c:formatCode>
                <c:ptCount val="37"/>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numCache>
            </c:numRef>
          </c:cat>
          <c:val>
            <c:numRef>
              <c:extLst>
                <c:ext xmlns:c15="http://schemas.microsoft.com/office/drawing/2012/chart" uri="{02D57815-91ED-43cb-92C2-25804820EDAC}">
                  <c15:fullRef>
                    <c15:sqref>Output!$J$297:$BE$297</c15:sqref>
                  </c15:fullRef>
                </c:ext>
              </c:extLst>
              <c:f>Output!$J$297:$AT$297</c:f>
              <c:numCache>
                <c:formatCode>_ * #,##0_ ;[Red]_ * \-#,##0_ ;_ * "-"?_ ;_ @_ </c:formatCode>
                <c:ptCount val="37"/>
                <c:pt idx="0">
                  <c:v>0</c:v>
                </c:pt>
                <c:pt idx="1">
                  <c:v>0</c:v>
                </c:pt>
                <c:pt idx="2">
                  <c:v>0</c:v>
                </c:pt>
                <c:pt idx="3">
                  <c:v>-48.226466393039289</c:v>
                </c:pt>
                <c:pt idx="4">
                  <c:v>-34.200684077101776</c:v>
                </c:pt>
                <c:pt idx="5">
                  <c:v>-20.921750987155328</c:v>
                </c:pt>
                <c:pt idx="6">
                  <c:v>-8.4830849891980478</c:v>
                </c:pt>
                <c:pt idx="7">
                  <c:v>-12.711212632817324</c:v>
                </c:pt>
                <c:pt idx="8">
                  <c:v>-2.3372581746189347</c:v>
                </c:pt>
                <c:pt idx="9">
                  <c:v>7.3822636772441577</c:v>
                </c:pt>
                <c:pt idx="10">
                  <c:v>16.487672617137701</c:v>
                </c:pt>
                <c:pt idx="11">
                  <c:v>25.016885118330055</c:v>
                </c:pt>
                <c:pt idx="12">
                  <c:v>-33.219416022031083</c:v>
                </c:pt>
                <c:pt idx="13">
                  <c:v>-103.66868844021074</c:v>
                </c:pt>
                <c:pt idx="14">
                  <c:v>-106.79539256044738</c:v>
                </c:pt>
                <c:pt idx="15">
                  <c:v>-80.826966921406921</c:v>
                </c:pt>
                <c:pt idx="16">
                  <c:v>-56.748521765638145</c:v>
                </c:pt>
                <c:pt idx="17">
                  <c:v>-34.422504497301432</c:v>
                </c:pt>
                <c:pt idx="18">
                  <c:v>-13.721373579875177</c:v>
                </c:pt>
                <c:pt idx="19">
                  <c:v>5.4731300670066076</c:v>
                </c:pt>
                <c:pt idx="20">
                  <c:v>23.270658643132634</c:v>
                </c:pt>
                <c:pt idx="21">
                  <c:v>39.77288387504251</c:v>
                </c:pt>
                <c:pt idx="22">
                  <c:v>55.074077833558476</c:v>
                </c:pt>
                <c:pt idx="23">
                  <c:v>67.12562955055536</c:v>
                </c:pt>
                <c:pt idx="24">
                  <c:v>80.282127231910707</c:v>
                </c:pt>
                <c:pt idx="25">
                  <c:v>92.4817887182584</c:v>
                </c:pt>
                <c:pt idx="26">
                  <c:v>103.79420209650807</c:v>
                </c:pt>
                <c:pt idx="27">
                  <c:v>114.28389450179412</c:v>
                </c:pt>
                <c:pt idx="28">
                  <c:v>124.01070018669574</c:v>
                </c:pt>
                <c:pt idx="29">
                  <c:v>133.03010182178633</c:v>
                </c:pt>
                <c:pt idx="30">
                  <c:v>130.75533831453129</c:v>
                </c:pt>
                <c:pt idx="31">
                  <c:v>129.80569315252228</c:v>
                </c:pt>
                <c:pt idx="32">
                  <c:v>125.99532551036634</c:v>
                </c:pt>
                <c:pt idx="33">
                  <c:v>125.92635462327007</c:v>
                </c:pt>
                <c:pt idx="34">
                  <c:v>125.86239980069001</c:v>
                </c:pt>
                <c:pt idx="35">
                  <c:v>125.80309623793391</c:v>
                </c:pt>
                <c:pt idx="36">
                  <c:v>125.74810566156003</c:v>
                </c:pt>
              </c:numCache>
            </c:numRef>
          </c:val>
          <c:smooth val="0"/>
          <c:extLst>
            <c:ext xmlns:c16="http://schemas.microsoft.com/office/drawing/2014/chart" uri="{C3380CC4-5D6E-409C-BE32-E72D297353CC}">
              <c16:uniqueId val="{00000036-30A5-4D61-AAD7-7F53D82FDC2F}"/>
            </c:ext>
          </c:extLst>
        </c:ser>
        <c:dLbls>
          <c:showLegendKey val="0"/>
          <c:showVal val="0"/>
          <c:showCatName val="0"/>
          <c:showSerName val="0"/>
          <c:showPercent val="0"/>
          <c:showBubbleSize val="0"/>
        </c:dLbls>
        <c:smooth val="0"/>
        <c:axId val="607988656"/>
        <c:axId val="607986032"/>
        <c:extLst>
          <c:ext xmlns:c15="http://schemas.microsoft.com/office/drawing/2012/chart" uri="{02D57815-91ED-43cb-92C2-25804820EDAC}">
            <c15:filteredLineSeries>
              <c15:ser>
                <c:idx val="1"/>
                <c:order val="0"/>
                <c:tx>
                  <c:strRef>
                    <c:extLst>
                      <c:ext uri="{02D57815-91ED-43cb-92C2-25804820EDAC}">
                        <c15:formulaRef>
                          <c15:sqref>Output!$B$30</c15:sqref>
                        </c15:formulaRef>
                      </c:ext>
                    </c:extLst>
                    <c:strCache>
                      <c:ptCount val="1"/>
                      <c:pt idx="0">
                        <c:v>Electrification</c:v>
                      </c:pt>
                    </c:strCache>
                  </c:strRef>
                </c:tx>
                <c:spPr>
                  <a:ln w="28575" cap="rnd">
                    <a:solidFill>
                      <a:schemeClr val="accent1"/>
                    </a:solidFill>
                    <a:prstDash val="sysDash"/>
                    <a:round/>
                  </a:ln>
                  <a:effectLst/>
                </c:spPr>
                <c:marker>
                  <c:symbol val="none"/>
                </c:marker>
                <c:cat>
                  <c:numRef>
                    <c:extLst>
                      <c:ext uri="{02D57815-91ED-43cb-92C2-25804820EDAC}">
                        <c15:fullRef>
                          <c15:sqref>Output!$J$6:$BE$6</c15:sqref>
                        </c15:fullRef>
                        <c15:formulaRef>
                          <c15:sqref>Output!$J$6:$AT$6</c15:sqref>
                        </c15:formulaRef>
                      </c:ext>
                    </c:extLst>
                    <c:numCache>
                      <c:formatCode>General</c:formatCode>
                      <c:ptCount val="37"/>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numCache>
                  </c:numRef>
                </c:cat>
                <c:val>
                  <c:numRef>
                    <c:extLst>
                      <c:ext uri="{02D57815-91ED-43cb-92C2-25804820EDAC}">
                        <c15:fullRef>
                          <c15:sqref>Output!$J$57:$BE$57</c15:sqref>
                        </c15:fullRef>
                        <c15:formulaRef>
                          <c15:sqref>Output!$J$57:$AT$57</c15:sqref>
                        </c15:formulaRef>
                      </c:ext>
                    </c:extLst>
                    <c:numCache>
                      <c:formatCode>_(* #,##0_);_(* \(#,##0\);_(* "-"_);_(@_)</c:formatCode>
                      <c:ptCount val="37"/>
                      <c:pt idx="0">
                        <c:v>0</c:v>
                      </c:pt>
                      <c:pt idx="1">
                        <c:v>0</c:v>
                      </c:pt>
                      <c:pt idx="2">
                        <c:v>0</c:v>
                      </c:pt>
                      <c:pt idx="3">
                        <c:v>-48.226466393039296</c:v>
                      </c:pt>
                      <c:pt idx="4">
                        <c:v>4.6113912903464662</c:v>
                      </c:pt>
                      <c:pt idx="5">
                        <c:v>55.612507388309524</c:v>
                      </c:pt>
                      <c:pt idx="6">
                        <c:v>103.47522352781836</c:v>
                      </c:pt>
                      <c:pt idx="7">
                        <c:v>148.34630030259433</c:v>
                      </c:pt>
                      <c:pt idx="8">
                        <c:v>190.4108828153349</c:v>
                      </c:pt>
                      <c:pt idx="9">
                        <c:v>229.83482922549084</c:v>
                      </c:pt>
                      <c:pt idx="10">
                        <c:v>266.76068754217596</c:v>
                      </c:pt>
                      <c:pt idx="11">
                        <c:v>301.34786638433724</c:v>
                      </c:pt>
                      <c:pt idx="12">
                        <c:v>301.34786638433724</c:v>
                      </c:pt>
                      <c:pt idx="13">
                        <c:v>301.34786638433724</c:v>
                      </c:pt>
                      <c:pt idx="14">
                        <c:v>301.34786638433724</c:v>
                      </c:pt>
                      <c:pt idx="15">
                        <c:v>301.34786638433724</c:v>
                      </c:pt>
                      <c:pt idx="16">
                        <c:v>301.34786638433724</c:v>
                      </c:pt>
                      <c:pt idx="17">
                        <c:v>301.34786638433724</c:v>
                      </c:pt>
                      <c:pt idx="18">
                        <c:v>301.34786638433724</c:v>
                      </c:pt>
                      <c:pt idx="19">
                        <c:v>301.34786638433724</c:v>
                      </c:pt>
                      <c:pt idx="20">
                        <c:v>301.34786638433724</c:v>
                      </c:pt>
                      <c:pt idx="21">
                        <c:v>301.34786638433724</c:v>
                      </c:pt>
                      <c:pt idx="22">
                        <c:v>301.34786638433724</c:v>
                      </c:pt>
                      <c:pt idx="23">
                        <c:v>301.34786638433724</c:v>
                      </c:pt>
                      <c:pt idx="24">
                        <c:v>301.34786638433724</c:v>
                      </c:pt>
                      <c:pt idx="25">
                        <c:v>301.34786638433724</c:v>
                      </c:pt>
                      <c:pt idx="26">
                        <c:v>301.34786638433724</c:v>
                      </c:pt>
                      <c:pt idx="27">
                        <c:v>301.34786638433724</c:v>
                      </c:pt>
                      <c:pt idx="28">
                        <c:v>301.34786638433724</c:v>
                      </c:pt>
                      <c:pt idx="29">
                        <c:v>301.34786638433724</c:v>
                      </c:pt>
                      <c:pt idx="30">
                        <c:v>301.34786638433724</c:v>
                      </c:pt>
                      <c:pt idx="31">
                        <c:v>301.34786638433724</c:v>
                      </c:pt>
                      <c:pt idx="32">
                        <c:v>301.34786638433724</c:v>
                      </c:pt>
                      <c:pt idx="33">
                        <c:v>301.34786638433724</c:v>
                      </c:pt>
                      <c:pt idx="34">
                        <c:v>301.34786638433724</c:v>
                      </c:pt>
                      <c:pt idx="35">
                        <c:v>301.34786638433724</c:v>
                      </c:pt>
                      <c:pt idx="36">
                        <c:v>301.34786638433724</c:v>
                      </c:pt>
                    </c:numCache>
                  </c:numRef>
                </c:val>
                <c:smooth val="0"/>
                <c:extLst>
                  <c:ext xmlns:c16="http://schemas.microsoft.com/office/drawing/2014/chart" uri="{C3380CC4-5D6E-409C-BE32-E72D297353CC}">
                    <c16:uniqueId val="{00000031-30A5-4D61-AAD7-7F53D82FDC2F}"/>
                  </c:ext>
                </c:extLst>
              </c15:ser>
            </c15:filteredLineSeries>
            <c15:filteredLineSeries>
              <c15:ser>
                <c:idx val="7"/>
                <c:order val="1"/>
                <c:tx>
                  <c:strRef>
                    <c:extLst xmlns:c15="http://schemas.microsoft.com/office/drawing/2012/chart">
                      <c:ext xmlns:c15="http://schemas.microsoft.com/office/drawing/2012/chart" uri="{02D57815-91ED-43cb-92C2-25804820EDAC}">
                        <c15:formulaRef>
                          <c15:sqref>Output!$B$60</c15:sqref>
                        </c15:formulaRef>
                      </c:ext>
                    </c:extLst>
                    <c:strCache>
                      <c:ptCount val="1"/>
                      <c:pt idx="0">
                        <c:v>CCS</c:v>
                      </c:pt>
                    </c:strCache>
                  </c:strRef>
                </c:tx>
                <c:spPr>
                  <a:ln w="28575" cap="rnd">
                    <a:solidFill>
                      <a:schemeClr val="accent2">
                        <a:lumMod val="60000"/>
                      </a:schemeClr>
                    </a:solidFill>
                    <a:prstDash val="sysDash"/>
                    <a:round/>
                  </a:ln>
                  <a:effectLst/>
                </c:spPr>
                <c:marker>
                  <c:symbol val="none"/>
                </c:marker>
                <c:cat>
                  <c:numRef>
                    <c:extLst>
                      <c:ext xmlns:c15="http://schemas.microsoft.com/office/drawing/2012/chart" uri="{02D57815-91ED-43cb-92C2-25804820EDAC}">
                        <c15:fullRef>
                          <c15:sqref>Output!$J$6:$BE$6</c15:sqref>
                        </c15:fullRef>
                        <c15:formulaRef>
                          <c15:sqref>Output!$J$6:$AT$6</c15:sqref>
                        </c15:formulaRef>
                      </c:ext>
                    </c:extLst>
                    <c:numCache>
                      <c:formatCode>General</c:formatCode>
                      <c:ptCount val="37"/>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numCache>
                  </c:numRef>
                </c:cat>
                <c:val>
                  <c:numRef>
                    <c:extLst>
                      <c:ext xmlns:c15="http://schemas.microsoft.com/office/drawing/2012/chart" uri="{02D57815-91ED-43cb-92C2-25804820EDAC}">
                        <c15:fullRef>
                          <c15:sqref>Output!$J$95:$BE$95</c15:sqref>
                        </c15:fullRef>
                        <c15:formulaRef>
                          <c15:sqref>Output!$J$95:$AT$95</c15:sqref>
                        </c15:formulaRef>
                      </c:ext>
                    </c:extLst>
                    <c:numCache>
                      <c:formatCode>_(* #,##0_);_(* \(#,##0\);_(* "-"_);_(@_)</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-67.078912837034395</c:v>
                      </c:pt>
                      <c:pt idx="14">
                        <c:v>-67.078912837034395</c:v>
                      </c:pt>
                      <c:pt idx="15">
                        <c:v>-38.209824439657176</c:v>
                      </c:pt>
                      <c:pt idx="16">
                        <c:v>-11.440417083050802</c:v>
                      </c:pt>
                      <c:pt idx="17">
                        <c:v>13.382021379423113</c:v>
                      </c:pt>
                      <c:pt idx="18">
                        <c:v>36.399096169487734</c:v>
                      </c:pt>
                      <c:pt idx="19">
                        <c:v>57.742113402997759</c:v>
                      </c:pt>
                      <c:pt idx="20">
                        <c:v>77.532829155405452</c:v>
                      </c:pt>
                      <c:pt idx="21">
                        <c:v>95.884144046859149</c:v>
                      </c:pt>
                      <c:pt idx="22">
                        <c:v>112.90074730935268</c:v>
                      </c:pt>
                      <c:pt idx="23">
                        <c:v>128.67977942548305</c:v>
                      </c:pt>
                      <c:pt idx="24">
                        <c:v>143.31124556953122</c:v>
                      </c:pt>
                      <c:pt idx="25">
                        <c:v>156.87860508492133</c:v>
                      </c:pt>
                      <c:pt idx="26">
                        <c:v>169.4592475446467</c:v>
                      </c:pt>
                      <c:pt idx="27">
                        <c:v>181.12493418911933</c:v>
                      </c:pt>
                      <c:pt idx="28">
                        <c:v>191.94220725944848</c:v>
                      </c:pt>
                      <c:pt idx="29">
                        <c:v>201.97276956102641</c:v>
                      </c:pt>
                      <c:pt idx="30">
                        <c:v>200.63562776269598</c:v>
                      </c:pt>
                      <c:pt idx="31">
                        <c:v>200.55541363987166</c:v>
                      </c:pt>
                      <c:pt idx="32">
                        <c:v>200.48103327143457</c:v>
                      </c:pt>
                      <c:pt idx="33">
                        <c:v>200.41206238433838</c:v>
                      </c:pt>
                      <c:pt idx="34">
                        <c:v>200.34810756175824</c:v>
                      </c:pt>
                      <c:pt idx="35">
                        <c:v>200.28880399900214</c:v>
                      </c:pt>
                      <c:pt idx="36">
                        <c:v>200.23381342262829</c:v>
                      </c:pt>
                    </c:numCache>
                  </c:numRef>
                </c:val>
                <c:smooth val="0"/>
                <c:extLst xmlns:c15="http://schemas.microsoft.com/office/drawing/2012/chart">
                  <c:ext xmlns:c16="http://schemas.microsoft.com/office/drawing/2014/chart" uri="{C3380CC4-5D6E-409C-BE32-E72D297353CC}">
                    <c16:uniqueId val="{00000043-87C3-46CA-AEC4-82110EA1E460}"/>
                  </c:ext>
                </c:extLst>
              </c15:ser>
            </c15:filteredLineSeries>
            <c15:filteredLineSeries>
              <c15:ser>
                <c:idx val="3"/>
                <c:order val="2"/>
                <c:tx>
                  <c:strRef>
                    <c:extLst xmlns:c15="http://schemas.microsoft.com/office/drawing/2012/chart">
                      <c:ext xmlns:c15="http://schemas.microsoft.com/office/drawing/2012/chart" uri="{02D57815-91ED-43cb-92C2-25804820EDAC}">
                        <c15:formulaRef>
                          <c15:sqref>Output!$B$136</c15:sqref>
                        </c15:formulaRef>
                      </c:ext>
                    </c:extLst>
                    <c:strCache>
                      <c:ptCount val="1"/>
                      <c:pt idx="0">
                        <c:v>Large H2</c:v>
                      </c:pt>
                    </c:strCache>
                  </c:strRef>
                </c:tx>
                <c:spPr>
                  <a:ln w="28575" cap="rnd">
                    <a:solidFill>
                      <a:schemeClr val="accent6"/>
                    </a:solidFill>
                    <a:prstDash val="sysDash"/>
                    <a:round/>
                  </a:ln>
                  <a:effectLst/>
                </c:spPr>
                <c:marker>
                  <c:symbol val="none"/>
                </c:marker>
                <c:cat>
                  <c:numRef>
                    <c:extLst>
                      <c:ext xmlns:c15="http://schemas.microsoft.com/office/drawing/2012/chart" uri="{02D57815-91ED-43cb-92C2-25804820EDAC}">
                        <c15:fullRef>
                          <c15:sqref>Output!$J$6:$BE$6</c15:sqref>
                        </c15:fullRef>
                        <c15:formulaRef>
                          <c15:sqref>Output!$J$6:$AT$6</c15:sqref>
                        </c15:formulaRef>
                      </c:ext>
                    </c:extLst>
                    <c:numCache>
                      <c:formatCode>General</c:formatCode>
                      <c:ptCount val="37"/>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numCache>
                  </c:numRef>
                </c:cat>
                <c:val>
                  <c:numRef>
                    <c:extLst>
                      <c:ext xmlns:c15="http://schemas.microsoft.com/office/drawing/2012/chart" uri="{02D57815-91ED-43cb-92C2-25804820EDAC}">
                        <c15:fullRef>
                          <c15:sqref>Output!$J$168:$BE$168</c15:sqref>
                        </c15:fullRef>
                        <c15:formulaRef>
                          <c15:sqref>Output!$J$168:$AT$168</c15:sqref>
                        </c15:formulaRef>
                      </c:ext>
                    </c:extLst>
                    <c:numCache>
                      <c:formatCode>_(* #,##0_);_(* \(#,##0\);_(* "-"_);_(@_)</c:formatCode>
                      <c:ptCount val="37"/>
                      <c:pt idx="0">
                        <c:v>0</c:v>
                      </c:pt>
                      <c:pt idx="1">
                        <c:v>0</c:v>
                      </c:pt>
                      <c:pt idx="2">
                        <c:v>0</c:v>
                      </c:pt>
                      <c:pt idx="3">
                        <c:v>0</c:v>
                      </c:pt>
                      <c:pt idx="4">
                        <c:v>0</c:v>
                      </c:pt>
                      <c:pt idx="5">
                        <c:v>0</c:v>
                      </c:pt>
                      <c:pt idx="6">
                        <c:v>0</c:v>
                      </c:pt>
                      <c:pt idx="7">
                        <c:v>0</c:v>
                      </c:pt>
                      <c:pt idx="8">
                        <c:v>0</c:v>
                      </c:pt>
                      <c:pt idx="9">
                        <c:v>0</c:v>
                      </c:pt>
                      <c:pt idx="10">
                        <c:v>0</c:v>
                      </c:pt>
                      <c:pt idx="11">
                        <c:v>0</c:v>
                      </c:pt>
                      <c:pt idx="12">
                        <c:v>-77.608549781786039</c:v>
                      </c:pt>
                      <c:pt idx="13">
                        <c:v>-80.978909362931319</c:v>
                      </c:pt>
                      <c:pt idx="14">
                        <c:v>-84.105613483167957</c:v>
                      </c:pt>
                      <c:pt idx="15">
                        <c:v>-87.006276241504722</c:v>
                      </c:pt>
                      <c:pt idx="16">
                        <c:v>-89.697238442342325</c:v>
                      </c:pt>
                      <c:pt idx="17">
                        <c:v>-92.193659636479524</c:v>
                      </c:pt>
                      <c:pt idx="18">
                        <c:v>-94.509603509117909</c:v>
                      </c:pt>
                      <c:pt idx="19">
                        <c:v>-96.65811709574615</c:v>
                      </c:pt>
                      <c:pt idx="20">
                        <c:v>-98.651304272027801</c:v>
                      </c:pt>
                      <c:pt idx="21">
                        <c:v>-100.50039393157162</c:v>
                      </c:pt>
                      <c:pt idx="22">
                        <c:v>-102.21580323554922</c:v>
                      </c:pt>
                      <c:pt idx="23">
                        <c:v>-105.9432836346827</c:v>
                      </c:pt>
                      <c:pt idx="24">
                        <c:v>-107.4182520973755</c:v>
                      </c:pt>
                      <c:pt idx="25">
                        <c:v>-108.78595012641792</c:v>
                      </c:pt>
                      <c:pt idx="26">
                        <c:v>-110.05417920789361</c:v>
                      </c:pt>
                      <c:pt idx="27">
                        <c:v>-111.23017344708016</c:v>
                      </c:pt>
                      <c:pt idx="28">
                        <c:v>-112.32064083250769</c:v>
                      </c:pt>
                      <c:pt idx="29">
                        <c:v>-113.33180149899503</c:v>
                      </c:pt>
                      <c:pt idx="30">
                        <c:v>-114.26942320791967</c:v>
                      </c:pt>
                      <c:pt idx="31">
                        <c:v>-115.13885424710432</c:v>
                      </c:pt>
                      <c:pt idx="32">
                        <c:v>-118.87484152082322</c:v>
                      </c:pt>
                      <c:pt idx="33">
                        <c:v>-118.87484152082322</c:v>
                      </c:pt>
                      <c:pt idx="34">
                        <c:v>-118.87484152082322</c:v>
                      </c:pt>
                      <c:pt idx="35">
                        <c:v>-118.87484152082322</c:v>
                      </c:pt>
                      <c:pt idx="36">
                        <c:v>-118.87484152082322</c:v>
                      </c:pt>
                    </c:numCache>
                  </c:numRef>
                </c:val>
                <c:smooth val="0"/>
                <c:extLst xmlns:c15="http://schemas.microsoft.com/office/drawing/2012/chart">
                  <c:ext xmlns:c16="http://schemas.microsoft.com/office/drawing/2014/chart" uri="{C3380CC4-5D6E-409C-BE32-E72D297353CC}">
                    <c16:uniqueId val="{00000033-30A5-4D61-AAD7-7F53D82FDC2F}"/>
                  </c:ext>
                </c:extLst>
              </c15:ser>
            </c15:filteredLineSeries>
            <c15:filteredLineSeries>
              <c15:ser>
                <c:idx val="4"/>
                <c:order val="3"/>
                <c:tx>
                  <c:strRef>
                    <c:extLst xmlns:c15="http://schemas.microsoft.com/office/drawing/2012/chart">
                      <c:ext xmlns:c15="http://schemas.microsoft.com/office/drawing/2012/chart" uri="{02D57815-91ED-43cb-92C2-25804820EDAC}">
                        <c15:formulaRef>
                          <c15:sqref>Output!$E$271</c15:sqref>
                        </c15:formulaRef>
                      </c:ext>
                    </c:extLst>
                    <c:strCache>
                      <c:ptCount val="1"/>
                      <c:pt idx="0">
                        <c:v>Small H2</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Output!$J$6:$BE$6</c15:sqref>
                        </c15:fullRef>
                        <c15:formulaRef>
                          <c15:sqref>Output!$J$6:$AT$6</c15:sqref>
                        </c15:formulaRef>
                      </c:ext>
                    </c:extLst>
                    <c:numCache>
                      <c:formatCode>General</c:formatCode>
                      <c:ptCount val="37"/>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numCache>
                  </c:numRef>
                </c:cat>
                <c:val>
                  <c:numRef>
                    <c:extLst>
                      <c:ext xmlns:c15="http://schemas.microsoft.com/office/drawing/2012/chart" uri="{02D57815-91ED-43cb-92C2-25804820EDAC}">
                        <c15:fullRef>
                          <c15:sqref>Output!$J$131:$BE$131</c15:sqref>
                        </c15:fullRef>
                        <c15:formulaRef>
                          <c15:sqref>Output!$J$131:$AT$131</c15:sqref>
                        </c15:formulaRef>
                      </c:ext>
                    </c:extLst>
                    <c:numCache>
                      <c:formatCode>_(* #,##0_);_(* \(#,##0\);_(* "-"_);_(@_)</c:formatCode>
                      <c:ptCount val="37"/>
                      <c:pt idx="0">
                        <c:v>0</c:v>
                      </c:pt>
                      <c:pt idx="1">
                        <c:v>0</c:v>
                      </c:pt>
                      <c:pt idx="2">
                        <c:v>0</c:v>
                      </c:pt>
                      <c:pt idx="3">
                        <c:v>0</c:v>
                      </c:pt>
                      <c:pt idx="4">
                        <c:v>0</c:v>
                      </c:pt>
                      <c:pt idx="5">
                        <c:v>0</c:v>
                      </c:pt>
                      <c:pt idx="6">
                        <c:v>0</c:v>
                      </c:pt>
                      <c:pt idx="7">
                        <c:v>-15.878511538359634</c:v>
                      </c:pt>
                      <c:pt idx="8">
                        <c:v>-16.415526795469184</c:v>
                      </c:pt>
                      <c:pt idx="9">
                        <c:v>-16.913489767625215</c:v>
                      </c:pt>
                      <c:pt idx="10">
                        <c:v>-17.375240375907325</c:v>
                      </c:pt>
                      <c:pt idx="11">
                        <c:v>-17.803412019505604</c:v>
                      </c:pt>
                      <c:pt idx="12">
                        <c:v>-17.803412019505604</c:v>
                      </c:pt>
                      <c:pt idx="13">
                        <c:v>-17.803412019505604</c:v>
                      </c:pt>
                      <c:pt idx="14">
                        <c:v>-17.803412019505604</c:v>
                      </c:pt>
                      <c:pt idx="15">
                        <c:v>-17.803412019505604</c:v>
                      </c:pt>
                      <c:pt idx="16">
                        <c:v>-17.803412019505604</c:v>
                      </c:pt>
                      <c:pt idx="17">
                        <c:v>-17.803412019505604</c:v>
                      </c:pt>
                      <c:pt idx="18">
                        <c:v>-17.803412019505604</c:v>
                      </c:pt>
                      <c:pt idx="19">
                        <c:v>-17.803412019505604</c:v>
                      </c:pt>
                      <c:pt idx="20">
                        <c:v>-17.803412019505604</c:v>
                      </c:pt>
                      <c:pt idx="21">
                        <c:v>-17.803412019505604</c:v>
                      </c:pt>
                      <c:pt idx="22">
                        <c:v>-17.803412019505604</c:v>
                      </c:pt>
                      <c:pt idx="23">
                        <c:v>-17.803412019505604</c:v>
                      </c:pt>
                      <c:pt idx="24">
                        <c:v>-17.803412019505604</c:v>
                      </c:pt>
                      <c:pt idx="25">
                        <c:v>-17.803412019505604</c:v>
                      </c:pt>
                      <c:pt idx="26">
                        <c:v>-17.803412019505604</c:v>
                      </c:pt>
                      <c:pt idx="27">
                        <c:v>-17.803412019505604</c:v>
                      </c:pt>
                      <c:pt idx="28">
                        <c:v>-17.803412019505604</c:v>
                      </c:pt>
                      <c:pt idx="29">
                        <c:v>-17.803412019505604</c:v>
                      </c:pt>
                      <c:pt idx="30">
                        <c:v>-17.803412019505604</c:v>
                      </c:pt>
                      <c:pt idx="31">
                        <c:v>-17.803412019505604</c:v>
                      </c:pt>
                      <c:pt idx="32">
                        <c:v>-17.803412019505604</c:v>
                      </c:pt>
                      <c:pt idx="33">
                        <c:v>-17.803412019505604</c:v>
                      </c:pt>
                      <c:pt idx="34">
                        <c:v>-17.803412019505604</c:v>
                      </c:pt>
                      <c:pt idx="35">
                        <c:v>-17.803412019505604</c:v>
                      </c:pt>
                      <c:pt idx="36">
                        <c:v>-17.803412019505604</c:v>
                      </c:pt>
                    </c:numCache>
                  </c:numRef>
                </c:val>
                <c:smooth val="0"/>
                <c:extLst xmlns:c15="http://schemas.microsoft.com/office/drawing/2012/chart">
                  <c:ext xmlns:c16="http://schemas.microsoft.com/office/drawing/2014/chart" uri="{C3380CC4-5D6E-409C-BE32-E72D297353CC}">
                    <c16:uniqueId val="{00000034-30A5-4D61-AAD7-7F53D82FDC2F}"/>
                  </c:ext>
                </c:extLst>
              </c15:ser>
            </c15:filteredLineSeries>
          </c:ext>
        </c:extLst>
      </c:lineChart>
      <c:catAx>
        <c:axId val="607988656"/>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2700000" spcFirstLastPara="1" vertOverflow="ellipsis"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7986032"/>
        <c:crosses val="autoZero"/>
        <c:auto val="1"/>
        <c:lblAlgn val="ctr"/>
        <c:lblOffset val="100"/>
        <c:noMultiLvlLbl val="0"/>
      </c:catAx>
      <c:valAx>
        <c:axId val="607986032"/>
        <c:scaling>
          <c:orientation val="minMax"/>
        </c:scaling>
        <c:delete val="0"/>
        <c:axPos val="l"/>
        <c:majorGridlines>
          <c:spPr>
            <a:ln w="317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GB" sz="1800"/>
                  <a:t>Cumulated disc.</a:t>
                </a:r>
                <a:r>
                  <a:rPr lang="en-GB" sz="1800" baseline="0"/>
                  <a:t> cashflows [Million EUR]</a:t>
                </a:r>
                <a:endParaRPr lang="en-GB" sz="1800"/>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_ * #,##0_ ;[Red]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79886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Output!$G$3</c:f>
          <c:strCache>
            <c:ptCount val="1"/>
            <c:pt idx="0">
              <c:v>P15 Scenario 1</c:v>
            </c:pt>
          </c:strCache>
        </c:strRef>
      </c:tx>
      <c:overlay val="0"/>
      <c:spPr>
        <a:noFill/>
        <a:ln>
          <a:noFill/>
        </a:ln>
        <a:effectLst/>
      </c:spPr>
      <c:txPr>
        <a:bodyPr rot="0" spcFirstLastPara="1" vertOverflow="ellipsis" vert="horz" wrap="square" anchor="ctr" anchorCtr="1"/>
        <a:lstStyle/>
        <a:p>
          <a:pPr>
            <a:defRPr sz="2400" b="1" i="0" u="none" strike="noStrike" kern="1200" spc="0" baseline="0">
              <a:ln>
                <a:noFill/>
              </a:ln>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Output!$E$276</c:f>
              <c:strCache>
                <c:ptCount val="1"/>
                <c:pt idx="0">
                  <c:v>Total cumulative discounted cashflow</c:v>
                </c:pt>
              </c:strCache>
            </c:strRef>
          </c:tx>
          <c:spPr>
            <a:ln w="38100" cap="rnd">
              <a:solidFill>
                <a:srgbClr val="CC0000"/>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8C36-4BB5-AE07-A1439A3EF7BE}"/>
                </c:ext>
              </c:extLst>
            </c:dLbl>
            <c:dLbl>
              <c:idx val="1"/>
              <c:delete val="1"/>
              <c:extLst>
                <c:ext xmlns:c15="http://schemas.microsoft.com/office/drawing/2012/chart" uri="{CE6537A1-D6FC-4f65-9D91-7224C49458BB}"/>
                <c:ext xmlns:c16="http://schemas.microsoft.com/office/drawing/2014/chart" uri="{C3380CC4-5D6E-409C-BE32-E72D297353CC}">
                  <c16:uniqueId val="{00000001-8C36-4BB5-AE07-A1439A3EF7BE}"/>
                </c:ext>
              </c:extLst>
            </c:dLbl>
            <c:dLbl>
              <c:idx val="2"/>
              <c:delete val="1"/>
              <c:extLst>
                <c:ext xmlns:c15="http://schemas.microsoft.com/office/drawing/2012/chart" uri="{CE6537A1-D6FC-4f65-9D91-7224C49458BB}"/>
                <c:ext xmlns:c16="http://schemas.microsoft.com/office/drawing/2014/chart" uri="{C3380CC4-5D6E-409C-BE32-E72D297353CC}">
                  <c16:uniqueId val="{00000002-8C36-4BB5-AE07-A1439A3EF7BE}"/>
                </c:ext>
              </c:extLst>
            </c:dLbl>
            <c:dLbl>
              <c:idx val="3"/>
              <c:delete val="1"/>
              <c:extLst>
                <c:ext xmlns:c15="http://schemas.microsoft.com/office/drawing/2012/chart" uri="{CE6537A1-D6FC-4f65-9D91-7224C49458BB}"/>
                <c:ext xmlns:c16="http://schemas.microsoft.com/office/drawing/2014/chart" uri="{C3380CC4-5D6E-409C-BE32-E72D297353CC}">
                  <c16:uniqueId val="{00000003-8C36-4BB5-AE07-A1439A3EF7BE}"/>
                </c:ext>
              </c:extLst>
            </c:dLbl>
            <c:dLbl>
              <c:idx val="4"/>
              <c:delete val="1"/>
              <c:extLst>
                <c:ext xmlns:c15="http://schemas.microsoft.com/office/drawing/2012/chart" uri="{CE6537A1-D6FC-4f65-9D91-7224C49458BB}"/>
                <c:ext xmlns:c16="http://schemas.microsoft.com/office/drawing/2014/chart" uri="{C3380CC4-5D6E-409C-BE32-E72D297353CC}">
                  <c16:uniqueId val="{00000004-8C36-4BB5-AE07-A1439A3EF7BE}"/>
                </c:ext>
              </c:extLst>
            </c:dLbl>
            <c:dLbl>
              <c:idx val="5"/>
              <c:layout>
                <c:manualLayout>
                  <c:x val="-9.4821923674878683E-2"/>
                  <c:y val="-0.32146801202544628"/>
                </c:manualLayout>
              </c:layout>
              <c:tx>
                <c:rich>
                  <a:bodyPr/>
                  <a:lstStyle/>
                  <a:p>
                    <a:fld id="{2BAD452B-22EE-432A-8456-6F85849BE8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C36-4BB5-AE07-A1439A3EF7BE}"/>
                </c:ext>
              </c:extLst>
            </c:dLbl>
            <c:dLbl>
              <c:idx val="6"/>
              <c:delete val="1"/>
              <c:extLst>
                <c:ext xmlns:c15="http://schemas.microsoft.com/office/drawing/2012/chart" uri="{CE6537A1-D6FC-4f65-9D91-7224C49458BB}"/>
                <c:ext xmlns:c16="http://schemas.microsoft.com/office/drawing/2014/chart" uri="{C3380CC4-5D6E-409C-BE32-E72D297353CC}">
                  <c16:uniqueId val="{00000006-8C36-4BB5-AE07-A1439A3EF7BE}"/>
                </c:ext>
              </c:extLst>
            </c:dLbl>
            <c:dLbl>
              <c:idx val="7"/>
              <c:delete val="1"/>
              <c:extLst>
                <c:ext xmlns:c15="http://schemas.microsoft.com/office/drawing/2012/chart" uri="{CE6537A1-D6FC-4f65-9D91-7224C49458BB}"/>
                <c:ext xmlns:c16="http://schemas.microsoft.com/office/drawing/2014/chart" uri="{C3380CC4-5D6E-409C-BE32-E72D297353CC}">
                  <c16:uniqueId val="{00000007-8C36-4BB5-AE07-A1439A3EF7BE}"/>
                </c:ext>
              </c:extLst>
            </c:dLbl>
            <c:dLbl>
              <c:idx val="8"/>
              <c:delete val="1"/>
              <c:extLst>
                <c:ext xmlns:c15="http://schemas.microsoft.com/office/drawing/2012/chart" uri="{CE6537A1-D6FC-4f65-9D91-7224C49458BB}"/>
                <c:ext xmlns:c16="http://schemas.microsoft.com/office/drawing/2014/chart" uri="{C3380CC4-5D6E-409C-BE32-E72D297353CC}">
                  <c16:uniqueId val="{00000008-8C36-4BB5-AE07-A1439A3EF7BE}"/>
                </c:ext>
              </c:extLst>
            </c:dLbl>
            <c:dLbl>
              <c:idx val="9"/>
              <c:delete val="1"/>
              <c:extLst>
                <c:ext xmlns:c15="http://schemas.microsoft.com/office/drawing/2012/chart" uri="{CE6537A1-D6FC-4f65-9D91-7224C49458BB}"/>
                <c:ext xmlns:c16="http://schemas.microsoft.com/office/drawing/2014/chart" uri="{C3380CC4-5D6E-409C-BE32-E72D297353CC}">
                  <c16:uniqueId val="{00000009-8C36-4BB5-AE07-A1439A3EF7BE}"/>
                </c:ext>
              </c:extLst>
            </c:dLbl>
            <c:dLbl>
              <c:idx val="10"/>
              <c:layout>
                <c:manualLayout>
                  <c:x val="1.8362024297512505E-2"/>
                  <c:y val="-0.3005761161037625"/>
                </c:manualLayout>
              </c:layout>
              <c:tx>
                <c:rich>
                  <a:bodyPr/>
                  <a:lstStyle/>
                  <a:p>
                    <a:fld id="{4AA04221-2087-4444-B879-A5D199D346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C36-4BB5-AE07-A1439A3EF7BE}"/>
                </c:ext>
              </c:extLst>
            </c:dLbl>
            <c:dLbl>
              <c:idx val="11"/>
              <c:delete val="1"/>
              <c:extLst>
                <c:ext xmlns:c15="http://schemas.microsoft.com/office/drawing/2012/chart" uri="{CE6537A1-D6FC-4f65-9D91-7224C49458BB}"/>
                <c:ext xmlns:c16="http://schemas.microsoft.com/office/drawing/2014/chart" uri="{C3380CC4-5D6E-409C-BE32-E72D297353CC}">
                  <c16:uniqueId val="{0000000B-8C36-4BB5-AE07-A1439A3EF7BE}"/>
                </c:ext>
              </c:extLst>
            </c:dLbl>
            <c:dLbl>
              <c:idx val="12"/>
              <c:delete val="1"/>
              <c:extLst>
                <c:ext xmlns:c15="http://schemas.microsoft.com/office/drawing/2012/chart" uri="{CE6537A1-D6FC-4f65-9D91-7224C49458BB}"/>
                <c:ext xmlns:c16="http://schemas.microsoft.com/office/drawing/2014/chart" uri="{C3380CC4-5D6E-409C-BE32-E72D297353CC}">
                  <c16:uniqueId val="{0000000C-8C36-4BB5-AE07-A1439A3EF7BE}"/>
                </c:ext>
              </c:extLst>
            </c:dLbl>
            <c:dLbl>
              <c:idx val="13"/>
              <c:delete val="1"/>
              <c:extLst>
                <c:ext xmlns:c15="http://schemas.microsoft.com/office/drawing/2012/chart" uri="{CE6537A1-D6FC-4f65-9D91-7224C49458BB}"/>
                <c:ext xmlns:c16="http://schemas.microsoft.com/office/drawing/2014/chart" uri="{C3380CC4-5D6E-409C-BE32-E72D297353CC}">
                  <c16:uniqueId val="{0000000D-8C36-4BB5-AE07-A1439A3EF7BE}"/>
                </c:ext>
              </c:extLst>
            </c:dLbl>
            <c:dLbl>
              <c:idx val="14"/>
              <c:delete val="1"/>
              <c:extLst>
                <c:ext xmlns:c15="http://schemas.microsoft.com/office/drawing/2012/chart" uri="{CE6537A1-D6FC-4f65-9D91-7224C49458BB}"/>
                <c:ext xmlns:c16="http://schemas.microsoft.com/office/drawing/2014/chart" uri="{C3380CC4-5D6E-409C-BE32-E72D297353CC}">
                  <c16:uniqueId val="{0000000E-8C36-4BB5-AE07-A1439A3EF7BE}"/>
                </c:ext>
              </c:extLst>
            </c:dLbl>
            <c:dLbl>
              <c:idx val="15"/>
              <c:delete val="1"/>
              <c:extLst>
                <c:ext xmlns:c15="http://schemas.microsoft.com/office/drawing/2012/chart" uri="{CE6537A1-D6FC-4f65-9D91-7224C49458BB}"/>
                <c:ext xmlns:c16="http://schemas.microsoft.com/office/drawing/2014/chart" uri="{C3380CC4-5D6E-409C-BE32-E72D297353CC}">
                  <c16:uniqueId val="{0000000F-8C36-4BB5-AE07-A1439A3EF7BE}"/>
                </c:ext>
              </c:extLst>
            </c:dLbl>
            <c:dLbl>
              <c:idx val="16"/>
              <c:delete val="1"/>
              <c:extLst>
                <c:ext xmlns:c15="http://schemas.microsoft.com/office/drawing/2012/chart" uri="{CE6537A1-D6FC-4f65-9D91-7224C49458BB}"/>
                <c:ext xmlns:c16="http://schemas.microsoft.com/office/drawing/2014/chart" uri="{C3380CC4-5D6E-409C-BE32-E72D297353CC}">
                  <c16:uniqueId val="{00000010-8C36-4BB5-AE07-A1439A3EF7BE}"/>
                </c:ext>
              </c:extLst>
            </c:dLbl>
            <c:dLbl>
              <c:idx val="17"/>
              <c:delete val="1"/>
              <c:extLst>
                <c:ext xmlns:c15="http://schemas.microsoft.com/office/drawing/2012/chart" uri="{CE6537A1-D6FC-4f65-9D91-7224C49458BB}"/>
                <c:ext xmlns:c16="http://schemas.microsoft.com/office/drawing/2014/chart" uri="{C3380CC4-5D6E-409C-BE32-E72D297353CC}">
                  <c16:uniqueId val="{00000011-8C36-4BB5-AE07-A1439A3EF7BE}"/>
                </c:ext>
              </c:extLst>
            </c:dLbl>
            <c:dLbl>
              <c:idx val="18"/>
              <c:delete val="1"/>
              <c:extLst>
                <c:ext xmlns:c15="http://schemas.microsoft.com/office/drawing/2012/chart" uri="{CE6537A1-D6FC-4f65-9D91-7224C49458BB}"/>
                <c:ext xmlns:c16="http://schemas.microsoft.com/office/drawing/2014/chart" uri="{C3380CC4-5D6E-409C-BE32-E72D297353CC}">
                  <c16:uniqueId val="{00000012-8C36-4BB5-AE07-A1439A3EF7BE}"/>
                </c:ext>
              </c:extLst>
            </c:dLbl>
            <c:dLbl>
              <c:idx val="19"/>
              <c:delete val="1"/>
              <c:extLst>
                <c:ext xmlns:c15="http://schemas.microsoft.com/office/drawing/2012/chart" uri="{CE6537A1-D6FC-4f65-9D91-7224C49458BB}"/>
                <c:ext xmlns:c16="http://schemas.microsoft.com/office/drawing/2014/chart" uri="{C3380CC4-5D6E-409C-BE32-E72D297353CC}">
                  <c16:uniqueId val="{00000013-8C36-4BB5-AE07-A1439A3EF7BE}"/>
                </c:ext>
              </c:extLst>
            </c:dLbl>
            <c:dLbl>
              <c:idx val="20"/>
              <c:delete val="1"/>
              <c:extLst>
                <c:ext xmlns:c15="http://schemas.microsoft.com/office/drawing/2012/chart" uri="{CE6537A1-D6FC-4f65-9D91-7224C49458BB}"/>
                <c:ext xmlns:c16="http://schemas.microsoft.com/office/drawing/2014/chart" uri="{C3380CC4-5D6E-409C-BE32-E72D297353CC}">
                  <c16:uniqueId val="{00000014-8C36-4BB5-AE07-A1439A3EF7BE}"/>
                </c:ext>
              </c:extLst>
            </c:dLbl>
            <c:dLbl>
              <c:idx val="21"/>
              <c:delete val="1"/>
              <c:extLst>
                <c:ext xmlns:c15="http://schemas.microsoft.com/office/drawing/2012/chart" uri="{CE6537A1-D6FC-4f65-9D91-7224C49458BB}"/>
                <c:ext xmlns:c16="http://schemas.microsoft.com/office/drawing/2014/chart" uri="{C3380CC4-5D6E-409C-BE32-E72D297353CC}">
                  <c16:uniqueId val="{00000015-8C36-4BB5-AE07-A1439A3EF7BE}"/>
                </c:ext>
              </c:extLst>
            </c:dLbl>
            <c:dLbl>
              <c:idx val="22"/>
              <c:delete val="1"/>
              <c:extLst>
                <c:ext xmlns:c15="http://schemas.microsoft.com/office/drawing/2012/chart" uri="{CE6537A1-D6FC-4f65-9D91-7224C49458BB}"/>
                <c:ext xmlns:c16="http://schemas.microsoft.com/office/drawing/2014/chart" uri="{C3380CC4-5D6E-409C-BE32-E72D297353CC}">
                  <c16:uniqueId val="{00000016-8C36-4BB5-AE07-A1439A3EF7BE}"/>
                </c:ext>
              </c:extLst>
            </c:dLbl>
            <c:dLbl>
              <c:idx val="23"/>
              <c:delete val="1"/>
              <c:extLst>
                <c:ext xmlns:c15="http://schemas.microsoft.com/office/drawing/2012/chart" uri="{CE6537A1-D6FC-4f65-9D91-7224C49458BB}"/>
                <c:ext xmlns:c16="http://schemas.microsoft.com/office/drawing/2014/chart" uri="{C3380CC4-5D6E-409C-BE32-E72D297353CC}">
                  <c16:uniqueId val="{00000017-8C36-4BB5-AE07-A1439A3EF7BE}"/>
                </c:ext>
              </c:extLst>
            </c:dLbl>
            <c:dLbl>
              <c:idx val="24"/>
              <c:delete val="1"/>
              <c:extLst>
                <c:ext xmlns:c15="http://schemas.microsoft.com/office/drawing/2012/chart" uri="{CE6537A1-D6FC-4f65-9D91-7224C49458BB}"/>
                <c:ext xmlns:c16="http://schemas.microsoft.com/office/drawing/2014/chart" uri="{C3380CC4-5D6E-409C-BE32-E72D297353CC}">
                  <c16:uniqueId val="{00000018-8C36-4BB5-AE07-A1439A3EF7BE}"/>
                </c:ext>
              </c:extLst>
            </c:dLbl>
            <c:dLbl>
              <c:idx val="25"/>
              <c:delete val="1"/>
              <c:extLst>
                <c:ext xmlns:c15="http://schemas.microsoft.com/office/drawing/2012/chart" uri="{CE6537A1-D6FC-4f65-9D91-7224C49458BB}"/>
                <c:ext xmlns:c16="http://schemas.microsoft.com/office/drawing/2014/chart" uri="{C3380CC4-5D6E-409C-BE32-E72D297353CC}">
                  <c16:uniqueId val="{00000019-8C36-4BB5-AE07-A1439A3EF7BE}"/>
                </c:ext>
              </c:extLst>
            </c:dLbl>
            <c:dLbl>
              <c:idx val="26"/>
              <c:delete val="1"/>
              <c:extLst>
                <c:ext xmlns:c15="http://schemas.microsoft.com/office/drawing/2012/chart" uri="{CE6537A1-D6FC-4f65-9D91-7224C49458BB}"/>
                <c:ext xmlns:c16="http://schemas.microsoft.com/office/drawing/2014/chart" uri="{C3380CC4-5D6E-409C-BE32-E72D297353CC}">
                  <c16:uniqueId val="{0000001A-8C36-4BB5-AE07-A1439A3EF7BE}"/>
                </c:ext>
              </c:extLst>
            </c:dLbl>
            <c:dLbl>
              <c:idx val="27"/>
              <c:delete val="1"/>
              <c:extLst>
                <c:ext xmlns:c15="http://schemas.microsoft.com/office/drawing/2012/chart" uri="{CE6537A1-D6FC-4f65-9D91-7224C49458BB}"/>
                <c:ext xmlns:c16="http://schemas.microsoft.com/office/drawing/2014/chart" uri="{C3380CC4-5D6E-409C-BE32-E72D297353CC}">
                  <c16:uniqueId val="{0000001B-8C36-4BB5-AE07-A1439A3EF7BE}"/>
                </c:ext>
              </c:extLst>
            </c:dLbl>
            <c:dLbl>
              <c:idx val="28"/>
              <c:delete val="1"/>
              <c:extLst>
                <c:ext xmlns:c15="http://schemas.microsoft.com/office/drawing/2012/chart" uri="{CE6537A1-D6FC-4f65-9D91-7224C49458BB}"/>
                <c:ext xmlns:c16="http://schemas.microsoft.com/office/drawing/2014/chart" uri="{C3380CC4-5D6E-409C-BE32-E72D297353CC}">
                  <c16:uniqueId val="{0000001C-8C36-4BB5-AE07-A1439A3EF7BE}"/>
                </c:ext>
              </c:extLst>
            </c:dLbl>
            <c:dLbl>
              <c:idx val="29"/>
              <c:delete val="1"/>
              <c:extLst>
                <c:ext xmlns:c15="http://schemas.microsoft.com/office/drawing/2012/chart" uri="{CE6537A1-D6FC-4f65-9D91-7224C49458BB}"/>
                <c:ext xmlns:c16="http://schemas.microsoft.com/office/drawing/2014/chart" uri="{C3380CC4-5D6E-409C-BE32-E72D297353CC}">
                  <c16:uniqueId val="{0000001D-8C36-4BB5-AE07-A1439A3EF7BE}"/>
                </c:ext>
              </c:extLst>
            </c:dLbl>
            <c:dLbl>
              <c:idx val="30"/>
              <c:delete val="1"/>
              <c:extLst>
                <c:ext xmlns:c15="http://schemas.microsoft.com/office/drawing/2012/chart" uri="{CE6537A1-D6FC-4f65-9D91-7224C49458BB}"/>
                <c:ext xmlns:c16="http://schemas.microsoft.com/office/drawing/2014/chart" uri="{C3380CC4-5D6E-409C-BE32-E72D297353CC}">
                  <c16:uniqueId val="{0000001E-8C36-4BB5-AE07-A1439A3EF7BE}"/>
                </c:ext>
              </c:extLst>
            </c:dLbl>
            <c:dLbl>
              <c:idx val="31"/>
              <c:layout>
                <c:manualLayout>
                  <c:x val="-0.17019731123685417"/>
                  <c:y val="-7.9670777762443037E-2"/>
                </c:manualLayout>
              </c:layout>
              <c:tx>
                <c:rich>
                  <a:bodyPr/>
                  <a:lstStyle/>
                  <a:p>
                    <a:fld id="{2A10D5DC-F1CE-4EEB-88DE-A99F784AA6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8C36-4BB5-AE07-A1439A3EF7BE}"/>
                </c:ext>
              </c:extLst>
            </c:dLbl>
            <c:dLbl>
              <c:idx val="32"/>
              <c:delete val="1"/>
              <c:extLst>
                <c:ext xmlns:c15="http://schemas.microsoft.com/office/drawing/2012/chart" uri="{CE6537A1-D6FC-4f65-9D91-7224C49458BB}"/>
                <c:ext xmlns:c16="http://schemas.microsoft.com/office/drawing/2014/chart" uri="{C3380CC4-5D6E-409C-BE32-E72D297353CC}">
                  <c16:uniqueId val="{00000020-8C36-4BB5-AE07-A1439A3EF7BE}"/>
                </c:ext>
              </c:extLst>
            </c:dLbl>
            <c:dLbl>
              <c:idx val="33"/>
              <c:delete val="1"/>
              <c:extLst>
                <c:ext xmlns:c15="http://schemas.microsoft.com/office/drawing/2012/chart" uri="{CE6537A1-D6FC-4f65-9D91-7224C49458BB}"/>
                <c:ext xmlns:c16="http://schemas.microsoft.com/office/drawing/2014/chart" uri="{C3380CC4-5D6E-409C-BE32-E72D297353CC}">
                  <c16:uniqueId val="{00000021-8C36-4BB5-AE07-A1439A3EF7BE}"/>
                </c:ext>
              </c:extLst>
            </c:dLbl>
            <c:dLbl>
              <c:idx val="34"/>
              <c:delete val="1"/>
              <c:extLst>
                <c:ext xmlns:c15="http://schemas.microsoft.com/office/drawing/2012/chart" uri="{CE6537A1-D6FC-4f65-9D91-7224C49458BB}"/>
                <c:ext xmlns:c16="http://schemas.microsoft.com/office/drawing/2014/chart" uri="{C3380CC4-5D6E-409C-BE32-E72D297353CC}">
                  <c16:uniqueId val="{00000022-8C36-4BB5-AE07-A1439A3EF7BE}"/>
                </c:ext>
              </c:extLst>
            </c:dLbl>
            <c:dLbl>
              <c:idx val="35"/>
              <c:delete val="1"/>
              <c:extLst>
                <c:ext xmlns:c15="http://schemas.microsoft.com/office/drawing/2012/chart" uri="{CE6537A1-D6FC-4f65-9D91-7224C49458BB}"/>
                <c:ext xmlns:c16="http://schemas.microsoft.com/office/drawing/2014/chart" uri="{C3380CC4-5D6E-409C-BE32-E72D297353CC}">
                  <c16:uniqueId val="{00000023-8C36-4BB5-AE07-A1439A3EF7BE}"/>
                </c:ext>
              </c:extLst>
            </c:dLbl>
            <c:dLbl>
              <c:idx val="36"/>
              <c:delete val="1"/>
              <c:extLst>
                <c:ext xmlns:c15="http://schemas.microsoft.com/office/drawing/2012/chart" uri="{CE6537A1-D6FC-4f65-9D91-7224C49458BB}"/>
                <c:ext xmlns:c16="http://schemas.microsoft.com/office/drawing/2014/chart" uri="{C3380CC4-5D6E-409C-BE32-E72D297353CC}">
                  <c16:uniqueId val="{00000024-8C36-4BB5-AE07-A1439A3EF7BE}"/>
                </c:ext>
              </c:extLst>
            </c:dLbl>
            <c:dLbl>
              <c:idx val="37"/>
              <c:delete val="1"/>
              <c:extLst>
                <c:ext xmlns:c15="http://schemas.microsoft.com/office/drawing/2012/chart" uri="{CE6537A1-D6FC-4f65-9D91-7224C49458BB}"/>
                <c:ext xmlns:c16="http://schemas.microsoft.com/office/drawing/2014/chart" uri="{C3380CC4-5D6E-409C-BE32-E72D297353CC}">
                  <c16:uniqueId val="{00000025-8C36-4BB5-AE07-A1439A3EF7BE}"/>
                </c:ext>
              </c:extLst>
            </c:dLbl>
            <c:dLbl>
              <c:idx val="38"/>
              <c:delete val="1"/>
              <c:extLst>
                <c:ext xmlns:c15="http://schemas.microsoft.com/office/drawing/2012/chart" uri="{CE6537A1-D6FC-4f65-9D91-7224C49458BB}"/>
                <c:ext xmlns:c16="http://schemas.microsoft.com/office/drawing/2014/chart" uri="{C3380CC4-5D6E-409C-BE32-E72D297353CC}">
                  <c16:uniqueId val="{00000026-8C36-4BB5-AE07-A1439A3EF7BE}"/>
                </c:ext>
              </c:extLst>
            </c:dLbl>
            <c:dLbl>
              <c:idx val="39"/>
              <c:delete val="1"/>
              <c:extLst>
                <c:ext xmlns:c15="http://schemas.microsoft.com/office/drawing/2012/chart" uri="{CE6537A1-D6FC-4f65-9D91-7224C49458BB}"/>
                <c:ext xmlns:c16="http://schemas.microsoft.com/office/drawing/2014/chart" uri="{C3380CC4-5D6E-409C-BE32-E72D297353CC}">
                  <c16:uniqueId val="{00000027-8C36-4BB5-AE07-A1439A3EF7BE}"/>
                </c:ext>
              </c:extLst>
            </c:dLbl>
            <c:dLbl>
              <c:idx val="40"/>
              <c:delete val="1"/>
              <c:extLst>
                <c:ext xmlns:c15="http://schemas.microsoft.com/office/drawing/2012/chart" uri="{CE6537A1-D6FC-4f65-9D91-7224C49458BB}"/>
                <c:ext xmlns:c16="http://schemas.microsoft.com/office/drawing/2014/chart" uri="{C3380CC4-5D6E-409C-BE32-E72D297353CC}">
                  <c16:uniqueId val="{00000028-8C36-4BB5-AE07-A1439A3EF7BE}"/>
                </c:ext>
              </c:extLst>
            </c:dLbl>
            <c:dLbl>
              <c:idx val="41"/>
              <c:delete val="1"/>
              <c:extLst>
                <c:ext xmlns:c15="http://schemas.microsoft.com/office/drawing/2012/chart" uri="{CE6537A1-D6FC-4f65-9D91-7224C49458BB}"/>
                <c:ext xmlns:c16="http://schemas.microsoft.com/office/drawing/2014/chart" uri="{C3380CC4-5D6E-409C-BE32-E72D297353CC}">
                  <c16:uniqueId val="{00000029-8C36-4BB5-AE07-A1439A3EF7BE}"/>
                </c:ext>
              </c:extLst>
            </c:dLbl>
            <c:dLbl>
              <c:idx val="42"/>
              <c:delete val="1"/>
              <c:extLst>
                <c:ext xmlns:c15="http://schemas.microsoft.com/office/drawing/2012/chart" uri="{CE6537A1-D6FC-4f65-9D91-7224C49458BB}"/>
                <c:ext xmlns:c16="http://schemas.microsoft.com/office/drawing/2014/chart" uri="{C3380CC4-5D6E-409C-BE32-E72D297353CC}">
                  <c16:uniqueId val="{0000002A-8C36-4BB5-AE07-A1439A3EF7BE}"/>
                </c:ext>
              </c:extLst>
            </c:dLbl>
            <c:dLbl>
              <c:idx val="43"/>
              <c:delete val="1"/>
              <c:extLst>
                <c:ext xmlns:c15="http://schemas.microsoft.com/office/drawing/2012/chart" uri="{CE6537A1-D6FC-4f65-9D91-7224C49458BB}"/>
                <c:ext xmlns:c16="http://schemas.microsoft.com/office/drawing/2014/chart" uri="{C3380CC4-5D6E-409C-BE32-E72D297353CC}">
                  <c16:uniqueId val="{0000002B-8C36-4BB5-AE07-A1439A3EF7BE}"/>
                </c:ext>
              </c:extLst>
            </c:dLbl>
            <c:dLbl>
              <c:idx val="44"/>
              <c:delete val="1"/>
              <c:extLst>
                <c:ext xmlns:c15="http://schemas.microsoft.com/office/drawing/2012/chart" uri="{CE6537A1-D6FC-4f65-9D91-7224C49458BB}"/>
                <c:ext xmlns:c16="http://schemas.microsoft.com/office/drawing/2014/chart" uri="{C3380CC4-5D6E-409C-BE32-E72D297353CC}">
                  <c16:uniqueId val="{0000002C-8C36-4BB5-AE07-A1439A3EF7B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Output!$J$276:$BE$276</c15:sqref>
                  </c15:fullRef>
                </c:ext>
              </c:extLst>
              <c:f>Output!$J$276:$BB$276</c:f>
              <c:numCache>
                <c:formatCode>_ * #,##0_ ;[Red]_ * \-#,##0_ ;_ * "-"?_ ;_ @_ </c:formatCode>
                <c:ptCount val="45"/>
                <c:pt idx="0">
                  <c:v>0</c:v>
                </c:pt>
                <c:pt idx="1">
                  <c:v>0</c:v>
                </c:pt>
                <c:pt idx="2">
                  <c:v>0</c:v>
                </c:pt>
                <c:pt idx="3">
                  <c:v>-48.226466393039289</c:v>
                </c:pt>
                <c:pt idx="4">
                  <c:v>4.6113912903464609</c:v>
                </c:pt>
                <c:pt idx="5">
                  <c:v>55.612507388309517</c:v>
                </c:pt>
                <c:pt idx="6">
                  <c:v>103.47522352781834</c:v>
                </c:pt>
                <c:pt idx="7">
                  <c:v>132.46778876423468</c:v>
                </c:pt>
                <c:pt idx="8">
                  <c:v>173.45082553819222</c:v>
                </c:pt>
                <c:pt idx="9">
                  <c:v>211.87188071136762</c:v>
                </c:pt>
                <c:pt idx="10">
                  <c:v>247.86778221056969</c:v>
                </c:pt>
                <c:pt idx="11">
                  <c:v>281.59263456060097</c:v>
                </c:pt>
                <c:pt idx="12">
                  <c:v>203.98408477881492</c:v>
                </c:pt>
                <c:pt idx="13">
                  <c:v>133.53481236063527</c:v>
                </c:pt>
                <c:pt idx="14">
                  <c:v>130.40810824039863</c:v>
                </c:pt>
                <c:pt idx="15">
                  <c:v>156.37653387943908</c:v>
                </c:pt>
                <c:pt idx="16">
                  <c:v>180.45497903520786</c:v>
                </c:pt>
                <c:pt idx="17">
                  <c:v>202.78099630354458</c:v>
                </c:pt>
                <c:pt idx="18">
                  <c:v>223.48212722097082</c:v>
                </c:pt>
                <c:pt idx="19">
                  <c:v>242.67663086785262</c:v>
                </c:pt>
                <c:pt idx="20">
                  <c:v>260.47415944397864</c:v>
                </c:pt>
                <c:pt idx="21">
                  <c:v>276.97638467588854</c:v>
                </c:pt>
                <c:pt idx="22">
                  <c:v>292.27757863440451</c:v>
                </c:pt>
                <c:pt idx="23">
                  <c:v>304.32913035140137</c:v>
                </c:pt>
                <c:pt idx="24">
                  <c:v>317.48562803275672</c:v>
                </c:pt>
                <c:pt idx="25">
                  <c:v>329.6852895191044</c:v>
                </c:pt>
                <c:pt idx="26">
                  <c:v>340.99770289735409</c:v>
                </c:pt>
                <c:pt idx="27">
                  <c:v>351.48739530264015</c:v>
                </c:pt>
                <c:pt idx="28">
                  <c:v>361.2142009875418</c:v>
                </c:pt>
                <c:pt idx="29">
                  <c:v>370.23360262263242</c:v>
                </c:pt>
                <c:pt idx="30">
                  <c:v>367.95883911537737</c:v>
                </c:pt>
                <c:pt idx="31">
                  <c:v>367.00919395336842</c:v>
                </c:pt>
                <c:pt idx="32">
                  <c:v>363.19882631121243</c:v>
                </c:pt>
                <c:pt idx="33">
                  <c:v>363.12985542411622</c:v>
                </c:pt>
                <c:pt idx="34">
                  <c:v>363.0659006015361</c:v>
                </c:pt>
                <c:pt idx="35">
                  <c:v>363.00659703878</c:v>
                </c:pt>
                <c:pt idx="36">
                  <c:v>362.95160646240618</c:v>
                </c:pt>
                <c:pt idx="37">
                  <c:v>362.90061520067769</c:v>
                </c:pt>
                <c:pt idx="38">
                  <c:v>362.85333239434766</c:v>
                </c:pt>
                <c:pt idx="39">
                  <c:v>362.80948833756889</c:v>
                </c:pt>
                <c:pt idx="40">
                  <c:v>362.80948833756889</c:v>
                </c:pt>
                <c:pt idx="41">
                  <c:v>362.80948833756889</c:v>
                </c:pt>
                <c:pt idx="42">
                  <c:v>362.80948833756889</c:v>
                </c:pt>
                <c:pt idx="43">
                  <c:v>362.80948833756889</c:v>
                </c:pt>
                <c:pt idx="44">
                  <c:v>362.80948833756889</c:v>
                </c:pt>
              </c:numCache>
            </c:numRef>
          </c:val>
          <c:smooth val="0"/>
          <c:extLst>
            <c:ext xmlns:c15="http://schemas.microsoft.com/office/drawing/2012/chart" uri="{02D57815-91ED-43cb-92C2-25804820EDAC}">
              <c15:datalabelsRange>
                <c15:f>Output!$J$278:$BE$278</c15:f>
                <c15:dlblRangeCache>
                  <c:ptCount val="48"/>
                  <c:pt idx="3">
                    <c:v>Start phase Natural gas production (electrified) </c:v>
                  </c:pt>
                  <c:pt idx="12">
                    <c:v>Start phase Large scale green hydrogen</c:v>
                  </c:pt>
                  <c:pt idx="13">
                    <c:v>Start phase CO2 transport and storage</c:v>
                  </c:pt>
                  <c:pt idx="32">
                    <c:v>Start of decommisioning</c:v>
                  </c:pt>
                </c15:dlblRangeCache>
              </c15:datalabelsRange>
            </c:ext>
            <c:ext xmlns:c16="http://schemas.microsoft.com/office/drawing/2014/chart" uri="{C3380CC4-5D6E-409C-BE32-E72D297353CC}">
              <c16:uniqueId val="{0000002D-8C36-4BB5-AE07-A1439A3EF7BE}"/>
            </c:ext>
          </c:extLst>
        </c:ser>
        <c:ser>
          <c:idx val="1"/>
          <c:order val="1"/>
          <c:tx>
            <c:strRef>
              <c:f>Output!$B$30</c:f>
              <c:strCache>
                <c:ptCount val="1"/>
                <c:pt idx="0">
                  <c:v>Electrification</c:v>
                </c:pt>
              </c:strCache>
            </c:strRef>
          </c:tx>
          <c:spPr>
            <a:ln w="28575" cap="rnd">
              <a:solidFill>
                <a:schemeClr val="accent1"/>
              </a:solidFill>
              <a:prstDash val="sysDash"/>
              <a:round/>
            </a:ln>
            <a:effectLst/>
          </c:spPr>
          <c:marker>
            <c:symbol val="none"/>
          </c:marker>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Output!$J$57:$BE$57</c15:sqref>
                  </c15:fullRef>
                </c:ext>
              </c:extLst>
              <c:f>Output!$J$57:$BB$57</c:f>
              <c:numCache>
                <c:formatCode>_(* #,##0_);_(* \(#,##0\);_(* "-"_);_(@_)</c:formatCode>
                <c:ptCount val="45"/>
                <c:pt idx="0">
                  <c:v>0</c:v>
                </c:pt>
                <c:pt idx="1">
                  <c:v>0</c:v>
                </c:pt>
                <c:pt idx="2">
                  <c:v>0</c:v>
                </c:pt>
                <c:pt idx="3">
                  <c:v>-48.226466393039296</c:v>
                </c:pt>
                <c:pt idx="4">
                  <c:v>4.6113912903464662</c:v>
                </c:pt>
                <c:pt idx="5">
                  <c:v>55.612507388309524</c:v>
                </c:pt>
                <c:pt idx="6">
                  <c:v>103.47522352781836</c:v>
                </c:pt>
                <c:pt idx="7">
                  <c:v>148.34630030259433</c:v>
                </c:pt>
                <c:pt idx="8">
                  <c:v>190.4108828153349</c:v>
                </c:pt>
                <c:pt idx="9">
                  <c:v>229.83482922549084</c:v>
                </c:pt>
                <c:pt idx="10">
                  <c:v>266.76068754217596</c:v>
                </c:pt>
                <c:pt idx="11">
                  <c:v>301.34786638433724</c:v>
                </c:pt>
                <c:pt idx="12">
                  <c:v>301.34786638433724</c:v>
                </c:pt>
                <c:pt idx="13">
                  <c:v>301.34786638433724</c:v>
                </c:pt>
                <c:pt idx="14">
                  <c:v>301.34786638433724</c:v>
                </c:pt>
                <c:pt idx="15">
                  <c:v>301.34786638433724</c:v>
                </c:pt>
                <c:pt idx="16">
                  <c:v>301.34786638433724</c:v>
                </c:pt>
                <c:pt idx="17">
                  <c:v>301.34786638433724</c:v>
                </c:pt>
                <c:pt idx="18">
                  <c:v>301.34786638433724</c:v>
                </c:pt>
                <c:pt idx="19">
                  <c:v>301.34786638433724</c:v>
                </c:pt>
                <c:pt idx="20">
                  <c:v>301.34786638433724</c:v>
                </c:pt>
                <c:pt idx="21">
                  <c:v>301.34786638433724</c:v>
                </c:pt>
                <c:pt idx="22">
                  <c:v>301.34786638433724</c:v>
                </c:pt>
                <c:pt idx="23">
                  <c:v>301.34786638433724</c:v>
                </c:pt>
                <c:pt idx="24">
                  <c:v>301.34786638433724</c:v>
                </c:pt>
                <c:pt idx="25">
                  <c:v>301.34786638433724</c:v>
                </c:pt>
                <c:pt idx="26">
                  <c:v>301.34786638433724</c:v>
                </c:pt>
                <c:pt idx="27">
                  <c:v>301.34786638433724</c:v>
                </c:pt>
                <c:pt idx="28">
                  <c:v>301.34786638433724</c:v>
                </c:pt>
                <c:pt idx="29">
                  <c:v>301.34786638433724</c:v>
                </c:pt>
                <c:pt idx="30">
                  <c:v>301.34786638433724</c:v>
                </c:pt>
                <c:pt idx="31">
                  <c:v>301.34786638433724</c:v>
                </c:pt>
                <c:pt idx="32">
                  <c:v>301.34786638433724</c:v>
                </c:pt>
                <c:pt idx="33">
                  <c:v>301.34786638433724</c:v>
                </c:pt>
                <c:pt idx="34">
                  <c:v>301.34786638433724</c:v>
                </c:pt>
                <c:pt idx="35">
                  <c:v>301.34786638433724</c:v>
                </c:pt>
                <c:pt idx="36">
                  <c:v>301.34786638433724</c:v>
                </c:pt>
                <c:pt idx="37">
                  <c:v>301.34786638433724</c:v>
                </c:pt>
                <c:pt idx="38">
                  <c:v>301.34786638433724</c:v>
                </c:pt>
                <c:pt idx="39">
                  <c:v>301.34786638433724</c:v>
                </c:pt>
                <c:pt idx="40">
                  <c:v>301.34786638433724</c:v>
                </c:pt>
                <c:pt idx="41">
                  <c:v>301.34786638433724</c:v>
                </c:pt>
                <c:pt idx="42">
                  <c:v>301.34786638433724</c:v>
                </c:pt>
                <c:pt idx="43">
                  <c:v>301.34786638433724</c:v>
                </c:pt>
                <c:pt idx="44">
                  <c:v>301.34786638433724</c:v>
                </c:pt>
              </c:numCache>
            </c:numRef>
          </c:val>
          <c:smooth val="0"/>
          <c:extLst>
            <c:ext xmlns:c16="http://schemas.microsoft.com/office/drawing/2014/chart" uri="{C3380CC4-5D6E-409C-BE32-E72D297353CC}">
              <c16:uniqueId val="{0000002E-8C36-4BB5-AE07-A1439A3EF7BE}"/>
            </c:ext>
          </c:extLst>
        </c:ser>
        <c:ser>
          <c:idx val="2"/>
          <c:order val="2"/>
          <c:tx>
            <c:strRef>
              <c:f>Output!$B$60</c:f>
              <c:strCache>
                <c:ptCount val="1"/>
                <c:pt idx="0">
                  <c:v>CCS</c:v>
                </c:pt>
              </c:strCache>
            </c:strRef>
          </c:tx>
          <c:spPr>
            <a:ln w="28575" cap="rnd">
              <a:solidFill>
                <a:schemeClr val="accent3"/>
              </a:solidFill>
              <a:prstDash val="sysDash"/>
              <a:round/>
            </a:ln>
            <a:effectLst/>
          </c:spPr>
          <c:marker>
            <c:symbol val="none"/>
          </c:marker>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Output!$J$95:$BE$95</c15:sqref>
                  </c15:fullRef>
                </c:ext>
              </c:extLst>
              <c:f>Output!$J$95:$BB$95</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-67.078912837034395</c:v>
                </c:pt>
                <c:pt idx="14">
                  <c:v>-67.078912837034395</c:v>
                </c:pt>
                <c:pt idx="15">
                  <c:v>-38.209824439657176</c:v>
                </c:pt>
                <c:pt idx="16">
                  <c:v>-11.440417083050802</c:v>
                </c:pt>
                <c:pt idx="17">
                  <c:v>13.382021379423113</c:v>
                </c:pt>
                <c:pt idx="18">
                  <c:v>36.399096169487734</c:v>
                </c:pt>
                <c:pt idx="19">
                  <c:v>57.742113402997759</c:v>
                </c:pt>
                <c:pt idx="20">
                  <c:v>77.532829155405452</c:v>
                </c:pt>
                <c:pt idx="21">
                  <c:v>95.884144046859149</c:v>
                </c:pt>
                <c:pt idx="22">
                  <c:v>112.90074730935268</c:v>
                </c:pt>
                <c:pt idx="23">
                  <c:v>128.67977942548305</c:v>
                </c:pt>
                <c:pt idx="24">
                  <c:v>143.31124556953122</c:v>
                </c:pt>
                <c:pt idx="25">
                  <c:v>156.87860508492133</c:v>
                </c:pt>
                <c:pt idx="26">
                  <c:v>169.4592475446467</c:v>
                </c:pt>
                <c:pt idx="27">
                  <c:v>181.12493418911933</c:v>
                </c:pt>
                <c:pt idx="28">
                  <c:v>191.94220725944848</c:v>
                </c:pt>
                <c:pt idx="29">
                  <c:v>201.97276956102641</c:v>
                </c:pt>
                <c:pt idx="30">
                  <c:v>200.63562776269598</c:v>
                </c:pt>
                <c:pt idx="31">
                  <c:v>200.55541363987166</c:v>
                </c:pt>
                <c:pt idx="32">
                  <c:v>200.48103327143457</c:v>
                </c:pt>
                <c:pt idx="33">
                  <c:v>200.41206238433838</c:v>
                </c:pt>
                <c:pt idx="34">
                  <c:v>200.34810756175824</c:v>
                </c:pt>
                <c:pt idx="35">
                  <c:v>200.28880399900214</c:v>
                </c:pt>
                <c:pt idx="36">
                  <c:v>200.23381342262829</c:v>
                </c:pt>
                <c:pt idx="37">
                  <c:v>200.1828221608998</c:v>
                </c:pt>
                <c:pt idx="38">
                  <c:v>200.13553935456977</c:v>
                </c:pt>
                <c:pt idx="39">
                  <c:v>200.09169529779101</c:v>
                </c:pt>
                <c:pt idx="40">
                  <c:v>200.09169529779101</c:v>
                </c:pt>
                <c:pt idx="41">
                  <c:v>200.09169529779101</c:v>
                </c:pt>
                <c:pt idx="42">
                  <c:v>200.09169529779101</c:v>
                </c:pt>
                <c:pt idx="43">
                  <c:v>200.09169529779101</c:v>
                </c:pt>
                <c:pt idx="44">
                  <c:v>200.09169529779101</c:v>
                </c:pt>
              </c:numCache>
            </c:numRef>
          </c:val>
          <c:smooth val="0"/>
          <c:extLst>
            <c:ext xmlns:c16="http://schemas.microsoft.com/office/drawing/2014/chart" uri="{C3380CC4-5D6E-409C-BE32-E72D297353CC}">
              <c16:uniqueId val="{0000002F-8C36-4BB5-AE07-A1439A3EF7BE}"/>
            </c:ext>
          </c:extLst>
        </c:ser>
        <c:ser>
          <c:idx val="3"/>
          <c:order val="3"/>
          <c:tx>
            <c:strRef>
              <c:f>Output!$B$136</c:f>
              <c:strCache>
                <c:ptCount val="1"/>
                <c:pt idx="0">
                  <c:v>Large H2</c:v>
                </c:pt>
              </c:strCache>
            </c:strRef>
          </c:tx>
          <c:spPr>
            <a:ln w="28575" cap="rnd">
              <a:solidFill>
                <a:schemeClr val="accent6"/>
              </a:solidFill>
              <a:prstDash val="sysDash"/>
              <a:round/>
            </a:ln>
            <a:effectLst/>
          </c:spPr>
          <c:marker>
            <c:symbol val="none"/>
          </c:marker>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Output!$J$168:$BE$168</c15:sqref>
                  </c15:fullRef>
                </c:ext>
              </c:extLst>
              <c:f>Output!$J$168:$BB$168</c:f>
              <c:numCache>
                <c:formatCode>_(* #,##0_);_(* \(#,##0\);_(* "-"_);_(@_)</c:formatCode>
                <c:ptCount val="45"/>
                <c:pt idx="0">
                  <c:v>0</c:v>
                </c:pt>
                <c:pt idx="1">
                  <c:v>0</c:v>
                </c:pt>
                <c:pt idx="2">
                  <c:v>0</c:v>
                </c:pt>
                <c:pt idx="3">
                  <c:v>0</c:v>
                </c:pt>
                <c:pt idx="4">
                  <c:v>0</c:v>
                </c:pt>
                <c:pt idx="5">
                  <c:v>0</c:v>
                </c:pt>
                <c:pt idx="6">
                  <c:v>0</c:v>
                </c:pt>
                <c:pt idx="7">
                  <c:v>0</c:v>
                </c:pt>
                <c:pt idx="8">
                  <c:v>0</c:v>
                </c:pt>
                <c:pt idx="9">
                  <c:v>0</c:v>
                </c:pt>
                <c:pt idx="10">
                  <c:v>0</c:v>
                </c:pt>
                <c:pt idx="11">
                  <c:v>0</c:v>
                </c:pt>
                <c:pt idx="12">
                  <c:v>-77.608549781786039</c:v>
                </c:pt>
                <c:pt idx="13">
                  <c:v>-80.978909362931319</c:v>
                </c:pt>
                <c:pt idx="14">
                  <c:v>-84.105613483167957</c:v>
                </c:pt>
                <c:pt idx="15">
                  <c:v>-87.006276241504722</c:v>
                </c:pt>
                <c:pt idx="16">
                  <c:v>-89.697238442342325</c:v>
                </c:pt>
                <c:pt idx="17">
                  <c:v>-92.193659636479524</c:v>
                </c:pt>
                <c:pt idx="18">
                  <c:v>-94.509603509117909</c:v>
                </c:pt>
                <c:pt idx="19">
                  <c:v>-96.65811709574615</c:v>
                </c:pt>
                <c:pt idx="20">
                  <c:v>-98.651304272027801</c:v>
                </c:pt>
                <c:pt idx="21">
                  <c:v>-100.50039393157162</c:v>
                </c:pt>
                <c:pt idx="22">
                  <c:v>-102.21580323554922</c:v>
                </c:pt>
                <c:pt idx="23">
                  <c:v>-105.9432836346827</c:v>
                </c:pt>
                <c:pt idx="24">
                  <c:v>-107.4182520973755</c:v>
                </c:pt>
                <c:pt idx="25">
                  <c:v>-108.78595012641792</c:v>
                </c:pt>
                <c:pt idx="26">
                  <c:v>-110.05417920789361</c:v>
                </c:pt>
                <c:pt idx="27">
                  <c:v>-111.23017344708016</c:v>
                </c:pt>
                <c:pt idx="28">
                  <c:v>-112.32064083250769</c:v>
                </c:pt>
                <c:pt idx="29">
                  <c:v>-113.33180149899503</c:v>
                </c:pt>
                <c:pt idx="30">
                  <c:v>-114.26942320791967</c:v>
                </c:pt>
                <c:pt idx="31">
                  <c:v>-115.13885424710432</c:v>
                </c:pt>
                <c:pt idx="32">
                  <c:v>-118.87484152082322</c:v>
                </c:pt>
                <c:pt idx="33">
                  <c:v>-118.87484152082322</c:v>
                </c:pt>
                <c:pt idx="34">
                  <c:v>-118.87484152082322</c:v>
                </c:pt>
                <c:pt idx="35">
                  <c:v>-118.87484152082322</c:v>
                </c:pt>
                <c:pt idx="36">
                  <c:v>-118.87484152082322</c:v>
                </c:pt>
                <c:pt idx="37">
                  <c:v>-118.87484152082322</c:v>
                </c:pt>
                <c:pt idx="38">
                  <c:v>-118.87484152082322</c:v>
                </c:pt>
                <c:pt idx="39">
                  <c:v>-118.87484152082322</c:v>
                </c:pt>
                <c:pt idx="40">
                  <c:v>-118.87484152082322</c:v>
                </c:pt>
                <c:pt idx="41">
                  <c:v>-118.87484152082322</c:v>
                </c:pt>
                <c:pt idx="42">
                  <c:v>-118.87484152082322</c:v>
                </c:pt>
                <c:pt idx="43">
                  <c:v>-118.87484152082322</c:v>
                </c:pt>
                <c:pt idx="44">
                  <c:v>-118.87484152082322</c:v>
                </c:pt>
              </c:numCache>
            </c:numRef>
          </c:val>
          <c:smooth val="0"/>
          <c:extLst>
            <c:ext xmlns:c16="http://schemas.microsoft.com/office/drawing/2014/chart" uri="{C3380CC4-5D6E-409C-BE32-E72D297353CC}">
              <c16:uniqueId val="{00000030-8C36-4BB5-AE07-A1439A3EF7BE}"/>
            </c:ext>
          </c:extLst>
        </c:ser>
        <c:ser>
          <c:idx val="4"/>
          <c:order val="4"/>
          <c:tx>
            <c:strRef>
              <c:f>Output!$E$271</c:f>
              <c:strCache>
                <c:ptCount val="1"/>
                <c:pt idx="0">
                  <c:v>Small H2</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Output!$J$6:$BE$6</c15:sqref>
                  </c15:fullRef>
                </c:ext>
              </c:extLst>
              <c:f>Output!$J$6:$BB$6</c:f>
              <c:numCache>
                <c:formatCode>General</c:formatCode>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numCache>
            </c:numRef>
          </c:cat>
          <c:val>
            <c:numRef>
              <c:extLst>
                <c:ext xmlns:c15="http://schemas.microsoft.com/office/drawing/2012/chart" uri="{02D57815-91ED-43cb-92C2-25804820EDAC}">
                  <c15:fullRef>
                    <c15:sqref>Output!$J$131:$BE$131</c15:sqref>
                  </c15:fullRef>
                </c:ext>
              </c:extLst>
              <c:f>Output!$J$131:$BB$131</c:f>
              <c:numCache>
                <c:formatCode>_(* #,##0_);_(* \(#,##0\);_(* "-"_);_(@_)</c:formatCode>
                <c:ptCount val="45"/>
                <c:pt idx="0">
                  <c:v>0</c:v>
                </c:pt>
                <c:pt idx="1">
                  <c:v>0</c:v>
                </c:pt>
                <c:pt idx="2">
                  <c:v>0</c:v>
                </c:pt>
                <c:pt idx="3">
                  <c:v>0</c:v>
                </c:pt>
                <c:pt idx="4">
                  <c:v>0</c:v>
                </c:pt>
                <c:pt idx="5">
                  <c:v>0</c:v>
                </c:pt>
                <c:pt idx="6">
                  <c:v>0</c:v>
                </c:pt>
                <c:pt idx="7">
                  <c:v>-15.878511538359634</c:v>
                </c:pt>
                <c:pt idx="8">
                  <c:v>-16.415526795469184</c:v>
                </c:pt>
                <c:pt idx="9">
                  <c:v>-16.913489767625215</c:v>
                </c:pt>
                <c:pt idx="10">
                  <c:v>-17.375240375907325</c:v>
                </c:pt>
                <c:pt idx="11">
                  <c:v>-17.803412019505604</c:v>
                </c:pt>
                <c:pt idx="12">
                  <c:v>-17.803412019505604</c:v>
                </c:pt>
                <c:pt idx="13">
                  <c:v>-17.803412019505604</c:v>
                </c:pt>
                <c:pt idx="14">
                  <c:v>-17.803412019505604</c:v>
                </c:pt>
                <c:pt idx="15">
                  <c:v>-17.803412019505604</c:v>
                </c:pt>
                <c:pt idx="16">
                  <c:v>-17.803412019505604</c:v>
                </c:pt>
                <c:pt idx="17">
                  <c:v>-17.803412019505604</c:v>
                </c:pt>
                <c:pt idx="18">
                  <c:v>-17.803412019505604</c:v>
                </c:pt>
                <c:pt idx="19">
                  <c:v>-17.803412019505604</c:v>
                </c:pt>
                <c:pt idx="20">
                  <c:v>-17.803412019505604</c:v>
                </c:pt>
                <c:pt idx="21">
                  <c:v>-17.803412019505604</c:v>
                </c:pt>
                <c:pt idx="22">
                  <c:v>-17.803412019505604</c:v>
                </c:pt>
                <c:pt idx="23">
                  <c:v>-17.803412019505604</c:v>
                </c:pt>
                <c:pt idx="24">
                  <c:v>-17.803412019505604</c:v>
                </c:pt>
                <c:pt idx="25">
                  <c:v>-17.803412019505604</c:v>
                </c:pt>
                <c:pt idx="26">
                  <c:v>-17.803412019505604</c:v>
                </c:pt>
                <c:pt idx="27">
                  <c:v>-17.803412019505604</c:v>
                </c:pt>
                <c:pt idx="28">
                  <c:v>-17.803412019505604</c:v>
                </c:pt>
                <c:pt idx="29">
                  <c:v>-17.803412019505604</c:v>
                </c:pt>
                <c:pt idx="30">
                  <c:v>-17.803412019505604</c:v>
                </c:pt>
                <c:pt idx="31">
                  <c:v>-17.803412019505604</c:v>
                </c:pt>
                <c:pt idx="32">
                  <c:v>-17.803412019505604</c:v>
                </c:pt>
                <c:pt idx="33">
                  <c:v>-17.803412019505604</c:v>
                </c:pt>
                <c:pt idx="34">
                  <c:v>-17.803412019505604</c:v>
                </c:pt>
                <c:pt idx="35">
                  <c:v>-17.803412019505604</c:v>
                </c:pt>
                <c:pt idx="36">
                  <c:v>-17.803412019505604</c:v>
                </c:pt>
                <c:pt idx="37">
                  <c:v>-17.803412019505604</c:v>
                </c:pt>
                <c:pt idx="38">
                  <c:v>-17.803412019505604</c:v>
                </c:pt>
                <c:pt idx="39">
                  <c:v>-17.803412019505604</c:v>
                </c:pt>
                <c:pt idx="40">
                  <c:v>-17.803412019505604</c:v>
                </c:pt>
                <c:pt idx="41">
                  <c:v>-17.803412019505604</c:v>
                </c:pt>
                <c:pt idx="42">
                  <c:v>-17.803412019505604</c:v>
                </c:pt>
                <c:pt idx="43">
                  <c:v>-17.803412019505604</c:v>
                </c:pt>
                <c:pt idx="44">
                  <c:v>-17.803412019505604</c:v>
                </c:pt>
              </c:numCache>
            </c:numRef>
          </c:val>
          <c:smooth val="0"/>
          <c:extLst>
            <c:ext xmlns:c16="http://schemas.microsoft.com/office/drawing/2014/chart" uri="{C3380CC4-5D6E-409C-BE32-E72D297353CC}">
              <c16:uniqueId val="{00000031-8C36-4BB5-AE07-A1439A3EF7BE}"/>
            </c:ext>
          </c:extLst>
        </c:ser>
        <c:ser>
          <c:idx val="5"/>
          <c:order val="5"/>
          <c:tx>
            <c:strRef>
              <c:f>Output!$B$7</c:f>
              <c:strCache>
                <c:ptCount val="1"/>
                <c:pt idx="0">
                  <c:v>Business as usual</c:v>
                </c:pt>
              </c:strCache>
            </c:strRef>
          </c:tx>
          <c:spPr>
            <a:ln w="28575" cap="rnd">
              <a:solidFill>
                <a:schemeClr val="tx1"/>
              </a:solidFill>
              <a:round/>
            </a:ln>
            <a:effectLst/>
          </c:spPr>
          <c:marker>
            <c:symbol val="none"/>
          </c:marker>
          <c:cat>
            <c:strLit>
              <c:ptCount val="45"/>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Output!$J$26:$BE$26</c15:sqref>
                  </c15:fullRef>
                </c:ext>
              </c:extLst>
              <c:f>Output!$J$26:$BB$26</c:f>
              <c:numCache>
                <c:formatCode>_(* #,##0_);_(* \(#,##0\);_(* "-"_);_(@_)</c:formatCode>
                <c:ptCount val="45"/>
                <c:pt idx="0">
                  <c:v>0</c:v>
                </c:pt>
                <c:pt idx="1">
                  <c:v>0</c:v>
                </c:pt>
                <c:pt idx="2">
                  <c:v>0</c:v>
                </c:pt>
                <c:pt idx="3">
                  <c:v>0</c:v>
                </c:pt>
                <c:pt idx="4">
                  <c:v>38.81207536744823</c:v>
                </c:pt>
                <c:pt idx="5">
                  <c:v>76.534258375464816</c:v>
                </c:pt>
                <c:pt idx="6">
                  <c:v>111.95830851701636</c:v>
                </c:pt>
                <c:pt idx="7">
                  <c:v>145.17900139705199</c:v>
                </c:pt>
                <c:pt idx="8">
                  <c:v>176.33261419448462</c:v>
                </c:pt>
                <c:pt idx="9">
                  <c:v>205.53907578062143</c:v>
                </c:pt>
                <c:pt idx="10">
                  <c:v>232.89777454913084</c:v>
                </c:pt>
                <c:pt idx="11">
                  <c:v>258.52756924650151</c:v>
                </c:pt>
                <c:pt idx="12">
                  <c:v>239.15532060507655</c:v>
                </c:pt>
                <c:pt idx="13">
                  <c:v>239.15532060507655</c:v>
                </c:pt>
                <c:pt idx="14">
                  <c:v>239.15532060507655</c:v>
                </c:pt>
                <c:pt idx="15">
                  <c:v>239.15532060507655</c:v>
                </c:pt>
                <c:pt idx="16">
                  <c:v>239.15532060507655</c:v>
                </c:pt>
                <c:pt idx="17">
                  <c:v>239.15532060507655</c:v>
                </c:pt>
                <c:pt idx="18">
                  <c:v>239.15532060507655</c:v>
                </c:pt>
                <c:pt idx="19">
                  <c:v>239.15532060507655</c:v>
                </c:pt>
                <c:pt idx="20">
                  <c:v>239.15532060507655</c:v>
                </c:pt>
                <c:pt idx="21">
                  <c:v>239.15532060507655</c:v>
                </c:pt>
                <c:pt idx="22">
                  <c:v>239.15532060507655</c:v>
                </c:pt>
                <c:pt idx="23">
                  <c:v>239.15532060507655</c:v>
                </c:pt>
                <c:pt idx="24">
                  <c:v>239.15532060507655</c:v>
                </c:pt>
                <c:pt idx="25">
                  <c:v>239.15532060507655</c:v>
                </c:pt>
                <c:pt idx="26">
                  <c:v>239.15532060507655</c:v>
                </c:pt>
                <c:pt idx="27">
                  <c:v>239.15532060507655</c:v>
                </c:pt>
                <c:pt idx="28">
                  <c:v>239.15532060507655</c:v>
                </c:pt>
                <c:pt idx="29">
                  <c:v>239.15532060507655</c:v>
                </c:pt>
                <c:pt idx="30">
                  <c:v>239.15532060507655</c:v>
                </c:pt>
                <c:pt idx="31">
                  <c:v>239.15532060507655</c:v>
                </c:pt>
                <c:pt idx="32">
                  <c:v>239.15532060507655</c:v>
                </c:pt>
                <c:pt idx="33">
                  <c:v>239.15532060507655</c:v>
                </c:pt>
                <c:pt idx="34">
                  <c:v>239.15532060507655</c:v>
                </c:pt>
                <c:pt idx="35">
                  <c:v>239.15532060507655</c:v>
                </c:pt>
                <c:pt idx="36">
                  <c:v>239.15532060507655</c:v>
                </c:pt>
                <c:pt idx="37">
                  <c:v>239.15532060507655</c:v>
                </c:pt>
                <c:pt idx="38">
                  <c:v>239.15532060507655</c:v>
                </c:pt>
                <c:pt idx="39">
                  <c:v>239.15532060507655</c:v>
                </c:pt>
                <c:pt idx="40">
                  <c:v>239.15532060507655</c:v>
                </c:pt>
                <c:pt idx="41">
                  <c:v>239.15532060507655</c:v>
                </c:pt>
                <c:pt idx="42">
                  <c:v>239.15532060507655</c:v>
                </c:pt>
                <c:pt idx="43">
                  <c:v>239.15532060507655</c:v>
                </c:pt>
                <c:pt idx="44">
                  <c:v>239.15532060507655</c:v>
                </c:pt>
              </c:numCache>
            </c:numRef>
          </c:val>
          <c:smooth val="0"/>
          <c:extLst>
            <c:ext xmlns:c16="http://schemas.microsoft.com/office/drawing/2014/chart" uri="{C3380CC4-5D6E-409C-BE32-E72D297353CC}">
              <c16:uniqueId val="{00000032-8C36-4BB5-AE07-A1439A3EF7BE}"/>
            </c:ext>
          </c:extLst>
        </c:ser>
        <c:dLbls>
          <c:showLegendKey val="0"/>
          <c:showVal val="0"/>
          <c:showCatName val="0"/>
          <c:showSerName val="0"/>
          <c:showPercent val="0"/>
          <c:showBubbleSize val="0"/>
        </c:dLbls>
        <c:smooth val="0"/>
        <c:axId val="607988656"/>
        <c:axId val="607986032"/>
      </c:lineChart>
      <c:catAx>
        <c:axId val="607988656"/>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2700000" spcFirstLastPara="1" vertOverflow="ellipsis"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7986032"/>
        <c:crosses val="autoZero"/>
        <c:auto val="1"/>
        <c:lblAlgn val="ctr"/>
        <c:lblOffset val="100"/>
        <c:noMultiLvlLbl val="0"/>
      </c:catAx>
      <c:valAx>
        <c:axId val="607986032"/>
        <c:scaling>
          <c:orientation val="minMax"/>
          <c:max val="1000"/>
        </c:scaling>
        <c:delete val="0"/>
        <c:axPos val="l"/>
        <c:majorGridlines>
          <c:spPr>
            <a:ln w="317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GB" sz="1800"/>
                  <a:t>Cumulated disc.</a:t>
                </a:r>
                <a:r>
                  <a:rPr lang="en-GB" sz="1800" baseline="0"/>
                  <a:t> cashflows [Million EUR]</a:t>
                </a:r>
                <a:endParaRPr lang="en-GB" sz="1800"/>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_ * #,##0_ ;[Red]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079886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hyperlink" Target="#'DATABASE CO2 STORAGE'!A1"/><Relationship Id="rId7" Type="http://schemas.openxmlformats.org/officeDocument/2006/relationships/hyperlink" Target="#Gas_production!A1"/><Relationship Id="rId2" Type="http://schemas.openxmlformats.org/officeDocument/2006/relationships/hyperlink" Target="#'CO2 COMPRESSION'!A1"/><Relationship Id="rId1" Type="http://schemas.openxmlformats.org/officeDocument/2006/relationships/hyperlink" Target="#ELECTROLYSIS!A1"/><Relationship Id="rId6" Type="http://schemas.openxmlformats.org/officeDocument/2006/relationships/hyperlink" Target="#electrification_input!A1"/><Relationship Id="rId5" Type="http://schemas.openxmlformats.org/officeDocument/2006/relationships/hyperlink" Target="#'ELECTROLYSIS S'!A1"/><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Parameters!A1"/><Relationship Id="rId1" Type="http://schemas.openxmlformats.org/officeDocument/2006/relationships/hyperlink" Target="#electrification_input!A1"/></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cid:image001.jpg@01D341E8.59847F30" TargetMode="External"/><Relationship Id="rId1" Type="http://schemas.openxmlformats.org/officeDocument/2006/relationships/image" Target="../media/image11.jpeg"/></Relationships>
</file>

<file path=xl/drawings/_rels/drawing9.xml.rels><?xml version="1.0" encoding="UTF-8" standalone="yes"?>
<Relationships xmlns="http://schemas.openxmlformats.org/package/2006/relationships"><Relationship Id="rId3" Type="http://schemas.openxmlformats.org/officeDocument/2006/relationships/hyperlink" Target="#'PRESSURIZING DATABASE'!A1"/><Relationship Id="rId7" Type="http://schemas.openxmlformats.org/officeDocument/2006/relationships/hyperlink" Target="#INPUT!A1"/><Relationship Id="rId2" Type="http://schemas.openxmlformats.org/officeDocument/2006/relationships/image" Target="../media/image8.png"/><Relationship Id="rId1" Type="http://schemas.openxmlformats.org/officeDocument/2006/relationships/hyperlink" Target="#Parameters!A1"/><Relationship Id="rId6" Type="http://schemas.openxmlformats.org/officeDocument/2006/relationships/hyperlink" Target="#NPV!A1"/><Relationship Id="rId5" Type="http://schemas.openxmlformats.org/officeDocument/2006/relationships/hyperlink" Target="#'GENERAL DATABASE'!A1"/><Relationship Id="rId4" Type="http://schemas.openxmlformats.org/officeDocument/2006/relationships/hyperlink" Target="#'INJECTION DATABASE'!A1"/></Relationships>
</file>

<file path=xl/drawings/_rels/drawing10.xml.rels><?xml version="1.0" encoding="UTF-8" standalone="yes"?>
<Relationships xmlns="http://schemas.openxmlformats.org/package/2006/relationships"><Relationship Id="rId3" Type="http://schemas.openxmlformats.org/officeDocument/2006/relationships/hyperlink" Target="#'PRESSURIZING DATABASE'!A1"/><Relationship Id="rId7" Type="http://schemas.openxmlformats.org/officeDocument/2006/relationships/hyperlink" Target="#INPUT!A1"/><Relationship Id="rId2" Type="http://schemas.openxmlformats.org/officeDocument/2006/relationships/image" Target="../media/image8.png"/><Relationship Id="rId1" Type="http://schemas.openxmlformats.org/officeDocument/2006/relationships/hyperlink" Target="#Parameters!A1"/><Relationship Id="rId6" Type="http://schemas.openxmlformats.org/officeDocument/2006/relationships/hyperlink" Target="#NPV!A1"/><Relationship Id="rId5" Type="http://schemas.openxmlformats.org/officeDocument/2006/relationships/hyperlink" Target="#'GENERAL DATABASE'!A1"/><Relationship Id="rId4" Type="http://schemas.openxmlformats.org/officeDocument/2006/relationships/hyperlink" Target="#'INJECTION DATABASE'!A1"/></Relationships>
</file>

<file path=xl/drawings/_rels/drawing11.xml.rels><?xml version="1.0" encoding="UTF-8" standalone="yes"?>
<Relationships xmlns="http://schemas.openxmlformats.org/package/2006/relationships"><Relationship Id="rId3" Type="http://schemas.openxmlformats.org/officeDocument/2006/relationships/hyperlink" Target="#'GENERAL DATABASE'!A1"/><Relationship Id="rId2" Type="http://schemas.openxmlformats.org/officeDocument/2006/relationships/image" Target="../media/image8.png"/><Relationship Id="rId1" Type="http://schemas.openxmlformats.org/officeDocument/2006/relationships/hyperlink" Target="#Parameters!A1"/><Relationship Id="rId5" Type="http://schemas.openxmlformats.org/officeDocument/2006/relationships/hyperlink" Target="#INPUT!A1"/><Relationship Id="rId4" Type="http://schemas.openxmlformats.org/officeDocument/2006/relationships/hyperlink" Target="#NPV!A1"/></Relationships>
</file>

<file path=xl/drawings/_rels/drawing1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1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1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1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1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1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1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1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20.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21.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2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2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2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8.png"/><Relationship Id="rId1" Type="http://schemas.openxmlformats.org/officeDocument/2006/relationships/hyperlink" Target="#Parameters!A1"/><Relationship Id="rId5" Type="http://schemas.openxmlformats.org/officeDocument/2006/relationships/image" Target="../media/image14.png"/><Relationship Id="rId4" Type="http://schemas.openxmlformats.org/officeDocument/2006/relationships/image" Target="../media/image13.png"/></Relationships>
</file>

<file path=xl/drawings/_rels/drawing2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2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2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2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Parameters!A1"/><Relationship Id="rId1" Type="http://schemas.openxmlformats.org/officeDocument/2006/relationships/image" Target="../media/image15.png"/></Relationships>
</file>

<file path=xl/drawings/_rels/drawing2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0.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1.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6.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jpe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8.png"/><Relationship Id="rId10" Type="http://schemas.openxmlformats.org/officeDocument/2006/relationships/image" Target="../media/image25.png"/><Relationship Id="rId4" Type="http://schemas.openxmlformats.org/officeDocument/2006/relationships/image" Target="../media/image19.jpeg"/><Relationship Id="rId9" Type="http://schemas.openxmlformats.org/officeDocument/2006/relationships/image" Target="../media/image24.png"/><Relationship Id="rId14" Type="http://schemas.openxmlformats.org/officeDocument/2006/relationships/hyperlink" Target="#Parameters!A1"/></Relationships>
</file>

<file path=xl/drawings/_rels/drawing3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39.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_rels/drawing40.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Parameters!A1"/></Relationships>
</file>

<file path=xl/drawings/drawing1.xml><?xml version="1.0" encoding="utf-8"?>
<xdr:wsDr xmlns:xdr="http://schemas.openxmlformats.org/drawingml/2006/spreadsheetDrawing" xmlns:a="http://schemas.openxmlformats.org/drawingml/2006/main">
  <xdr:twoCellAnchor editAs="oneCell">
    <xdr:from>
      <xdr:col>0</xdr:col>
      <xdr:colOff>352425</xdr:colOff>
      <xdr:row>11</xdr:row>
      <xdr:rowOff>12548</xdr:rowOff>
    </xdr:from>
    <xdr:to>
      <xdr:col>3</xdr:col>
      <xdr:colOff>533400</xdr:colOff>
      <xdr:row>15</xdr:row>
      <xdr:rowOff>119343</xdr:rowOff>
    </xdr:to>
    <xdr:pic>
      <xdr:nvPicPr>
        <xdr:cNvPr id="2" name="Picture 1" descr="https://tno.paragon.eu/TNO/uploadimages/mediaonlineviewimage/432_1_tno%20ifl%20zwart.jpg">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2425" y="2508098"/>
          <a:ext cx="2790825" cy="80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66158</xdr:colOff>
      <xdr:row>4</xdr:row>
      <xdr:rowOff>176893</xdr:rowOff>
    </xdr:from>
    <xdr:to>
      <xdr:col>14</xdr:col>
      <xdr:colOff>369270</xdr:colOff>
      <xdr:row>10</xdr:row>
      <xdr:rowOff>95250</xdr:rowOff>
    </xdr:to>
    <xdr:pic>
      <xdr:nvPicPr>
        <xdr:cNvPr id="3" name="Picture 3" descr="https://investinholland.com/nfia_media/2015/06/TAQA_Logo_EPS-vector-image-700x467.png">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89622" y="1333500"/>
          <a:ext cx="1527755" cy="1061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272143</xdr:colOff>
      <xdr:row>4</xdr:row>
      <xdr:rowOff>188292</xdr:rowOff>
    </xdr:from>
    <xdr:to>
      <xdr:col>12</xdr:col>
      <xdr:colOff>173465</xdr:colOff>
      <xdr:row>10</xdr:row>
      <xdr:rowOff>126990</xdr:rowOff>
    </xdr:to>
    <xdr:pic>
      <xdr:nvPicPr>
        <xdr:cNvPr id="5" name="Picture 6" descr="https://upload.wikimedia.org/wikipedia/en/thumb/e/e8/Shell_logo.svg/1200px-Shell_logo.svg.png">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170964" y="1344899"/>
          <a:ext cx="1125965" cy="1081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569096</xdr:colOff>
      <xdr:row>3</xdr:row>
      <xdr:rowOff>160457</xdr:rowOff>
    </xdr:from>
    <xdr:to>
      <xdr:col>16</xdr:col>
      <xdr:colOff>163285</xdr:colOff>
      <xdr:row>11</xdr:row>
      <xdr:rowOff>44541</xdr:rowOff>
    </xdr:to>
    <xdr:pic>
      <xdr:nvPicPr>
        <xdr:cNvPr id="9" name="Picture 11" descr="foto van Total.">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304882" y="1126564"/>
          <a:ext cx="1431153" cy="1408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40821</xdr:colOff>
      <xdr:row>11</xdr:row>
      <xdr:rowOff>163287</xdr:rowOff>
    </xdr:from>
    <xdr:to>
      <xdr:col>7</xdr:col>
      <xdr:colOff>81642</xdr:colOff>
      <xdr:row>17</xdr:row>
      <xdr:rowOff>16806</xdr:rowOff>
    </xdr:to>
    <xdr:pic>
      <xdr:nvPicPr>
        <xdr:cNvPr id="10" name="Afbeelding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3265714" y="2653394"/>
          <a:ext cx="1877785" cy="928483"/>
        </a:xfrm>
        <a:prstGeom prst="rect">
          <a:avLst/>
        </a:prstGeom>
      </xdr:spPr>
    </xdr:pic>
    <xdr:clientData/>
  </xdr:twoCellAnchor>
  <xdr:twoCellAnchor editAs="oneCell">
    <xdr:from>
      <xdr:col>7</xdr:col>
      <xdr:colOff>353784</xdr:colOff>
      <xdr:row>11</xdr:row>
      <xdr:rowOff>13606</xdr:rowOff>
    </xdr:from>
    <xdr:to>
      <xdr:col>9</xdr:col>
      <xdr:colOff>342700</xdr:colOff>
      <xdr:row>16</xdr:row>
      <xdr:rowOff>138005</xdr:rowOff>
    </xdr:to>
    <xdr:pic>
      <xdr:nvPicPr>
        <xdr:cNvPr id="4" name="Picture 3">
          <a:extLst>
            <a:ext uri="{FF2B5EF4-FFF2-40B4-BE49-F238E27FC236}">
              <a16:creationId xmlns:a16="http://schemas.microsoft.com/office/drawing/2014/main" id="{A46083A3-3A4E-407F-96BD-CF4D7A265912}"/>
            </a:ext>
          </a:extLst>
        </xdr:cNvPr>
        <xdr:cNvPicPr>
          <a:picLocks noChangeAspect="1"/>
        </xdr:cNvPicPr>
      </xdr:nvPicPr>
      <xdr:blipFill>
        <a:blip xmlns:r="http://schemas.openxmlformats.org/officeDocument/2006/relationships" r:embed="rId6"/>
        <a:stretch>
          <a:fillRect/>
        </a:stretch>
      </xdr:blipFill>
      <xdr:spPr>
        <a:xfrm>
          <a:off x="5415641" y="2503713"/>
          <a:ext cx="1213559" cy="10088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223419</xdr:colOff>
      <xdr:row>2</xdr:row>
      <xdr:rowOff>0</xdr:rowOff>
    </xdr:from>
    <xdr:to>
      <xdr:col>13</xdr:col>
      <xdr:colOff>900254</xdr:colOff>
      <xdr:row>4</xdr:row>
      <xdr:rowOff>0</xdr:rowOff>
    </xdr:to>
    <xdr:sp macro="" textlink="">
      <xdr:nvSpPr>
        <xdr:cNvPr id="2" name="Afgeronde rechthoek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15511044" y="381000"/>
          <a:ext cx="1010210" cy="381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1800"/>
            <a:t>H2 large</a:t>
          </a:r>
        </a:p>
      </xdr:txBody>
    </xdr:sp>
    <xdr:clientData/>
  </xdr:twoCellAnchor>
  <xdr:twoCellAnchor>
    <xdr:from>
      <xdr:col>10</xdr:col>
      <xdr:colOff>213612</xdr:colOff>
      <xdr:row>2</xdr:row>
      <xdr:rowOff>0</xdr:rowOff>
    </xdr:from>
    <xdr:to>
      <xdr:col>11</xdr:col>
      <xdr:colOff>137972</xdr:colOff>
      <xdr:row>4</xdr:row>
      <xdr:rowOff>0</xdr:rowOff>
    </xdr:to>
    <xdr:sp macro="" textlink="">
      <xdr:nvSpPr>
        <xdr:cNvPr id="3" name="Afgeronde rechthoek 2">
          <a:hlinkClick xmlns:r="http://schemas.openxmlformats.org/officeDocument/2006/relationships" r:id="rId2"/>
          <a:extLst>
            <a:ext uri="{FF2B5EF4-FFF2-40B4-BE49-F238E27FC236}">
              <a16:creationId xmlns:a16="http://schemas.microsoft.com/office/drawing/2014/main" id="{00000000-0008-0000-0500-000003000000}"/>
            </a:ext>
          </a:extLst>
        </xdr:cNvPr>
        <xdr:cNvSpPr/>
      </xdr:nvSpPr>
      <xdr:spPr>
        <a:xfrm>
          <a:off x="13310487" y="381000"/>
          <a:ext cx="1019735" cy="3810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GB" sz="1800"/>
            <a:t>CCS</a:t>
          </a:r>
        </a:p>
      </xdr:txBody>
    </xdr:sp>
    <xdr:clientData/>
  </xdr:twoCellAnchor>
  <xdr:twoCellAnchor editAs="oneCell">
    <xdr:from>
      <xdr:col>14</xdr:col>
      <xdr:colOff>44683</xdr:colOff>
      <xdr:row>2</xdr:row>
      <xdr:rowOff>0</xdr:rowOff>
    </xdr:from>
    <xdr:to>
      <xdr:col>14</xdr:col>
      <xdr:colOff>455015</xdr:colOff>
      <xdr:row>4</xdr:row>
      <xdr:rowOff>22412</xdr:rowOff>
    </xdr:to>
    <xdr:pic>
      <xdr:nvPicPr>
        <xdr:cNvPr id="4" name="Afbeelding 3">
          <a:hlinkClick xmlns:r="http://schemas.openxmlformats.org/officeDocument/2006/relationships" r:id="rId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a:clrChange>
            <a:clrFrom>
              <a:srgbClr val="FFFFFF"/>
            </a:clrFrom>
            <a:clrTo>
              <a:srgbClr val="FFFFFF">
                <a:alpha val="0"/>
              </a:srgbClr>
            </a:clrTo>
          </a:clrChange>
        </a:blip>
        <a:stretch>
          <a:fillRect/>
        </a:stretch>
      </xdr:blipFill>
      <xdr:spPr>
        <a:xfrm>
          <a:off x="16772964" y="381000"/>
          <a:ext cx="410332" cy="403412"/>
        </a:xfrm>
        <a:prstGeom prst="rect">
          <a:avLst/>
        </a:prstGeom>
      </xdr:spPr>
    </xdr:pic>
    <xdr:clientData/>
  </xdr:twoCellAnchor>
  <xdr:twoCellAnchor>
    <xdr:from>
      <xdr:col>11</xdr:col>
      <xdr:colOff>247930</xdr:colOff>
      <xdr:row>2</xdr:row>
      <xdr:rowOff>0</xdr:rowOff>
    </xdr:from>
    <xdr:to>
      <xdr:col>12</xdr:col>
      <xdr:colOff>172290</xdr:colOff>
      <xdr:row>4</xdr:row>
      <xdr:rowOff>0</xdr:rowOff>
    </xdr:to>
    <xdr:sp macro="" textlink="">
      <xdr:nvSpPr>
        <xdr:cNvPr id="5" name="Afgeronde rechthoek 4">
          <a:hlinkClick xmlns:r="http://schemas.openxmlformats.org/officeDocument/2006/relationships" r:id="rId5"/>
          <a:extLst>
            <a:ext uri="{FF2B5EF4-FFF2-40B4-BE49-F238E27FC236}">
              <a16:creationId xmlns:a16="http://schemas.microsoft.com/office/drawing/2014/main" id="{00000000-0008-0000-0500-000005000000}"/>
            </a:ext>
          </a:extLst>
        </xdr:cNvPr>
        <xdr:cNvSpPr/>
      </xdr:nvSpPr>
      <xdr:spPr>
        <a:xfrm>
          <a:off x="14440180" y="381000"/>
          <a:ext cx="1019735" cy="381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GB" sz="1800"/>
            <a:t>H2 small</a:t>
          </a:r>
        </a:p>
      </xdr:txBody>
    </xdr:sp>
    <xdr:clientData/>
  </xdr:twoCellAnchor>
  <xdr:twoCellAnchor>
    <xdr:from>
      <xdr:col>9</xdr:col>
      <xdr:colOff>142174</xdr:colOff>
      <xdr:row>2</xdr:row>
      <xdr:rowOff>0</xdr:rowOff>
    </xdr:from>
    <xdr:to>
      <xdr:col>10</xdr:col>
      <xdr:colOff>54628</xdr:colOff>
      <xdr:row>4</xdr:row>
      <xdr:rowOff>0</xdr:rowOff>
    </xdr:to>
    <xdr:sp macro="" textlink="">
      <xdr:nvSpPr>
        <xdr:cNvPr id="6" name="Afgeronde rechthoek 2">
          <a:hlinkClick xmlns:r="http://schemas.openxmlformats.org/officeDocument/2006/relationships" r:id="rId6"/>
          <a:extLst>
            <a:ext uri="{FF2B5EF4-FFF2-40B4-BE49-F238E27FC236}">
              <a16:creationId xmlns:a16="http://schemas.microsoft.com/office/drawing/2014/main" id="{00000000-0008-0000-0500-000006000000}"/>
            </a:ext>
          </a:extLst>
        </xdr:cNvPr>
        <xdr:cNvSpPr/>
      </xdr:nvSpPr>
      <xdr:spPr>
        <a:xfrm>
          <a:off x="12131768" y="381000"/>
          <a:ext cx="1019735" cy="381000"/>
        </a:xfrm>
        <a:prstGeom prst="roundRect">
          <a:avLst/>
        </a:prstGeom>
        <a:ln>
          <a:solidFill>
            <a:schemeClr val="accent6"/>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GB" sz="1800"/>
            <a:t>Elec</a:t>
          </a:r>
        </a:p>
      </xdr:txBody>
    </xdr:sp>
    <xdr:clientData/>
  </xdr:twoCellAnchor>
  <xdr:twoCellAnchor editAs="oneCell">
    <xdr:from>
      <xdr:col>9</xdr:col>
      <xdr:colOff>200025</xdr:colOff>
      <xdr:row>4</xdr:row>
      <xdr:rowOff>180975</xdr:rowOff>
    </xdr:from>
    <xdr:to>
      <xdr:col>9</xdr:col>
      <xdr:colOff>610357</xdr:colOff>
      <xdr:row>6</xdr:row>
      <xdr:rowOff>136712</xdr:rowOff>
    </xdr:to>
    <xdr:pic>
      <xdr:nvPicPr>
        <xdr:cNvPr id="7" name="Afbeelding 6">
          <a:hlinkClick xmlns:r="http://schemas.openxmlformats.org/officeDocument/2006/relationships" r:id="rId7"/>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clrChange>
            <a:clrFrom>
              <a:srgbClr val="FFFFFF"/>
            </a:clrFrom>
            <a:clrTo>
              <a:srgbClr val="FFFFFF">
                <a:alpha val="0"/>
              </a:srgbClr>
            </a:clrTo>
          </a:clrChange>
        </a:blip>
        <a:stretch>
          <a:fillRect/>
        </a:stretch>
      </xdr:blipFill>
      <xdr:spPr>
        <a:xfrm>
          <a:off x="12544425" y="904875"/>
          <a:ext cx="410332" cy="3843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328027</xdr:colOff>
      <xdr:row>38</xdr:row>
      <xdr:rowOff>127341</xdr:rowOff>
    </xdr:from>
    <xdr:to>
      <xdr:col>22</xdr:col>
      <xdr:colOff>432498</xdr:colOff>
      <xdr:row>63</xdr:row>
      <xdr:rowOff>44609</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0</xdr:colOff>
      <xdr:row>3</xdr:row>
      <xdr:rowOff>0</xdr:rowOff>
    </xdr:from>
    <xdr:to>
      <xdr:col>41</xdr:col>
      <xdr:colOff>128067</xdr:colOff>
      <xdr:row>36</xdr:row>
      <xdr:rowOff>183447</xdr:rowOff>
    </xdr:to>
    <xdr:graphicFrame macro="">
      <xdr:nvGraphicFramePr>
        <xdr:cNvPr id="4" name="Chart 1">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311728</xdr:colOff>
      <xdr:row>64</xdr:row>
      <xdr:rowOff>173183</xdr:rowOff>
    </xdr:from>
    <xdr:to>
      <xdr:col>23</xdr:col>
      <xdr:colOff>519546</xdr:colOff>
      <xdr:row>101</xdr:row>
      <xdr:rowOff>138547</xdr:rowOff>
    </xdr:to>
    <xdr:graphicFrame macro="">
      <xdr:nvGraphicFramePr>
        <xdr:cNvPr id="5" name="Chart 1">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585108</xdr:colOff>
      <xdr:row>65</xdr:row>
      <xdr:rowOff>149679</xdr:rowOff>
    </xdr:from>
    <xdr:to>
      <xdr:col>41</xdr:col>
      <xdr:colOff>123265</xdr:colOff>
      <xdr:row>99</xdr:row>
      <xdr:rowOff>136862</xdr:rowOff>
    </xdr:to>
    <xdr:graphicFrame macro="">
      <xdr:nvGraphicFramePr>
        <xdr:cNvPr id="7" name="Chart 1">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242454</xdr:colOff>
      <xdr:row>2</xdr:row>
      <xdr:rowOff>311727</xdr:rowOff>
    </xdr:from>
    <xdr:to>
      <xdr:col>23</xdr:col>
      <xdr:colOff>450272</xdr:colOff>
      <xdr:row>39</xdr:row>
      <xdr:rowOff>34637</xdr:rowOff>
    </xdr:to>
    <xdr:graphicFrame macro="">
      <xdr:nvGraphicFramePr>
        <xdr:cNvPr id="6" name="Chart 1">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0.15108</cdr:x>
      <cdr:y>0.0928</cdr:y>
    </cdr:from>
    <cdr:to>
      <cdr:x>0.23807</cdr:x>
      <cdr:y>0.2882</cdr:y>
    </cdr:to>
    <cdr:sp macro="" textlink="Output!$G$315">
      <cdr:nvSpPr>
        <cdr:cNvPr id="3" name="TextBox 2">
          <a:extLst xmlns:a="http://schemas.openxmlformats.org/drawingml/2006/main">
            <a:ext uri="{FF2B5EF4-FFF2-40B4-BE49-F238E27FC236}">
              <a16:creationId xmlns:a16="http://schemas.microsoft.com/office/drawing/2014/main" id="{EF61DD29-1581-406D-9CFD-5F9CE25B6635}"/>
            </a:ext>
          </a:extLst>
        </cdr:cNvPr>
        <cdr:cNvSpPr txBox="1"/>
      </cdr:nvSpPr>
      <cdr:spPr>
        <a:xfrm xmlns:a="http://schemas.openxmlformats.org/drawingml/2006/main">
          <a:off x="1588464" y="434269"/>
          <a:ext cx="914608" cy="91442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F4C156CD-4309-4A4C-9698-C7B146AB3F8E}" type="TxLink">
            <a:rPr lang="en-US" sz="2000" b="0" i="0" u="none" strike="noStrike">
              <a:ln>
                <a:solidFill>
                  <a:schemeClr val="bg1">
                    <a:lumMod val="75000"/>
                  </a:schemeClr>
                </a:solidFill>
              </a:ln>
              <a:solidFill>
                <a:sysClr val="windowText" lastClr="000000"/>
              </a:solidFill>
              <a:latin typeface="Calibri"/>
              <a:cs typeface="Calibri"/>
            </a:rPr>
            <a:pPr/>
            <a:t>€301</a:t>
          </a:fld>
          <a:endParaRPr lang="en-GB" sz="4000">
            <a:ln>
              <a:solidFill>
                <a:schemeClr val="bg1">
                  <a:lumMod val="75000"/>
                </a:schemeClr>
              </a:solidFill>
            </a:ln>
            <a:solidFill>
              <a:sysClr val="windowText" lastClr="000000"/>
            </a:solidFill>
          </a:endParaRPr>
        </a:p>
      </cdr:txBody>
    </cdr:sp>
  </cdr:relSizeAnchor>
  <cdr:relSizeAnchor xmlns:cdr="http://schemas.openxmlformats.org/drawingml/2006/chartDrawing">
    <cdr:from>
      <cdr:x>0.37062</cdr:x>
      <cdr:y>0.24135</cdr:y>
    </cdr:from>
    <cdr:to>
      <cdr:x>0.49265</cdr:x>
      <cdr:y>0.36424</cdr:y>
    </cdr:to>
    <cdr:sp macro="" textlink="Output!$G$316">
      <cdr:nvSpPr>
        <cdr:cNvPr id="11" name="TextBox 1">
          <a:extLst xmlns:a="http://schemas.openxmlformats.org/drawingml/2006/main">
            <a:ext uri="{FF2B5EF4-FFF2-40B4-BE49-F238E27FC236}">
              <a16:creationId xmlns:a16="http://schemas.microsoft.com/office/drawing/2014/main" id="{82E9464E-7939-4A69-BB3B-D8494A44F1BD}"/>
            </a:ext>
          </a:extLst>
        </cdr:cNvPr>
        <cdr:cNvSpPr txBox="1"/>
      </cdr:nvSpPr>
      <cdr:spPr>
        <a:xfrm xmlns:a="http://schemas.openxmlformats.org/drawingml/2006/main">
          <a:off x="3857670" y="1129479"/>
          <a:ext cx="1270185" cy="57509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50467A5-5E61-417E-802B-430568CBC745}" type="TxLink">
            <a:rPr lang="en-US" sz="2000" b="0" i="0" u="none" strike="noStrike">
              <a:ln>
                <a:solidFill>
                  <a:schemeClr val="bg1">
                    <a:lumMod val="75000"/>
                  </a:schemeClr>
                </a:solidFill>
              </a:ln>
              <a:solidFill>
                <a:srgbClr val="000000"/>
              </a:solidFill>
              <a:latin typeface="Calibri"/>
              <a:cs typeface="Calibri"/>
            </a:rPr>
            <a:pPr/>
            <a:t>€200</a:t>
          </a:fld>
          <a:endParaRPr lang="en-GB" sz="4000">
            <a:ln>
              <a:solidFill>
                <a:schemeClr val="bg1">
                  <a:lumMod val="75000"/>
                </a:schemeClr>
              </a:solidFill>
            </a:ln>
            <a:solidFill>
              <a:sysClr val="windowText" lastClr="000000"/>
            </a:solidFill>
          </a:endParaRPr>
        </a:p>
      </cdr:txBody>
    </cdr:sp>
  </cdr:relSizeAnchor>
  <cdr:relSizeAnchor xmlns:cdr="http://schemas.openxmlformats.org/drawingml/2006/chartDrawing">
    <cdr:from>
      <cdr:x>0.58236</cdr:x>
      <cdr:y>0.39678</cdr:y>
    </cdr:from>
    <cdr:to>
      <cdr:x>0.66935</cdr:x>
      <cdr:y>0.59217</cdr:y>
    </cdr:to>
    <cdr:sp macro="" textlink="Output!$G$317">
      <cdr:nvSpPr>
        <cdr:cNvPr id="12" name="TextBox 1">
          <a:extLst xmlns:a="http://schemas.openxmlformats.org/drawingml/2006/main">
            <a:ext uri="{FF2B5EF4-FFF2-40B4-BE49-F238E27FC236}">
              <a16:creationId xmlns:a16="http://schemas.microsoft.com/office/drawing/2014/main" id="{347DFC8D-F3F2-4F22-A3EE-F19862CAAB1A}"/>
            </a:ext>
          </a:extLst>
        </cdr:cNvPr>
        <cdr:cNvSpPr txBox="1"/>
      </cdr:nvSpPr>
      <cdr:spPr>
        <a:xfrm xmlns:a="http://schemas.openxmlformats.org/drawingml/2006/main">
          <a:off x="6061688" y="1856853"/>
          <a:ext cx="905460" cy="91437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2E566BCC-EC81-47E3-B905-94CEDD441779}" type="TxLink">
            <a:rPr lang="en-US" sz="2000" b="0" i="0" u="none" strike="noStrike">
              <a:ln>
                <a:solidFill>
                  <a:schemeClr val="bg1">
                    <a:lumMod val="75000"/>
                  </a:schemeClr>
                </a:solidFill>
              </a:ln>
              <a:solidFill>
                <a:sysClr val="windowText" lastClr="000000"/>
              </a:solidFill>
              <a:latin typeface="Calibri"/>
              <a:cs typeface="Calibri"/>
            </a:rPr>
            <a:pPr/>
            <a:t>-€119</a:t>
          </a:fld>
          <a:endParaRPr lang="en-GB" sz="2000">
            <a:ln>
              <a:solidFill>
                <a:schemeClr val="bg1">
                  <a:lumMod val="75000"/>
                </a:schemeClr>
              </a:solidFill>
            </a:ln>
            <a:solidFill>
              <a:sysClr val="windowText" lastClr="000000"/>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0</xdr:colOff>
      <xdr:row>1</xdr:row>
      <xdr:rowOff>0</xdr:rowOff>
    </xdr:from>
    <xdr:to>
      <xdr:col>2</xdr:col>
      <xdr:colOff>1019735</xdr:colOff>
      <xdr:row>1</xdr:row>
      <xdr:rowOff>381000</xdr:rowOff>
    </xdr:to>
    <xdr:sp macro="" textlink="">
      <xdr:nvSpPr>
        <xdr:cNvPr id="13" name="Afgeronde rechthoek 2">
          <a:hlinkClick xmlns:r="http://schemas.openxmlformats.org/officeDocument/2006/relationships" r:id="rId1"/>
          <a:extLst>
            <a:ext uri="{FF2B5EF4-FFF2-40B4-BE49-F238E27FC236}">
              <a16:creationId xmlns:a16="http://schemas.microsoft.com/office/drawing/2014/main" id="{00000000-0008-0000-0800-00000D000000}"/>
            </a:ext>
          </a:extLst>
        </xdr:cNvPr>
        <xdr:cNvSpPr/>
      </xdr:nvSpPr>
      <xdr:spPr>
        <a:xfrm>
          <a:off x="3211286" y="190500"/>
          <a:ext cx="1019735" cy="381000"/>
        </a:xfrm>
        <a:prstGeom prst="roundRect">
          <a:avLst/>
        </a:prstGeom>
        <a:ln>
          <a:solidFill>
            <a:schemeClr val="accent6"/>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GB" sz="1800"/>
            <a:t>Elec</a:t>
          </a:r>
        </a:p>
      </xdr:txBody>
    </xdr:sp>
    <xdr:clientData/>
  </xdr:twoCellAnchor>
  <xdr:twoCellAnchor editAs="oneCell">
    <xdr:from>
      <xdr:col>1</xdr:col>
      <xdr:colOff>1537607</xdr:colOff>
      <xdr:row>0</xdr:row>
      <xdr:rowOff>122464</xdr:rowOff>
    </xdr:from>
    <xdr:to>
      <xdr:col>1</xdr:col>
      <xdr:colOff>2073290</xdr:colOff>
      <xdr:row>2</xdr:row>
      <xdr:rowOff>38561</xdr:rowOff>
    </xdr:to>
    <xdr:pic>
      <xdr:nvPicPr>
        <xdr:cNvPr id="14" name="Afbeelding 4">
          <a:hlinkClick xmlns:r="http://schemas.openxmlformats.org/officeDocument/2006/relationships" r:id="rId2"/>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3"/>
        <a:stretch>
          <a:fillRect/>
        </a:stretch>
      </xdr:blipFill>
      <xdr:spPr>
        <a:xfrm>
          <a:off x="2503714" y="122464"/>
          <a:ext cx="535683" cy="5012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2028264</xdr:colOff>
      <xdr:row>28</xdr:row>
      <xdr:rowOff>112059</xdr:rowOff>
    </xdr:from>
    <xdr:to>
      <xdr:col>11</xdr:col>
      <xdr:colOff>612398</xdr:colOff>
      <xdr:row>72</xdr:row>
      <xdr:rowOff>6249</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2618814" y="5827059"/>
          <a:ext cx="6908984" cy="8276190"/>
        </a:xfrm>
        <a:prstGeom prst="rect">
          <a:avLst/>
        </a:prstGeom>
      </xdr:spPr>
    </xdr:pic>
    <xdr:clientData/>
  </xdr:twoCellAnchor>
  <xdr:twoCellAnchor editAs="oneCell">
    <xdr:from>
      <xdr:col>13</xdr:col>
      <xdr:colOff>22411</xdr:colOff>
      <xdr:row>28</xdr:row>
      <xdr:rowOff>145677</xdr:rowOff>
    </xdr:from>
    <xdr:to>
      <xdr:col>24</xdr:col>
      <xdr:colOff>558227</xdr:colOff>
      <xdr:row>61</xdr:row>
      <xdr:rowOff>182986</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10166536" y="5860677"/>
          <a:ext cx="7555741" cy="63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0</xdr:colOff>
      <xdr:row>27</xdr:row>
      <xdr:rowOff>0</xdr:rowOff>
    </xdr:from>
    <xdr:to>
      <xdr:col>18</xdr:col>
      <xdr:colOff>569434</xdr:colOff>
      <xdr:row>60</xdr:row>
      <xdr:rowOff>37309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6238875" y="5524500"/>
          <a:ext cx="7513159" cy="632380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1725707</xdr:colOff>
      <xdr:row>28</xdr:row>
      <xdr:rowOff>78441</xdr:rowOff>
    </xdr:from>
    <xdr:to>
      <xdr:col>12</xdr:col>
      <xdr:colOff>31378</xdr:colOff>
      <xdr:row>48</xdr:row>
      <xdr:rowOff>30816</xdr:rowOff>
    </xdr:to>
    <xdr:pic>
      <xdr:nvPicPr>
        <xdr:cNvPr id="2" name="Picture 1" descr="cid:image001.jpg@01D341E8.59847F30">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316257" y="5412441"/>
          <a:ext cx="6859121" cy="3762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593912</xdr:colOff>
      <xdr:row>30</xdr:row>
      <xdr:rowOff>33617</xdr:rowOff>
    </xdr:from>
    <xdr:to>
      <xdr:col>26</xdr:col>
      <xdr:colOff>289288</xdr:colOff>
      <xdr:row>63</xdr:row>
      <xdr:rowOff>70926</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
        <a:stretch>
          <a:fillRect/>
        </a:stretch>
      </xdr:blipFill>
      <xdr:spPr>
        <a:xfrm>
          <a:off x="10347512" y="5748617"/>
          <a:ext cx="7620176" cy="63238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24191</xdr:colOff>
      <xdr:row>0</xdr:row>
      <xdr:rowOff>79981</xdr:rowOff>
    </xdr:from>
    <xdr:to>
      <xdr:col>0</xdr:col>
      <xdr:colOff>559874</xdr:colOff>
      <xdr:row>0</xdr:row>
      <xdr:rowOff>585107</xdr:rowOff>
    </xdr:to>
    <xdr:pic>
      <xdr:nvPicPr>
        <xdr:cNvPr id="5" name="Afbeelding 4">
          <a:hlinkClick xmlns:r="http://schemas.openxmlformats.org/officeDocument/2006/relationships" r:id="rId1"/>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2"/>
        <a:stretch>
          <a:fillRect/>
        </a:stretch>
      </xdr:blipFill>
      <xdr:spPr>
        <a:xfrm>
          <a:off x="24191" y="79981"/>
          <a:ext cx="535683" cy="505126"/>
        </a:xfrm>
        <a:prstGeom prst="rect">
          <a:avLst/>
        </a:prstGeom>
      </xdr:spPr>
    </xdr:pic>
    <xdr:clientData/>
  </xdr:twoCellAnchor>
  <xdr:twoCellAnchor>
    <xdr:from>
      <xdr:col>15</xdr:col>
      <xdr:colOff>327256</xdr:colOff>
      <xdr:row>0</xdr:row>
      <xdr:rowOff>63953</xdr:rowOff>
    </xdr:from>
    <xdr:to>
      <xdr:col>16</xdr:col>
      <xdr:colOff>701451</xdr:colOff>
      <xdr:row>0</xdr:row>
      <xdr:rowOff>635452</xdr:rowOff>
    </xdr:to>
    <xdr:sp macro="" textlink="">
      <xdr:nvSpPr>
        <xdr:cNvPr id="16" name="Tekstvak 15">
          <a:hlinkClick xmlns:r="http://schemas.openxmlformats.org/officeDocument/2006/relationships" r:id="rId3"/>
          <a:extLst>
            <a:ext uri="{FF2B5EF4-FFF2-40B4-BE49-F238E27FC236}">
              <a16:creationId xmlns:a16="http://schemas.microsoft.com/office/drawing/2014/main" id="{00000000-0008-0000-1400-000010000000}"/>
            </a:ext>
          </a:extLst>
        </xdr:cNvPr>
        <xdr:cNvSpPr txBox="1"/>
      </xdr:nvSpPr>
      <xdr:spPr>
        <a:xfrm>
          <a:off x="17159292" y="63953"/>
          <a:ext cx="1285873" cy="571499"/>
        </a:xfrm>
        <a:prstGeom prst="rect">
          <a:avLst/>
        </a:prstGeom>
        <a:solidFill>
          <a:schemeClr val="bg2">
            <a:lumMod val="9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PRESSURIZINGdatabase</a:t>
          </a:r>
          <a:endParaRPr lang="nl-NL" sz="1400" b="1" baseline="0">
            <a:solidFill>
              <a:sysClr val="windowText" lastClr="000000"/>
            </a:solidFill>
          </a:endParaRPr>
        </a:p>
      </xdr:txBody>
    </xdr:sp>
    <xdr:clientData/>
  </xdr:twoCellAnchor>
  <xdr:twoCellAnchor>
    <xdr:from>
      <xdr:col>18</xdr:col>
      <xdr:colOff>438836</xdr:colOff>
      <xdr:row>0</xdr:row>
      <xdr:rowOff>61574</xdr:rowOff>
    </xdr:from>
    <xdr:to>
      <xdr:col>19</xdr:col>
      <xdr:colOff>548373</xdr:colOff>
      <xdr:row>0</xdr:row>
      <xdr:rowOff>633073</xdr:rowOff>
    </xdr:to>
    <xdr:sp macro="" textlink="">
      <xdr:nvSpPr>
        <xdr:cNvPr id="18" name="Tekstvak 17">
          <a:hlinkClick xmlns:r="http://schemas.openxmlformats.org/officeDocument/2006/relationships" r:id="rId4"/>
          <a:extLst>
            <a:ext uri="{FF2B5EF4-FFF2-40B4-BE49-F238E27FC236}">
              <a16:creationId xmlns:a16="http://schemas.microsoft.com/office/drawing/2014/main" id="{00000000-0008-0000-1400-000012000000}"/>
            </a:ext>
          </a:extLst>
        </xdr:cNvPr>
        <xdr:cNvSpPr txBox="1"/>
      </xdr:nvSpPr>
      <xdr:spPr>
        <a:xfrm>
          <a:off x="19502443" y="61574"/>
          <a:ext cx="966787" cy="571499"/>
        </a:xfrm>
        <a:prstGeom prst="rect">
          <a:avLst/>
        </a:prstGeom>
        <a:solidFill>
          <a:schemeClr val="bg2">
            <a:lumMod val="9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INJECTION database</a:t>
          </a:r>
          <a:endParaRPr lang="nl-NL" sz="1400" b="1" baseline="0">
            <a:solidFill>
              <a:sysClr val="windowText" lastClr="000000"/>
            </a:solidFill>
          </a:endParaRPr>
        </a:p>
      </xdr:txBody>
    </xdr:sp>
    <xdr:clientData/>
  </xdr:twoCellAnchor>
  <xdr:twoCellAnchor>
    <xdr:from>
      <xdr:col>11</xdr:col>
      <xdr:colOff>770845</xdr:colOff>
      <xdr:row>0</xdr:row>
      <xdr:rowOff>68035</xdr:rowOff>
    </xdr:from>
    <xdr:to>
      <xdr:col>12</xdr:col>
      <xdr:colOff>372496</xdr:colOff>
      <xdr:row>0</xdr:row>
      <xdr:rowOff>639534</xdr:rowOff>
    </xdr:to>
    <xdr:sp macro="" textlink="">
      <xdr:nvSpPr>
        <xdr:cNvPr id="22" name="Tekstvak 21">
          <a:hlinkClick xmlns:r="http://schemas.openxmlformats.org/officeDocument/2006/relationships" r:id="rId5"/>
          <a:extLst>
            <a:ext uri="{FF2B5EF4-FFF2-40B4-BE49-F238E27FC236}">
              <a16:creationId xmlns:a16="http://schemas.microsoft.com/office/drawing/2014/main" id="{00000000-0008-0000-1400-000016000000}"/>
            </a:ext>
          </a:extLst>
        </xdr:cNvPr>
        <xdr:cNvSpPr txBox="1"/>
      </xdr:nvSpPr>
      <xdr:spPr>
        <a:xfrm>
          <a:off x="11724595" y="68035"/>
          <a:ext cx="921544" cy="571499"/>
        </a:xfrm>
        <a:prstGeom prst="rect">
          <a:avLst/>
        </a:prstGeom>
        <a:solidFill>
          <a:schemeClr val="accent2">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GENERALdatabase</a:t>
          </a:r>
          <a:endParaRPr lang="nl-NL" sz="1400" b="1" baseline="0">
            <a:solidFill>
              <a:sysClr val="windowText" lastClr="000000"/>
            </a:solidFill>
          </a:endParaRPr>
        </a:p>
      </xdr:txBody>
    </xdr:sp>
    <xdr:clientData/>
  </xdr:twoCellAnchor>
  <xdr:twoCellAnchor>
    <xdr:from>
      <xdr:col>10</xdr:col>
      <xdr:colOff>1133476</xdr:colOff>
      <xdr:row>0</xdr:row>
      <xdr:rowOff>70417</xdr:rowOff>
    </xdr:from>
    <xdr:to>
      <xdr:col>11</xdr:col>
      <xdr:colOff>658926</xdr:colOff>
      <xdr:row>0</xdr:row>
      <xdr:rowOff>641917</xdr:rowOff>
    </xdr:to>
    <xdr:sp macro="" textlink="">
      <xdr:nvSpPr>
        <xdr:cNvPr id="23" name="Tekstvak 22">
          <a:hlinkClick xmlns:r="http://schemas.openxmlformats.org/officeDocument/2006/relationships" r:id="rId6"/>
          <a:extLst>
            <a:ext uri="{FF2B5EF4-FFF2-40B4-BE49-F238E27FC236}">
              <a16:creationId xmlns:a16="http://schemas.microsoft.com/office/drawing/2014/main" id="{00000000-0008-0000-1400-000017000000}"/>
            </a:ext>
          </a:extLst>
        </xdr:cNvPr>
        <xdr:cNvSpPr txBox="1"/>
      </xdr:nvSpPr>
      <xdr:spPr>
        <a:xfrm>
          <a:off x="10576833" y="70417"/>
          <a:ext cx="1035843" cy="571500"/>
        </a:xfrm>
        <a:prstGeom prst="rect">
          <a:avLst/>
        </a:prstGeom>
        <a:solidFill>
          <a:schemeClr val="accent1">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OUTPUT</a:t>
          </a:r>
        </a:p>
        <a:p>
          <a:pPr algn="ctr"/>
          <a:r>
            <a:rPr lang="nl-NL" sz="1400" b="1" baseline="0">
              <a:solidFill>
                <a:sysClr val="windowText" lastClr="000000"/>
              </a:solidFill>
            </a:rPr>
            <a:t>NPV</a:t>
          </a:r>
        </a:p>
      </xdr:txBody>
    </xdr:sp>
    <xdr:clientData/>
  </xdr:twoCellAnchor>
  <xdr:twoCellAnchor>
    <xdr:from>
      <xdr:col>10</xdr:col>
      <xdr:colOff>0</xdr:colOff>
      <xdr:row>0</xdr:row>
      <xdr:rowOff>68035</xdr:rowOff>
    </xdr:from>
    <xdr:to>
      <xdr:col>10</xdr:col>
      <xdr:colOff>1035843</xdr:colOff>
      <xdr:row>0</xdr:row>
      <xdr:rowOff>639535</xdr:rowOff>
    </xdr:to>
    <xdr:sp macro="" textlink="">
      <xdr:nvSpPr>
        <xdr:cNvPr id="24" name="Tekstvak 23">
          <a:hlinkClick xmlns:r="http://schemas.openxmlformats.org/officeDocument/2006/relationships" r:id="rId7"/>
          <a:extLst>
            <a:ext uri="{FF2B5EF4-FFF2-40B4-BE49-F238E27FC236}">
              <a16:creationId xmlns:a16="http://schemas.microsoft.com/office/drawing/2014/main" id="{00000000-0008-0000-1400-000018000000}"/>
            </a:ext>
          </a:extLst>
        </xdr:cNvPr>
        <xdr:cNvSpPr txBox="1"/>
      </xdr:nvSpPr>
      <xdr:spPr>
        <a:xfrm>
          <a:off x="9443357" y="68035"/>
          <a:ext cx="1035843" cy="571500"/>
        </a:xfrm>
        <a:prstGeom prst="rect">
          <a:avLst/>
        </a:prstGeom>
        <a:solidFill>
          <a:schemeClr val="accent4">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INPUT SHEET</a:t>
          </a:r>
          <a:endParaRPr lang="nl-NL" sz="1400" b="1" baseline="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24947</xdr:colOff>
      <xdr:row>0</xdr:row>
      <xdr:rowOff>117928</xdr:rowOff>
    </xdr:from>
    <xdr:to>
      <xdr:col>0</xdr:col>
      <xdr:colOff>573297</xdr:colOff>
      <xdr:row>0</xdr:row>
      <xdr:rowOff>634999</xdr:rowOff>
    </xdr:to>
    <xdr:pic>
      <xdr:nvPicPr>
        <xdr:cNvPr id="3" name="Afbeelding 2">
          <a:hlinkClick xmlns:r="http://schemas.openxmlformats.org/officeDocument/2006/relationships" r:id="rId1"/>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4947" y="117928"/>
          <a:ext cx="548350" cy="517071"/>
        </a:xfrm>
        <a:prstGeom prst="rect">
          <a:avLst/>
        </a:prstGeom>
      </xdr:spPr>
    </xdr:pic>
    <xdr:clientData/>
  </xdr:twoCellAnchor>
  <xdr:twoCellAnchor>
    <xdr:from>
      <xdr:col>10</xdr:col>
      <xdr:colOff>665167</xdr:colOff>
      <xdr:row>0</xdr:row>
      <xdr:rowOff>73025</xdr:rowOff>
    </xdr:from>
    <xdr:to>
      <xdr:col>10</xdr:col>
      <xdr:colOff>1951040</xdr:colOff>
      <xdr:row>0</xdr:row>
      <xdr:rowOff>644524</xdr:rowOff>
    </xdr:to>
    <xdr:sp macro="" textlink="">
      <xdr:nvSpPr>
        <xdr:cNvPr id="16" name="Tekstvak 15">
          <a:hlinkClick xmlns:r="http://schemas.openxmlformats.org/officeDocument/2006/relationships" r:id="rId3"/>
          <a:extLst>
            <a:ext uri="{FF2B5EF4-FFF2-40B4-BE49-F238E27FC236}">
              <a16:creationId xmlns:a16="http://schemas.microsoft.com/office/drawing/2014/main" id="{00000000-0008-0000-1500-000010000000}"/>
            </a:ext>
          </a:extLst>
        </xdr:cNvPr>
        <xdr:cNvSpPr txBox="1"/>
      </xdr:nvSpPr>
      <xdr:spPr>
        <a:xfrm>
          <a:off x="11714167" y="73025"/>
          <a:ext cx="1285873" cy="571499"/>
        </a:xfrm>
        <a:prstGeom prst="rect">
          <a:avLst/>
        </a:prstGeom>
        <a:solidFill>
          <a:schemeClr val="bg2">
            <a:lumMod val="9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PRESSURIZINGdatabase</a:t>
          </a:r>
          <a:endParaRPr lang="nl-NL" sz="1400" b="1" baseline="0">
            <a:solidFill>
              <a:sysClr val="windowText" lastClr="000000"/>
            </a:solidFill>
          </a:endParaRPr>
        </a:p>
      </xdr:txBody>
    </xdr:sp>
    <xdr:clientData/>
  </xdr:twoCellAnchor>
  <xdr:twoCellAnchor>
    <xdr:from>
      <xdr:col>11</xdr:col>
      <xdr:colOff>515943</xdr:colOff>
      <xdr:row>0</xdr:row>
      <xdr:rowOff>70646</xdr:rowOff>
    </xdr:from>
    <xdr:to>
      <xdr:col>12</xdr:col>
      <xdr:colOff>244480</xdr:colOff>
      <xdr:row>0</xdr:row>
      <xdr:rowOff>642145</xdr:rowOff>
    </xdr:to>
    <xdr:sp macro="" textlink="">
      <xdr:nvSpPr>
        <xdr:cNvPr id="18" name="Tekstvak 17">
          <a:hlinkClick xmlns:r="http://schemas.openxmlformats.org/officeDocument/2006/relationships" r:id="rId4"/>
          <a:extLst>
            <a:ext uri="{FF2B5EF4-FFF2-40B4-BE49-F238E27FC236}">
              <a16:creationId xmlns:a16="http://schemas.microsoft.com/office/drawing/2014/main" id="{00000000-0008-0000-1500-000012000000}"/>
            </a:ext>
          </a:extLst>
        </xdr:cNvPr>
        <xdr:cNvSpPr txBox="1"/>
      </xdr:nvSpPr>
      <xdr:spPr>
        <a:xfrm>
          <a:off x="14057318" y="70646"/>
          <a:ext cx="966787" cy="571499"/>
        </a:xfrm>
        <a:prstGeom prst="rect">
          <a:avLst/>
        </a:prstGeom>
        <a:solidFill>
          <a:schemeClr val="bg2">
            <a:lumMod val="9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INJECTION database</a:t>
          </a:r>
          <a:endParaRPr lang="nl-NL" sz="1400" b="1" baseline="0">
            <a:solidFill>
              <a:sysClr val="windowText" lastClr="000000"/>
            </a:solidFill>
          </a:endParaRPr>
        </a:p>
      </xdr:txBody>
    </xdr:sp>
    <xdr:clientData/>
  </xdr:twoCellAnchor>
  <xdr:twoCellAnchor>
    <xdr:from>
      <xdr:col>6</xdr:col>
      <xdr:colOff>122238</xdr:colOff>
      <xdr:row>0</xdr:row>
      <xdr:rowOff>47625</xdr:rowOff>
    </xdr:from>
    <xdr:to>
      <xdr:col>6</xdr:col>
      <xdr:colOff>1043782</xdr:colOff>
      <xdr:row>0</xdr:row>
      <xdr:rowOff>619124</xdr:rowOff>
    </xdr:to>
    <xdr:sp macro="" textlink="">
      <xdr:nvSpPr>
        <xdr:cNvPr id="22" name="Tekstvak 21">
          <a:hlinkClick xmlns:r="http://schemas.openxmlformats.org/officeDocument/2006/relationships" r:id="rId5"/>
          <a:extLst>
            <a:ext uri="{FF2B5EF4-FFF2-40B4-BE49-F238E27FC236}">
              <a16:creationId xmlns:a16="http://schemas.microsoft.com/office/drawing/2014/main" id="{00000000-0008-0000-1500-000016000000}"/>
            </a:ext>
          </a:extLst>
        </xdr:cNvPr>
        <xdr:cNvSpPr txBox="1"/>
      </xdr:nvSpPr>
      <xdr:spPr>
        <a:xfrm>
          <a:off x="6472238" y="47625"/>
          <a:ext cx="921544" cy="571499"/>
        </a:xfrm>
        <a:prstGeom prst="rect">
          <a:avLst/>
        </a:prstGeom>
        <a:solidFill>
          <a:schemeClr val="accent2">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GENERALdatabase</a:t>
          </a:r>
          <a:endParaRPr lang="nl-NL" sz="1400" b="1" baseline="0">
            <a:solidFill>
              <a:sysClr val="windowText" lastClr="000000"/>
            </a:solidFill>
          </a:endParaRPr>
        </a:p>
      </xdr:txBody>
    </xdr:sp>
    <xdr:clientData/>
  </xdr:twoCellAnchor>
  <xdr:twoCellAnchor>
    <xdr:from>
      <xdr:col>5</xdr:col>
      <xdr:colOff>53976</xdr:colOff>
      <xdr:row>0</xdr:row>
      <xdr:rowOff>50007</xdr:rowOff>
    </xdr:from>
    <xdr:to>
      <xdr:col>6</xdr:col>
      <xdr:colOff>10319</xdr:colOff>
      <xdr:row>0</xdr:row>
      <xdr:rowOff>621507</xdr:rowOff>
    </xdr:to>
    <xdr:sp macro="" textlink="">
      <xdr:nvSpPr>
        <xdr:cNvPr id="23" name="Tekstvak 22">
          <a:hlinkClick xmlns:r="http://schemas.openxmlformats.org/officeDocument/2006/relationships" r:id="rId6"/>
          <a:extLst>
            <a:ext uri="{FF2B5EF4-FFF2-40B4-BE49-F238E27FC236}">
              <a16:creationId xmlns:a16="http://schemas.microsoft.com/office/drawing/2014/main" id="{00000000-0008-0000-1500-000017000000}"/>
            </a:ext>
          </a:extLst>
        </xdr:cNvPr>
        <xdr:cNvSpPr txBox="1"/>
      </xdr:nvSpPr>
      <xdr:spPr>
        <a:xfrm>
          <a:off x="5324476" y="50007"/>
          <a:ext cx="1035843" cy="571500"/>
        </a:xfrm>
        <a:prstGeom prst="rect">
          <a:avLst/>
        </a:prstGeom>
        <a:solidFill>
          <a:schemeClr val="accent1">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OUTPUT</a:t>
          </a:r>
        </a:p>
        <a:p>
          <a:pPr algn="ctr"/>
          <a:r>
            <a:rPr lang="nl-NL" sz="1400" b="1" baseline="0">
              <a:solidFill>
                <a:sysClr val="windowText" lastClr="000000"/>
              </a:solidFill>
            </a:rPr>
            <a:t>NPV</a:t>
          </a:r>
        </a:p>
      </xdr:txBody>
    </xdr:sp>
    <xdr:clientData/>
  </xdr:twoCellAnchor>
  <xdr:twoCellAnchor>
    <xdr:from>
      <xdr:col>4</xdr:col>
      <xdr:colOff>0</xdr:colOff>
      <xdr:row>0</xdr:row>
      <xdr:rowOff>47625</xdr:rowOff>
    </xdr:from>
    <xdr:to>
      <xdr:col>4</xdr:col>
      <xdr:colOff>1035843</xdr:colOff>
      <xdr:row>0</xdr:row>
      <xdr:rowOff>619125</xdr:rowOff>
    </xdr:to>
    <xdr:sp macro="" textlink="">
      <xdr:nvSpPr>
        <xdr:cNvPr id="24" name="Tekstvak 23">
          <a:hlinkClick xmlns:r="http://schemas.openxmlformats.org/officeDocument/2006/relationships" r:id="rId7"/>
          <a:extLst>
            <a:ext uri="{FF2B5EF4-FFF2-40B4-BE49-F238E27FC236}">
              <a16:creationId xmlns:a16="http://schemas.microsoft.com/office/drawing/2014/main" id="{00000000-0008-0000-1500-000018000000}"/>
            </a:ext>
          </a:extLst>
        </xdr:cNvPr>
        <xdr:cNvSpPr txBox="1"/>
      </xdr:nvSpPr>
      <xdr:spPr>
        <a:xfrm>
          <a:off x="4191000" y="47625"/>
          <a:ext cx="1035843" cy="571500"/>
        </a:xfrm>
        <a:prstGeom prst="rect">
          <a:avLst/>
        </a:prstGeom>
        <a:solidFill>
          <a:schemeClr val="accent4">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INPUT SHEET</a:t>
          </a:r>
          <a:endParaRPr lang="nl-NL" sz="1400" b="1" baseline="0">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31750</xdr:colOff>
      <xdr:row>0</xdr:row>
      <xdr:rowOff>86179</xdr:rowOff>
    </xdr:from>
    <xdr:to>
      <xdr:col>0</xdr:col>
      <xdr:colOff>580100</xdr:colOff>
      <xdr:row>0</xdr:row>
      <xdr:rowOff>603250</xdr:rowOff>
    </xdr:to>
    <xdr:pic>
      <xdr:nvPicPr>
        <xdr:cNvPr id="5" name="Afbeelding 4">
          <a:hlinkClick xmlns:r="http://schemas.openxmlformats.org/officeDocument/2006/relationships" r:id="rId1"/>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2"/>
        <a:stretch>
          <a:fillRect/>
        </a:stretch>
      </xdr:blipFill>
      <xdr:spPr>
        <a:xfrm>
          <a:off x="31750" y="86179"/>
          <a:ext cx="548350" cy="517071"/>
        </a:xfrm>
        <a:prstGeom prst="rect">
          <a:avLst/>
        </a:prstGeom>
      </xdr:spPr>
    </xdr:pic>
    <xdr:clientData/>
  </xdr:twoCellAnchor>
  <xdr:twoCellAnchor>
    <xdr:from>
      <xdr:col>5</xdr:col>
      <xdr:colOff>439738</xdr:colOff>
      <xdr:row>0</xdr:row>
      <xdr:rowOff>63500</xdr:rowOff>
    </xdr:from>
    <xdr:to>
      <xdr:col>6</xdr:col>
      <xdr:colOff>758032</xdr:colOff>
      <xdr:row>0</xdr:row>
      <xdr:rowOff>634999</xdr:rowOff>
    </xdr:to>
    <xdr:sp macro="" textlink="">
      <xdr:nvSpPr>
        <xdr:cNvPr id="22" name="Tekstvak 21">
          <a:hlinkClick xmlns:r="http://schemas.openxmlformats.org/officeDocument/2006/relationships" r:id="rId3"/>
          <a:extLst>
            <a:ext uri="{FF2B5EF4-FFF2-40B4-BE49-F238E27FC236}">
              <a16:creationId xmlns:a16="http://schemas.microsoft.com/office/drawing/2014/main" id="{00000000-0008-0000-1600-000016000000}"/>
            </a:ext>
          </a:extLst>
        </xdr:cNvPr>
        <xdr:cNvSpPr txBox="1"/>
      </xdr:nvSpPr>
      <xdr:spPr>
        <a:xfrm>
          <a:off x="5964238" y="63500"/>
          <a:ext cx="921544" cy="571499"/>
        </a:xfrm>
        <a:prstGeom prst="rect">
          <a:avLst/>
        </a:prstGeom>
        <a:solidFill>
          <a:schemeClr val="accent2">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GENERAL</a:t>
          </a:r>
        </a:p>
        <a:p>
          <a:pPr algn="ctr"/>
          <a:r>
            <a:rPr lang="nl-NL" sz="1400" b="1">
              <a:solidFill>
                <a:sysClr val="windowText" lastClr="000000"/>
              </a:solidFill>
            </a:rPr>
            <a:t>database</a:t>
          </a:r>
          <a:endParaRPr lang="nl-NL" sz="1400" b="1" baseline="0">
            <a:solidFill>
              <a:sysClr val="windowText" lastClr="000000"/>
            </a:solidFill>
          </a:endParaRPr>
        </a:p>
      </xdr:txBody>
    </xdr:sp>
    <xdr:clientData/>
  </xdr:twoCellAnchor>
  <xdr:twoCellAnchor>
    <xdr:from>
      <xdr:col>4</xdr:col>
      <xdr:colOff>38101</xdr:colOff>
      <xdr:row>0</xdr:row>
      <xdr:rowOff>65882</xdr:rowOff>
    </xdr:from>
    <xdr:to>
      <xdr:col>5</xdr:col>
      <xdr:colOff>327819</xdr:colOff>
      <xdr:row>0</xdr:row>
      <xdr:rowOff>637382</xdr:rowOff>
    </xdr:to>
    <xdr:sp macro="" textlink="">
      <xdr:nvSpPr>
        <xdr:cNvPr id="23" name="Tekstvak 22">
          <a:hlinkClick xmlns:r="http://schemas.openxmlformats.org/officeDocument/2006/relationships" r:id="rId4"/>
          <a:extLst>
            <a:ext uri="{FF2B5EF4-FFF2-40B4-BE49-F238E27FC236}">
              <a16:creationId xmlns:a16="http://schemas.microsoft.com/office/drawing/2014/main" id="{00000000-0008-0000-1600-000017000000}"/>
            </a:ext>
          </a:extLst>
        </xdr:cNvPr>
        <xdr:cNvSpPr txBox="1"/>
      </xdr:nvSpPr>
      <xdr:spPr>
        <a:xfrm>
          <a:off x="4816476" y="65882"/>
          <a:ext cx="1035843" cy="571500"/>
        </a:xfrm>
        <a:prstGeom prst="rect">
          <a:avLst/>
        </a:prstGeom>
        <a:solidFill>
          <a:schemeClr val="accent1">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OUTPUT</a:t>
          </a:r>
        </a:p>
        <a:p>
          <a:pPr algn="ctr"/>
          <a:r>
            <a:rPr lang="nl-NL" sz="1400" b="1" baseline="0">
              <a:solidFill>
                <a:sysClr val="windowText" lastClr="000000"/>
              </a:solidFill>
            </a:rPr>
            <a:t>NPV</a:t>
          </a:r>
        </a:p>
      </xdr:txBody>
    </xdr:sp>
    <xdr:clientData/>
  </xdr:twoCellAnchor>
  <xdr:twoCellAnchor>
    <xdr:from>
      <xdr:col>3</xdr:col>
      <xdr:colOff>0</xdr:colOff>
      <xdr:row>0</xdr:row>
      <xdr:rowOff>63500</xdr:rowOff>
    </xdr:from>
    <xdr:to>
      <xdr:col>3</xdr:col>
      <xdr:colOff>1035843</xdr:colOff>
      <xdr:row>0</xdr:row>
      <xdr:rowOff>635000</xdr:rowOff>
    </xdr:to>
    <xdr:sp macro="" textlink="">
      <xdr:nvSpPr>
        <xdr:cNvPr id="24" name="Tekstvak 23">
          <a:hlinkClick xmlns:r="http://schemas.openxmlformats.org/officeDocument/2006/relationships" r:id="rId5"/>
          <a:extLst>
            <a:ext uri="{FF2B5EF4-FFF2-40B4-BE49-F238E27FC236}">
              <a16:creationId xmlns:a16="http://schemas.microsoft.com/office/drawing/2014/main" id="{00000000-0008-0000-1600-000018000000}"/>
            </a:ext>
          </a:extLst>
        </xdr:cNvPr>
        <xdr:cNvSpPr txBox="1"/>
      </xdr:nvSpPr>
      <xdr:spPr>
        <a:xfrm>
          <a:off x="3683000" y="63500"/>
          <a:ext cx="1035843" cy="571500"/>
        </a:xfrm>
        <a:prstGeom prst="rect">
          <a:avLst/>
        </a:prstGeom>
        <a:solidFill>
          <a:schemeClr val="accent4">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l-NL" sz="1400" b="1">
              <a:solidFill>
                <a:sysClr val="windowText" lastClr="000000"/>
              </a:solidFill>
            </a:rPr>
            <a:t>INPUT SHEET</a:t>
          </a:r>
          <a:endParaRPr lang="nl-NL" sz="1400" b="1" baseline="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47623</xdr:colOff>
      <xdr:row>0</xdr:row>
      <xdr:rowOff>95248</xdr:rowOff>
    </xdr:from>
    <xdr:to>
      <xdr:col>0</xdr:col>
      <xdr:colOff>577936</xdr:colOff>
      <xdr:row>0</xdr:row>
      <xdr:rowOff>595311</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2"/>
        <a:stretch>
          <a:fillRect/>
        </a:stretch>
      </xdr:blipFill>
      <xdr:spPr>
        <a:xfrm>
          <a:off x="47623" y="95248"/>
          <a:ext cx="530313" cy="5000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47623</xdr:colOff>
      <xdr:row>0</xdr:row>
      <xdr:rowOff>95248</xdr:rowOff>
    </xdr:from>
    <xdr:ext cx="530313" cy="989920"/>
    <xdr:pic>
      <xdr:nvPicPr>
        <xdr:cNvPr id="2" name="Afbeelding 1">
          <a:hlinkClick xmlns:r="http://schemas.openxmlformats.org/officeDocument/2006/relationships" r:id="rId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2"/>
        <a:stretch>
          <a:fillRect/>
        </a:stretch>
      </xdr:blipFill>
      <xdr:spPr>
        <a:xfrm>
          <a:off x="47623" y="95248"/>
          <a:ext cx="530313" cy="989920"/>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47625</xdr:rowOff>
    </xdr:from>
    <xdr:to>
      <xdr:col>0</xdr:col>
      <xdr:colOff>567115</xdr:colOff>
      <xdr:row>0</xdr:row>
      <xdr:rowOff>537482</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2"/>
        <a:stretch>
          <a:fillRect/>
        </a:stretch>
      </xdr:blipFill>
      <xdr:spPr>
        <a:xfrm>
          <a:off x="47625" y="47625"/>
          <a:ext cx="519490" cy="48985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0</xdr:col>
      <xdr:colOff>557590</xdr:colOff>
      <xdr:row>0</xdr:row>
      <xdr:rowOff>527957</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2"/>
        <a:stretch>
          <a:fillRect/>
        </a:stretch>
      </xdr:blipFill>
      <xdr:spPr>
        <a:xfrm>
          <a:off x="38100" y="38100"/>
          <a:ext cx="519490" cy="48985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38100</xdr:colOff>
      <xdr:row>0</xdr:row>
      <xdr:rowOff>47625</xdr:rowOff>
    </xdr:from>
    <xdr:to>
      <xdr:col>0</xdr:col>
      <xdr:colOff>557590</xdr:colOff>
      <xdr:row>0</xdr:row>
      <xdr:rowOff>537482</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2"/>
        <a:stretch>
          <a:fillRect/>
        </a:stretch>
      </xdr:blipFill>
      <xdr:spPr>
        <a:xfrm>
          <a:off x="38100" y="47625"/>
          <a:ext cx="519490" cy="48985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47623</xdr:colOff>
      <xdr:row>0</xdr:row>
      <xdr:rowOff>95248</xdr:rowOff>
    </xdr:from>
    <xdr:to>
      <xdr:col>0</xdr:col>
      <xdr:colOff>577936</xdr:colOff>
      <xdr:row>0</xdr:row>
      <xdr:rowOff>595311</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a:stretch>
          <a:fillRect/>
        </a:stretch>
      </xdr:blipFill>
      <xdr:spPr>
        <a:xfrm>
          <a:off x="47623" y="95248"/>
          <a:ext cx="530313" cy="5000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47623</xdr:colOff>
      <xdr:row>0</xdr:row>
      <xdr:rowOff>95248</xdr:rowOff>
    </xdr:from>
    <xdr:ext cx="530313" cy="989920"/>
    <xdr:pic>
      <xdr:nvPicPr>
        <xdr:cNvPr id="2" name="Afbeelding 1">
          <a:hlinkClick xmlns:r="http://schemas.openxmlformats.org/officeDocument/2006/relationships" r:id="rId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2"/>
        <a:stretch>
          <a:fillRect/>
        </a:stretch>
      </xdr:blipFill>
      <xdr:spPr>
        <a:xfrm>
          <a:off x="47623" y="95248"/>
          <a:ext cx="530313" cy="98992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0</xdr:col>
      <xdr:colOff>47625</xdr:colOff>
      <xdr:row>0</xdr:row>
      <xdr:rowOff>47625</xdr:rowOff>
    </xdr:from>
    <xdr:to>
      <xdr:col>0</xdr:col>
      <xdr:colOff>567115</xdr:colOff>
      <xdr:row>0</xdr:row>
      <xdr:rowOff>537482</xdr:rowOff>
    </xdr:to>
    <xdr:pic>
      <xdr:nvPicPr>
        <xdr:cNvPr id="3" name="Afbeelding 2">
          <a:hlinkClick xmlns:r="http://schemas.openxmlformats.org/officeDocument/2006/relationships" r:id="rId1"/>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2"/>
        <a:stretch>
          <a:fillRect/>
        </a:stretch>
      </xdr:blipFill>
      <xdr:spPr>
        <a:xfrm>
          <a:off x="47625" y="47625"/>
          <a:ext cx="519490" cy="48985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0</xdr:col>
      <xdr:colOff>557590</xdr:colOff>
      <xdr:row>0</xdr:row>
      <xdr:rowOff>527957</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2"/>
        <a:stretch>
          <a:fillRect/>
        </a:stretch>
      </xdr:blipFill>
      <xdr:spPr>
        <a:xfrm>
          <a:off x="38100" y="38100"/>
          <a:ext cx="519490" cy="48985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38100</xdr:colOff>
      <xdr:row>0</xdr:row>
      <xdr:rowOff>47625</xdr:rowOff>
    </xdr:from>
    <xdr:to>
      <xdr:col>0</xdr:col>
      <xdr:colOff>557590</xdr:colOff>
      <xdr:row>0</xdr:row>
      <xdr:rowOff>537482</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2"/>
        <a:stretch>
          <a:fillRect/>
        </a:stretch>
      </xdr:blipFill>
      <xdr:spPr>
        <a:xfrm>
          <a:off x="38100" y="47625"/>
          <a:ext cx="519490" cy="48985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47623</xdr:colOff>
      <xdr:row>0</xdr:row>
      <xdr:rowOff>95248</xdr:rowOff>
    </xdr:from>
    <xdr:to>
      <xdr:col>0</xdr:col>
      <xdr:colOff>577936</xdr:colOff>
      <xdr:row>0</xdr:row>
      <xdr:rowOff>595311</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2"/>
        <a:stretch>
          <a:fillRect/>
        </a:stretch>
      </xdr:blipFill>
      <xdr:spPr>
        <a:xfrm>
          <a:off x="47623" y="95248"/>
          <a:ext cx="530313" cy="5000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oneCellAnchor>
    <xdr:from>
      <xdr:col>0</xdr:col>
      <xdr:colOff>47623</xdr:colOff>
      <xdr:row>0</xdr:row>
      <xdr:rowOff>95248</xdr:rowOff>
    </xdr:from>
    <xdr:ext cx="530313" cy="639538"/>
    <xdr:pic>
      <xdr:nvPicPr>
        <xdr:cNvPr id="2" name="Afbeelding 1">
          <a:hlinkClick xmlns:r="http://schemas.openxmlformats.org/officeDocument/2006/relationships" r:id="rId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2"/>
        <a:stretch>
          <a:fillRect/>
        </a:stretch>
      </xdr:blipFill>
      <xdr:spPr>
        <a:xfrm>
          <a:off x="47623" y="95248"/>
          <a:ext cx="530313" cy="639538"/>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twoCellAnchor editAs="oneCell">
    <xdr:from>
      <xdr:col>0</xdr:col>
      <xdr:colOff>47623</xdr:colOff>
      <xdr:row>0</xdr:row>
      <xdr:rowOff>95248</xdr:rowOff>
    </xdr:from>
    <xdr:to>
      <xdr:col>0</xdr:col>
      <xdr:colOff>577936</xdr:colOff>
      <xdr:row>0</xdr:row>
      <xdr:rowOff>595311</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2"/>
        <a:stretch>
          <a:fillRect/>
        </a:stretch>
      </xdr:blipFill>
      <xdr:spPr>
        <a:xfrm>
          <a:off x="47623" y="95248"/>
          <a:ext cx="530313" cy="500063"/>
        </a:xfrm>
        <a:prstGeom prst="rect">
          <a:avLst/>
        </a:prstGeom>
      </xdr:spPr>
    </xdr:pic>
    <xdr:clientData/>
  </xdr:twoCellAnchor>
  <xdr:twoCellAnchor editAs="oneCell">
    <xdr:from>
      <xdr:col>2</xdr:col>
      <xdr:colOff>0</xdr:colOff>
      <xdr:row>8</xdr:row>
      <xdr:rowOff>54429</xdr:rowOff>
    </xdr:from>
    <xdr:to>
      <xdr:col>5</xdr:col>
      <xdr:colOff>820953</xdr:colOff>
      <xdr:row>20</xdr:row>
      <xdr:rowOff>177953</xdr:rowOff>
    </xdr:to>
    <xdr:pic>
      <xdr:nvPicPr>
        <xdr:cNvPr id="3" name="Afbeelding 2">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3"/>
        <a:stretch>
          <a:fillRect/>
        </a:stretch>
      </xdr:blipFill>
      <xdr:spPr>
        <a:xfrm>
          <a:off x="1211036" y="5306786"/>
          <a:ext cx="7352381" cy="2409524"/>
        </a:xfrm>
        <a:prstGeom prst="rect">
          <a:avLst/>
        </a:prstGeom>
      </xdr:spPr>
    </xdr:pic>
    <xdr:clientData/>
  </xdr:twoCellAnchor>
  <xdr:twoCellAnchor editAs="oneCell">
    <xdr:from>
      <xdr:col>2</xdr:col>
      <xdr:colOff>0</xdr:colOff>
      <xdr:row>22</xdr:row>
      <xdr:rowOff>0</xdr:rowOff>
    </xdr:from>
    <xdr:to>
      <xdr:col>3</xdr:col>
      <xdr:colOff>1327428</xdr:colOff>
      <xdr:row>59</xdr:row>
      <xdr:rowOff>84821</xdr:rowOff>
    </xdr:to>
    <xdr:pic>
      <xdr:nvPicPr>
        <xdr:cNvPr id="4" name="Afbeelding 3">
          <a:extLst>
            <a:ext uri="{FF2B5EF4-FFF2-40B4-BE49-F238E27FC236}">
              <a16:creationId xmlns:a16="http://schemas.microsoft.com/office/drawing/2014/main" id="{00000000-0008-0000-2600-000004000000}"/>
            </a:ext>
          </a:extLst>
        </xdr:cNvPr>
        <xdr:cNvPicPr>
          <a:picLocks noChangeAspect="1"/>
        </xdr:cNvPicPr>
      </xdr:nvPicPr>
      <xdr:blipFill>
        <a:blip xmlns:r="http://schemas.openxmlformats.org/officeDocument/2006/relationships" r:embed="rId4"/>
        <a:stretch>
          <a:fillRect/>
        </a:stretch>
      </xdr:blipFill>
      <xdr:spPr>
        <a:xfrm>
          <a:off x="1211036" y="7919357"/>
          <a:ext cx="5028571" cy="7228571"/>
        </a:xfrm>
        <a:prstGeom prst="rect">
          <a:avLst/>
        </a:prstGeom>
      </xdr:spPr>
    </xdr:pic>
    <xdr:clientData/>
  </xdr:twoCellAnchor>
  <xdr:twoCellAnchor editAs="oneCell">
    <xdr:from>
      <xdr:col>3</xdr:col>
      <xdr:colOff>1319892</xdr:colOff>
      <xdr:row>50</xdr:row>
      <xdr:rowOff>13607</xdr:rowOff>
    </xdr:from>
    <xdr:to>
      <xdr:col>7</xdr:col>
      <xdr:colOff>381725</xdr:colOff>
      <xdr:row>57</xdr:row>
      <xdr:rowOff>118202</xdr:rowOff>
    </xdr:to>
    <xdr:pic>
      <xdr:nvPicPr>
        <xdr:cNvPr id="5" name="Afbeelding 4">
          <a:extLst>
            <a:ext uri="{FF2B5EF4-FFF2-40B4-BE49-F238E27FC236}">
              <a16:creationId xmlns:a16="http://schemas.microsoft.com/office/drawing/2014/main" id="{00000000-0008-0000-2600-000005000000}"/>
            </a:ext>
          </a:extLst>
        </xdr:cNvPr>
        <xdr:cNvPicPr>
          <a:picLocks noChangeAspect="1"/>
        </xdr:cNvPicPr>
      </xdr:nvPicPr>
      <xdr:blipFill>
        <a:blip xmlns:r="http://schemas.openxmlformats.org/officeDocument/2006/relationships" r:embed="rId5"/>
        <a:stretch>
          <a:fillRect/>
        </a:stretch>
      </xdr:blipFill>
      <xdr:spPr>
        <a:xfrm>
          <a:off x="6232071" y="13362214"/>
          <a:ext cx="5076190" cy="143809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519490</xdr:colOff>
      <xdr:row>0</xdr:row>
      <xdr:rowOff>489857</xdr:rowOff>
    </xdr:to>
    <xdr:pic>
      <xdr:nvPicPr>
        <xdr:cNvPr id="2" name="Afbeelding 1">
          <a:hlinkClick xmlns:r="http://schemas.openxmlformats.org/officeDocument/2006/relationships" r:id="rId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2"/>
        <a:stretch>
          <a:fillRect/>
        </a:stretch>
      </xdr:blipFill>
      <xdr:spPr>
        <a:xfrm>
          <a:off x="0" y="0"/>
          <a:ext cx="519490" cy="48985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56029</xdr:colOff>
      <xdr:row>0</xdr:row>
      <xdr:rowOff>123265</xdr:rowOff>
    </xdr:from>
    <xdr:to>
      <xdr:col>0</xdr:col>
      <xdr:colOff>575519</xdr:colOff>
      <xdr:row>0</xdr:row>
      <xdr:rowOff>613122</xdr:rowOff>
    </xdr:to>
    <xdr:pic>
      <xdr:nvPicPr>
        <xdr:cNvPr id="3" name="Afbeelding 2">
          <a:hlinkClick xmlns:r="http://schemas.openxmlformats.org/officeDocument/2006/relationships" r:id="rId1"/>
          <a:extLst>
            <a:ext uri="{FF2B5EF4-FFF2-40B4-BE49-F238E27FC236}">
              <a16:creationId xmlns:a16="http://schemas.microsoft.com/office/drawing/2014/main" id="{00000000-0008-0000-2800-000003000000}"/>
            </a:ext>
          </a:extLst>
        </xdr:cNvPr>
        <xdr:cNvPicPr>
          <a:picLocks noChangeAspect="1"/>
        </xdr:cNvPicPr>
      </xdr:nvPicPr>
      <xdr:blipFill>
        <a:blip xmlns:r="http://schemas.openxmlformats.org/officeDocument/2006/relationships" r:embed="rId2"/>
        <a:stretch>
          <a:fillRect/>
        </a:stretch>
      </xdr:blipFill>
      <xdr:spPr>
        <a:xfrm>
          <a:off x="56029" y="123265"/>
          <a:ext cx="519490" cy="48985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0</xdr:col>
      <xdr:colOff>66675</xdr:colOff>
      <xdr:row>0</xdr:row>
      <xdr:rowOff>57150</xdr:rowOff>
    </xdr:from>
    <xdr:ext cx="519490" cy="489857"/>
    <xdr:pic>
      <xdr:nvPicPr>
        <xdr:cNvPr id="2" name="Afbeelding 1">
          <a:hlinkClick xmlns:r="http://schemas.openxmlformats.org/officeDocument/2006/relationships" r:id="rId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2"/>
        <a:stretch>
          <a:fillRect/>
        </a:stretch>
      </xdr:blipFill>
      <xdr:spPr>
        <a:xfrm>
          <a:off x="66675" y="57150"/>
          <a:ext cx="519490" cy="489857"/>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twoCellAnchor editAs="oneCell">
    <xdr:from>
      <xdr:col>9</xdr:col>
      <xdr:colOff>0</xdr:colOff>
      <xdr:row>4</xdr:row>
      <xdr:rowOff>0</xdr:rowOff>
    </xdr:from>
    <xdr:to>
      <xdr:col>25</xdr:col>
      <xdr:colOff>478064</xdr:colOff>
      <xdr:row>31</xdr:row>
      <xdr:rowOff>101045</xdr:rowOff>
    </xdr:to>
    <xdr:pic>
      <xdr:nvPicPr>
        <xdr:cNvPr id="8" name="Afbeelding 7">
          <a:extLst>
            <a:ext uri="{FF2B5EF4-FFF2-40B4-BE49-F238E27FC236}">
              <a16:creationId xmlns:a16="http://schemas.microsoft.com/office/drawing/2014/main" id="{00000000-0008-0000-2A00-000008000000}"/>
            </a:ext>
          </a:extLst>
        </xdr:cNvPr>
        <xdr:cNvPicPr>
          <a:picLocks noChangeAspect="1"/>
        </xdr:cNvPicPr>
      </xdr:nvPicPr>
      <xdr:blipFill>
        <a:blip xmlns:r="http://schemas.openxmlformats.org/officeDocument/2006/relationships" r:embed="rId1"/>
        <a:stretch>
          <a:fillRect/>
        </a:stretch>
      </xdr:blipFill>
      <xdr:spPr>
        <a:xfrm>
          <a:off x="15944850" y="1143000"/>
          <a:ext cx="10488839" cy="5254070"/>
        </a:xfrm>
        <a:prstGeom prst="rect">
          <a:avLst/>
        </a:prstGeom>
      </xdr:spPr>
    </xdr:pic>
    <xdr:clientData/>
  </xdr:twoCellAnchor>
  <xdr:twoCellAnchor editAs="oneCell">
    <xdr:from>
      <xdr:col>0</xdr:col>
      <xdr:colOff>47625</xdr:colOff>
      <xdr:row>0</xdr:row>
      <xdr:rowOff>47625</xdr:rowOff>
    </xdr:from>
    <xdr:to>
      <xdr:col>0</xdr:col>
      <xdr:colOff>567115</xdr:colOff>
      <xdr:row>0</xdr:row>
      <xdr:rowOff>537482</xdr:rowOff>
    </xdr:to>
    <xdr:pic>
      <xdr:nvPicPr>
        <xdr:cNvPr id="9" name="Afbeelding 8">
          <a:hlinkClick xmlns:r="http://schemas.openxmlformats.org/officeDocument/2006/relationships" r:id="rId2"/>
          <a:extLst>
            <a:ext uri="{FF2B5EF4-FFF2-40B4-BE49-F238E27FC236}">
              <a16:creationId xmlns:a16="http://schemas.microsoft.com/office/drawing/2014/main" id="{00000000-0008-0000-2A00-000009000000}"/>
            </a:ext>
          </a:extLst>
        </xdr:cNvPr>
        <xdr:cNvPicPr>
          <a:picLocks noChangeAspect="1"/>
        </xdr:cNvPicPr>
      </xdr:nvPicPr>
      <xdr:blipFill>
        <a:blip xmlns:r="http://schemas.openxmlformats.org/officeDocument/2006/relationships" r:embed="rId3"/>
        <a:stretch>
          <a:fillRect/>
        </a:stretch>
      </xdr:blipFill>
      <xdr:spPr>
        <a:xfrm>
          <a:off x="47625" y="47625"/>
          <a:ext cx="519490" cy="48985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15</xdr:col>
      <xdr:colOff>0</xdr:colOff>
      <xdr:row>21</xdr:row>
      <xdr:rowOff>0</xdr:rowOff>
    </xdr:from>
    <xdr:to>
      <xdr:col>15</xdr:col>
      <xdr:colOff>535683</xdr:colOff>
      <xdr:row>23</xdr:row>
      <xdr:rowOff>124126</xdr:rowOff>
    </xdr:to>
    <xdr:pic>
      <xdr:nvPicPr>
        <xdr:cNvPr id="2" name="Afbeelding 4">
          <a:hlinkClick xmlns:r="http://schemas.openxmlformats.org/officeDocument/2006/relationships" r:id="rId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2"/>
        <a:stretch>
          <a:fillRect/>
        </a:stretch>
      </xdr:blipFill>
      <xdr:spPr>
        <a:xfrm>
          <a:off x="9144000" y="4000500"/>
          <a:ext cx="535683" cy="50512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44822</xdr:colOff>
      <xdr:row>0</xdr:row>
      <xdr:rowOff>89647</xdr:rowOff>
    </xdr:from>
    <xdr:to>
      <xdr:col>0</xdr:col>
      <xdr:colOff>580505</xdr:colOff>
      <xdr:row>2</xdr:row>
      <xdr:rowOff>108998</xdr:rowOff>
    </xdr:to>
    <xdr:pic>
      <xdr:nvPicPr>
        <xdr:cNvPr id="3" name="Afbeelding 4">
          <a:hlinkClick xmlns:r="http://schemas.openxmlformats.org/officeDocument/2006/relationships" r:id="rId1"/>
          <a:extLst>
            <a:ext uri="{FF2B5EF4-FFF2-40B4-BE49-F238E27FC236}">
              <a16:creationId xmlns:a16="http://schemas.microsoft.com/office/drawing/2014/main" id="{00000000-0008-0000-2C00-000003000000}"/>
            </a:ext>
          </a:extLst>
        </xdr:cNvPr>
        <xdr:cNvPicPr>
          <a:picLocks noChangeAspect="1"/>
        </xdr:cNvPicPr>
      </xdr:nvPicPr>
      <xdr:blipFill>
        <a:blip xmlns:r="http://schemas.openxmlformats.org/officeDocument/2006/relationships" r:embed="rId2"/>
        <a:stretch>
          <a:fillRect/>
        </a:stretch>
      </xdr:blipFill>
      <xdr:spPr>
        <a:xfrm>
          <a:off x="44822" y="89647"/>
          <a:ext cx="535683" cy="50120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130968</xdr:colOff>
      <xdr:row>0</xdr:row>
      <xdr:rowOff>130969</xdr:rowOff>
    </xdr:from>
    <xdr:to>
      <xdr:col>1</xdr:col>
      <xdr:colOff>416620</xdr:colOff>
      <xdr:row>2</xdr:row>
      <xdr:rowOff>40782</xdr:rowOff>
    </xdr:to>
    <xdr:pic>
      <xdr:nvPicPr>
        <xdr:cNvPr id="2" name="Afbeelding 4">
          <a:hlinkClick xmlns:r="http://schemas.openxmlformats.org/officeDocument/2006/relationships" r:id="rId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2"/>
        <a:stretch>
          <a:fillRect/>
        </a:stretch>
      </xdr:blipFill>
      <xdr:spPr>
        <a:xfrm>
          <a:off x="130968" y="130969"/>
          <a:ext cx="535683" cy="505126"/>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285652</xdr:colOff>
      <xdr:row>1</xdr:row>
      <xdr:rowOff>314626</xdr:rowOff>
    </xdr:to>
    <xdr:pic>
      <xdr:nvPicPr>
        <xdr:cNvPr id="2" name="Afbeelding 4">
          <a:hlinkClick xmlns:r="http://schemas.openxmlformats.org/officeDocument/2006/relationships" r:id="rId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2"/>
        <a:stretch>
          <a:fillRect/>
        </a:stretch>
      </xdr:blipFill>
      <xdr:spPr>
        <a:xfrm>
          <a:off x="0" y="0"/>
          <a:ext cx="535683" cy="50512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289154</xdr:colOff>
      <xdr:row>1</xdr:row>
      <xdr:rowOff>314626</xdr:rowOff>
    </xdr:to>
    <xdr:pic>
      <xdr:nvPicPr>
        <xdr:cNvPr id="2" name="Afbeelding 4">
          <a:hlinkClick xmlns:r="http://schemas.openxmlformats.org/officeDocument/2006/relationships" r:id="rId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2"/>
        <a:stretch>
          <a:fillRect/>
        </a:stretch>
      </xdr:blipFill>
      <xdr:spPr>
        <a:xfrm>
          <a:off x="0" y="0"/>
          <a:ext cx="535683" cy="50512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289154</xdr:colOff>
      <xdr:row>1</xdr:row>
      <xdr:rowOff>314626</xdr:rowOff>
    </xdr:to>
    <xdr:pic>
      <xdr:nvPicPr>
        <xdr:cNvPr id="3" name="Afbeelding 4">
          <a:hlinkClick xmlns:r="http://schemas.openxmlformats.org/officeDocument/2006/relationships" r:id="rId1"/>
          <a:extLst>
            <a:ext uri="{FF2B5EF4-FFF2-40B4-BE49-F238E27FC236}">
              <a16:creationId xmlns:a16="http://schemas.microsoft.com/office/drawing/2014/main" id="{00000000-0008-0000-3000-000003000000}"/>
            </a:ext>
          </a:extLst>
        </xdr:cNvPr>
        <xdr:cNvPicPr>
          <a:picLocks noChangeAspect="1"/>
        </xdr:cNvPicPr>
      </xdr:nvPicPr>
      <xdr:blipFill>
        <a:blip xmlns:r="http://schemas.openxmlformats.org/officeDocument/2006/relationships" r:embed="rId2"/>
        <a:stretch>
          <a:fillRect/>
        </a:stretch>
      </xdr:blipFill>
      <xdr:spPr>
        <a:xfrm>
          <a:off x="0" y="0"/>
          <a:ext cx="535683" cy="50512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oneCellAnchor>
    <xdr:from>
      <xdr:col>0</xdr:col>
      <xdr:colOff>47623</xdr:colOff>
      <xdr:row>0</xdr:row>
      <xdr:rowOff>95248</xdr:rowOff>
    </xdr:from>
    <xdr:ext cx="530313" cy="598716"/>
    <xdr:pic>
      <xdr:nvPicPr>
        <xdr:cNvPr id="2" name="Afbeelding 1">
          <a:hlinkClick xmlns:r="http://schemas.openxmlformats.org/officeDocument/2006/relationships" r:id="rId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2"/>
        <a:stretch>
          <a:fillRect/>
        </a:stretch>
      </xdr:blipFill>
      <xdr:spPr>
        <a:xfrm>
          <a:off x="47623" y="95248"/>
          <a:ext cx="530313" cy="598716"/>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11</xdr:col>
      <xdr:colOff>238125</xdr:colOff>
      <xdr:row>35</xdr:row>
      <xdr:rowOff>123825</xdr:rowOff>
    </xdr:to>
    <xdr:pic>
      <xdr:nvPicPr>
        <xdr:cNvPr id="2" name="Picture 1" descr="https://aemstatic-ww2.azureedge.net/content/dam/ogj/print-articles/volume-114/issue-9/160905OGJ_89.jpg">
          <a:extLst>
            <a:ext uri="{FF2B5EF4-FFF2-40B4-BE49-F238E27FC236}">
              <a16:creationId xmlns:a16="http://schemas.microsoft.com/office/drawing/2014/main" id="{00000000-0008-0000-3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904875"/>
          <a:ext cx="666750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xdr:row>
      <xdr:rowOff>0</xdr:rowOff>
    </xdr:from>
    <xdr:to>
      <xdr:col>22</xdr:col>
      <xdr:colOff>571500</xdr:colOff>
      <xdr:row>34</xdr:row>
      <xdr:rowOff>76200</xdr:rowOff>
    </xdr:to>
    <xdr:pic>
      <xdr:nvPicPr>
        <xdr:cNvPr id="3" name="Picture 2" descr="https://aemstatic-ww2.azureedge.net/content/dam/ogj/print-articles/volume-114/issue-9/160905OGJ_90.jpg">
          <a:extLst>
            <a:ext uri="{FF2B5EF4-FFF2-40B4-BE49-F238E27FC236}">
              <a16:creationId xmlns:a16="http://schemas.microsoft.com/office/drawing/2014/main" id="{00000000-0008-0000-3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15200" y="904875"/>
          <a:ext cx="6667500" cy="579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11</xdr:col>
      <xdr:colOff>238125</xdr:colOff>
      <xdr:row>77</xdr:row>
      <xdr:rowOff>171450</xdr:rowOff>
    </xdr:to>
    <xdr:pic>
      <xdr:nvPicPr>
        <xdr:cNvPr id="4" name="Picture 3" descr="https://aemstatic-ww1.azureedge.net/content/dam/ogj/print-articles/volume-114/issue-9/160905OGJ_91.jpg">
          <a:extLst>
            <a:ext uri="{FF2B5EF4-FFF2-40B4-BE49-F238E27FC236}">
              <a16:creationId xmlns:a16="http://schemas.microsoft.com/office/drawing/2014/main" id="{00000000-0008-0000-3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50" y="7000875"/>
          <a:ext cx="6667500" cy="798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66675</xdr:rowOff>
    </xdr:from>
    <xdr:to>
      <xdr:col>11</xdr:col>
      <xdr:colOff>238125</xdr:colOff>
      <xdr:row>127</xdr:row>
      <xdr:rowOff>123825</xdr:rowOff>
    </xdr:to>
    <xdr:pic>
      <xdr:nvPicPr>
        <xdr:cNvPr id="5" name="Picture 4" descr="https://aemstatic-ww1.azureedge.net/content/dam/ogj/print-articles/volume-114/issue-9/160905OGJ_93.jpg">
          <a:extLst>
            <a:ext uri="{FF2B5EF4-FFF2-40B4-BE49-F238E27FC236}">
              <a16:creationId xmlns:a16="http://schemas.microsoft.com/office/drawing/2014/main" id="{00000000-0008-0000-3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95350" y="15259050"/>
          <a:ext cx="6667500" cy="920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79</xdr:row>
      <xdr:rowOff>66675</xdr:rowOff>
    </xdr:from>
    <xdr:to>
      <xdr:col>22</xdr:col>
      <xdr:colOff>571500</xdr:colOff>
      <xdr:row>114</xdr:row>
      <xdr:rowOff>114300</xdr:rowOff>
    </xdr:to>
    <xdr:pic>
      <xdr:nvPicPr>
        <xdr:cNvPr id="6" name="Picture 5" descr="https://aemstatic-ww1.azureedge.net/content/dam/ogj/print-articles/volume-114/issue-9/160905OGJ_95.jpg">
          <a:extLst>
            <a:ext uri="{FF2B5EF4-FFF2-40B4-BE49-F238E27FC236}">
              <a16:creationId xmlns:a16="http://schemas.microsoft.com/office/drawing/2014/main" id="{00000000-0008-0000-3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934325" y="15259050"/>
          <a:ext cx="6667500" cy="671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xdr:colOff>
      <xdr:row>36</xdr:row>
      <xdr:rowOff>38100</xdr:rowOff>
    </xdr:from>
    <xdr:to>
      <xdr:col>21</xdr:col>
      <xdr:colOff>295275</xdr:colOff>
      <xdr:row>61</xdr:row>
      <xdr:rowOff>9525</xdr:rowOff>
    </xdr:to>
    <xdr:pic>
      <xdr:nvPicPr>
        <xdr:cNvPr id="7" name="Picture 6" descr="https://aemstatic-ww1.azureedge.net/content/dam/ogj/print-articles/volume-114/issue-9/160905OGJssm-z03.jpg">
          <a:extLst>
            <a:ext uri="{FF2B5EF4-FFF2-40B4-BE49-F238E27FC236}">
              <a16:creationId xmlns:a16="http://schemas.microsoft.com/office/drawing/2014/main" id="{00000000-0008-0000-3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1000" y="7038975"/>
          <a:ext cx="5715000" cy="473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381000</xdr:colOff>
      <xdr:row>6</xdr:row>
      <xdr:rowOff>38100</xdr:rowOff>
    </xdr:from>
    <xdr:to>
      <xdr:col>29</xdr:col>
      <xdr:colOff>494795</xdr:colOff>
      <xdr:row>20</xdr:row>
      <xdr:rowOff>28243</xdr:rowOff>
    </xdr:to>
    <xdr:pic>
      <xdr:nvPicPr>
        <xdr:cNvPr id="8" name="Picture 7">
          <a:extLst>
            <a:ext uri="{FF2B5EF4-FFF2-40B4-BE49-F238E27FC236}">
              <a16:creationId xmlns:a16="http://schemas.microsoft.com/office/drawing/2014/main" id="{00000000-0008-0000-3200-000008000000}"/>
            </a:ext>
          </a:extLst>
        </xdr:cNvPr>
        <xdr:cNvPicPr>
          <a:picLocks noChangeAspect="1"/>
        </xdr:cNvPicPr>
      </xdr:nvPicPr>
      <xdr:blipFill>
        <a:blip xmlns:r="http://schemas.openxmlformats.org/officeDocument/2006/relationships" r:embed="rId7"/>
        <a:stretch>
          <a:fillRect/>
        </a:stretch>
      </xdr:blipFill>
      <xdr:spPr>
        <a:xfrm>
          <a:off x="16706850" y="1323975"/>
          <a:ext cx="4038095" cy="2657143"/>
        </a:xfrm>
        <a:prstGeom prst="rect">
          <a:avLst/>
        </a:prstGeom>
      </xdr:spPr>
    </xdr:pic>
    <xdr:clientData/>
  </xdr:twoCellAnchor>
  <xdr:twoCellAnchor editAs="oneCell">
    <xdr:from>
      <xdr:col>23</xdr:col>
      <xdr:colOff>381000</xdr:colOff>
      <xdr:row>21</xdr:row>
      <xdr:rowOff>57150</xdr:rowOff>
    </xdr:from>
    <xdr:to>
      <xdr:col>29</xdr:col>
      <xdr:colOff>570986</xdr:colOff>
      <xdr:row>40</xdr:row>
      <xdr:rowOff>66221</xdr:rowOff>
    </xdr:to>
    <xdr:pic>
      <xdr:nvPicPr>
        <xdr:cNvPr id="9" name="Picture 8">
          <a:extLst>
            <a:ext uri="{FF2B5EF4-FFF2-40B4-BE49-F238E27FC236}">
              <a16:creationId xmlns:a16="http://schemas.microsoft.com/office/drawing/2014/main" id="{00000000-0008-0000-3200-000009000000}"/>
            </a:ext>
          </a:extLst>
        </xdr:cNvPr>
        <xdr:cNvPicPr>
          <a:picLocks noChangeAspect="1"/>
        </xdr:cNvPicPr>
      </xdr:nvPicPr>
      <xdr:blipFill>
        <a:blip xmlns:r="http://schemas.openxmlformats.org/officeDocument/2006/relationships" r:embed="rId8"/>
        <a:stretch>
          <a:fillRect/>
        </a:stretch>
      </xdr:blipFill>
      <xdr:spPr>
        <a:xfrm>
          <a:off x="16706850" y="4200525"/>
          <a:ext cx="4114286" cy="3628571"/>
        </a:xfrm>
        <a:prstGeom prst="rect">
          <a:avLst/>
        </a:prstGeom>
      </xdr:spPr>
    </xdr:pic>
    <xdr:clientData/>
  </xdr:twoCellAnchor>
  <xdr:twoCellAnchor editAs="oneCell">
    <xdr:from>
      <xdr:col>23</xdr:col>
      <xdr:colOff>495300</xdr:colOff>
      <xdr:row>41</xdr:row>
      <xdr:rowOff>19050</xdr:rowOff>
    </xdr:from>
    <xdr:to>
      <xdr:col>29</xdr:col>
      <xdr:colOff>561476</xdr:colOff>
      <xdr:row>66</xdr:row>
      <xdr:rowOff>18455</xdr:rowOff>
    </xdr:to>
    <xdr:pic>
      <xdr:nvPicPr>
        <xdr:cNvPr id="10" name="Picture 9">
          <a:extLst>
            <a:ext uri="{FF2B5EF4-FFF2-40B4-BE49-F238E27FC236}">
              <a16:creationId xmlns:a16="http://schemas.microsoft.com/office/drawing/2014/main" id="{00000000-0008-0000-3200-00000A000000}"/>
            </a:ext>
          </a:extLst>
        </xdr:cNvPr>
        <xdr:cNvPicPr>
          <a:picLocks noChangeAspect="1"/>
        </xdr:cNvPicPr>
      </xdr:nvPicPr>
      <xdr:blipFill>
        <a:blip xmlns:r="http://schemas.openxmlformats.org/officeDocument/2006/relationships" r:embed="rId9"/>
        <a:stretch>
          <a:fillRect/>
        </a:stretch>
      </xdr:blipFill>
      <xdr:spPr>
        <a:xfrm>
          <a:off x="16821150" y="7972425"/>
          <a:ext cx="3990476" cy="4761905"/>
        </a:xfrm>
        <a:prstGeom prst="rect">
          <a:avLst/>
        </a:prstGeom>
      </xdr:spPr>
    </xdr:pic>
    <xdr:clientData/>
  </xdr:twoCellAnchor>
  <xdr:twoCellAnchor editAs="oneCell">
    <xdr:from>
      <xdr:col>23</xdr:col>
      <xdr:colOff>476250</xdr:colOff>
      <xdr:row>67</xdr:row>
      <xdr:rowOff>38100</xdr:rowOff>
    </xdr:from>
    <xdr:to>
      <xdr:col>29</xdr:col>
      <xdr:colOff>504331</xdr:colOff>
      <xdr:row>93</xdr:row>
      <xdr:rowOff>170814</xdr:rowOff>
    </xdr:to>
    <xdr:pic>
      <xdr:nvPicPr>
        <xdr:cNvPr id="11" name="Picture 10">
          <a:extLst>
            <a:ext uri="{FF2B5EF4-FFF2-40B4-BE49-F238E27FC236}">
              <a16:creationId xmlns:a16="http://schemas.microsoft.com/office/drawing/2014/main" id="{00000000-0008-0000-3200-00000B000000}"/>
            </a:ext>
          </a:extLst>
        </xdr:cNvPr>
        <xdr:cNvPicPr>
          <a:picLocks noChangeAspect="1"/>
        </xdr:cNvPicPr>
      </xdr:nvPicPr>
      <xdr:blipFill>
        <a:blip xmlns:r="http://schemas.openxmlformats.org/officeDocument/2006/relationships" r:embed="rId10"/>
        <a:stretch>
          <a:fillRect/>
        </a:stretch>
      </xdr:blipFill>
      <xdr:spPr>
        <a:xfrm>
          <a:off x="16802100" y="12944475"/>
          <a:ext cx="3952381" cy="5085714"/>
        </a:xfrm>
        <a:prstGeom prst="rect">
          <a:avLst/>
        </a:prstGeom>
      </xdr:spPr>
    </xdr:pic>
    <xdr:clientData/>
  </xdr:twoCellAnchor>
  <xdr:twoCellAnchor editAs="oneCell">
    <xdr:from>
      <xdr:col>30</xdr:col>
      <xdr:colOff>504825</xdr:colOff>
      <xdr:row>19</xdr:row>
      <xdr:rowOff>38100</xdr:rowOff>
    </xdr:from>
    <xdr:to>
      <xdr:col>37</xdr:col>
      <xdr:colOff>323339</xdr:colOff>
      <xdr:row>47</xdr:row>
      <xdr:rowOff>104100</xdr:rowOff>
    </xdr:to>
    <xdr:pic>
      <xdr:nvPicPr>
        <xdr:cNvPr id="12" name="Picture 11">
          <a:extLst>
            <a:ext uri="{FF2B5EF4-FFF2-40B4-BE49-F238E27FC236}">
              <a16:creationId xmlns:a16="http://schemas.microsoft.com/office/drawing/2014/main" id="{00000000-0008-0000-3200-00000C000000}"/>
            </a:ext>
          </a:extLst>
        </xdr:cNvPr>
        <xdr:cNvPicPr>
          <a:picLocks noChangeAspect="1"/>
        </xdr:cNvPicPr>
      </xdr:nvPicPr>
      <xdr:blipFill>
        <a:blip xmlns:r="http://schemas.openxmlformats.org/officeDocument/2006/relationships" r:embed="rId11"/>
        <a:stretch>
          <a:fillRect/>
        </a:stretch>
      </xdr:blipFill>
      <xdr:spPr>
        <a:xfrm>
          <a:off x="21364575" y="3800475"/>
          <a:ext cx="4085714" cy="5400000"/>
        </a:xfrm>
        <a:prstGeom prst="rect">
          <a:avLst/>
        </a:prstGeom>
      </xdr:spPr>
    </xdr:pic>
    <xdr:clientData/>
  </xdr:twoCellAnchor>
  <xdr:twoCellAnchor editAs="oneCell">
    <xdr:from>
      <xdr:col>30</xdr:col>
      <xdr:colOff>542925</xdr:colOff>
      <xdr:row>5</xdr:row>
      <xdr:rowOff>171450</xdr:rowOff>
    </xdr:from>
    <xdr:to>
      <xdr:col>37</xdr:col>
      <xdr:colOff>151915</xdr:colOff>
      <xdr:row>18</xdr:row>
      <xdr:rowOff>133045</xdr:rowOff>
    </xdr:to>
    <xdr:pic>
      <xdr:nvPicPr>
        <xdr:cNvPr id="14" name="Picture 13">
          <a:extLst>
            <a:ext uri="{FF2B5EF4-FFF2-40B4-BE49-F238E27FC236}">
              <a16:creationId xmlns:a16="http://schemas.microsoft.com/office/drawing/2014/main" id="{00000000-0008-0000-3200-00000E000000}"/>
            </a:ext>
          </a:extLst>
        </xdr:cNvPr>
        <xdr:cNvPicPr>
          <a:picLocks noChangeAspect="1"/>
        </xdr:cNvPicPr>
      </xdr:nvPicPr>
      <xdr:blipFill>
        <a:blip xmlns:r="http://schemas.openxmlformats.org/officeDocument/2006/relationships" r:embed="rId12"/>
        <a:stretch>
          <a:fillRect/>
        </a:stretch>
      </xdr:blipFill>
      <xdr:spPr>
        <a:xfrm>
          <a:off x="21402675" y="1266825"/>
          <a:ext cx="3876190" cy="2438095"/>
        </a:xfrm>
        <a:prstGeom prst="rect">
          <a:avLst/>
        </a:prstGeom>
      </xdr:spPr>
    </xdr:pic>
    <xdr:clientData/>
  </xdr:twoCellAnchor>
  <xdr:twoCellAnchor editAs="oneCell">
    <xdr:from>
      <xdr:col>40</xdr:col>
      <xdr:colOff>47625</xdr:colOff>
      <xdr:row>2</xdr:row>
      <xdr:rowOff>133350</xdr:rowOff>
    </xdr:from>
    <xdr:to>
      <xdr:col>55</xdr:col>
      <xdr:colOff>76361</xdr:colOff>
      <xdr:row>43</xdr:row>
      <xdr:rowOff>94278</xdr:rowOff>
    </xdr:to>
    <xdr:pic>
      <xdr:nvPicPr>
        <xdr:cNvPr id="15" name="Picture 14">
          <a:extLst>
            <a:ext uri="{FF2B5EF4-FFF2-40B4-BE49-F238E27FC236}">
              <a16:creationId xmlns:a16="http://schemas.microsoft.com/office/drawing/2014/main" id="{00000000-0008-0000-3200-00000F000000}"/>
            </a:ext>
          </a:extLst>
        </xdr:cNvPr>
        <xdr:cNvPicPr>
          <a:picLocks noChangeAspect="1"/>
        </xdr:cNvPicPr>
      </xdr:nvPicPr>
      <xdr:blipFill>
        <a:blip xmlns:r="http://schemas.openxmlformats.org/officeDocument/2006/relationships" r:embed="rId13"/>
        <a:stretch>
          <a:fillRect/>
        </a:stretch>
      </xdr:blipFill>
      <xdr:spPr>
        <a:xfrm>
          <a:off x="27003375" y="657225"/>
          <a:ext cx="10428571" cy="7771428"/>
        </a:xfrm>
        <a:prstGeom prst="rect">
          <a:avLst/>
        </a:prstGeom>
      </xdr:spPr>
    </xdr:pic>
    <xdr:clientData/>
  </xdr:twoCellAnchor>
  <xdr:twoCellAnchor>
    <xdr:from>
      <xdr:col>41</xdr:col>
      <xdr:colOff>219808</xdr:colOff>
      <xdr:row>32</xdr:row>
      <xdr:rowOff>95250</xdr:rowOff>
    </xdr:from>
    <xdr:to>
      <xdr:col>48</xdr:col>
      <xdr:colOff>256443</xdr:colOff>
      <xdr:row>32</xdr:row>
      <xdr:rowOff>95250</xdr:rowOff>
    </xdr:to>
    <xdr:cxnSp macro="">
      <xdr:nvCxnSpPr>
        <xdr:cNvPr id="17" name="Straight Connector 16">
          <a:extLst>
            <a:ext uri="{FF2B5EF4-FFF2-40B4-BE49-F238E27FC236}">
              <a16:creationId xmlns:a16="http://schemas.microsoft.com/office/drawing/2014/main" id="{00000000-0008-0000-3200-000011000000}"/>
            </a:ext>
          </a:extLst>
        </xdr:cNvPr>
        <xdr:cNvCxnSpPr/>
      </xdr:nvCxnSpPr>
      <xdr:spPr>
        <a:xfrm>
          <a:off x="27732404" y="6337788"/>
          <a:ext cx="49530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219808</xdr:colOff>
      <xdr:row>26</xdr:row>
      <xdr:rowOff>117231</xdr:rowOff>
    </xdr:from>
    <xdr:to>
      <xdr:col>48</xdr:col>
      <xdr:colOff>256443</xdr:colOff>
      <xdr:row>26</xdr:row>
      <xdr:rowOff>117231</xdr:rowOff>
    </xdr:to>
    <xdr:cxnSp macro="">
      <xdr:nvCxnSpPr>
        <xdr:cNvPr id="18" name="Straight Connector 17">
          <a:extLst>
            <a:ext uri="{FF2B5EF4-FFF2-40B4-BE49-F238E27FC236}">
              <a16:creationId xmlns:a16="http://schemas.microsoft.com/office/drawing/2014/main" id="{00000000-0008-0000-3200-000012000000}"/>
            </a:ext>
          </a:extLst>
        </xdr:cNvPr>
        <xdr:cNvCxnSpPr/>
      </xdr:nvCxnSpPr>
      <xdr:spPr>
        <a:xfrm>
          <a:off x="27732404" y="5216769"/>
          <a:ext cx="49530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219808</xdr:colOff>
      <xdr:row>31</xdr:row>
      <xdr:rowOff>102578</xdr:rowOff>
    </xdr:from>
    <xdr:to>
      <xdr:col>48</xdr:col>
      <xdr:colOff>256443</xdr:colOff>
      <xdr:row>31</xdr:row>
      <xdr:rowOff>102578</xdr:rowOff>
    </xdr:to>
    <xdr:cxnSp macro="">
      <xdr:nvCxnSpPr>
        <xdr:cNvPr id="20" name="Straight Connector 19">
          <a:extLst>
            <a:ext uri="{FF2B5EF4-FFF2-40B4-BE49-F238E27FC236}">
              <a16:creationId xmlns:a16="http://schemas.microsoft.com/office/drawing/2014/main" id="{00000000-0008-0000-3200-000014000000}"/>
            </a:ext>
          </a:extLst>
        </xdr:cNvPr>
        <xdr:cNvCxnSpPr/>
      </xdr:nvCxnSpPr>
      <xdr:spPr>
        <a:xfrm>
          <a:off x="27732404" y="6154616"/>
          <a:ext cx="495300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7</xdr:row>
      <xdr:rowOff>0</xdr:rowOff>
    </xdr:from>
    <xdr:to>
      <xdr:col>0</xdr:col>
      <xdr:colOff>535683</xdr:colOff>
      <xdr:row>9</xdr:row>
      <xdr:rowOff>124126</xdr:rowOff>
    </xdr:to>
    <xdr:pic>
      <xdr:nvPicPr>
        <xdr:cNvPr id="19" name="Afbeelding 4">
          <a:hlinkClick xmlns:r="http://schemas.openxmlformats.org/officeDocument/2006/relationships" r:id="rId14"/>
          <a:extLst>
            <a:ext uri="{FF2B5EF4-FFF2-40B4-BE49-F238E27FC236}">
              <a16:creationId xmlns:a16="http://schemas.microsoft.com/office/drawing/2014/main" id="{00000000-0008-0000-3200-000013000000}"/>
            </a:ext>
          </a:extLst>
        </xdr:cNvPr>
        <xdr:cNvPicPr>
          <a:picLocks noChangeAspect="1"/>
        </xdr:cNvPicPr>
      </xdr:nvPicPr>
      <xdr:blipFill>
        <a:blip xmlns:r="http://schemas.openxmlformats.org/officeDocument/2006/relationships" r:embed="rId15"/>
        <a:stretch>
          <a:fillRect/>
        </a:stretch>
      </xdr:blipFill>
      <xdr:spPr>
        <a:xfrm>
          <a:off x="0" y="1479176"/>
          <a:ext cx="535683" cy="505126"/>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219075</xdr:colOff>
      <xdr:row>0</xdr:row>
      <xdr:rowOff>152400</xdr:rowOff>
    </xdr:from>
    <xdr:to>
      <xdr:col>0</xdr:col>
      <xdr:colOff>754758</xdr:colOff>
      <xdr:row>3</xdr:row>
      <xdr:rowOff>86026</xdr:rowOff>
    </xdr:to>
    <xdr:pic>
      <xdr:nvPicPr>
        <xdr:cNvPr id="2" name="Afbeelding 4">
          <a:hlinkClick xmlns:r="http://schemas.openxmlformats.org/officeDocument/2006/relationships" r:id="rId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2"/>
        <a:stretch>
          <a:fillRect/>
        </a:stretch>
      </xdr:blipFill>
      <xdr:spPr>
        <a:xfrm>
          <a:off x="219075" y="152400"/>
          <a:ext cx="535683" cy="505126"/>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288033</xdr:colOff>
      <xdr:row>1</xdr:row>
      <xdr:rowOff>314626</xdr:rowOff>
    </xdr:to>
    <xdr:pic>
      <xdr:nvPicPr>
        <xdr:cNvPr id="2" name="Afbeelding 4">
          <a:hlinkClick xmlns:r="http://schemas.openxmlformats.org/officeDocument/2006/relationships" r:id="rId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2"/>
        <a:stretch>
          <a:fillRect/>
        </a:stretch>
      </xdr:blipFill>
      <xdr:spPr>
        <a:xfrm>
          <a:off x="0" y="0"/>
          <a:ext cx="535683" cy="50512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535683</xdr:colOff>
      <xdr:row>2</xdr:row>
      <xdr:rowOff>19351</xdr:rowOff>
    </xdr:to>
    <xdr:pic>
      <xdr:nvPicPr>
        <xdr:cNvPr id="2" name="Afbeelding 4">
          <a:hlinkClick xmlns:r="http://schemas.openxmlformats.org/officeDocument/2006/relationships" r:id="rId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2"/>
        <a:stretch>
          <a:fillRect/>
        </a:stretch>
      </xdr:blipFill>
      <xdr:spPr>
        <a:xfrm>
          <a:off x="0" y="0"/>
          <a:ext cx="535683" cy="505126"/>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535683</xdr:colOff>
      <xdr:row>2</xdr:row>
      <xdr:rowOff>124126</xdr:rowOff>
    </xdr:to>
    <xdr:pic>
      <xdr:nvPicPr>
        <xdr:cNvPr id="2" name="Afbeelding 4">
          <a:hlinkClick xmlns:r="http://schemas.openxmlformats.org/officeDocument/2006/relationships" r:id="rId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2"/>
        <a:stretch>
          <a:fillRect/>
        </a:stretch>
      </xdr:blipFill>
      <xdr:spPr>
        <a:xfrm>
          <a:off x="0" y="0"/>
          <a:ext cx="535683" cy="5051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sn.tno.nl\data\Projects\060\2\29190\Kluis\40%20Werkdocumenten\WP%20A\Model\_archive\Copy%20of%20TNO%20EDI%20Combined%20v.1.2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Business%20School\Research\TKI\NSE%20II\Models\TNO%20EDI%20Combined%20v.2.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Business%20School\Research\TKI\NSE%20II\Models\TNO%20EDI%20Combined%20v.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Table of contents"/>
      <sheetName val="Scenarios"/>
      <sheetName val="Parameters"/>
      <sheetName val="scenario_names"/>
      <sheetName val="parameters E"/>
      <sheetName val="parameters H2"/>
      <sheetName val="parameters CCS"/>
      <sheetName val="Visuals"/>
      <sheetName val="Output"/>
      <sheetName val="Output E"/>
      <sheetName val="Output CCS"/>
      <sheetName val="Output H2 S"/>
      <sheetName val="Output H2 L"/>
      <sheetName val="Gas price scenarios"/>
      <sheetName val="Electricity price scenarios"/>
      <sheetName val="CO2 price scenarios"/>
      <sheetName val="Frontier"/>
      <sheetName val="NEV Tabel 3a Prijzen V"/>
      <sheetName val="NEV Tabel 3b Prijzen VV"/>
      <sheetName val="E_cable_costs"/>
      <sheetName val="CO2 --&gt;"/>
      <sheetName val="CO2 COMPRESSION"/>
      <sheetName val="CO2 PIPELINE"/>
      <sheetName val="CO2 INJECTION"/>
      <sheetName val="CO2 PLATFORM"/>
      <sheetName val="CO2 decom &amp; refub"/>
      <sheetName val="SMALL H2 --&gt;"/>
      <sheetName val="ELECTROLYSIS S"/>
      <sheetName val="H2 COMPRESSION S"/>
      <sheetName val="H2 PIPELINE S"/>
      <sheetName val="H2 PLATFORM S"/>
      <sheetName val="H2 decom &amp; refub S"/>
      <sheetName val="LARGE H2 --&gt;"/>
      <sheetName val="ELECTROLYSIS"/>
      <sheetName val="H2 COMPRESSION"/>
      <sheetName val="H2 PIPELINE"/>
      <sheetName val="H2 PLATFORM"/>
      <sheetName val="Databases"/>
      <sheetName val="DATABASE CO2 STORAGE"/>
      <sheetName val="DATABASE PLATFORMS"/>
      <sheetName val="APX Input"/>
      <sheetName val="Prices"/>
      <sheetName val="P-D-T TABLES DATABASE"/>
      <sheetName val="Electrification --&gt;"/>
      <sheetName val="electrification_input"/>
      <sheetName val="Investments_elec"/>
      <sheetName val="Exploitation_elec"/>
      <sheetName val="Revenues_elec"/>
      <sheetName val="CO2 emissions_elec"/>
      <sheetName val="E Decom"/>
      <sheetName val="Pipeline_CAPEX_OPEX"/>
      <sheetName val="Gas_production"/>
      <sheetName val="OPEX_elec"/>
      <sheetName val="Unit conversion"/>
    </sheetNames>
    <sheetDataSet>
      <sheetData sheetId="0"/>
      <sheetData sheetId="1"/>
      <sheetData sheetId="2"/>
      <sheetData sheetId="3"/>
      <sheetData sheetId="4">
        <row r="2">
          <cell r="C2" t="str">
            <v>NAM Scenario 1</v>
          </cell>
        </row>
        <row r="3">
          <cell r="C3" t="str">
            <v>NAM Scenario 2</v>
          </cell>
        </row>
        <row r="4">
          <cell r="C4" t="str">
            <v>NAM Scenario 3</v>
          </cell>
        </row>
        <row r="5">
          <cell r="C5" t="str">
            <v>TAQA Scenario 1</v>
          </cell>
        </row>
        <row r="6">
          <cell r="C6" t="str">
            <v>TAQA Scenario 2</v>
          </cell>
        </row>
        <row r="7">
          <cell r="C7" t="str">
            <v>TAQA Scenario 3</v>
          </cell>
        </row>
        <row r="8">
          <cell r="C8" t="str">
            <v>Total Scenario 1</v>
          </cell>
        </row>
        <row r="9">
          <cell r="C9" t="str">
            <v>Total Scenario 2</v>
          </cell>
        </row>
        <row r="10">
          <cell r="C10" t="str">
            <v>Total Scenario 3</v>
          </cell>
        </row>
        <row r="11">
          <cell r="C11"/>
        </row>
        <row r="12">
          <cell r="C12"/>
        </row>
        <row r="13">
          <cell r="C13"/>
        </row>
        <row r="14">
          <cell r="C14"/>
        </row>
        <row r="15">
          <cell r="C15"/>
        </row>
        <row r="16">
          <cell r="C16"/>
        </row>
        <row r="17">
          <cell r="C17"/>
        </row>
        <row r="18">
          <cell r="C18"/>
        </row>
        <row r="19">
          <cell r="C19"/>
        </row>
        <row r="20">
          <cell r="C20"/>
        </row>
        <row r="21">
          <cell r="C21"/>
        </row>
        <row r="22">
          <cell r="C22"/>
        </row>
        <row r="23">
          <cell r="C23"/>
        </row>
        <row r="24">
          <cell r="C24"/>
        </row>
        <row r="25">
          <cell r="C25"/>
        </row>
        <row r="26">
          <cell r="C26"/>
        </row>
        <row r="27">
          <cell r="C27"/>
        </row>
        <row r="28">
          <cell r="C28"/>
        </row>
        <row r="29">
          <cell r="C29"/>
        </row>
        <row r="30">
          <cell r="C30"/>
        </row>
        <row r="31">
          <cell r="C31"/>
        </row>
        <row r="32">
          <cell r="C32"/>
        </row>
        <row r="33">
          <cell r="C33"/>
        </row>
        <row r="34">
          <cell r="C34"/>
        </row>
        <row r="35">
          <cell r="C35"/>
        </row>
        <row r="36">
          <cell r="C36"/>
        </row>
        <row r="37">
          <cell r="C37"/>
        </row>
        <row r="38">
          <cell r="C38"/>
        </row>
        <row r="39">
          <cell r="C39"/>
        </row>
        <row r="40">
          <cell r="C40"/>
        </row>
        <row r="41">
          <cell r="C41"/>
        </row>
        <row r="42">
          <cell r="C42"/>
        </row>
        <row r="43">
          <cell r="C43"/>
        </row>
        <row r="44">
          <cell r="C44"/>
        </row>
        <row r="45">
          <cell r="C45"/>
        </row>
        <row r="46">
          <cell r="C46"/>
        </row>
        <row r="47">
          <cell r="C47"/>
        </row>
        <row r="48">
          <cell r="C48"/>
        </row>
        <row r="49">
          <cell r="C49"/>
        </row>
        <row r="50">
          <cell r="C50"/>
        </row>
        <row r="51">
          <cell r="C51"/>
        </row>
        <row r="52">
          <cell r="C52"/>
        </row>
        <row r="53">
          <cell r="C53"/>
        </row>
        <row r="54">
          <cell r="C54"/>
        </row>
        <row r="55">
          <cell r="C55"/>
        </row>
        <row r="56">
          <cell r="C56"/>
        </row>
        <row r="57">
          <cell r="C57"/>
        </row>
        <row r="58">
          <cell r="C58"/>
        </row>
        <row r="59">
          <cell r="C59"/>
        </row>
        <row r="60">
          <cell r="C60"/>
        </row>
        <row r="61">
          <cell r="C61"/>
        </row>
        <row r="62">
          <cell r="C62"/>
        </row>
        <row r="63">
          <cell r="C63"/>
        </row>
        <row r="64">
          <cell r="C64"/>
        </row>
        <row r="65">
          <cell r="C65"/>
        </row>
        <row r="66">
          <cell r="C66"/>
        </row>
        <row r="67">
          <cell r="C67"/>
        </row>
        <row r="68">
          <cell r="C68"/>
        </row>
        <row r="69">
          <cell r="C69"/>
        </row>
        <row r="70">
          <cell r="C70"/>
        </row>
        <row r="71">
          <cell r="C71"/>
        </row>
        <row r="72">
          <cell r="C72"/>
        </row>
        <row r="73">
          <cell r="C73"/>
        </row>
        <row r="74">
          <cell r="C74"/>
        </row>
        <row r="75">
          <cell r="C75"/>
        </row>
        <row r="76">
          <cell r="C76"/>
        </row>
        <row r="77">
          <cell r="C77"/>
        </row>
        <row r="78">
          <cell r="C78"/>
        </row>
        <row r="79">
          <cell r="C79"/>
        </row>
        <row r="80">
          <cell r="C80"/>
        </row>
        <row r="81">
          <cell r="C81"/>
        </row>
        <row r="82">
          <cell r="C82"/>
        </row>
        <row r="83">
          <cell r="C83"/>
        </row>
        <row r="84">
          <cell r="C84"/>
        </row>
        <row r="85">
          <cell r="C85"/>
        </row>
        <row r="86">
          <cell r="C86"/>
        </row>
        <row r="87">
          <cell r="C87"/>
        </row>
        <row r="88">
          <cell r="C88"/>
        </row>
        <row r="89">
          <cell r="C89"/>
        </row>
        <row r="90">
          <cell r="C90"/>
        </row>
        <row r="91">
          <cell r="C91"/>
        </row>
        <row r="92">
          <cell r="C92"/>
        </row>
        <row r="93">
          <cell r="C93"/>
        </row>
        <row r="94">
          <cell r="C94"/>
        </row>
        <row r="95">
          <cell r="C95"/>
        </row>
        <row r="96">
          <cell r="C96"/>
        </row>
        <row r="97">
          <cell r="C97"/>
        </row>
        <row r="98">
          <cell r="C98"/>
        </row>
        <row r="99">
          <cell r="C99"/>
        </row>
        <row r="100">
          <cell r="C100"/>
        </row>
        <row r="101">
          <cell r="C101"/>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Table of contents"/>
      <sheetName val="Assumptions"/>
      <sheetName val="Scenarios"/>
      <sheetName val="Parameters"/>
      <sheetName val="scenario_names"/>
      <sheetName val="parameters E"/>
      <sheetName val="parameters CCS"/>
      <sheetName val="parameters H2"/>
      <sheetName val="Visuals"/>
      <sheetName val="Output"/>
      <sheetName val="Output E"/>
      <sheetName val="Output CCS"/>
      <sheetName val="Output H2 S"/>
      <sheetName val="Output H2 L"/>
      <sheetName val="Gas price scenarios"/>
      <sheetName val="Electricity price scenarios"/>
      <sheetName val="CO2 price scenarios"/>
      <sheetName val="Frontier"/>
      <sheetName val="NEV Tabel 3a Prijzen V"/>
      <sheetName val="NEV Tabel 3b Prijzen VV"/>
      <sheetName val="E_cable_costs"/>
      <sheetName val="CO2 --&gt;"/>
      <sheetName val="CO2 COMPRESSION"/>
      <sheetName val="CO2 PIPELINE"/>
      <sheetName val="CO2 INJECTION"/>
      <sheetName val="CO2 PLATFORM"/>
      <sheetName val="CO2 decom &amp; refub"/>
      <sheetName val="SMALL H2 --&gt;"/>
      <sheetName val="ELECTROLYSIS S"/>
      <sheetName val="H2 COMPRESSION S"/>
      <sheetName val="H2 PIPELINE S"/>
      <sheetName val="H2 PLATFORM S"/>
      <sheetName val="H2 decom &amp; refub S"/>
      <sheetName val="LARGE H2 --&gt;"/>
      <sheetName val="ELECTROLYSIS"/>
      <sheetName val="H2 COMPRESSION"/>
      <sheetName val="H2 PIPELINE"/>
      <sheetName val="H2 PLATFORM"/>
      <sheetName val="H2 decom &amp; refub L"/>
      <sheetName val="Databases"/>
      <sheetName val="DATABASE PLATFORMS"/>
      <sheetName val="DATABASE CO2 STORAGE"/>
      <sheetName val="APX Input"/>
      <sheetName val="Prices"/>
      <sheetName val="P-D-T TABLES DATABASE"/>
      <sheetName val="Electrification --&gt;"/>
      <sheetName val="electrification_input"/>
      <sheetName val="Investments_elec"/>
      <sheetName val="Exploitation_elec"/>
      <sheetName val="Revenues_elec"/>
      <sheetName val="CO2 emissions_elec"/>
      <sheetName val="E Decom &amp; refub"/>
      <sheetName val="Pipeline_CAPEX_OPEX"/>
      <sheetName val="Gas_production"/>
      <sheetName val="OPEX_elec"/>
      <sheetName val="Unit conversion"/>
    </sheetNames>
    <sheetDataSet>
      <sheetData sheetId="0"/>
      <sheetData sheetId="1"/>
      <sheetData sheetId="2"/>
      <sheetData sheetId="3"/>
      <sheetData sheetId="4">
        <row r="92">
          <cell r="E92" t="str">
            <v>Number of available wells at start of business case</v>
          </cell>
        </row>
      </sheetData>
      <sheetData sheetId="5">
        <row r="2">
          <cell r="C2" t="str">
            <v>NAM Scenario 1</v>
          </cell>
        </row>
        <row r="3">
          <cell r="C3" t="str">
            <v>NAM Scenario 2</v>
          </cell>
        </row>
        <row r="4">
          <cell r="C4" t="str">
            <v>NAM Scenario 3</v>
          </cell>
        </row>
        <row r="5">
          <cell r="C5" t="str">
            <v>TAQA Scenario 1</v>
          </cell>
        </row>
        <row r="6">
          <cell r="C6" t="str">
            <v>TAQA Scenario 2</v>
          </cell>
        </row>
        <row r="7">
          <cell r="C7" t="str">
            <v>TAQA Scenario 3</v>
          </cell>
        </row>
        <row r="8">
          <cell r="C8" t="str">
            <v>Total Scenario 1</v>
          </cell>
        </row>
        <row r="9">
          <cell r="C9" t="str">
            <v>Total Scenario 2</v>
          </cell>
        </row>
        <row r="10">
          <cell r="C10" t="str">
            <v>Total Scenario 3</v>
          </cell>
        </row>
        <row r="11">
          <cell r="C11"/>
        </row>
        <row r="12">
          <cell r="C12"/>
        </row>
        <row r="13">
          <cell r="C13"/>
        </row>
        <row r="14">
          <cell r="C14"/>
        </row>
        <row r="15">
          <cell r="C15"/>
        </row>
        <row r="16">
          <cell r="C16"/>
        </row>
        <row r="17">
          <cell r="C17"/>
        </row>
        <row r="18">
          <cell r="C18"/>
        </row>
        <row r="19">
          <cell r="C19"/>
        </row>
        <row r="20">
          <cell r="C20"/>
        </row>
        <row r="21">
          <cell r="C21"/>
        </row>
        <row r="22">
          <cell r="C22"/>
        </row>
        <row r="23">
          <cell r="C23"/>
        </row>
        <row r="24">
          <cell r="C24"/>
        </row>
        <row r="25">
          <cell r="C25"/>
        </row>
        <row r="26">
          <cell r="C26"/>
        </row>
        <row r="27">
          <cell r="C27"/>
        </row>
        <row r="28">
          <cell r="C28"/>
        </row>
        <row r="29">
          <cell r="C29"/>
        </row>
        <row r="30">
          <cell r="C30"/>
        </row>
        <row r="31">
          <cell r="C31"/>
        </row>
        <row r="32">
          <cell r="C32"/>
        </row>
        <row r="33">
          <cell r="C33"/>
        </row>
        <row r="34">
          <cell r="C34"/>
        </row>
        <row r="35">
          <cell r="C35"/>
        </row>
        <row r="36">
          <cell r="C36"/>
        </row>
        <row r="37">
          <cell r="C37"/>
        </row>
        <row r="38">
          <cell r="C38"/>
        </row>
        <row r="39">
          <cell r="C39"/>
        </row>
        <row r="40">
          <cell r="C40"/>
        </row>
        <row r="41">
          <cell r="C41"/>
        </row>
        <row r="42">
          <cell r="C42"/>
        </row>
        <row r="43">
          <cell r="C43"/>
        </row>
        <row r="44">
          <cell r="C44"/>
        </row>
        <row r="45">
          <cell r="C45"/>
        </row>
        <row r="46">
          <cell r="C46"/>
        </row>
        <row r="47">
          <cell r="C47"/>
        </row>
        <row r="48">
          <cell r="C48"/>
        </row>
        <row r="49">
          <cell r="C49"/>
        </row>
        <row r="50">
          <cell r="C50"/>
        </row>
        <row r="51">
          <cell r="C51"/>
        </row>
        <row r="52">
          <cell r="C52"/>
        </row>
        <row r="53">
          <cell r="C53"/>
        </row>
        <row r="54">
          <cell r="C54"/>
        </row>
        <row r="55">
          <cell r="C55"/>
        </row>
        <row r="56">
          <cell r="C56"/>
        </row>
        <row r="57">
          <cell r="C57"/>
        </row>
        <row r="58">
          <cell r="C58"/>
        </row>
        <row r="59">
          <cell r="C59"/>
        </row>
        <row r="60">
          <cell r="C60"/>
        </row>
        <row r="61">
          <cell r="C61"/>
        </row>
        <row r="62">
          <cell r="C62"/>
        </row>
        <row r="63">
          <cell r="C63"/>
        </row>
        <row r="64">
          <cell r="C64"/>
        </row>
        <row r="65">
          <cell r="C65"/>
        </row>
        <row r="66">
          <cell r="C66"/>
        </row>
        <row r="67">
          <cell r="C67"/>
        </row>
        <row r="68">
          <cell r="C68"/>
        </row>
        <row r="69">
          <cell r="C69"/>
        </row>
        <row r="70">
          <cell r="C70"/>
        </row>
        <row r="71">
          <cell r="C71"/>
        </row>
        <row r="72">
          <cell r="C72"/>
        </row>
        <row r="73">
          <cell r="C73"/>
        </row>
        <row r="74">
          <cell r="C74"/>
        </row>
        <row r="75">
          <cell r="C75"/>
        </row>
        <row r="76">
          <cell r="C76"/>
        </row>
        <row r="77">
          <cell r="C77"/>
        </row>
        <row r="78">
          <cell r="C78"/>
        </row>
        <row r="79">
          <cell r="C79"/>
        </row>
        <row r="80">
          <cell r="C80"/>
        </row>
        <row r="81">
          <cell r="C81"/>
        </row>
        <row r="82">
          <cell r="C82"/>
        </row>
        <row r="83">
          <cell r="C83"/>
        </row>
        <row r="84">
          <cell r="C84"/>
        </row>
        <row r="85">
          <cell r="C85"/>
        </row>
        <row r="86">
          <cell r="C86"/>
        </row>
        <row r="87">
          <cell r="C87"/>
        </row>
        <row r="88">
          <cell r="C88"/>
        </row>
        <row r="89">
          <cell r="C89"/>
        </row>
        <row r="90">
          <cell r="C90"/>
        </row>
        <row r="91">
          <cell r="C91"/>
        </row>
        <row r="92">
          <cell r="C92"/>
        </row>
        <row r="93">
          <cell r="C93"/>
        </row>
        <row r="94">
          <cell r="C94"/>
        </row>
        <row r="95">
          <cell r="C95"/>
        </row>
        <row r="96">
          <cell r="C96"/>
        </row>
        <row r="97">
          <cell r="C97"/>
        </row>
        <row r="98">
          <cell r="C98"/>
        </row>
        <row r="99">
          <cell r="C99"/>
        </row>
        <row r="100">
          <cell r="C100"/>
        </row>
        <row r="101">
          <cell r="C101"/>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sheetName val="Model structure"/>
      <sheetName val="Conventions"/>
      <sheetName val="NSE Scenario I"/>
      <sheetName val="interface Electrification"/>
      <sheetName val="interface Green H2"/>
      <sheetName val="interface CCS"/>
      <sheetName val="Parameters"/>
      <sheetName val="Synergies &amp; Externalities"/>
      <sheetName val="Scenario P15-18 area"/>
      <sheetName val="Scenario K14 area "/>
      <sheetName val="CO2 COMPRESSION"/>
      <sheetName val="CO2 PIPELINE"/>
      <sheetName val="CO2 INJECTION"/>
      <sheetName val="PLATFORM"/>
      <sheetName val="ELECTROLYSIS"/>
      <sheetName val="H2 COMPRESSION"/>
      <sheetName val="H2 PIPELINE"/>
      <sheetName val="DATABASE CO2 STORAGE"/>
      <sheetName val="DATABASE PLATFORMS"/>
      <sheetName val="PRICE DEVELOPMENTS DATABASE"/>
      <sheetName val="P-D-T TABLES DATABASE"/>
      <sheetName val="Electrification --&gt;"/>
      <sheetName val="interface electrification2"/>
      <sheetName val="Cashflow"/>
      <sheetName val="Investments"/>
      <sheetName val="Exploitation"/>
      <sheetName val="Revenues"/>
      <sheetName val="CO2 emissions"/>
      <sheetName val="OPEX"/>
      <sheetName val="Unit conversion"/>
      <sheetName val="Gas price scenarios"/>
      <sheetName val="Electricity price scenarios"/>
      <sheetName val="CO2 price scenarios"/>
      <sheetName val="Frontier"/>
      <sheetName val="NEV Tabel 3a Prijzen V"/>
      <sheetName val="NEV Tabel 3b Prijzen V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7.bin"/><Relationship Id="rId4"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8.bin"/><Relationship Id="rId4" Type="http://schemas.openxmlformats.org/officeDocument/2006/relationships/comments" Target="../comments6.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9.bin"/><Relationship Id="rId4" Type="http://schemas.openxmlformats.org/officeDocument/2006/relationships/comments" Target="../comments7.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4.xml"/><Relationship Id="rId1" Type="http://schemas.openxmlformats.org/officeDocument/2006/relationships/printerSettings" Target="../printerSettings/printerSettings30.bin"/><Relationship Id="rId4" Type="http://schemas.openxmlformats.org/officeDocument/2006/relationships/comments" Target="../comments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7.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0.xml"/><Relationship Id="rId1" Type="http://schemas.openxmlformats.org/officeDocument/2006/relationships/printerSettings" Target="../printerSettings/printerSettings33.bin"/><Relationship Id="rId4" Type="http://schemas.openxmlformats.org/officeDocument/2006/relationships/comments" Target="../comments10.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11.xml"/></Relationships>
</file>

<file path=xl/worksheets/_rels/sheet51.xml.rels><?xml version="1.0" encoding="UTF-8" standalone="yes"?>
<Relationships xmlns="http://schemas.openxmlformats.org/package/2006/relationships"><Relationship Id="rId3" Type="http://schemas.openxmlformats.org/officeDocument/2006/relationships/hyperlink" Target="https://www.loyensloeff.com/media/7323/domino-presentation-ll.pdf" TargetMode="External"/><Relationship Id="rId2" Type="http://schemas.openxmlformats.org/officeDocument/2006/relationships/hyperlink" Target="https://reader.elsevier.com/reader/sd/7536A45FC15F852BAC183C127D35DD04619AC49413C489142A355E2E5B96FF2C67B2EB76257C27C04E42AA69DC275278" TargetMode="External"/><Relationship Id="rId1" Type="http://schemas.openxmlformats.org/officeDocument/2006/relationships/hyperlink" Target="https://www.ogj.com/articles/print/volume-114/issue-9/special-report-pipeline-economics/natural-gas-pipeline-profits-construction-both-up.html" TargetMode="External"/><Relationship Id="rId5" Type="http://schemas.openxmlformats.org/officeDocument/2006/relationships/drawing" Target="../drawings/drawing36.xml"/><Relationship Id="rId4" Type="http://schemas.openxmlformats.org/officeDocument/2006/relationships/printerSettings" Target="../printerSettings/printerSettings36.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7.xml"/><Relationship Id="rId1" Type="http://schemas.openxmlformats.org/officeDocument/2006/relationships/printerSettings" Target="../printerSettings/printerSettings37.bin"/><Relationship Id="rId4" Type="http://schemas.openxmlformats.org/officeDocument/2006/relationships/comments" Target="../comments12.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40.bin"/><Relationship Id="rId1" Type="http://schemas.openxmlformats.org/officeDocument/2006/relationships/hyperlink" Target="https://unit-converter.gasunie.n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3" tint="-0.249977111117893"/>
  </sheetPr>
  <dimension ref="B3:E33"/>
  <sheetViews>
    <sheetView showGridLines="0" zoomScale="70" zoomScaleNormal="70" workbookViewId="0">
      <selection activeCell="R12" sqref="R12"/>
    </sheetView>
  </sheetViews>
  <sheetFormatPr defaultColWidth="9.140625" defaultRowHeight="15" x14ac:dyDescent="0.25"/>
  <cols>
    <col min="1" max="1" width="9.140625" style="171"/>
    <col min="2" max="2" width="8.85546875" style="171" customWidth="1"/>
    <col min="3" max="3" width="21.140625" style="171" customWidth="1"/>
    <col min="4" max="16384" width="9.140625" style="171"/>
  </cols>
  <sheetData>
    <row r="3" spans="2:5" ht="46.5" x14ac:dyDescent="0.7">
      <c r="B3" s="723" t="s">
        <v>1200</v>
      </c>
    </row>
    <row r="7" spans="2:5" x14ac:dyDescent="0.25">
      <c r="B7" s="171" t="s">
        <v>1193</v>
      </c>
      <c r="C7" s="724" t="s">
        <v>1194</v>
      </c>
      <c r="D7" s="725"/>
      <c r="E7" s="726"/>
    </row>
    <row r="9" spans="2:5" x14ac:dyDescent="0.25">
      <c r="B9" s="171" t="s">
        <v>1195</v>
      </c>
      <c r="C9" s="727">
        <v>2.27</v>
      </c>
    </row>
    <row r="10" spans="2:5" x14ac:dyDescent="0.25">
      <c r="B10" s="171" t="s">
        <v>1196</v>
      </c>
      <c r="C10" s="728">
        <v>43409</v>
      </c>
    </row>
    <row r="15" spans="2:5" s="730" customFormat="1" ht="9.75" customHeight="1" x14ac:dyDescent="0.25">
      <c r="B15" s="729"/>
      <c r="C15" s="729"/>
    </row>
    <row r="18" spans="2:2" x14ac:dyDescent="0.25">
      <c r="B18" s="731" t="s">
        <v>1731</v>
      </c>
    </row>
    <row r="19" spans="2:2" x14ac:dyDescent="0.25">
      <c r="B19" s="732" t="s">
        <v>1197</v>
      </c>
    </row>
    <row r="33" spans="4:4" x14ac:dyDescent="0.25">
      <c r="D33" s="73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dimension ref="A1:F52"/>
  <sheetViews>
    <sheetView zoomScale="80" zoomScaleNormal="80" workbookViewId="0">
      <selection activeCell="D17" sqref="D17"/>
    </sheetView>
  </sheetViews>
  <sheetFormatPr defaultColWidth="8.85546875" defaultRowHeight="15" x14ac:dyDescent="0.25"/>
  <cols>
    <col min="1" max="1" width="18.5703125" customWidth="1"/>
    <col min="2" max="2" width="42.7109375" bestFit="1" customWidth="1"/>
    <col min="3" max="3" width="50.7109375" bestFit="1" customWidth="1"/>
    <col min="4" max="4" width="21.85546875" customWidth="1"/>
    <col min="5" max="5" width="36.85546875" customWidth="1"/>
  </cols>
  <sheetData>
    <row r="1" spans="1:6" x14ac:dyDescent="0.25">
      <c r="A1" s="309" t="s">
        <v>1146</v>
      </c>
      <c r="E1" s="309" t="s">
        <v>661</v>
      </c>
      <c r="F1" s="171"/>
    </row>
    <row r="2" spans="1:6" s="171" customFormat="1" x14ac:dyDescent="0.25">
      <c r="A2" s="309"/>
      <c r="E2" s="309"/>
    </row>
    <row r="3" spans="1:6" s="171" customFormat="1" x14ac:dyDescent="0.25">
      <c r="A3" s="623" t="s">
        <v>146</v>
      </c>
      <c r="B3" s="623" t="s">
        <v>1147</v>
      </c>
      <c r="C3" s="623" t="s">
        <v>1148</v>
      </c>
      <c r="D3" s="623"/>
      <c r="E3" s="311" t="s">
        <v>662</v>
      </c>
    </row>
    <row r="4" spans="1:6" s="171" customFormat="1" x14ac:dyDescent="0.25">
      <c r="A4" s="165" t="s">
        <v>1149</v>
      </c>
      <c r="B4" s="729" t="s">
        <v>1149</v>
      </c>
      <c r="C4" s="165" t="s">
        <v>1150</v>
      </c>
      <c r="E4" s="311" t="s">
        <v>663</v>
      </c>
    </row>
    <row r="5" spans="1:6" x14ac:dyDescent="0.25">
      <c r="A5" t="s">
        <v>939</v>
      </c>
      <c r="B5" s="729" t="s">
        <v>939</v>
      </c>
      <c r="C5" t="s">
        <v>1151</v>
      </c>
      <c r="E5" s="311" t="s">
        <v>664</v>
      </c>
      <c r="F5" s="171"/>
    </row>
    <row r="6" spans="1:6" x14ac:dyDescent="0.25">
      <c r="B6" s="729" t="s">
        <v>1152</v>
      </c>
      <c r="C6" t="s">
        <v>1155</v>
      </c>
      <c r="E6" s="312" t="s">
        <v>665</v>
      </c>
      <c r="F6" s="171"/>
    </row>
    <row r="7" spans="1:6" x14ac:dyDescent="0.25">
      <c r="B7" s="729" t="s">
        <v>1153</v>
      </c>
      <c r="C7" t="s">
        <v>1156</v>
      </c>
      <c r="E7" s="312" t="s">
        <v>666</v>
      </c>
      <c r="F7" s="171"/>
    </row>
    <row r="8" spans="1:6" x14ac:dyDescent="0.25">
      <c r="B8" s="729" t="s">
        <v>1154</v>
      </c>
      <c r="C8" t="s">
        <v>1157</v>
      </c>
      <c r="E8" s="171"/>
      <c r="F8" s="171"/>
    </row>
    <row r="9" spans="1:6" x14ac:dyDescent="0.25">
      <c r="A9" t="s">
        <v>1158</v>
      </c>
      <c r="B9" s="729" t="s">
        <v>1158</v>
      </c>
      <c r="C9" t="s">
        <v>1159</v>
      </c>
      <c r="E9" s="171" t="s">
        <v>667</v>
      </c>
      <c r="F9" s="171" t="s">
        <v>668</v>
      </c>
    </row>
    <row r="10" spans="1:6" x14ac:dyDescent="0.25">
      <c r="B10" s="729" t="s">
        <v>1160</v>
      </c>
      <c r="C10" t="s">
        <v>1163</v>
      </c>
      <c r="E10" s="734"/>
      <c r="F10" s="171" t="s">
        <v>669</v>
      </c>
    </row>
    <row r="11" spans="1:6" x14ac:dyDescent="0.25">
      <c r="B11" s="729" t="s">
        <v>1161</v>
      </c>
      <c r="C11" t="s">
        <v>1164</v>
      </c>
      <c r="E11" s="735"/>
      <c r="F11" s="171" t="s">
        <v>670</v>
      </c>
    </row>
    <row r="12" spans="1:6" x14ac:dyDescent="0.25">
      <c r="B12" s="729" t="s">
        <v>1162</v>
      </c>
      <c r="C12" t="s">
        <v>1165</v>
      </c>
      <c r="E12" s="736"/>
      <c r="F12" s="171" t="s">
        <v>671</v>
      </c>
    </row>
    <row r="13" spans="1:6" x14ac:dyDescent="0.25">
      <c r="A13" t="s">
        <v>1170</v>
      </c>
      <c r="B13" t="s">
        <v>1166</v>
      </c>
      <c r="C13" s="171" t="s">
        <v>1169</v>
      </c>
      <c r="E13" s="737"/>
      <c r="F13" s="171"/>
    </row>
    <row r="14" spans="1:6" x14ac:dyDescent="0.25">
      <c r="B14" t="s">
        <v>1167</v>
      </c>
      <c r="C14" t="s">
        <v>1168</v>
      </c>
      <c r="E14" s="171"/>
      <c r="F14" s="171"/>
    </row>
    <row r="15" spans="1:6" x14ac:dyDescent="0.25">
      <c r="A15" s="171" t="s">
        <v>1198</v>
      </c>
      <c r="B15" s="171" t="s">
        <v>1199</v>
      </c>
      <c r="C15" s="171"/>
      <c r="D15" s="171"/>
      <c r="E15" s="171" t="s">
        <v>672</v>
      </c>
      <c r="F15" s="171" t="s">
        <v>673</v>
      </c>
    </row>
    <row r="16" spans="1:6" x14ac:dyDescent="0.25">
      <c r="A16" t="s">
        <v>1171</v>
      </c>
      <c r="B16" t="s">
        <v>1172</v>
      </c>
      <c r="E16" s="314"/>
      <c r="F16" s="171" t="s">
        <v>674</v>
      </c>
    </row>
    <row r="17" spans="1:6" x14ac:dyDescent="0.25">
      <c r="B17" t="s">
        <v>1173</v>
      </c>
      <c r="E17" s="315"/>
      <c r="F17" s="171" t="s">
        <v>675</v>
      </c>
    </row>
    <row r="18" spans="1:6" x14ac:dyDescent="0.25">
      <c r="B18" t="s">
        <v>1174</v>
      </c>
      <c r="E18" s="316"/>
      <c r="F18" s="171" t="s">
        <v>676</v>
      </c>
    </row>
    <row r="19" spans="1:6" x14ac:dyDescent="0.25">
      <c r="B19" t="s">
        <v>1175</v>
      </c>
      <c r="E19" s="317"/>
      <c r="F19" s="171" t="s">
        <v>677</v>
      </c>
    </row>
    <row r="20" spans="1:6" x14ac:dyDescent="0.25">
      <c r="B20" t="s">
        <v>563</v>
      </c>
      <c r="E20" s="318"/>
      <c r="F20" s="171" t="s">
        <v>678</v>
      </c>
    </row>
    <row r="21" spans="1:6" x14ac:dyDescent="0.25">
      <c r="B21" t="s">
        <v>1176</v>
      </c>
      <c r="E21" s="319"/>
    </row>
    <row r="22" spans="1:6" x14ac:dyDescent="0.25">
      <c r="B22" t="s">
        <v>1177</v>
      </c>
    </row>
    <row r="23" spans="1:6" x14ac:dyDescent="0.25">
      <c r="B23" t="s">
        <v>1178</v>
      </c>
    </row>
    <row r="24" spans="1:6" x14ac:dyDescent="0.25">
      <c r="B24" t="s">
        <v>1179</v>
      </c>
    </row>
    <row r="25" spans="1:6" x14ac:dyDescent="0.25">
      <c r="B25" t="s">
        <v>1180</v>
      </c>
    </row>
    <row r="26" spans="1:6" s="171" customFormat="1" x14ac:dyDescent="0.25">
      <c r="A26"/>
      <c r="B26" t="s">
        <v>629</v>
      </c>
      <c r="C26"/>
      <c r="D26"/>
      <c r="E26"/>
    </row>
    <row r="27" spans="1:6" x14ac:dyDescent="0.25">
      <c r="A27" s="171"/>
      <c r="B27" s="171" t="s">
        <v>1181</v>
      </c>
      <c r="C27" s="171"/>
      <c r="D27" s="171"/>
      <c r="E27" s="171"/>
    </row>
    <row r="28" spans="1:6" x14ac:dyDescent="0.25">
      <c r="A28" s="171"/>
      <c r="B28" s="171" t="s">
        <v>1182</v>
      </c>
      <c r="C28" s="171"/>
    </row>
    <row r="29" spans="1:6" x14ac:dyDescent="0.25">
      <c r="B29" t="s">
        <v>1183</v>
      </c>
      <c r="C29" s="171"/>
    </row>
    <row r="30" spans="1:6" x14ac:dyDescent="0.25">
      <c r="B30" t="s">
        <v>1184</v>
      </c>
      <c r="C30" s="171"/>
    </row>
    <row r="31" spans="1:6" ht="15.75" customHeight="1" x14ac:dyDescent="0.25">
      <c r="B31" t="s">
        <v>1185</v>
      </c>
      <c r="C31" s="171"/>
    </row>
    <row r="32" spans="1:6" x14ac:dyDescent="0.25">
      <c r="B32" t="s">
        <v>1186</v>
      </c>
      <c r="C32" s="171"/>
    </row>
    <row r="33" spans="1:4" ht="15.75" customHeight="1" x14ac:dyDescent="0.25">
      <c r="B33" t="s">
        <v>1187</v>
      </c>
      <c r="C33" s="171"/>
    </row>
    <row r="34" spans="1:4" s="171" customFormat="1" x14ac:dyDescent="0.25">
      <c r="A34"/>
      <c r="B34" t="s">
        <v>1136</v>
      </c>
      <c r="D34"/>
    </row>
    <row r="35" spans="1:4" x14ac:dyDescent="0.25">
      <c r="A35" s="171"/>
      <c r="B35" s="171" t="s">
        <v>1189</v>
      </c>
      <c r="C35" s="171"/>
      <c r="D35" s="171"/>
    </row>
    <row r="36" spans="1:4" ht="15.75" customHeight="1" x14ac:dyDescent="0.25">
      <c r="B36" t="s">
        <v>1188</v>
      </c>
      <c r="C36" s="171"/>
    </row>
    <row r="37" spans="1:4" x14ac:dyDescent="0.25">
      <c r="B37" t="s">
        <v>1190</v>
      </c>
      <c r="C37" s="171"/>
    </row>
    <row r="38" spans="1:4" ht="15.75" customHeight="1" x14ac:dyDescent="0.25">
      <c r="B38" t="s">
        <v>1191</v>
      </c>
      <c r="C38" s="171"/>
    </row>
    <row r="39" spans="1:4" x14ac:dyDescent="0.25">
      <c r="B39" t="s">
        <v>1192</v>
      </c>
      <c r="C39" s="171"/>
    </row>
    <row r="40" spans="1:4" x14ac:dyDescent="0.25">
      <c r="C40" s="171"/>
    </row>
    <row r="41" spans="1:4" ht="15.75" customHeight="1" x14ac:dyDescent="0.25">
      <c r="C41" s="171"/>
    </row>
    <row r="42" spans="1:4" x14ac:dyDescent="0.25">
      <c r="C42" s="171"/>
    </row>
    <row r="43" spans="1:4" x14ac:dyDescent="0.25">
      <c r="C43" s="171"/>
    </row>
    <row r="44" spans="1:4" x14ac:dyDescent="0.25">
      <c r="C44" s="171"/>
    </row>
    <row r="45" spans="1:4" x14ac:dyDescent="0.25">
      <c r="C45" s="171"/>
    </row>
    <row r="46" spans="1:4" x14ac:dyDescent="0.25">
      <c r="C46" s="171"/>
    </row>
    <row r="47" spans="1:4" x14ac:dyDescent="0.25">
      <c r="C47" s="171"/>
    </row>
    <row r="48" spans="1:4" x14ac:dyDescent="0.25">
      <c r="C48" s="171"/>
    </row>
    <row r="49" spans="1:3" x14ac:dyDescent="0.25">
      <c r="C49" s="171"/>
    </row>
    <row r="50" spans="1:3" x14ac:dyDescent="0.25">
      <c r="A50" s="171"/>
      <c r="B50" s="171"/>
      <c r="C50" s="171"/>
    </row>
    <row r="51" spans="1:3" x14ac:dyDescent="0.25">
      <c r="A51" s="171"/>
      <c r="B51" s="171"/>
      <c r="C51" s="171"/>
    </row>
    <row r="52" spans="1:3" x14ac:dyDescent="0.25">
      <c r="A52" s="171"/>
      <c r="B52" s="171"/>
      <c r="C52" s="17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9"/>
  <dimension ref="A1:K60"/>
  <sheetViews>
    <sheetView workbookViewId="0">
      <selection activeCell="H7" sqref="H7"/>
    </sheetView>
  </sheetViews>
  <sheetFormatPr defaultColWidth="9.140625" defaultRowHeight="15" x14ac:dyDescent="0.25"/>
  <cols>
    <col min="1" max="1" width="13.140625" style="1" bestFit="1" customWidth="1"/>
    <col min="2" max="16384" width="9.140625" style="1"/>
  </cols>
  <sheetData>
    <row r="1" spans="1:11" x14ac:dyDescent="0.25">
      <c r="A1" s="749"/>
      <c r="B1" s="1267"/>
    </row>
    <row r="3" spans="1:11" x14ac:dyDescent="0.25">
      <c r="B3" s="1267"/>
    </row>
    <row r="5" spans="1:11" x14ac:dyDescent="0.25">
      <c r="B5" s="1267"/>
    </row>
    <row r="6" spans="1:11" x14ac:dyDescent="0.25">
      <c r="B6" s="1268"/>
    </row>
    <row r="7" spans="1:11" x14ac:dyDescent="0.25">
      <c r="B7" s="1269"/>
    </row>
    <row r="8" spans="1:11" x14ac:dyDescent="0.25">
      <c r="B8" s="1269"/>
    </row>
    <row r="9" spans="1:11" x14ac:dyDescent="0.25">
      <c r="A9" s="749"/>
    </row>
    <row r="10" spans="1:11" x14ac:dyDescent="0.25">
      <c r="B10" s="1270"/>
    </row>
    <row r="12" spans="1:11" x14ac:dyDescent="0.25">
      <c r="B12" s="1271"/>
    </row>
    <row r="13" spans="1:11" x14ac:dyDescent="0.25">
      <c r="B13" s="1271"/>
    </row>
    <row r="14" spans="1:11" x14ac:dyDescent="0.25">
      <c r="B14" s="1271"/>
    </row>
    <row r="15" spans="1:11" ht="21" x14ac:dyDescent="0.35">
      <c r="B15" s="1271"/>
      <c r="C15" s="1272"/>
      <c r="K15" s="1278" t="s">
        <v>1727</v>
      </c>
    </row>
    <row r="16" spans="1:11" x14ac:dyDescent="0.25">
      <c r="B16" s="1267"/>
    </row>
    <row r="17" spans="1:2" x14ac:dyDescent="0.25">
      <c r="B17" s="1267"/>
    </row>
    <row r="18" spans="1:2" x14ac:dyDescent="0.25">
      <c r="B18" s="1267"/>
    </row>
    <row r="19" spans="1:2" x14ac:dyDescent="0.25">
      <c r="B19" s="1267"/>
    </row>
    <row r="20" spans="1:2" x14ac:dyDescent="0.25">
      <c r="B20" s="1267"/>
    </row>
    <row r="21" spans="1:2" x14ac:dyDescent="0.25">
      <c r="B21" s="1271"/>
    </row>
    <row r="22" spans="1:2" x14ac:dyDescent="0.25">
      <c r="B22" s="1273"/>
    </row>
    <row r="23" spans="1:2" x14ac:dyDescent="0.25">
      <c r="B23" s="1274"/>
    </row>
    <row r="24" spans="1:2" x14ac:dyDescent="0.25">
      <c r="B24" s="1274"/>
    </row>
    <row r="25" spans="1:2" x14ac:dyDescent="0.25">
      <c r="B25" s="1274"/>
    </row>
    <row r="26" spans="1:2" x14ac:dyDescent="0.25">
      <c r="A26" s="749"/>
    </row>
    <row r="28" spans="1:2" x14ac:dyDescent="0.25">
      <c r="B28" s="1270"/>
    </row>
    <row r="29" spans="1:2" x14ac:dyDescent="0.25">
      <c r="B29" s="1275"/>
    </row>
    <row r="30" spans="1:2" x14ac:dyDescent="0.25">
      <c r="B30" s="1276"/>
    </row>
    <row r="31" spans="1:2" x14ac:dyDescent="0.25">
      <c r="B31" s="1275"/>
    </row>
    <row r="32" spans="1:2" x14ac:dyDescent="0.25">
      <c r="A32" s="749"/>
    </row>
    <row r="33" spans="1:2" x14ac:dyDescent="0.25">
      <c r="A33" s="749"/>
    </row>
    <row r="34" spans="1:2" x14ac:dyDescent="0.25">
      <c r="A34" s="749"/>
      <c r="B34" s="1267"/>
    </row>
    <row r="35" spans="1:2" x14ac:dyDescent="0.25">
      <c r="A35" s="749"/>
      <c r="B35" s="1267"/>
    </row>
    <row r="36" spans="1:2" x14ac:dyDescent="0.25">
      <c r="A36" s="749"/>
    </row>
    <row r="37" spans="1:2" x14ac:dyDescent="0.25">
      <c r="B37" s="1270"/>
    </row>
    <row r="38" spans="1:2" x14ac:dyDescent="0.25">
      <c r="B38" s="1270"/>
    </row>
    <row r="39" spans="1:2" x14ac:dyDescent="0.25">
      <c r="B39" s="1270"/>
    </row>
    <row r="40" spans="1:2" x14ac:dyDescent="0.25">
      <c r="B40" s="1270"/>
    </row>
    <row r="41" spans="1:2" x14ac:dyDescent="0.25">
      <c r="B41" s="1270"/>
    </row>
    <row r="42" spans="1:2" x14ac:dyDescent="0.25">
      <c r="B42" s="1270"/>
    </row>
    <row r="43" spans="1:2" x14ac:dyDescent="0.25">
      <c r="B43" s="1270"/>
    </row>
    <row r="44" spans="1:2" x14ac:dyDescent="0.25">
      <c r="A44" s="749"/>
      <c r="B44" s="1277"/>
    </row>
    <row r="45" spans="1:2" x14ac:dyDescent="0.25">
      <c r="A45" s="749"/>
      <c r="B45" s="1277"/>
    </row>
    <row r="46" spans="1:2" x14ac:dyDescent="0.25">
      <c r="B46" s="1277"/>
    </row>
    <row r="47" spans="1:2" x14ac:dyDescent="0.25">
      <c r="B47" s="1275"/>
    </row>
    <row r="48" spans="1:2" x14ac:dyDescent="0.25">
      <c r="B48" s="1271"/>
    </row>
    <row r="49" spans="1:2" x14ac:dyDescent="0.25">
      <c r="B49" s="1267"/>
    </row>
    <row r="50" spans="1:2" x14ac:dyDescent="0.25">
      <c r="B50" s="1267"/>
    </row>
    <row r="51" spans="1:2" x14ac:dyDescent="0.25">
      <c r="B51" s="1267"/>
    </row>
    <row r="52" spans="1:2" x14ac:dyDescent="0.25">
      <c r="A52" s="749"/>
      <c r="B52" s="1269"/>
    </row>
    <row r="53" spans="1:2" x14ac:dyDescent="0.25">
      <c r="B53" s="1267"/>
    </row>
    <row r="54" spans="1:2" x14ac:dyDescent="0.25">
      <c r="B54" s="1267"/>
    </row>
    <row r="55" spans="1:2" x14ac:dyDescent="0.25">
      <c r="B55" s="1267"/>
    </row>
    <row r="56" spans="1:2" x14ac:dyDescent="0.25">
      <c r="B56" s="1275"/>
    </row>
    <row r="57" spans="1:2" ht="13.5" customHeight="1" x14ac:dyDescent="0.25"/>
    <row r="58" spans="1:2" ht="13.5" customHeight="1" x14ac:dyDescent="0.25">
      <c r="B58" s="1276"/>
    </row>
    <row r="59" spans="1:2" ht="13.5" customHeight="1" x14ac:dyDescent="0.25">
      <c r="B59" s="1275"/>
    </row>
    <row r="60" spans="1:2" ht="13.5" customHeight="1" x14ac:dyDescent="0.25"/>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tabColor rgb="FF0070C0"/>
  </sheetPr>
  <dimension ref="B2:BE300"/>
  <sheetViews>
    <sheetView showGridLines="0" zoomScale="70" zoomScaleNormal="70" workbookViewId="0">
      <selection activeCell="H86" sqref="H86"/>
    </sheetView>
  </sheetViews>
  <sheetFormatPr defaultColWidth="8.85546875" defaultRowHeight="15" x14ac:dyDescent="0.25"/>
  <cols>
    <col min="1" max="1" width="3.5703125" style="171" customWidth="1"/>
    <col min="2" max="2" width="2.85546875" style="171" customWidth="1"/>
    <col min="3" max="3" width="66.42578125" style="171" customWidth="1"/>
    <col min="4" max="4" width="13.85546875" style="171" customWidth="1"/>
    <col min="5" max="5" width="9.5703125" style="171" bestFit="1" customWidth="1"/>
    <col min="6" max="6" width="12.28515625" style="171" customWidth="1"/>
    <col min="7" max="7" width="11" style="171" customWidth="1"/>
    <col min="8" max="8" width="21.5703125" style="171" customWidth="1"/>
    <col min="9" max="9" width="4" style="171" customWidth="1"/>
    <col min="10" max="10" width="9.5703125" style="171" bestFit="1" customWidth="1"/>
    <col min="11" max="13" width="6.7109375" style="171" customWidth="1"/>
    <col min="14" max="14" width="7.7109375" style="171" bestFit="1" customWidth="1"/>
    <col min="15" max="42" width="6.7109375" style="171" customWidth="1"/>
    <col min="43" max="16384" width="8.85546875" style="171"/>
  </cols>
  <sheetData>
    <row r="2" spans="2:57" ht="21" x14ac:dyDescent="0.35">
      <c r="C2" s="320"/>
      <c r="F2" s="171" t="s">
        <v>667</v>
      </c>
    </row>
    <row r="3" spans="2:57" x14ac:dyDescent="0.25">
      <c r="F3" s="310"/>
      <c r="G3" s="171" t="s">
        <v>679</v>
      </c>
      <c r="J3" s="315"/>
      <c r="K3" s="171" t="s">
        <v>701</v>
      </c>
      <c r="P3" s="317"/>
      <c r="Q3" s="171" t="s">
        <v>676</v>
      </c>
    </row>
    <row r="4" spans="2:57" x14ac:dyDescent="0.25">
      <c r="F4" s="313"/>
      <c r="G4" s="171" t="s">
        <v>669</v>
      </c>
      <c r="J4" s="314"/>
      <c r="K4" s="171" t="s">
        <v>673</v>
      </c>
      <c r="P4" s="316"/>
      <c r="Q4" s="171" t="s">
        <v>702</v>
      </c>
    </row>
    <row r="6" spans="2:57" ht="23.25" x14ac:dyDescent="0.35">
      <c r="C6" s="722" t="s">
        <v>1717</v>
      </c>
      <c r="D6" s="171" t="s">
        <v>1412</v>
      </c>
    </row>
    <row r="7" spans="2:57" ht="15.75" thickBot="1" x14ac:dyDescent="0.3">
      <c r="F7" s="321"/>
      <c r="J7" s="171" t="s">
        <v>680</v>
      </c>
    </row>
    <row r="8" spans="2:57" ht="16.5" thickTop="1" thickBot="1" x14ac:dyDescent="0.3">
      <c r="C8" s="322" t="s">
        <v>681</v>
      </c>
      <c r="D8" s="322" t="s">
        <v>682</v>
      </c>
      <c r="E8" s="322" t="s">
        <v>683</v>
      </c>
      <c r="F8" s="322" t="s">
        <v>684</v>
      </c>
      <c r="G8" s="322" t="s">
        <v>685</v>
      </c>
      <c r="H8" s="322" t="s">
        <v>686</v>
      </c>
      <c r="J8" s="171">
        <f>F9</f>
        <v>2018</v>
      </c>
      <c r="K8" s="171">
        <f>J8+1</f>
        <v>2019</v>
      </c>
      <c r="L8" s="171">
        <f t="shared" ref="L8:AP8" si="0">K8+1</f>
        <v>2020</v>
      </c>
      <c r="M8" s="171">
        <f t="shared" si="0"/>
        <v>2021</v>
      </c>
      <c r="N8" s="171">
        <f t="shared" si="0"/>
        <v>2022</v>
      </c>
      <c r="O8" s="171">
        <f t="shared" si="0"/>
        <v>2023</v>
      </c>
      <c r="P8" s="171">
        <f t="shared" si="0"/>
        <v>2024</v>
      </c>
      <c r="Q8" s="171">
        <f t="shared" si="0"/>
        <v>2025</v>
      </c>
      <c r="R8" s="171">
        <f t="shared" si="0"/>
        <v>2026</v>
      </c>
      <c r="S8" s="171">
        <f t="shared" si="0"/>
        <v>2027</v>
      </c>
      <c r="T8" s="171">
        <f t="shared" si="0"/>
        <v>2028</v>
      </c>
      <c r="U8" s="171">
        <f t="shared" si="0"/>
        <v>2029</v>
      </c>
      <c r="V8" s="171">
        <f t="shared" si="0"/>
        <v>2030</v>
      </c>
      <c r="W8" s="171">
        <f t="shared" si="0"/>
        <v>2031</v>
      </c>
      <c r="X8" s="171">
        <f t="shared" si="0"/>
        <v>2032</v>
      </c>
      <c r="Y8" s="171">
        <f t="shared" si="0"/>
        <v>2033</v>
      </c>
      <c r="Z8" s="171">
        <f t="shared" si="0"/>
        <v>2034</v>
      </c>
      <c r="AA8" s="171">
        <f t="shared" si="0"/>
        <v>2035</v>
      </c>
      <c r="AB8" s="171">
        <f t="shared" si="0"/>
        <v>2036</v>
      </c>
      <c r="AC8" s="171">
        <f t="shared" si="0"/>
        <v>2037</v>
      </c>
      <c r="AD8" s="171">
        <f t="shared" si="0"/>
        <v>2038</v>
      </c>
      <c r="AE8" s="171">
        <f t="shared" si="0"/>
        <v>2039</v>
      </c>
      <c r="AF8" s="171">
        <f t="shared" si="0"/>
        <v>2040</v>
      </c>
      <c r="AG8" s="171">
        <f t="shared" si="0"/>
        <v>2041</v>
      </c>
      <c r="AH8" s="171">
        <f t="shared" si="0"/>
        <v>2042</v>
      </c>
      <c r="AI8" s="171">
        <f t="shared" si="0"/>
        <v>2043</v>
      </c>
      <c r="AJ8" s="171">
        <f t="shared" si="0"/>
        <v>2044</v>
      </c>
      <c r="AK8" s="171">
        <f t="shared" si="0"/>
        <v>2045</v>
      </c>
      <c r="AL8" s="171">
        <f t="shared" si="0"/>
        <v>2046</v>
      </c>
      <c r="AM8" s="171">
        <f t="shared" si="0"/>
        <v>2047</v>
      </c>
      <c r="AN8" s="171">
        <f t="shared" si="0"/>
        <v>2048</v>
      </c>
      <c r="AO8" s="171">
        <f t="shared" si="0"/>
        <v>2049</v>
      </c>
      <c r="AP8" s="171">
        <f t="shared" si="0"/>
        <v>2050</v>
      </c>
      <c r="AQ8" s="171">
        <f t="shared" ref="AQ8" si="1">AP8+1</f>
        <v>2051</v>
      </c>
      <c r="AR8" s="171">
        <f t="shared" ref="AR8" si="2">AQ8+1</f>
        <v>2052</v>
      </c>
      <c r="AS8" s="171">
        <f t="shared" ref="AS8" si="3">AR8+1</f>
        <v>2053</v>
      </c>
      <c r="AT8" s="171">
        <f t="shared" ref="AT8" si="4">AS8+1</f>
        <v>2054</v>
      </c>
      <c r="AU8" s="171">
        <f t="shared" ref="AU8" si="5">AT8+1</f>
        <v>2055</v>
      </c>
      <c r="AV8" s="171">
        <f t="shared" ref="AV8" si="6">AU8+1</f>
        <v>2056</v>
      </c>
      <c r="AW8" s="171">
        <f t="shared" ref="AW8" si="7">AV8+1</f>
        <v>2057</v>
      </c>
      <c r="AX8" s="171">
        <f t="shared" ref="AX8" si="8">AW8+1</f>
        <v>2058</v>
      </c>
      <c r="AY8" s="171">
        <f t="shared" ref="AY8" si="9">AX8+1</f>
        <v>2059</v>
      </c>
      <c r="AZ8" s="171">
        <f t="shared" ref="AZ8" si="10">AY8+1</f>
        <v>2060</v>
      </c>
      <c r="BA8" s="171">
        <f t="shared" ref="BA8" si="11">AZ8+1</f>
        <v>2061</v>
      </c>
      <c r="BB8" s="171">
        <f t="shared" ref="BB8" si="12">BA8+1</f>
        <v>2062</v>
      </c>
      <c r="BC8" s="171">
        <f t="shared" ref="BC8" si="13">BB8+1</f>
        <v>2063</v>
      </c>
      <c r="BD8" s="171">
        <f t="shared" ref="BD8" si="14">BC8+1</f>
        <v>2064</v>
      </c>
      <c r="BE8" s="171">
        <f t="shared" ref="BE8" si="15">BD8+1</f>
        <v>2065</v>
      </c>
    </row>
    <row r="9" spans="2:57" ht="15.75" thickTop="1" x14ac:dyDescent="0.25">
      <c r="C9" s="171" t="s">
        <v>687</v>
      </c>
      <c r="D9" s="310" t="s">
        <v>688</v>
      </c>
      <c r="E9" s="310">
        <v>1</v>
      </c>
      <c r="F9" s="310">
        <v>2018</v>
      </c>
      <c r="G9" s="310">
        <v>2023</v>
      </c>
      <c r="H9" s="313">
        <f t="shared" ref="H9:H22" si="16">G9-F9</f>
        <v>5</v>
      </c>
      <c r="J9" s="323">
        <f t="shared" ref="J9:Y22" si="17">IF(AND(J$8&gt;=$F9,J$8&lt;$G9),1," ")</f>
        <v>1</v>
      </c>
      <c r="K9" s="323">
        <f t="shared" si="17"/>
        <v>1</v>
      </c>
      <c r="L9" s="323">
        <f t="shared" si="17"/>
        <v>1</v>
      </c>
      <c r="M9" s="323">
        <f t="shared" si="17"/>
        <v>1</v>
      </c>
      <c r="N9" s="323">
        <f t="shared" si="17"/>
        <v>1</v>
      </c>
      <c r="O9" s="323" t="str">
        <f t="shared" si="17"/>
        <v xml:space="preserve"> </v>
      </c>
      <c r="P9" s="323" t="str">
        <f t="shared" si="17"/>
        <v xml:space="preserve"> </v>
      </c>
      <c r="Q9" s="323" t="str">
        <f t="shared" si="17"/>
        <v xml:space="preserve"> </v>
      </c>
      <c r="R9" s="323" t="str">
        <f t="shared" si="17"/>
        <v xml:space="preserve"> </v>
      </c>
      <c r="S9" s="323" t="str">
        <f t="shared" si="17"/>
        <v xml:space="preserve"> </v>
      </c>
      <c r="T9" s="323" t="str">
        <f t="shared" si="17"/>
        <v xml:space="preserve"> </v>
      </c>
      <c r="U9" s="323" t="str">
        <f t="shared" si="17"/>
        <v xml:space="preserve"> </v>
      </c>
      <c r="V9" s="323" t="str">
        <f t="shared" si="17"/>
        <v xml:space="preserve"> </v>
      </c>
      <c r="W9" s="323" t="str">
        <f t="shared" si="17"/>
        <v xml:space="preserve"> </v>
      </c>
      <c r="X9" s="323" t="str">
        <f t="shared" si="17"/>
        <v xml:space="preserve"> </v>
      </c>
      <c r="Y9" s="323" t="str">
        <f t="shared" si="17"/>
        <v xml:space="preserve"> </v>
      </c>
      <c r="Z9" s="323" t="str">
        <f t="shared" ref="Z9:AO22" si="18">IF(AND(Z$8&gt;=$F9,Z$8&lt;$G9),1," ")</f>
        <v xml:space="preserve"> </v>
      </c>
      <c r="AA9" s="323" t="str">
        <f t="shared" si="18"/>
        <v xml:space="preserve"> </v>
      </c>
      <c r="AB9" s="323" t="str">
        <f t="shared" si="18"/>
        <v xml:space="preserve"> </v>
      </c>
      <c r="AC9" s="323" t="str">
        <f t="shared" si="18"/>
        <v xml:space="preserve"> </v>
      </c>
      <c r="AD9" s="323" t="str">
        <f t="shared" si="18"/>
        <v xml:space="preserve"> </v>
      </c>
      <c r="AE9" s="323" t="str">
        <f t="shared" si="18"/>
        <v xml:space="preserve"> </v>
      </c>
      <c r="AF9" s="323" t="str">
        <f t="shared" si="18"/>
        <v xml:space="preserve"> </v>
      </c>
      <c r="AG9" s="323" t="str">
        <f t="shared" si="18"/>
        <v xml:space="preserve"> </v>
      </c>
      <c r="AH9" s="323" t="str">
        <f t="shared" si="18"/>
        <v xml:space="preserve"> </v>
      </c>
      <c r="AI9" s="323" t="str">
        <f t="shared" si="18"/>
        <v xml:space="preserve"> </v>
      </c>
      <c r="AJ9" s="323" t="str">
        <f t="shared" si="18"/>
        <v xml:space="preserve"> </v>
      </c>
      <c r="AK9" s="323" t="str">
        <f t="shared" si="18"/>
        <v xml:space="preserve"> </v>
      </c>
      <c r="AL9" s="323" t="str">
        <f t="shared" si="18"/>
        <v xml:space="preserve"> </v>
      </c>
      <c r="AM9" s="323" t="str">
        <f t="shared" si="18"/>
        <v xml:space="preserve"> </v>
      </c>
      <c r="AN9" s="323" t="str">
        <f t="shared" si="18"/>
        <v xml:space="preserve"> </v>
      </c>
      <c r="AO9" s="323" t="str">
        <f t="shared" si="18"/>
        <v xml:space="preserve"> </v>
      </c>
      <c r="AP9" s="323" t="str">
        <f t="shared" ref="AP9:BE22" si="19">IF(AND(AP$8&gt;=$F9,AP$8&lt;$G9),1," ")</f>
        <v xml:space="preserve"> </v>
      </c>
      <c r="AQ9" s="323" t="str">
        <f t="shared" si="19"/>
        <v xml:space="preserve"> </v>
      </c>
      <c r="AR9" s="323" t="str">
        <f t="shared" si="19"/>
        <v xml:space="preserve"> </v>
      </c>
      <c r="AS9" s="323" t="str">
        <f t="shared" si="19"/>
        <v xml:space="preserve"> </v>
      </c>
      <c r="AT9" s="323" t="str">
        <f t="shared" si="19"/>
        <v xml:space="preserve"> </v>
      </c>
      <c r="AU9" s="323" t="str">
        <f t="shared" si="19"/>
        <v xml:space="preserve"> </v>
      </c>
      <c r="AV9" s="323" t="str">
        <f t="shared" si="19"/>
        <v xml:space="preserve"> </v>
      </c>
      <c r="AW9" s="323" t="str">
        <f t="shared" si="19"/>
        <v xml:space="preserve"> </v>
      </c>
      <c r="AX9" s="323" t="str">
        <f t="shared" si="19"/>
        <v xml:space="preserve"> </v>
      </c>
      <c r="AY9" s="323" t="str">
        <f t="shared" si="19"/>
        <v xml:space="preserve"> </v>
      </c>
      <c r="AZ9" s="323" t="str">
        <f t="shared" si="19"/>
        <v xml:space="preserve"> </v>
      </c>
      <c r="BA9" s="323" t="str">
        <f t="shared" si="19"/>
        <v xml:space="preserve"> </v>
      </c>
      <c r="BB9" s="323" t="str">
        <f t="shared" si="19"/>
        <v xml:space="preserve"> </v>
      </c>
      <c r="BC9" s="323" t="str">
        <f t="shared" si="19"/>
        <v xml:space="preserve"> </v>
      </c>
      <c r="BD9" s="323" t="str">
        <f t="shared" si="19"/>
        <v xml:space="preserve"> </v>
      </c>
      <c r="BE9" s="323" t="str">
        <f t="shared" si="19"/>
        <v xml:space="preserve"> </v>
      </c>
    </row>
    <row r="10" spans="2:57" x14ac:dyDescent="0.25">
      <c r="B10" s="314"/>
      <c r="C10" s="171" t="s">
        <v>689</v>
      </c>
      <c r="D10" s="310" t="s">
        <v>688</v>
      </c>
      <c r="E10" s="310">
        <v>2</v>
      </c>
      <c r="F10" s="325">
        <v>2020</v>
      </c>
      <c r="G10" s="310">
        <v>2023</v>
      </c>
      <c r="H10" s="313">
        <f t="shared" si="16"/>
        <v>3</v>
      </c>
      <c r="J10" s="323" t="str">
        <f t="shared" si="17"/>
        <v xml:space="preserve"> </v>
      </c>
      <c r="K10" s="323" t="str">
        <f t="shared" si="17"/>
        <v xml:space="preserve"> </v>
      </c>
      <c r="L10" s="323">
        <f t="shared" si="17"/>
        <v>1</v>
      </c>
      <c r="M10" s="323">
        <f t="shared" si="17"/>
        <v>1</v>
      </c>
      <c r="N10" s="323">
        <f t="shared" si="17"/>
        <v>1</v>
      </c>
      <c r="O10" s="323" t="str">
        <f t="shared" si="17"/>
        <v xml:space="preserve"> </v>
      </c>
      <c r="P10" s="323" t="str">
        <f t="shared" si="17"/>
        <v xml:space="preserve"> </v>
      </c>
      <c r="Q10" s="323" t="str">
        <f t="shared" si="17"/>
        <v xml:space="preserve"> </v>
      </c>
      <c r="R10" s="323" t="str">
        <f t="shared" si="17"/>
        <v xml:space="preserve"> </v>
      </c>
      <c r="S10" s="323" t="str">
        <f t="shared" si="17"/>
        <v xml:space="preserve"> </v>
      </c>
      <c r="T10" s="323" t="str">
        <f t="shared" si="17"/>
        <v xml:space="preserve"> </v>
      </c>
      <c r="U10" s="323" t="str">
        <f t="shared" si="17"/>
        <v xml:space="preserve"> </v>
      </c>
      <c r="V10" s="323" t="str">
        <f t="shared" si="17"/>
        <v xml:space="preserve"> </v>
      </c>
      <c r="W10" s="323" t="str">
        <f t="shared" si="17"/>
        <v xml:space="preserve"> </v>
      </c>
      <c r="X10" s="323" t="str">
        <f t="shared" si="17"/>
        <v xml:space="preserve"> </v>
      </c>
      <c r="Y10" s="323" t="str">
        <f t="shared" si="17"/>
        <v xml:space="preserve"> </v>
      </c>
      <c r="Z10" s="323" t="str">
        <f t="shared" si="18"/>
        <v xml:space="preserve"> </v>
      </c>
      <c r="AA10" s="323" t="str">
        <f t="shared" si="18"/>
        <v xml:space="preserve"> </v>
      </c>
      <c r="AB10" s="323" t="str">
        <f t="shared" si="18"/>
        <v xml:space="preserve"> </v>
      </c>
      <c r="AC10" s="323" t="str">
        <f t="shared" si="18"/>
        <v xml:space="preserve"> </v>
      </c>
      <c r="AD10" s="323" t="str">
        <f t="shared" si="18"/>
        <v xml:space="preserve"> </v>
      </c>
      <c r="AE10" s="323" t="str">
        <f t="shared" si="18"/>
        <v xml:space="preserve"> </v>
      </c>
      <c r="AF10" s="323" t="str">
        <f t="shared" si="18"/>
        <v xml:space="preserve"> </v>
      </c>
      <c r="AG10" s="323" t="str">
        <f t="shared" si="18"/>
        <v xml:space="preserve"> </v>
      </c>
      <c r="AH10" s="323" t="str">
        <f t="shared" si="18"/>
        <v xml:space="preserve"> </v>
      </c>
      <c r="AI10" s="323" t="str">
        <f t="shared" si="18"/>
        <v xml:space="preserve"> </v>
      </c>
      <c r="AJ10" s="323" t="str">
        <f t="shared" si="18"/>
        <v xml:space="preserve"> </v>
      </c>
      <c r="AK10" s="323" t="str">
        <f t="shared" si="18"/>
        <v xml:space="preserve"> </v>
      </c>
      <c r="AL10" s="323" t="str">
        <f t="shared" si="18"/>
        <v xml:space="preserve"> </v>
      </c>
      <c r="AM10" s="323" t="str">
        <f t="shared" si="18"/>
        <v xml:space="preserve"> </v>
      </c>
      <c r="AN10" s="323" t="str">
        <f t="shared" si="18"/>
        <v xml:space="preserve"> </v>
      </c>
      <c r="AO10" s="323" t="str">
        <f t="shared" si="18"/>
        <v xml:space="preserve"> </v>
      </c>
      <c r="AP10" s="323" t="str">
        <f t="shared" si="19"/>
        <v xml:space="preserve"> </v>
      </c>
      <c r="AQ10" s="323" t="str">
        <f t="shared" si="19"/>
        <v xml:space="preserve"> </v>
      </c>
      <c r="AR10" s="323" t="str">
        <f t="shared" si="19"/>
        <v xml:space="preserve"> </v>
      </c>
      <c r="AS10" s="323" t="str">
        <f t="shared" si="19"/>
        <v xml:space="preserve"> </v>
      </c>
      <c r="AT10" s="323" t="str">
        <f t="shared" si="19"/>
        <v xml:space="preserve"> </v>
      </c>
      <c r="AU10" s="323" t="str">
        <f t="shared" si="19"/>
        <v xml:space="preserve"> </v>
      </c>
      <c r="AV10" s="323" t="str">
        <f t="shared" si="19"/>
        <v xml:space="preserve"> </v>
      </c>
      <c r="AW10" s="323" t="str">
        <f t="shared" si="19"/>
        <v xml:space="preserve"> </v>
      </c>
      <c r="AX10" s="323" t="str">
        <f t="shared" si="19"/>
        <v xml:space="preserve"> </v>
      </c>
      <c r="AY10" s="323" t="str">
        <f t="shared" si="19"/>
        <v xml:space="preserve"> </v>
      </c>
      <c r="AZ10" s="323" t="str">
        <f t="shared" si="19"/>
        <v xml:space="preserve"> </v>
      </c>
      <c r="BA10" s="323" t="str">
        <f t="shared" si="19"/>
        <v xml:space="preserve"> </v>
      </c>
      <c r="BB10" s="323" t="str">
        <f t="shared" si="19"/>
        <v xml:space="preserve"> </v>
      </c>
      <c r="BC10" s="323" t="str">
        <f t="shared" si="19"/>
        <v xml:space="preserve"> </v>
      </c>
      <c r="BD10" s="323" t="str">
        <f t="shared" si="19"/>
        <v xml:space="preserve"> </v>
      </c>
      <c r="BE10" s="323" t="str">
        <f t="shared" si="19"/>
        <v xml:space="preserve"> </v>
      </c>
    </row>
    <row r="11" spans="2:57" x14ac:dyDescent="0.25">
      <c r="B11" s="314"/>
      <c r="C11" s="171" t="s">
        <v>673</v>
      </c>
      <c r="D11" s="310" t="s">
        <v>688</v>
      </c>
      <c r="E11" s="310">
        <v>3</v>
      </c>
      <c r="F11" s="313">
        <v>2023</v>
      </c>
      <c r="G11" s="310">
        <v>2035</v>
      </c>
      <c r="H11" s="313">
        <f t="shared" si="16"/>
        <v>12</v>
      </c>
      <c r="J11" s="323" t="str">
        <f t="shared" si="17"/>
        <v xml:space="preserve"> </v>
      </c>
      <c r="K11" s="323" t="str">
        <f t="shared" si="17"/>
        <v xml:space="preserve"> </v>
      </c>
      <c r="L11" s="323" t="str">
        <f t="shared" si="17"/>
        <v xml:space="preserve"> </v>
      </c>
      <c r="M11" s="323" t="str">
        <f t="shared" si="17"/>
        <v xml:space="preserve"> </v>
      </c>
      <c r="N11" s="323" t="str">
        <f t="shared" si="17"/>
        <v xml:space="preserve"> </v>
      </c>
      <c r="O11" s="323">
        <f t="shared" si="17"/>
        <v>1</v>
      </c>
      <c r="P11" s="323">
        <f t="shared" si="17"/>
        <v>1</v>
      </c>
      <c r="Q11" s="323">
        <f t="shared" si="17"/>
        <v>1</v>
      </c>
      <c r="R11" s="323">
        <f t="shared" si="17"/>
        <v>1</v>
      </c>
      <c r="S11" s="323">
        <f t="shared" si="17"/>
        <v>1</v>
      </c>
      <c r="T11" s="323">
        <f t="shared" si="17"/>
        <v>1</v>
      </c>
      <c r="U11" s="323">
        <f t="shared" si="17"/>
        <v>1</v>
      </c>
      <c r="V11" s="323">
        <f t="shared" si="17"/>
        <v>1</v>
      </c>
      <c r="W11" s="323">
        <f t="shared" si="17"/>
        <v>1</v>
      </c>
      <c r="X11" s="323">
        <f t="shared" si="17"/>
        <v>1</v>
      </c>
      <c r="Y11" s="323">
        <f t="shared" si="17"/>
        <v>1</v>
      </c>
      <c r="Z11" s="323">
        <f t="shared" si="18"/>
        <v>1</v>
      </c>
      <c r="AA11" s="323" t="str">
        <f t="shared" si="18"/>
        <v xml:space="preserve"> </v>
      </c>
      <c r="AB11" s="323" t="str">
        <f t="shared" si="18"/>
        <v xml:space="preserve"> </v>
      </c>
      <c r="AC11" s="323" t="str">
        <f t="shared" si="18"/>
        <v xml:space="preserve"> </v>
      </c>
      <c r="AD11" s="323" t="str">
        <f t="shared" si="18"/>
        <v xml:space="preserve"> </v>
      </c>
      <c r="AE11" s="323" t="str">
        <f t="shared" si="18"/>
        <v xml:space="preserve"> </v>
      </c>
      <c r="AF11" s="323" t="str">
        <f t="shared" si="18"/>
        <v xml:space="preserve"> </v>
      </c>
      <c r="AG11" s="323" t="str">
        <f t="shared" si="18"/>
        <v xml:space="preserve"> </v>
      </c>
      <c r="AH11" s="323" t="str">
        <f t="shared" si="18"/>
        <v xml:space="preserve"> </v>
      </c>
      <c r="AI11" s="323" t="str">
        <f t="shared" si="18"/>
        <v xml:space="preserve"> </v>
      </c>
      <c r="AJ11" s="323" t="str">
        <f t="shared" si="18"/>
        <v xml:space="preserve"> </v>
      </c>
      <c r="AK11" s="323" t="str">
        <f t="shared" si="18"/>
        <v xml:space="preserve"> </v>
      </c>
      <c r="AL11" s="323" t="str">
        <f t="shared" si="18"/>
        <v xml:space="preserve"> </v>
      </c>
      <c r="AM11" s="323" t="str">
        <f t="shared" si="18"/>
        <v xml:space="preserve"> </v>
      </c>
      <c r="AN11" s="323" t="str">
        <f t="shared" si="18"/>
        <v xml:space="preserve"> </v>
      </c>
      <c r="AO11" s="323" t="str">
        <f t="shared" si="18"/>
        <v xml:space="preserve"> </v>
      </c>
      <c r="AP11" s="323" t="str">
        <f t="shared" si="19"/>
        <v xml:space="preserve"> </v>
      </c>
      <c r="AQ11" s="323" t="str">
        <f t="shared" si="19"/>
        <v xml:space="preserve"> </v>
      </c>
      <c r="AR11" s="323" t="str">
        <f t="shared" si="19"/>
        <v xml:space="preserve"> </v>
      </c>
      <c r="AS11" s="323" t="str">
        <f t="shared" si="19"/>
        <v xml:space="preserve"> </v>
      </c>
      <c r="AT11" s="323" t="str">
        <f t="shared" si="19"/>
        <v xml:space="preserve"> </v>
      </c>
      <c r="AU11" s="323" t="str">
        <f t="shared" si="19"/>
        <v xml:space="preserve"> </v>
      </c>
      <c r="AV11" s="323" t="str">
        <f t="shared" si="19"/>
        <v xml:space="preserve"> </v>
      </c>
      <c r="AW11" s="323" t="str">
        <f t="shared" si="19"/>
        <v xml:space="preserve"> </v>
      </c>
      <c r="AX11" s="323" t="str">
        <f t="shared" si="19"/>
        <v xml:space="preserve"> </v>
      </c>
      <c r="AY11" s="323" t="str">
        <f t="shared" si="19"/>
        <v xml:space="preserve"> </v>
      </c>
      <c r="AZ11" s="323" t="str">
        <f t="shared" si="19"/>
        <v xml:space="preserve"> </v>
      </c>
      <c r="BA11" s="323" t="str">
        <f t="shared" si="19"/>
        <v xml:space="preserve"> </v>
      </c>
      <c r="BB11" s="323" t="str">
        <f t="shared" si="19"/>
        <v xml:space="preserve"> </v>
      </c>
      <c r="BC11" s="323" t="str">
        <f t="shared" si="19"/>
        <v xml:space="preserve"> </v>
      </c>
      <c r="BD11" s="323" t="str">
        <f t="shared" si="19"/>
        <v xml:space="preserve"> </v>
      </c>
      <c r="BE11" s="323" t="str">
        <f t="shared" si="19"/>
        <v xml:space="preserve"> </v>
      </c>
    </row>
    <row r="12" spans="2:57" x14ac:dyDescent="0.25">
      <c r="B12" s="314"/>
      <c r="C12" s="171" t="s">
        <v>690</v>
      </c>
      <c r="D12" s="310" t="s">
        <v>688</v>
      </c>
      <c r="E12" s="310">
        <v>4</v>
      </c>
      <c r="F12" s="324">
        <v>2035</v>
      </c>
      <c r="G12" s="324">
        <v>2036</v>
      </c>
      <c r="H12" s="313">
        <f t="shared" si="16"/>
        <v>1</v>
      </c>
      <c r="J12" s="323" t="str">
        <f t="shared" si="17"/>
        <v xml:space="preserve"> </v>
      </c>
      <c r="K12" s="323" t="str">
        <f t="shared" si="17"/>
        <v xml:space="preserve"> </v>
      </c>
      <c r="L12" s="323" t="str">
        <f t="shared" si="17"/>
        <v xml:space="preserve"> </v>
      </c>
      <c r="M12" s="323" t="str">
        <f t="shared" si="17"/>
        <v xml:space="preserve"> </v>
      </c>
      <c r="N12" s="323" t="str">
        <f t="shared" si="17"/>
        <v xml:space="preserve"> </v>
      </c>
      <c r="O12" s="323" t="str">
        <f t="shared" si="17"/>
        <v xml:space="preserve"> </v>
      </c>
      <c r="P12" s="323" t="str">
        <f t="shared" si="17"/>
        <v xml:space="preserve"> </v>
      </c>
      <c r="Q12" s="323" t="str">
        <f t="shared" si="17"/>
        <v xml:space="preserve"> </v>
      </c>
      <c r="R12" s="323" t="str">
        <f t="shared" si="17"/>
        <v xml:space="preserve"> </v>
      </c>
      <c r="S12" s="323" t="str">
        <f t="shared" si="17"/>
        <v xml:space="preserve"> </v>
      </c>
      <c r="T12" s="323" t="str">
        <f t="shared" si="17"/>
        <v xml:space="preserve"> </v>
      </c>
      <c r="U12" s="323" t="str">
        <f t="shared" si="17"/>
        <v xml:space="preserve"> </v>
      </c>
      <c r="V12" s="323" t="str">
        <f t="shared" si="17"/>
        <v xml:space="preserve"> </v>
      </c>
      <c r="W12" s="323" t="str">
        <f t="shared" si="17"/>
        <v xml:space="preserve"> </v>
      </c>
      <c r="X12" s="323" t="str">
        <f t="shared" si="17"/>
        <v xml:space="preserve"> </v>
      </c>
      <c r="Y12" s="323" t="str">
        <f t="shared" si="17"/>
        <v xml:space="preserve"> </v>
      </c>
      <c r="Z12" s="323" t="str">
        <f t="shared" si="18"/>
        <v xml:space="preserve"> </v>
      </c>
      <c r="AA12" s="323">
        <f t="shared" si="18"/>
        <v>1</v>
      </c>
      <c r="AB12" s="323" t="str">
        <f t="shared" si="18"/>
        <v xml:space="preserve"> </v>
      </c>
      <c r="AC12" s="323" t="str">
        <f t="shared" si="18"/>
        <v xml:space="preserve"> </v>
      </c>
      <c r="AD12" s="323" t="str">
        <f t="shared" si="18"/>
        <v xml:space="preserve"> </v>
      </c>
      <c r="AE12" s="323" t="str">
        <f t="shared" si="18"/>
        <v xml:space="preserve"> </v>
      </c>
      <c r="AF12" s="323" t="str">
        <f t="shared" si="18"/>
        <v xml:space="preserve"> </v>
      </c>
      <c r="AG12" s="323" t="str">
        <f t="shared" si="18"/>
        <v xml:space="preserve"> </v>
      </c>
      <c r="AH12" s="323" t="str">
        <f t="shared" si="18"/>
        <v xml:space="preserve"> </v>
      </c>
      <c r="AI12" s="323" t="str">
        <f t="shared" si="18"/>
        <v xml:space="preserve"> </v>
      </c>
      <c r="AJ12" s="323" t="str">
        <f t="shared" si="18"/>
        <v xml:space="preserve"> </v>
      </c>
      <c r="AK12" s="323" t="str">
        <f t="shared" si="18"/>
        <v xml:space="preserve"> </v>
      </c>
      <c r="AL12" s="323" t="str">
        <f t="shared" si="18"/>
        <v xml:space="preserve"> </v>
      </c>
      <c r="AM12" s="323" t="str">
        <f t="shared" si="18"/>
        <v xml:space="preserve"> </v>
      </c>
      <c r="AN12" s="323" t="str">
        <f t="shared" si="18"/>
        <v xml:space="preserve"> </v>
      </c>
      <c r="AO12" s="323" t="str">
        <f t="shared" si="18"/>
        <v xml:space="preserve"> </v>
      </c>
      <c r="AP12" s="323" t="str">
        <f t="shared" si="19"/>
        <v xml:space="preserve"> </v>
      </c>
      <c r="AQ12" s="323" t="str">
        <f t="shared" si="19"/>
        <v xml:space="preserve"> </v>
      </c>
      <c r="AR12" s="323" t="str">
        <f t="shared" si="19"/>
        <v xml:space="preserve"> </v>
      </c>
      <c r="AS12" s="323" t="str">
        <f t="shared" si="19"/>
        <v xml:space="preserve"> </v>
      </c>
      <c r="AT12" s="323" t="str">
        <f t="shared" si="19"/>
        <v xml:space="preserve"> </v>
      </c>
      <c r="AU12" s="323" t="str">
        <f t="shared" si="19"/>
        <v xml:space="preserve"> </v>
      </c>
      <c r="AV12" s="323" t="str">
        <f t="shared" si="19"/>
        <v xml:space="preserve"> </v>
      </c>
      <c r="AW12" s="323" t="str">
        <f t="shared" si="19"/>
        <v xml:space="preserve"> </v>
      </c>
      <c r="AX12" s="323" t="str">
        <f t="shared" si="19"/>
        <v xml:space="preserve"> </v>
      </c>
      <c r="AY12" s="323" t="str">
        <f t="shared" si="19"/>
        <v xml:space="preserve"> </v>
      </c>
      <c r="AZ12" s="323" t="str">
        <f t="shared" si="19"/>
        <v xml:space="preserve"> </v>
      </c>
      <c r="BA12" s="323" t="str">
        <f t="shared" si="19"/>
        <v xml:space="preserve"> </v>
      </c>
      <c r="BB12" s="323" t="str">
        <f t="shared" si="19"/>
        <v xml:space="preserve"> </v>
      </c>
      <c r="BC12" s="323" t="str">
        <f t="shared" si="19"/>
        <v xml:space="preserve"> </v>
      </c>
      <c r="BD12" s="323" t="str">
        <f t="shared" si="19"/>
        <v xml:space="preserve"> </v>
      </c>
      <c r="BE12" s="323" t="str">
        <f t="shared" si="19"/>
        <v xml:space="preserve"> </v>
      </c>
    </row>
    <row r="13" spans="2:57" x14ac:dyDescent="0.25">
      <c r="B13" s="315"/>
      <c r="C13" s="171" t="s">
        <v>691</v>
      </c>
      <c r="D13" s="310" t="s">
        <v>688</v>
      </c>
      <c r="E13" s="310">
        <v>5</v>
      </c>
      <c r="F13" s="325">
        <v>2024</v>
      </c>
      <c r="G13" s="310">
        <v>2028</v>
      </c>
      <c r="H13" s="313">
        <f t="shared" si="16"/>
        <v>4</v>
      </c>
      <c r="J13" s="323" t="str">
        <f t="shared" si="17"/>
        <v xml:space="preserve"> </v>
      </c>
      <c r="K13" s="323" t="str">
        <f t="shared" si="17"/>
        <v xml:space="preserve"> </v>
      </c>
      <c r="L13" s="323" t="str">
        <f t="shared" si="17"/>
        <v xml:space="preserve"> </v>
      </c>
      <c r="M13" s="323" t="str">
        <f t="shared" si="17"/>
        <v xml:space="preserve"> </v>
      </c>
      <c r="N13" s="323" t="str">
        <f t="shared" si="17"/>
        <v xml:space="preserve"> </v>
      </c>
      <c r="O13" s="323" t="str">
        <f t="shared" si="17"/>
        <v xml:space="preserve"> </v>
      </c>
      <c r="P13" s="323">
        <f t="shared" si="17"/>
        <v>1</v>
      </c>
      <c r="Q13" s="323">
        <f t="shared" si="17"/>
        <v>1</v>
      </c>
      <c r="R13" s="323">
        <f t="shared" si="17"/>
        <v>1</v>
      </c>
      <c r="S13" s="323">
        <f t="shared" si="17"/>
        <v>1</v>
      </c>
      <c r="T13" s="323" t="str">
        <f t="shared" si="17"/>
        <v xml:space="preserve"> </v>
      </c>
      <c r="U13" s="323" t="str">
        <f t="shared" si="17"/>
        <v xml:space="preserve"> </v>
      </c>
      <c r="V13" s="323" t="str">
        <f t="shared" si="17"/>
        <v xml:space="preserve"> </v>
      </c>
      <c r="W13" s="323" t="str">
        <f t="shared" si="17"/>
        <v xml:space="preserve"> </v>
      </c>
      <c r="X13" s="323" t="str">
        <f t="shared" si="17"/>
        <v xml:space="preserve"> </v>
      </c>
      <c r="Y13" s="323" t="str">
        <f t="shared" si="17"/>
        <v xml:space="preserve"> </v>
      </c>
      <c r="Z13" s="323" t="str">
        <f t="shared" si="18"/>
        <v xml:space="preserve"> </v>
      </c>
      <c r="AA13" s="323" t="str">
        <f t="shared" si="18"/>
        <v xml:space="preserve"> </v>
      </c>
      <c r="AB13" s="323" t="str">
        <f t="shared" si="18"/>
        <v xml:space="preserve"> </v>
      </c>
      <c r="AC13" s="323" t="str">
        <f t="shared" si="18"/>
        <v xml:space="preserve"> </v>
      </c>
      <c r="AD13" s="323" t="str">
        <f t="shared" si="18"/>
        <v xml:space="preserve"> </v>
      </c>
      <c r="AE13" s="323" t="str">
        <f t="shared" si="18"/>
        <v xml:space="preserve"> </v>
      </c>
      <c r="AF13" s="323" t="str">
        <f t="shared" si="18"/>
        <v xml:space="preserve"> </v>
      </c>
      <c r="AG13" s="323" t="str">
        <f t="shared" si="18"/>
        <v xml:space="preserve"> </v>
      </c>
      <c r="AH13" s="323" t="str">
        <f t="shared" si="18"/>
        <v xml:space="preserve"> </v>
      </c>
      <c r="AI13" s="323" t="str">
        <f t="shared" si="18"/>
        <v xml:space="preserve"> </v>
      </c>
      <c r="AJ13" s="323" t="str">
        <f t="shared" si="18"/>
        <v xml:space="preserve"> </v>
      </c>
      <c r="AK13" s="323" t="str">
        <f t="shared" si="18"/>
        <v xml:space="preserve"> </v>
      </c>
      <c r="AL13" s="323" t="str">
        <f t="shared" si="18"/>
        <v xml:space="preserve"> </v>
      </c>
      <c r="AM13" s="323" t="str">
        <f t="shared" si="18"/>
        <v xml:space="preserve"> </v>
      </c>
      <c r="AN13" s="323" t="str">
        <f t="shared" si="18"/>
        <v xml:space="preserve"> </v>
      </c>
      <c r="AO13" s="323" t="str">
        <f t="shared" si="18"/>
        <v xml:space="preserve"> </v>
      </c>
      <c r="AP13" s="323" t="str">
        <f t="shared" si="19"/>
        <v xml:space="preserve"> </v>
      </c>
      <c r="AQ13" s="323" t="str">
        <f t="shared" si="19"/>
        <v xml:space="preserve"> </v>
      </c>
      <c r="AR13" s="323" t="str">
        <f t="shared" si="19"/>
        <v xml:space="preserve"> </v>
      </c>
      <c r="AS13" s="323" t="str">
        <f t="shared" si="19"/>
        <v xml:space="preserve"> </v>
      </c>
      <c r="AT13" s="323" t="str">
        <f t="shared" si="19"/>
        <v xml:space="preserve"> </v>
      </c>
      <c r="AU13" s="323" t="str">
        <f t="shared" si="19"/>
        <v xml:space="preserve"> </v>
      </c>
      <c r="AV13" s="323" t="str">
        <f t="shared" si="19"/>
        <v xml:space="preserve"> </v>
      </c>
      <c r="AW13" s="323" t="str">
        <f t="shared" si="19"/>
        <v xml:space="preserve"> </v>
      </c>
      <c r="AX13" s="323" t="str">
        <f t="shared" si="19"/>
        <v xml:space="preserve"> </v>
      </c>
      <c r="AY13" s="323" t="str">
        <f t="shared" si="19"/>
        <v xml:space="preserve"> </v>
      </c>
      <c r="AZ13" s="323" t="str">
        <f t="shared" si="19"/>
        <v xml:space="preserve"> </v>
      </c>
      <c r="BA13" s="323" t="str">
        <f t="shared" si="19"/>
        <v xml:space="preserve"> </v>
      </c>
      <c r="BB13" s="323" t="str">
        <f t="shared" si="19"/>
        <v xml:space="preserve"> </v>
      </c>
      <c r="BC13" s="323" t="str">
        <f t="shared" si="19"/>
        <v xml:space="preserve"> </v>
      </c>
      <c r="BD13" s="323" t="str">
        <f t="shared" si="19"/>
        <v xml:space="preserve"> </v>
      </c>
      <c r="BE13" s="323" t="str">
        <f t="shared" si="19"/>
        <v xml:space="preserve"> </v>
      </c>
    </row>
    <row r="14" spans="2:57" x14ac:dyDescent="0.25">
      <c r="B14" s="315"/>
      <c r="C14" s="171" t="s">
        <v>692</v>
      </c>
      <c r="D14" s="310" t="s">
        <v>688</v>
      </c>
      <c r="E14" s="310">
        <v>6</v>
      </c>
      <c r="F14" s="313">
        <v>2028</v>
      </c>
      <c r="G14" s="310">
        <v>2053</v>
      </c>
      <c r="H14" s="313">
        <f t="shared" si="16"/>
        <v>25</v>
      </c>
      <c r="J14" s="323" t="str">
        <f t="shared" si="17"/>
        <v xml:space="preserve"> </v>
      </c>
      <c r="K14" s="323" t="str">
        <f t="shared" si="17"/>
        <v xml:space="preserve"> </v>
      </c>
      <c r="L14" s="323" t="str">
        <f t="shared" si="17"/>
        <v xml:space="preserve"> </v>
      </c>
      <c r="M14" s="323" t="str">
        <f t="shared" si="17"/>
        <v xml:space="preserve"> </v>
      </c>
      <c r="N14" s="323" t="str">
        <f t="shared" si="17"/>
        <v xml:space="preserve"> </v>
      </c>
      <c r="O14" s="323" t="str">
        <f t="shared" si="17"/>
        <v xml:space="preserve"> </v>
      </c>
      <c r="P14" s="323" t="str">
        <f t="shared" si="17"/>
        <v xml:space="preserve"> </v>
      </c>
      <c r="Q14" s="323" t="str">
        <f t="shared" si="17"/>
        <v xml:space="preserve"> </v>
      </c>
      <c r="R14" s="323" t="str">
        <f t="shared" si="17"/>
        <v xml:space="preserve"> </v>
      </c>
      <c r="S14" s="323" t="str">
        <f t="shared" si="17"/>
        <v xml:space="preserve"> </v>
      </c>
      <c r="T14" s="323">
        <f t="shared" si="17"/>
        <v>1</v>
      </c>
      <c r="U14" s="323">
        <f t="shared" si="17"/>
        <v>1</v>
      </c>
      <c r="V14" s="323">
        <f t="shared" si="17"/>
        <v>1</v>
      </c>
      <c r="W14" s="323">
        <f t="shared" si="17"/>
        <v>1</v>
      </c>
      <c r="X14" s="323">
        <f t="shared" si="17"/>
        <v>1</v>
      </c>
      <c r="Y14" s="323">
        <f t="shared" si="17"/>
        <v>1</v>
      </c>
      <c r="Z14" s="323">
        <f t="shared" si="18"/>
        <v>1</v>
      </c>
      <c r="AA14" s="323">
        <f t="shared" si="18"/>
        <v>1</v>
      </c>
      <c r="AB14" s="323">
        <f t="shared" si="18"/>
        <v>1</v>
      </c>
      <c r="AC14" s="323">
        <f t="shared" si="18"/>
        <v>1</v>
      </c>
      <c r="AD14" s="323">
        <f t="shared" si="18"/>
        <v>1</v>
      </c>
      <c r="AE14" s="323">
        <f t="shared" si="18"/>
        <v>1</v>
      </c>
      <c r="AF14" s="323">
        <f t="shared" si="18"/>
        <v>1</v>
      </c>
      <c r="AG14" s="323">
        <f t="shared" si="18"/>
        <v>1</v>
      </c>
      <c r="AH14" s="323">
        <f t="shared" si="18"/>
        <v>1</v>
      </c>
      <c r="AI14" s="323">
        <f t="shared" si="18"/>
        <v>1</v>
      </c>
      <c r="AJ14" s="323">
        <f t="shared" si="18"/>
        <v>1</v>
      </c>
      <c r="AK14" s="323">
        <f t="shared" si="18"/>
        <v>1</v>
      </c>
      <c r="AL14" s="323">
        <f t="shared" si="18"/>
        <v>1</v>
      </c>
      <c r="AM14" s="323">
        <f t="shared" si="18"/>
        <v>1</v>
      </c>
      <c r="AN14" s="323">
        <f t="shared" si="18"/>
        <v>1</v>
      </c>
      <c r="AO14" s="323">
        <f t="shared" si="18"/>
        <v>1</v>
      </c>
      <c r="AP14" s="323">
        <f t="shared" si="19"/>
        <v>1</v>
      </c>
      <c r="AQ14" s="323">
        <f t="shared" si="19"/>
        <v>1</v>
      </c>
      <c r="AR14" s="323">
        <f t="shared" si="19"/>
        <v>1</v>
      </c>
      <c r="AS14" s="323" t="str">
        <f t="shared" si="19"/>
        <v xml:space="preserve"> </v>
      </c>
      <c r="AT14" s="323" t="str">
        <f t="shared" si="19"/>
        <v xml:space="preserve"> </v>
      </c>
      <c r="AU14" s="323" t="str">
        <f t="shared" si="19"/>
        <v xml:space="preserve"> </v>
      </c>
      <c r="AV14" s="323" t="str">
        <f t="shared" si="19"/>
        <v xml:space="preserve"> </v>
      </c>
      <c r="AW14" s="323" t="str">
        <f t="shared" si="19"/>
        <v xml:space="preserve"> </v>
      </c>
      <c r="AX14" s="323" t="str">
        <f t="shared" si="19"/>
        <v xml:space="preserve"> </v>
      </c>
      <c r="AY14" s="323" t="str">
        <f t="shared" si="19"/>
        <v xml:space="preserve"> </v>
      </c>
      <c r="AZ14" s="323" t="str">
        <f t="shared" si="19"/>
        <v xml:space="preserve"> </v>
      </c>
      <c r="BA14" s="323" t="str">
        <f t="shared" si="19"/>
        <v xml:space="preserve"> </v>
      </c>
      <c r="BB14" s="323" t="str">
        <f t="shared" si="19"/>
        <v xml:space="preserve"> </v>
      </c>
      <c r="BC14" s="323" t="str">
        <f t="shared" si="19"/>
        <v xml:space="preserve"> </v>
      </c>
      <c r="BD14" s="323" t="str">
        <f t="shared" si="19"/>
        <v xml:space="preserve"> </v>
      </c>
      <c r="BE14" s="323" t="str">
        <f t="shared" si="19"/>
        <v xml:space="preserve"> </v>
      </c>
    </row>
    <row r="15" spans="2:57" x14ac:dyDescent="0.25">
      <c r="B15" s="315"/>
      <c r="C15" s="171" t="s">
        <v>693</v>
      </c>
      <c r="D15" s="310" t="s">
        <v>688</v>
      </c>
      <c r="E15" s="310">
        <v>7</v>
      </c>
      <c r="F15" s="324">
        <v>2053</v>
      </c>
      <c r="G15" s="325">
        <v>2054</v>
      </c>
      <c r="H15" s="313">
        <f t="shared" si="16"/>
        <v>1</v>
      </c>
      <c r="J15" s="323" t="str">
        <f t="shared" si="17"/>
        <v xml:space="preserve"> </v>
      </c>
      <c r="K15" s="323" t="str">
        <f t="shared" si="17"/>
        <v xml:space="preserve"> </v>
      </c>
      <c r="L15" s="323" t="str">
        <f t="shared" si="17"/>
        <v xml:space="preserve"> </v>
      </c>
      <c r="M15" s="323" t="str">
        <f t="shared" si="17"/>
        <v xml:space="preserve"> </v>
      </c>
      <c r="N15" s="323" t="str">
        <f t="shared" si="17"/>
        <v xml:space="preserve"> </v>
      </c>
      <c r="O15" s="323" t="str">
        <f t="shared" si="17"/>
        <v xml:space="preserve"> </v>
      </c>
      <c r="P15" s="323" t="str">
        <f t="shared" si="17"/>
        <v xml:space="preserve"> </v>
      </c>
      <c r="Q15" s="323" t="str">
        <f t="shared" si="17"/>
        <v xml:space="preserve"> </v>
      </c>
      <c r="R15" s="323" t="str">
        <f t="shared" si="17"/>
        <v xml:space="preserve"> </v>
      </c>
      <c r="S15" s="323" t="str">
        <f t="shared" si="17"/>
        <v xml:space="preserve"> </v>
      </c>
      <c r="T15" s="323" t="str">
        <f t="shared" si="17"/>
        <v xml:space="preserve"> </v>
      </c>
      <c r="U15" s="323" t="str">
        <f t="shared" si="17"/>
        <v xml:space="preserve"> </v>
      </c>
      <c r="V15" s="323" t="str">
        <f t="shared" si="17"/>
        <v xml:space="preserve"> </v>
      </c>
      <c r="W15" s="323" t="str">
        <f t="shared" si="17"/>
        <v xml:space="preserve"> </v>
      </c>
      <c r="X15" s="323" t="str">
        <f t="shared" si="17"/>
        <v xml:space="preserve"> </v>
      </c>
      <c r="Y15" s="323" t="str">
        <f t="shared" si="17"/>
        <v xml:space="preserve"> </v>
      </c>
      <c r="Z15" s="323" t="str">
        <f t="shared" si="18"/>
        <v xml:space="preserve"> </v>
      </c>
      <c r="AA15" s="323" t="str">
        <f t="shared" si="18"/>
        <v xml:space="preserve"> </v>
      </c>
      <c r="AB15" s="323" t="str">
        <f t="shared" si="18"/>
        <v xml:space="preserve"> </v>
      </c>
      <c r="AC15" s="323" t="str">
        <f t="shared" si="18"/>
        <v xml:space="preserve"> </v>
      </c>
      <c r="AD15" s="323" t="str">
        <f t="shared" si="18"/>
        <v xml:space="preserve"> </v>
      </c>
      <c r="AE15" s="323" t="str">
        <f t="shared" si="18"/>
        <v xml:space="preserve"> </v>
      </c>
      <c r="AF15" s="323" t="str">
        <f t="shared" si="18"/>
        <v xml:space="preserve"> </v>
      </c>
      <c r="AG15" s="323" t="str">
        <f t="shared" si="18"/>
        <v xml:space="preserve"> </v>
      </c>
      <c r="AH15" s="323" t="str">
        <f t="shared" si="18"/>
        <v xml:space="preserve"> </v>
      </c>
      <c r="AI15" s="323" t="str">
        <f t="shared" si="18"/>
        <v xml:space="preserve"> </v>
      </c>
      <c r="AJ15" s="323" t="str">
        <f t="shared" si="18"/>
        <v xml:space="preserve"> </v>
      </c>
      <c r="AK15" s="323" t="str">
        <f t="shared" si="18"/>
        <v xml:space="preserve"> </v>
      </c>
      <c r="AL15" s="323" t="str">
        <f t="shared" si="18"/>
        <v xml:space="preserve"> </v>
      </c>
      <c r="AM15" s="323" t="str">
        <f t="shared" si="18"/>
        <v xml:space="preserve"> </v>
      </c>
      <c r="AN15" s="323" t="str">
        <f t="shared" si="18"/>
        <v xml:space="preserve"> </v>
      </c>
      <c r="AO15" s="323" t="str">
        <f t="shared" si="18"/>
        <v xml:space="preserve"> </v>
      </c>
      <c r="AP15" s="323" t="str">
        <f t="shared" si="19"/>
        <v xml:space="preserve"> </v>
      </c>
      <c r="AQ15" s="323" t="str">
        <f t="shared" si="19"/>
        <v xml:space="preserve"> </v>
      </c>
      <c r="AR15" s="323" t="str">
        <f t="shared" si="19"/>
        <v xml:space="preserve"> </v>
      </c>
      <c r="AS15" s="323">
        <f t="shared" si="19"/>
        <v>1</v>
      </c>
      <c r="AT15" s="323" t="str">
        <f t="shared" si="19"/>
        <v xml:space="preserve"> </v>
      </c>
      <c r="AU15" s="323" t="str">
        <f t="shared" si="19"/>
        <v xml:space="preserve"> </v>
      </c>
      <c r="AV15" s="323" t="str">
        <f t="shared" si="19"/>
        <v xml:space="preserve"> </v>
      </c>
      <c r="AW15" s="323" t="str">
        <f t="shared" si="19"/>
        <v xml:space="preserve"> </v>
      </c>
      <c r="AX15" s="323" t="str">
        <f t="shared" si="19"/>
        <v xml:space="preserve"> </v>
      </c>
      <c r="AY15" s="323" t="str">
        <f t="shared" si="19"/>
        <v xml:space="preserve"> </v>
      </c>
      <c r="AZ15" s="323" t="str">
        <f t="shared" si="19"/>
        <v xml:space="preserve"> </v>
      </c>
      <c r="BA15" s="323" t="str">
        <f t="shared" si="19"/>
        <v xml:space="preserve"> </v>
      </c>
      <c r="BB15" s="323" t="str">
        <f t="shared" si="19"/>
        <v xml:space="preserve"> </v>
      </c>
      <c r="BC15" s="323" t="str">
        <f t="shared" si="19"/>
        <v xml:space="preserve"> </v>
      </c>
      <c r="BD15" s="323" t="str">
        <f t="shared" si="19"/>
        <v xml:space="preserve"> </v>
      </c>
      <c r="BE15" s="323" t="str">
        <f t="shared" si="19"/>
        <v xml:space="preserve"> </v>
      </c>
    </row>
    <row r="16" spans="2:57" x14ac:dyDescent="0.25">
      <c r="B16" s="3"/>
      <c r="C16" s="171" t="s">
        <v>694</v>
      </c>
      <c r="D16" s="310" t="s">
        <v>688</v>
      </c>
      <c r="E16" s="310">
        <v>8</v>
      </c>
      <c r="F16" s="325">
        <v>2023</v>
      </c>
      <c r="G16" s="324">
        <v>2024</v>
      </c>
      <c r="H16" s="313">
        <f t="shared" si="16"/>
        <v>1</v>
      </c>
      <c r="J16" s="323" t="str">
        <f t="shared" si="17"/>
        <v xml:space="preserve"> </v>
      </c>
      <c r="K16" s="323" t="str">
        <f t="shared" si="17"/>
        <v xml:space="preserve"> </v>
      </c>
      <c r="L16" s="323" t="str">
        <f t="shared" si="17"/>
        <v xml:space="preserve"> </v>
      </c>
      <c r="M16" s="323" t="str">
        <f t="shared" si="17"/>
        <v xml:space="preserve"> </v>
      </c>
      <c r="N16" s="323" t="str">
        <f t="shared" si="17"/>
        <v xml:space="preserve"> </v>
      </c>
      <c r="O16" s="323">
        <f t="shared" si="17"/>
        <v>1</v>
      </c>
      <c r="P16" s="323" t="str">
        <f t="shared" si="17"/>
        <v xml:space="preserve"> </v>
      </c>
      <c r="Q16" s="323" t="str">
        <f t="shared" si="17"/>
        <v xml:space="preserve"> </v>
      </c>
      <c r="R16" s="323" t="str">
        <f t="shared" si="17"/>
        <v xml:space="preserve"> </v>
      </c>
      <c r="S16" s="323" t="str">
        <f t="shared" si="17"/>
        <v xml:space="preserve"> </v>
      </c>
      <c r="T16" s="323" t="str">
        <f t="shared" si="17"/>
        <v xml:space="preserve"> </v>
      </c>
      <c r="U16" s="323" t="str">
        <f t="shared" si="17"/>
        <v xml:space="preserve"> </v>
      </c>
      <c r="V16" s="323" t="str">
        <f t="shared" si="17"/>
        <v xml:space="preserve"> </v>
      </c>
      <c r="W16" s="323" t="str">
        <f t="shared" si="17"/>
        <v xml:space="preserve"> </v>
      </c>
      <c r="X16" s="323" t="str">
        <f t="shared" si="17"/>
        <v xml:space="preserve"> </v>
      </c>
      <c r="Y16" s="323" t="str">
        <f t="shared" si="17"/>
        <v xml:space="preserve"> </v>
      </c>
      <c r="Z16" s="323" t="str">
        <f t="shared" si="18"/>
        <v xml:space="preserve"> </v>
      </c>
      <c r="AA16" s="323" t="str">
        <f t="shared" si="18"/>
        <v xml:space="preserve"> </v>
      </c>
      <c r="AB16" s="323" t="str">
        <f t="shared" si="18"/>
        <v xml:space="preserve"> </v>
      </c>
      <c r="AC16" s="323" t="str">
        <f t="shared" si="18"/>
        <v xml:space="preserve"> </v>
      </c>
      <c r="AD16" s="323" t="str">
        <f t="shared" si="18"/>
        <v xml:space="preserve"> </v>
      </c>
      <c r="AE16" s="323" t="str">
        <f t="shared" si="18"/>
        <v xml:space="preserve"> </v>
      </c>
      <c r="AF16" s="323" t="str">
        <f t="shared" si="18"/>
        <v xml:space="preserve"> </v>
      </c>
      <c r="AG16" s="323" t="str">
        <f t="shared" si="18"/>
        <v xml:space="preserve"> </v>
      </c>
      <c r="AH16" s="323" t="str">
        <f t="shared" si="18"/>
        <v xml:space="preserve"> </v>
      </c>
      <c r="AI16" s="323" t="str">
        <f t="shared" si="18"/>
        <v xml:space="preserve"> </v>
      </c>
      <c r="AJ16" s="323" t="str">
        <f t="shared" si="18"/>
        <v xml:space="preserve"> </v>
      </c>
      <c r="AK16" s="323" t="str">
        <f t="shared" si="18"/>
        <v xml:space="preserve"> </v>
      </c>
      <c r="AL16" s="323" t="str">
        <f t="shared" si="18"/>
        <v xml:space="preserve"> </v>
      </c>
      <c r="AM16" s="323" t="str">
        <f t="shared" si="18"/>
        <v xml:space="preserve"> </v>
      </c>
      <c r="AN16" s="323" t="str">
        <f t="shared" si="18"/>
        <v xml:space="preserve"> </v>
      </c>
      <c r="AO16" s="323" t="str">
        <f t="shared" si="18"/>
        <v xml:space="preserve"> </v>
      </c>
      <c r="AP16" s="323" t="str">
        <f t="shared" si="19"/>
        <v xml:space="preserve"> </v>
      </c>
      <c r="AQ16" s="323" t="str">
        <f t="shared" si="19"/>
        <v xml:space="preserve"> </v>
      </c>
      <c r="AR16" s="323" t="str">
        <f t="shared" si="19"/>
        <v xml:space="preserve"> </v>
      </c>
      <c r="AS16" s="323" t="str">
        <f t="shared" si="19"/>
        <v xml:space="preserve"> </v>
      </c>
      <c r="AT16" s="323" t="str">
        <f t="shared" si="19"/>
        <v xml:space="preserve"> </v>
      </c>
      <c r="AU16" s="323" t="str">
        <f t="shared" si="19"/>
        <v xml:space="preserve"> </v>
      </c>
      <c r="AV16" s="323" t="str">
        <f t="shared" si="19"/>
        <v xml:space="preserve"> </v>
      </c>
      <c r="AW16" s="323" t="str">
        <f t="shared" si="19"/>
        <v xml:space="preserve"> </v>
      </c>
      <c r="AX16" s="323" t="str">
        <f t="shared" si="19"/>
        <v xml:space="preserve"> </v>
      </c>
      <c r="AY16" s="323" t="str">
        <f t="shared" si="19"/>
        <v xml:space="preserve"> </v>
      </c>
      <c r="AZ16" s="323" t="str">
        <f t="shared" si="19"/>
        <v xml:space="preserve"> </v>
      </c>
      <c r="BA16" s="323" t="str">
        <f t="shared" si="19"/>
        <v xml:space="preserve"> </v>
      </c>
      <c r="BB16" s="323" t="str">
        <f t="shared" si="19"/>
        <v xml:space="preserve"> </v>
      </c>
      <c r="BC16" s="323" t="str">
        <f t="shared" si="19"/>
        <v xml:space="preserve"> </v>
      </c>
      <c r="BD16" s="323" t="str">
        <f t="shared" si="19"/>
        <v xml:space="preserve"> </v>
      </c>
      <c r="BE16" s="323" t="str">
        <f t="shared" si="19"/>
        <v xml:space="preserve"> </v>
      </c>
    </row>
    <row r="17" spans="2:57" x14ac:dyDescent="0.25">
      <c r="B17" s="3"/>
      <c r="C17" s="171" t="s">
        <v>695</v>
      </c>
      <c r="D17" s="310" t="s">
        <v>688</v>
      </c>
      <c r="E17" s="310">
        <v>9</v>
      </c>
      <c r="F17" s="313">
        <v>2024</v>
      </c>
      <c r="G17" s="310">
        <v>2049</v>
      </c>
      <c r="H17" s="313">
        <f t="shared" si="16"/>
        <v>25</v>
      </c>
      <c r="J17" s="323" t="str">
        <f t="shared" si="17"/>
        <v xml:space="preserve"> </v>
      </c>
      <c r="K17" s="323" t="str">
        <f t="shared" si="17"/>
        <v xml:space="preserve"> </v>
      </c>
      <c r="L17" s="323" t="str">
        <f t="shared" si="17"/>
        <v xml:space="preserve"> </v>
      </c>
      <c r="M17" s="323" t="str">
        <f t="shared" si="17"/>
        <v xml:space="preserve"> </v>
      </c>
      <c r="N17" s="323" t="str">
        <f t="shared" si="17"/>
        <v xml:space="preserve"> </v>
      </c>
      <c r="O17" s="323" t="str">
        <f t="shared" si="17"/>
        <v xml:space="preserve"> </v>
      </c>
      <c r="P17" s="323">
        <f t="shared" si="17"/>
        <v>1</v>
      </c>
      <c r="Q17" s="323">
        <f t="shared" si="17"/>
        <v>1</v>
      </c>
      <c r="R17" s="323">
        <f t="shared" si="17"/>
        <v>1</v>
      </c>
      <c r="S17" s="323">
        <f t="shared" si="17"/>
        <v>1</v>
      </c>
      <c r="T17" s="323">
        <f t="shared" si="17"/>
        <v>1</v>
      </c>
      <c r="U17" s="323">
        <f t="shared" si="17"/>
        <v>1</v>
      </c>
      <c r="V17" s="323">
        <f t="shared" si="17"/>
        <v>1</v>
      </c>
      <c r="W17" s="323">
        <f t="shared" si="17"/>
        <v>1</v>
      </c>
      <c r="X17" s="323">
        <f t="shared" si="17"/>
        <v>1</v>
      </c>
      <c r="Y17" s="323">
        <f t="shared" si="17"/>
        <v>1</v>
      </c>
      <c r="Z17" s="323">
        <f t="shared" si="18"/>
        <v>1</v>
      </c>
      <c r="AA17" s="323">
        <f t="shared" si="18"/>
        <v>1</v>
      </c>
      <c r="AB17" s="323">
        <f t="shared" si="18"/>
        <v>1</v>
      </c>
      <c r="AC17" s="323">
        <f t="shared" si="18"/>
        <v>1</v>
      </c>
      <c r="AD17" s="323">
        <f t="shared" si="18"/>
        <v>1</v>
      </c>
      <c r="AE17" s="323">
        <f t="shared" si="18"/>
        <v>1</v>
      </c>
      <c r="AF17" s="323">
        <f t="shared" si="18"/>
        <v>1</v>
      </c>
      <c r="AG17" s="323">
        <f t="shared" si="18"/>
        <v>1</v>
      </c>
      <c r="AH17" s="323">
        <f t="shared" si="18"/>
        <v>1</v>
      </c>
      <c r="AI17" s="323">
        <f t="shared" si="18"/>
        <v>1</v>
      </c>
      <c r="AJ17" s="323">
        <f t="shared" si="18"/>
        <v>1</v>
      </c>
      <c r="AK17" s="323">
        <f t="shared" si="18"/>
        <v>1</v>
      </c>
      <c r="AL17" s="323">
        <f t="shared" si="18"/>
        <v>1</v>
      </c>
      <c r="AM17" s="323">
        <f t="shared" si="18"/>
        <v>1</v>
      </c>
      <c r="AN17" s="323">
        <f t="shared" si="18"/>
        <v>1</v>
      </c>
      <c r="AO17" s="323" t="str">
        <f t="shared" si="18"/>
        <v xml:space="preserve"> </v>
      </c>
      <c r="AP17" s="323" t="str">
        <f t="shared" si="19"/>
        <v xml:space="preserve"> </v>
      </c>
      <c r="AQ17" s="323" t="str">
        <f t="shared" si="19"/>
        <v xml:space="preserve"> </v>
      </c>
      <c r="AR17" s="323" t="str">
        <f t="shared" si="19"/>
        <v xml:space="preserve"> </v>
      </c>
      <c r="AS17" s="323" t="str">
        <f t="shared" si="19"/>
        <v xml:space="preserve"> </v>
      </c>
      <c r="AT17" s="323" t="str">
        <f t="shared" si="19"/>
        <v xml:space="preserve"> </v>
      </c>
      <c r="AU17" s="323" t="str">
        <f t="shared" si="19"/>
        <v xml:space="preserve"> </v>
      </c>
      <c r="AV17" s="323" t="str">
        <f t="shared" si="19"/>
        <v xml:space="preserve"> </v>
      </c>
      <c r="AW17" s="323" t="str">
        <f t="shared" si="19"/>
        <v xml:space="preserve"> </v>
      </c>
      <c r="AX17" s="323" t="str">
        <f t="shared" si="19"/>
        <v xml:space="preserve"> </v>
      </c>
      <c r="AY17" s="323" t="str">
        <f t="shared" si="19"/>
        <v xml:space="preserve"> </v>
      </c>
      <c r="AZ17" s="323" t="str">
        <f t="shared" si="19"/>
        <v xml:space="preserve"> </v>
      </c>
      <c r="BA17" s="323" t="str">
        <f t="shared" si="19"/>
        <v xml:space="preserve"> </v>
      </c>
      <c r="BB17" s="323" t="str">
        <f t="shared" si="19"/>
        <v xml:space="preserve"> </v>
      </c>
      <c r="BC17" s="323" t="str">
        <f t="shared" si="19"/>
        <v xml:space="preserve"> </v>
      </c>
      <c r="BD17" s="323" t="str">
        <f t="shared" si="19"/>
        <v xml:space="preserve"> </v>
      </c>
      <c r="BE17" s="323" t="str">
        <f t="shared" si="19"/>
        <v xml:space="preserve"> </v>
      </c>
    </row>
    <row r="18" spans="2:57" x14ac:dyDescent="0.25">
      <c r="B18" s="3"/>
      <c r="C18" s="171" t="s">
        <v>696</v>
      </c>
      <c r="D18" s="310" t="s">
        <v>688</v>
      </c>
      <c r="E18" s="310">
        <v>10</v>
      </c>
      <c r="F18" s="324">
        <v>2049</v>
      </c>
      <c r="G18" s="310">
        <v>2050</v>
      </c>
      <c r="H18" s="313">
        <f t="shared" si="16"/>
        <v>1</v>
      </c>
      <c r="J18" s="323" t="str">
        <f t="shared" si="17"/>
        <v xml:space="preserve"> </v>
      </c>
      <c r="K18" s="323" t="str">
        <f t="shared" si="17"/>
        <v xml:space="preserve"> </v>
      </c>
      <c r="L18" s="323" t="str">
        <f t="shared" si="17"/>
        <v xml:space="preserve"> </v>
      </c>
      <c r="M18" s="323" t="str">
        <f t="shared" si="17"/>
        <v xml:space="preserve"> </v>
      </c>
      <c r="N18" s="323" t="str">
        <f t="shared" si="17"/>
        <v xml:space="preserve"> </v>
      </c>
      <c r="O18" s="323" t="str">
        <f t="shared" si="17"/>
        <v xml:space="preserve"> </v>
      </c>
      <c r="P18" s="323" t="str">
        <f t="shared" si="17"/>
        <v xml:space="preserve"> </v>
      </c>
      <c r="Q18" s="323" t="str">
        <f t="shared" si="17"/>
        <v xml:space="preserve"> </v>
      </c>
      <c r="R18" s="323" t="str">
        <f t="shared" si="17"/>
        <v xml:space="preserve"> </v>
      </c>
      <c r="S18" s="323" t="str">
        <f t="shared" si="17"/>
        <v xml:space="preserve"> </v>
      </c>
      <c r="T18" s="323" t="str">
        <f t="shared" si="17"/>
        <v xml:space="preserve"> </v>
      </c>
      <c r="U18" s="323" t="str">
        <f t="shared" si="17"/>
        <v xml:space="preserve"> </v>
      </c>
      <c r="V18" s="323" t="str">
        <f t="shared" si="17"/>
        <v xml:space="preserve"> </v>
      </c>
      <c r="W18" s="323" t="str">
        <f t="shared" si="17"/>
        <v xml:space="preserve"> </v>
      </c>
      <c r="X18" s="323" t="str">
        <f t="shared" si="17"/>
        <v xml:space="preserve"> </v>
      </c>
      <c r="Y18" s="323" t="str">
        <f t="shared" si="17"/>
        <v xml:space="preserve"> </v>
      </c>
      <c r="Z18" s="323" t="str">
        <f t="shared" si="18"/>
        <v xml:space="preserve"> </v>
      </c>
      <c r="AA18" s="323" t="str">
        <f t="shared" si="18"/>
        <v xml:space="preserve"> </v>
      </c>
      <c r="AB18" s="323" t="str">
        <f t="shared" si="18"/>
        <v xml:space="preserve"> </v>
      </c>
      <c r="AC18" s="323" t="str">
        <f t="shared" si="18"/>
        <v xml:space="preserve"> </v>
      </c>
      <c r="AD18" s="323" t="str">
        <f t="shared" si="18"/>
        <v xml:space="preserve"> </v>
      </c>
      <c r="AE18" s="323" t="str">
        <f t="shared" si="18"/>
        <v xml:space="preserve"> </v>
      </c>
      <c r="AF18" s="323" t="str">
        <f t="shared" si="18"/>
        <v xml:space="preserve"> </v>
      </c>
      <c r="AG18" s="323" t="str">
        <f t="shared" si="18"/>
        <v xml:space="preserve"> </v>
      </c>
      <c r="AH18" s="323" t="str">
        <f t="shared" si="18"/>
        <v xml:space="preserve"> </v>
      </c>
      <c r="AI18" s="323" t="str">
        <f t="shared" si="18"/>
        <v xml:space="preserve"> </v>
      </c>
      <c r="AJ18" s="323" t="str">
        <f t="shared" si="18"/>
        <v xml:space="preserve"> </v>
      </c>
      <c r="AK18" s="323" t="str">
        <f t="shared" si="18"/>
        <v xml:space="preserve"> </v>
      </c>
      <c r="AL18" s="323" t="str">
        <f t="shared" si="18"/>
        <v xml:space="preserve"> </v>
      </c>
      <c r="AM18" s="323" t="str">
        <f t="shared" si="18"/>
        <v xml:space="preserve"> </v>
      </c>
      <c r="AN18" s="323" t="str">
        <f t="shared" si="18"/>
        <v xml:space="preserve"> </v>
      </c>
      <c r="AO18" s="323">
        <f t="shared" si="18"/>
        <v>1</v>
      </c>
      <c r="AP18" s="323" t="str">
        <f t="shared" si="19"/>
        <v xml:space="preserve"> </v>
      </c>
      <c r="AQ18" s="323" t="str">
        <f t="shared" si="19"/>
        <v xml:space="preserve"> </v>
      </c>
      <c r="AR18" s="323" t="str">
        <f t="shared" si="19"/>
        <v xml:space="preserve"> </v>
      </c>
      <c r="AS18" s="323" t="str">
        <f t="shared" si="19"/>
        <v xml:space="preserve"> </v>
      </c>
      <c r="AT18" s="323" t="str">
        <f t="shared" si="19"/>
        <v xml:space="preserve"> </v>
      </c>
      <c r="AU18" s="323" t="str">
        <f t="shared" si="19"/>
        <v xml:space="preserve"> </v>
      </c>
      <c r="AV18" s="323" t="str">
        <f t="shared" si="19"/>
        <v xml:space="preserve"> </v>
      </c>
      <c r="AW18" s="323" t="str">
        <f t="shared" si="19"/>
        <v xml:space="preserve"> </v>
      </c>
      <c r="AX18" s="323" t="str">
        <f t="shared" si="19"/>
        <v xml:space="preserve"> </v>
      </c>
      <c r="AY18" s="323" t="str">
        <f t="shared" si="19"/>
        <v xml:space="preserve"> </v>
      </c>
      <c r="AZ18" s="323" t="str">
        <f t="shared" si="19"/>
        <v xml:space="preserve"> </v>
      </c>
      <c r="BA18" s="323" t="str">
        <f t="shared" si="19"/>
        <v xml:space="preserve"> </v>
      </c>
      <c r="BB18" s="323" t="str">
        <f t="shared" si="19"/>
        <v xml:space="preserve"> </v>
      </c>
      <c r="BC18" s="323" t="str">
        <f t="shared" si="19"/>
        <v xml:space="preserve"> </v>
      </c>
      <c r="BD18" s="323" t="str">
        <f t="shared" si="19"/>
        <v xml:space="preserve"> </v>
      </c>
      <c r="BE18" s="323" t="str">
        <f t="shared" si="19"/>
        <v xml:space="preserve"> </v>
      </c>
    </row>
    <row r="19" spans="2:57" x14ac:dyDescent="0.25">
      <c r="B19" s="316"/>
      <c r="C19" s="171" t="s">
        <v>697</v>
      </c>
      <c r="D19" s="310" t="s">
        <v>688</v>
      </c>
      <c r="E19" s="310">
        <v>11</v>
      </c>
      <c r="F19" s="325">
        <v>2035</v>
      </c>
      <c r="G19" s="313">
        <v>2036</v>
      </c>
      <c r="H19" s="313">
        <f t="shared" si="16"/>
        <v>1</v>
      </c>
      <c r="J19" s="323" t="str">
        <f t="shared" si="17"/>
        <v xml:space="preserve"> </v>
      </c>
      <c r="K19" s="323" t="str">
        <f t="shared" si="17"/>
        <v xml:space="preserve"> </v>
      </c>
      <c r="L19" s="323" t="str">
        <f t="shared" si="17"/>
        <v xml:space="preserve"> </v>
      </c>
      <c r="M19" s="323" t="str">
        <f t="shared" si="17"/>
        <v xml:space="preserve"> </v>
      </c>
      <c r="N19" s="323" t="str">
        <f t="shared" si="17"/>
        <v xml:space="preserve"> </v>
      </c>
      <c r="O19" s="323" t="str">
        <f t="shared" si="17"/>
        <v xml:space="preserve"> </v>
      </c>
      <c r="P19" s="323" t="str">
        <f t="shared" si="17"/>
        <v xml:space="preserve"> </v>
      </c>
      <c r="Q19" s="323" t="str">
        <f t="shared" si="17"/>
        <v xml:space="preserve"> </v>
      </c>
      <c r="R19" s="323" t="str">
        <f t="shared" si="17"/>
        <v xml:space="preserve"> </v>
      </c>
      <c r="S19" s="323" t="str">
        <f t="shared" si="17"/>
        <v xml:space="preserve"> </v>
      </c>
      <c r="T19" s="323" t="str">
        <f t="shared" si="17"/>
        <v xml:space="preserve"> </v>
      </c>
      <c r="U19" s="323" t="str">
        <f t="shared" si="17"/>
        <v xml:space="preserve"> </v>
      </c>
      <c r="V19" s="323" t="str">
        <f t="shared" si="17"/>
        <v xml:space="preserve"> </v>
      </c>
      <c r="W19" s="323" t="str">
        <f t="shared" si="17"/>
        <v xml:space="preserve"> </v>
      </c>
      <c r="X19" s="323" t="str">
        <f t="shared" si="17"/>
        <v xml:space="preserve"> </v>
      </c>
      <c r="Y19" s="323" t="str">
        <f t="shared" si="17"/>
        <v xml:space="preserve"> </v>
      </c>
      <c r="Z19" s="323" t="str">
        <f t="shared" si="18"/>
        <v xml:space="preserve"> </v>
      </c>
      <c r="AA19" s="323">
        <f t="shared" si="18"/>
        <v>1</v>
      </c>
      <c r="AB19" s="323" t="str">
        <f t="shared" si="18"/>
        <v xml:space="preserve"> </v>
      </c>
      <c r="AC19" s="323" t="str">
        <f t="shared" si="18"/>
        <v xml:space="preserve"> </v>
      </c>
      <c r="AD19" s="323" t="str">
        <f t="shared" si="18"/>
        <v xml:space="preserve"> </v>
      </c>
      <c r="AE19" s="323" t="str">
        <f t="shared" si="18"/>
        <v xml:space="preserve"> </v>
      </c>
      <c r="AF19" s="323" t="str">
        <f t="shared" si="18"/>
        <v xml:space="preserve"> </v>
      </c>
      <c r="AG19" s="323" t="str">
        <f t="shared" si="18"/>
        <v xml:space="preserve"> </v>
      </c>
      <c r="AH19" s="323" t="str">
        <f t="shared" si="18"/>
        <v xml:space="preserve"> </v>
      </c>
      <c r="AI19" s="323" t="str">
        <f t="shared" si="18"/>
        <v xml:space="preserve"> </v>
      </c>
      <c r="AJ19" s="323" t="str">
        <f t="shared" si="18"/>
        <v xml:space="preserve"> </v>
      </c>
      <c r="AK19" s="323" t="str">
        <f t="shared" si="18"/>
        <v xml:space="preserve"> </v>
      </c>
      <c r="AL19" s="323" t="str">
        <f t="shared" si="18"/>
        <v xml:space="preserve"> </v>
      </c>
      <c r="AM19" s="323" t="str">
        <f t="shared" si="18"/>
        <v xml:space="preserve"> </v>
      </c>
      <c r="AN19" s="323" t="str">
        <f t="shared" si="18"/>
        <v xml:space="preserve"> </v>
      </c>
      <c r="AO19" s="323" t="str">
        <f t="shared" si="18"/>
        <v xml:space="preserve"> </v>
      </c>
      <c r="AP19" s="323" t="str">
        <f t="shared" si="19"/>
        <v xml:space="preserve"> </v>
      </c>
      <c r="AQ19" s="323" t="str">
        <f t="shared" si="19"/>
        <v xml:space="preserve"> </v>
      </c>
      <c r="AR19" s="323" t="str">
        <f t="shared" si="19"/>
        <v xml:space="preserve"> </v>
      </c>
      <c r="AS19" s="323" t="str">
        <f t="shared" si="19"/>
        <v xml:space="preserve"> </v>
      </c>
      <c r="AT19" s="323" t="str">
        <f t="shared" si="19"/>
        <v xml:space="preserve"> </v>
      </c>
      <c r="AU19" s="323" t="str">
        <f t="shared" si="19"/>
        <v xml:space="preserve"> </v>
      </c>
      <c r="AV19" s="323" t="str">
        <f t="shared" si="19"/>
        <v xml:space="preserve"> </v>
      </c>
      <c r="AW19" s="323" t="str">
        <f t="shared" si="19"/>
        <v xml:space="preserve"> </v>
      </c>
      <c r="AX19" s="323" t="str">
        <f t="shared" si="19"/>
        <v xml:space="preserve"> </v>
      </c>
      <c r="AY19" s="323" t="str">
        <f t="shared" si="19"/>
        <v xml:space="preserve"> </v>
      </c>
      <c r="AZ19" s="323" t="str">
        <f t="shared" si="19"/>
        <v xml:space="preserve"> </v>
      </c>
      <c r="BA19" s="323" t="str">
        <f t="shared" si="19"/>
        <v xml:space="preserve"> </v>
      </c>
      <c r="BB19" s="323" t="str">
        <f t="shared" si="19"/>
        <v xml:space="preserve"> </v>
      </c>
      <c r="BC19" s="323" t="str">
        <f t="shared" si="19"/>
        <v xml:space="preserve"> </v>
      </c>
      <c r="BD19" s="323" t="str">
        <f t="shared" si="19"/>
        <v xml:space="preserve"> </v>
      </c>
      <c r="BE19" s="323" t="str">
        <f t="shared" si="19"/>
        <v xml:space="preserve"> </v>
      </c>
    </row>
    <row r="20" spans="2:57" x14ac:dyDescent="0.25">
      <c r="B20" s="316"/>
      <c r="C20" s="171" t="s">
        <v>698</v>
      </c>
      <c r="D20" s="310" t="s">
        <v>688</v>
      </c>
      <c r="E20" s="310">
        <v>12</v>
      </c>
      <c r="F20" s="324">
        <v>2036</v>
      </c>
      <c r="G20" s="325">
        <v>2061</v>
      </c>
      <c r="H20" s="313">
        <f t="shared" si="16"/>
        <v>25</v>
      </c>
      <c r="J20" s="323" t="str">
        <f t="shared" si="17"/>
        <v xml:space="preserve"> </v>
      </c>
      <c r="K20" s="323" t="str">
        <f t="shared" si="17"/>
        <v xml:space="preserve"> </v>
      </c>
      <c r="L20" s="323" t="str">
        <f t="shared" si="17"/>
        <v xml:space="preserve"> </v>
      </c>
      <c r="M20" s="323" t="str">
        <f t="shared" si="17"/>
        <v xml:space="preserve"> </v>
      </c>
      <c r="N20" s="323" t="str">
        <f t="shared" si="17"/>
        <v xml:space="preserve"> </v>
      </c>
      <c r="O20" s="323" t="str">
        <f t="shared" si="17"/>
        <v xml:space="preserve"> </v>
      </c>
      <c r="P20" s="323" t="str">
        <f t="shared" si="17"/>
        <v xml:space="preserve"> </v>
      </c>
      <c r="Q20" s="323" t="str">
        <f t="shared" si="17"/>
        <v xml:space="preserve"> </v>
      </c>
      <c r="R20" s="323" t="str">
        <f t="shared" si="17"/>
        <v xml:space="preserve"> </v>
      </c>
      <c r="S20" s="323" t="str">
        <f t="shared" si="17"/>
        <v xml:space="preserve"> </v>
      </c>
      <c r="T20" s="323" t="str">
        <f t="shared" si="17"/>
        <v xml:space="preserve"> </v>
      </c>
      <c r="U20" s="323" t="str">
        <f t="shared" si="17"/>
        <v xml:space="preserve"> </v>
      </c>
      <c r="V20" s="323" t="str">
        <f t="shared" si="17"/>
        <v xml:space="preserve"> </v>
      </c>
      <c r="W20" s="323" t="str">
        <f t="shared" si="17"/>
        <v xml:space="preserve"> </v>
      </c>
      <c r="X20" s="323" t="str">
        <f t="shared" si="17"/>
        <v xml:space="preserve"> </v>
      </c>
      <c r="Y20" s="323" t="str">
        <f t="shared" si="17"/>
        <v xml:space="preserve"> </v>
      </c>
      <c r="Z20" s="323" t="str">
        <f t="shared" si="18"/>
        <v xml:space="preserve"> </v>
      </c>
      <c r="AA20" s="323" t="str">
        <f t="shared" si="18"/>
        <v xml:space="preserve"> </v>
      </c>
      <c r="AB20" s="323">
        <f t="shared" si="18"/>
        <v>1</v>
      </c>
      <c r="AC20" s="323">
        <f t="shared" si="18"/>
        <v>1</v>
      </c>
      <c r="AD20" s="323">
        <f t="shared" si="18"/>
        <v>1</v>
      </c>
      <c r="AE20" s="323">
        <f t="shared" si="18"/>
        <v>1</v>
      </c>
      <c r="AF20" s="323">
        <f t="shared" si="18"/>
        <v>1</v>
      </c>
      <c r="AG20" s="323">
        <f t="shared" si="18"/>
        <v>1</v>
      </c>
      <c r="AH20" s="323">
        <f t="shared" si="18"/>
        <v>1</v>
      </c>
      <c r="AI20" s="323">
        <f t="shared" si="18"/>
        <v>1</v>
      </c>
      <c r="AJ20" s="323">
        <f t="shared" si="18"/>
        <v>1</v>
      </c>
      <c r="AK20" s="323">
        <f t="shared" si="18"/>
        <v>1</v>
      </c>
      <c r="AL20" s="323">
        <f t="shared" si="18"/>
        <v>1</v>
      </c>
      <c r="AM20" s="323">
        <f t="shared" si="18"/>
        <v>1</v>
      </c>
      <c r="AN20" s="323">
        <f t="shared" si="18"/>
        <v>1</v>
      </c>
      <c r="AO20" s="323">
        <f t="shared" si="18"/>
        <v>1</v>
      </c>
      <c r="AP20" s="323">
        <f t="shared" si="19"/>
        <v>1</v>
      </c>
      <c r="AQ20" s="323">
        <f t="shared" si="19"/>
        <v>1</v>
      </c>
      <c r="AR20" s="323">
        <f t="shared" si="19"/>
        <v>1</v>
      </c>
      <c r="AS20" s="323">
        <f t="shared" si="19"/>
        <v>1</v>
      </c>
      <c r="AT20" s="323">
        <f t="shared" si="19"/>
        <v>1</v>
      </c>
      <c r="AU20" s="323">
        <f t="shared" si="19"/>
        <v>1</v>
      </c>
      <c r="AV20" s="323">
        <f t="shared" si="19"/>
        <v>1</v>
      </c>
      <c r="AW20" s="323">
        <f t="shared" si="19"/>
        <v>1</v>
      </c>
      <c r="AX20" s="323">
        <f t="shared" si="19"/>
        <v>1</v>
      </c>
      <c r="AY20" s="323">
        <f t="shared" si="19"/>
        <v>1</v>
      </c>
      <c r="AZ20" s="323">
        <f t="shared" si="19"/>
        <v>1</v>
      </c>
      <c r="BA20" s="323" t="str">
        <f t="shared" si="19"/>
        <v xml:space="preserve"> </v>
      </c>
      <c r="BB20" s="323" t="str">
        <f t="shared" si="19"/>
        <v xml:space="preserve"> </v>
      </c>
      <c r="BC20" s="323" t="str">
        <f t="shared" si="19"/>
        <v xml:space="preserve"> </v>
      </c>
      <c r="BD20" s="323" t="str">
        <f t="shared" si="19"/>
        <v xml:space="preserve"> </v>
      </c>
      <c r="BE20" s="323" t="str">
        <f t="shared" si="19"/>
        <v xml:space="preserve"> </v>
      </c>
    </row>
    <row r="21" spans="2:57" x14ac:dyDescent="0.25">
      <c r="B21" s="316"/>
      <c r="C21" s="171" t="s">
        <v>699</v>
      </c>
      <c r="D21" s="310" t="s">
        <v>688</v>
      </c>
      <c r="E21" s="310">
        <v>13</v>
      </c>
      <c r="F21" s="324">
        <v>2061</v>
      </c>
      <c r="G21" s="325">
        <v>2062</v>
      </c>
      <c r="H21" s="313">
        <f t="shared" si="16"/>
        <v>1</v>
      </c>
      <c r="J21" s="323" t="str">
        <f t="shared" si="17"/>
        <v xml:space="preserve"> </v>
      </c>
      <c r="K21" s="323" t="str">
        <f t="shared" si="17"/>
        <v xml:space="preserve"> </v>
      </c>
      <c r="L21" s="323" t="str">
        <f t="shared" si="17"/>
        <v xml:space="preserve"> </v>
      </c>
      <c r="M21" s="323" t="str">
        <f t="shared" si="17"/>
        <v xml:space="preserve"> </v>
      </c>
      <c r="N21" s="323" t="str">
        <f t="shared" si="17"/>
        <v xml:space="preserve"> </v>
      </c>
      <c r="O21" s="323" t="str">
        <f t="shared" si="17"/>
        <v xml:space="preserve"> </v>
      </c>
      <c r="P21" s="323" t="str">
        <f t="shared" si="17"/>
        <v xml:space="preserve"> </v>
      </c>
      <c r="Q21" s="323" t="str">
        <f t="shared" si="17"/>
        <v xml:space="preserve"> </v>
      </c>
      <c r="R21" s="323" t="str">
        <f t="shared" si="17"/>
        <v xml:space="preserve"> </v>
      </c>
      <c r="S21" s="323" t="str">
        <f t="shared" si="17"/>
        <v xml:space="preserve"> </v>
      </c>
      <c r="T21" s="323" t="str">
        <f t="shared" si="17"/>
        <v xml:space="preserve"> </v>
      </c>
      <c r="U21" s="323" t="str">
        <f t="shared" si="17"/>
        <v xml:space="preserve"> </v>
      </c>
      <c r="V21" s="323" t="str">
        <f t="shared" si="17"/>
        <v xml:space="preserve"> </v>
      </c>
      <c r="W21" s="323" t="str">
        <f t="shared" si="17"/>
        <v xml:space="preserve"> </v>
      </c>
      <c r="X21" s="323" t="str">
        <f t="shared" si="17"/>
        <v xml:space="preserve"> </v>
      </c>
      <c r="Y21" s="323" t="str">
        <f t="shared" si="17"/>
        <v xml:space="preserve"> </v>
      </c>
      <c r="Z21" s="323" t="str">
        <f t="shared" si="18"/>
        <v xml:space="preserve"> </v>
      </c>
      <c r="AA21" s="323" t="str">
        <f t="shared" si="18"/>
        <v xml:space="preserve"> </v>
      </c>
      <c r="AB21" s="323" t="str">
        <f t="shared" si="18"/>
        <v xml:space="preserve"> </v>
      </c>
      <c r="AC21" s="323" t="str">
        <f t="shared" si="18"/>
        <v xml:space="preserve"> </v>
      </c>
      <c r="AD21" s="323" t="str">
        <f t="shared" si="18"/>
        <v xml:space="preserve"> </v>
      </c>
      <c r="AE21" s="323" t="str">
        <f t="shared" si="18"/>
        <v xml:space="preserve"> </v>
      </c>
      <c r="AF21" s="323" t="str">
        <f t="shared" si="18"/>
        <v xml:space="preserve"> </v>
      </c>
      <c r="AG21" s="323" t="str">
        <f t="shared" si="18"/>
        <v xml:space="preserve"> </v>
      </c>
      <c r="AH21" s="323" t="str">
        <f t="shared" si="18"/>
        <v xml:space="preserve"> </v>
      </c>
      <c r="AI21" s="323" t="str">
        <f t="shared" si="18"/>
        <v xml:space="preserve"> </v>
      </c>
      <c r="AJ21" s="323" t="str">
        <f t="shared" si="18"/>
        <v xml:space="preserve"> </v>
      </c>
      <c r="AK21" s="323" t="str">
        <f t="shared" si="18"/>
        <v xml:space="preserve"> </v>
      </c>
      <c r="AL21" s="323" t="str">
        <f t="shared" si="18"/>
        <v xml:space="preserve"> </v>
      </c>
      <c r="AM21" s="323" t="str">
        <f t="shared" si="18"/>
        <v xml:space="preserve"> </v>
      </c>
      <c r="AN21" s="323" t="str">
        <f t="shared" si="18"/>
        <v xml:space="preserve"> </v>
      </c>
      <c r="AO21" s="323" t="str">
        <f t="shared" si="18"/>
        <v xml:space="preserve"> </v>
      </c>
      <c r="AP21" s="323" t="str">
        <f t="shared" si="19"/>
        <v xml:space="preserve"> </v>
      </c>
      <c r="AQ21" s="323" t="str">
        <f t="shared" si="19"/>
        <v xml:space="preserve"> </v>
      </c>
      <c r="AR21" s="323" t="str">
        <f t="shared" si="19"/>
        <v xml:space="preserve"> </v>
      </c>
      <c r="AS21" s="323" t="str">
        <f t="shared" si="19"/>
        <v xml:space="preserve"> </v>
      </c>
      <c r="AT21" s="323" t="str">
        <f t="shared" si="19"/>
        <v xml:space="preserve"> </v>
      </c>
      <c r="AU21" s="323" t="str">
        <f t="shared" si="19"/>
        <v xml:space="preserve"> </v>
      </c>
      <c r="AV21" s="323" t="str">
        <f t="shared" si="19"/>
        <v xml:space="preserve"> </v>
      </c>
      <c r="AW21" s="323" t="str">
        <f t="shared" si="19"/>
        <v xml:space="preserve"> </v>
      </c>
      <c r="AX21" s="323" t="str">
        <f t="shared" si="19"/>
        <v xml:space="preserve"> </v>
      </c>
      <c r="AY21" s="323" t="str">
        <f t="shared" si="19"/>
        <v xml:space="preserve"> </v>
      </c>
      <c r="AZ21" s="323" t="str">
        <f t="shared" si="19"/>
        <v xml:space="preserve"> </v>
      </c>
      <c r="BA21" s="323">
        <f t="shared" si="19"/>
        <v>1</v>
      </c>
      <c r="BB21" s="323" t="str">
        <f t="shared" si="19"/>
        <v xml:space="preserve"> </v>
      </c>
      <c r="BC21" s="323" t="str">
        <f t="shared" si="19"/>
        <v xml:space="preserve"> </v>
      </c>
      <c r="BD21" s="323" t="str">
        <f t="shared" si="19"/>
        <v xml:space="preserve"> </v>
      </c>
      <c r="BE21" s="323" t="str">
        <f t="shared" si="19"/>
        <v xml:space="preserve"> </v>
      </c>
    </row>
    <row r="22" spans="2:57" x14ac:dyDescent="0.25">
      <c r="B22" s="317"/>
      <c r="C22" s="171" t="s">
        <v>676</v>
      </c>
      <c r="D22" s="310" t="s">
        <v>688</v>
      </c>
      <c r="E22" s="310">
        <v>14</v>
      </c>
      <c r="F22" s="325">
        <v>2061</v>
      </c>
      <c r="G22" s="310">
        <v>2062</v>
      </c>
      <c r="H22" s="313">
        <f t="shared" si="16"/>
        <v>1</v>
      </c>
      <c r="J22" s="323" t="str">
        <f t="shared" si="17"/>
        <v xml:space="preserve"> </v>
      </c>
      <c r="K22" s="323" t="str">
        <f t="shared" si="17"/>
        <v xml:space="preserve"> </v>
      </c>
      <c r="L22" s="323" t="str">
        <f t="shared" si="17"/>
        <v xml:space="preserve"> </v>
      </c>
      <c r="M22" s="323" t="str">
        <f t="shared" si="17"/>
        <v xml:space="preserve"> </v>
      </c>
      <c r="N22" s="323" t="str">
        <f t="shared" si="17"/>
        <v xml:space="preserve"> </v>
      </c>
      <c r="O22" s="323" t="str">
        <f t="shared" si="17"/>
        <v xml:space="preserve"> </v>
      </c>
      <c r="P22" s="323" t="str">
        <f t="shared" si="17"/>
        <v xml:space="preserve"> </v>
      </c>
      <c r="Q22" s="323" t="str">
        <f t="shared" si="17"/>
        <v xml:space="preserve"> </v>
      </c>
      <c r="R22" s="323" t="str">
        <f t="shared" si="17"/>
        <v xml:space="preserve"> </v>
      </c>
      <c r="S22" s="323" t="str">
        <f t="shared" si="17"/>
        <v xml:space="preserve"> </v>
      </c>
      <c r="T22" s="323" t="str">
        <f t="shared" si="17"/>
        <v xml:space="preserve"> </v>
      </c>
      <c r="U22" s="323" t="str">
        <f t="shared" si="17"/>
        <v xml:space="preserve"> </v>
      </c>
      <c r="V22" s="323" t="str">
        <f t="shared" si="17"/>
        <v xml:space="preserve"> </v>
      </c>
      <c r="W22" s="323" t="str">
        <f t="shared" si="17"/>
        <v xml:space="preserve"> </v>
      </c>
      <c r="X22" s="323" t="str">
        <f t="shared" si="17"/>
        <v xml:space="preserve"> </v>
      </c>
      <c r="Y22" s="323" t="str">
        <f t="shared" si="17"/>
        <v xml:space="preserve"> </v>
      </c>
      <c r="Z22" s="323" t="str">
        <f t="shared" si="18"/>
        <v xml:space="preserve"> </v>
      </c>
      <c r="AA22" s="323" t="str">
        <f t="shared" si="18"/>
        <v xml:space="preserve"> </v>
      </c>
      <c r="AB22" s="323" t="str">
        <f t="shared" si="18"/>
        <v xml:space="preserve"> </v>
      </c>
      <c r="AC22" s="323" t="str">
        <f t="shared" si="18"/>
        <v xml:space="preserve"> </v>
      </c>
      <c r="AD22" s="323" t="str">
        <f t="shared" si="18"/>
        <v xml:space="preserve"> </v>
      </c>
      <c r="AE22" s="323" t="str">
        <f t="shared" si="18"/>
        <v xml:space="preserve"> </v>
      </c>
      <c r="AF22" s="323" t="str">
        <f t="shared" si="18"/>
        <v xml:space="preserve"> </v>
      </c>
      <c r="AG22" s="323" t="str">
        <f t="shared" si="18"/>
        <v xml:space="preserve"> </v>
      </c>
      <c r="AH22" s="323" t="str">
        <f t="shared" si="18"/>
        <v xml:space="preserve"> </v>
      </c>
      <c r="AI22" s="323" t="str">
        <f t="shared" si="18"/>
        <v xml:space="preserve"> </v>
      </c>
      <c r="AJ22" s="323" t="str">
        <f t="shared" si="18"/>
        <v xml:space="preserve"> </v>
      </c>
      <c r="AK22" s="323" t="str">
        <f t="shared" si="18"/>
        <v xml:space="preserve"> </v>
      </c>
      <c r="AL22" s="323" t="str">
        <f t="shared" si="18"/>
        <v xml:space="preserve"> </v>
      </c>
      <c r="AM22" s="323" t="str">
        <f t="shared" si="18"/>
        <v xml:space="preserve"> </v>
      </c>
      <c r="AN22" s="323" t="str">
        <f t="shared" si="18"/>
        <v xml:space="preserve"> </v>
      </c>
      <c r="AO22" s="323" t="str">
        <f t="shared" si="18"/>
        <v xml:space="preserve"> </v>
      </c>
      <c r="AP22" s="323" t="str">
        <f t="shared" si="19"/>
        <v xml:space="preserve"> </v>
      </c>
      <c r="AQ22" s="323" t="str">
        <f t="shared" si="19"/>
        <v xml:space="preserve"> </v>
      </c>
      <c r="AR22" s="323" t="str">
        <f t="shared" si="19"/>
        <v xml:space="preserve"> </v>
      </c>
      <c r="AS22" s="323" t="str">
        <f t="shared" si="19"/>
        <v xml:space="preserve"> </v>
      </c>
      <c r="AT22" s="323" t="str">
        <f t="shared" si="19"/>
        <v xml:space="preserve"> </v>
      </c>
      <c r="AU22" s="323" t="str">
        <f t="shared" si="19"/>
        <v xml:space="preserve"> </v>
      </c>
      <c r="AV22" s="323" t="str">
        <f t="shared" si="19"/>
        <v xml:space="preserve"> </v>
      </c>
      <c r="AW22" s="323" t="str">
        <f t="shared" si="19"/>
        <v xml:space="preserve"> </v>
      </c>
      <c r="AX22" s="323" t="str">
        <f t="shared" si="19"/>
        <v xml:space="preserve"> </v>
      </c>
      <c r="AY22" s="323" t="str">
        <f t="shared" si="19"/>
        <v xml:space="preserve"> </v>
      </c>
      <c r="AZ22" s="323" t="str">
        <f t="shared" si="19"/>
        <v xml:space="preserve"> </v>
      </c>
      <c r="BA22" s="323">
        <f t="shared" si="19"/>
        <v>1</v>
      </c>
      <c r="BB22" s="323" t="str">
        <f t="shared" si="19"/>
        <v xml:space="preserve"> </v>
      </c>
      <c r="BC22" s="323" t="str">
        <f t="shared" si="19"/>
        <v xml:space="preserve"> </v>
      </c>
      <c r="BD22" s="323" t="str">
        <f t="shared" si="19"/>
        <v xml:space="preserve"> </v>
      </c>
      <c r="BE22" s="323" t="str">
        <f t="shared" si="19"/>
        <v xml:space="preserve"> </v>
      </c>
    </row>
    <row r="24" spans="2:57" ht="15.75" thickBot="1" x14ac:dyDescent="0.3">
      <c r="J24" s="171" t="s">
        <v>680</v>
      </c>
    </row>
    <row r="25" spans="2:57" ht="16.5" thickTop="1" thickBot="1" x14ac:dyDescent="0.3">
      <c r="B25" s="430"/>
      <c r="C25" s="431" t="s">
        <v>929</v>
      </c>
      <c r="D25" s="431" t="s">
        <v>930</v>
      </c>
      <c r="E25" s="431" t="s">
        <v>592</v>
      </c>
      <c r="F25" s="322" t="s">
        <v>684</v>
      </c>
      <c r="G25" s="322" t="s">
        <v>685</v>
      </c>
      <c r="H25" s="322" t="s">
        <v>686</v>
      </c>
      <c r="J25" s="171">
        <f>J8</f>
        <v>2018</v>
      </c>
      <c r="K25" s="171">
        <f t="shared" ref="K25:AP25" si="20">K8</f>
        <v>2019</v>
      </c>
      <c r="L25" s="171">
        <f t="shared" si="20"/>
        <v>2020</v>
      </c>
      <c r="M25" s="171">
        <f t="shared" si="20"/>
        <v>2021</v>
      </c>
      <c r="N25" s="171">
        <f t="shared" si="20"/>
        <v>2022</v>
      </c>
      <c r="O25" s="171">
        <f t="shared" si="20"/>
        <v>2023</v>
      </c>
      <c r="P25" s="171">
        <f t="shared" si="20"/>
        <v>2024</v>
      </c>
      <c r="Q25" s="171">
        <f t="shared" si="20"/>
        <v>2025</v>
      </c>
      <c r="R25" s="171">
        <f t="shared" si="20"/>
        <v>2026</v>
      </c>
      <c r="S25" s="171">
        <f t="shared" si="20"/>
        <v>2027</v>
      </c>
      <c r="T25" s="171">
        <f t="shared" si="20"/>
        <v>2028</v>
      </c>
      <c r="U25" s="171">
        <f t="shared" si="20"/>
        <v>2029</v>
      </c>
      <c r="V25" s="171">
        <f t="shared" si="20"/>
        <v>2030</v>
      </c>
      <c r="W25" s="171">
        <f t="shared" si="20"/>
        <v>2031</v>
      </c>
      <c r="X25" s="171">
        <f t="shared" si="20"/>
        <v>2032</v>
      </c>
      <c r="Y25" s="171">
        <f t="shared" si="20"/>
        <v>2033</v>
      </c>
      <c r="Z25" s="171">
        <f t="shared" si="20"/>
        <v>2034</v>
      </c>
      <c r="AA25" s="171">
        <f t="shared" si="20"/>
        <v>2035</v>
      </c>
      <c r="AB25" s="171">
        <f t="shared" si="20"/>
        <v>2036</v>
      </c>
      <c r="AC25" s="171">
        <f t="shared" si="20"/>
        <v>2037</v>
      </c>
      <c r="AD25" s="171">
        <f t="shared" si="20"/>
        <v>2038</v>
      </c>
      <c r="AE25" s="171">
        <f t="shared" si="20"/>
        <v>2039</v>
      </c>
      <c r="AF25" s="171">
        <f t="shared" si="20"/>
        <v>2040</v>
      </c>
      <c r="AG25" s="171">
        <f t="shared" si="20"/>
        <v>2041</v>
      </c>
      <c r="AH25" s="171">
        <f t="shared" si="20"/>
        <v>2042</v>
      </c>
      <c r="AI25" s="171">
        <f t="shared" si="20"/>
        <v>2043</v>
      </c>
      <c r="AJ25" s="171">
        <f t="shared" si="20"/>
        <v>2044</v>
      </c>
      <c r="AK25" s="171">
        <f t="shared" si="20"/>
        <v>2045</v>
      </c>
      <c r="AL25" s="171">
        <f t="shared" si="20"/>
        <v>2046</v>
      </c>
      <c r="AM25" s="171">
        <f t="shared" si="20"/>
        <v>2047</v>
      </c>
      <c r="AN25" s="171">
        <f t="shared" si="20"/>
        <v>2048</v>
      </c>
      <c r="AO25" s="171">
        <f t="shared" si="20"/>
        <v>2049</v>
      </c>
      <c r="AP25" s="171">
        <f t="shared" si="20"/>
        <v>2050</v>
      </c>
      <c r="AQ25" s="171">
        <f t="shared" ref="AQ25:BE25" si="21">AQ8</f>
        <v>2051</v>
      </c>
      <c r="AR25" s="171">
        <f t="shared" si="21"/>
        <v>2052</v>
      </c>
      <c r="AS25" s="171">
        <f t="shared" si="21"/>
        <v>2053</v>
      </c>
      <c r="AT25" s="171">
        <f t="shared" si="21"/>
        <v>2054</v>
      </c>
      <c r="AU25" s="171">
        <f t="shared" si="21"/>
        <v>2055</v>
      </c>
      <c r="AV25" s="171">
        <f t="shared" si="21"/>
        <v>2056</v>
      </c>
      <c r="AW25" s="171">
        <f t="shared" si="21"/>
        <v>2057</v>
      </c>
      <c r="AX25" s="171">
        <f t="shared" si="21"/>
        <v>2058</v>
      </c>
      <c r="AY25" s="171">
        <f t="shared" si="21"/>
        <v>2059</v>
      </c>
      <c r="AZ25" s="171">
        <f t="shared" si="21"/>
        <v>2060</v>
      </c>
      <c r="BA25" s="171">
        <f t="shared" si="21"/>
        <v>2061</v>
      </c>
      <c r="BB25" s="171">
        <f t="shared" si="21"/>
        <v>2062</v>
      </c>
      <c r="BC25" s="171">
        <f t="shared" si="21"/>
        <v>2063</v>
      </c>
      <c r="BD25" s="171">
        <f t="shared" si="21"/>
        <v>2064</v>
      </c>
      <c r="BE25" s="171">
        <f t="shared" si="21"/>
        <v>2065</v>
      </c>
    </row>
    <row r="26" spans="2:57" ht="15.75" thickTop="1" x14ac:dyDescent="0.25">
      <c r="B26" s="432"/>
      <c r="C26" s="430" t="s">
        <v>931</v>
      </c>
      <c r="D26" s="430" t="s">
        <v>932</v>
      </c>
      <c r="E26" s="916">
        <v>32</v>
      </c>
      <c r="F26" s="313">
        <f>F11</f>
        <v>2023</v>
      </c>
      <c r="G26" s="313">
        <f>G11</f>
        <v>2035</v>
      </c>
      <c r="H26" s="313">
        <f>G26-F26</f>
        <v>12</v>
      </c>
      <c r="J26" s="433">
        <f>IF(AND($F26&gt;=$J$8,J$8&gt;=$F26),$E26,)</f>
        <v>0</v>
      </c>
      <c r="K26" s="433">
        <f t="shared" ref="K26:Z29" si="22">IF(AND($F26&gt;=$J$8,K$8&gt;=$F26),$E26,)</f>
        <v>0</v>
      </c>
      <c r="L26" s="433">
        <f t="shared" si="22"/>
        <v>0</v>
      </c>
      <c r="M26" s="433">
        <f t="shared" si="22"/>
        <v>0</v>
      </c>
      <c r="N26" s="433">
        <f t="shared" si="22"/>
        <v>0</v>
      </c>
      <c r="O26" s="433">
        <f t="shared" si="22"/>
        <v>32</v>
      </c>
      <c r="P26" s="433">
        <f t="shared" si="22"/>
        <v>32</v>
      </c>
      <c r="Q26" s="433">
        <f t="shared" si="22"/>
        <v>32</v>
      </c>
      <c r="R26" s="433">
        <f t="shared" si="22"/>
        <v>32</v>
      </c>
      <c r="S26" s="433">
        <f t="shared" si="22"/>
        <v>32</v>
      </c>
      <c r="T26" s="433">
        <f t="shared" si="22"/>
        <v>32</v>
      </c>
      <c r="U26" s="433">
        <f t="shared" si="22"/>
        <v>32</v>
      </c>
      <c r="V26" s="433">
        <f t="shared" si="22"/>
        <v>32</v>
      </c>
      <c r="W26" s="433">
        <f t="shared" si="22"/>
        <v>32</v>
      </c>
      <c r="X26" s="433">
        <f t="shared" si="22"/>
        <v>32</v>
      </c>
      <c r="Y26" s="433">
        <f t="shared" si="22"/>
        <v>32</v>
      </c>
      <c r="Z26" s="433">
        <f t="shared" si="22"/>
        <v>32</v>
      </c>
      <c r="AA26" s="433">
        <f t="shared" ref="AA26:AQ29" si="23">IF(AND($F26&gt;=$J$8,AA$8&gt;=$F26),$E26,)</f>
        <v>32</v>
      </c>
      <c r="AB26" s="433">
        <f t="shared" si="23"/>
        <v>32</v>
      </c>
      <c r="AC26" s="433">
        <f t="shared" si="23"/>
        <v>32</v>
      </c>
      <c r="AD26" s="433">
        <f t="shared" si="23"/>
        <v>32</v>
      </c>
      <c r="AE26" s="433">
        <f t="shared" si="23"/>
        <v>32</v>
      </c>
      <c r="AF26" s="433">
        <f t="shared" si="23"/>
        <v>32</v>
      </c>
      <c r="AG26" s="433">
        <f t="shared" si="23"/>
        <v>32</v>
      </c>
      <c r="AH26" s="433">
        <f t="shared" si="23"/>
        <v>32</v>
      </c>
      <c r="AI26" s="433">
        <f t="shared" si="23"/>
        <v>32</v>
      </c>
      <c r="AJ26" s="433">
        <f t="shared" si="23"/>
        <v>32</v>
      </c>
      <c r="AK26" s="433">
        <f t="shared" si="23"/>
        <v>32</v>
      </c>
      <c r="AL26" s="433">
        <f t="shared" si="23"/>
        <v>32</v>
      </c>
      <c r="AM26" s="433">
        <f t="shared" si="23"/>
        <v>32</v>
      </c>
      <c r="AN26" s="433">
        <f t="shared" si="23"/>
        <v>32</v>
      </c>
      <c r="AO26" s="433">
        <f t="shared" si="23"/>
        <v>32</v>
      </c>
      <c r="AP26" s="433">
        <f t="shared" si="23"/>
        <v>32</v>
      </c>
      <c r="AQ26" s="433">
        <f t="shared" si="23"/>
        <v>32</v>
      </c>
      <c r="AR26" s="433">
        <f t="shared" ref="AQ26:BE29" si="24">IF(AND($F26&gt;=$J$8,AR$8&gt;=$F26),$E26,)</f>
        <v>32</v>
      </c>
      <c r="AS26" s="433">
        <f t="shared" si="24"/>
        <v>32</v>
      </c>
      <c r="AT26" s="433">
        <f t="shared" si="24"/>
        <v>32</v>
      </c>
      <c r="AU26" s="433">
        <f t="shared" si="24"/>
        <v>32</v>
      </c>
      <c r="AV26" s="433">
        <f t="shared" si="24"/>
        <v>32</v>
      </c>
      <c r="AW26" s="433">
        <f t="shared" si="24"/>
        <v>32</v>
      </c>
      <c r="AX26" s="433">
        <f t="shared" si="24"/>
        <v>32</v>
      </c>
      <c r="AY26" s="433">
        <f t="shared" si="24"/>
        <v>32</v>
      </c>
      <c r="AZ26" s="433">
        <f t="shared" si="24"/>
        <v>32</v>
      </c>
      <c r="BA26" s="433">
        <f t="shared" si="24"/>
        <v>32</v>
      </c>
      <c r="BB26" s="433">
        <f t="shared" si="24"/>
        <v>32</v>
      </c>
      <c r="BC26" s="433">
        <f t="shared" si="24"/>
        <v>32</v>
      </c>
      <c r="BD26" s="433">
        <f t="shared" si="24"/>
        <v>32</v>
      </c>
      <c r="BE26" s="433">
        <f t="shared" si="24"/>
        <v>32</v>
      </c>
    </row>
    <row r="27" spans="2:57" x14ac:dyDescent="0.25">
      <c r="B27" s="434"/>
      <c r="C27" s="430" t="s">
        <v>933</v>
      </c>
      <c r="D27" s="430" t="s">
        <v>934</v>
      </c>
      <c r="E27" s="916">
        <v>10</v>
      </c>
      <c r="F27" s="313">
        <f>F14</f>
        <v>2028</v>
      </c>
      <c r="G27" s="313">
        <f>G14</f>
        <v>2053</v>
      </c>
      <c r="H27" s="313">
        <f t="shared" ref="H27:H29" si="25">G27-F27</f>
        <v>25</v>
      </c>
      <c r="J27" s="433">
        <f t="shared" ref="J27:J29" si="26">IF(AND($F27&gt;=$J$8,J$8&gt;=$F27),$E27,)</f>
        <v>0</v>
      </c>
      <c r="K27" s="433">
        <f t="shared" si="22"/>
        <v>0</v>
      </c>
      <c r="L27" s="433">
        <f t="shared" si="22"/>
        <v>0</v>
      </c>
      <c r="M27" s="433">
        <f t="shared" si="22"/>
        <v>0</v>
      </c>
      <c r="N27" s="433">
        <f t="shared" si="22"/>
        <v>0</v>
      </c>
      <c r="O27" s="433">
        <f t="shared" si="22"/>
        <v>0</v>
      </c>
      <c r="P27" s="433">
        <f t="shared" si="22"/>
        <v>0</v>
      </c>
      <c r="Q27" s="433">
        <f t="shared" si="22"/>
        <v>0</v>
      </c>
      <c r="R27" s="433">
        <f t="shared" si="22"/>
        <v>0</v>
      </c>
      <c r="S27" s="433">
        <f t="shared" si="22"/>
        <v>0</v>
      </c>
      <c r="T27" s="433">
        <f t="shared" si="22"/>
        <v>10</v>
      </c>
      <c r="U27" s="433">
        <f t="shared" si="22"/>
        <v>10</v>
      </c>
      <c r="V27" s="433">
        <f t="shared" si="22"/>
        <v>10</v>
      </c>
      <c r="W27" s="433">
        <f t="shared" si="22"/>
        <v>10</v>
      </c>
      <c r="X27" s="433">
        <f t="shared" si="22"/>
        <v>10</v>
      </c>
      <c r="Y27" s="433">
        <f t="shared" si="22"/>
        <v>10</v>
      </c>
      <c r="Z27" s="433">
        <f t="shared" si="22"/>
        <v>10</v>
      </c>
      <c r="AA27" s="433">
        <f t="shared" si="23"/>
        <v>10</v>
      </c>
      <c r="AB27" s="433">
        <f t="shared" si="23"/>
        <v>10</v>
      </c>
      <c r="AC27" s="433">
        <f t="shared" si="23"/>
        <v>10</v>
      </c>
      <c r="AD27" s="433">
        <f t="shared" si="23"/>
        <v>10</v>
      </c>
      <c r="AE27" s="433">
        <f t="shared" si="23"/>
        <v>10</v>
      </c>
      <c r="AF27" s="433">
        <f t="shared" si="23"/>
        <v>10</v>
      </c>
      <c r="AG27" s="433">
        <f t="shared" si="23"/>
        <v>10</v>
      </c>
      <c r="AH27" s="433">
        <f t="shared" si="23"/>
        <v>10</v>
      </c>
      <c r="AI27" s="433">
        <f t="shared" si="23"/>
        <v>10</v>
      </c>
      <c r="AJ27" s="433">
        <f t="shared" si="23"/>
        <v>10</v>
      </c>
      <c r="AK27" s="433">
        <f t="shared" si="23"/>
        <v>10</v>
      </c>
      <c r="AL27" s="433">
        <f t="shared" si="23"/>
        <v>10</v>
      </c>
      <c r="AM27" s="433">
        <f t="shared" si="23"/>
        <v>10</v>
      </c>
      <c r="AN27" s="433">
        <f t="shared" si="23"/>
        <v>10</v>
      </c>
      <c r="AO27" s="433">
        <f t="shared" si="23"/>
        <v>10</v>
      </c>
      <c r="AP27" s="433">
        <f t="shared" si="23"/>
        <v>10</v>
      </c>
      <c r="AQ27" s="433">
        <f t="shared" si="24"/>
        <v>10</v>
      </c>
      <c r="AR27" s="433">
        <f t="shared" si="24"/>
        <v>10</v>
      </c>
      <c r="AS27" s="433">
        <f t="shared" si="24"/>
        <v>10</v>
      </c>
      <c r="AT27" s="433">
        <f t="shared" si="24"/>
        <v>10</v>
      </c>
      <c r="AU27" s="433">
        <f t="shared" si="24"/>
        <v>10</v>
      </c>
      <c r="AV27" s="433">
        <f t="shared" si="24"/>
        <v>10</v>
      </c>
      <c r="AW27" s="433">
        <f t="shared" si="24"/>
        <v>10</v>
      </c>
      <c r="AX27" s="433">
        <f t="shared" si="24"/>
        <v>10</v>
      </c>
      <c r="AY27" s="433">
        <f t="shared" si="24"/>
        <v>10</v>
      </c>
      <c r="AZ27" s="433">
        <f t="shared" si="24"/>
        <v>10</v>
      </c>
      <c r="BA27" s="433">
        <f t="shared" si="24"/>
        <v>10</v>
      </c>
      <c r="BB27" s="433">
        <f t="shared" si="24"/>
        <v>10</v>
      </c>
      <c r="BC27" s="433">
        <f t="shared" si="24"/>
        <v>10</v>
      </c>
      <c r="BD27" s="433">
        <f t="shared" si="24"/>
        <v>10</v>
      </c>
      <c r="BE27" s="433">
        <f t="shared" si="24"/>
        <v>10</v>
      </c>
    </row>
    <row r="28" spans="2:57" x14ac:dyDescent="0.25">
      <c r="B28" s="30"/>
      <c r="C28" s="430" t="s">
        <v>935</v>
      </c>
      <c r="D28" s="430" t="s">
        <v>936</v>
      </c>
      <c r="E28" s="916">
        <v>10</v>
      </c>
      <c r="F28" s="313">
        <f>F17</f>
        <v>2024</v>
      </c>
      <c r="G28" s="313">
        <f>G17</f>
        <v>2049</v>
      </c>
      <c r="H28" s="313">
        <f t="shared" si="25"/>
        <v>25</v>
      </c>
      <c r="J28" s="433">
        <f t="shared" si="26"/>
        <v>0</v>
      </c>
      <c r="K28" s="433">
        <f t="shared" si="22"/>
        <v>0</v>
      </c>
      <c r="L28" s="433">
        <f t="shared" si="22"/>
        <v>0</v>
      </c>
      <c r="M28" s="433">
        <f t="shared" si="22"/>
        <v>0</v>
      </c>
      <c r="N28" s="433">
        <f t="shared" si="22"/>
        <v>0</v>
      </c>
      <c r="O28" s="433">
        <f t="shared" si="22"/>
        <v>0</v>
      </c>
      <c r="P28" s="433">
        <f t="shared" si="22"/>
        <v>10</v>
      </c>
      <c r="Q28" s="433">
        <f t="shared" si="22"/>
        <v>10</v>
      </c>
      <c r="R28" s="433">
        <f t="shared" si="22"/>
        <v>10</v>
      </c>
      <c r="S28" s="433">
        <f t="shared" si="22"/>
        <v>10</v>
      </c>
      <c r="T28" s="433">
        <f t="shared" si="22"/>
        <v>10</v>
      </c>
      <c r="U28" s="433">
        <f t="shared" si="22"/>
        <v>10</v>
      </c>
      <c r="V28" s="433">
        <f t="shared" si="22"/>
        <v>10</v>
      </c>
      <c r="W28" s="433">
        <f t="shared" si="22"/>
        <v>10</v>
      </c>
      <c r="X28" s="433">
        <f t="shared" si="22"/>
        <v>10</v>
      </c>
      <c r="Y28" s="433">
        <f t="shared" si="22"/>
        <v>10</v>
      </c>
      <c r="Z28" s="433">
        <f t="shared" si="22"/>
        <v>10</v>
      </c>
      <c r="AA28" s="433">
        <f t="shared" si="23"/>
        <v>10</v>
      </c>
      <c r="AB28" s="433">
        <f t="shared" si="23"/>
        <v>10</v>
      </c>
      <c r="AC28" s="433">
        <f t="shared" si="23"/>
        <v>10</v>
      </c>
      <c r="AD28" s="433">
        <f t="shared" si="23"/>
        <v>10</v>
      </c>
      <c r="AE28" s="433">
        <f t="shared" si="23"/>
        <v>10</v>
      </c>
      <c r="AF28" s="433">
        <f t="shared" si="23"/>
        <v>10</v>
      </c>
      <c r="AG28" s="433">
        <f t="shared" si="23"/>
        <v>10</v>
      </c>
      <c r="AH28" s="433">
        <f t="shared" si="23"/>
        <v>10</v>
      </c>
      <c r="AI28" s="433">
        <f t="shared" si="23"/>
        <v>10</v>
      </c>
      <c r="AJ28" s="433">
        <f t="shared" si="23"/>
        <v>10</v>
      </c>
      <c r="AK28" s="433">
        <f t="shared" si="23"/>
        <v>10</v>
      </c>
      <c r="AL28" s="433">
        <f t="shared" si="23"/>
        <v>10</v>
      </c>
      <c r="AM28" s="433">
        <f t="shared" si="23"/>
        <v>10</v>
      </c>
      <c r="AN28" s="433">
        <f t="shared" si="23"/>
        <v>10</v>
      </c>
      <c r="AO28" s="433">
        <f t="shared" si="23"/>
        <v>10</v>
      </c>
      <c r="AP28" s="433">
        <f t="shared" si="23"/>
        <v>10</v>
      </c>
      <c r="AQ28" s="433">
        <f t="shared" si="24"/>
        <v>10</v>
      </c>
      <c r="AR28" s="433">
        <f t="shared" si="24"/>
        <v>10</v>
      </c>
      <c r="AS28" s="433">
        <f t="shared" si="24"/>
        <v>10</v>
      </c>
      <c r="AT28" s="433">
        <f t="shared" si="24"/>
        <v>10</v>
      </c>
      <c r="AU28" s="433">
        <f t="shared" si="24"/>
        <v>10</v>
      </c>
      <c r="AV28" s="433">
        <f t="shared" si="24"/>
        <v>10</v>
      </c>
      <c r="AW28" s="433">
        <f t="shared" si="24"/>
        <v>10</v>
      </c>
      <c r="AX28" s="433">
        <f t="shared" si="24"/>
        <v>10</v>
      </c>
      <c r="AY28" s="433">
        <f t="shared" si="24"/>
        <v>10</v>
      </c>
      <c r="AZ28" s="433">
        <f t="shared" si="24"/>
        <v>10</v>
      </c>
      <c r="BA28" s="433">
        <f t="shared" si="24"/>
        <v>10</v>
      </c>
      <c r="BB28" s="433">
        <f t="shared" si="24"/>
        <v>10</v>
      </c>
      <c r="BC28" s="433">
        <f t="shared" si="24"/>
        <v>10</v>
      </c>
      <c r="BD28" s="433">
        <f t="shared" si="24"/>
        <v>10</v>
      </c>
      <c r="BE28" s="433">
        <f t="shared" si="24"/>
        <v>10</v>
      </c>
    </row>
    <row r="29" spans="2:57" x14ac:dyDescent="0.25">
      <c r="B29" s="435"/>
      <c r="C29" s="430" t="s">
        <v>937</v>
      </c>
      <c r="D29" s="430" t="s">
        <v>936</v>
      </c>
      <c r="E29" s="916">
        <v>100</v>
      </c>
      <c r="F29" s="313">
        <f>F20</f>
        <v>2036</v>
      </c>
      <c r="G29" s="313">
        <f>G20</f>
        <v>2061</v>
      </c>
      <c r="H29" s="313">
        <f t="shared" si="25"/>
        <v>25</v>
      </c>
      <c r="J29" s="433">
        <f t="shared" si="26"/>
        <v>0</v>
      </c>
      <c r="K29" s="433">
        <f t="shared" si="22"/>
        <v>0</v>
      </c>
      <c r="L29" s="433">
        <f t="shared" si="22"/>
        <v>0</v>
      </c>
      <c r="M29" s="433">
        <f t="shared" si="22"/>
        <v>0</v>
      </c>
      <c r="N29" s="433">
        <f t="shared" si="22"/>
        <v>0</v>
      </c>
      <c r="O29" s="433">
        <f t="shared" si="22"/>
        <v>0</v>
      </c>
      <c r="P29" s="433">
        <f t="shared" si="22"/>
        <v>0</v>
      </c>
      <c r="Q29" s="433">
        <f t="shared" si="22"/>
        <v>0</v>
      </c>
      <c r="R29" s="433">
        <f t="shared" si="22"/>
        <v>0</v>
      </c>
      <c r="S29" s="433">
        <f t="shared" si="22"/>
        <v>0</v>
      </c>
      <c r="T29" s="433">
        <f t="shared" si="22"/>
        <v>0</v>
      </c>
      <c r="U29" s="433">
        <f t="shared" si="22"/>
        <v>0</v>
      </c>
      <c r="V29" s="433">
        <f t="shared" si="22"/>
        <v>0</v>
      </c>
      <c r="W29" s="433">
        <f t="shared" si="22"/>
        <v>0</v>
      </c>
      <c r="X29" s="433">
        <f t="shared" si="22"/>
        <v>0</v>
      </c>
      <c r="Y29" s="433">
        <f t="shared" si="22"/>
        <v>0</v>
      </c>
      <c r="Z29" s="433">
        <f t="shared" si="22"/>
        <v>0</v>
      </c>
      <c r="AA29" s="433">
        <f t="shared" si="23"/>
        <v>0</v>
      </c>
      <c r="AB29" s="433">
        <f t="shared" si="23"/>
        <v>100</v>
      </c>
      <c r="AC29" s="433">
        <f t="shared" si="23"/>
        <v>100</v>
      </c>
      <c r="AD29" s="433">
        <f t="shared" si="23"/>
        <v>100</v>
      </c>
      <c r="AE29" s="433">
        <f t="shared" si="23"/>
        <v>100</v>
      </c>
      <c r="AF29" s="433">
        <f t="shared" si="23"/>
        <v>100</v>
      </c>
      <c r="AG29" s="433">
        <f t="shared" si="23"/>
        <v>100</v>
      </c>
      <c r="AH29" s="433">
        <f t="shared" si="23"/>
        <v>100</v>
      </c>
      <c r="AI29" s="433">
        <f t="shared" si="23"/>
        <v>100</v>
      </c>
      <c r="AJ29" s="433">
        <f t="shared" si="23"/>
        <v>100</v>
      </c>
      <c r="AK29" s="433">
        <f t="shared" si="23"/>
        <v>100</v>
      </c>
      <c r="AL29" s="433">
        <f t="shared" si="23"/>
        <v>100</v>
      </c>
      <c r="AM29" s="433">
        <f t="shared" si="23"/>
        <v>100</v>
      </c>
      <c r="AN29" s="433">
        <f t="shared" si="23"/>
        <v>100</v>
      </c>
      <c r="AO29" s="433">
        <f t="shared" si="23"/>
        <v>100</v>
      </c>
      <c r="AP29" s="433">
        <f t="shared" si="23"/>
        <v>100</v>
      </c>
      <c r="AQ29" s="433">
        <f t="shared" si="24"/>
        <v>100</v>
      </c>
      <c r="AR29" s="433">
        <f t="shared" si="24"/>
        <v>100</v>
      </c>
      <c r="AS29" s="433">
        <f t="shared" si="24"/>
        <v>100</v>
      </c>
      <c r="AT29" s="433">
        <f t="shared" si="24"/>
        <v>100</v>
      </c>
      <c r="AU29" s="433">
        <f t="shared" si="24"/>
        <v>100</v>
      </c>
      <c r="AV29" s="433">
        <f t="shared" si="24"/>
        <v>100</v>
      </c>
      <c r="AW29" s="433">
        <f t="shared" si="24"/>
        <v>100</v>
      </c>
      <c r="AX29" s="433">
        <f t="shared" si="24"/>
        <v>100</v>
      </c>
      <c r="AY29" s="433">
        <f t="shared" si="24"/>
        <v>100</v>
      </c>
      <c r="AZ29" s="433">
        <f t="shared" si="24"/>
        <v>100</v>
      </c>
      <c r="BA29" s="433">
        <f t="shared" si="24"/>
        <v>100</v>
      </c>
      <c r="BB29" s="433">
        <f t="shared" si="24"/>
        <v>100</v>
      </c>
      <c r="BC29" s="433">
        <f t="shared" si="24"/>
        <v>100</v>
      </c>
      <c r="BD29" s="433">
        <f t="shared" si="24"/>
        <v>100</v>
      </c>
      <c r="BE29" s="433">
        <f t="shared" si="24"/>
        <v>100</v>
      </c>
    </row>
    <row r="31" spans="2:57" x14ac:dyDescent="0.25">
      <c r="C31" s="431" t="s">
        <v>938</v>
      </c>
    </row>
    <row r="32" spans="2:57" x14ac:dyDescent="0.25">
      <c r="B32" s="171">
        <v>1</v>
      </c>
      <c r="C32" s="310" t="s">
        <v>1408</v>
      </c>
    </row>
    <row r="33" spans="2:57" x14ac:dyDescent="0.25">
      <c r="B33" s="171">
        <v>2</v>
      </c>
      <c r="C33" s="310" t="s">
        <v>1409</v>
      </c>
    </row>
    <row r="34" spans="2:57" x14ac:dyDescent="0.25">
      <c r="B34" s="171">
        <v>3</v>
      </c>
      <c r="C34" s="310" t="s">
        <v>1410</v>
      </c>
    </row>
    <row r="35" spans="2:57" x14ac:dyDescent="0.25">
      <c r="B35" s="171">
        <v>4</v>
      </c>
      <c r="C35" s="310" t="s">
        <v>1411</v>
      </c>
    </row>
    <row r="36" spans="2:57" x14ac:dyDescent="0.25">
      <c r="B36" s="171">
        <v>5</v>
      </c>
      <c r="C36" s="325" t="s">
        <v>1605</v>
      </c>
    </row>
    <row r="38" spans="2:57" ht="23.25" x14ac:dyDescent="0.35">
      <c r="C38" s="722" t="s">
        <v>1718</v>
      </c>
    </row>
    <row r="39" spans="2:57" ht="15.75" thickBot="1" x14ac:dyDescent="0.3">
      <c r="F39" s="321"/>
      <c r="J39" s="171" t="s">
        <v>680</v>
      </c>
    </row>
    <row r="40" spans="2:57" ht="16.5" thickTop="1" thickBot="1" x14ac:dyDescent="0.3">
      <c r="C40" s="322" t="s">
        <v>681</v>
      </c>
      <c r="D40" s="322" t="s">
        <v>682</v>
      </c>
      <c r="E40" s="322" t="s">
        <v>683</v>
      </c>
      <c r="F40" s="322" t="s">
        <v>684</v>
      </c>
      <c r="G40" s="322" t="s">
        <v>685</v>
      </c>
      <c r="H40" s="322" t="s">
        <v>686</v>
      </c>
      <c r="J40" s="171">
        <f>F41</f>
        <v>2018</v>
      </c>
      <c r="K40" s="171">
        <f>J40+1</f>
        <v>2019</v>
      </c>
      <c r="L40" s="171">
        <f t="shared" ref="L40" si="27">K40+1</f>
        <v>2020</v>
      </c>
      <c r="M40" s="171">
        <f t="shared" ref="M40" si="28">L40+1</f>
        <v>2021</v>
      </c>
      <c r="N40" s="171">
        <f t="shared" ref="N40" si="29">M40+1</f>
        <v>2022</v>
      </c>
      <c r="O40" s="171">
        <f t="shared" ref="O40" si="30">N40+1</f>
        <v>2023</v>
      </c>
      <c r="P40" s="171">
        <f t="shared" ref="P40" si="31">O40+1</f>
        <v>2024</v>
      </c>
      <c r="Q40" s="171">
        <f t="shared" ref="Q40" si="32">P40+1</f>
        <v>2025</v>
      </c>
      <c r="R40" s="171">
        <f t="shared" ref="R40" si="33">Q40+1</f>
        <v>2026</v>
      </c>
      <c r="S40" s="171">
        <f t="shared" ref="S40" si="34">R40+1</f>
        <v>2027</v>
      </c>
      <c r="T40" s="171">
        <f t="shared" ref="T40" si="35">S40+1</f>
        <v>2028</v>
      </c>
      <c r="U40" s="171">
        <f t="shared" ref="U40" si="36">T40+1</f>
        <v>2029</v>
      </c>
      <c r="V40" s="171">
        <f t="shared" ref="V40" si="37">U40+1</f>
        <v>2030</v>
      </c>
      <c r="W40" s="171">
        <f t="shared" ref="W40" si="38">V40+1</f>
        <v>2031</v>
      </c>
      <c r="X40" s="171">
        <f t="shared" ref="X40" si="39">W40+1</f>
        <v>2032</v>
      </c>
      <c r="Y40" s="171">
        <f t="shared" ref="Y40" si="40">X40+1</f>
        <v>2033</v>
      </c>
      <c r="Z40" s="171">
        <f t="shared" ref="Z40" si="41">Y40+1</f>
        <v>2034</v>
      </c>
      <c r="AA40" s="171">
        <f t="shared" ref="AA40" si="42">Z40+1</f>
        <v>2035</v>
      </c>
      <c r="AB40" s="171">
        <f t="shared" ref="AB40" si="43">AA40+1</f>
        <v>2036</v>
      </c>
      <c r="AC40" s="171">
        <f t="shared" ref="AC40" si="44">AB40+1</f>
        <v>2037</v>
      </c>
      <c r="AD40" s="171">
        <f t="shared" ref="AD40" si="45">AC40+1</f>
        <v>2038</v>
      </c>
      <c r="AE40" s="171">
        <f t="shared" ref="AE40" si="46">AD40+1</f>
        <v>2039</v>
      </c>
      <c r="AF40" s="171">
        <f t="shared" ref="AF40" si="47">AE40+1</f>
        <v>2040</v>
      </c>
      <c r="AG40" s="171">
        <f t="shared" ref="AG40" si="48">AF40+1</f>
        <v>2041</v>
      </c>
      <c r="AH40" s="171">
        <f t="shared" ref="AH40" si="49">AG40+1</f>
        <v>2042</v>
      </c>
      <c r="AI40" s="171">
        <f t="shared" ref="AI40" si="50">AH40+1</f>
        <v>2043</v>
      </c>
      <c r="AJ40" s="171">
        <f t="shared" ref="AJ40" si="51">AI40+1</f>
        <v>2044</v>
      </c>
      <c r="AK40" s="171">
        <f t="shared" ref="AK40" si="52">AJ40+1</f>
        <v>2045</v>
      </c>
      <c r="AL40" s="171">
        <f t="shared" ref="AL40" si="53">AK40+1</f>
        <v>2046</v>
      </c>
      <c r="AM40" s="171">
        <f t="shared" ref="AM40" si="54">AL40+1</f>
        <v>2047</v>
      </c>
      <c r="AN40" s="171">
        <f t="shared" ref="AN40" si="55">AM40+1</f>
        <v>2048</v>
      </c>
      <c r="AO40" s="171">
        <f t="shared" ref="AO40" si="56">AN40+1</f>
        <v>2049</v>
      </c>
      <c r="AP40" s="171">
        <f t="shared" ref="AP40" si="57">AO40+1</f>
        <v>2050</v>
      </c>
      <c r="AQ40" s="171">
        <f t="shared" ref="AQ40" si="58">AP40+1</f>
        <v>2051</v>
      </c>
      <c r="AR40" s="171">
        <f t="shared" ref="AR40" si="59">AQ40+1</f>
        <v>2052</v>
      </c>
      <c r="AS40" s="171">
        <f t="shared" ref="AS40" si="60">AR40+1</f>
        <v>2053</v>
      </c>
      <c r="AT40" s="171">
        <f t="shared" ref="AT40" si="61">AS40+1</f>
        <v>2054</v>
      </c>
      <c r="AU40" s="171">
        <f t="shared" ref="AU40" si="62">AT40+1</f>
        <v>2055</v>
      </c>
      <c r="AV40" s="171">
        <f t="shared" ref="AV40" si="63">AU40+1</f>
        <v>2056</v>
      </c>
      <c r="AW40" s="171">
        <f t="shared" ref="AW40" si="64">AV40+1</f>
        <v>2057</v>
      </c>
      <c r="AX40" s="171">
        <f t="shared" ref="AX40" si="65">AW40+1</f>
        <v>2058</v>
      </c>
      <c r="AY40" s="171">
        <f t="shared" ref="AY40" si="66">AX40+1</f>
        <v>2059</v>
      </c>
      <c r="AZ40" s="171">
        <f t="shared" ref="AZ40" si="67">AY40+1</f>
        <v>2060</v>
      </c>
      <c r="BA40" s="171">
        <f t="shared" ref="BA40" si="68">AZ40+1</f>
        <v>2061</v>
      </c>
      <c r="BB40" s="171">
        <f t="shared" ref="BB40" si="69">BA40+1</f>
        <v>2062</v>
      </c>
      <c r="BC40" s="171">
        <f t="shared" ref="BC40" si="70">BB40+1</f>
        <v>2063</v>
      </c>
      <c r="BD40" s="171">
        <f t="shared" ref="BD40" si="71">BC40+1</f>
        <v>2064</v>
      </c>
      <c r="BE40" s="171">
        <f t="shared" ref="BE40" si="72">BD40+1</f>
        <v>2065</v>
      </c>
    </row>
    <row r="41" spans="2:57" ht="15.75" thickTop="1" x14ac:dyDescent="0.25">
      <c r="C41" s="171" t="s">
        <v>687</v>
      </c>
      <c r="D41" s="325" t="s">
        <v>688</v>
      </c>
      <c r="E41" s="325">
        <v>1</v>
      </c>
      <c r="F41" s="325">
        <v>2018</v>
      </c>
      <c r="G41" s="325">
        <v>2023</v>
      </c>
      <c r="H41" s="313">
        <f t="shared" ref="H41:H54" si="73">G41-F41</f>
        <v>5</v>
      </c>
      <c r="J41" s="323">
        <f t="shared" ref="J41:Y54" si="74">IF(AND(J$8&gt;=$F41,J$8&lt;$G41),1," ")</f>
        <v>1</v>
      </c>
      <c r="K41" s="323">
        <f t="shared" si="74"/>
        <v>1</v>
      </c>
      <c r="L41" s="323">
        <f t="shared" si="74"/>
        <v>1</v>
      </c>
      <c r="M41" s="323">
        <f t="shared" si="74"/>
        <v>1</v>
      </c>
      <c r="N41" s="323">
        <f t="shared" si="74"/>
        <v>1</v>
      </c>
      <c r="O41" s="323" t="str">
        <f t="shared" si="74"/>
        <v xml:space="preserve"> </v>
      </c>
      <c r="P41" s="323" t="str">
        <f t="shared" si="74"/>
        <v xml:space="preserve"> </v>
      </c>
      <c r="Q41" s="323" t="str">
        <f t="shared" si="74"/>
        <v xml:space="preserve"> </v>
      </c>
      <c r="R41" s="323" t="str">
        <f t="shared" si="74"/>
        <v xml:space="preserve"> </v>
      </c>
      <c r="S41" s="323" t="str">
        <f t="shared" si="74"/>
        <v xml:space="preserve"> </v>
      </c>
      <c r="T41" s="323" t="str">
        <f t="shared" si="74"/>
        <v xml:space="preserve"> </v>
      </c>
      <c r="U41" s="323" t="str">
        <f t="shared" si="74"/>
        <v xml:space="preserve"> </v>
      </c>
      <c r="V41" s="323" t="str">
        <f t="shared" si="74"/>
        <v xml:space="preserve"> </v>
      </c>
      <c r="W41" s="323" t="str">
        <f t="shared" si="74"/>
        <v xml:space="preserve"> </v>
      </c>
      <c r="X41" s="323" t="str">
        <f t="shared" si="74"/>
        <v xml:space="preserve"> </v>
      </c>
      <c r="Y41" s="323" t="str">
        <f t="shared" si="74"/>
        <v xml:space="preserve"> </v>
      </c>
      <c r="Z41" s="323" t="str">
        <f t="shared" ref="Z41:AO54" si="75">IF(AND(Z$8&gt;=$F41,Z$8&lt;$G41),1," ")</f>
        <v xml:space="preserve"> </v>
      </c>
      <c r="AA41" s="323" t="str">
        <f t="shared" si="75"/>
        <v xml:space="preserve"> </v>
      </c>
      <c r="AB41" s="323" t="str">
        <f t="shared" si="75"/>
        <v xml:space="preserve"> </v>
      </c>
      <c r="AC41" s="323" t="str">
        <f t="shared" si="75"/>
        <v xml:space="preserve"> </v>
      </c>
      <c r="AD41" s="323" t="str">
        <f t="shared" si="75"/>
        <v xml:space="preserve"> </v>
      </c>
      <c r="AE41" s="323" t="str">
        <f t="shared" si="75"/>
        <v xml:space="preserve"> </v>
      </c>
      <c r="AF41" s="323" t="str">
        <f t="shared" si="75"/>
        <v xml:space="preserve"> </v>
      </c>
      <c r="AG41" s="323" t="str">
        <f t="shared" si="75"/>
        <v xml:space="preserve"> </v>
      </c>
      <c r="AH41" s="323" t="str">
        <f t="shared" si="75"/>
        <v xml:space="preserve"> </v>
      </c>
      <c r="AI41" s="323" t="str">
        <f t="shared" si="75"/>
        <v xml:space="preserve"> </v>
      </c>
      <c r="AJ41" s="323" t="str">
        <f t="shared" si="75"/>
        <v xml:space="preserve"> </v>
      </c>
      <c r="AK41" s="323" t="str">
        <f t="shared" si="75"/>
        <v xml:space="preserve"> </v>
      </c>
      <c r="AL41" s="323" t="str">
        <f t="shared" si="75"/>
        <v xml:space="preserve"> </v>
      </c>
      <c r="AM41" s="323" t="str">
        <f t="shared" si="75"/>
        <v xml:space="preserve"> </v>
      </c>
      <c r="AN41" s="323" t="str">
        <f t="shared" si="75"/>
        <v xml:space="preserve"> </v>
      </c>
      <c r="AO41" s="323" t="str">
        <f t="shared" si="75"/>
        <v xml:space="preserve"> </v>
      </c>
      <c r="AP41" s="323" t="str">
        <f t="shared" ref="AP41:BE54" si="76">IF(AND(AP$8&gt;=$F41,AP$8&lt;$G41),1," ")</f>
        <v xml:space="preserve"> </v>
      </c>
      <c r="AQ41" s="323" t="str">
        <f t="shared" si="76"/>
        <v xml:space="preserve"> </v>
      </c>
      <c r="AR41" s="323" t="str">
        <f t="shared" si="76"/>
        <v xml:space="preserve"> </v>
      </c>
      <c r="AS41" s="323" t="str">
        <f t="shared" si="76"/>
        <v xml:space="preserve"> </v>
      </c>
      <c r="AT41" s="323" t="str">
        <f t="shared" si="76"/>
        <v xml:space="preserve"> </v>
      </c>
      <c r="AU41" s="323" t="str">
        <f t="shared" si="76"/>
        <v xml:space="preserve"> </v>
      </c>
      <c r="AV41" s="323" t="str">
        <f t="shared" si="76"/>
        <v xml:space="preserve"> </v>
      </c>
      <c r="AW41" s="323" t="str">
        <f t="shared" si="76"/>
        <v xml:space="preserve"> </v>
      </c>
      <c r="AX41" s="323" t="str">
        <f t="shared" si="76"/>
        <v xml:space="preserve"> </v>
      </c>
      <c r="AY41" s="323" t="str">
        <f t="shared" si="76"/>
        <v xml:space="preserve"> </v>
      </c>
      <c r="AZ41" s="323" t="str">
        <f t="shared" si="76"/>
        <v xml:space="preserve"> </v>
      </c>
      <c r="BA41" s="323" t="str">
        <f t="shared" si="76"/>
        <v xml:space="preserve"> </v>
      </c>
      <c r="BB41" s="323" t="str">
        <f t="shared" si="76"/>
        <v xml:space="preserve"> </v>
      </c>
      <c r="BC41" s="323" t="str">
        <f t="shared" si="76"/>
        <v xml:space="preserve"> </v>
      </c>
      <c r="BD41" s="323" t="str">
        <f t="shared" si="76"/>
        <v xml:space="preserve"> </v>
      </c>
      <c r="BE41" s="323" t="str">
        <f t="shared" si="76"/>
        <v xml:space="preserve"> </v>
      </c>
    </row>
    <row r="42" spans="2:57" x14ac:dyDescent="0.25">
      <c r="B42" s="314"/>
      <c r="C42" s="171" t="s">
        <v>689</v>
      </c>
      <c r="D42" s="325" t="s">
        <v>688</v>
      </c>
      <c r="E42" s="325">
        <v>2</v>
      </c>
      <c r="F42" s="325">
        <v>2020</v>
      </c>
      <c r="G42" s="325">
        <v>2023</v>
      </c>
      <c r="H42" s="313">
        <f t="shared" si="73"/>
        <v>3</v>
      </c>
      <c r="J42" s="323" t="str">
        <f t="shared" si="74"/>
        <v xml:space="preserve"> </v>
      </c>
      <c r="K42" s="323" t="str">
        <f t="shared" si="74"/>
        <v xml:space="preserve"> </v>
      </c>
      <c r="L42" s="323">
        <f t="shared" si="74"/>
        <v>1</v>
      </c>
      <c r="M42" s="323">
        <f t="shared" si="74"/>
        <v>1</v>
      </c>
      <c r="N42" s="323">
        <f t="shared" si="74"/>
        <v>1</v>
      </c>
      <c r="O42" s="323" t="str">
        <f t="shared" si="74"/>
        <v xml:space="preserve"> </v>
      </c>
      <c r="P42" s="323" t="str">
        <f t="shared" si="74"/>
        <v xml:space="preserve"> </v>
      </c>
      <c r="Q42" s="323" t="str">
        <f t="shared" si="74"/>
        <v xml:space="preserve"> </v>
      </c>
      <c r="R42" s="323" t="str">
        <f t="shared" si="74"/>
        <v xml:space="preserve"> </v>
      </c>
      <c r="S42" s="323" t="str">
        <f t="shared" si="74"/>
        <v xml:space="preserve"> </v>
      </c>
      <c r="T42" s="323" t="str">
        <f t="shared" si="74"/>
        <v xml:space="preserve"> </v>
      </c>
      <c r="U42" s="323" t="str">
        <f t="shared" si="74"/>
        <v xml:space="preserve"> </v>
      </c>
      <c r="V42" s="323" t="str">
        <f t="shared" si="74"/>
        <v xml:space="preserve"> </v>
      </c>
      <c r="W42" s="323" t="str">
        <f t="shared" si="74"/>
        <v xml:space="preserve"> </v>
      </c>
      <c r="X42" s="323" t="str">
        <f t="shared" si="74"/>
        <v xml:space="preserve"> </v>
      </c>
      <c r="Y42" s="323" t="str">
        <f t="shared" si="74"/>
        <v xml:space="preserve"> </v>
      </c>
      <c r="Z42" s="323" t="str">
        <f t="shared" si="75"/>
        <v xml:space="preserve"> </v>
      </c>
      <c r="AA42" s="323" t="str">
        <f t="shared" si="75"/>
        <v xml:space="preserve"> </v>
      </c>
      <c r="AB42" s="323" t="str">
        <f t="shared" si="75"/>
        <v xml:space="preserve"> </v>
      </c>
      <c r="AC42" s="323" t="str">
        <f t="shared" si="75"/>
        <v xml:space="preserve"> </v>
      </c>
      <c r="AD42" s="323" t="str">
        <f t="shared" si="75"/>
        <v xml:space="preserve"> </v>
      </c>
      <c r="AE42" s="323" t="str">
        <f t="shared" si="75"/>
        <v xml:space="preserve"> </v>
      </c>
      <c r="AF42" s="323" t="str">
        <f t="shared" si="75"/>
        <v xml:space="preserve"> </v>
      </c>
      <c r="AG42" s="323" t="str">
        <f t="shared" si="75"/>
        <v xml:space="preserve"> </v>
      </c>
      <c r="AH42" s="323" t="str">
        <f t="shared" si="75"/>
        <v xml:space="preserve"> </v>
      </c>
      <c r="AI42" s="323" t="str">
        <f t="shared" si="75"/>
        <v xml:space="preserve"> </v>
      </c>
      <c r="AJ42" s="323" t="str">
        <f t="shared" si="75"/>
        <v xml:space="preserve"> </v>
      </c>
      <c r="AK42" s="323" t="str">
        <f t="shared" si="75"/>
        <v xml:space="preserve"> </v>
      </c>
      <c r="AL42" s="323" t="str">
        <f t="shared" si="75"/>
        <v xml:space="preserve"> </v>
      </c>
      <c r="AM42" s="323" t="str">
        <f t="shared" si="75"/>
        <v xml:space="preserve"> </v>
      </c>
      <c r="AN42" s="323" t="str">
        <f t="shared" si="75"/>
        <v xml:space="preserve"> </v>
      </c>
      <c r="AO42" s="323" t="str">
        <f t="shared" si="75"/>
        <v xml:space="preserve"> </v>
      </c>
      <c r="AP42" s="323" t="str">
        <f t="shared" si="76"/>
        <v xml:space="preserve"> </v>
      </c>
      <c r="AQ42" s="323" t="str">
        <f t="shared" si="76"/>
        <v xml:space="preserve"> </v>
      </c>
      <c r="AR42" s="323" t="str">
        <f t="shared" si="76"/>
        <v xml:space="preserve"> </v>
      </c>
      <c r="AS42" s="323" t="str">
        <f t="shared" si="76"/>
        <v xml:space="preserve"> </v>
      </c>
      <c r="AT42" s="323" t="str">
        <f t="shared" si="76"/>
        <v xml:space="preserve"> </v>
      </c>
      <c r="AU42" s="323" t="str">
        <f t="shared" si="76"/>
        <v xml:space="preserve"> </v>
      </c>
      <c r="AV42" s="323" t="str">
        <f t="shared" si="76"/>
        <v xml:space="preserve"> </v>
      </c>
      <c r="AW42" s="323" t="str">
        <f t="shared" si="76"/>
        <v xml:space="preserve"> </v>
      </c>
      <c r="AX42" s="323" t="str">
        <f t="shared" si="76"/>
        <v xml:space="preserve"> </v>
      </c>
      <c r="AY42" s="323" t="str">
        <f t="shared" si="76"/>
        <v xml:space="preserve"> </v>
      </c>
      <c r="AZ42" s="323" t="str">
        <f t="shared" si="76"/>
        <v xml:space="preserve"> </v>
      </c>
      <c r="BA42" s="323" t="str">
        <f t="shared" si="76"/>
        <v xml:space="preserve"> </v>
      </c>
      <c r="BB42" s="323" t="str">
        <f t="shared" si="76"/>
        <v xml:space="preserve"> </v>
      </c>
      <c r="BC42" s="323" t="str">
        <f t="shared" si="76"/>
        <v xml:space="preserve"> </v>
      </c>
      <c r="BD42" s="323" t="str">
        <f t="shared" si="76"/>
        <v xml:space="preserve"> </v>
      </c>
      <c r="BE42" s="323" t="str">
        <f t="shared" si="76"/>
        <v xml:space="preserve"> </v>
      </c>
    </row>
    <row r="43" spans="2:57" x14ac:dyDescent="0.25">
      <c r="B43" s="314"/>
      <c r="C43" s="171" t="s">
        <v>673</v>
      </c>
      <c r="D43" s="325" t="s">
        <v>688</v>
      </c>
      <c r="E43" s="325">
        <v>3</v>
      </c>
      <c r="F43" s="313">
        <v>2023</v>
      </c>
      <c r="G43" s="325">
        <v>2048</v>
      </c>
      <c r="H43" s="313">
        <f t="shared" si="73"/>
        <v>25</v>
      </c>
      <c r="J43" s="323" t="str">
        <f t="shared" si="74"/>
        <v xml:space="preserve"> </v>
      </c>
      <c r="K43" s="323" t="str">
        <f t="shared" si="74"/>
        <v xml:space="preserve"> </v>
      </c>
      <c r="L43" s="323" t="str">
        <f t="shared" si="74"/>
        <v xml:space="preserve"> </v>
      </c>
      <c r="M43" s="323" t="str">
        <f t="shared" si="74"/>
        <v xml:space="preserve"> </v>
      </c>
      <c r="N43" s="323" t="str">
        <f t="shared" si="74"/>
        <v xml:space="preserve"> </v>
      </c>
      <c r="O43" s="323">
        <f t="shared" si="74"/>
        <v>1</v>
      </c>
      <c r="P43" s="323">
        <f t="shared" si="74"/>
        <v>1</v>
      </c>
      <c r="Q43" s="323">
        <f t="shared" si="74"/>
        <v>1</v>
      </c>
      <c r="R43" s="323">
        <f t="shared" si="74"/>
        <v>1</v>
      </c>
      <c r="S43" s="323">
        <f t="shared" si="74"/>
        <v>1</v>
      </c>
      <c r="T43" s="323">
        <f t="shared" si="74"/>
        <v>1</v>
      </c>
      <c r="U43" s="323">
        <f t="shared" si="74"/>
        <v>1</v>
      </c>
      <c r="V43" s="323">
        <f t="shared" si="74"/>
        <v>1</v>
      </c>
      <c r="W43" s="323">
        <f t="shared" si="74"/>
        <v>1</v>
      </c>
      <c r="X43" s="323">
        <f t="shared" si="74"/>
        <v>1</v>
      </c>
      <c r="Y43" s="323">
        <f t="shared" si="74"/>
        <v>1</v>
      </c>
      <c r="Z43" s="323">
        <f t="shared" si="75"/>
        <v>1</v>
      </c>
      <c r="AA43" s="323">
        <f t="shared" si="75"/>
        <v>1</v>
      </c>
      <c r="AB43" s="323">
        <f t="shared" si="75"/>
        <v>1</v>
      </c>
      <c r="AC43" s="323">
        <f t="shared" si="75"/>
        <v>1</v>
      </c>
      <c r="AD43" s="323">
        <f t="shared" si="75"/>
        <v>1</v>
      </c>
      <c r="AE43" s="323">
        <f t="shared" si="75"/>
        <v>1</v>
      </c>
      <c r="AF43" s="323">
        <f t="shared" si="75"/>
        <v>1</v>
      </c>
      <c r="AG43" s="323">
        <f t="shared" si="75"/>
        <v>1</v>
      </c>
      <c r="AH43" s="323">
        <f t="shared" si="75"/>
        <v>1</v>
      </c>
      <c r="AI43" s="323">
        <f t="shared" si="75"/>
        <v>1</v>
      </c>
      <c r="AJ43" s="323">
        <f t="shared" si="75"/>
        <v>1</v>
      </c>
      <c r="AK43" s="323">
        <f t="shared" si="75"/>
        <v>1</v>
      </c>
      <c r="AL43" s="323">
        <f t="shared" si="75"/>
        <v>1</v>
      </c>
      <c r="AM43" s="323">
        <f t="shared" si="75"/>
        <v>1</v>
      </c>
      <c r="AN43" s="323" t="str">
        <f t="shared" si="75"/>
        <v xml:space="preserve"> </v>
      </c>
      <c r="AO43" s="323" t="str">
        <f t="shared" si="75"/>
        <v xml:space="preserve"> </v>
      </c>
      <c r="AP43" s="323" t="str">
        <f t="shared" si="76"/>
        <v xml:space="preserve"> </v>
      </c>
      <c r="AQ43" s="323" t="str">
        <f t="shared" si="76"/>
        <v xml:space="preserve"> </v>
      </c>
      <c r="AR43" s="323" t="str">
        <f t="shared" si="76"/>
        <v xml:space="preserve"> </v>
      </c>
      <c r="AS43" s="323" t="str">
        <f t="shared" si="76"/>
        <v xml:space="preserve"> </v>
      </c>
      <c r="AT43" s="323" t="str">
        <f t="shared" si="76"/>
        <v xml:space="preserve"> </v>
      </c>
      <c r="AU43" s="323" t="str">
        <f t="shared" si="76"/>
        <v xml:space="preserve"> </v>
      </c>
      <c r="AV43" s="323" t="str">
        <f t="shared" si="76"/>
        <v xml:space="preserve"> </v>
      </c>
      <c r="AW43" s="323" t="str">
        <f t="shared" si="76"/>
        <v xml:space="preserve"> </v>
      </c>
      <c r="AX43" s="323" t="str">
        <f t="shared" si="76"/>
        <v xml:space="preserve"> </v>
      </c>
      <c r="AY43" s="323" t="str">
        <f t="shared" si="76"/>
        <v xml:space="preserve"> </v>
      </c>
      <c r="AZ43" s="323" t="str">
        <f t="shared" si="76"/>
        <v xml:space="preserve"> </v>
      </c>
      <c r="BA43" s="323" t="str">
        <f t="shared" si="76"/>
        <v xml:space="preserve"> </v>
      </c>
      <c r="BB43" s="323" t="str">
        <f t="shared" si="76"/>
        <v xml:space="preserve"> </v>
      </c>
      <c r="BC43" s="323" t="str">
        <f t="shared" si="76"/>
        <v xml:space="preserve"> </v>
      </c>
      <c r="BD43" s="323" t="str">
        <f t="shared" si="76"/>
        <v xml:space="preserve"> </v>
      </c>
      <c r="BE43" s="323" t="str">
        <f t="shared" si="76"/>
        <v xml:space="preserve"> </v>
      </c>
    </row>
    <row r="44" spans="2:57" x14ac:dyDescent="0.25">
      <c r="B44" s="314"/>
      <c r="C44" s="171" t="s">
        <v>690</v>
      </c>
      <c r="D44" s="325" t="s">
        <v>688</v>
      </c>
      <c r="E44" s="325">
        <v>4</v>
      </c>
      <c r="F44" s="324">
        <v>2048</v>
      </c>
      <c r="G44" s="324">
        <v>2049</v>
      </c>
      <c r="H44" s="313">
        <f t="shared" si="73"/>
        <v>1</v>
      </c>
      <c r="J44" s="323" t="str">
        <f t="shared" si="74"/>
        <v xml:space="preserve"> </v>
      </c>
      <c r="K44" s="323" t="str">
        <f t="shared" si="74"/>
        <v xml:space="preserve"> </v>
      </c>
      <c r="L44" s="323" t="str">
        <f t="shared" si="74"/>
        <v xml:space="preserve"> </v>
      </c>
      <c r="M44" s="323" t="str">
        <f t="shared" si="74"/>
        <v xml:space="preserve"> </v>
      </c>
      <c r="N44" s="323" t="str">
        <f t="shared" si="74"/>
        <v xml:space="preserve"> </v>
      </c>
      <c r="O44" s="323" t="str">
        <f t="shared" si="74"/>
        <v xml:space="preserve"> </v>
      </c>
      <c r="P44" s="323" t="str">
        <f t="shared" si="74"/>
        <v xml:space="preserve"> </v>
      </c>
      <c r="Q44" s="323" t="str">
        <f t="shared" si="74"/>
        <v xml:space="preserve"> </v>
      </c>
      <c r="R44" s="323" t="str">
        <f t="shared" si="74"/>
        <v xml:space="preserve"> </v>
      </c>
      <c r="S44" s="323" t="str">
        <f t="shared" si="74"/>
        <v xml:space="preserve"> </v>
      </c>
      <c r="T44" s="323" t="str">
        <f t="shared" si="74"/>
        <v xml:space="preserve"> </v>
      </c>
      <c r="U44" s="323" t="str">
        <f t="shared" si="74"/>
        <v xml:space="preserve"> </v>
      </c>
      <c r="V44" s="323" t="str">
        <f t="shared" si="74"/>
        <v xml:space="preserve"> </v>
      </c>
      <c r="W44" s="323" t="str">
        <f t="shared" si="74"/>
        <v xml:space="preserve"> </v>
      </c>
      <c r="X44" s="323" t="str">
        <f t="shared" si="74"/>
        <v xml:space="preserve"> </v>
      </c>
      <c r="Y44" s="323" t="str">
        <f t="shared" si="74"/>
        <v xml:space="preserve"> </v>
      </c>
      <c r="Z44" s="323" t="str">
        <f t="shared" si="75"/>
        <v xml:space="preserve"> </v>
      </c>
      <c r="AA44" s="323" t="str">
        <f t="shared" si="75"/>
        <v xml:space="preserve"> </v>
      </c>
      <c r="AB44" s="323" t="str">
        <f t="shared" si="75"/>
        <v xml:space="preserve"> </v>
      </c>
      <c r="AC44" s="323" t="str">
        <f t="shared" si="75"/>
        <v xml:space="preserve"> </v>
      </c>
      <c r="AD44" s="323" t="str">
        <f t="shared" si="75"/>
        <v xml:space="preserve"> </v>
      </c>
      <c r="AE44" s="323" t="str">
        <f t="shared" si="75"/>
        <v xml:space="preserve"> </v>
      </c>
      <c r="AF44" s="323" t="str">
        <f t="shared" si="75"/>
        <v xml:space="preserve"> </v>
      </c>
      <c r="AG44" s="323" t="str">
        <f t="shared" si="75"/>
        <v xml:space="preserve"> </v>
      </c>
      <c r="AH44" s="323" t="str">
        <f t="shared" si="75"/>
        <v xml:space="preserve"> </v>
      </c>
      <c r="AI44" s="323" t="str">
        <f t="shared" si="75"/>
        <v xml:space="preserve"> </v>
      </c>
      <c r="AJ44" s="323" t="str">
        <f t="shared" si="75"/>
        <v xml:space="preserve"> </v>
      </c>
      <c r="AK44" s="323" t="str">
        <f t="shared" si="75"/>
        <v xml:space="preserve"> </v>
      </c>
      <c r="AL44" s="323" t="str">
        <f t="shared" si="75"/>
        <v xml:space="preserve"> </v>
      </c>
      <c r="AM44" s="323" t="str">
        <f t="shared" si="75"/>
        <v xml:space="preserve"> </v>
      </c>
      <c r="AN44" s="323">
        <f t="shared" si="75"/>
        <v>1</v>
      </c>
      <c r="AO44" s="323" t="str">
        <f t="shared" si="75"/>
        <v xml:space="preserve"> </v>
      </c>
      <c r="AP44" s="323" t="str">
        <f t="shared" si="76"/>
        <v xml:space="preserve"> </v>
      </c>
      <c r="AQ44" s="323" t="str">
        <f t="shared" si="76"/>
        <v xml:space="preserve"> </v>
      </c>
      <c r="AR44" s="323" t="str">
        <f t="shared" si="76"/>
        <v xml:space="preserve"> </v>
      </c>
      <c r="AS44" s="323" t="str">
        <f t="shared" si="76"/>
        <v xml:space="preserve"> </v>
      </c>
      <c r="AT44" s="323" t="str">
        <f t="shared" si="76"/>
        <v xml:space="preserve"> </v>
      </c>
      <c r="AU44" s="323" t="str">
        <f t="shared" si="76"/>
        <v xml:space="preserve"> </v>
      </c>
      <c r="AV44" s="323" t="str">
        <f t="shared" si="76"/>
        <v xml:space="preserve"> </v>
      </c>
      <c r="AW44" s="323" t="str">
        <f t="shared" si="76"/>
        <v xml:space="preserve"> </v>
      </c>
      <c r="AX44" s="323" t="str">
        <f t="shared" si="76"/>
        <v xml:space="preserve"> </v>
      </c>
      <c r="AY44" s="323" t="str">
        <f t="shared" si="76"/>
        <v xml:space="preserve"> </v>
      </c>
      <c r="AZ44" s="323" t="str">
        <f t="shared" si="76"/>
        <v xml:space="preserve"> </v>
      </c>
      <c r="BA44" s="323" t="str">
        <f t="shared" si="76"/>
        <v xml:space="preserve"> </v>
      </c>
      <c r="BB44" s="323" t="str">
        <f t="shared" si="76"/>
        <v xml:space="preserve"> </v>
      </c>
      <c r="BC44" s="323" t="str">
        <f t="shared" si="76"/>
        <v xml:space="preserve"> </v>
      </c>
      <c r="BD44" s="323" t="str">
        <f t="shared" si="76"/>
        <v xml:space="preserve"> </v>
      </c>
      <c r="BE44" s="323" t="str">
        <f t="shared" si="76"/>
        <v xml:space="preserve"> </v>
      </c>
    </row>
    <row r="45" spans="2:57" x14ac:dyDescent="0.25">
      <c r="B45" s="315"/>
      <c r="C45" s="171" t="s">
        <v>691</v>
      </c>
      <c r="D45" s="325" t="s">
        <v>688</v>
      </c>
      <c r="E45" s="325">
        <v>5</v>
      </c>
      <c r="F45" s="325">
        <v>2024</v>
      </c>
      <c r="G45" s="325">
        <v>2028</v>
      </c>
      <c r="H45" s="313">
        <f t="shared" si="73"/>
        <v>4</v>
      </c>
      <c r="J45" s="323" t="str">
        <f t="shared" si="74"/>
        <v xml:space="preserve"> </v>
      </c>
      <c r="K45" s="323" t="str">
        <f t="shared" si="74"/>
        <v xml:space="preserve"> </v>
      </c>
      <c r="L45" s="323" t="str">
        <f t="shared" si="74"/>
        <v xml:space="preserve"> </v>
      </c>
      <c r="M45" s="323" t="str">
        <f t="shared" si="74"/>
        <v xml:space="preserve"> </v>
      </c>
      <c r="N45" s="323" t="str">
        <f t="shared" si="74"/>
        <v xml:space="preserve"> </v>
      </c>
      <c r="O45" s="323" t="str">
        <f t="shared" si="74"/>
        <v xml:space="preserve"> </v>
      </c>
      <c r="P45" s="323">
        <f t="shared" si="74"/>
        <v>1</v>
      </c>
      <c r="Q45" s="323">
        <f t="shared" si="74"/>
        <v>1</v>
      </c>
      <c r="R45" s="323">
        <f t="shared" si="74"/>
        <v>1</v>
      </c>
      <c r="S45" s="323">
        <f t="shared" si="74"/>
        <v>1</v>
      </c>
      <c r="T45" s="323" t="str">
        <f t="shared" si="74"/>
        <v xml:space="preserve"> </v>
      </c>
      <c r="U45" s="323" t="str">
        <f t="shared" si="74"/>
        <v xml:space="preserve"> </v>
      </c>
      <c r="V45" s="323" t="str">
        <f t="shared" si="74"/>
        <v xml:space="preserve"> </v>
      </c>
      <c r="W45" s="323" t="str">
        <f t="shared" si="74"/>
        <v xml:space="preserve"> </v>
      </c>
      <c r="X45" s="323" t="str">
        <f t="shared" si="74"/>
        <v xml:space="preserve"> </v>
      </c>
      <c r="Y45" s="323" t="str">
        <f t="shared" si="74"/>
        <v xml:space="preserve"> </v>
      </c>
      <c r="Z45" s="323" t="str">
        <f t="shared" si="75"/>
        <v xml:space="preserve"> </v>
      </c>
      <c r="AA45" s="323" t="str">
        <f t="shared" si="75"/>
        <v xml:space="preserve"> </v>
      </c>
      <c r="AB45" s="323" t="str">
        <f t="shared" si="75"/>
        <v xml:space="preserve"> </v>
      </c>
      <c r="AC45" s="323" t="str">
        <f t="shared" si="75"/>
        <v xml:space="preserve"> </v>
      </c>
      <c r="AD45" s="323" t="str">
        <f t="shared" si="75"/>
        <v xml:space="preserve"> </v>
      </c>
      <c r="AE45" s="323" t="str">
        <f t="shared" si="75"/>
        <v xml:space="preserve"> </v>
      </c>
      <c r="AF45" s="323" t="str">
        <f t="shared" si="75"/>
        <v xml:space="preserve"> </v>
      </c>
      <c r="AG45" s="323" t="str">
        <f t="shared" si="75"/>
        <v xml:space="preserve"> </v>
      </c>
      <c r="AH45" s="323" t="str">
        <f t="shared" si="75"/>
        <v xml:space="preserve"> </v>
      </c>
      <c r="AI45" s="323" t="str">
        <f t="shared" si="75"/>
        <v xml:space="preserve"> </v>
      </c>
      <c r="AJ45" s="323" t="str">
        <f t="shared" si="75"/>
        <v xml:space="preserve"> </v>
      </c>
      <c r="AK45" s="323" t="str">
        <f t="shared" si="75"/>
        <v xml:space="preserve"> </v>
      </c>
      <c r="AL45" s="323" t="str">
        <f t="shared" si="75"/>
        <v xml:space="preserve"> </v>
      </c>
      <c r="AM45" s="323" t="str">
        <f t="shared" si="75"/>
        <v xml:space="preserve"> </v>
      </c>
      <c r="AN45" s="323" t="str">
        <f t="shared" si="75"/>
        <v xml:space="preserve"> </v>
      </c>
      <c r="AO45" s="323" t="str">
        <f t="shared" si="75"/>
        <v xml:space="preserve"> </v>
      </c>
      <c r="AP45" s="323" t="str">
        <f t="shared" si="76"/>
        <v xml:space="preserve"> </v>
      </c>
      <c r="AQ45" s="323" t="str">
        <f t="shared" si="76"/>
        <v xml:space="preserve"> </v>
      </c>
      <c r="AR45" s="323" t="str">
        <f t="shared" si="76"/>
        <v xml:space="preserve"> </v>
      </c>
      <c r="AS45" s="323" t="str">
        <f t="shared" si="76"/>
        <v xml:space="preserve"> </v>
      </c>
      <c r="AT45" s="323" t="str">
        <f t="shared" si="76"/>
        <v xml:space="preserve"> </v>
      </c>
      <c r="AU45" s="323" t="str">
        <f t="shared" si="76"/>
        <v xml:space="preserve"> </v>
      </c>
      <c r="AV45" s="323" t="str">
        <f t="shared" si="76"/>
        <v xml:space="preserve"> </v>
      </c>
      <c r="AW45" s="323" t="str">
        <f t="shared" si="76"/>
        <v xml:space="preserve"> </v>
      </c>
      <c r="AX45" s="323" t="str">
        <f t="shared" si="76"/>
        <v xml:space="preserve"> </v>
      </c>
      <c r="AY45" s="323" t="str">
        <f t="shared" si="76"/>
        <v xml:space="preserve"> </v>
      </c>
      <c r="AZ45" s="323" t="str">
        <f t="shared" si="76"/>
        <v xml:space="preserve"> </v>
      </c>
      <c r="BA45" s="323" t="str">
        <f t="shared" si="76"/>
        <v xml:space="preserve"> </v>
      </c>
      <c r="BB45" s="323" t="str">
        <f t="shared" si="76"/>
        <v xml:space="preserve"> </v>
      </c>
      <c r="BC45" s="323" t="str">
        <f t="shared" si="76"/>
        <v xml:space="preserve"> </v>
      </c>
      <c r="BD45" s="323" t="str">
        <f t="shared" si="76"/>
        <v xml:space="preserve"> </v>
      </c>
      <c r="BE45" s="323" t="str">
        <f t="shared" si="76"/>
        <v xml:space="preserve"> </v>
      </c>
    </row>
    <row r="46" spans="2:57" x14ac:dyDescent="0.25">
      <c r="B46" s="315"/>
      <c r="C46" s="171" t="s">
        <v>692</v>
      </c>
      <c r="D46" s="325" t="s">
        <v>688</v>
      </c>
      <c r="E46" s="325">
        <v>6</v>
      </c>
      <c r="F46" s="313">
        <v>2028</v>
      </c>
      <c r="G46" s="325">
        <v>2060</v>
      </c>
      <c r="H46" s="313">
        <f t="shared" si="73"/>
        <v>32</v>
      </c>
      <c r="J46" s="323" t="str">
        <f t="shared" si="74"/>
        <v xml:space="preserve"> </v>
      </c>
      <c r="K46" s="323" t="str">
        <f t="shared" si="74"/>
        <v xml:space="preserve"> </v>
      </c>
      <c r="L46" s="323" t="str">
        <f t="shared" si="74"/>
        <v xml:space="preserve"> </v>
      </c>
      <c r="M46" s="323" t="str">
        <f t="shared" si="74"/>
        <v xml:space="preserve"> </v>
      </c>
      <c r="N46" s="323" t="str">
        <f t="shared" si="74"/>
        <v xml:space="preserve"> </v>
      </c>
      <c r="O46" s="323" t="str">
        <f t="shared" si="74"/>
        <v xml:space="preserve"> </v>
      </c>
      <c r="P46" s="323" t="str">
        <f t="shared" si="74"/>
        <v xml:space="preserve"> </v>
      </c>
      <c r="Q46" s="323" t="str">
        <f t="shared" si="74"/>
        <v xml:space="preserve"> </v>
      </c>
      <c r="R46" s="323" t="str">
        <f t="shared" si="74"/>
        <v xml:space="preserve"> </v>
      </c>
      <c r="S46" s="323" t="str">
        <f t="shared" si="74"/>
        <v xml:space="preserve"> </v>
      </c>
      <c r="T46" s="323">
        <f t="shared" si="74"/>
        <v>1</v>
      </c>
      <c r="U46" s="323">
        <f t="shared" si="74"/>
        <v>1</v>
      </c>
      <c r="V46" s="323">
        <f t="shared" si="74"/>
        <v>1</v>
      </c>
      <c r="W46" s="323">
        <f t="shared" si="74"/>
        <v>1</v>
      </c>
      <c r="X46" s="323">
        <f t="shared" si="74"/>
        <v>1</v>
      </c>
      <c r="Y46" s="323">
        <f t="shared" si="74"/>
        <v>1</v>
      </c>
      <c r="Z46" s="323">
        <f t="shared" si="75"/>
        <v>1</v>
      </c>
      <c r="AA46" s="323">
        <f t="shared" si="75"/>
        <v>1</v>
      </c>
      <c r="AB46" s="323">
        <f t="shared" si="75"/>
        <v>1</v>
      </c>
      <c r="AC46" s="323">
        <f t="shared" si="75"/>
        <v>1</v>
      </c>
      <c r="AD46" s="323">
        <f t="shared" si="75"/>
        <v>1</v>
      </c>
      <c r="AE46" s="323">
        <f t="shared" si="75"/>
        <v>1</v>
      </c>
      <c r="AF46" s="323">
        <f t="shared" si="75"/>
        <v>1</v>
      </c>
      <c r="AG46" s="323">
        <f t="shared" si="75"/>
        <v>1</v>
      </c>
      <c r="AH46" s="323">
        <f t="shared" si="75"/>
        <v>1</v>
      </c>
      <c r="AI46" s="323">
        <f t="shared" si="75"/>
        <v>1</v>
      </c>
      <c r="AJ46" s="323">
        <f t="shared" si="75"/>
        <v>1</v>
      </c>
      <c r="AK46" s="323">
        <f t="shared" si="75"/>
        <v>1</v>
      </c>
      <c r="AL46" s="323">
        <f t="shared" si="75"/>
        <v>1</v>
      </c>
      <c r="AM46" s="323">
        <f t="shared" si="75"/>
        <v>1</v>
      </c>
      <c r="AN46" s="323">
        <f t="shared" si="75"/>
        <v>1</v>
      </c>
      <c r="AO46" s="323">
        <f t="shared" si="75"/>
        <v>1</v>
      </c>
      <c r="AP46" s="323">
        <f t="shared" si="76"/>
        <v>1</v>
      </c>
      <c r="AQ46" s="323">
        <f t="shared" si="76"/>
        <v>1</v>
      </c>
      <c r="AR46" s="323">
        <f t="shared" si="76"/>
        <v>1</v>
      </c>
      <c r="AS46" s="323">
        <f t="shared" si="76"/>
        <v>1</v>
      </c>
      <c r="AT46" s="323">
        <f t="shared" si="76"/>
        <v>1</v>
      </c>
      <c r="AU46" s="323">
        <f t="shared" si="76"/>
        <v>1</v>
      </c>
      <c r="AV46" s="323">
        <f t="shared" si="76"/>
        <v>1</v>
      </c>
      <c r="AW46" s="323">
        <f t="shared" si="76"/>
        <v>1</v>
      </c>
      <c r="AX46" s="323">
        <f t="shared" si="76"/>
        <v>1</v>
      </c>
      <c r="AY46" s="323">
        <f t="shared" si="76"/>
        <v>1</v>
      </c>
      <c r="AZ46" s="323" t="str">
        <f t="shared" si="76"/>
        <v xml:space="preserve"> </v>
      </c>
      <c r="BA46" s="323" t="str">
        <f t="shared" si="76"/>
        <v xml:space="preserve"> </v>
      </c>
      <c r="BB46" s="323" t="str">
        <f t="shared" si="76"/>
        <v xml:space="preserve"> </v>
      </c>
      <c r="BC46" s="323" t="str">
        <f t="shared" si="76"/>
        <v xml:space="preserve"> </v>
      </c>
      <c r="BD46" s="323" t="str">
        <f t="shared" si="76"/>
        <v xml:space="preserve"> </v>
      </c>
      <c r="BE46" s="323" t="str">
        <f t="shared" si="76"/>
        <v xml:space="preserve"> </v>
      </c>
    </row>
    <row r="47" spans="2:57" x14ac:dyDescent="0.25">
      <c r="B47" s="315"/>
      <c r="C47" s="171" t="s">
        <v>693</v>
      </c>
      <c r="D47" s="325" t="s">
        <v>688</v>
      </c>
      <c r="E47" s="325">
        <v>7</v>
      </c>
      <c r="F47" s="324">
        <v>2060</v>
      </c>
      <c r="G47" s="325">
        <v>2061</v>
      </c>
      <c r="H47" s="313">
        <f t="shared" si="73"/>
        <v>1</v>
      </c>
      <c r="J47" s="323" t="str">
        <f t="shared" si="74"/>
        <v xml:space="preserve"> </v>
      </c>
      <c r="K47" s="323" t="str">
        <f t="shared" si="74"/>
        <v xml:space="preserve"> </v>
      </c>
      <c r="L47" s="323" t="str">
        <f t="shared" si="74"/>
        <v xml:space="preserve"> </v>
      </c>
      <c r="M47" s="323" t="str">
        <f t="shared" si="74"/>
        <v xml:space="preserve"> </v>
      </c>
      <c r="N47" s="323" t="str">
        <f t="shared" si="74"/>
        <v xml:space="preserve"> </v>
      </c>
      <c r="O47" s="323" t="str">
        <f t="shared" si="74"/>
        <v xml:space="preserve"> </v>
      </c>
      <c r="P47" s="323" t="str">
        <f t="shared" si="74"/>
        <v xml:space="preserve"> </v>
      </c>
      <c r="Q47" s="323" t="str">
        <f t="shared" si="74"/>
        <v xml:space="preserve"> </v>
      </c>
      <c r="R47" s="323" t="str">
        <f t="shared" si="74"/>
        <v xml:space="preserve"> </v>
      </c>
      <c r="S47" s="323" t="str">
        <f t="shared" si="74"/>
        <v xml:space="preserve"> </v>
      </c>
      <c r="T47" s="323" t="str">
        <f t="shared" si="74"/>
        <v xml:space="preserve"> </v>
      </c>
      <c r="U47" s="323" t="str">
        <f t="shared" si="74"/>
        <v xml:space="preserve"> </v>
      </c>
      <c r="V47" s="323" t="str">
        <f t="shared" si="74"/>
        <v xml:space="preserve"> </v>
      </c>
      <c r="W47" s="323" t="str">
        <f t="shared" si="74"/>
        <v xml:space="preserve"> </v>
      </c>
      <c r="X47" s="323" t="str">
        <f t="shared" si="74"/>
        <v xml:space="preserve"> </v>
      </c>
      <c r="Y47" s="323" t="str">
        <f t="shared" si="74"/>
        <v xml:space="preserve"> </v>
      </c>
      <c r="Z47" s="323" t="str">
        <f t="shared" si="75"/>
        <v xml:space="preserve"> </v>
      </c>
      <c r="AA47" s="323" t="str">
        <f t="shared" si="75"/>
        <v xml:space="preserve"> </v>
      </c>
      <c r="AB47" s="323" t="str">
        <f t="shared" si="75"/>
        <v xml:space="preserve"> </v>
      </c>
      <c r="AC47" s="323" t="str">
        <f t="shared" si="75"/>
        <v xml:space="preserve"> </v>
      </c>
      <c r="AD47" s="323" t="str">
        <f t="shared" si="75"/>
        <v xml:space="preserve"> </v>
      </c>
      <c r="AE47" s="323" t="str">
        <f t="shared" si="75"/>
        <v xml:space="preserve"> </v>
      </c>
      <c r="AF47" s="323" t="str">
        <f t="shared" si="75"/>
        <v xml:space="preserve"> </v>
      </c>
      <c r="AG47" s="323" t="str">
        <f t="shared" si="75"/>
        <v xml:space="preserve"> </v>
      </c>
      <c r="AH47" s="323" t="str">
        <f t="shared" si="75"/>
        <v xml:space="preserve"> </v>
      </c>
      <c r="AI47" s="323" t="str">
        <f t="shared" si="75"/>
        <v xml:space="preserve"> </v>
      </c>
      <c r="AJ47" s="323" t="str">
        <f t="shared" si="75"/>
        <v xml:space="preserve"> </v>
      </c>
      <c r="AK47" s="323" t="str">
        <f t="shared" si="75"/>
        <v xml:space="preserve"> </v>
      </c>
      <c r="AL47" s="323" t="str">
        <f t="shared" si="75"/>
        <v xml:space="preserve"> </v>
      </c>
      <c r="AM47" s="323" t="str">
        <f t="shared" si="75"/>
        <v xml:space="preserve"> </v>
      </c>
      <c r="AN47" s="323" t="str">
        <f t="shared" si="75"/>
        <v xml:space="preserve"> </v>
      </c>
      <c r="AO47" s="323" t="str">
        <f t="shared" si="75"/>
        <v xml:space="preserve"> </v>
      </c>
      <c r="AP47" s="323" t="str">
        <f t="shared" si="76"/>
        <v xml:space="preserve"> </v>
      </c>
      <c r="AQ47" s="323" t="str">
        <f t="shared" si="76"/>
        <v xml:space="preserve"> </v>
      </c>
      <c r="AR47" s="323" t="str">
        <f t="shared" si="76"/>
        <v xml:space="preserve"> </v>
      </c>
      <c r="AS47" s="323" t="str">
        <f t="shared" si="76"/>
        <v xml:space="preserve"> </v>
      </c>
      <c r="AT47" s="323" t="str">
        <f t="shared" si="76"/>
        <v xml:space="preserve"> </v>
      </c>
      <c r="AU47" s="323" t="str">
        <f t="shared" si="76"/>
        <v xml:space="preserve"> </v>
      </c>
      <c r="AV47" s="323" t="str">
        <f t="shared" si="76"/>
        <v xml:space="preserve"> </v>
      </c>
      <c r="AW47" s="323" t="str">
        <f t="shared" si="76"/>
        <v xml:space="preserve"> </v>
      </c>
      <c r="AX47" s="323" t="str">
        <f t="shared" si="76"/>
        <v xml:space="preserve"> </v>
      </c>
      <c r="AY47" s="323" t="str">
        <f t="shared" si="76"/>
        <v xml:space="preserve"> </v>
      </c>
      <c r="AZ47" s="323">
        <f t="shared" si="76"/>
        <v>1</v>
      </c>
      <c r="BA47" s="323" t="str">
        <f t="shared" si="76"/>
        <v xml:space="preserve"> </v>
      </c>
      <c r="BB47" s="323" t="str">
        <f t="shared" si="76"/>
        <v xml:space="preserve"> </v>
      </c>
      <c r="BC47" s="323" t="str">
        <f t="shared" si="76"/>
        <v xml:space="preserve"> </v>
      </c>
      <c r="BD47" s="323" t="str">
        <f t="shared" si="76"/>
        <v xml:space="preserve"> </v>
      </c>
      <c r="BE47" s="323" t="str">
        <f t="shared" si="76"/>
        <v xml:space="preserve"> </v>
      </c>
    </row>
    <row r="48" spans="2:57" x14ac:dyDescent="0.25">
      <c r="B48" s="3"/>
      <c r="C48" s="171" t="s">
        <v>694</v>
      </c>
      <c r="D48" s="325" t="s">
        <v>688</v>
      </c>
      <c r="E48" s="325">
        <v>8</v>
      </c>
      <c r="F48" s="325">
        <v>2025</v>
      </c>
      <c r="G48" s="324">
        <v>2026</v>
      </c>
      <c r="H48" s="313">
        <f t="shared" si="73"/>
        <v>1</v>
      </c>
      <c r="J48" s="323" t="str">
        <f t="shared" si="74"/>
        <v xml:space="preserve"> </v>
      </c>
      <c r="K48" s="323" t="str">
        <f t="shared" si="74"/>
        <v xml:space="preserve"> </v>
      </c>
      <c r="L48" s="323" t="str">
        <f t="shared" si="74"/>
        <v xml:space="preserve"> </v>
      </c>
      <c r="M48" s="323" t="str">
        <f t="shared" si="74"/>
        <v xml:space="preserve"> </v>
      </c>
      <c r="N48" s="323" t="str">
        <f t="shared" si="74"/>
        <v xml:space="preserve"> </v>
      </c>
      <c r="O48" s="323" t="str">
        <f t="shared" si="74"/>
        <v xml:space="preserve"> </v>
      </c>
      <c r="P48" s="323" t="str">
        <f t="shared" si="74"/>
        <v xml:space="preserve"> </v>
      </c>
      <c r="Q48" s="323">
        <f t="shared" si="74"/>
        <v>1</v>
      </c>
      <c r="R48" s="323" t="str">
        <f t="shared" si="74"/>
        <v xml:space="preserve"> </v>
      </c>
      <c r="S48" s="323" t="str">
        <f t="shared" si="74"/>
        <v xml:space="preserve"> </v>
      </c>
      <c r="T48" s="323" t="str">
        <f t="shared" si="74"/>
        <v xml:space="preserve"> </v>
      </c>
      <c r="U48" s="323" t="str">
        <f t="shared" si="74"/>
        <v xml:space="preserve"> </v>
      </c>
      <c r="V48" s="323" t="str">
        <f t="shared" si="74"/>
        <v xml:space="preserve"> </v>
      </c>
      <c r="W48" s="323" t="str">
        <f t="shared" si="74"/>
        <v xml:space="preserve"> </v>
      </c>
      <c r="X48" s="323" t="str">
        <f t="shared" si="74"/>
        <v xml:space="preserve"> </v>
      </c>
      <c r="Y48" s="323" t="str">
        <f t="shared" si="74"/>
        <v xml:space="preserve"> </v>
      </c>
      <c r="Z48" s="323" t="str">
        <f t="shared" si="75"/>
        <v xml:space="preserve"> </v>
      </c>
      <c r="AA48" s="323" t="str">
        <f t="shared" si="75"/>
        <v xml:space="preserve"> </v>
      </c>
      <c r="AB48" s="323" t="str">
        <f t="shared" si="75"/>
        <v xml:space="preserve"> </v>
      </c>
      <c r="AC48" s="323" t="str">
        <f t="shared" si="75"/>
        <v xml:space="preserve"> </v>
      </c>
      <c r="AD48" s="323" t="str">
        <f t="shared" si="75"/>
        <v xml:space="preserve"> </v>
      </c>
      <c r="AE48" s="323" t="str">
        <f t="shared" si="75"/>
        <v xml:space="preserve"> </v>
      </c>
      <c r="AF48" s="323" t="str">
        <f t="shared" si="75"/>
        <v xml:space="preserve"> </v>
      </c>
      <c r="AG48" s="323" t="str">
        <f t="shared" si="75"/>
        <v xml:space="preserve"> </v>
      </c>
      <c r="AH48" s="323" t="str">
        <f t="shared" si="75"/>
        <v xml:space="preserve"> </v>
      </c>
      <c r="AI48" s="323" t="str">
        <f t="shared" si="75"/>
        <v xml:space="preserve"> </v>
      </c>
      <c r="AJ48" s="323" t="str">
        <f t="shared" si="75"/>
        <v xml:space="preserve"> </v>
      </c>
      <c r="AK48" s="323" t="str">
        <f t="shared" si="75"/>
        <v xml:space="preserve"> </v>
      </c>
      <c r="AL48" s="323" t="str">
        <f t="shared" si="75"/>
        <v xml:space="preserve"> </v>
      </c>
      <c r="AM48" s="323" t="str">
        <f t="shared" si="75"/>
        <v xml:space="preserve"> </v>
      </c>
      <c r="AN48" s="323" t="str">
        <f t="shared" si="75"/>
        <v xml:space="preserve"> </v>
      </c>
      <c r="AO48" s="323" t="str">
        <f t="shared" si="75"/>
        <v xml:space="preserve"> </v>
      </c>
      <c r="AP48" s="323" t="str">
        <f t="shared" si="76"/>
        <v xml:space="preserve"> </v>
      </c>
      <c r="AQ48" s="323" t="str">
        <f t="shared" si="76"/>
        <v xml:space="preserve"> </v>
      </c>
      <c r="AR48" s="323" t="str">
        <f t="shared" si="76"/>
        <v xml:space="preserve"> </v>
      </c>
      <c r="AS48" s="323" t="str">
        <f t="shared" si="76"/>
        <v xml:space="preserve"> </v>
      </c>
      <c r="AT48" s="323" t="str">
        <f t="shared" si="76"/>
        <v xml:space="preserve"> </v>
      </c>
      <c r="AU48" s="323" t="str">
        <f t="shared" si="76"/>
        <v xml:space="preserve"> </v>
      </c>
      <c r="AV48" s="323" t="str">
        <f t="shared" si="76"/>
        <v xml:space="preserve"> </v>
      </c>
      <c r="AW48" s="323" t="str">
        <f t="shared" si="76"/>
        <v xml:space="preserve"> </v>
      </c>
      <c r="AX48" s="323" t="str">
        <f t="shared" si="76"/>
        <v xml:space="preserve"> </v>
      </c>
      <c r="AY48" s="323" t="str">
        <f t="shared" si="76"/>
        <v xml:space="preserve"> </v>
      </c>
      <c r="AZ48" s="323" t="str">
        <f t="shared" si="76"/>
        <v xml:space="preserve"> </v>
      </c>
      <c r="BA48" s="323" t="str">
        <f t="shared" si="76"/>
        <v xml:space="preserve"> </v>
      </c>
      <c r="BB48" s="323" t="str">
        <f t="shared" si="76"/>
        <v xml:space="preserve"> </v>
      </c>
      <c r="BC48" s="323" t="str">
        <f t="shared" si="76"/>
        <v xml:space="preserve"> </v>
      </c>
      <c r="BD48" s="323" t="str">
        <f t="shared" si="76"/>
        <v xml:space="preserve"> </v>
      </c>
      <c r="BE48" s="323" t="str">
        <f t="shared" si="76"/>
        <v xml:space="preserve"> </v>
      </c>
    </row>
    <row r="49" spans="2:57" x14ac:dyDescent="0.25">
      <c r="B49" s="3"/>
      <c r="C49" s="171" t="s">
        <v>695</v>
      </c>
      <c r="D49" s="325" t="s">
        <v>688</v>
      </c>
      <c r="E49" s="325">
        <v>9</v>
      </c>
      <c r="F49" s="313">
        <v>2026</v>
      </c>
      <c r="G49" s="325">
        <v>2051</v>
      </c>
      <c r="H49" s="313">
        <f t="shared" si="73"/>
        <v>25</v>
      </c>
      <c r="J49" s="323" t="str">
        <f t="shared" si="74"/>
        <v xml:space="preserve"> </v>
      </c>
      <c r="K49" s="323" t="str">
        <f t="shared" si="74"/>
        <v xml:space="preserve"> </v>
      </c>
      <c r="L49" s="323" t="str">
        <f t="shared" si="74"/>
        <v xml:space="preserve"> </v>
      </c>
      <c r="M49" s="323" t="str">
        <f t="shared" si="74"/>
        <v xml:space="preserve"> </v>
      </c>
      <c r="N49" s="323" t="str">
        <f t="shared" si="74"/>
        <v xml:space="preserve"> </v>
      </c>
      <c r="O49" s="323" t="str">
        <f t="shared" si="74"/>
        <v xml:space="preserve"> </v>
      </c>
      <c r="P49" s="323" t="str">
        <f t="shared" si="74"/>
        <v xml:space="preserve"> </v>
      </c>
      <c r="Q49" s="323" t="str">
        <f t="shared" si="74"/>
        <v xml:space="preserve"> </v>
      </c>
      <c r="R49" s="323">
        <f t="shared" si="74"/>
        <v>1</v>
      </c>
      <c r="S49" s="323">
        <f t="shared" si="74"/>
        <v>1</v>
      </c>
      <c r="T49" s="323">
        <f t="shared" si="74"/>
        <v>1</v>
      </c>
      <c r="U49" s="323">
        <f t="shared" si="74"/>
        <v>1</v>
      </c>
      <c r="V49" s="323">
        <f t="shared" si="74"/>
        <v>1</v>
      </c>
      <c r="W49" s="323">
        <f t="shared" si="74"/>
        <v>1</v>
      </c>
      <c r="X49" s="323">
        <f t="shared" si="74"/>
        <v>1</v>
      </c>
      <c r="Y49" s="323">
        <f t="shared" si="74"/>
        <v>1</v>
      </c>
      <c r="Z49" s="323">
        <f t="shared" si="75"/>
        <v>1</v>
      </c>
      <c r="AA49" s="323">
        <f t="shared" si="75"/>
        <v>1</v>
      </c>
      <c r="AB49" s="323">
        <f t="shared" si="75"/>
        <v>1</v>
      </c>
      <c r="AC49" s="323">
        <f t="shared" si="75"/>
        <v>1</v>
      </c>
      <c r="AD49" s="323">
        <f t="shared" si="75"/>
        <v>1</v>
      </c>
      <c r="AE49" s="323">
        <f t="shared" si="75"/>
        <v>1</v>
      </c>
      <c r="AF49" s="323">
        <f t="shared" si="75"/>
        <v>1</v>
      </c>
      <c r="AG49" s="323">
        <f t="shared" si="75"/>
        <v>1</v>
      </c>
      <c r="AH49" s="323">
        <f t="shared" si="75"/>
        <v>1</v>
      </c>
      <c r="AI49" s="323">
        <f t="shared" si="75"/>
        <v>1</v>
      </c>
      <c r="AJ49" s="323">
        <f t="shared" si="75"/>
        <v>1</v>
      </c>
      <c r="AK49" s="323">
        <f t="shared" si="75"/>
        <v>1</v>
      </c>
      <c r="AL49" s="323">
        <f t="shared" si="75"/>
        <v>1</v>
      </c>
      <c r="AM49" s="323">
        <f t="shared" si="75"/>
        <v>1</v>
      </c>
      <c r="AN49" s="323">
        <f t="shared" si="75"/>
        <v>1</v>
      </c>
      <c r="AO49" s="323">
        <f t="shared" si="75"/>
        <v>1</v>
      </c>
      <c r="AP49" s="323">
        <f t="shared" si="76"/>
        <v>1</v>
      </c>
      <c r="AQ49" s="323" t="str">
        <f t="shared" si="76"/>
        <v xml:space="preserve"> </v>
      </c>
      <c r="AR49" s="323" t="str">
        <f t="shared" si="76"/>
        <v xml:space="preserve"> </v>
      </c>
      <c r="AS49" s="323" t="str">
        <f t="shared" si="76"/>
        <v xml:space="preserve"> </v>
      </c>
      <c r="AT49" s="323" t="str">
        <f t="shared" si="76"/>
        <v xml:space="preserve"> </v>
      </c>
      <c r="AU49" s="323" t="str">
        <f t="shared" si="76"/>
        <v xml:space="preserve"> </v>
      </c>
      <c r="AV49" s="323" t="str">
        <f t="shared" si="76"/>
        <v xml:space="preserve"> </v>
      </c>
      <c r="AW49" s="323" t="str">
        <f t="shared" si="76"/>
        <v xml:space="preserve"> </v>
      </c>
      <c r="AX49" s="323" t="str">
        <f t="shared" si="76"/>
        <v xml:space="preserve"> </v>
      </c>
      <c r="AY49" s="323" t="str">
        <f t="shared" si="76"/>
        <v xml:space="preserve"> </v>
      </c>
      <c r="AZ49" s="323" t="str">
        <f t="shared" si="76"/>
        <v xml:space="preserve"> </v>
      </c>
      <c r="BA49" s="323" t="str">
        <f t="shared" si="76"/>
        <v xml:space="preserve"> </v>
      </c>
      <c r="BB49" s="323" t="str">
        <f t="shared" si="76"/>
        <v xml:space="preserve"> </v>
      </c>
      <c r="BC49" s="323" t="str">
        <f t="shared" si="76"/>
        <v xml:space="preserve"> </v>
      </c>
      <c r="BD49" s="323" t="str">
        <f t="shared" si="76"/>
        <v xml:space="preserve"> </v>
      </c>
      <c r="BE49" s="323" t="str">
        <f t="shared" si="76"/>
        <v xml:space="preserve"> </v>
      </c>
    </row>
    <row r="50" spans="2:57" x14ac:dyDescent="0.25">
      <c r="B50" s="3"/>
      <c r="C50" s="171" t="s">
        <v>696</v>
      </c>
      <c r="D50" s="325" t="s">
        <v>688</v>
      </c>
      <c r="E50" s="325">
        <v>10</v>
      </c>
      <c r="F50" s="324">
        <v>2051</v>
      </c>
      <c r="G50" s="325">
        <v>2052</v>
      </c>
      <c r="H50" s="313">
        <f t="shared" si="73"/>
        <v>1</v>
      </c>
      <c r="J50" s="323" t="str">
        <f t="shared" si="74"/>
        <v xml:space="preserve"> </v>
      </c>
      <c r="K50" s="323" t="str">
        <f t="shared" si="74"/>
        <v xml:space="preserve"> </v>
      </c>
      <c r="L50" s="323" t="str">
        <f t="shared" si="74"/>
        <v xml:space="preserve"> </v>
      </c>
      <c r="M50" s="323" t="str">
        <f t="shared" si="74"/>
        <v xml:space="preserve"> </v>
      </c>
      <c r="N50" s="323" t="str">
        <f t="shared" si="74"/>
        <v xml:space="preserve"> </v>
      </c>
      <c r="O50" s="323" t="str">
        <f t="shared" si="74"/>
        <v xml:space="preserve"> </v>
      </c>
      <c r="P50" s="323" t="str">
        <f t="shared" si="74"/>
        <v xml:space="preserve"> </v>
      </c>
      <c r="Q50" s="323" t="str">
        <f t="shared" si="74"/>
        <v xml:space="preserve"> </v>
      </c>
      <c r="R50" s="323" t="str">
        <f t="shared" si="74"/>
        <v xml:space="preserve"> </v>
      </c>
      <c r="S50" s="323" t="str">
        <f t="shared" si="74"/>
        <v xml:space="preserve"> </v>
      </c>
      <c r="T50" s="323" t="str">
        <f t="shared" si="74"/>
        <v xml:space="preserve"> </v>
      </c>
      <c r="U50" s="323" t="str">
        <f t="shared" si="74"/>
        <v xml:space="preserve"> </v>
      </c>
      <c r="V50" s="323" t="str">
        <f t="shared" si="74"/>
        <v xml:space="preserve"> </v>
      </c>
      <c r="W50" s="323" t="str">
        <f t="shared" si="74"/>
        <v xml:space="preserve"> </v>
      </c>
      <c r="X50" s="323" t="str">
        <f t="shared" si="74"/>
        <v xml:space="preserve"> </v>
      </c>
      <c r="Y50" s="323" t="str">
        <f t="shared" si="74"/>
        <v xml:space="preserve"> </v>
      </c>
      <c r="Z50" s="323" t="str">
        <f t="shared" si="75"/>
        <v xml:space="preserve"> </v>
      </c>
      <c r="AA50" s="323" t="str">
        <f t="shared" si="75"/>
        <v xml:space="preserve"> </v>
      </c>
      <c r="AB50" s="323" t="str">
        <f t="shared" si="75"/>
        <v xml:space="preserve"> </v>
      </c>
      <c r="AC50" s="323" t="str">
        <f t="shared" si="75"/>
        <v xml:space="preserve"> </v>
      </c>
      <c r="AD50" s="323" t="str">
        <f t="shared" si="75"/>
        <v xml:space="preserve"> </v>
      </c>
      <c r="AE50" s="323" t="str">
        <f t="shared" si="75"/>
        <v xml:space="preserve"> </v>
      </c>
      <c r="AF50" s="323" t="str">
        <f t="shared" si="75"/>
        <v xml:space="preserve"> </v>
      </c>
      <c r="AG50" s="323" t="str">
        <f t="shared" si="75"/>
        <v xml:space="preserve"> </v>
      </c>
      <c r="AH50" s="323" t="str">
        <f t="shared" si="75"/>
        <v xml:space="preserve"> </v>
      </c>
      <c r="AI50" s="323" t="str">
        <f t="shared" si="75"/>
        <v xml:space="preserve"> </v>
      </c>
      <c r="AJ50" s="323" t="str">
        <f t="shared" si="75"/>
        <v xml:space="preserve"> </v>
      </c>
      <c r="AK50" s="323" t="str">
        <f t="shared" si="75"/>
        <v xml:space="preserve"> </v>
      </c>
      <c r="AL50" s="323" t="str">
        <f t="shared" si="75"/>
        <v xml:space="preserve"> </v>
      </c>
      <c r="AM50" s="323" t="str">
        <f t="shared" si="75"/>
        <v xml:space="preserve"> </v>
      </c>
      <c r="AN50" s="323" t="str">
        <f t="shared" si="75"/>
        <v xml:space="preserve"> </v>
      </c>
      <c r="AO50" s="323" t="str">
        <f t="shared" si="75"/>
        <v xml:space="preserve"> </v>
      </c>
      <c r="AP50" s="323" t="str">
        <f t="shared" si="76"/>
        <v xml:space="preserve"> </v>
      </c>
      <c r="AQ50" s="323">
        <f t="shared" si="76"/>
        <v>1</v>
      </c>
      <c r="AR50" s="323" t="str">
        <f t="shared" si="76"/>
        <v xml:space="preserve"> </v>
      </c>
      <c r="AS50" s="323" t="str">
        <f t="shared" si="76"/>
        <v xml:space="preserve"> </v>
      </c>
      <c r="AT50" s="323" t="str">
        <f t="shared" si="76"/>
        <v xml:space="preserve"> </v>
      </c>
      <c r="AU50" s="323" t="str">
        <f t="shared" si="76"/>
        <v xml:space="preserve"> </v>
      </c>
      <c r="AV50" s="323" t="str">
        <f t="shared" si="76"/>
        <v xml:space="preserve"> </v>
      </c>
      <c r="AW50" s="323" t="str">
        <f t="shared" si="76"/>
        <v xml:space="preserve"> </v>
      </c>
      <c r="AX50" s="323" t="str">
        <f t="shared" si="76"/>
        <v xml:space="preserve"> </v>
      </c>
      <c r="AY50" s="323" t="str">
        <f t="shared" si="76"/>
        <v xml:space="preserve"> </v>
      </c>
      <c r="AZ50" s="323" t="str">
        <f t="shared" si="76"/>
        <v xml:space="preserve"> </v>
      </c>
      <c r="BA50" s="323" t="str">
        <f t="shared" si="76"/>
        <v xml:space="preserve"> </v>
      </c>
      <c r="BB50" s="323" t="str">
        <f t="shared" si="76"/>
        <v xml:space="preserve"> </v>
      </c>
      <c r="BC50" s="323" t="str">
        <f t="shared" si="76"/>
        <v xml:space="preserve"> </v>
      </c>
      <c r="BD50" s="323" t="str">
        <f t="shared" si="76"/>
        <v xml:space="preserve"> </v>
      </c>
      <c r="BE50" s="323" t="str">
        <f t="shared" si="76"/>
        <v xml:space="preserve"> </v>
      </c>
    </row>
    <row r="51" spans="2:57" x14ac:dyDescent="0.25">
      <c r="B51" s="316"/>
      <c r="C51" s="171" t="s">
        <v>697</v>
      </c>
      <c r="D51" s="325" t="s">
        <v>688</v>
      </c>
      <c r="E51" s="325">
        <v>11</v>
      </c>
      <c r="F51" s="325">
        <v>0</v>
      </c>
      <c r="G51" s="313">
        <v>0</v>
      </c>
      <c r="H51" s="313">
        <f t="shared" si="73"/>
        <v>0</v>
      </c>
      <c r="J51" s="323" t="str">
        <f t="shared" si="74"/>
        <v xml:space="preserve"> </v>
      </c>
      <c r="K51" s="323" t="str">
        <f t="shared" si="74"/>
        <v xml:space="preserve"> </v>
      </c>
      <c r="L51" s="323" t="str">
        <f t="shared" si="74"/>
        <v xml:space="preserve"> </v>
      </c>
      <c r="M51" s="323" t="str">
        <f t="shared" si="74"/>
        <v xml:space="preserve"> </v>
      </c>
      <c r="N51" s="323" t="str">
        <f t="shared" si="74"/>
        <v xml:space="preserve"> </v>
      </c>
      <c r="O51" s="323" t="str">
        <f t="shared" si="74"/>
        <v xml:space="preserve"> </v>
      </c>
      <c r="P51" s="323" t="str">
        <f t="shared" si="74"/>
        <v xml:space="preserve"> </v>
      </c>
      <c r="Q51" s="323" t="str">
        <f t="shared" si="74"/>
        <v xml:space="preserve"> </v>
      </c>
      <c r="R51" s="323" t="str">
        <f t="shared" si="74"/>
        <v xml:space="preserve"> </v>
      </c>
      <c r="S51" s="323" t="str">
        <f t="shared" si="74"/>
        <v xml:space="preserve"> </v>
      </c>
      <c r="T51" s="323" t="str">
        <f t="shared" si="74"/>
        <v xml:space="preserve"> </v>
      </c>
      <c r="U51" s="323" t="str">
        <f t="shared" si="74"/>
        <v xml:space="preserve"> </v>
      </c>
      <c r="V51" s="323" t="str">
        <f t="shared" si="74"/>
        <v xml:space="preserve"> </v>
      </c>
      <c r="W51" s="323" t="str">
        <f t="shared" si="74"/>
        <v xml:space="preserve"> </v>
      </c>
      <c r="X51" s="323" t="str">
        <f t="shared" si="74"/>
        <v xml:space="preserve"> </v>
      </c>
      <c r="Y51" s="323" t="str">
        <f t="shared" si="74"/>
        <v xml:space="preserve"> </v>
      </c>
      <c r="Z51" s="323" t="str">
        <f t="shared" si="75"/>
        <v xml:space="preserve"> </v>
      </c>
      <c r="AA51" s="323" t="str">
        <f t="shared" si="75"/>
        <v xml:space="preserve"> </v>
      </c>
      <c r="AB51" s="323" t="str">
        <f t="shared" si="75"/>
        <v xml:space="preserve"> </v>
      </c>
      <c r="AC51" s="323" t="str">
        <f t="shared" si="75"/>
        <v xml:space="preserve"> </v>
      </c>
      <c r="AD51" s="323" t="str">
        <f t="shared" si="75"/>
        <v xml:space="preserve"> </v>
      </c>
      <c r="AE51" s="323" t="str">
        <f t="shared" si="75"/>
        <v xml:space="preserve"> </v>
      </c>
      <c r="AF51" s="323" t="str">
        <f t="shared" si="75"/>
        <v xml:space="preserve"> </v>
      </c>
      <c r="AG51" s="323" t="str">
        <f t="shared" si="75"/>
        <v xml:space="preserve"> </v>
      </c>
      <c r="AH51" s="323" t="str">
        <f t="shared" si="75"/>
        <v xml:space="preserve"> </v>
      </c>
      <c r="AI51" s="323" t="str">
        <f t="shared" si="75"/>
        <v xml:space="preserve"> </v>
      </c>
      <c r="AJ51" s="323" t="str">
        <f t="shared" si="75"/>
        <v xml:space="preserve"> </v>
      </c>
      <c r="AK51" s="323" t="str">
        <f t="shared" si="75"/>
        <v xml:space="preserve"> </v>
      </c>
      <c r="AL51" s="323" t="str">
        <f t="shared" si="75"/>
        <v xml:space="preserve"> </v>
      </c>
      <c r="AM51" s="323" t="str">
        <f t="shared" si="75"/>
        <v xml:space="preserve"> </v>
      </c>
      <c r="AN51" s="323" t="str">
        <f t="shared" si="75"/>
        <v xml:space="preserve"> </v>
      </c>
      <c r="AO51" s="323" t="str">
        <f t="shared" si="75"/>
        <v xml:space="preserve"> </v>
      </c>
      <c r="AP51" s="323" t="str">
        <f t="shared" si="76"/>
        <v xml:space="preserve"> </v>
      </c>
      <c r="AQ51" s="323" t="str">
        <f t="shared" si="76"/>
        <v xml:space="preserve"> </v>
      </c>
      <c r="AR51" s="323" t="str">
        <f t="shared" si="76"/>
        <v xml:space="preserve"> </v>
      </c>
      <c r="AS51" s="323" t="str">
        <f t="shared" si="76"/>
        <v xml:space="preserve"> </v>
      </c>
      <c r="AT51" s="323" t="str">
        <f t="shared" si="76"/>
        <v xml:space="preserve"> </v>
      </c>
      <c r="AU51" s="323" t="str">
        <f t="shared" si="76"/>
        <v xml:space="preserve"> </v>
      </c>
      <c r="AV51" s="323" t="str">
        <f t="shared" si="76"/>
        <v xml:space="preserve"> </v>
      </c>
      <c r="AW51" s="323" t="str">
        <f t="shared" si="76"/>
        <v xml:space="preserve"> </v>
      </c>
      <c r="AX51" s="323" t="str">
        <f t="shared" si="76"/>
        <v xml:space="preserve"> </v>
      </c>
      <c r="AY51" s="323" t="str">
        <f t="shared" si="76"/>
        <v xml:space="preserve"> </v>
      </c>
      <c r="AZ51" s="323" t="str">
        <f t="shared" si="76"/>
        <v xml:space="preserve"> </v>
      </c>
      <c r="BA51" s="323" t="str">
        <f t="shared" si="76"/>
        <v xml:space="preserve"> </v>
      </c>
      <c r="BB51" s="323" t="str">
        <f t="shared" si="76"/>
        <v xml:space="preserve"> </v>
      </c>
      <c r="BC51" s="323" t="str">
        <f t="shared" si="76"/>
        <v xml:space="preserve"> </v>
      </c>
      <c r="BD51" s="323" t="str">
        <f t="shared" si="76"/>
        <v xml:space="preserve"> </v>
      </c>
      <c r="BE51" s="323" t="str">
        <f t="shared" si="76"/>
        <v xml:space="preserve"> </v>
      </c>
    </row>
    <row r="52" spans="2:57" x14ac:dyDescent="0.25">
      <c r="B52" s="316"/>
      <c r="C52" s="171" t="s">
        <v>698</v>
      </c>
      <c r="D52" s="325" t="s">
        <v>688</v>
      </c>
      <c r="E52" s="325">
        <v>12</v>
      </c>
      <c r="F52" s="324">
        <v>0</v>
      </c>
      <c r="G52" s="325">
        <v>0</v>
      </c>
      <c r="H52" s="313">
        <f t="shared" si="73"/>
        <v>0</v>
      </c>
      <c r="J52" s="323" t="str">
        <f t="shared" si="74"/>
        <v xml:space="preserve"> </v>
      </c>
      <c r="K52" s="323" t="str">
        <f t="shared" si="74"/>
        <v xml:space="preserve"> </v>
      </c>
      <c r="L52" s="323" t="str">
        <f t="shared" si="74"/>
        <v xml:space="preserve"> </v>
      </c>
      <c r="M52" s="323" t="str">
        <f t="shared" si="74"/>
        <v xml:space="preserve"> </v>
      </c>
      <c r="N52" s="323" t="str">
        <f t="shared" si="74"/>
        <v xml:space="preserve"> </v>
      </c>
      <c r="O52" s="323" t="str">
        <f t="shared" si="74"/>
        <v xml:space="preserve"> </v>
      </c>
      <c r="P52" s="323" t="str">
        <f t="shared" si="74"/>
        <v xml:space="preserve"> </v>
      </c>
      <c r="Q52" s="323" t="str">
        <f t="shared" si="74"/>
        <v xml:space="preserve"> </v>
      </c>
      <c r="R52" s="323" t="str">
        <f t="shared" si="74"/>
        <v xml:space="preserve"> </v>
      </c>
      <c r="S52" s="323" t="str">
        <f t="shared" si="74"/>
        <v xml:space="preserve"> </v>
      </c>
      <c r="T52" s="323" t="str">
        <f t="shared" si="74"/>
        <v xml:space="preserve"> </v>
      </c>
      <c r="U52" s="323" t="str">
        <f t="shared" si="74"/>
        <v xml:space="preserve"> </v>
      </c>
      <c r="V52" s="323" t="str">
        <f t="shared" si="74"/>
        <v xml:space="preserve"> </v>
      </c>
      <c r="W52" s="323" t="str">
        <f t="shared" si="74"/>
        <v xml:space="preserve"> </v>
      </c>
      <c r="X52" s="323" t="str">
        <f t="shared" si="74"/>
        <v xml:space="preserve"> </v>
      </c>
      <c r="Y52" s="323" t="str">
        <f t="shared" si="74"/>
        <v xml:space="preserve"> </v>
      </c>
      <c r="Z52" s="323" t="str">
        <f t="shared" si="75"/>
        <v xml:space="preserve"> </v>
      </c>
      <c r="AA52" s="323" t="str">
        <f t="shared" si="75"/>
        <v xml:space="preserve"> </v>
      </c>
      <c r="AB52" s="323" t="str">
        <f t="shared" si="75"/>
        <v xml:space="preserve"> </v>
      </c>
      <c r="AC52" s="323" t="str">
        <f t="shared" si="75"/>
        <v xml:space="preserve"> </v>
      </c>
      <c r="AD52" s="323" t="str">
        <f t="shared" si="75"/>
        <v xml:space="preserve"> </v>
      </c>
      <c r="AE52" s="323" t="str">
        <f t="shared" si="75"/>
        <v xml:space="preserve"> </v>
      </c>
      <c r="AF52" s="323" t="str">
        <f t="shared" si="75"/>
        <v xml:space="preserve"> </v>
      </c>
      <c r="AG52" s="323" t="str">
        <f t="shared" si="75"/>
        <v xml:space="preserve"> </v>
      </c>
      <c r="AH52" s="323" t="str">
        <f t="shared" si="75"/>
        <v xml:space="preserve"> </v>
      </c>
      <c r="AI52" s="323" t="str">
        <f t="shared" si="75"/>
        <v xml:space="preserve"> </v>
      </c>
      <c r="AJ52" s="323" t="str">
        <f t="shared" si="75"/>
        <v xml:space="preserve"> </v>
      </c>
      <c r="AK52" s="323" t="str">
        <f t="shared" si="75"/>
        <v xml:space="preserve"> </v>
      </c>
      <c r="AL52" s="323" t="str">
        <f t="shared" si="75"/>
        <v xml:space="preserve"> </v>
      </c>
      <c r="AM52" s="323" t="str">
        <f t="shared" si="75"/>
        <v xml:space="preserve"> </v>
      </c>
      <c r="AN52" s="323" t="str">
        <f t="shared" si="75"/>
        <v xml:space="preserve"> </v>
      </c>
      <c r="AO52" s="323" t="str">
        <f t="shared" si="75"/>
        <v xml:space="preserve"> </v>
      </c>
      <c r="AP52" s="323" t="str">
        <f t="shared" si="76"/>
        <v xml:space="preserve"> </v>
      </c>
      <c r="AQ52" s="323" t="str">
        <f t="shared" si="76"/>
        <v xml:space="preserve"> </v>
      </c>
      <c r="AR52" s="323" t="str">
        <f t="shared" si="76"/>
        <v xml:space="preserve"> </v>
      </c>
      <c r="AS52" s="323" t="str">
        <f t="shared" si="76"/>
        <v xml:space="preserve"> </v>
      </c>
      <c r="AT52" s="323" t="str">
        <f t="shared" si="76"/>
        <v xml:space="preserve"> </v>
      </c>
      <c r="AU52" s="323" t="str">
        <f t="shared" si="76"/>
        <v xml:space="preserve"> </v>
      </c>
      <c r="AV52" s="323" t="str">
        <f t="shared" si="76"/>
        <v xml:space="preserve"> </v>
      </c>
      <c r="AW52" s="323" t="str">
        <f t="shared" si="76"/>
        <v xml:space="preserve"> </v>
      </c>
      <c r="AX52" s="323" t="str">
        <f t="shared" si="76"/>
        <v xml:space="preserve"> </v>
      </c>
      <c r="AY52" s="323" t="str">
        <f t="shared" si="76"/>
        <v xml:space="preserve"> </v>
      </c>
      <c r="AZ52" s="323" t="str">
        <f t="shared" si="76"/>
        <v xml:space="preserve"> </v>
      </c>
      <c r="BA52" s="323" t="str">
        <f t="shared" si="76"/>
        <v xml:space="preserve"> </v>
      </c>
      <c r="BB52" s="323" t="str">
        <f t="shared" si="76"/>
        <v xml:space="preserve"> </v>
      </c>
      <c r="BC52" s="323" t="str">
        <f t="shared" si="76"/>
        <v xml:space="preserve"> </v>
      </c>
      <c r="BD52" s="323" t="str">
        <f t="shared" si="76"/>
        <v xml:space="preserve"> </v>
      </c>
      <c r="BE52" s="323" t="str">
        <f t="shared" si="76"/>
        <v xml:space="preserve"> </v>
      </c>
    </row>
    <row r="53" spans="2:57" x14ac:dyDescent="0.25">
      <c r="B53" s="316"/>
      <c r="C53" s="171" t="s">
        <v>699</v>
      </c>
      <c r="D53" s="325" t="s">
        <v>688</v>
      </c>
      <c r="E53" s="325">
        <v>13</v>
      </c>
      <c r="F53" s="324">
        <v>0</v>
      </c>
      <c r="G53" s="325">
        <v>0</v>
      </c>
      <c r="H53" s="313">
        <f t="shared" si="73"/>
        <v>0</v>
      </c>
      <c r="J53" s="323" t="str">
        <f t="shared" si="74"/>
        <v xml:space="preserve"> </v>
      </c>
      <c r="K53" s="323" t="str">
        <f t="shared" si="74"/>
        <v xml:space="preserve"> </v>
      </c>
      <c r="L53" s="323" t="str">
        <f t="shared" si="74"/>
        <v xml:space="preserve"> </v>
      </c>
      <c r="M53" s="323" t="str">
        <f t="shared" si="74"/>
        <v xml:space="preserve"> </v>
      </c>
      <c r="N53" s="323" t="str">
        <f t="shared" si="74"/>
        <v xml:space="preserve"> </v>
      </c>
      <c r="O53" s="323" t="str">
        <f t="shared" si="74"/>
        <v xml:space="preserve"> </v>
      </c>
      <c r="P53" s="323" t="str">
        <f t="shared" si="74"/>
        <v xml:space="preserve"> </v>
      </c>
      <c r="Q53" s="323" t="str">
        <f t="shared" si="74"/>
        <v xml:space="preserve"> </v>
      </c>
      <c r="R53" s="323" t="str">
        <f t="shared" si="74"/>
        <v xml:space="preserve"> </v>
      </c>
      <c r="S53" s="323" t="str">
        <f t="shared" si="74"/>
        <v xml:space="preserve"> </v>
      </c>
      <c r="T53" s="323" t="str">
        <f t="shared" si="74"/>
        <v xml:space="preserve"> </v>
      </c>
      <c r="U53" s="323" t="str">
        <f t="shared" si="74"/>
        <v xml:space="preserve"> </v>
      </c>
      <c r="V53" s="323" t="str">
        <f t="shared" si="74"/>
        <v xml:space="preserve"> </v>
      </c>
      <c r="W53" s="323" t="str">
        <f t="shared" si="74"/>
        <v xml:space="preserve"> </v>
      </c>
      <c r="X53" s="323" t="str">
        <f t="shared" si="74"/>
        <v xml:space="preserve"> </v>
      </c>
      <c r="Y53" s="323" t="str">
        <f t="shared" si="74"/>
        <v xml:space="preserve"> </v>
      </c>
      <c r="Z53" s="323" t="str">
        <f t="shared" si="75"/>
        <v xml:space="preserve"> </v>
      </c>
      <c r="AA53" s="323" t="str">
        <f t="shared" si="75"/>
        <v xml:space="preserve"> </v>
      </c>
      <c r="AB53" s="323" t="str">
        <f t="shared" si="75"/>
        <v xml:space="preserve"> </v>
      </c>
      <c r="AC53" s="323" t="str">
        <f t="shared" si="75"/>
        <v xml:space="preserve"> </v>
      </c>
      <c r="AD53" s="323" t="str">
        <f t="shared" si="75"/>
        <v xml:space="preserve"> </v>
      </c>
      <c r="AE53" s="323" t="str">
        <f t="shared" si="75"/>
        <v xml:space="preserve"> </v>
      </c>
      <c r="AF53" s="323" t="str">
        <f t="shared" si="75"/>
        <v xml:space="preserve"> </v>
      </c>
      <c r="AG53" s="323" t="str">
        <f t="shared" si="75"/>
        <v xml:space="preserve"> </v>
      </c>
      <c r="AH53" s="323" t="str">
        <f t="shared" si="75"/>
        <v xml:space="preserve"> </v>
      </c>
      <c r="AI53" s="323" t="str">
        <f t="shared" si="75"/>
        <v xml:space="preserve"> </v>
      </c>
      <c r="AJ53" s="323" t="str">
        <f t="shared" si="75"/>
        <v xml:space="preserve"> </v>
      </c>
      <c r="AK53" s="323" t="str">
        <f t="shared" si="75"/>
        <v xml:space="preserve"> </v>
      </c>
      <c r="AL53" s="323" t="str">
        <f t="shared" si="75"/>
        <v xml:space="preserve"> </v>
      </c>
      <c r="AM53" s="323" t="str">
        <f t="shared" si="75"/>
        <v xml:space="preserve"> </v>
      </c>
      <c r="AN53" s="323" t="str">
        <f t="shared" si="75"/>
        <v xml:space="preserve"> </v>
      </c>
      <c r="AO53" s="323" t="str">
        <f t="shared" si="75"/>
        <v xml:space="preserve"> </v>
      </c>
      <c r="AP53" s="323" t="str">
        <f t="shared" si="76"/>
        <v xml:space="preserve"> </v>
      </c>
      <c r="AQ53" s="323" t="str">
        <f t="shared" si="76"/>
        <v xml:space="preserve"> </v>
      </c>
      <c r="AR53" s="323" t="str">
        <f t="shared" si="76"/>
        <v xml:space="preserve"> </v>
      </c>
      <c r="AS53" s="323" t="str">
        <f t="shared" si="76"/>
        <v xml:space="preserve"> </v>
      </c>
      <c r="AT53" s="323" t="str">
        <f t="shared" si="76"/>
        <v xml:space="preserve"> </v>
      </c>
      <c r="AU53" s="323" t="str">
        <f t="shared" si="76"/>
        <v xml:space="preserve"> </v>
      </c>
      <c r="AV53" s="323" t="str">
        <f t="shared" si="76"/>
        <v xml:space="preserve"> </v>
      </c>
      <c r="AW53" s="323" t="str">
        <f t="shared" si="76"/>
        <v xml:space="preserve"> </v>
      </c>
      <c r="AX53" s="323" t="str">
        <f t="shared" si="76"/>
        <v xml:space="preserve"> </v>
      </c>
      <c r="AY53" s="323" t="str">
        <f t="shared" si="76"/>
        <v xml:space="preserve"> </v>
      </c>
      <c r="AZ53" s="323" t="str">
        <f t="shared" si="76"/>
        <v xml:space="preserve"> </v>
      </c>
      <c r="BA53" s="323" t="str">
        <f t="shared" si="76"/>
        <v xml:space="preserve"> </v>
      </c>
      <c r="BB53" s="323" t="str">
        <f t="shared" si="76"/>
        <v xml:space="preserve"> </v>
      </c>
      <c r="BC53" s="323" t="str">
        <f t="shared" si="76"/>
        <v xml:space="preserve"> </v>
      </c>
      <c r="BD53" s="323" t="str">
        <f t="shared" si="76"/>
        <v xml:space="preserve"> </v>
      </c>
      <c r="BE53" s="323" t="str">
        <f t="shared" si="76"/>
        <v xml:space="preserve"> </v>
      </c>
    </row>
    <row r="54" spans="2:57" x14ac:dyDescent="0.25">
      <c r="B54" s="317"/>
      <c r="C54" s="171" t="s">
        <v>676</v>
      </c>
      <c r="D54" s="325" t="s">
        <v>688</v>
      </c>
      <c r="E54" s="325">
        <v>14</v>
      </c>
      <c r="F54" s="325">
        <v>2060</v>
      </c>
      <c r="G54" s="325">
        <v>2061</v>
      </c>
      <c r="H54" s="313">
        <f t="shared" si="73"/>
        <v>1</v>
      </c>
      <c r="J54" s="323" t="str">
        <f t="shared" si="74"/>
        <v xml:space="preserve"> </v>
      </c>
      <c r="K54" s="323" t="str">
        <f t="shared" si="74"/>
        <v xml:space="preserve"> </v>
      </c>
      <c r="L54" s="323" t="str">
        <f t="shared" si="74"/>
        <v xml:space="preserve"> </v>
      </c>
      <c r="M54" s="323" t="str">
        <f t="shared" si="74"/>
        <v xml:space="preserve"> </v>
      </c>
      <c r="N54" s="323" t="str">
        <f t="shared" si="74"/>
        <v xml:space="preserve"> </v>
      </c>
      <c r="O54" s="323" t="str">
        <f t="shared" si="74"/>
        <v xml:space="preserve"> </v>
      </c>
      <c r="P54" s="323" t="str">
        <f t="shared" si="74"/>
        <v xml:space="preserve"> </v>
      </c>
      <c r="Q54" s="323" t="str">
        <f t="shared" si="74"/>
        <v xml:space="preserve"> </v>
      </c>
      <c r="R54" s="323" t="str">
        <f t="shared" si="74"/>
        <v xml:space="preserve"> </v>
      </c>
      <c r="S54" s="323" t="str">
        <f t="shared" si="74"/>
        <v xml:space="preserve"> </v>
      </c>
      <c r="T54" s="323" t="str">
        <f t="shared" si="74"/>
        <v xml:space="preserve"> </v>
      </c>
      <c r="U54" s="323" t="str">
        <f t="shared" si="74"/>
        <v xml:space="preserve"> </v>
      </c>
      <c r="V54" s="323" t="str">
        <f t="shared" si="74"/>
        <v xml:space="preserve"> </v>
      </c>
      <c r="W54" s="323" t="str">
        <f t="shared" si="74"/>
        <v xml:space="preserve"> </v>
      </c>
      <c r="X54" s="323" t="str">
        <f t="shared" si="74"/>
        <v xml:space="preserve"> </v>
      </c>
      <c r="Y54" s="323" t="str">
        <f t="shared" si="74"/>
        <v xml:space="preserve"> </v>
      </c>
      <c r="Z54" s="323" t="str">
        <f t="shared" si="75"/>
        <v xml:space="preserve"> </v>
      </c>
      <c r="AA54" s="323" t="str">
        <f t="shared" si="75"/>
        <v xml:space="preserve"> </v>
      </c>
      <c r="AB54" s="323" t="str">
        <f t="shared" si="75"/>
        <v xml:space="preserve"> </v>
      </c>
      <c r="AC54" s="323" t="str">
        <f t="shared" si="75"/>
        <v xml:space="preserve"> </v>
      </c>
      <c r="AD54" s="323" t="str">
        <f t="shared" si="75"/>
        <v xml:space="preserve"> </v>
      </c>
      <c r="AE54" s="323" t="str">
        <f t="shared" si="75"/>
        <v xml:space="preserve"> </v>
      </c>
      <c r="AF54" s="323" t="str">
        <f t="shared" si="75"/>
        <v xml:space="preserve"> </v>
      </c>
      <c r="AG54" s="323" t="str">
        <f t="shared" si="75"/>
        <v xml:space="preserve"> </v>
      </c>
      <c r="AH54" s="323" t="str">
        <f t="shared" si="75"/>
        <v xml:space="preserve"> </v>
      </c>
      <c r="AI54" s="323" t="str">
        <f t="shared" si="75"/>
        <v xml:space="preserve"> </v>
      </c>
      <c r="AJ54" s="323" t="str">
        <f t="shared" si="75"/>
        <v xml:space="preserve"> </v>
      </c>
      <c r="AK54" s="323" t="str">
        <f t="shared" si="75"/>
        <v xml:space="preserve"> </v>
      </c>
      <c r="AL54" s="323" t="str">
        <f t="shared" si="75"/>
        <v xml:space="preserve"> </v>
      </c>
      <c r="AM54" s="323" t="str">
        <f t="shared" si="75"/>
        <v xml:space="preserve"> </v>
      </c>
      <c r="AN54" s="323" t="str">
        <f t="shared" si="75"/>
        <v xml:space="preserve"> </v>
      </c>
      <c r="AO54" s="323" t="str">
        <f t="shared" si="75"/>
        <v xml:space="preserve"> </v>
      </c>
      <c r="AP54" s="323" t="str">
        <f t="shared" si="76"/>
        <v xml:space="preserve"> </v>
      </c>
      <c r="AQ54" s="323" t="str">
        <f t="shared" si="76"/>
        <v xml:space="preserve"> </v>
      </c>
      <c r="AR54" s="323" t="str">
        <f t="shared" si="76"/>
        <v xml:space="preserve"> </v>
      </c>
      <c r="AS54" s="323" t="str">
        <f t="shared" si="76"/>
        <v xml:space="preserve"> </v>
      </c>
      <c r="AT54" s="323" t="str">
        <f t="shared" si="76"/>
        <v xml:space="preserve"> </v>
      </c>
      <c r="AU54" s="323" t="str">
        <f t="shared" si="76"/>
        <v xml:space="preserve"> </v>
      </c>
      <c r="AV54" s="323" t="str">
        <f t="shared" si="76"/>
        <v xml:space="preserve"> </v>
      </c>
      <c r="AW54" s="323" t="str">
        <f t="shared" si="76"/>
        <v xml:space="preserve"> </v>
      </c>
      <c r="AX54" s="323" t="str">
        <f t="shared" si="76"/>
        <v xml:space="preserve"> </v>
      </c>
      <c r="AY54" s="323" t="str">
        <f t="shared" si="76"/>
        <v xml:space="preserve"> </v>
      </c>
      <c r="AZ54" s="323">
        <f t="shared" si="76"/>
        <v>1</v>
      </c>
      <c r="BA54" s="323" t="str">
        <f t="shared" si="76"/>
        <v xml:space="preserve"> </v>
      </c>
      <c r="BB54" s="323" t="str">
        <f t="shared" si="76"/>
        <v xml:space="preserve"> </v>
      </c>
      <c r="BC54" s="323" t="str">
        <f t="shared" si="76"/>
        <v xml:space="preserve"> </v>
      </c>
      <c r="BD54" s="323" t="str">
        <f t="shared" si="76"/>
        <v xml:space="preserve"> </v>
      </c>
      <c r="BE54" s="323" t="str">
        <f t="shared" si="76"/>
        <v xml:space="preserve"> </v>
      </c>
    </row>
    <row r="56" spans="2:57" ht="15.75" thickBot="1" x14ac:dyDescent="0.3">
      <c r="J56" s="171" t="s">
        <v>680</v>
      </c>
    </row>
    <row r="57" spans="2:57" ht="16.5" thickTop="1" thickBot="1" x14ac:dyDescent="0.3">
      <c r="B57" s="430"/>
      <c r="C57" s="431" t="s">
        <v>929</v>
      </c>
      <c r="D57" s="431" t="s">
        <v>930</v>
      </c>
      <c r="E57" s="431" t="s">
        <v>592</v>
      </c>
      <c r="F57" s="322" t="s">
        <v>684</v>
      </c>
      <c r="G57" s="322" t="s">
        <v>685</v>
      </c>
      <c r="H57" s="322" t="s">
        <v>686</v>
      </c>
      <c r="J57" s="171">
        <f>J40</f>
        <v>2018</v>
      </c>
      <c r="K57" s="171">
        <f t="shared" ref="K57:AP57" si="77">K40</f>
        <v>2019</v>
      </c>
      <c r="L57" s="171">
        <f t="shared" si="77"/>
        <v>2020</v>
      </c>
      <c r="M57" s="171">
        <f t="shared" si="77"/>
        <v>2021</v>
      </c>
      <c r="N57" s="171">
        <f t="shared" si="77"/>
        <v>2022</v>
      </c>
      <c r="O57" s="171">
        <f t="shared" si="77"/>
        <v>2023</v>
      </c>
      <c r="P57" s="171">
        <f t="shared" si="77"/>
        <v>2024</v>
      </c>
      <c r="Q57" s="171">
        <f t="shared" si="77"/>
        <v>2025</v>
      </c>
      <c r="R57" s="171">
        <f t="shared" si="77"/>
        <v>2026</v>
      </c>
      <c r="S57" s="171">
        <f t="shared" si="77"/>
        <v>2027</v>
      </c>
      <c r="T57" s="171">
        <f t="shared" si="77"/>
        <v>2028</v>
      </c>
      <c r="U57" s="171">
        <f t="shared" si="77"/>
        <v>2029</v>
      </c>
      <c r="V57" s="171">
        <f t="shared" si="77"/>
        <v>2030</v>
      </c>
      <c r="W57" s="171">
        <f t="shared" si="77"/>
        <v>2031</v>
      </c>
      <c r="X57" s="171">
        <f t="shared" si="77"/>
        <v>2032</v>
      </c>
      <c r="Y57" s="171">
        <f t="shared" si="77"/>
        <v>2033</v>
      </c>
      <c r="Z57" s="171">
        <f t="shared" si="77"/>
        <v>2034</v>
      </c>
      <c r="AA57" s="171">
        <f t="shared" si="77"/>
        <v>2035</v>
      </c>
      <c r="AB57" s="171">
        <f t="shared" si="77"/>
        <v>2036</v>
      </c>
      <c r="AC57" s="171">
        <f t="shared" si="77"/>
        <v>2037</v>
      </c>
      <c r="AD57" s="171">
        <f t="shared" si="77"/>
        <v>2038</v>
      </c>
      <c r="AE57" s="171">
        <f t="shared" si="77"/>
        <v>2039</v>
      </c>
      <c r="AF57" s="171">
        <f t="shared" si="77"/>
        <v>2040</v>
      </c>
      <c r="AG57" s="171">
        <f t="shared" si="77"/>
        <v>2041</v>
      </c>
      <c r="AH57" s="171">
        <f t="shared" si="77"/>
        <v>2042</v>
      </c>
      <c r="AI57" s="171">
        <f t="shared" si="77"/>
        <v>2043</v>
      </c>
      <c r="AJ57" s="171">
        <f t="shared" si="77"/>
        <v>2044</v>
      </c>
      <c r="AK57" s="171">
        <f t="shared" si="77"/>
        <v>2045</v>
      </c>
      <c r="AL57" s="171">
        <f t="shared" si="77"/>
        <v>2046</v>
      </c>
      <c r="AM57" s="171">
        <f t="shared" si="77"/>
        <v>2047</v>
      </c>
      <c r="AN57" s="171">
        <f t="shared" si="77"/>
        <v>2048</v>
      </c>
      <c r="AO57" s="171">
        <f t="shared" si="77"/>
        <v>2049</v>
      </c>
      <c r="AP57" s="171">
        <f t="shared" si="77"/>
        <v>2050</v>
      </c>
      <c r="AQ57" s="171">
        <f t="shared" ref="AQ57:BE57" si="78">AQ40</f>
        <v>2051</v>
      </c>
      <c r="AR57" s="171">
        <f t="shared" si="78"/>
        <v>2052</v>
      </c>
      <c r="AS57" s="171">
        <f t="shared" si="78"/>
        <v>2053</v>
      </c>
      <c r="AT57" s="171">
        <f t="shared" si="78"/>
        <v>2054</v>
      </c>
      <c r="AU57" s="171">
        <f t="shared" si="78"/>
        <v>2055</v>
      </c>
      <c r="AV57" s="171">
        <f t="shared" si="78"/>
        <v>2056</v>
      </c>
      <c r="AW57" s="171">
        <f t="shared" si="78"/>
        <v>2057</v>
      </c>
      <c r="AX57" s="171">
        <f t="shared" si="78"/>
        <v>2058</v>
      </c>
      <c r="AY57" s="171">
        <f t="shared" si="78"/>
        <v>2059</v>
      </c>
      <c r="AZ57" s="171">
        <f t="shared" si="78"/>
        <v>2060</v>
      </c>
      <c r="BA57" s="171">
        <f t="shared" si="78"/>
        <v>2061</v>
      </c>
      <c r="BB57" s="171">
        <f t="shared" si="78"/>
        <v>2062</v>
      </c>
      <c r="BC57" s="171">
        <f t="shared" si="78"/>
        <v>2063</v>
      </c>
      <c r="BD57" s="171">
        <f t="shared" si="78"/>
        <v>2064</v>
      </c>
      <c r="BE57" s="171">
        <f t="shared" si="78"/>
        <v>2065</v>
      </c>
    </row>
    <row r="58" spans="2:57" ht="15.75" thickTop="1" x14ac:dyDescent="0.25">
      <c r="B58" s="432"/>
      <c r="C58" s="430" t="s">
        <v>931</v>
      </c>
      <c r="D58" s="430" t="s">
        <v>932</v>
      </c>
      <c r="E58" s="325">
        <v>32</v>
      </c>
      <c r="F58" s="313">
        <f>F43</f>
        <v>2023</v>
      </c>
      <c r="G58" s="313">
        <f>G43</f>
        <v>2048</v>
      </c>
      <c r="H58" s="313">
        <f>G58-F58</f>
        <v>25</v>
      </c>
      <c r="J58" s="433">
        <f>IF(AND($F58&gt;=$J$8,J$8&gt;=$F58),$E58,)</f>
        <v>0</v>
      </c>
      <c r="K58" s="433">
        <f t="shared" ref="K58:Z61" si="79">IF(AND($F58&gt;=$J$8,K$8&gt;=$F58),$E58,)</f>
        <v>0</v>
      </c>
      <c r="L58" s="433">
        <f t="shared" si="79"/>
        <v>0</v>
      </c>
      <c r="M58" s="433">
        <f t="shared" si="79"/>
        <v>0</v>
      </c>
      <c r="N58" s="433">
        <f t="shared" si="79"/>
        <v>0</v>
      </c>
      <c r="O58" s="433">
        <f t="shared" si="79"/>
        <v>32</v>
      </c>
      <c r="P58" s="433">
        <f t="shared" si="79"/>
        <v>32</v>
      </c>
      <c r="Q58" s="433">
        <f t="shared" si="79"/>
        <v>32</v>
      </c>
      <c r="R58" s="433">
        <f t="shared" si="79"/>
        <v>32</v>
      </c>
      <c r="S58" s="433">
        <f t="shared" si="79"/>
        <v>32</v>
      </c>
      <c r="T58" s="433">
        <f t="shared" si="79"/>
        <v>32</v>
      </c>
      <c r="U58" s="433">
        <f t="shared" si="79"/>
        <v>32</v>
      </c>
      <c r="V58" s="433">
        <f t="shared" si="79"/>
        <v>32</v>
      </c>
      <c r="W58" s="433">
        <f t="shared" si="79"/>
        <v>32</v>
      </c>
      <c r="X58" s="433">
        <f t="shared" si="79"/>
        <v>32</v>
      </c>
      <c r="Y58" s="433">
        <f t="shared" si="79"/>
        <v>32</v>
      </c>
      <c r="Z58" s="433">
        <f t="shared" si="79"/>
        <v>32</v>
      </c>
      <c r="AA58" s="433">
        <f t="shared" ref="AA58:AQ61" si="80">IF(AND($F58&gt;=$J$8,AA$8&gt;=$F58),$E58,)</f>
        <v>32</v>
      </c>
      <c r="AB58" s="433">
        <f t="shared" si="80"/>
        <v>32</v>
      </c>
      <c r="AC58" s="433">
        <f t="shared" si="80"/>
        <v>32</v>
      </c>
      <c r="AD58" s="433">
        <f t="shared" si="80"/>
        <v>32</v>
      </c>
      <c r="AE58" s="433">
        <f t="shared" si="80"/>
        <v>32</v>
      </c>
      <c r="AF58" s="433">
        <f t="shared" si="80"/>
        <v>32</v>
      </c>
      <c r="AG58" s="433">
        <f t="shared" si="80"/>
        <v>32</v>
      </c>
      <c r="AH58" s="433">
        <f t="shared" si="80"/>
        <v>32</v>
      </c>
      <c r="AI58" s="433">
        <f t="shared" si="80"/>
        <v>32</v>
      </c>
      <c r="AJ58" s="433">
        <f t="shared" si="80"/>
        <v>32</v>
      </c>
      <c r="AK58" s="433">
        <f t="shared" si="80"/>
        <v>32</v>
      </c>
      <c r="AL58" s="433">
        <f t="shared" si="80"/>
        <v>32</v>
      </c>
      <c r="AM58" s="433">
        <f t="shared" si="80"/>
        <v>32</v>
      </c>
      <c r="AN58" s="433">
        <f t="shared" si="80"/>
        <v>32</v>
      </c>
      <c r="AO58" s="433">
        <f t="shared" si="80"/>
        <v>32</v>
      </c>
      <c r="AP58" s="433">
        <f t="shared" si="80"/>
        <v>32</v>
      </c>
      <c r="AQ58" s="433">
        <f t="shared" si="80"/>
        <v>32</v>
      </c>
      <c r="AR58" s="433">
        <f t="shared" ref="AQ58:BE61" si="81">IF(AND($F58&gt;=$J$8,AR$8&gt;=$F58),$E58,)</f>
        <v>32</v>
      </c>
      <c r="AS58" s="433">
        <f t="shared" si="81"/>
        <v>32</v>
      </c>
      <c r="AT58" s="433">
        <f t="shared" si="81"/>
        <v>32</v>
      </c>
      <c r="AU58" s="433">
        <f t="shared" si="81"/>
        <v>32</v>
      </c>
      <c r="AV58" s="433">
        <f t="shared" si="81"/>
        <v>32</v>
      </c>
      <c r="AW58" s="433">
        <f t="shared" si="81"/>
        <v>32</v>
      </c>
      <c r="AX58" s="433">
        <f t="shared" si="81"/>
        <v>32</v>
      </c>
      <c r="AY58" s="433">
        <f t="shared" si="81"/>
        <v>32</v>
      </c>
      <c r="AZ58" s="433">
        <f t="shared" si="81"/>
        <v>32</v>
      </c>
      <c r="BA58" s="433">
        <f t="shared" si="81"/>
        <v>32</v>
      </c>
      <c r="BB58" s="433">
        <f t="shared" si="81"/>
        <v>32</v>
      </c>
      <c r="BC58" s="433">
        <f t="shared" si="81"/>
        <v>32</v>
      </c>
      <c r="BD58" s="433">
        <f t="shared" si="81"/>
        <v>32</v>
      </c>
      <c r="BE58" s="433">
        <f t="shared" si="81"/>
        <v>32</v>
      </c>
    </row>
    <row r="59" spans="2:57" x14ac:dyDescent="0.25">
      <c r="B59" s="434"/>
      <c r="C59" s="430" t="s">
        <v>933</v>
      </c>
      <c r="D59" s="430" t="s">
        <v>934</v>
      </c>
      <c r="E59" s="325">
        <v>10</v>
      </c>
      <c r="F59" s="313">
        <f>F46</f>
        <v>2028</v>
      </c>
      <c r="G59" s="313">
        <f>G46</f>
        <v>2060</v>
      </c>
      <c r="H59" s="313">
        <f t="shared" ref="H59:H61" si="82">G59-F59</f>
        <v>32</v>
      </c>
      <c r="J59" s="433">
        <f t="shared" ref="J59:J61" si="83">IF(AND($F59&gt;=$J$8,J$8&gt;=$F59),$E59,)</f>
        <v>0</v>
      </c>
      <c r="K59" s="433">
        <f t="shared" si="79"/>
        <v>0</v>
      </c>
      <c r="L59" s="433">
        <f t="shared" si="79"/>
        <v>0</v>
      </c>
      <c r="M59" s="433">
        <f t="shared" si="79"/>
        <v>0</v>
      </c>
      <c r="N59" s="433">
        <f t="shared" si="79"/>
        <v>0</v>
      </c>
      <c r="O59" s="433">
        <f t="shared" si="79"/>
        <v>0</v>
      </c>
      <c r="P59" s="433">
        <f t="shared" si="79"/>
        <v>0</v>
      </c>
      <c r="Q59" s="433">
        <f t="shared" si="79"/>
        <v>0</v>
      </c>
      <c r="R59" s="433">
        <f t="shared" si="79"/>
        <v>0</v>
      </c>
      <c r="S59" s="433">
        <f t="shared" si="79"/>
        <v>0</v>
      </c>
      <c r="T59" s="433">
        <f t="shared" si="79"/>
        <v>10</v>
      </c>
      <c r="U59" s="433">
        <f t="shared" si="79"/>
        <v>10</v>
      </c>
      <c r="V59" s="433">
        <f t="shared" si="79"/>
        <v>10</v>
      </c>
      <c r="W59" s="433">
        <f t="shared" si="79"/>
        <v>10</v>
      </c>
      <c r="X59" s="433">
        <f t="shared" si="79"/>
        <v>10</v>
      </c>
      <c r="Y59" s="433">
        <f t="shared" si="79"/>
        <v>10</v>
      </c>
      <c r="Z59" s="433">
        <f t="shared" si="79"/>
        <v>10</v>
      </c>
      <c r="AA59" s="433">
        <f t="shared" si="80"/>
        <v>10</v>
      </c>
      <c r="AB59" s="433">
        <f t="shared" si="80"/>
        <v>10</v>
      </c>
      <c r="AC59" s="433">
        <f t="shared" si="80"/>
        <v>10</v>
      </c>
      <c r="AD59" s="433">
        <f t="shared" si="80"/>
        <v>10</v>
      </c>
      <c r="AE59" s="433">
        <f t="shared" si="80"/>
        <v>10</v>
      </c>
      <c r="AF59" s="433">
        <f t="shared" si="80"/>
        <v>10</v>
      </c>
      <c r="AG59" s="433">
        <f t="shared" si="80"/>
        <v>10</v>
      </c>
      <c r="AH59" s="433">
        <f t="shared" si="80"/>
        <v>10</v>
      </c>
      <c r="AI59" s="433">
        <f t="shared" si="80"/>
        <v>10</v>
      </c>
      <c r="AJ59" s="433">
        <f t="shared" si="80"/>
        <v>10</v>
      </c>
      <c r="AK59" s="433">
        <f t="shared" si="80"/>
        <v>10</v>
      </c>
      <c r="AL59" s="433">
        <f t="shared" si="80"/>
        <v>10</v>
      </c>
      <c r="AM59" s="433">
        <f t="shared" si="80"/>
        <v>10</v>
      </c>
      <c r="AN59" s="433">
        <f t="shared" si="80"/>
        <v>10</v>
      </c>
      <c r="AO59" s="433">
        <f t="shared" si="80"/>
        <v>10</v>
      </c>
      <c r="AP59" s="433">
        <f t="shared" si="80"/>
        <v>10</v>
      </c>
      <c r="AQ59" s="433">
        <f t="shared" si="81"/>
        <v>10</v>
      </c>
      <c r="AR59" s="433">
        <f t="shared" si="81"/>
        <v>10</v>
      </c>
      <c r="AS59" s="433">
        <f t="shared" si="81"/>
        <v>10</v>
      </c>
      <c r="AT59" s="433">
        <f t="shared" si="81"/>
        <v>10</v>
      </c>
      <c r="AU59" s="433">
        <f t="shared" si="81"/>
        <v>10</v>
      </c>
      <c r="AV59" s="433">
        <f t="shared" si="81"/>
        <v>10</v>
      </c>
      <c r="AW59" s="433">
        <f t="shared" si="81"/>
        <v>10</v>
      </c>
      <c r="AX59" s="433">
        <f t="shared" si="81"/>
        <v>10</v>
      </c>
      <c r="AY59" s="433">
        <f t="shared" si="81"/>
        <v>10</v>
      </c>
      <c r="AZ59" s="433">
        <f t="shared" si="81"/>
        <v>10</v>
      </c>
      <c r="BA59" s="433">
        <f t="shared" si="81"/>
        <v>10</v>
      </c>
      <c r="BB59" s="433">
        <f t="shared" si="81"/>
        <v>10</v>
      </c>
      <c r="BC59" s="433">
        <f t="shared" si="81"/>
        <v>10</v>
      </c>
      <c r="BD59" s="433">
        <f t="shared" si="81"/>
        <v>10</v>
      </c>
      <c r="BE59" s="433">
        <f t="shared" si="81"/>
        <v>10</v>
      </c>
    </row>
    <row r="60" spans="2:57" x14ac:dyDescent="0.25">
      <c r="B60" s="30"/>
      <c r="C60" s="430" t="s">
        <v>935</v>
      </c>
      <c r="D60" s="430" t="s">
        <v>936</v>
      </c>
      <c r="E60" s="325">
        <v>10</v>
      </c>
      <c r="F60" s="313">
        <f>F49</f>
        <v>2026</v>
      </c>
      <c r="G60" s="313">
        <f>G49</f>
        <v>2051</v>
      </c>
      <c r="H60" s="313">
        <f t="shared" si="82"/>
        <v>25</v>
      </c>
      <c r="J60" s="433">
        <f t="shared" si="83"/>
        <v>0</v>
      </c>
      <c r="K60" s="433">
        <f t="shared" si="79"/>
        <v>0</v>
      </c>
      <c r="L60" s="433">
        <f t="shared" si="79"/>
        <v>0</v>
      </c>
      <c r="M60" s="433">
        <f t="shared" si="79"/>
        <v>0</v>
      </c>
      <c r="N60" s="433">
        <f t="shared" si="79"/>
        <v>0</v>
      </c>
      <c r="O60" s="433">
        <f t="shared" si="79"/>
        <v>0</v>
      </c>
      <c r="P60" s="433">
        <f t="shared" si="79"/>
        <v>0</v>
      </c>
      <c r="Q60" s="433">
        <f t="shared" si="79"/>
        <v>0</v>
      </c>
      <c r="R60" s="433">
        <f t="shared" si="79"/>
        <v>10</v>
      </c>
      <c r="S60" s="433">
        <f t="shared" si="79"/>
        <v>10</v>
      </c>
      <c r="T60" s="433">
        <f t="shared" si="79"/>
        <v>10</v>
      </c>
      <c r="U60" s="433">
        <f t="shared" si="79"/>
        <v>10</v>
      </c>
      <c r="V60" s="433">
        <f t="shared" si="79"/>
        <v>10</v>
      </c>
      <c r="W60" s="433">
        <f t="shared" si="79"/>
        <v>10</v>
      </c>
      <c r="X60" s="433">
        <f t="shared" si="79"/>
        <v>10</v>
      </c>
      <c r="Y60" s="433">
        <f t="shared" si="79"/>
        <v>10</v>
      </c>
      <c r="Z60" s="433">
        <f t="shared" si="79"/>
        <v>10</v>
      </c>
      <c r="AA60" s="433">
        <f t="shared" si="80"/>
        <v>10</v>
      </c>
      <c r="AB60" s="433">
        <f t="shared" si="80"/>
        <v>10</v>
      </c>
      <c r="AC60" s="433">
        <f t="shared" si="80"/>
        <v>10</v>
      </c>
      <c r="AD60" s="433">
        <f t="shared" si="80"/>
        <v>10</v>
      </c>
      <c r="AE60" s="433">
        <f t="shared" si="80"/>
        <v>10</v>
      </c>
      <c r="AF60" s="433">
        <f t="shared" si="80"/>
        <v>10</v>
      </c>
      <c r="AG60" s="433">
        <f t="shared" si="80"/>
        <v>10</v>
      </c>
      <c r="AH60" s="433">
        <f t="shared" si="80"/>
        <v>10</v>
      </c>
      <c r="AI60" s="433">
        <f t="shared" si="80"/>
        <v>10</v>
      </c>
      <c r="AJ60" s="433">
        <f t="shared" si="80"/>
        <v>10</v>
      </c>
      <c r="AK60" s="433">
        <f t="shared" si="80"/>
        <v>10</v>
      </c>
      <c r="AL60" s="433">
        <f t="shared" si="80"/>
        <v>10</v>
      </c>
      <c r="AM60" s="433">
        <f t="shared" si="80"/>
        <v>10</v>
      </c>
      <c r="AN60" s="433">
        <f t="shared" si="80"/>
        <v>10</v>
      </c>
      <c r="AO60" s="433">
        <f t="shared" si="80"/>
        <v>10</v>
      </c>
      <c r="AP60" s="433">
        <f t="shared" si="80"/>
        <v>10</v>
      </c>
      <c r="AQ60" s="433">
        <f t="shared" si="81"/>
        <v>10</v>
      </c>
      <c r="AR60" s="433">
        <f t="shared" si="81"/>
        <v>10</v>
      </c>
      <c r="AS60" s="433">
        <f t="shared" si="81"/>
        <v>10</v>
      </c>
      <c r="AT60" s="433">
        <f t="shared" si="81"/>
        <v>10</v>
      </c>
      <c r="AU60" s="433">
        <f t="shared" si="81"/>
        <v>10</v>
      </c>
      <c r="AV60" s="433">
        <f t="shared" si="81"/>
        <v>10</v>
      </c>
      <c r="AW60" s="433">
        <f t="shared" si="81"/>
        <v>10</v>
      </c>
      <c r="AX60" s="433">
        <f t="shared" si="81"/>
        <v>10</v>
      </c>
      <c r="AY60" s="433">
        <f t="shared" si="81"/>
        <v>10</v>
      </c>
      <c r="AZ60" s="433">
        <f t="shared" si="81"/>
        <v>10</v>
      </c>
      <c r="BA60" s="433">
        <f t="shared" si="81"/>
        <v>10</v>
      </c>
      <c r="BB60" s="433">
        <f t="shared" si="81"/>
        <v>10</v>
      </c>
      <c r="BC60" s="433">
        <f t="shared" si="81"/>
        <v>10</v>
      </c>
      <c r="BD60" s="433">
        <f t="shared" si="81"/>
        <v>10</v>
      </c>
      <c r="BE60" s="433">
        <f t="shared" si="81"/>
        <v>10</v>
      </c>
    </row>
    <row r="61" spans="2:57" x14ac:dyDescent="0.25">
      <c r="B61" s="435"/>
      <c r="C61" s="430" t="s">
        <v>937</v>
      </c>
      <c r="D61" s="430" t="s">
        <v>936</v>
      </c>
      <c r="E61" s="325">
        <v>0</v>
      </c>
      <c r="F61" s="313">
        <v>0</v>
      </c>
      <c r="G61" s="313">
        <v>0</v>
      </c>
      <c r="H61" s="313">
        <f t="shared" si="82"/>
        <v>0</v>
      </c>
      <c r="J61" s="433">
        <f t="shared" si="83"/>
        <v>0</v>
      </c>
      <c r="K61" s="433">
        <f t="shared" si="79"/>
        <v>0</v>
      </c>
      <c r="L61" s="433">
        <f t="shared" si="79"/>
        <v>0</v>
      </c>
      <c r="M61" s="433">
        <f t="shared" si="79"/>
        <v>0</v>
      </c>
      <c r="N61" s="433">
        <f t="shared" si="79"/>
        <v>0</v>
      </c>
      <c r="O61" s="433">
        <f t="shared" si="79"/>
        <v>0</v>
      </c>
      <c r="P61" s="433">
        <f t="shared" si="79"/>
        <v>0</v>
      </c>
      <c r="Q61" s="433">
        <f t="shared" si="79"/>
        <v>0</v>
      </c>
      <c r="R61" s="433">
        <f t="shared" si="79"/>
        <v>0</v>
      </c>
      <c r="S61" s="433">
        <f t="shared" si="79"/>
        <v>0</v>
      </c>
      <c r="T61" s="433">
        <f t="shared" si="79"/>
        <v>0</v>
      </c>
      <c r="U61" s="433">
        <f t="shared" si="79"/>
        <v>0</v>
      </c>
      <c r="V61" s="433">
        <f t="shared" si="79"/>
        <v>0</v>
      </c>
      <c r="W61" s="433">
        <f t="shared" si="79"/>
        <v>0</v>
      </c>
      <c r="X61" s="433">
        <f t="shared" si="79"/>
        <v>0</v>
      </c>
      <c r="Y61" s="433">
        <f t="shared" si="79"/>
        <v>0</v>
      </c>
      <c r="Z61" s="433">
        <f t="shared" si="79"/>
        <v>0</v>
      </c>
      <c r="AA61" s="433">
        <f t="shared" si="80"/>
        <v>0</v>
      </c>
      <c r="AB61" s="433">
        <f t="shared" si="80"/>
        <v>0</v>
      </c>
      <c r="AC61" s="433">
        <f t="shared" si="80"/>
        <v>0</v>
      </c>
      <c r="AD61" s="433">
        <f t="shared" si="80"/>
        <v>0</v>
      </c>
      <c r="AE61" s="433">
        <f t="shared" si="80"/>
        <v>0</v>
      </c>
      <c r="AF61" s="433">
        <f t="shared" si="80"/>
        <v>0</v>
      </c>
      <c r="AG61" s="433">
        <f t="shared" si="80"/>
        <v>0</v>
      </c>
      <c r="AH61" s="433">
        <f t="shared" si="80"/>
        <v>0</v>
      </c>
      <c r="AI61" s="433">
        <f t="shared" si="80"/>
        <v>0</v>
      </c>
      <c r="AJ61" s="433">
        <f t="shared" si="80"/>
        <v>0</v>
      </c>
      <c r="AK61" s="433">
        <f t="shared" si="80"/>
        <v>0</v>
      </c>
      <c r="AL61" s="433">
        <f t="shared" si="80"/>
        <v>0</v>
      </c>
      <c r="AM61" s="433">
        <f t="shared" si="80"/>
        <v>0</v>
      </c>
      <c r="AN61" s="433">
        <f t="shared" si="80"/>
        <v>0</v>
      </c>
      <c r="AO61" s="433">
        <f t="shared" si="80"/>
        <v>0</v>
      </c>
      <c r="AP61" s="433">
        <f t="shared" si="80"/>
        <v>0</v>
      </c>
      <c r="AQ61" s="433">
        <f t="shared" si="81"/>
        <v>0</v>
      </c>
      <c r="AR61" s="433">
        <f t="shared" si="81"/>
        <v>0</v>
      </c>
      <c r="AS61" s="433">
        <f t="shared" si="81"/>
        <v>0</v>
      </c>
      <c r="AT61" s="433">
        <f t="shared" si="81"/>
        <v>0</v>
      </c>
      <c r="AU61" s="433">
        <f t="shared" si="81"/>
        <v>0</v>
      </c>
      <c r="AV61" s="433">
        <f t="shared" si="81"/>
        <v>0</v>
      </c>
      <c r="AW61" s="433">
        <f t="shared" si="81"/>
        <v>0</v>
      </c>
      <c r="AX61" s="433">
        <f t="shared" si="81"/>
        <v>0</v>
      </c>
      <c r="AY61" s="433">
        <f t="shared" si="81"/>
        <v>0</v>
      </c>
      <c r="AZ61" s="433">
        <f t="shared" si="81"/>
        <v>0</v>
      </c>
      <c r="BA61" s="433">
        <f t="shared" si="81"/>
        <v>0</v>
      </c>
      <c r="BB61" s="433">
        <f t="shared" si="81"/>
        <v>0</v>
      </c>
      <c r="BC61" s="433">
        <f t="shared" si="81"/>
        <v>0</v>
      </c>
      <c r="BD61" s="433">
        <f t="shared" si="81"/>
        <v>0</v>
      </c>
      <c r="BE61" s="433">
        <f t="shared" si="81"/>
        <v>0</v>
      </c>
    </row>
    <row r="63" spans="2:57" x14ac:dyDescent="0.25">
      <c r="C63" s="431" t="s">
        <v>938</v>
      </c>
    </row>
    <row r="64" spans="2:57" x14ac:dyDescent="0.25">
      <c r="B64" s="171">
        <v>1</v>
      </c>
      <c r="C64" s="325" t="s">
        <v>1413</v>
      </c>
    </row>
    <row r="65" spans="2:57" x14ac:dyDescent="0.25">
      <c r="B65" s="171">
        <v>2</v>
      </c>
      <c r="C65" s="325" t="s">
        <v>1414</v>
      </c>
    </row>
    <row r="66" spans="2:57" x14ac:dyDescent="0.25">
      <c r="B66" s="171">
        <v>3</v>
      </c>
      <c r="C66" s="325" t="s">
        <v>1410</v>
      </c>
    </row>
    <row r="67" spans="2:57" x14ac:dyDescent="0.25">
      <c r="B67" s="171">
        <v>4</v>
      </c>
      <c r="C67" s="325" t="s">
        <v>1415</v>
      </c>
    </row>
    <row r="68" spans="2:57" x14ac:dyDescent="0.25">
      <c r="B68" s="171">
        <v>5</v>
      </c>
      <c r="C68" s="325" t="s">
        <v>1605</v>
      </c>
    </row>
    <row r="69" spans="2:57" x14ac:dyDescent="0.25">
      <c r="B69" s="171">
        <v>6</v>
      </c>
      <c r="C69" s="325" t="s">
        <v>1623</v>
      </c>
    </row>
    <row r="71" spans="2:57" ht="23.25" x14ac:dyDescent="0.35">
      <c r="C71" s="722" t="s">
        <v>1719</v>
      </c>
    </row>
    <row r="72" spans="2:57" ht="15.75" thickBot="1" x14ac:dyDescent="0.3">
      <c r="F72" s="321"/>
      <c r="J72" s="171" t="s">
        <v>680</v>
      </c>
    </row>
    <row r="73" spans="2:57" ht="16.5" thickTop="1" thickBot="1" x14ac:dyDescent="0.3">
      <c r="C73" s="322" t="s">
        <v>681</v>
      </c>
      <c r="D73" s="322" t="s">
        <v>682</v>
      </c>
      <c r="E73" s="322" t="s">
        <v>683</v>
      </c>
      <c r="F73" s="322" t="s">
        <v>684</v>
      </c>
      <c r="G73" s="322" t="s">
        <v>685</v>
      </c>
      <c r="H73" s="322" t="s">
        <v>686</v>
      </c>
      <c r="J73" s="171">
        <f>F74</f>
        <v>2018</v>
      </c>
      <c r="K73" s="171">
        <f>J73+1</f>
        <v>2019</v>
      </c>
      <c r="L73" s="171">
        <f t="shared" ref="L73" si="84">K73+1</f>
        <v>2020</v>
      </c>
      <c r="M73" s="171">
        <f t="shared" ref="M73" si="85">L73+1</f>
        <v>2021</v>
      </c>
      <c r="N73" s="171">
        <f t="shared" ref="N73" si="86">M73+1</f>
        <v>2022</v>
      </c>
      <c r="O73" s="171">
        <f t="shared" ref="O73" si="87">N73+1</f>
        <v>2023</v>
      </c>
      <c r="P73" s="171">
        <f t="shared" ref="P73" si="88">O73+1</f>
        <v>2024</v>
      </c>
      <c r="Q73" s="171">
        <f t="shared" ref="Q73" si="89">P73+1</f>
        <v>2025</v>
      </c>
      <c r="R73" s="171">
        <f t="shared" ref="R73" si="90">Q73+1</f>
        <v>2026</v>
      </c>
      <c r="S73" s="171">
        <f t="shared" ref="S73" si="91">R73+1</f>
        <v>2027</v>
      </c>
      <c r="T73" s="171">
        <f t="shared" ref="T73" si="92">S73+1</f>
        <v>2028</v>
      </c>
      <c r="U73" s="171">
        <f t="shared" ref="U73" si="93">T73+1</f>
        <v>2029</v>
      </c>
      <c r="V73" s="171">
        <f t="shared" ref="V73" si="94">U73+1</f>
        <v>2030</v>
      </c>
      <c r="W73" s="171">
        <f t="shared" ref="W73" si="95">V73+1</f>
        <v>2031</v>
      </c>
      <c r="X73" s="171">
        <f t="shared" ref="X73" si="96">W73+1</f>
        <v>2032</v>
      </c>
      <c r="Y73" s="171">
        <f t="shared" ref="Y73" si="97">X73+1</f>
        <v>2033</v>
      </c>
      <c r="Z73" s="171">
        <f t="shared" ref="Z73" si="98">Y73+1</f>
        <v>2034</v>
      </c>
      <c r="AA73" s="171">
        <f t="shared" ref="AA73" si="99">Z73+1</f>
        <v>2035</v>
      </c>
      <c r="AB73" s="171">
        <f t="shared" ref="AB73" si="100">AA73+1</f>
        <v>2036</v>
      </c>
      <c r="AC73" s="171">
        <f t="shared" ref="AC73" si="101">AB73+1</f>
        <v>2037</v>
      </c>
      <c r="AD73" s="171">
        <f t="shared" ref="AD73" si="102">AC73+1</f>
        <v>2038</v>
      </c>
      <c r="AE73" s="171">
        <f t="shared" ref="AE73" si="103">AD73+1</f>
        <v>2039</v>
      </c>
      <c r="AF73" s="171">
        <f t="shared" ref="AF73" si="104">AE73+1</f>
        <v>2040</v>
      </c>
      <c r="AG73" s="171">
        <f t="shared" ref="AG73" si="105">AF73+1</f>
        <v>2041</v>
      </c>
      <c r="AH73" s="171">
        <f t="shared" ref="AH73" si="106">AG73+1</f>
        <v>2042</v>
      </c>
      <c r="AI73" s="171">
        <f t="shared" ref="AI73" si="107">AH73+1</f>
        <v>2043</v>
      </c>
      <c r="AJ73" s="171">
        <f t="shared" ref="AJ73" si="108">AI73+1</f>
        <v>2044</v>
      </c>
      <c r="AK73" s="171">
        <f t="shared" ref="AK73" si="109">AJ73+1</f>
        <v>2045</v>
      </c>
      <c r="AL73" s="171">
        <f t="shared" ref="AL73" si="110">AK73+1</f>
        <v>2046</v>
      </c>
      <c r="AM73" s="171">
        <f t="shared" ref="AM73" si="111">AL73+1</f>
        <v>2047</v>
      </c>
      <c r="AN73" s="171">
        <f t="shared" ref="AN73" si="112">AM73+1</f>
        <v>2048</v>
      </c>
      <c r="AO73" s="171">
        <f t="shared" ref="AO73" si="113">AN73+1</f>
        <v>2049</v>
      </c>
      <c r="AP73" s="171">
        <f t="shared" ref="AP73" si="114">AO73+1</f>
        <v>2050</v>
      </c>
      <c r="AQ73" s="171">
        <f t="shared" ref="AQ73" si="115">AP73+1</f>
        <v>2051</v>
      </c>
      <c r="AR73" s="171">
        <f t="shared" ref="AR73" si="116">AQ73+1</f>
        <v>2052</v>
      </c>
      <c r="AS73" s="171">
        <f t="shared" ref="AS73" si="117">AR73+1</f>
        <v>2053</v>
      </c>
      <c r="AT73" s="171">
        <f t="shared" ref="AT73" si="118">AS73+1</f>
        <v>2054</v>
      </c>
      <c r="AU73" s="171">
        <f t="shared" ref="AU73" si="119">AT73+1</f>
        <v>2055</v>
      </c>
      <c r="AV73" s="171">
        <f t="shared" ref="AV73" si="120">AU73+1</f>
        <v>2056</v>
      </c>
      <c r="AW73" s="171">
        <f t="shared" ref="AW73" si="121">AV73+1</f>
        <v>2057</v>
      </c>
      <c r="AX73" s="171">
        <f t="shared" ref="AX73" si="122">AW73+1</f>
        <v>2058</v>
      </c>
      <c r="AY73" s="171">
        <f t="shared" ref="AY73" si="123">AX73+1</f>
        <v>2059</v>
      </c>
      <c r="AZ73" s="171">
        <f t="shared" ref="AZ73" si="124">AY73+1</f>
        <v>2060</v>
      </c>
      <c r="BA73" s="171">
        <f t="shared" ref="BA73" si="125">AZ73+1</f>
        <v>2061</v>
      </c>
      <c r="BB73" s="171">
        <f t="shared" ref="BB73" si="126">BA73+1</f>
        <v>2062</v>
      </c>
      <c r="BC73" s="171">
        <f t="shared" ref="BC73" si="127">BB73+1</f>
        <v>2063</v>
      </c>
      <c r="BD73" s="171">
        <f t="shared" ref="BD73" si="128">BC73+1</f>
        <v>2064</v>
      </c>
      <c r="BE73" s="171">
        <f t="shared" ref="BE73" si="129">BD73+1</f>
        <v>2065</v>
      </c>
    </row>
    <row r="74" spans="2:57" ht="15.75" thickTop="1" x14ac:dyDescent="0.25">
      <c r="C74" s="171" t="s">
        <v>687</v>
      </c>
      <c r="D74" s="325" t="s">
        <v>688</v>
      </c>
      <c r="E74" s="325">
        <v>1</v>
      </c>
      <c r="F74" s="325">
        <v>2018</v>
      </c>
      <c r="G74" s="325">
        <v>2023</v>
      </c>
      <c r="H74" s="313">
        <f t="shared" ref="H74:H87" si="130">G74-F74</f>
        <v>5</v>
      </c>
      <c r="J74" s="323">
        <f t="shared" ref="J74:Y87" si="131">IF(AND(J$8&gt;=$F74,J$8&lt;$G74),1," ")</f>
        <v>1</v>
      </c>
      <c r="K74" s="323">
        <f t="shared" si="131"/>
        <v>1</v>
      </c>
      <c r="L74" s="323">
        <f t="shared" si="131"/>
        <v>1</v>
      </c>
      <c r="M74" s="323">
        <f t="shared" si="131"/>
        <v>1</v>
      </c>
      <c r="N74" s="323">
        <f t="shared" si="131"/>
        <v>1</v>
      </c>
      <c r="O74" s="323" t="str">
        <f t="shared" si="131"/>
        <v xml:space="preserve"> </v>
      </c>
      <c r="P74" s="323" t="str">
        <f t="shared" si="131"/>
        <v xml:space="preserve"> </v>
      </c>
      <c r="Q74" s="323" t="str">
        <f t="shared" si="131"/>
        <v xml:space="preserve"> </v>
      </c>
      <c r="R74" s="323" t="str">
        <f t="shared" si="131"/>
        <v xml:space="preserve"> </v>
      </c>
      <c r="S74" s="323" t="str">
        <f t="shared" si="131"/>
        <v xml:space="preserve"> </v>
      </c>
      <c r="T74" s="323" t="str">
        <f t="shared" si="131"/>
        <v xml:space="preserve"> </v>
      </c>
      <c r="U74" s="323" t="str">
        <f t="shared" si="131"/>
        <v xml:space="preserve"> </v>
      </c>
      <c r="V74" s="323" t="str">
        <f t="shared" si="131"/>
        <v xml:space="preserve"> </v>
      </c>
      <c r="W74" s="323" t="str">
        <f t="shared" si="131"/>
        <v xml:space="preserve"> </v>
      </c>
      <c r="X74" s="323" t="str">
        <f t="shared" si="131"/>
        <v xml:space="preserve"> </v>
      </c>
      <c r="Y74" s="323" t="str">
        <f t="shared" si="131"/>
        <v xml:space="preserve"> </v>
      </c>
      <c r="Z74" s="323" t="str">
        <f t="shared" ref="Z74:AO87" si="132">IF(AND(Z$8&gt;=$F74,Z$8&lt;$G74),1," ")</f>
        <v xml:space="preserve"> </v>
      </c>
      <c r="AA74" s="323" t="str">
        <f t="shared" si="132"/>
        <v xml:space="preserve"> </v>
      </c>
      <c r="AB74" s="323" t="str">
        <f t="shared" si="132"/>
        <v xml:space="preserve"> </v>
      </c>
      <c r="AC74" s="323" t="str">
        <f t="shared" si="132"/>
        <v xml:space="preserve"> </v>
      </c>
      <c r="AD74" s="323" t="str">
        <f t="shared" si="132"/>
        <v xml:space="preserve"> </v>
      </c>
      <c r="AE74" s="323" t="str">
        <f t="shared" si="132"/>
        <v xml:space="preserve"> </v>
      </c>
      <c r="AF74" s="323" t="str">
        <f t="shared" si="132"/>
        <v xml:space="preserve"> </v>
      </c>
      <c r="AG74" s="323" t="str">
        <f t="shared" si="132"/>
        <v xml:space="preserve"> </v>
      </c>
      <c r="AH74" s="323" t="str">
        <f t="shared" si="132"/>
        <v xml:space="preserve"> </v>
      </c>
      <c r="AI74" s="323" t="str">
        <f t="shared" si="132"/>
        <v xml:space="preserve"> </v>
      </c>
      <c r="AJ74" s="323" t="str">
        <f t="shared" si="132"/>
        <v xml:space="preserve"> </v>
      </c>
      <c r="AK74" s="323" t="str">
        <f t="shared" si="132"/>
        <v xml:space="preserve"> </v>
      </c>
      <c r="AL74" s="323" t="str">
        <f t="shared" si="132"/>
        <v xml:space="preserve"> </v>
      </c>
      <c r="AM74" s="323" t="str">
        <f t="shared" si="132"/>
        <v xml:space="preserve"> </v>
      </c>
      <c r="AN74" s="323" t="str">
        <f t="shared" si="132"/>
        <v xml:space="preserve"> </v>
      </c>
      <c r="AO74" s="323" t="str">
        <f t="shared" si="132"/>
        <v xml:space="preserve"> </v>
      </c>
      <c r="AP74" s="323" t="str">
        <f t="shared" ref="AP74:BE87" si="133">IF(AND(AP$8&gt;=$F74,AP$8&lt;$G74),1," ")</f>
        <v xml:space="preserve"> </v>
      </c>
      <c r="AQ74" s="323" t="str">
        <f t="shared" si="133"/>
        <v xml:space="preserve"> </v>
      </c>
      <c r="AR74" s="323" t="str">
        <f t="shared" si="133"/>
        <v xml:space="preserve"> </v>
      </c>
      <c r="AS74" s="323" t="str">
        <f t="shared" si="133"/>
        <v xml:space="preserve"> </v>
      </c>
      <c r="AT74" s="323" t="str">
        <f t="shared" si="133"/>
        <v xml:space="preserve"> </v>
      </c>
      <c r="AU74" s="323" t="str">
        <f t="shared" si="133"/>
        <v xml:space="preserve"> </v>
      </c>
      <c r="AV74" s="323" t="str">
        <f t="shared" si="133"/>
        <v xml:space="preserve"> </v>
      </c>
      <c r="AW74" s="323" t="str">
        <f t="shared" si="133"/>
        <v xml:space="preserve"> </v>
      </c>
      <c r="AX74" s="323" t="str">
        <f t="shared" si="133"/>
        <v xml:space="preserve"> </v>
      </c>
      <c r="AY74" s="323" t="str">
        <f t="shared" si="133"/>
        <v xml:space="preserve"> </v>
      </c>
      <c r="AZ74" s="323" t="str">
        <f t="shared" si="133"/>
        <v xml:space="preserve"> </v>
      </c>
      <c r="BA74" s="323" t="str">
        <f t="shared" si="133"/>
        <v xml:space="preserve"> </v>
      </c>
      <c r="BB74" s="323" t="str">
        <f t="shared" si="133"/>
        <v xml:space="preserve"> </v>
      </c>
      <c r="BC74" s="323" t="str">
        <f t="shared" si="133"/>
        <v xml:space="preserve"> </v>
      </c>
      <c r="BD74" s="323" t="str">
        <f t="shared" si="133"/>
        <v xml:space="preserve"> </v>
      </c>
      <c r="BE74" s="323" t="str">
        <f t="shared" si="133"/>
        <v xml:space="preserve"> </v>
      </c>
    </row>
    <row r="75" spans="2:57" x14ac:dyDescent="0.25">
      <c r="B75" s="314"/>
      <c r="C75" s="171" t="s">
        <v>689</v>
      </c>
      <c r="D75" s="325" t="s">
        <v>688</v>
      </c>
      <c r="E75" s="325">
        <v>2</v>
      </c>
      <c r="F75" s="325">
        <v>2020</v>
      </c>
      <c r="G75" s="325">
        <v>2023</v>
      </c>
      <c r="H75" s="313">
        <f t="shared" si="130"/>
        <v>3</v>
      </c>
      <c r="J75" s="323" t="str">
        <f t="shared" si="131"/>
        <v xml:space="preserve"> </v>
      </c>
      <c r="K75" s="323" t="str">
        <f t="shared" si="131"/>
        <v xml:space="preserve"> </v>
      </c>
      <c r="L75" s="323">
        <f t="shared" si="131"/>
        <v>1</v>
      </c>
      <c r="M75" s="323">
        <f t="shared" si="131"/>
        <v>1</v>
      </c>
      <c r="N75" s="323">
        <f t="shared" si="131"/>
        <v>1</v>
      </c>
      <c r="O75" s="323" t="str">
        <f t="shared" si="131"/>
        <v xml:space="preserve"> </v>
      </c>
      <c r="P75" s="323" t="str">
        <f t="shared" si="131"/>
        <v xml:space="preserve"> </v>
      </c>
      <c r="Q75" s="323" t="str">
        <f t="shared" si="131"/>
        <v xml:space="preserve"> </v>
      </c>
      <c r="R75" s="323" t="str">
        <f t="shared" si="131"/>
        <v xml:space="preserve"> </v>
      </c>
      <c r="S75" s="323" t="str">
        <f t="shared" si="131"/>
        <v xml:space="preserve"> </v>
      </c>
      <c r="T75" s="323" t="str">
        <f t="shared" si="131"/>
        <v xml:space="preserve"> </v>
      </c>
      <c r="U75" s="323" t="str">
        <f t="shared" si="131"/>
        <v xml:space="preserve"> </v>
      </c>
      <c r="V75" s="323" t="str">
        <f t="shared" si="131"/>
        <v xml:space="preserve"> </v>
      </c>
      <c r="W75" s="323" t="str">
        <f t="shared" si="131"/>
        <v xml:space="preserve"> </v>
      </c>
      <c r="X75" s="323" t="str">
        <f t="shared" si="131"/>
        <v xml:space="preserve"> </v>
      </c>
      <c r="Y75" s="323" t="str">
        <f t="shared" si="131"/>
        <v xml:space="preserve"> </v>
      </c>
      <c r="Z75" s="323" t="str">
        <f t="shared" si="132"/>
        <v xml:space="preserve"> </v>
      </c>
      <c r="AA75" s="323" t="str">
        <f t="shared" si="132"/>
        <v xml:space="preserve"> </v>
      </c>
      <c r="AB75" s="323" t="str">
        <f t="shared" si="132"/>
        <v xml:space="preserve"> </v>
      </c>
      <c r="AC75" s="323" t="str">
        <f t="shared" si="132"/>
        <v xml:space="preserve"> </v>
      </c>
      <c r="AD75" s="323" t="str">
        <f t="shared" si="132"/>
        <v xml:space="preserve"> </v>
      </c>
      <c r="AE75" s="323" t="str">
        <f t="shared" si="132"/>
        <v xml:space="preserve"> </v>
      </c>
      <c r="AF75" s="323" t="str">
        <f t="shared" si="132"/>
        <v xml:space="preserve"> </v>
      </c>
      <c r="AG75" s="323" t="str">
        <f t="shared" si="132"/>
        <v xml:space="preserve"> </v>
      </c>
      <c r="AH75" s="323" t="str">
        <f t="shared" si="132"/>
        <v xml:space="preserve"> </v>
      </c>
      <c r="AI75" s="323" t="str">
        <f t="shared" si="132"/>
        <v xml:space="preserve"> </v>
      </c>
      <c r="AJ75" s="323" t="str">
        <f t="shared" si="132"/>
        <v xml:space="preserve"> </v>
      </c>
      <c r="AK75" s="323" t="str">
        <f t="shared" si="132"/>
        <v xml:space="preserve"> </v>
      </c>
      <c r="AL75" s="323" t="str">
        <f t="shared" si="132"/>
        <v xml:space="preserve"> </v>
      </c>
      <c r="AM75" s="323" t="str">
        <f t="shared" si="132"/>
        <v xml:space="preserve"> </v>
      </c>
      <c r="AN75" s="323" t="str">
        <f t="shared" si="132"/>
        <v xml:space="preserve"> </v>
      </c>
      <c r="AO75" s="323" t="str">
        <f t="shared" si="132"/>
        <v xml:space="preserve"> </v>
      </c>
      <c r="AP75" s="323" t="str">
        <f t="shared" si="133"/>
        <v xml:space="preserve"> </v>
      </c>
      <c r="AQ75" s="323" t="str">
        <f t="shared" si="133"/>
        <v xml:space="preserve"> </v>
      </c>
      <c r="AR75" s="323" t="str">
        <f t="shared" si="133"/>
        <v xml:space="preserve"> </v>
      </c>
      <c r="AS75" s="323" t="str">
        <f t="shared" si="133"/>
        <v xml:space="preserve"> </v>
      </c>
      <c r="AT75" s="323" t="str">
        <f t="shared" si="133"/>
        <v xml:space="preserve"> </v>
      </c>
      <c r="AU75" s="323" t="str">
        <f t="shared" si="133"/>
        <v xml:space="preserve"> </v>
      </c>
      <c r="AV75" s="323" t="str">
        <f t="shared" si="133"/>
        <v xml:space="preserve"> </v>
      </c>
      <c r="AW75" s="323" t="str">
        <f t="shared" si="133"/>
        <v xml:space="preserve"> </v>
      </c>
      <c r="AX75" s="323" t="str">
        <f t="shared" si="133"/>
        <v xml:space="preserve"> </v>
      </c>
      <c r="AY75" s="323" t="str">
        <f t="shared" si="133"/>
        <v xml:space="preserve"> </v>
      </c>
      <c r="AZ75" s="323" t="str">
        <f t="shared" si="133"/>
        <v xml:space="preserve"> </v>
      </c>
      <c r="BA75" s="323" t="str">
        <f t="shared" si="133"/>
        <v xml:space="preserve"> </v>
      </c>
      <c r="BB75" s="323" t="str">
        <f t="shared" si="133"/>
        <v xml:space="preserve"> </v>
      </c>
      <c r="BC75" s="323" t="str">
        <f t="shared" si="133"/>
        <v xml:space="preserve"> </v>
      </c>
      <c r="BD75" s="323" t="str">
        <f t="shared" si="133"/>
        <v xml:space="preserve"> </v>
      </c>
      <c r="BE75" s="323" t="str">
        <f t="shared" si="133"/>
        <v xml:space="preserve"> </v>
      </c>
    </row>
    <row r="76" spans="2:57" x14ac:dyDescent="0.25">
      <c r="B76" s="314"/>
      <c r="C76" s="171" t="s">
        <v>673</v>
      </c>
      <c r="D76" s="325" t="s">
        <v>688</v>
      </c>
      <c r="E76" s="325">
        <v>3</v>
      </c>
      <c r="F76" s="313">
        <v>2023</v>
      </c>
      <c r="G76" s="325">
        <v>2048</v>
      </c>
      <c r="H76" s="313">
        <f t="shared" si="130"/>
        <v>25</v>
      </c>
      <c r="J76" s="323" t="str">
        <f t="shared" si="131"/>
        <v xml:space="preserve"> </v>
      </c>
      <c r="K76" s="323" t="str">
        <f t="shared" si="131"/>
        <v xml:space="preserve"> </v>
      </c>
      <c r="L76" s="323" t="str">
        <f t="shared" si="131"/>
        <v xml:space="preserve"> </v>
      </c>
      <c r="M76" s="323" t="str">
        <f t="shared" si="131"/>
        <v xml:space="preserve"> </v>
      </c>
      <c r="N76" s="323" t="str">
        <f t="shared" si="131"/>
        <v xml:space="preserve"> </v>
      </c>
      <c r="O76" s="323">
        <f t="shared" si="131"/>
        <v>1</v>
      </c>
      <c r="P76" s="323">
        <f t="shared" si="131"/>
        <v>1</v>
      </c>
      <c r="Q76" s="323">
        <f t="shared" si="131"/>
        <v>1</v>
      </c>
      <c r="R76" s="323">
        <f t="shared" si="131"/>
        <v>1</v>
      </c>
      <c r="S76" s="323">
        <f t="shared" si="131"/>
        <v>1</v>
      </c>
      <c r="T76" s="323">
        <f t="shared" si="131"/>
        <v>1</v>
      </c>
      <c r="U76" s="323">
        <f t="shared" si="131"/>
        <v>1</v>
      </c>
      <c r="V76" s="323">
        <f t="shared" si="131"/>
        <v>1</v>
      </c>
      <c r="W76" s="323">
        <f t="shared" si="131"/>
        <v>1</v>
      </c>
      <c r="X76" s="323">
        <f t="shared" si="131"/>
        <v>1</v>
      </c>
      <c r="Y76" s="323">
        <f t="shared" si="131"/>
        <v>1</v>
      </c>
      <c r="Z76" s="323">
        <f t="shared" si="132"/>
        <v>1</v>
      </c>
      <c r="AA76" s="323">
        <f t="shared" si="132"/>
        <v>1</v>
      </c>
      <c r="AB76" s="323">
        <f t="shared" si="132"/>
        <v>1</v>
      </c>
      <c r="AC76" s="323">
        <f t="shared" si="132"/>
        <v>1</v>
      </c>
      <c r="AD76" s="323">
        <f t="shared" si="132"/>
        <v>1</v>
      </c>
      <c r="AE76" s="323">
        <f t="shared" si="132"/>
        <v>1</v>
      </c>
      <c r="AF76" s="323">
        <f t="shared" si="132"/>
        <v>1</v>
      </c>
      <c r="AG76" s="323">
        <f t="shared" si="132"/>
        <v>1</v>
      </c>
      <c r="AH76" s="323">
        <f t="shared" si="132"/>
        <v>1</v>
      </c>
      <c r="AI76" s="323">
        <f t="shared" si="132"/>
        <v>1</v>
      </c>
      <c r="AJ76" s="323">
        <f t="shared" si="132"/>
        <v>1</v>
      </c>
      <c r="AK76" s="323">
        <f t="shared" si="132"/>
        <v>1</v>
      </c>
      <c r="AL76" s="323">
        <f t="shared" si="132"/>
        <v>1</v>
      </c>
      <c r="AM76" s="323">
        <f t="shared" si="132"/>
        <v>1</v>
      </c>
      <c r="AN76" s="323" t="str">
        <f t="shared" si="132"/>
        <v xml:space="preserve"> </v>
      </c>
      <c r="AO76" s="323" t="str">
        <f t="shared" si="132"/>
        <v xml:space="preserve"> </v>
      </c>
      <c r="AP76" s="323" t="str">
        <f t="shared" si="133"/>
        <v xml:space="preserve"> </v>
      </c>
      <c r="AQ76" s="323" t="str">
        <f t="shared" si="133"/>
        <v xml:space="preserve"> </v>
      </c>
      <c r="AR76" s="323" t="str">
        <f t="shared" si="133"/>
        <v xml:space="preserve"> </v>
      </c>
      <c r="AS76" s="323" t="str">
        <f t="shared" si="133"/>
        <v xml:space="preserve"> </v>
      </c>
      <c r="AT76" s="323" t="str">
        <f t="shared" si="133"/>
        <v xml:space="preserve"> </v>
      </c>
      <c r="AU76" s="323" t="str">
        <f t="shared" si="133"/>
        <v xml:space="preserve"> </v>
      </c>
      <c r="AV76" s="323" t="str">
        <f t="shared" si="133"/>
        <v xml:space="preserve"> </v>
      </c>
      <c r="AW76" s="323" t="str">
        <f t="shared" si="133"/>
        <v xml:space="preserve"> </v>
      </c>
      <c r="AX76" s="323" t="str">
        <f t="shared" si="133"/>
        <v xml:space="preserve"> </v>
      </c>
      <c r="AY76" s="323" t="str">
        <f t="shared" si="133"/>
        <v xml:space="preserve"> </v>
      </c>
      <c r="AZ76" s="323" t="str">
        <f t="shared" si="133"/>
        <v xml:space="preserve"> </v>
      </c>
      <c r="BA76" s="323" t="str">
        <f t="shared" si="133"/>
        <v xml:space="preserve"> </v>
      </c>
      <c r="BB76" s="323" t="str">
        <f t="shared" si="133"/>
        <v xml:space="preserve"> </v>
      </c>
      <c r="BC76" s="323" t="str">
        <f t="shared" si="133"/>
        <v xml:space="preserve"> </v>
      </c>
      <c r="BD76" s="323" t="str">
        <f t="shared" si="133"/>
        <v xml:space="preserve"> </v>
      </c>
      <c r="BE76" s="323" t="str">
        <f t="shared" si="133"/>
        <v xml:space="preserve"> </v>
      </c>
    </row>
    <row r="77" spans="2:57" x14ac:dyDescent="0.25">
      <c r="B77" s="314"/>
      <c r="C77" s="171" t="s">
        <v>690</v>
      </c>
      <c r="D77" s="325" t="s">
        <v>688</v>
      </c>
      <c r="E77" s="325">
        <v>4</v>
      </c>
      <c r="F77" s="324">
        <v>2048</v>
      </c>
      <c r="G77" s="324">
        <v>2049</v>
      </c>
      <c r="H77" s="313">
        <f t="shared" si="130"/>
        <v>1</v>
      </c>
      <c r="J77" s="323" t="str">
        <f t="shared" si="131"/>
        <v xml:space="preserve"> </v>
      </c>
      <c r="K77" s="323" t="str">
        <f t="shared" si="131"/>
        <v xml:space="preserve"> </v>
      </c>
      <c r="L77" s="323" t="str">
        <f t="shared" si="131"/>
        <v xml:space="preserve"> </v>
      </c>
      <c r="M77" s="323" t="str">
        <f t="shared" si="131"/>
        <v xml:space="preserve"> </v>
      </c>
      <c r="N77" s="323" t="str">
        <f t="shared" si="131"/>
        <v xml:space="preserve"> </v>
      </c>
      <c r="O77" s="323" t="str">
        <f t="shared" si="131"/>
        <v xml:space="preserve"> </v>
      </c>
      <c r="P77" s="323" t="str">
        <f t="shared" si="131"/>
        <v xml:space="preserve"> </v>
      </c>
      <c r="Q77" s="323" t="str">
        <f t="shared" si="131"/>
        <v xml:space="preserve"> </v>
      </c>
      <c r="R77" s="323" t="str">
        <f t="shared" si="131"/>
        <v xml:space="preserve"> </v>
      </c>
      <c r="S77" s="323" t="str">
        <f t="shared" si="131"/>
        <v xml:space="preserve"> </v>
      </c>
      <c r="T77" s="323" t="str">
        <f t="shared" si="131"/>
        <v xml:space="preserve"> </v>
      </c>
      <c r="U77" s="323" t="str">
        <f t="shared" si="131"/>
        <v xml:space="preserve"> </v>
      </c>
      <c r="V77" s="323" t="str">
        <f t="shared" si="131"/>
        <v xml:space="preserve"> </v>
      </c>
      <c r="W77" s="323" t="str">
        <f t="shared" si="131"/>
        <v xml:space="preserve"> </v>
      </c>
      <c r="X77" s="323" t="str">
        <f t="shared" si="131"/>
        <v xml:space="preserve"> </v>
      </c>
      <c r="Y77" s="323" t="str">
        <f t="shared" si="131"/>
        <v xml:space="preserve"> </v>
      </c>
      <c r="Z77" s="323" t="str">
        <f t="shared" si="132"/>
        <v xml:space="preserve"> </v>
      </c>
      <c r="AA77" s="323" t="str">
        <f t="shared" si="132"/>
        <v xml:space="preserve"> </v>
      </c>
      <c r="AB77" s="323" t="str">
        <f t="shared" si="132"/>
        <v xml:space="preserve"> </v>
      </c>
      <c r="AC77" s="323" t="str">
        <f t="shared" si="132"/>
        <v xml:space="preserve"> </v>
      </c>
      <c r="AD77" s="323" t="str">
        <f t="shared" si="132"/>
        <v xml:space="preserve"> </v>
      </c>
      <c r="AE77" s="323" t="str">
        <f t="shared" si="132"/>
        <v xml:space="preserve"> </v>
      </c>
      <c r="AF77" s="323" t="str">
        <f t="shared" si="132"/>
        <v xml:space="preserve"> </v>
      </c>
      <c r="AG77" s="323" t="str">
        <f t="shared" si="132"/>
        <v xml:space="preserve"> </v>
      </c>
      <c r="AH77" s="323" t="str">
        <f t="shared" si="132"/>
        <v xml:space="preserve"> </v>
      </c>
      <c r="AI77" s="323" t="str">
        <f t="shared" si="132"/>
        <v xml:space="preserve"> </v>
      </c>
      <c r="AJ77" s="323" t="str">
        <f t="shared" si="132"/>
        <v xml:space="preserve"> </v>
      </c>
      <c r="AK77" s="323" t="str">
        <f t="shared" si="132"/>
        <v xml:space="preserve"> </v>
      </c>
      <c r="AL77" s="323" t="str">
        <f t="shared" si="132"/>
        <v xml:space="preserve"> </v>
      </c>
      <c r="AM77" s="323" t="str">
        <f t="shared" si="132"/>
        <v xml:space="preserve"> </v>
      </c>
      <c r="AN77" s="323">
        <f t="shared" si="132"/>
        <v>1</v>
      </c>
      <c r="AO77" s="323" t="str">
        <f t="shared" si="132"/>
        <v xml:space="preserve"> </v>
      </c>
      <c r="AP77" s="323" t="str">
        <f t="shared" si="133"/>
        <v xml:space="preserve"> </v>
      </c>
      <c r="AQ77" s="323" t="str">
        <f t="shared" si="133"/>
        <v xml:space="preserve"> </v>
      </c>
      <c r="AR77" s="323" t="str">
        <f t="shared" si="133"/>
        <v xml:space="preserve"> </v>
      </c>
      <c r="AS77" s="323" t="str">
        <f t="shared" si="133"/>
        <v xml:space="preserve"> </v>
      </c>
      <c r="AT77" s="323" t="str">
        <f t="shared" si="133"/>
        <v xml:space="preserve"> </v>
      </c>
      <c r="AU77" s="323" t="str">
        <f t="shared" si="133"/>
        <v xml:space="preserve"> </v>
      </c>
      <c r="AV77" s="323" t="str">
        <f t="shared" si="133"/>
        <v xml:space="preserve"> </v>
      </c>
      <c r="AW77" s="323" t="str">
        <f t="shared" si="133"/>
        <v xml:space="preserve"> </v>
      </c>
      <c r="AX77" s="323" t="str">
        <f t="shared" si="133"/>
        <v xml:space="preserve"> </v>
      </c>
      <c r="AY77" s="323" t="str">
        <f t="shared" si="133"/>
        <v xml:space="preserve"> </v>
      </c>
      <c r="AZ77" s="323" t="str">
        <f t="shared" si="133"/>
        <v xml:space="preserve"> </v>
      </c>
      <c r="BA77" s="323" t="str">
        <f t="shared" si="133"/>
        <v xml:space="preserve"> </v>
      </c>
      <c r="BB77" s="323" t="str">
        <f t="shared" si="133"/>
        <v xml:space="preserve"> </v>
      </c>
      <c r="BC77" s="323" t="str">
        <f t="shared" si="133"/>
        <v xml:space="preserve"> </v>
      </c>
      <c r="BD77" s="323" t="str">
        <f t="shared" si="133"/>
        <v xml:space="preserve"> </v>
      </c>
      <c r="BE77" s="323" t="str">
        <f t="shared" si="133"/>
        <v xml:space="preserve"> </v>
      </c>
    </row>
    <row r="78" spans="2:57" x14ac:dyDescent="0.25">
      <c r="B78" s="315"/>
      <c r="C78" s="171" t="s">
        <v>691</v>
      </c>
      <c r="D78" s="325" t="s">
        <v>1416</v>
      </c>
      <c r="E78" s="325">
        <v>5</v>
      </c>
      <c r="F78" s="325">
        <v>0</v>
      </c>
      <c r="G78" s="325">
        <v>0</v>
      </c>
      <c r="H78" s="313">
        <f t="shared" si="130"/>
        <v>0</v>
      </c>
      <c r="J78" s="323" t="str">
        <f t="shared" si="131"/>
        <v xml:space="preserve"> </v>
      </c>
      <c r="K78" s="323" t="str">
        <f t="shared" si="131"/>
        <v xml:space="preserve"> </v>
      </c>
      <c r="L78" s="323" t="str">
        <f t="shared" si="131"/>
        <v xml:space="preserve"> </v>
      </c>
      <c r="M78" s="323" t="str">
        <f t="shared" si="131"/>
        <v xml:space="preserve"> </v>
      </c>
      <c r="N78" s="323" t="str">
        <f t="shared" si="131"/>
        <v xml:space="preserve"> </v>
      </c>
      <c r="O78" s="323" t="str">
        <f t="shared" si="131"/>
        <v xml:space="preserve"> </v>
      </c>
      <c r="P78" s="323" t="str">
        <f t="shared" si="131"/>
        <v xml:space="preserve"> </v>
      </c>
      <c r="Q78" s="323" t="str">
        <f t="shared" si="131"/>
        <v xml:space="preserve"> </v>
      </c>
      <c r="R78" s="323" t="str">
        <f t="shared" si="131"/>
        <v xml:space="preserve"> </v>
      </c>
      <c r="S78" s="323" t="str">
        <f t="shared" si="131"/>
        <v xml:space="preserve"> </v>
      </c>
      <c r="T78" s="323" t="str">
        <f t="shared" si="131"/>
        <v xml:space="preserve"> </v>
      </c>
      <c r="U78" s="323" t="str">
        <f t="shared" si="131"/>
        <v xml:space="preserve"> </v>
      </c>
      <c r="V78" s="323" t="str">
        <f t="shared" si="131"/>
        <v xml:space="preserve"> </v>
      </c>
      <c r="W78" s="323" t="str">
        <f t="shared" si="131"/>
        <v xml:space="preserve"> </v>
      </c>
      <c r="X78" s="323" t="str">
        <f t="shared" si="131"/>
        <v xml:space="preserve"> </v>
      </c>
      <c r="Y78" s="323" t="str">
        <f t="shared" si="131"/>
        <v xml:space="preserve"> </v>
      </c>
      <c r="Z78" s="323" t="str">
        <f t="shared" si="132"/>
        <v xml:space="preserve"> </v>
      </c>
      <c r="AA78" s="323" t="str">
        <f t="shared" si="132"/>
        <v xml:space="preserve"> </v>
      </c>
      <c r="AB78" s="323" t="str">
        <f t="shared" si="132"/>
        <v xml:space="preserve"> </v>
      </c>
      <c r="AC78" s="323" t="str">
        <f t="shared" si="132"/>
        <v xml:space="preserve"> </v>
      </c>
      <c r="AD78" s="323" t="str">
        <f t="shared" si="132"/>
        <v xml:space="preserve"> </v>
      </c>
      <c r="AE78" s="323" t="str">
        <f t="shared" si="132"/>
        <v xml:space="preserve"> </v>
      </c>
      <c r="AF78" s="323" t="str">
        <f t="shared" si="132"/>
        <v xml:space="preserve"> </v>
      </c>
      <c r="AG78" s="323" t="str">
        <f t="shared" si="132"/>
        <v xml:space="preserve"> </v>
      </c>
      <c r="AH78" s="323" t="str">
        <f t="shared" si="132"/>
        <v xml:space="preserve"> </v>
      </c>
      <c r="AI78" s="323" t="str">
        <f t="shared" si="132"/>
        <v xml:space="preserve"> </v>
      </c>
      <c r="AJ78" s="323" t="str">
        <f t="shared" si="132"/>
        <v xml:space="preserve"> </v>
      </c>
      <c r="AK78" s="323" t="str">
        <f t="shared" si="132"/>
        <v xml:space="preserve"> </v>
      </c>
      <c r="AL78" s="323" t="str">
        <f t="shared" si="132"/>
        <v xml:space="preserve"> </v>
      </c>
      <c r="AM78" s="323" t="str">
        <f t="shared" si="132"/>
        <v xml:space="preserve"> </v>
      </c>
      <c r="AN78" s="323" t="str">
        <f t="shared" si="132"/>
        <v xml:space="preserve"> </v>
      </c>
      <c r="AO78" s="323" t="str">
        <f t="shared" si="132"/>
        <v xml:space="preserve"> </v>
      </c>
      <c r="AP78" s="323" t="str">
        <f t="shared" si="133"/>
        <v xml:space="preserve"> </v>
      </c>
      <c r="AQ78" s="323" t="str">
        <f t="shared" si="133"/>
        <v xml:space="preserve"> </v>
      </c>
      <c r="AR78" s="323" t="str">
        <f t="shared" si="133"/>
        <v xml:space="preserve"> </v>
      </c>
      <c r="AS78" s="323" t="str">
        <f t="shared" si="133"/>
        <v xml:space="preserve"> </v>
      </c>
      <c r="AT78" s="323" t="str">
        <f t="shared" si="133"/>
        <v xml:space="preserve"> </v>
      </c>
      <c r="AU78" s="323" t="str">
        <f t="shared" si="133"/>
        <v xml:space="preserve"> </v>
      </c>
      <c r="AV78" s="323" t="str">
        <f t="shared" si="133"/>
        <v xml:space="preserve"> </v>
      </c>
      <c r="AW78" s="323" t="str">
        <f t="shared" si="133"/>
        <v xml:space="preserve"> </v>
      </c>
      <c r="AX78" s="323" t="str">
        <f t="shared" si="133"/>
        <v xml:space="preserve"> </v>
      </c>
      <c r="AY78" s="323" t="str">
        <f t="shared" si="133"/>
        <v xml:space="preserve"> </v>
      </c>
      <c r="AZ78" s="323" t="str">
        <f t="shared" si="133"/>
        <v xml:space="preserve"> </v>
      </c>
      <c r="BA78" s="323" t="str">
        <f t="shared" si="133"/>
        <v xml:space="preserve"> </v>
      </c>
      <c r="BB78" s="323" t="str">
        <f t="shared" si="133"/>
        <v xml:space="preserve"> </v>
      </c>
      <c r="BC78" s="323" t="str">
        <f t="shared" si="133"/>
        <v xml:space="preserve"> </v>
      </c>
      <c r="BD78" s="323" t="str">
        <f t="shared" si="133"/>
        <v xml:space="preserve"> </v>
      </c>
      <c r="BE78" s="323" t="str">
        <f t="shared" si="133"/>
        <v xml:space="preserve"> </v>
      </c>
    </row>
    <row r="79" spans="2:57" x14ac:dyDescent="0.25">
      <c r="B79" s="315"/>
      <c r="C79" s="171" t="s">
        <v>692</v>
      </c>
      <c r="D79" s="325" t="s">
        <v>1416</v>
      </c>
      <c r="E79" s="325">
        <v>6</v>
      </c>
      <c r="F79" s="313">
        <v>0</v>
      </c>
      <c r="G79" s="325">
        <v>0</v>
      </c>
      <c r="H79" s="313">
        <f t="shared" si="130"/>
        <v>0</v>
      </c>
      <c r="J79" s="323" t="str">
        <f t="shared" si="131"/>
        <v xml:space="preserve"> </v>
      </c>
      <c r="K79" s="323" t="str">
        <f t="shared" si="131"/>
        <v xml:space="preserve"> </v>
      </c>
      <c r="L79" s="323" t="str">
        <f t="shared" si="131"/>
        <v xml:space="preserve"> </v>
      </c>
      <c r="M79" s="323" t="str">
        <f t="shared" si="131"/>
        <v xml:space="preserve"> </v>
      </c>
      <c r="N79" s="323" t="str">
        <f t="shared" si="131"/>
        <v xml:space="preserve"> </v>
      </c>
      <c r="O79" s="323" t="str">
        <f t="shared" si="131"/>
        <v xml:space="preserve"> </v>
      </c>
      <c r="P79" s="323" t="str">
        <f t="shared" si="131"/>
        <v xml:space="preserve"> </v>
      </c>
      <c r="Q79" s="323" t="str">
        <f t="shared" si="131"/>
        <v xml:space="preserve"> </v>
      </c>
      <c r="R79" s="323" t="str">
        <f t="shared" si="131"/>
        <v xml:space="preserve"> </v>
      </c>
      <c r="S79" s="323" t="str">
        <f t="shared" si="131"/>
        <v xml:space="preserve"> </v>
      </c>
      <c r="T79" s="323" t="str">
        <f t="shared" si="131"/>
        <v xml:space="preserve"> </v>
      </c>
      <c r="U79" s="323" t="str">
        <f t="shared" si="131"/>
        <v xml:space="preserve"> </v>
      </c>
      <c r="V79" s="323" t="str">
        <f t="shared" si="131"/>
        <v xml:space="preserve"> </v>
      </c>
      <c r="W79" s="323" t="str">
        <f t="shared" si="131"/>
        <v xml:space="preserve"> </v>
      </c>
      <c r="X79" s="323" t="str">
        <f t="shared" si="131"/>
        <v xml:space="preserve"> </v>
      </c>
      <c r="Y79" s="323" t="str">
        <f t="shared" si="131"/>
        <v xml:space="preserve"> </v>
      </c>
      <c r="Z79" s="323" t="str">
        <f t="shared" si="132"/>
        <v xml:space="preserve"> </v>
      </c>
      <c r="AA79" s="323" t="str">
        <f t="shared" si="132"/>
        <v xml:space="preserve"> </v>
      </c>
      <c r="AB79" s="323" t="str">
        <f t="shared" si="132"/>
        <v xml:space="preserve"> </v>
      </c>
      <c r="AC79" s="323" t="str">
        <f t="shared" si="132"/>
        <v xml:space="preserve"> </v>
      </c>
      <c r="AD79" s="323" t="str">
        <f t="shared" si="132"/>
        <v xml:space="preserve"> </v>
      </c>
      <c r="AE79" s="323" t="str">
        <f t="shared" si="132"/>
        <v xml:space="preserve"> </v>
      </c>
      <c r="AF79" s="323" t="str">
        <f t="shared" si="132"/>
        <v xml:space="preserve"> </v>
      </c>
      <c r="AG79" s="323" t="str">
        <f t="shared" si="132"/>
        <v xml:space="preserve"> </v>
      </c>
      <c r="AH79" s="323" t="str">
        <f t="shared" si="132"/>
        <v xml:space="preserve"> </v>
      </c>
      <c r="AI79" s="323" t="str">
        <f t="shared" si="132"/>
        <v xml:space="preserve"> </v>
      </c>
      <c r="AJ79" s="323" t="str">
        <f t="shared" si="132"/>
        <v xml:space="preserve"> </v>
      </c>
      <c r="AK79" s="323" t="str">
        <f t="shared" si="132"/>
        <v xml:space="preserve"> </v>
      </c>
      <c r="AL79" s="323" t="str">
        <f t="shared" si="132"/>
        <v xml:space="preserve"> </v>
      </c>
      <c r="AM79" s="323" t="str">
        <f t="shared" si="132"/>
        <v xml:space="preserve"> </v>
      </c>
      <c r="AN79" s="323" t="str">
        <f t="shared" si="132"/>
        <v xml:space="preserve"> </v>
      </c>
      <c r="AO79" s="323" t="str">
        <f t="shared" si="132"/>
        <v xml:space="preserve"> </v>
      </c>
      <c r="AP79" s="323" t="str">
        <f t="shared" si="133"/>
        <v xml:space="preserve"> </v>
      </c>
      <c r="AQ79" s="323" t="str">
        <f t="shared" si="133"/>
        <v xml:space="preserve"> </v>
      </c>
      <c r="AR79" s="323" t="str">
        <f t="shared" si="133"/>
        <v xml:space="preserve"> </v>
      </c>
      <c r="AS79" s="323" t="str">
        <f t="shared" si="133"/>
        <v xml:space="preserve"> </v>
      </c>
      <c r="AT79" s="323" t="str">
        <f t="shared" si="133"/>
        <v xml:space="preserve"> </v>
      </c>
      <c r="AU79" s="323" t="str">
        <f t="shared" si="133"/>
        <v xml:space="preserve"> </v>
      </c>
      <c r="AV79" s="323" t="str">
        <f t="shared" si="133"/>
        <v xml:space="preserve"> </v>
      </c>
      <c r="AW79" s="323" t="str">
        <f t="shared" si="133"/>
        <v xml:space="preserve"> </v>
      </c>
      <c r="AX79" s="323" t="str">
        <f t="shared" si="133"/>
        <v xml:space="preserve"> </v>
      </c>
      <c r="AY79" s="323" t="str">
        <f t="shared" si="133"/>
        <v xml:space="preserve"> </v>
      </c>
      <c r="AZ79" s="323" t="str">
        <f t="shared" si="133"/>
        <v xml:space="preserve"> </v>
      </c>
      <c r="BA79" s="323" t="str">
        <f t="shared" si="133"/>
        <v xml:space="preserve"> </v>
      </c>
      <c r="BB79" s="323" t="str">
        <f t="shared" si="133"/>
        <v xml:space="preserve"> </v>
      </c>
      <c r="BC79" s="323" t="str">
        <f t="shared" si="133"/>
        <v xml:space="preserve"> </v>
      </c>
      <c r="BD79" s="323" t="str">
        <f t="shared" si="133"/>
        <v xml:space="preserve"> </v>
      </c>
      <c r="BE79" s="323" t="str">
        <f t="shared" si="133"/>
        <v xml:space="preserve"> </v>
      </c>
    </row>
    <row r="80" spans="2:57" x14ac:dyDescent="0.25">
      <c r="B80" s="315"/>
      <c r="C80" s="171" t="s">
        <v>693</v>
      </c>
      <c r="D80" s="325" t="s">
        <v>1416</v>
      </c>
      <c r="E80" s="325">
        <v>7</v>
      </c>
      <c r="F80" s="324">
        <v>0</v>
      </c>
      <c r="G80" s="325">
        <v>0</v>
      </c>
      <c r="H80" s="313">
        <f t="shared" si="130"/>
        <v>0</v>
      </c>
      <c r="J80" s="323" t="str">
        <f t="shared" si="131"/>
        <v xml:space="preserve"> </v>
      </c>
      <c r="K80" s="323" t="str">
        <f t="shared" si="131"/>
        <v xml:space="preserve"> </v>
      </c>
      <c r="L80" s="323" t="str">
        <f t="shared" si="131"/>
        <v xml:space="preserve"> </v>
      </c>
      <c r="M80" s="323" t="str">
        <f t="shared" si="131"/>
        <v xml:space="preserve"> </v>
      </c>
      <c r="N80" s="323" t="str">
        <f t="shared" si="131"/>
        <v xml:space="preserve"> </v>
      </c>
      <c r="O80" s="323" t="str">
        <f t="shared" si="131"/>
        <v xml:space="preserve"> </v>
      </c>
      <c r="P80" s="323" t="str">
        <f t="shared" si="131"/>
        <v xml:space="preserve"> </v>
      </c>
      <c r="Q80" s="323" t="str">
        <f t="shared" si="131"/>
        <v xml:space="preserve"> </v>
      </c>
      <c r="R80" s="323" t="str">
        <f t="shared" si="131"/>
        <v xml:space="preserve"> </v>
      </c>
      <c r="S80" s="323" t="str">
        <f t="shared" si="131"/>
        <v xml:space="preserve"> </v>
      </c>
      <c r="T80" s="323" t="str">
        <f t="shared" si="131"/>
        <v xml:space="preserve"> </v>
      </c>
      <c r="U80" s="323" t="str">
        <f t="shared" si="131"/>
        <v xml:space="preserve"> </v>
      </c>
      <c r="V80" s="323" t="str">
        <f t="shared" si="131"/>
        <v xml:space="preserve"> </v>
      </c>
      <c r="W80" s="323" t="str">
        <f t="shared" si="131"/>
        <v xml:space="preserve"> </v>
      </c>
      <c r="X80" s="323" t="str">
        <f t="shared" si="131"/>
        <v xml:space="preserve"> </v>
      </c>
      <c r="Y80" s="323" t="str">
        <f t="shared" si="131"/>
        <v xml:space="preserve"> </v>
      </c>
      <c r="Z80" s="323" t="str">
        <f t="shared" si="132"/>
        <v xml:space="preserve"> </v>
      </c>
      <c r="AA80" s="323" t="str">
        <f t="shared" si="132"/>
        <v xml:space="preserve"> </v>
      </c>
      <c r="AB80" s="323" t="str">
        <f t="shared" si="132"/>
        <v xml:space="preserve"> </v>
      </c>
      <c r="AC80" s="323" t="str">
        <f t="shared" si="132"/>
        <v xml:space="preserve"> </v>
      </c>
      <c r="AD80" s="323" t="str">
        <f t="shared" si="132"/>
        <v xml:space="preserve"> </v>
      </c>
      <c r="AE80" s="323" t="str">
        <f t="shared" si="132"/>
        <v xml:space="preserve"> </v>
      </c>
      <c r="AF80" s="323" t="str">
        <f t="shared" si="132"/>
        <v xml:space="preserve"> </v>
      </c>
      <c r="AG80" s="323" t="str">
        <f t="shared" si="132"/>
        <v xml:space="preserve"> </v>
      </c>
      <c r="AH80" s="323" t="str">
        <f t="shared" si="132"/>
        <v xml:space="preserve"> </v>
      </c>
      <c r="AI80" s="323" t="str">
        <f t="shared" si="132"/>
        <v xml:space="preserve"> </v>
      </c>
      <c r="AJ80" s="323" t="str">
        <f t="shared" si="132"/>
        <v xml:space="preserve"> </v>
      </c>
      <c r="AK80" s="323" t="str">
        <f t="shared" si="132"/>
        <v xml:space="preserve"> </v>
      </c>
      <c r="AL80" s="323" t="str">
        <f t="shared" si="132"/>
        <v xml:space="preserve"> </v>
      </c>
      <c r="AM80" s="323" t="str">
        <f t="shared" si="132"/>
        <v xml:space="preserve"> </v>
      </c>
      <c r="AN80" s="323" t="str">
        <f t="shared" si="132"/>
        <v xml:space="preserve"> </v>
      </c>
      <c r="AO80" s="323" t="str">
        <f t="shared" si="132"/>
        <v xml:space="preserve"> </v>
      </c>
      <c r="AP80" s="323" t="str">
        <f t="shared" si="133"/>
        <v xml:space="preserve"> </v>
      </c>
      <c r="AQ80" s="323" t="str">
        <f t="shared" si="133"/>
        <v xml:space="preserve"> </v>
      </c>
      <c r="AR80" s="323" t="str">
        <f t="shared" si="133"/>
        <v xml:space="preserve"> </v>
      </c>
      <c r="AS80" s="323" t="str">
        <f t="shared" si="133"/>
        <v xml:space="preserve"> </v>
      </c>
      <c r="AT80" s="323" t="str">
        <f t="shared" si="133"/>
        <v xml:space="preserve"> </v>
      </c>
      <c r="AU80" s="323" t="str">
        <f t="shared" si="133"/>
        <v xml:space="preserve"> </v>
      </c>
      <c r="AV80" s="323" t="str">
        <f t="shared" si="133"/>
        <v xml:space="preserve"> </v>
      </c>
      <c r="AW80" s="323" t="str">
        <f t="shared" si="133"/>
        <v xml:space="preserve"> </v>
      </c>
      <c r="AX80" s="323" t="str">
        <f t="shared" si="133"/>
        <v xml:space="preserve"> </v>
      </c>
      <c r="AY80" s="323" t="str">
        <f t="shared" si="133"/>
        <v xml:space="preserve"> </v>
      </c>
      <c r="AZ80" s="323" t="str">
        <f t="shared" si="133"/>
        <v xml:space="preserve"> </v>
      </c>
      <c r="BA80" s="323" t="str">
        <f t="shared" si="133"/>
        <v xml:space="preserve"> </v>
      </c>
      <c r="BB80" s="323" t="str">
        <f t="shared" si="133"/>
        <v xml:space="preserve"> </v>
      </c>
      <c r="BC80" s="323" t="str">
        <f t="shared" si="133"/>
        <v xml:space="preserve"> </v>
      </c>
      <c r="BD80" s="323" t="str">
        <f t="shared" si="133"/>
        <v xml:space="preserve"> </v>
      </c>
      <c r="BE80" s="323" t="str">
        <f t="shared" si="133"/>
        <v xml:space="preserve"> </v>
      </c>
    </row>
    <row r="81" spans="2:57" x14ac:dyDescent="0.25">
      <c r="B81" s="3"/>
      <c r="C81" s="171" t="s">
        <v>694</v>
      </c>
      <c r="D81" s="325" t="s">
        <v>688</v>
      </c>
      <c r="E81" s="325">
        <v>8</v>
      </c>
      <c r="F81" s="325">
        <v>2022</v>
      </c>
      <c r="G81" s="324">
        <v>2023</v>
      </c>
      <c r="H81" s="313">
        <f t="shared" si="130"/>
        <v>1</v>
      </c>
      <c r="J81" s="323" t="str">
        <f t="shared" si="131"/>
        <v xml:space="preserve"> </v>
      </c>
      <c r="K81" s="323" t="str">
        <f t="shared" si="131"/>
        <v xml:space="preserve"> </v>
      </c>
      <c r="L81" s="323" t="str">
        <f t="shared" si="131"/>
        <v xml:space="preserve"> </v>
      </c>
      <c r="M81" s="323" t="str">
        <f t="shared" si="131"/>
        <v xml:space="preserve"> </v>
      </c>
      <c r="N81" s="323">
        <f t="shared" si="131"/>
        <v>1</v>
      </c>
      <c r="O81" s="323" t="str">
        <f t="shared" si="131"/>
        <v xml:space="preserve"> </v>
      </c>
      <c r="P81" s="323" t="str">
        <f t="shared" si="131"/>
        <v xml:space="preserve"> </v>
      </c>
      <c r="Q81" s="323" t="str">
        <f t="shared" si="131"/>
        <v xml:space="preserve"> </v>
      </c>
      <c r="R81" s="323" t="str">
        <f t="shared" si="131"/>
        <v xml:space="preserve"> </v>
      </c>
      <c r="S81" s="323" t="str">
        <f t="shared" si="131"/>
        <v xml:space="preserve"> </v>
      </c>
      <c r="T81" s="323" t="str">
        <f t="shared" si="131"/>
        <v xml:space="preserve"> </v>
      </c>
      <c r="U81" s="323" t="str">
        <f t="shared" si="131"/>
        <v xml:space="preserve"> </v>
      </c>
      <c r="V81" s="323" t="str">
        <f t="shared" si="131"/>
        <v xml:space="preserve"> </v>
      </c>
      <c r="W81" s="323" t="str">
        <f t="shared" si="131"/>
        <v xml:space="preserve"> </v>
      </c>
      <c r="X81" s="323" t="str">
        <f t="shared" si="131"/>
        <v xml:space="preserve"> </v>
      </c>
      <c r="Y81" s="323" t="str">
        <f t="shared" si="131"/>
        <v xml:space="preserve"> </v>
      </c>
      <c r="Z81" s="323" t="str">
        <f t="shared" si="132"/>
        <v xml:space="preserve"> </v>
      </c>
      <c r="AA81" s="323" t="str">
        <f t="shared" si="132"/>
        <v xml:space="preserve"> </v>
      </c>
      <c r="AB81" s="323" t="str">
        <f t="shared" si="132"/>
        <v xml:space="preserve"> </v>
      </c>
      <c r="AC81" s="323" t="str">
        <f t="shared" si="132"/>
        <v xml:space="preserve"> </v>
      </c>
      <c r="AD81" s="323" t="str">
        <f t="shared" si="132"/>
        <v xml:space="preserve"> </v>
      </c>
      <c r="AE81" s="323" t="str">
        <f t="shared" si="132"/>
        <v xml:space="preserve"> </v>
      </c>
      <c r="AF81" s="323" t="str">
        <f t="shared" si="132"/>
        <v xml:space="preserve"> </v>
      </c>
      <c r="AG81" s="323" t="str">
        <f t="shared" si="132"/>
        <v xml:space="preserve"> </v>
      </c>
      <c r="AH81" s="323" t="str">
        <f t="shared" si="132"/>
        <v xml:space="preserve"> </v>
      </c>
      <c r="AI81" s="323" t="str">
        <f t="shared" si="132"/>
        <v xml:space="preserve"> </v>
      </c>
      <c r="AJ81" s="323" t="str">
        <f t="shared" si="132"/>
        <v xml:space="preserve"> </v>
      </c>
      <c r="AK81" s="323" t="str">
        <f t="shared" si="132"/>
        <v xml:space="preserve"> </v>
      </c>
      <c r="AL81" s="323" t="str">
        <f t="shared" si="132"/>
        <v xml:space="preserve"> </v>
      </c>
      <c r="AM81" s="323" t="str">
        <f t="shared" si="132"/>
        <v xml:space="preserve"> </v>
      </c>
      <c r="AN81" s="323" t="str">
        <f t="shared" si="132"/>
        <v xml:space="preserve"> </v>
      </c>
      <c r="AO81" s="323" t="str">
        <f t="shared" si="132"/>
        <v xml:space="preserve"> </v>
      </c>
      <c r="AP81" s="323" t="str">
        <f t="shared" si="133"/>
        <v xml:space="preserve"> </v>
      </c>
      <c r="AQ81" s="323" t="str">
        <f t="shared" si="133"/>
        <v xml:space="preserve"> </v>
      </c>
      <c r="AR81" s="323" t="str">
        <f t="shared" si="133"/>
        <v xml:space="preserve"> </v>
      </c>
      <c r="AS81" s="323" t="str">
        <f t="shared" si="133"/>
        <v xml:space="preserve"> </v>
      </c>
      <c r="AT81" s="323" t="str">
        <f t="shared" si="133"/>
        <v xml:space="preserve"> </v>
      </c>
      <c r="AU81" s="323" t="str">
        <f t="shared" si="133"/>
        <v xml:space="preserve"> </v>
      </c>
      <c r="AV81" s="323" t="str">
        <f t="shared" si="133"/>
        <v xml:space="preserve"> </v>
      </c>
      <c r="AW81" s="323" t="str">
        <f t="shared" si="133"/>
        <v xml:space="preserve"> </v>
      </c>
      <c r="AX81" s="323" t="str">
        <f t="shared" si="133"/>
        <v xml:space="preserve"> </v>
      </c>
      <c r="AY81" s="323" t="str">
        <f t="shared" si="133"/>
        <v xml:space="preserve"> </v>
      </c>
      <c r="AZ81" s="323" t="str">
        <f t="shared" si="133"/>
        <v xml:space="preserve"> </v>
      </c>
      <c r="BA81" s="323" t="str">
        <f t="shared" si="133"/>
        <v xml:space="preserve"> </v>
      </c>
      <c r="BB81" s="323" t="str">
        <f t="shared" si="133"/>
        <v xml:space="preserve"> </v>
      </c>
      <c r="BC81" s="323" t="str">
        <f t="shared" si="133"/>
        <v xml:space="preserve"> </v>
      </c>
      <c r="BD81" s="323" t="str">
        <f t="shared" si="133"/>
        <v xml:space="preserve"> </v>
      </c>
      <c r="BE81" s="323" t="str">
        <f t="shared" si="133"/>
        <v xml:space="preserve"> </v>
      </c>
    </row>
    <row r="82" spans="2:57" x14ac:dyDescent="0.25">
      <c r="B82" s="3"/>
      <c r="C82" s="171" t="s">
        <v>695</v>
      </c>
      <c r="D82" s="325" t="s">
        <v>688</v>
      </c>
      <c r="E82" s="325">
        <v>9</v>
      </c>
      <c r="F82" s="313">
        <v>2023</v>
      </c>
      <c r="G82" s="325">
        <v>2048</v>
      </c>
      <c r="H82" s="313">
        <f t="shared" si="130"/>
        <v>25</v>
      </c>
      <c r="J82" s="323" t="str">
        <f t="shared" si="131"/>
        <v xml:space="preserve"> </v>
      </c>
      <c r="K82" s="323" t="str">
        <f t="shared" si="131"/>
        <v xml:space="preserve"> </v>
      </c>
      <c r="L82" s="323" t="str">
        <f t="shared" si="131"/>
        <v xml:space="preserve"> </v>
      </c>
      <c r="M82" s="323" t="str">
        <f t="shared" si="131"/>
        <v xml:space="preserve"> </v>
      </c>
      <c r="N82" s="323" t="str">
        <f t="shared" si="131"/>
        <v xml:space="preserve"> </v>
      </c>
      <c r="O82" s="323">
        <f t="shared" si="131"/>
        <v>1</v>
      </c>
      <c r="P82" s="323">
        <f t="shared" si="131"/>
        <v>1</v>
      </c>
      <c r="Q82" s="323">
        <f t="shared" si="131"/>
        <v>1</v>
      </c>
      <c r="R82" s="323">
        <f t="shared" si="131"/>
        <v>1</v>
      </c>
      <c r="S82" s="323">
        <f t="shared" si="131"/>
        <v>1</v>
      </c>
      <c r="T82" s="323">
        <f t="shared" si="131"/>
        <v>1</v>
      </c>
      <c r="U82" s="323">
        <f t="shared" si="131"/>
        <v>1</v>
      </c>
      <c r="V82" s="323">
        <f t="shared" si="131"/>
        <v>1</v>
      </c>
      <c r="W82" s="323">
        <f t="shared" si="131"/>
        <v>1</v>
      </c>
      <c r="X82" s="323">
        <f t="shared" si="131"/>
        <v>1</v>
      </c>
      <c r="Y82" s="323">
        <f t="shared" si="131"/>
        <v>1</v>
      </c>
      <c r="Z82" s="323">
        <f t="shared" si="132"/>
        <v>1</v>
      </c>
      <c r="AA82" s="323">
        <f t="shared" si="132"/>
        <v>1</v>
      </c>
      <c r="AB82" s="323">
        <f t="shared" si="132"/>
        <v>1</v>
      </c>
      <c r="AC82" s="323">
        <f t="shared" si="132"/>
        <v>1</v>
      </c>
      <c r="AD82" s="323">
        <f t="shared" si="132"/>
        <v>1</v>
      </c>
      <c r="AE82" s="323">
        <f t="shared" si="132"/>
        <v>1</v>
      </c>
      <c r="AF82" s="323">
        <f t="shared" si="132"/>
        <v>1</v>
      </c>
      <c r="AG82" s="323">
        <f t="shared" si="132"/>
        <v>1</v>
      </c>
      <c r="AH82" s="323">
        <f t="shared" si="132"/>
        <v>1</v>
      </c>
      <c r="AI82" s="323">
        <f t="shared" si="132"/>
        <v>1</v>
      </c>
      <c r="AJ82" s="323">
        <f t="shared" si="132"/>
        <v>1</v>
      </c>
      <c r="AK82" s="323">
        <f t="shared" si="132"/>
        <v>1</v>
      </c>
      <c r="AL82" s="323">
        <f t="shared" si="132"/>
        <v>1</v>
      </c>
      <c r="AM82" s="323">
        <f t="shared" si="132"/>
        <v>1</v>
      </c>
      <c r="AN82" s="323" t="str">
        <f t="shared" si="132"/>
        <v xml:space="preserve"> </v>
      </c>
      <c r="AO82" s="323" t="str">
        <f t="shared" si="132"/>
        <v xml:space="preserve"> </v>
      </c>
      <c r="AP82" s="323" t="str">
        <f t="shared" si="133"/>
        <v xml:space="preserve"> </v>
      </c>
      <c r="AQ82" s="323" t="str">
        <f t="shared" si="133"/>
        <v xml:space="preserve"> </v>
      </c>
      <c r="AR82" s="323" t="str">
        <f t="shared" si="133"/>
        <v xml:space="preserve"> </v>
      </c>
      <c r="AS82" s="323" t="str">
        <f t="shared" si="133"/>
        <v xml:space="preserve"> </v>
      </c>
      <c r="AT82" s="323" t="str">
        <f t="shared" si="133"/>
        <v xml:space="preserve"> </v>
      </c>
      <c r="AU82" s="323" t="str">
        <f t="shared" si="133"/>
        <v xml:space="preserve"> </v>
      </c>
      <c r="AV82" s="323" t="str">
        <f t="shared" si="133"/>
        <v xml:space="preserve"> </v>
      </c>
      <c r="AW82" s="323" t="str">
        <f t="shared" si="133"/>
        <v xml:space="preserve"> </v>
      </c>
      <c r="AX82" s="323" t="str">
        <f t="shared" si="133"/>
        <v xml:space="preserve"> </v>
      </c>
      <c r="AY82" s="323" t="str">
        <f t="shared" si="133"/>
        <v xml:space="preserve"> </v>
      </c>
      <c r="AZ82" s="323" t="str">
        <f t="shared" si="133"/>
        <v xml:space="preserve"> </v>
      </c>
      <c r="BA82" s="323" t="str">
        <f t="shared" si="133"/>
        <v xml:space="preserve"> </v>
      </c>
      <c r="BB82" s="323" t="str">
        <f t="shared" si="133"/>
        <v xml:space="preserve"> </v>
      </c>
      <c r="BC82" s="323" t="str">
        <f t="shared" si="133"/>
        <v xml:space="preserve"> </v>
      </c>
      <c r="BD82" s="323" t="str">
        <f t="shared" si="133"/>
        <v xml:space="preserve"> </v>
      </c>
      <c r="BE82" s="323" t="str">
        <f t="shared" si="133"/>
        <v xml:space="preserve"> </v>
      </c>
    </row>
    <row r="83" spans="2:57" x14ac:dyDescent="0.25">
      <c r="B83" s="3"/>
      <c r="C83" s="171" t="s">
        <v>696</v>
      </c>
      <c r="D83" s="325" t="s">
        <v>688</v>
      </c>
      <c r="E83" s="325">
        <v>10</v>
      </c>
      <c r="F83" s="324">
        <v>2048</v>
      </c>
      <c r="G83" s="325">
        <v>2050</v>
      </c>
      <c r="H83" s="313">
        <f t="shared" si="130"/>
        <v>2</v>
      </c>
      <c r="J83" s="323" t="str">
        <f t="shared" si="131"/>
        <v xml:space="preserve"> </v>
      </c>
      <c r="K83" s="323" t="str">
        <f t="shared" si="131"/>
        <v xml:space="preserve"> </v>
      </c>
      <c r="L83" s="323" t="str">
        <f t="shared" si="131"/>
        <v xml:space="preserve"> </v>
      </c>
      <c r="M83" s="323" t="str">
        <f t="shared" si="131"/>
        <v xml:space="preserve"> </v>
      </c>
      <c r="N83" s="323" t="str">
        <f t="shared" si="131"/>
        <v xml:space="preserve"> </v>
      </c>
      <c r="O83" s="323" t="str">
        <f t="shared" si="131"/>
        <v xml:space="preserve"> </v>
      </c>
      <c r="P83" s="323" t="str">
        <f t="shared" si="131"/>
        <v xml:space="preserve"> </v>
      </c>
      <c r="Q83" s="323" t="str">
        <f t="shared" si="131"/>
        <v xml:space="preserve"> </v>
      </c>
      <c r="R83" s="323" t="str">
        <f t="shared" si="131"/>
        <v xml:space="preserve"> </v>
      </c>
      <c r="S83" s="323" t="str">
        <f t="shared" si="131"/>
        <v xml:space="preserve"> </v>
      </c>
      <c r="T83" s="323" t="str">
        <f t="shared" si="131"/>
        <v xml:space="preserve"> </v>
      </c>
      <c r="U83" s="323" t="str">
        <f t="shared" si="131"/>
        <v xml:space="preserve"> </v>
      </c>
      <c r="V83" s="323" t="str">
        <f t="shared" si="131"/>
        <v xml:space="preserve"> </v>
      </c>
      <c r="W83" s="323" t="str">
        <f t="shared" si="131"/>
        <v xml:space="preserve"> </v>
      </c>
      <c r="X83" s="323" t="str">
        <f t="shared" si="131"/>
        <v xml:space="preserve"> </v>
      </c>
      <c r="Y83" s="323" t="str">
        <f t="shared" si="131"/>
        <v xml:space="preserve"> </v>
      </c>
      <c r="Z83" s="323" t="str">
        <f t="shared" si="132"/>
        <v xml:space="preserve"> </v>
      </c>
      <c r="AA83" s="323" t="str">
        <f t="shared" si="132"/>
        <v xml:space="preserve"> </v>
      </c>
      <c r="AB83" s="323" t="str">
        <f t="shared" si="132"/>
        <v xml:space="preserve"> </v>
      </c>
      <c r="AC83" s="323" t="str">
        <f t="shared" si="132"/>
        <v xml:space="preserve"> </v>
      </c>
      <c r="AD83" s="323" t="str">
        <f t="shared" si="132"/>
        <v xml:space="preserve"> </v>
      </c>
      <c r="AE83" s="323" t="str">
        <f t="shared" si="132"/>
        <v xml:space="preserve"> </v>
      </c>
      <c r="AF83" s="323" t="str">
        <f t="shared" si="132"/>
        <v xml:space="preserve"> </v>
      </c>
      <c r="AG83" s="323" t="str">
        <f t="shared" si="132"/>
        <v xml:space="preserve"> </v>
      </c>
      <c r="AH83" s="323" t="str">
        <f t="shared" si="132"/>
        <v xml:space="preserve"> </v>
      </c>
      <c r="AI83" s="323" t="str">
        <f t="shared" si="132"/>
        <v xml:space="preserve"> </v>
      </c>
      <c r="AJ83" s="323" t="str">
        <f t="shared" si="132"/>
        <v xml:space="preserve"> </v>
      </c>
      <c r="AK83" s="323" t="str">
        <f t="shared" si="132"/>
        <v xml:space="preserve"> </v>
      </c>
      <c r="AL83" s="323" t="str">
        <f t="shared" si="132"/>
        <v xml:space="preserve"> </v>
      </c>
      <c r="AM83" s="323" t="str">
        <f t="shared" si="132"/>
        <v xml:space="preserve"> </v>
      </c>
      <c r="AN83" s="323">
        <f t="shared" si="132"/>
        <v>1</v>
      </c>
      <c r="AO83" s="323">
        <f t="shared" si="132"/>
        <v>1</v>
      </c>
      <c r="AP83" s="323" t="str">
        <f t="shared" si="133"/>
        <v xml:space="preserve"> </v>
      </c>
      <c r="AQ83" s="323" t="str">
        <f t="shared" si="133"/>
        <v xml:space="preserve"> </v>
      </c>
      <c r="AR83" s="323" t="str">
        <f t="shared" si="133"/>
        <v xml:space="preserve"> </v>
      </c>
      <c r="AS83" s="323" t="str">
        <f t="shared" si="133"/>
        <v xml:space="preserve"> </v>
      </c>
      <c r="AT83" s="323" t="str">
        <f t="shared" si="133"/>
        <v xml:space="preserve"> </v>
      </c>
      <c r="AU83" s="323" t="str">
        <f t="shared" si="133"/>
        <v xml:space="preserve"> </v>
      </c>
      <c r="AV83" s="323" t="str">
        <f t="shared" si="133"/>
        <v xml:space="preserve"> </v>
      </c>
      <c r="AW83" s="323" t="str">
        <f t="shared" si="133"/>
        <v xml:space="preserve"> </v>
      </c>
      <c r="AX83" s="323" t="str">
        <f t="shared" si="133"/>
        <v xml:space="preserve"> </v>
      </c>
      <c r="AY83" s="323" t="str">
        <f t="shared" si="133"/>
        <v xml:space="preserve"> </v>
      </c>
      <c r="AZ83" s="323" t="str">
        <f t="shared" si="133"/>
        <v xml:space="preserve"> </v>
      </c>
      <c r="BA83" s="323" t="str">
        <f t="shared" si="133"/>
        <v xml:space="preserve"> </v>
      </c>
      <c r="BB83" s="323" t="str">
        <f t="shared" si="133"/>
        <v xml:space="preserve"> </v>
      </c>
      <c r="BC83" s="323" t="str">
        <f t="shared" si="133"/>
        <v xml:space="preserve"> </v>
      </c>
      <c r="BD83" s="323" t="str">
        <f t="shared" si="133"/>
        <v xml:space="preserve"> </v>
      </c>
      <c r="BE83" s="323" t="str">
        <f t="shared" si="133"/>
        <v xml:space="preserve"> </v>
      </c>
    </row>
    <row r="84" spans="2:57" x14ac:dyDescent="0.25">
      <c r="B84" s="316"/>
      <c r="C84" s="171" t="s">
        <v>697</v>
      </c>
      <c r="D84" s="325" t="s">
        <v>688</v>
      </c>
      <c r="E84" s="325">
        <v>11</v>
      </c>
      <c r="F84" s="325">
        <v>2027</v>
      </c>
      <c r="G84" s="313">
        <v>2028</v>
      </c>
      <c r="H84" s="313">
        <f t="shared" si="130"/>
        <v>1</v>
      </c>
      <c r="J84" s="323" t="str">
        <f t="shared" si="131"/>
        <v xml:space="preserve"> </v>
      </c>
      <c r="K84" s="323" t="str">
        <f t="shared" si="131"/>
        <v xml:space="preserve"> </v>
      </c>
      <c r="L84" s="323" t="str">
        <f t="shared" si="131"/>
        <v xml:space="preserve"> </v>
      </c>
      <c r="M84" s="323" t="str">
        <f t="shared" si="131"/>
        <v xml:space="preserve"> </v>
      </c>
      <c r="N84" s="323" t="str">
        <f t="shared" si="131"/>
        <v xml:space="preserve"> </v>
      </c>
      <c r="O84" s="323" t="str">
        <f t="shared" si="131"/>
        <v xml:space="preserve"> </v>
      </c>
      <c r="P84" s="323" t="str">
        <f t="shared" si="131"/>
        <v xml:space="preserve"> </v>
      </c>
      <c r="Q84" s="323" t="str">
        <f t="shared" si="131"/>
        <v xml:space="preserve"> </v>
      </c>
      <c r="R84" s="323" t="str">
        <f t="shared" si="131"/>
        <v xml:space="preserve"> </v>
      </c>
      <c r="S84" s="323">
        <f t="shared" si="131"/>
        <v>1</v>
      </c>
      <c r="T84" s="323" t="str">
        <f t="shared" si="131"/>
        <v xml:space="preserve"> </v>
      </c>
      <c r="U84" s="323" t="str">
        <f t="shared" si="131"/>
        <v xml:space="preserve"> </v>
      </c>
      <c r="V84" s="323" t="str">
        <f t="shared" si="131"/>
        <v xml:space="preserve"> </v>
      </c>
      <c r="W84" s="323" t="str">
        <f t="shared" si="131"/>
        <v xml:space="preserve"> </v>
      </c>
      <c r="X84" s="323" t="str">
        <f t="shared" si="131"/>
        <v xml:space="preserve"> </v>
      </c>
      <c r="Y84" s="323" t="str">
        <f t="shared" si="131"/>
        <v xml:space="preserve"> </v>
      </c>
      <c r="Z84" s="323" t="str">
        <f t="shared" si="132"/>
        <v xml:space="preserve"> </v>
      </c>
      <c r="AA84" s="323" t="str">
        <f t="shared" si="132"/>
        <v xml:space="preserve"> </v>
      </c>
      <c r="AB84" s="323" t="str">
        <f t="shared" si="132"/>
        <v xml:space="preserve"> </v>
      </c>
      <c r="AC84" s="323" t="str">
        <f t="shared" si="132"/>
        <v xml:space="preserve"> </v>
      </c>
      <c r="AD84" s="323" t="str">
        <f t="shared" si="132"/>
        <v xml:space="preserve"> </v>
      </c>
      <c r="AE84" s="323" t="str">
        <f t="shared" si="132"/>
        <v xml:space="preserve"> </v>
      </c>
      <c r="AF84" s="323" t="str">
        <f t="shared" si="132"/>
        <v xml:space="preserve"> </v>
      </c>
      <c r="AG84" s="323" t="str">
        <f t="shared" si="132"/>
        <v xml:space="preserve"> </v>
      </c>
      <c r="AH84" s="323" t="str">
        <f t="shared" si="132"/>
        <v xml:space="preserve"> </v>
      </c>
      <c r="AI84" s="323" t="str">
        <f t="shared" si="132"/>
        <v xml:space="preserve"> </v>
      </c>
      <c r="AJ84" s="323" t="str">
        <f t="shared" si="132"/>
        <v xml:space="preserve"> </v>
      </c>
      <c r="AK84" s="323" t="str">
        <f t="shared" si="132"/>
        <v xml:space="preserve"> </v>
      </c>
      <c r="AL84" s="323" t="str">
        <f t="shared" si="132"/>
        <v xml:space="preserve"> </v>
      </c>
      <c r="AM84" s="323" t="str">
        <f t="shared" si="132"/>
        <v xml:space="preserve"> </v>
      </c>
      <c r="AN84" s="323" t="str">
        <f t="shared" si="132"/>
        <v xml:space="preserve"> </v>
      </c>
      <c r="AO84" s="323" t="str">
        <f t="shared" si="132"/>
        <v xml:space="preserve"> </v>
      </c>
      <c r="AP84" s="323" t="str">
        <f t="shared" si="133"/>
        <v xml:space="preserve"> </v>
      </c>
      <c r="AQ84" s="323" t="str">
        <f t="shared" si="133"/>
        <v xml:space="preserve"> </v>
      </c>
      <c r="AR84" s="323" t="str">
        <f t="shared" si="133"/>
        <v xml:space="preserve"> </v>
      </c>
      <c r="AS84" s="323" t="str">
        <f t="shared" si="133"/>
        <v xml:space="preserve"> </v>
      </c>
      <c r="AT84" s="323" t="str">
        <f t="shared" si="133"/>
        <v xml:space="preserve"> </v>
      </c>
      <c r="AU84" s="323" t="str">
        <f t="shared" si="133"/>
        <v xml:space="preserve"> </v>
      </c>
      <c r="AV84" s="323" t="str">
        <f t="shared" si="133"/>
        <v xml:space="preserve"> </v>
      </c>
      <c r="AW84" s="323" t="str">
        <f t="shared" si="133"/>
        <v xml:space="preserve"> </v>
      </c>
      <c r="AX84" s="323" t="str">
        <f t="shared" si="133"/>
        <v xml:space="preserve"> </v>
      </c>
      <c r="AY84" s="323" t="str">
        <f t="shared" si="133"/>
        <v xml:space="preserve"> </v>
      </c>
      <c r="AZ84" s="323" t="str">
        <f t="shared" si="133"/>
        <v xml:space="preserve"> </v>
      </c>
      <c r="BA84" s="323" t="str">
        <f t="shared" si="133"/>
        <v xml:space="preserve"> </v>
      </c>
      <c r="BB84" s="323" t="str">
        <f t="shared" si="133"/>
        <v xml:space="preserve"> </v>
      </c>
      <c r="BC84" s="323" t="str">
        <f t="shared" si="133"/>
        <v xml:space="preserve"> </v>
      </c>
      <c r="BD84" s="323" t="str">
        <f t="shared" si="133"/>
        <v xml:space="preserve"> </v>
      </c>
      <c r="BE84" s="323" t="str">
        <f t="shared" si="133"/>
        <v xml:space="preserve"> </v>
      </c>
    </row>
    <row r="85" spans="2:57" x14ac:dyDescent="0.25">
      <c r="B85" s="316"/>
      <c r="C85" s="171" t="s">
        <v>698</v>
      </c>
      <c r="D85" s="325" t="s">
        <v>688</v>
      </c>
      <c r="E85" s="325">
        <v>12</v>
      </c>
      <c r="F85" s="324">
        <v>2028</v>
      </c>
      <c r="G85" s="325">
        <v>2053</v>
      </c>
      <c r="H85" s="313">
        <f t="shared" si="130"/>
        <v>25</v>
      </c>
      <c r="J85" s="323" t="str">
        <f t="shared" si="131"/>
        <v xml:space="preserve"> </v>
      </c>
      <c r="K85" s="323" t="str">
        <f t="shared" si="131"/>
        <v xml:space="preserve"> </v>
      </c>
      <c r="L85" s="323" t="str">
        <f t="shared" si="131"/>
        <v xml:space="preserve"> </v>
      </c>
      <c r="M85" s="323" t="str">
        <f t="shared" si="131"/>
        <v xml:space="preserve"> </v>
      </c>
      <c r="N85" s="323" t="str">
        <f t="shared" si="131"/>
        <v xml:space="preserve"> </v>
      </c>
      <c r="O85" s="323" t="str">
        <f t="shared" si="131"/>
        <v xml:space="preserve"> </v>
      </c>
      <c r="P85" s="323" t="str">
        <f t="shared" si="131"/>
        <v xml:space="preserve"> </v>
      </c>
      <c r="Q85" s="323" t="str">
        <f t="shared" si="131"/>
        <v xml:space="preserve"> </v>
      </c>
      <c r="R85" s="323" t="str">
        <f t="shared" si="131"/>
        <v xml:space="preserve"> </v>
      </c>
      <c r="S85" s="323" t="str">
        <f t="shared" si="131"/>
        <v xml:space="preserve"> </v>
      </c>
      <c r="T85" s="323">
        <f t="shared" si="131"/>
        <v>1</v>
      </c>
      <c r="U85" s="323">
        <f t="shared" si="131"/>
        <v>1</v>
      </c>
      <c r="V85" s="323">
        <f t="shared" si="131"/>
        <v>1</v>
      </c>
      <c r="W85" s="323">
        <f t="shared" si="131"/>
        <v>1</v>
      </c>
      <c r="X85" s="323">
        <f t="shared" si="131"/>
        <v>1</v>
      </c>
      <c r="Y85" s="323">
        <f t="shared" si="131"/>
        <v>1</v>
      </c>
      <c r="Z85" s="323">
        <f t="shared" si="132"/>
        <v>1</v>
      </c>
      <c r="AA85" s="323">
        <f t="shared" si="132"/>
        <v>1</v>
      </c>
      <c r="AB85" s="323">
        <f t="shared" si="132"/>
        <v>1</v>
      </c>
      <c r="AC85" s="323">
        <f t="shared" si="132"/>
        <v>1</v>
      </c>
      <c r="AD85" s="323">
        <f t="shared" si="132"/>
        <v>1</v>
      </c>
      <c r="AE85" s="323">
        <f t="shared" si="132"/>
        <v>1</v>
      </c>
      <c r="AF85" s="323">
        <f t="shared" si="132"/>
        <v>1</v>
      </c>
      <c r="AG85" s="323">
        <f t="shared" si="132"/>
        <v>1</v>
      </c>
      <c r="AH85" s="323">
        <f t="shared" si="132"/>
        <v>1</v>
      </c>
      <c r="AI85" s="323">
        <f t="shared" si="132"/>
        <v>1</v>
      </c>
      <c r="AJ85" s="323">
        <f t="shared" si="132"/>
        <v>1</v>
      </c>
      <c r="AK85" s="323">
        <f t="shared" si="132"/>
        <v>1</v>
      </c>
      <c r="AL85" s="323">
        <f t="shared" si="132"/>
        <v>1</v>
      </c>
      <c r="AM85" s="323">
        <f t="shared" si="132"/>
        <v>1</v>
      </c>
      <c r="AN85" s="323">
        <f t="shared" si="132"/>
        <v>1</v>
      </c>
      <c r="AO85" s="323">
        <f t="shared" si="132"/>
        <v>1</v>
      </c>
      <c r="AP85" s="323">
        <f t="shared" si="133"/>
        <v>1</v>
      </c>
      <c r="AQ85" s="323">
        <f t="shared" si="133"/>
        <v>1</v>
      </c>
      <c r="AR85" s="323">
        <f t="shared" si="133"/>
        <v>1</v>
      </c>
      <c r="AS85" s="323" t="str">
        <f t="shared" si="133"/>
        <v xml:space="preserve"> </v>
      </c>
      <c r="AT85" s="323" t="str">
        <f t="shared" si="133"/>
        <v xml:space="preserve"> </v>
      </c>
      <c r="AU85" s="323" t="str">
        <f t="shared" si="133"/>
        <v xml:space="preserve"> </v>
      </c>
      <c r="AV85" s="323" t="str">
        <f t="shared" si="133"/>
        <v xml:space="preserve"> </v>
      </c>
      <c r="AW85" s="323" t="str">
        <f t="shared" si="133"/>
        <v xml:space="preserve"> </v>
      </c>
      <c r="AX85" s="323" t="str">
        <f t="shared" si="133"/>
        <v xml:space="preserve"> </v>
      </c>
      <c r="AY85" s="323" t="str">
        <f t="shared" si="133"/>
        <v xml:space="preserve"> </v>
      </c>
      <c r="AZ85" s="323" t="str">
        <f t="shared" si="133"/>
        <v xml:space="preserve"> </v>
      </c>
      <c r="BA85" s="323" t="str">
        <f t="shared" si="133"/>
        <v xml:space="preserve"> </v>
      </c>
      <c r="BB85" s="323" t="str">
        <f t="shared" si="133"/>
        <v xml:space="preserve"> </v>
      </c>
      <c r="BC85" s="323" t="str">
        <f t="shared" si="133"/>
        <v xml:space="preserve"> </v>
      </c>
      <c r="BD85" s="323" t="str">
        <f t="shared" si="133"/>
        <v xml:space="preserve"> </v>
      </c>
      <c r="BE85" s="323" t="str">
        <f t="shared" si="133"/>
        <v xml:space="preserve"> </v>
      </c>
    </row>
    <row r="86" spans="2:57" x14ac:dyDescent="0.25">
      <c r="B86" s="316"/>
      <c r="C86" s="171" t="s">
        <v>699</v>
      </c>
      <c r="D86" s="325" t="s">
        <v>688</v>
      </c>
      <c r="E86" s="325">
        <v>13</v>
      </c>
      <c r="F86" s="324">
        <v>2053</v>
      </c>
      <c r="G86" s="325">
        <v>2054</v>
      </c>
      <c r="H86" s="313">
        <f t="shared" si="130"/>
        <v>1</v>
      </c>
      <c r="J86" s="323" t="str">
        <f t="shared" si="131"/>
        <v xml:space="preserve"> </v>
      </c>
      <c r="K86" s="323" t="str">
        <f t="shared" si="131"/>
        <v xml:space="preserve"> </v>
      </c>
      <c r="L86" s="323" t="str">
        <f t="shared" si="131"/>
        <v xml:space="preserve"> </v>
      </c>
      <c r="M86" s="323" t="str">
        <f t="shared" si="131"/>
        <v xml:space="preserve"> </v>
      </c>
      <c r="N86" s="323" t="str">
        <f t="shared" si="131"/>
        <v xml:space="preserve"> </v>
      </c>
      <c r="O86" s="323" t="str">
        <f t="shared" si="131"/>
        <v xml:space="preserve"> </v>
      </c>
      <c r="P86" s="323" t="str">
        <f t="shared" si="131"/>
        <v xml:space="preserve"> </v>
      </c>
      <c r="Q86" s="323" t="str">
        <f t="shared" si="131"/>
        <v xml:space="preserve"> </v>
      </c>
      <c r="R86" s="323" t="str">
        <f t="shared" si="131"/>
        <v xml:space="preserve"> </v>
      </c>
      <c r="S86" s="323" t="str">
        <f t="shared" si="131"/>
        <v xml:space="preserve"> </v>
      </c>
      <c r="T86" s="323" t="str">
        <f t="shared" si="131"/>
        <v xml:space="preserve"> </v>
      </c>
      <c r="U86" s="323" t="str">
        <f t="shared" si="131"/>
        <v xml:space="preserve"> </v>
      </c>
      <c r="V86" s="323" t="str">
        <f t="shared" si="131"/>
        <v xml:space="preserve"> </v>
      </c>
      <c r="W86" s="323" t="str">
        <f t="shared" si="131"/>
        <v xml:space="preserve"> </v>
      </c>
      <c r="X86" s="323" t="str">
        <f t="shared" si="131"/>
        <v xml:space="preserve"> </v>
      </c>
      <c r="Y86" s="323" t="str">
        <f t="shared" si="131"/>
        <v xml:space="preserve"> </v>
      </c>
      <c r="Z86" s="323" t="str">
        <f t="shared" si="132"/>
        <v xml:space="preserve"> </v>
      </c>
      <c r="AA86" s="323" t="str">
        <f t="shared" si="132"/>
        <v xml:space="preserve"> </v>
      </c>
      <c r="AB86" s="323" t="str">
        <f t="shared" si="132"/>
        <v xml:space="preserve"> </v>
      </c>
      <c r="AC86" s="323" t="str">
        <f t="shared" si="132"/>
        <v xml:space="preserve"> </v>
      </c>
      <c r="AD86" s="323" t="str">
        <f t="shared" si="132"/>
        <v xml:space="preserve"> </v>
      </c>
      <c r="AE86" s="323" t="str">
        <f t="shared" si="132"/>
        <v xml:space="preserve"> </v>
      </c>
      <c r="AF86" s="323" t="str">
        <f t="shared" si="132"/>
        <v xml:space="preserve"> </v>
      </c>
      <c r="AG86" s="323" t="str">
        <f t="shared" si="132"/>
        <v xml:space="preserve"> </v>
      </c>
      <c r="AH86" s="323" t="str">
        <f t="shared" si="132"/>
        <v xml:space="preserve"> </v>
      </c>
      <c r="AI86" s="323" t="str">
        <f t="shared" si="132"/>
        <v xml:space="preserve"> </v>
      </c>
      <c r="AJ86" s="323" t="str">
        <f t="shared" si="132"/>
        <v xml:space="preserve"> </v>
      </c>
      <c r="AK86" s="323" t="str">
        <f t="shared" si="132"/>
        <v xml:space="preserve"> </v>
      </c>
      <c r="AL86" s="323" t="str">
        <f t="shared" si="132"/>
        <v xml:space="preserve"> </v>
      </c>
      <c r="AM86" s="323" t="str">
        <f t="shared" si="132"/>
        <v xml:space="preserve"> </v>
      </c>
      <c r="AN86" s="323" t="str">
        <f t="shared" si="132"/>
        <v xml:space="preserve"> </v>
      </c>
      <c r="AO86" s="323" t="str">
        <f t="shared" si="132"/>
        <v xml:space="preserve"> </v>
      </c>
      <c r="AP86" s="323" t="str">
        <f t="shared" si="133"/>
        <v xml:space="preserve"> </v>
      </c>
      <c r="AQ86" s="323" t="str">
        <f t="shared" si="133"/>
        <v xml:space="preserve"> </v>
      </c>
      <c r="AR86" s="323" t="str">
        <f t="shared" si="133"/>
        <v xml:space="preserve"> </v>
      </c>
      <c r="AS86" s="323">
        <f t="shared" si="133"/>
        <v>1</v>
      </c>
      <c r="AT86" s="323" t="str">
        <f t="shared" si="133"/>
        <v xml:space="preserve"> </v>
      </c>
      <c r="AU86" s="323" t="str">
        <f t="shared" si="133"/>
        <v xml:space="preserve"> </v>
      </c>
      <c r="AV86" s="323" t="str">
        <f t="shared" si="133"/>
        <v xml:space="preserve"> </v>
      </c>
      <c r="AW86" s="323" t="str">
        <f t="shared" si="133"/>
        <v xml:space="preserve"> </v>
      </c>
      <c r="AX86" s="323" t="str">
        <f t="shared" si="133"/>
        <v xml:space="preserve"> </v>
      </c>
      <c r="AY86" s="323" t="str">
        <f t="shared" si="133"/>
        <v xml:space="preserve"> </v>
      </c>
      <c r="AZ86" s="323" t="str">
        <f t="shared" si="133"/>
        <v xml:space="preserve"> </v>
      </c>
      <c r="BA86" s="323" t="str">
        <f t="shared" si="133"/>
        <v xml:space="preserve"> </v>
      </c>
      <c r="BB86" s="323" t="str">
        <f t="shared" si="133"/>
        <v xml:space="preserve"> </v>
      </c>
      <c r="BC86" s="323" t="str">
        <f t="shared" si="133"/>
        <v xml:space="preserve"> </v>
      </c>
      <c r="BD86" s="323" t="str">
        <f t="shared" si="133"/>
        <v xml:space="preserve"> </v>
      </c>
      <c r="BE86" s="323" t="str">
        <f t="shared" si="133"/>
        <v xml:space="preserve"> </v>
      </c>
    </row>
    <row r="87" spans="2:57" x14ac:dyDescent="0.25">
      <c r="B87" s="317"/>
      <c r="C87" s="171" t="s">
        <v>676</v>
      </c>
      <c r="D87" s="325" t="s">
        <v>688</v>
      </c>
      <c r="E87" s="325">
        <v>14</v>
      </c>
      <c r="F87" s="325">
        <v>2053</v>
      </c>
      <c r="G87" s="325">
        <v>2054</v>
      </c>
      <c r="H87" s="313">
        <f t="shared" si="130"/>
        <v>1</v>
      </c>
      <c r="J87" s="323" t="str">
        <f t="shared" si="131"/>
        <v xml:space="preserve"> </v>
      </c>
      <c r="K87" s="323" t="str">
        <f t="shared" si="131"/>
        <v xml:space="preserve"> </v>
      </c>
      <c r="L87" s="323" t="str">
        <f t="shared" si="131"/>
        <v xml:space="preserve"> </v>
      </c>
      <c r="M87" s="323" t="str">
        <f t="shared" si="131"/>
        <v xml:space="preserve"> </v>
      </c>
      <c r="N87" s="323" t="str">
        <f t="shared" si="131"/>
        <v xml:space="preserve"> </v>
      </c>
      <c r="O87" s="323" t="str">
        <f t="shared" si="131"/>
        <v xml:space="preserve"> </v>
      </c>
      <c r="P87" s="323" t="str">
        <f t="shared" si="131"/>
        <v xml:space="preserve"> </v>
      </c>
      <c r="Q87" s="323" t="str">
        <f t="shared" si="131"/>
        <v xml:space="preserve"> </v>
      </c>
      <c r="R87" s="323" t="str">
        <f t="shared" si="131"/>
        <v xml:space="preserve"> </v>
      </c>
      <c r="S87" s="323" t="str">
        <f t="shared" si="131"/>
        <v xml:space="preserve"> </v>
      </c>
      <c r="T87" s="323" t="str">
        <f t="shared" si="131"/>
        <v xml:space="preserve"> </v>
      </c>
      <c r="U87" s="323" t="str">
        <f t="shared" si="131"/>
        <v xml:space="preserve"> </v>
      </c>
      <c r="V87" s="323" t="str">
        <f t="shared" si="131"/>
        <v xml:space="preserve"> </v>
      </c>
      <c r="W87" s="323" t="str">
        <f t="shared" si="131"/>
        <v xml:space="preserve"> </v>
      </c>
      <c r="X87" s="323" t="str">
        <f t="shared" si="131"/>
        <v xml:space="preserve"> </v>
      </c>
      <c r="Y87" s="323" t="str">
        <f t="shared" si="131"/>
        <v xml:space="preserve"> </v>
      </c>
      <c r="Z87" s="323" t="str">
        <f t="shared" si="132"/>
        <v xml:space="preserve"> </v>
      </c>
      <c r="AA87" s="323" t="str">
        <f t="shared" si="132"/>
        <v xml:space="preserve"> </v>
      </c>
      <c r="AB87" s="323" t="str">
        <f t="shared" si="132"/>
        <v xml:space="preserve"> </v>
      </c>
      <c r="AC87" s="323" t="str">
        <f t="shared" si="132"/>
        <v xml:space="preserve"> </v>
      </c>
      <c r="AD87" s="323" t="str">
        <f t="shared" si="132"/>
        <v xml:space="preserve"> </v>
      </c>
      <c r="AE87" s="323" t="str">
        <f t="shared" si="132"/>
        <v xml:space="preserve"> </v>
      </c>
      <c r="AF87" s="323" t="str">
        <f t="shared" si="132"/>
        <v xml:space="preserve"> </v>
      </c>
      <c r="AG87" s="323" t="str">
        <f t="shared" si="132"/>
        <v xml:space="preserve"> </v>
      </c>
      <c r="AH87" s="323" t="str">
        <f t="shared" si="132"/>
        <v xml:space="preserve"> </v>
      </c>
      <c r="AI87" s="323" t="str">
        <f t="shared" si="132"/>
        <v xml:space="preserve"> </v>
      </c>
      <c r="AJ87" s="323" t="str">
        <f t="shared" si="132"/>
        <v xml:space="preserve"> </v>
      </c>
      <c r="AK87" s="323" t="str">
        <f t="shared" si="132"/>
        <v xml:space="preserve"> </v>
      </c>
      <c r="AL87" s="323" t="str">
        <f t="shared" si="132"/>
        <v xml:space="preserve"> </v>
      </c>
      <c r="AM87" s="323" t="str">
        <f t="shared" si="132"/>
        <v xml:space="preserve"> </v>
      </c>
      <c r="AN87" s="323" t="str">
        <f t="shared" si="132"/>
        <v xml:space="preserve"> </v>
      </c>
      <c r="AO87" s="323" t="str">
        <f t="shared" si="132"/>
        <v xml:space="preserve"> </v>
      </c>
      <c r="AP87" s="323" t="str">
        <f t="shared" si="133"/>
        <v xml:space="preserve"> </v>
      </c>
      <c r="AQ87" s="323" t="str">
        <f t="shared" si="133"/>
        <v xml:space="preserve"> </v>
      </c>
      <c r="AR87" s="323" t="str">
        <f t="shared" si="133"/>
        <v xml:space="preserve"> </v>
      </c>
      <c r="AS87" s="323">
        <f t="shared" si="133"/>
        <v>1</v>
      </c>
      <c r="AT87" s="323" t="str">
        <f t="shared" si="133"/>
        <v xml:space="preserve"> </v>
      </c>
      <c r="AU87" s="323" t="str">
        <f t="shared" si="133"/>
        <v xml:space="preserve"> </v>
      </c>
      <c r="AV87" s="323" t="str">
        <f t="shared" si="133"/>
        <v xml:space="preserve"> </v>
      </c>
      <c r="AW87" s="323" t="str">
        <f t="shared" si="133"/>
        <v xml:space="preserve"> </v>
      </c>
      <c r="AX87" s="323" t="str">
        <f t="shared" si="133"/>
        <v xml:space="preserve"> </v>
      </c>
      <c r="AY87" s="323" t="str">
        <f t="shared" si="133"/>
        <v xml:space="preserve"> </v>
      </c>
      <c r="AZ87" s="323" t="str">
        <f t="shared" si="133"/>
        <v xml:space="preserve"> </v>
      </c>
      <c r="BA87" s="323" t="str">
        <f t="shared" si="133"/>
        <v xml:space="preserve"> </v>
      </c>
      <c r="BB87" s="323" t="str">
        <f t="shared" si="133"/>
        <v xml:space="preserve"> </v>
      </c>
      <c r="BC87" s="323" t="str">
        <f t="shared" si="133"/>
        <v xml:space="preserve"> </v>
      </c>
      <c r="BD87" s="323" t="str">
        <f t="shared" si="133"/>
        <v xml:space="preserve"> </v>
      </c>
      <c r="BE87" s="323" t="str">
        <f t="shared" si="133"/>
        <v xml:space="preserve"> </v>
      </c>
    </row>
    <row r="89" spans="2:57" ht="15.75" thickBot="1" x14ac:dyDescent="0.3">
      <c r="J89" s="171" t="s">
        <v>680</v>
      </c>
    </row>
    <row r="90" spans="2:57" ht="16.5" thickTop="1" thickBot="1" x14ac:dyDescent="0.3">
      <c r="B90" s="430"/>
      <c r="C90" s="431" t="s">
        <v>929</v>
      </c>
      <c r="D90" s="431" t="s">
        <v>930</v>
      </c>
      <c r="E90" s="431" t="s">
        <v>592</v>
      </c>
      <c r="F90" s="322" t="s">
        <v>684</v>
      </c>
      <c r="G90" s="322" t="s">
        <v>685</v>
      </c>
      <c r="H90" s="322" t="s">
        <v>686</v>
      </c>
      <c r="J90" s="171">
        <f>J73</f>
        <v>2018</v>
      </c>
      <c r="K90" s="171">
        <f t="shared" ref="K90:AP90" si="134">K73</f>
        <v>2019</v>
      </c>
      <c r="L90" s="171">
        <f t="shared" si="134"/>
        <v>2020</v>
      </c>
      <c r="M90" s="171">
        <f t="shared" si="134"/>
        <v>2021</v>
      </c>
      <c r="N90" s="171">
        <f t="shared" si="134"/>
        <v>2022</v>
      </c>
      <c r="O90" s="171">
        <f t="shared" si="134"/>
        <v>2023</v>
      </c>
      <c r="P90" s="171">
        <f t="shared" si="134"/>
        <v>2024</v>
      </c>
      <c r="Q90" s="171">
        <f t="shared" si="134"/>
        <v>2025</v>
      </c>
      <c r="R90" s="171">
        <f t="shared" si="134"/>
        <v>2026</v>
      </c>
      <c r="S90" s="171">
        <f t="shared" si="134"/>
        <v>2027</v>
      </c>
      <c r="T90" s="171">
        <f t="shared" si="134"/>
        <v>2028</v>
      </c>
      <c r="U90" s="171">
        <f t="shared" si="134"/>
        <v>2029</v>
      </c>
      <c r="V90" s="171">
        <f t="shared" si="134"/>
        <v>2030</v>
      </c>
      <c r="W90" s="171">
        <f t="shared" si="134"/>
        <v>2031</v>
      </c>
      <c r="X90" s="171">
        <f t="shared" si="134"/>
        <v>2032</v>
      </c>
      <c r="Y90" s="171">
        <f t="shared" si="134"/>
        <v>2033</v>
      </c>
      <c r="Z90" s="171">
        <f t="shared" si="134"/>
        <v>2034</v>
      </c>
      <c r="AA90" s="171">
        <f t="shared" si="134"/>
        <v>2035</v>
      </c>
      <c r="AB90" s="171">
        <f t="shared" si="134"/>
        <v>2036</v>
      </c>
      <c r="AC90" s="171">
        <f t="shared" si="134"/>
        <v>2037</v>
      </c>
      <c r="AD90" s="171">
        <f t="shared" si="134"/>
        <v>2038</v>
      </c>
      <c r="AE90" s="171">
        <f t="shared" si="134"/>
        <v>2039</v>
      </c>
      <c r="AF90" s="171">
        <f t="shared" si="134"/>
        <v>2040</v>
      </c>
      <c r="AG90" s="171">
        <f t="shared" si="134"/>
        <v>2041</v>
      </c>
      <c r="AH90" s="171">
        <f t="shared" si="134"/>
        <v>2042</v>
      </c>
      <c r="AI90" s="171">
        <f t="shared" si="134"/>
        <v>2043</v>
      </c>
      <c r="AJ90" s="171">
        <f t="shared" si="134"/>
        <v>2044</v>
      </c>
      <c r="AK90" s="171">
        <f t="shared" si="134"/>
        <v>2045</v>
      </c>
      <c r="AL90" s="171">
        <f t="shared" si="134"/>
        <v>2046</v>
      </c>
      <c r="AM90" s="171">
        <f t="shared" si="134"/>
        <v>2047</v>
      </c>
      <c r="AN90" s="171">
        <f t="shared" si="134"/>
        <v>2048</v>
      </c>
      <c r="AO90" s="171">
        <f t="shared" si="134"/>
        <v>2049</v>
      </c>
      <c r="AP90" s="171">
        <f t="shared" si="134"/>
        <v>2050</v>
      </c>
      <c r="AQ90" s="171">
        <f t="shared" ref="AQ90:BE90" si="135">AQ73</f>
        <v>2051</v>
      </c>
      <c r="AR90" s="171">
        <f t="shared" si="135"/>
        <v>2052</v>
      </c>
      <c r="AS90" s="171">
        <f t="shared" si="135"/>
        <v>2053</v>
      </c>
      <c r="AT90" s="171">
        <f t="shared" si="135"/>
        <v>2054</v>
      </c>
      <c r="AU90" s="171">
        <f t="shared" si="135"/>
        <v>2055</v>
      </c>
      <c r="AV90" s="171">
        <f t="shared" si="135"/>
        <v>2056</v>
      </c>
      <c r="AW90" s="171">
        <f t="shared" si="135"/>
        <v>2057</v>
      </c>
      <c r="AX90" s="171">
        <f t="shared" si="135"/>
        <v>2058</v>
      </c>
      <c r="AY90" s="171">
        <f t="shared" si="135"/>
        <v>2059</v>
      </c>
      <c r="AZ90" s="171">
        <f t="shared" si="135"/>
        <v>2060</v>
      </c>
      <c r="BA90" s="171">
        <f t="shared" si="135"/>
        <v>2061</v>
      </c>
      <c r="BB90" s="171">
        <f t="shared" si="135"/>
        <v>2062</v>
      </c>
      <c r="BC90" s="171">
        <f t="shared" si="135"/>
        <v>2063</v>
      </c>
      <c r="BD90" s="171">
        <f t="shared" si="135"/>
        <v>2064</v>
      </c>
      <c r="BE90" s="171">
        <f t="shared" si="135"/>
        <v>2065</v>
      </c>
    </row>
    <row r="91" spans="2:57" ht="15.75" thickTop="1" x14ac:dyDescent="0.25">
      <c r="B91" s="432"/>
      <c r="C91" s="430" t="s">
        <v>931</v>
      </c>
      <c r="D91" s="430" t="s">
        <v>932</v>
      </c>
      <c r="E91" s="325">
        <v>32</v>
      </c>
      <c r="F91" s="313">
        <f>F76</f>
        <v>2023</v>
      </c>
      <c r="G91" s="313">
        <f>G76</f>
        <v>2048</v>
      </c>
      <c r="H91" s="313">
        <f>G91-F91</f>
        <v>25</v>
      </c>
      <c r="J91" s="433">
        <f>IF(AND($F91&gt;=$J$8,J$8&gt;=$F91),$E91,)</f>
        <v>0</v>
      </c>
      <c r="K91" s="433">
        <f t="shared" ref="K91:Z94" si="136">IF(AND($F91&gt;=$J$8,K$8&gt;=$F91),$E91,)</f>
        <v>0</v>
      </c>
      <c r="L91" s="433">
        <f t="shared" si="136"/>
        <v>0</v>
      </c>
      <c r="M91" s="433">
        <f t="shared" si="136"/>
        <v>0</v>
      </c>
      <c r="N91" s="433">
        <f t="shared" si="136"/>
        <v>0</v>
      </c>
      <c r="O91" s="433">
        <f t="shared" si="136"/>
        <v>32</v>
      </c>
      <c r="P91" s="433">
        <f t="shared" si="136"/>
        <v>32</v>
      </c>
      <c r="Q91" s="433">
        <f t="shared" si="136"/>
        <v>32</v>
      </c>
      <c r="R91" s="433">
        <f t="shared" si="136"/>
        <v>32</v>
      </c>
      <c r="S91" s="433">
        <f t="shared" si="136"/>
        <v>32</v>
      </c>
      <c r="T91" s="433">
        <f t="shared" si="136"/>
        <v>32</v>
      </c>
      <c r="U91" s="433">
        <f t="shared" si="136"/>
        <v>32</v>
      </c>
      <c r="V91" s="433">
        <f t="shared" si="136"/>
        <v>32</v>
      </c>
      <c r="W91" s="433">
        <f t="shared" si="136"/>
        <v>32</v>
      </c>
      <c r="X91" s="433">
        <f t="shared" si="136"/>
        <v>32</v>
      </c>
      <c r="Y91" s="433">
        <f t="shared" si="136"/>
        <v>32</v>
      </c>
      <c r="Z91" s="433">
        <f t="shared" si="136"/>
        <v>32</v>
      </c>
      <c r="AA91" s="433">
        <f t="shared" ref="AA91:AQ94" si="137">IF(AND($F91&gt;=$J$8,AA$8&gt;=$F91),$E91,)</f>
        <v>32</v>
      </c>
      <c r="AB91" s="433">
        <f t="shared" si="137"/>
        <v>32</v>
      </c>
      <c r="AC91" s="433">
        <f t="shared" si="137"/>
        <v>32</v>
      </c>
      <c r="AD91" s="433">
        <f t="shared" si="137"/>
        <v>32</v>
      </c>
      <c r="AE91" s="433">
        <f t="shared" si="137"/>
        <v>32</v>
      </c>
      <c r="AF91" s="433">
        <f t="shared" si="137"/>
        <v>32</v>
      </c>
      <c r="AG91" s="433">
        <f t="shared" si="137"/>
        <v>32</v>
      </c>
      <c r="AH91" s="433">
        <f t="shared" si="137"/>
        <v>32</v>
      </c>
      <c r="AI91" s="433">
        <f t="shared" si="137"/>
        <v>32</v>
      </c>
      <c r="AJ91" s="433">
        <f t="shared" si="137"/>
        <v>32</v>
      </c>
      <c r="AK91" s="433">
        <f t="shared" si="137"/>
        <v>32</v>
      </c>
      <c r="AL91" s="433">
        <f t="shared" si="137"/>
        <v>32</v>
      </c>
      <c r="AM91" s="433">
        <f t="shared" si="137"/>
        <v>32</v>
      </c>
      <c r="AN91" s="433">
        <f t="shared" si="137"/>
        <v>32</v>
      </c>
      <c r="AO91" s="433">
        <f t="shared" si="137"/>
        <v>32</v>
      </c>
      <c r="AP91" s="433">
        <f t="shared" si="137"/>
        <v>32</v>
      </c>
      <c r="AQ91" s="433">
        <f t="shared" si="137"/>
        <v>32</v>
      </c>
      <c r="AR91" s="433">
        <f t="shared" ref="AQ91:BE94" si="138">IF(AND($F91&gt;=$J$8,AR$8&gt;=$F91),$E91,)</f>
        <v>32</v>
      </c>
      <c r="AS91" s="433">
        <f t="shared" si="138"/>
        <v>32</v>
      </c>
      <c r="AT91" s="433">
        <f t="shared" si="138"/>
        <v>32</v>
      </c>
      <c r="AU91" s="433">
        <f t="shared" si="138"/>
        <v>32</v>
      </c>
      <c r="AV91" s="433">
        <f t="shared" si="138"/>
        <v>32</v>
      </c>
      <c r="AW91" s="433">
        <f t="shared" si="138"/>
        <v>32</v>
      </c>
      <c r="AX91" s="433">
        <f t="shared" si="138"/>
        <v>32</v>
      </c>
      <c r="AY91" s="433">
        <f t="shared" si="138"/>
        <v>32</v>
      </c>
      <c r="AZ91" s="433">
        <f t="shared" si="138"/>
        <v>32</v>
      </c>
      <c r="BA91" s="433">
        <f t="shared" si="138"/>
        <v>32</v>
      </c>
      <c r="BB91" s="433">
        <f t="shared" si="138"/>
        <v>32</v>
      </c>
      <c r="BC91" s="433">
        <f t="shared" si="138"/>
        <v>32</v>
      </c>
      <c r="BD91" s="433">
        <f t="shared" si="138"/>
        <v>32</v>
      </c>
      <c r="BE91" s="433">
        <f t="shared" si="138"/>
        <v>32</v>
      </c>
    </row>
    <row r="92" spans="2:57" x14ac:dyDescent="0.25">
      <c r="B92" s="434"/>
      <c r="C92" s="430" t="s">
        <v>933</v>
      </c>
      <c r="D92" s="430" t="s">
        <v>934</v>
      </c>
      <c r="E92" s="325">
        <v>10</v>
      </c>
      <c r="F92" s="313">
        <f>F79</f>
        <v>0</v>
      </c>
      <c r="G92" s="313">
        <f>G79</f>
        <v>0</v>
      </c>
      <c r="H92" s="313">
        <f t="shared" ref="H92:H94" si="139">G92-F92</f>
        <v>0</v>
      </c>
      <c r="J92" s="433">
        <f t="shared" ref="J92:J94" si="140">IF(AND($F92&gt;=$J$8,J$8&gt;=$F92),$E92,)</f>
        <v>0</v>
      </c>
      <c r="K92" s="433">
        <f t="shared" si="136"/>
        <v>0</v>
      </c>
      <c r="L92" s="433">
        <f t="shared" si="136"/>
        <v>0</v>
      </c>
      <c r="M92" s="433">
        <f t="shared" si="136"/>
        <v>0</v>
      </c>
      <c r="N92" s="433">
        <f t="shared" si="136"/>
        <v>0</v>
      </c>
      <c r="O92" s="433">
        <f t="shared" si="136"/>
        <v>0</v>
      </c>
      <c r="P92" s="433">
        <f t="shared" si="136"/>
        <v>0</v>
      </c>
      <c r="Q92" s="433">
        <f t="shared" si="136"/>
        <v>0</v>
      </c>
      <c r="R92" s="433">
        <f t="shared" si="136"/>
        <v>0</v>
      </c>
      <c r="S92" s="433">
        <f t="shared" si="136"/>
        <v>0</v>
      </c>
      <c r="T92" s="433">
        <f t="shared" si="136"/>
        <v>0</v>
      </c>
      <c r="U92" s="433">
        <f t="shared" si="136"/>
        <v>0</v>
      </c>
      <c r="V92" s="433">
        <f t="shared" si="136"/>
        <v>0</v>
      </c>
      <c r="W92" s="433">
        <f t="shared" si="136"/>
        <v>0</v>
      </c>
      <c r="X92" s="433">
        <f t="shared" si="136"/>
        <v>0</v>
      </c>
      <c r="Y92" s="433">
        <f t="shared" si="136"/>
        <v>0</v>
      </c>
      <c r="Z92" s="433">
        <f t="shared" si="136"/>
        <v>0</v>
      </c>
      <c r="AA92" s="433">
        <f t="shared" si="137"/>
        <v>0</v>
      </c>
      <c r="AB92" s="433">
        <f t="shared" si="137"/>
        <v>0</v>
      </c>
      <c r="AC92" s="433">
        <f t="shared" si="137"/>
        <v>0</v>
      </c>
      <c r="AD92" s="433">
        <f t="shared" si="137"/>
        <v>0</v>
      </c>
      <c r="AE92" s="433">
        <f t="shared" si="137"/>
        <v>0</v>
      </c>
      <c r="AF92" s="433">
        <f t="shared" si="137"/>
        <v>0</v>
      </c>
      <c r="AG92" s="433">
        <f t="shared" si="137"/>
        <v>0</v>
      </c>
      <c r="AH92" s="433">
        <f t="shared" si="137"/>
        <v>0</v>
      </c>
      <c r="AI92" s="433">
        <f t="shared" si="137"/>
        <v>0</v>
      </c>
      <c r="AJ92" s="433">
        <f t="shared" si="137"/>
        <v>0</v>
      </c>
      <c r="AK92" s="433">
        <f t="shared" si="137"/>
        <v>0</v>
      </c>
      <c r="AL92" s="433">
        <f t="shared" si="137"/>
        <v>0</v>
      </c>
      <c r="AM92" s="433">
        <f t="shared" si="137"/>
        <v>0</v>
      </c>
      <c r="AN92" s="433">
        <f t="shared" si="137"/>
        <v>0</v>
      </c>
      <c r="AO92" s="433">
        <f t="shared" si="137"/>
        <v>0</v>
      </c>
      <c r="AP92" s="433">
        <f t="shared" si="137"/>
        <v>0</v>
      </c>
      <c r="AQ92" s="433">
        <f t="shared" si="138"/>
        <v>0</v>
      </c>
      <c r="AR92" s="433">
        <f t="shared" si="138"/>
        <v>0</v>
      </c>
      <c r="AS92" s="433">
        <f t="shared" si="138"/>
        <v>0</v>
      </c>
      <c r="AT92" s="433">
        <f t="shared" si="138"/>
        <v>0</v>
      </c>
      <c r="AU92" s="433">
        <f t="shared" si="138"/>
        <v>0</v>
      </c>
      <c r="AV92" s="433">
        <f t="shared" si="138"/>
        <v>0</v>
      </c>
      <c r="AW92" s="433">
        <f t="shared" si="138"/>
        <v>0</v>
      </c>
      <c r="AX92" s="433">
        <f t="shared" si="138"/>
        <v>0</v>
      </c>
      <c r="AY92" s="433">
        <f t="shared" si="138"/>
        <v>0</v>
      </c>
      <c r="AZ92" s="433">
        <f t="shared" si="138"/>
        <v>0</v>
      </c>
      <c r="BA92" s="433">
        <f t="shared" si="138"/>
        <v>0</v>
      </c>
      <c r="BB92" s="433">
        <f t="shared" si="138"/>
        <v>0</v>
      </c>
      <c r="BC92" s="433">
        <f t="shared" si="138"/>
        <v>0</v>
      </c>
      <c r="BD92" s="433">
        <f t="shared" si="138"/>
        <v>0</v>
      </c>
      <c r="BE92" s="433">
        <f t="shared" si="138"/>
        <v>0</v>
      </c>
    </row>
    <row r="93" spans="2:57" x14ac:dyDescent="0.25">
      <c r="B93" s="30"/>
      <c r="C93" s="430" t="s">
        <v>935</v>
      </c>
      <c r="D93" s="430" t="s">
        <v>936</v>
      </c>
      <c r="E93" s="325">
        <v>10</v>
      </c>
      <c r="F93" s="313">
        <f>F82</f>
        <v>2023</v>
      </c>
      <c r="G93" s="313">
        <f>G82</f>
        <v>2048</v>
      </c>
      <c r="H93" s="313">
        <f t="shared" si="139"/>
        <v>25</v>
      </c>
      <c r="J93" s="433">
        <f t="shared" si="140"/>
        <v>0</v>
      </c>
      <c r="K93" s="433">
        <f t="shared" si="136"/>
        <v>0</v>
      </c>
      <c r="L93" s="433">
        <f t="shared" si="136"/>
        <v>0</v>
      </c>
      <c r="M93" s="433">
        <f t="shared" si="136"/>
        <v>0</v>
      </c>
      <c r="N93" s="433">
        <f t="shared" si="136"/>
        <v>0</v>
      </c>
      <c r="O93" s="433">
        <f t="shared" si="136"/>
        <v>10</v>
      </c>
      <c r="P93" s="433">
        <f t="shared" si="136"/>
        <v>10</v>
      </c>
      <c r="Q93" s="433">
        <f t="shared" si="136"/>
        <v>10</v>
      </c>
      <c r="R93" s="433">
        <f t="shared" si="136"/>
        <v>10</v>
      </c>
      <c r="S93" s="433">
        <f t="shared" si="136"/>
        <v>10</v>
      </c>
      <c r="T93" s="433">
        <f t="shared" si="136"/>
        <v>10</v>
      </c>
      <c r="U93" s="433">
        <f t="shared" si="136"/>
        <v>10</v>
      </c>
      <c r="V93" s="433">
        <f t="shared" si="136"/>
        <v>10</v>
      </c>
      <c r="W93" s="433">
        <f t="shared" si="136"/>
        <v>10</v>
      </c>
      <c r="X93" s="433">
        <f t="shared" si="136"/>
        <v>10</v>
      </c>
      <c r="Y93" s="433">
        <f t="shared" si="136"/>
        <v>10</v>
      </c>
      <c r="Z93" s="433">
        <f t="shared" si="136"/>
        <v>10</v>
      </c>
      <c r="AA93" s="433">
        <f t="shared" si="137"/>
        <v>10</v>
      </c>
      <c r="AB93" s="433">
        <f t="shared" si="137"/>
        <v>10</v>
      </c>
      <c r="AC93" s="433">
        <f t="shared" si="137"/>
        <v>10</v>
      </c>
      <c r="AD93" s="433">
        <f t="shared" si="137"/>
        <v>10</v>
      </c>
      <c r="AE93" s="433">
        <f t="shared" si="137"/>
        <v>10</v>
      </c>
      <c r="AF93" s="433">
        <f t="shared" si="137"/>
        <v>10</v>
      </c>
      <c r="AG93" s="433">
        <f t="shared" si="137"/>
        <v>10</v>
      </c>
      <c r="AH93" s="433">
        <f t="shared" si="137"/>
        <v>10</v>
      </c>
      <c r="AI93" s="433">
        <f t="shared" si="137"/>
        <v>10</v>
      </c>
      <c r="AJ93" s="433">
        <f t="shared" si="137"/>
        <v>10</v>
      </c>
      <c r="AK93" s="433">
        <f t="shared" si="137"/>
        <v>10</v>
      </c>
      <c r="AL93" s="433">
        <f t="shared" si="137"/>
        <v>10</v>
      </c>
      <c r="AM93" s="433">
        <f t="shared" si="137"/>
        <v>10</v>
      </c>
      <c r="AN93" s="433">
        <f t="shared" si="137"/>
        <v>10</v>
      </c>
      <c r="AO93" s="433">
        <f t="shared" si="137"/>
        <v>10</v>
      </c>
      <c r="AP93" s="433">
        <f t="shared" si="137"/>
        <v>10</v>
      </c>
      <c r="AQ93" s="433">
        <f t="shared" si="138"/>
        <v>10</v>
      </c>
      <c r="AR93" s="433">
        <f t="shared" si="138"/>
        <v>10</v>
      </c>
      <c r="AS93" s="433">
        <f t="shared" si="138"/>
        <v>10</v>
      </c>
      <c r="AT93" s="433">
        <f t="shared" si="138"/>
        <v>10</v>
      </c>
      <c r="AU93" s="433">
        <f t="shared" si="138"/>
        <v>10</v>
      </c>
      <c r="AV93" s="433">
        <f t="shared" si="138"/>
        <v>10</v>
      </c>
      <c r="AW93" s="433">
        <f t="shared" si="138"/>
        <v>10</v>
      </c>
      <c r="AX93" s="433">
        <f t="shared" si="138"/>
        <v>10</v>
      </c>
      <c r="AY93" s="433">
        <f t="shared" si="138"/>
        <v>10</v>
      </c>
      <c r="AZ93" s="433">
        <f t="shared" si="138"/>
        <v>10</v>
      </c>
      <c r="BA93" s="433">
        <f t="shared" si="138"/>
        <v>10</v>
      </c>
      <c r="BB93" s="433">
        <f t="shared" si="138"/>
        <v>10</v>
      </c>
      <c r="BC93" s="433">
        <f t="shared" si="138"/>
        <v>10</v>
      </c>
      <c r="BD93" s="433">
        <f t="shared" si="138"/>
        <v>10</v>
      </c>
      <c r="BE93" s="433">
        <f t="shared" si="138"/>
        <v>10</v>
      </c>
    </row>
    <row r="94" spans="2:57" x14ac:dyDescent="0.25">
      <c r="B94" s="435"/>
      <c r="C94" s="430" t="s">
        <v>937</v>
      </c>
      <c r="D94" s="430" t="s">
        <v>936</v>
      </c>
      <c r="E94" s="325">
        <v>100</v>
      </c>
      <c r="F94" s="313">
        <f>F85</f>
        <v>2028</v>
      </c>
      <c r="G94" s="313">
        <f>G85</f>
        <v>2053</v>
      </c>
      <c r="H94" s="313">
        <f t="shared" si="139"/>
        <v>25</v>
      </c>
      <c r="J94" s="433">
        <f t="shared" si="140"/>
        <v>0</v>
      </c>
      <c r="K94" s="433">
        <f t="shared" si="136"/>
        <v>0</v>
      </c>
      <c r="L94" s="433">
        <f t="shared" si="136"/>
        <v>0</v>
      </c>
      <c r="M94" s="433">
        <f t="shared" si="136"/>
        <v>0</v>
      </c>
      <c r="N94" s="433">
        <f t="shared" si="136"/>
        <v>0</v>
      </c>
      <c r="O94" s="433">
        <f t="shared" si="136"/>
        <v>0</v>
      </c>
      <c r="P94" s="433">
        <f t="shared" si="136"/>
        <v>0</v>
      </c>
      <c r="Q94" s="433">
        <f t="shared" si="136"/>
        <v>0</v>
      </c>
      <c r="R94" s="433">
        <f t="shared" si="136"/>
        <v>0</v>
      </c>
      <c r="S94" s="433">
        <f t="shared" si="136"/>
        <v>0</v>
      </c>
      <c r="T94" s="433">
        <f t="shared" si="136"/>
        <v>100</v>
      </c>
      <c r="U94" s="433">
        <f t="shared" si="136"/>
        <v>100</v>
      </c>
      <c r="V94" s="433">
        <f t="shared" si="136"/>
        <v>100</v>
      </c>
      <c r="W94" s="433">
        <f t="shared" si="136"/>
        <v>100</v>
      </c>
      <c r="X94" s="433">
        <f t="shared" si="136"/>
        <v>100</v>
      </c>
      <c r="Y94" s="433">
        <f t="shared" si="136"/>
        <v>100</v>
      </c>
      <c r="Z94" s="433">
        <f t="shared" si="136"/>
        <v>100</v>
      </c>
      <c r="AA94" s="433">
        <f t="shared" si="137"/>
        <v>100</v>
      </c>
      <c r="AB94" s="433">
        <f t="shared" si="137"/>
        <v>100</v>
      </c>
      <c r="AC94" s="433">
        <f t="shared" si="137"/>
        <v>100</v>
      </c>
      <c r="AD94" s="433">
        <f t="shared" si="137"/>
        <v>100</v>
      </c>
      <c r="AE94" s="433">
        <f t="shared" si="137"/>
        <v>100</v>
      </c>
      <c r="AF94" s="433">
        <f t="shared" si="137"/>
        <v>100</v>
      </c>
      <c r="AG94" s="433">
        <f t="shared" si="137"/>
        <v>100</v>
      </c>
      <c r="AH94" s="433">
        <f t="shared" si="137"/>
        <v>100</v>
      </c>
      <c r="AI94" s="433">
        <f t="shared" si="137"/>
        <v>100</v>
      </c>
      <c r="AJ94" s="433">
        <f t="shared" si="137"/>
        <v>100</v>
      </c>
      <c r="AK94" s="433">
        <f t="shared" si="137"/>
        <v>100</v>
      </c>
      <c r="AL94" s="433">
        <f t="shared" si="137"/>
        <v>100</v>
      </c>
      <c r="AM94" s="433">
        <f t="shared" si="137"/>
        <v>100</v>
      </c>
      <c r="AN94" s="433">
        <f t="shared" si="137"/>
        <v>100</v>
      </c>
      <c r="AO94" s="433">
        <f t="shared" si="137"/>
        <v>100</v>
      </c>
      <c r="AP94" s="433">
        <f t="shared" si="137"/>
        <v>100</v>
      </c>
      <c r="AQ94" s="433">
        <f t="shared" si="138"/>
        <v>100</v>
      </c>
      <c r="AR94" s="433">
        <f t="shared" si="138"/>
        <v>100</v>
      </c>
      <c r="AS94" s="433">
        <f t="shared" si="138"/>
        <v>100</v>
      </c>
      <c r="AT94" s="433">
        <f t="shared" si="138"/>
        <v>100</v>
      </c>
      <c r="AU94" s="433">
        <f t="shared" si="138"/>
        <v>100</v>
      </c>
      <c r="AV94" s="433">
        <f t="shared" si="138"/>
        <v>100</v>
      </c>
      <c r="AW94" s="433">
        <f t="shared" si="138"/>
        <v>100</v>
      </c>
      <c r="AX94" s="433">
        <f t="shared" si="138"/>
        <v>100</v>
      </c>
      <c r="AY94" s="433">
        <f t="shared" si="138"/>
        <v>100</v>
      </c>
      <c r="AZ94" s="433">
        <f t="shared" si="138"/>
        <v>100</v>
      </c>
      <c r="BA94" s="433">
        <f t="shared" si="138"/>
        <v>100</v>
      </c>
      <c r="BB94" s="433">
        <f t="shared" si="138"/>
        <v>100</v>
      </c>
      <c r="BC94" s="433">
        <f t="shared" si="138"/>
        <v>100</v>
      </c>
      <c r="BD94" s="433">
        <f t="shared" si="138"/>
        <v>100</v>
      </c>
      <c r="BE94" s="433">
        <f t="shared" si="138"/>
        <v>100</v>
      </c>
    </row>
    <row r="96" spans="2:57" x14ac:dyDescent="0.25">
      <c r="C96" s="431" t="s">
        <v>938</v>
      </c>
    </row>
    <row r="97" spans="2:57" x14ac:dyDescent="0.25">
      <c r="B97" s="171">
        <v>1</v>
      </c>
      <c r="C97" s="325" t="s">
        <v>1417</v>
      </c>
    </row>
    <row r="98" spans="2:57" x14ac:dyDescent="0.25">
      <c r="B98" s="171">
        <v>2</v>
      </c>
      <c r="C98" s="325" t="s">
        <v>1418</v>
      </c>
    </row>
    <row r="99" spans="2:57" x14ac:dyDescent="0.25">
      <c r="B99" s="171">
        <v>3</v>
      </c>
      <c r="C99" s="325" t="s">
        <v>1419</v>
      </c>
    </row>
    <row r="100" spans="2:57" x14ac:dyDescent="0.25">
      <c r="B100" s="171">
        <v>4</v>
      </c>
      <c r="C100" s="325" t="s">
        <v>1420</v>
      </c>
    </row>
    <row r="101" spans="2:57" x14ac:dyDescent="0.25">
      <c r="B101" s="171">
        <v>5</v>
      </c>
      <c r="C101" s="325" t="s">
        <v>1605</v>
      </c>
    </row>
    <row r="103" spans="2:57" ht="23.25" x14ac:dyDescent="0.35">
      <c r="C103" s="722" t="s">
        <v>1720</v>
      </c>
    </row>
    <row r="104" spans="2:57" ht="15.75" thickBot="1" x14ac:dyDescent="0.3">
      <c r="F104" s="321"/>
      <c r="J104" s="171" t="s">
        <v>680</v>
      </c>
    </row>
    <row r="105" spans="2:57" ht="16.5" thickTop="1" thickBot="1" x14ac:dyDescent="0.3">
      <c r="C105" s="322" t="s">
        <v>681</v>
      </c>
      <c r="D105" s="322" t="s">
        <v>682</v>
      </c>
      <c r="E105" s="322" t="s">
        <v>683</v>
      </c>
      <c r="F105" s="322" t="s">
        <v>684</v>
      </c>
      <c r="G105" s="322" t="s">
        <v>685</v>
      </c>
      <c r="H105" s="322" t="s">
        <v>686</v>
      </c>
      <c r="J105" s="171">
        <f>F106</f>
        <v>2018</v>
      </c>
      <c r="K105" s="171">
        <f>J105+1</f>
        <v>2019</v>
      </c>
      <c r="L105" s="171">
        <f t="shared" ref="L105" si="141">K105+1</f>
        <v>2020</v>
      </c>
      <c r="M105" s="171">
        <f t="shared" ref="M105" si="142">L105+1</f>
        <v>2021</v>
      </c>
      <c r="N105" s="171">
        <f t="shared" ref="N105" si="143">M105+1</f>
        <v>2022</v>
      </c>
      <c r="O105" s="171">
        <f t="shared" ref="O105" si="144">N105+1</f>
        <v>2023</v>
      </c>
      <c r="P105" s="171">
        <f t="shared" ref="P105" si="145">O105+1</f>
        <v>2024</v>
      </c>
      <c r="Q105" s="171">
        <f t="shared" ref="Q105" si="146">P105+1</f>
        <v>2025</v>
      </c>
      <c r="R105" s="171">
        <f t="shared" ref="R105" si="147">Q105+1</f>
        <v>2026</v>
      </c>
      <c r="S105" s="171">
        <f t="shared" ref="S105" si="148">R105+1</f>
        <v>2027</v>
      </c>
      <c r="T105" s="171">
        <f t="shared" ref="T105" si="149">S105+1</f>
        <v>2028</v>
      </c>
      <c r="U105" s="171">
        <f t="shared" ref="U105" si="150">T105+1</f>
        <v>2029</v>
      </c>
      <c r="V105" s="171">
        <f t="shared" ref="V105" si="151">U105+1</f>
        <v>2030</v>
      </c>
      <c r="W105" s="171">
        <f t="shared" ref="W105" si="152">V105+1</f>
        <v>2031</v>
      </c>
      <c r="X105" s="171">
        <f t="shared" ref="X105" si="153">W105+1</f>
        <v>2032</v>
      </c>
      <c r="Y105" s="171">
        <f t="shared" ref="Y105" si="154">X105+1</f>
        <v>2033</v>
      </c>
      <c r="Z105" s="171">
        <f t="shared" ref="Z105" si="155">Y105+1</f>
        <v>2034</v>
      </c>
      <c r="AA105" s="171">
        <f t="shared" ref="AA105" si="156">Z105+1</f>
        <v>2035</v>
      </c>
      <c r="AB105" s="171">
        <f t="shared" ref="AB105" si="157">AA105+1</f>
        <v>2036</v>
      </c>
      <c r="AC105" s="171">
        <f t="shared" ref="AC105" si="158">AB105+1</f>
        <v>2037</v>
      </c>
      <c r="AD105" s="171">
        <f t="shared" ref="AD105" si="159">AC105+1</f>
        <v>2038</v>
      </c>
      <c r="AE105" s="171">
        <f t="shared" ref="AE105" si="160">AD105+1</f>
        <v>2039</v>
      </c>
      <c r="AF105" s="171">
        <f t="shared" ref="AF105" si="161">AE105+1</f>
        <v>2040</v>
      </c>
      <c r="AG105" s="171">
        <f t="shared" ref="AG105" si="162">AF105+1</f>
        <v>2041</v>
      </c>
      <c r="AH105" s="171">
        <f t="shared" ref="AH105" si="163">AG105+1</f>
        <v>2042</v>
      </c>
      <c r="AI105" s="171">
        <f t="shared" ref="AI105" si="164">AH105+1</f>
        <v>2043</v>
      </c>
      <c r="AJ105" s="171">
        <f t="shared" ref="AJ105" si="165">AI105+1</f>
        <v>2044</v>
      </c>
      <c r="AK105" s="171">
        <f t="shared" ref="AK105" si="166">AJ105+1</f>
        <v>2045</v>
      </c>
      <c r="AL105" s="171">
        <f t="shared" ref="AL105" si="167">AK105+1</f>
        <v>2046</v>
      </c>
      <c r="AM105" s="171">
        <f t="shared" ref="AM105" si="168">AL105+1</f>
        <v>2047</v>
      </c>
      <c r="AN105" s="171">
        <f t="shared" ref="AN105" si="169">AM105+1</f>
        <v>2048</v>
      </c>
      <c r="AO105" s="171">
        <f t="shared" ref="AO105" si="170">AN105+1</f>
        <v>2049</v>
      </c>
      <c r="AP105" s="171">
        <f t="shared" ref="AP105" si="171">AO105+1</f>
        <v>2050</v>
      </c>
      <c r="AQ105" s="171">
        <f t="shared" ref="AQ105" si="172">AP105+1</f>
        <v>2051</v>
      </c>
      <c r="AR105" s="171">
        <f t="shared" ref="AR105" si="173">AQ105+1</f>
        <v>2052</v>
      </c>
      <c r="AS105" s="171">
        <f t="shared" ref="AS105" si="174">AR105+1</f>
        <v>2053</v>
      </c>
      <c r="AT105" s="171">
        <f t="shared" ref="AT105" si="175">AS105+1</f>
        <v>2054</v>
      </c>
      <c r="AU105" s="171">
        <f t="shared" ref="AU105" si="176">AT105+1</f>
        <v>2055</v>
      </c>
      <c r="AV105" s="171">
        <f t="shared" ref="AV105" si="177">AU105+1</f>
        <v>2056</v>
      </c>
      <c r="AW105" s="171">
        <f t="shared" ref="AW105" si="178">AV105+1</f>
        <v>2057</v>
      </c>
      <c r="AX105" s="171">
        <f t="shared" ref="AX105" si="179">AW105+1</f>
        <v>2058</v>
      </c>
      <c r="AY105" s="171">
        <f t="shared" ref="AY105" si="180">AX105+1</f>
        <v>2059</v>
      </c>
      <c r="AZ105" s="171">
        <f t="shared" ref="AZ105" si="181">AY105+1</f>
        <v>2060</v>
      </c>
      <c r="BA105" s="171">
        <f t="shared" ref="BA105" si="182">AZ105+1</f>
        <v>2061</v>
      </c>
      <c r="BB105" s="171">
        <f t="shared" ref="BB105" si="183">BA105+1</f>
        <v>2062</v>
      </c>
      <c r="BC105" s="171">
        <f t="shared" ref="BC105" si="184">BB105+1</f>
        <v>2063</v>
      </c>
      <c r="BD105" s="171">
        <f t="shared" ref="BD105" si="185">BC105+1</f>
        <v>2064</v>
      </c>
      <c r="BE105" s="171">
        <f t="shared" ref="BE105" si="186">BD105+1</f>
        <v>2065</v>
      </c>
    </row>
    <row r="106" spans="2:57" ht="15.75" thickTop="1" x14ac:dyDescent="0.25">
      <c r="C106" s="171" t="s">
        <v>687</v>
      </c>
      <c r="D106" s="325" t="s">
        <v>688</v>
      </c>
      <c r="E106" s="325">
        <v>1</v>
      </c>
      <c r="F106" s="916">
        <v>2018</v>
      </c>
      <c r="G106" s="916">
        <v>2021</v>
      </c>
      <c r="H106" s="313">
        <f t="shared" ref="H106:H119" si="187">G106-F106</f>
        <v>3</v>
      </c>
      <c r="J106" s="323">
        <f t="shared" ref="J106:Y119" si="188">IF(AND(J$8&gt;=$F106,J$8&lt;$G106),1," ")</f>
        <v>1</v>
      </c>
      <c r="K106" s="323">
        <f t="shared" si="188"/>
        <v>1</v>
      </c>
      <c r="L106" s="323">
        <f t="shared" si="188"/>
        <v>1</v>
      </c>
      <c r="M106" s="323" t="str">
        <f t="shared" si="188"/>
        <v xml:space="preserve"> </v>
      </c>
      <c r="N106" s="323" t="str">
        <f t="shared" si="188"/>
        <v xml:space="preserve"> </v>
      </c>
      <c r="O106" s="323" t="str">
        <f t="shared" si="188"/>
        <v xml:space="preserve"> </v>
      </c>
      <c r="P106" s="323" t="str">
        <f t="shared" si="188"/>
        <v xml:space="preserve"> </v>
      </c>
      <c r="Q106" s="323" t="str">
        <f t="shared" si="188"/>
        <v xml:space="preserve"> </v>
      </c>
      <c r="R106" s="323" t="str">
        <f t="shared" si="188"/>
        <v xml:space="preserve"> </v>
      </c>
      <c r="S106" s="323" t="str">
        <f t="shared" si="188"/>
        <v xml:space="preserve"> </v>
      </c>
      <c r="T106" s="323" t="str">
        <f t="shared" si="188"/>
        <v xml:space="preserve"> </v>
      </c>
      <c r="U106" s="323" t="str">
        <f t="shared" si="188"/>
        <v xml:space="preserve"> </v>
      </c>
      <c r="V106" s="323" t="str">
        <f t="shared" si="188"/>
        <v xml:space="preserve"> </v>
      </c>
      <c r="W106" s="323" t="str">
        <f t="shared" si="188"/>
        <v xml:space="preserve"> </v>
      </c>
      <c r="X106" s="323" t="str">
        <f t="shared" si="188"/>
        <v xml:space="preserve"> </v>
      </c>
      <c r="Y106" s="323" t="str">
        <f t="shared" si="188"/>
        <v xml:space="preserve"> </v>
      </c>
      <c r="Z106" s="323" t="str">
        <f t="shared" ref="Z106:AO119" si="189">IF(AND(Z$8&gt;=$F106,Z$8&lt;$G106),1," ")</f>
        <v xml:space="preserve"> </v>
      </c>
      <c r="AA106" s="323" t="str">
        <f t="shared" si="189"/>
        <v xml:space="preserve"> </v>
      </c>
      <c r="AB106" s="323" t="str">
        <f t="shared" si="189"/>
        <v xml:space="preserve"> </v>
      </c>
      <c r="AC106" s="323" t="str">
        <f t="shared" si="189"/>
        <v xml:space="preserve"> </v>
      </c>
      <c r="AD106" s="323" t="str">
        <f t="shared" si="189"/>
        <v xml:space="preserve"> </v>
      </c>
      <c r="AE106" s="323" t="str">
        <f t="shared" si="189"/>
        <v xml:space="preserve"> </v>
      </c>
      <c r="AF106" s="323" t="str">
        <f t="shared" si="189"/>
        <v xml:space="preserve"> </v>
      </c>
      <c r="AG106" s="323" t="str">
        <f t="shared" si="189"/>
        <v xml:space="preserve"> </v>
      </c>
      <c r="AH106" s="323" t="str">
        <f t="shared" si="189"/>
        <v xml:space="preserve"> </v>
      </c>
      <c r="AI106" s="323" t="str">
        <f t="shared" si="189"/>
        <v xml:space="preserve"> </v>
      </c>
      <c r="AJ106" s="323" t="str">
        <f t="shared" si="189"/>
        <v xml:space="preserve"> </v>
      </c>
      <c r="AK106" s="323" t="str">
        <f t="shared" si="189"/>
        <v xml:space="preserve"> </v>
      </c>
      <c r="AL106" s="323" t="str">
        <f t="shared" si="189"/>
        <v xml:space="preserve"> </v>
      </c>
      <c r="AM106" s="323" t="str">
        <f t="shared" si="189"/>
        <v xml:space="preserve"> </v>
      </c>
      <c r="AN106" s="323" t="str">
        <f t="shared" si="189"/>
        <v xml:space="preserve"> </v>
      </c>
      <c r="AO106" s="323" t="str">
        <f t="shared" si="189"/>
        <v xml:space="preserve"> </v>
      </c>
      <c r="AP106" s="323" t="str">
        <f t="shared" ref="AP106:BE119" si="190">IF(AND(AP$8&gt;=$F106,AP$8&lt;$G106),1," ")</f>
        <v xml:space="preserve"> </v>
      </c>
      <c r="AQ106" s="323" t="str">
        <f t="shared" si="190"/>
        <v xml:space="preserve"> </v>
      </c>
      <c r="AR106" s="323" t="str">
        <f t="shared" si="190"/>
        <v xml:space="preserve"> </v>
      </c>
      <c r="AS106" s="323" t="str">
        <f t="shared" si="190"/>
        <v xml:space="preserve"> </v>
      </c>
      <c r="AT106" s="323" t="str">
        <f t="shared" si="190"/>
        <v xml:space="preserve"> </v>
      </c>
      <c r="AU106" s="323" t="str">
        <f t="shared" si="190"/>
        <v xml:space="preserve"> </v>
      </c>
      <c r="AV106" s="323" t="str">
        <f t="shared" si="190"/>
        <v xml:space="preserve"> </v>
      </c>
      <c r="AW106" s="323" t="str">
        <f t="shared" si="190"/>
        <v xml:space="preserve"> </v>
      </c>
      <c r="AX106" s="323" t="str">
        <f t="shared" si="190"/>
        <v xml:space="preserve"> </v>
      </c>
      <c r="AY106" s="323" t="str">
        <f t="shared" si="190"/>
        <v xml:space="preserve"> </v>
      </c>
      <c r="AZ106" s="323" t="str">
        <f t="shared" si="190"/>
        <v xml:space="preserve"> </v>
      </c>
      <c r="BA106" s="323" t="str">
        <f t="shared" si="190"/>
        <v xml:space="preserve"> </v>
      </c>
      <c r="BB106" s="323" t="str">
        <f t="shared" si="190"/>
        <v xml:space="preserve"> </v>
      </c>
      <c r="BC106" s="323" t="str">
        <f t="shared" si="190"/>
        <v xml:space="preserve"> </v>
      </c>
      <c r="BD106" s="323" t="str">
        <f t="shared" si="190"/>
        <v xml:space="preserve"> </v>
      </c>
      <c r="BE106" s="323" t="str">
        <f t="shared" si="190"/>
        <v xml:space="preserve"> </v>
      </c>
    </row>
    <row r="107" spans="2:57" x14ac:dyDescent="0.25">
      <c r="B107" s="314"/>
      <c r="C107" s="171" t="s">
        <v>689</v>
      </c>
      <c r="D107" s="325" t="s">
        <v>688</v>
      </c>
      <c r="E107" s="325">
        <v>2</v>
      </c>
      <c r="F107" s="917">
        <v>2021</v>
      </c>
      <c r="G107" s="916">
        <v>2022</v>
      </c>
      <c r="H107" s="313">
        <f t="shared" si="187"/>
        <v>1</v>
      </c>
      <c r="J107" s="323" t="str">
        <f t="shared" si="188"/>
        <v xml:space="preserve"> </v>
      </c>
      <c r="K107" s="323" t="str">
        <f t="shared" si="188"/>
        <v xml:space="preserve"> </v>
      </c>
      <c r="L107" s="323" t="str">
        <f t="shared" si="188"/>
        <v xml:space="preserve"> </v>
      </c>
      <c r="M107" s="323">
        <f t="shared" si="188"/>
        <v>1</v>
      </c>
      <c r="N107" s="323" t="str">
        <f t="shared" si="188"/>
        <v xml:space="preserve"> </v>
      </c>
      <c r="O107" s="323" t="str">
        <f t="shared" si="188"/>
        <v xml:space="preserve"> </v>
      </c>
      <c r="P107" s="323" t="str">
        <f t="shared" si="188"/>
        <v xml:space="preserve"> </v>
      </c>
      <c r="Q107" s="323" t="str">
        <f t="shared" si="188"/>
        <v xml:space="preserve"> </v>
      </c>
      <c r="R107" s="323" t="str">
        <f t="shared" si="188"/>
        <v xml:space="preserve"> </v>
      </c>
      <c r="S107" s="323" t="str">
        <f t="shared" si="188"/>
        <v xml:space="preserve"> </v>
      </c>
      <c r="T107" s="323" t="str">
        <f t="shared" si="188"/>
        <v xml:space="preserve"> </v>
      </c>
      <c r="U107" s="323" t="str">
        <f t="shared" si="188"/>
        <v xml:space="preserve"> </v>
      </c>
      <c r="V107" s="323" t="str">
        <f t="shared" si="188"/>
        <v xml:space="preserve"> </v>
      </c>
      <c r="W107" s="323" t="str">
        <f t="shared" si="188"/>
        <v xml:space="preserve"> </v>
      </c>
      <c r="X107" s="323" t="str">
        <f t="shared" si="188"/>
        <v xml:space="preserve"> </v>
      </c>
      <c r="Y107" s="323" t="str">
        <f t="shared" si="188"/>
        <v xml:space="preserve"> </v>
      </c>
      <c r="Z107" s="323" t="str">
        <f t="shared" si="189"/>
        <v xml:space="preserve"> </v>
      </c>
      <c r="AA107" s="323" t="str">
        <f t="shared" si="189"/>
        <v xml:space="preserve"> </v>
      </c>
      <c r="AB107" s="323" t="str">
        <f t="shared" si="189"/>
        <v xml:space="preserve"> </v>
      </c>
      <c r="AC107" s="323" t="str">
        <f t="shared" si="189"/>
        <v xml:space="preserve"> </v>
      </c>
      <c r="AD107" s="323" t="str">
        <f t="shared" si="189"/>
        <v xml:space="preserve"> </v>
      </c>
      <c r="AE107" s="323" t="str">
        <f t="shared" si="189"/>
        <v xml:space="preserve"> </v>
      </c>
      <c r="AF107" s="323" t="str">
        <f t="shared" si="189"/>
        <v xml:space="preserve"> </v>
      </c>
      <c r="AG107" s="323" t="str">
        <f t="shared" si="189"/>
        <v xml:space="preserve"> </v>
      </c>
      <c r="AH107" s="323" t="str">
        <f t="shared" si="189"/>
        <v xml:space="preserve"> </v>
      </c>
      <c r="AI107" s="323" t="str">
        <f t="shared" si="189"/>
        <v xml:space="preserve"> </v>
      </c>
      <c r="AJ107" s="323" t="str">
        <f t="shared" si="189"/>
        <v xml:space="preserve"> </v>
      </c>
      <c r="AK107" s="323" t="str">
        <f t="shared" si="189"/>
        <v xml:space="preserve"> </v>
      </c>
      <c r="AL107" s="323" t="str">
        <f t="shared" si="189"/>
        <v xml:space="preserve"> </v>
      </c>
      <c r="AM107" s="323" t="str">
        <f t="shared" si="189"/>
        <v xml:space="preserve"> </v>
      </c>
      <c r="AN107" s="323" t="str">
        <f t="shared" si="189"/>
        <v xml:space="preserve"> </v>
      </c>
      <c r="AO107" s="323" t="str">
        <f t="shared" si="189"/>
        <v xml:space="preserve"> </v>
      </c>
      <c r="AP107" s="323" t="str">
        <f t="shared" si="190"/>
        <v xml:space="preserve"> </v>
      </c>
      <c r="AQ107" s="323" t="str">
        <f t="shared" si="190"/>
        <v xml:space="preserve"> </v>
      </c>
      <c r="AR107" s="323" t="str">
        <f t="shared" si="190"/>
        <v xml:space="preserve"> </v>
      </c>
      <c r="AS107" s="323" t="str">
        <f t="shared" si="190"/>
        <v xml:space="preserve"> </v>
      </c>
      <c r="AT107" s="323" t="str">
        <f t="shared" si="190"/>
        <v xml:space="preserve"> </v>
      </c>
      <c r="AU107" s="323" t="str">
        <f t="shared" si="190"/>
        <v xml:space="preserve"> </v>
      </c>
      <c r="AV107" s="323" t="str">
        <f t="shared" si="190"/>
        <v xml:space="preserve"> </v>
      </c>
      <c r="AW107" s="323" t="str">
        <f t="shared" si="190"/>
        <v xml:space="preserve"> </v>
      </c>
      <c r="AX107" s="323" t="str">
        <f t="shared" si="190"/>
        <v xml:space="preserve"> </v>
      </c>
      <c r="AY107" s="323" t="str">
        <f t="shared" si="190"/>
        <v xml:space="preserve"> </v>
      </c>
      <c r="AZ107" s="323" t="str">
        <f t="shared" si="190"/>
        <v xml:space="preserve"> </v>
      </c>
      <c r="BA107" s="323" t="str">
        <f t="shared" si="190"/>
        <v xml:space="preserve"> </v>
      </c>
      <c r="BB107" s="323" t="str">
        <f t="shared" si="190"/>
        <v xml:space="preserve"> </v>
      </c>
      <c r="BC107" s="323" t="str">
        <f t="shared" si="190"/>
        <v xml:space="preserve"> </v>
      </c>
      <c r="BD107" s="323" t="str">
        <f t="shared" si="190"/>
        <v xml:space="preserve"> </v>
      </c>
      <c r="BE107" s="323" t="str">
        <f t="shared" si="190"/>
        <v xml:space="preserve"> </v>
      </c>
    </row>
    <row r="108" spans="2:57" x14ac:dyDescent="0.25">
      <c r="B108" s="314"/>
      <c r="C108" s="171" t="s">
        <v>673</v>
      </c>
      <c r="D108" s="325" t="s">
        <v>688</v>
      </c>
      <c r="E108" s="325">
        <v>3</v>
      </c>
      <c r="F108" s="313">
        <v>2022</v>
      </c>
      <c r="G108" s="916">
        <v>2030</v>
      </c>
      <c r="H108" s="313">
        <f t="shared" si="187"/>
        <v>8</v>
      </c>
      <c r="J108" s="323" t="str">
        <f t="shared" si="188"/>
        <v xml:space="preserve"> </v>
      </c>
      <c r="K108" s="323" t="str">
        <f t="shared" si="188"/>
        <v xml:space="preserve"> </v>
      </c>
      <c r="L108" s="323" t="str">
        <f t="shared" si="188"/>
        <v xml:space="preserve"> </v>
      </c>
      <c r="M108" s="323" t="str">
        <f t="shared" si="188"/>
        <v xml:space="preserve"> </v>
      </c>
      <c r="N108" s="323">
        <f t="shared" si="188"/>
        <v>1</v>
      </c>
      <c r="O108" s="323">
        <f t="shared" si="188"/>
        <v>1</v>
      </c>
      <c r="P108" s="323">
        <f t="shared" si="188"/>
        <v>1</v>
      </c>
      <c r="Q108" s="323">
        <f t="shared" si="188"/>
        <v>1</v>
      </c>
      <c r="R108" s="323">
        <f t="shared" si="188"/>
        <v>1</v>
      </c>
      <c r="S108" s="323">
        <f t="shared" si="188"/>
        <v>1</v>
      </c>
      <c r="T108" s="323">
        <f t="shared" si="188"/>
        <v>1</v>
      </c>
      <c r="U108" s="323">
        <f t="shared" si="188"/>
        <v>1</v>
      </c>
      <c r="V108" s="323" t="str">
        <f t="shared" si="188"/>
        <v xml:space="preserve"> </v>
      </c>
      <c r="W108" s="323" t="str">
        <f t="shared" si="188"/>
        <v xml:space="preserve"> </v>
      </c>
      <c r="X108" s="323" t="str">
        <f t="shared" si="188"/>
        <v xml:space="preserve"> </v>
      </c>
      <c r="Y108" s="323" t="str">
        <f t="shared" si="188"/>
        <v xml:space="preserve"> </v>
      </c>
      <c r="Z108" s="323" t="str">
        <f t="shared" si="189"/>
        <v xml:space="preserve"> </v>
      </c>
      <c r="AA108" s="323" t="str">
        <f t="shared" si="189"/>
        <v xml:space="preserve"> </v>
      </c>
      <c r="AB108" s="323" t="str">
        <f t="shared" si="189"/>
        <v xml:space="preserve"> </v>
      </c>
      <c r="AC108" s="323" t="str">
        <f t="shared" si="189"/>
        <v xml:space="preserve"> </v>
      </c>
      <c r="AD108" s="323" t="str">
        <f t="shared" si="189"/>
        <v xml:space="preserve"> </v>
      </c>
      <c r="AE108" s="323" t="str">
        <f t="shared" si="189"/>
        <v xml:space="preserve"> </v>
      </c>
      <c r="AF108" s="323" t="str">
        <f t="shared" si="189"/>
        <v xml:space="preserve"> </v>
      </c>
      <c r="AG108" s="323" t="str">
        <f t="shared" si="189"/>
        <v xml:space="preserve"> </v>
      </c>
      <c r="AH108" s="323" t="str">
        <f t="shared" si="189"/>
        <v xml:space="preserve"> </v>
      </c>
      <c r="AI108" s="323" t="str">
        <f t="shared" si="189"/>
        <v xml:space="preserve"> </v>
      </c>
      <c r="AJ108" s="323" t="str">
        <f t="shared" si="189"/>
        <v xml:space="preserve"> </v>
      </c>
      <c r="AK108" s="323" t="str">
        <f t="shared" si="189"/>
        <v xml:space="preserve"> </v>
      </c>
      <c r="AL108" s="323" t="str">
        <f t="shared" si="189"/>
        <v xml:space="preserve"> </v>
      </c>
      <c r="AM108" s="323" t="str">
        <f t="shared" si="189"/>
        <v xml:space="preserve"> </v>
      </c>
      <c r="AN108" s="323" t="str">
        <f t="shared" si="189"/>
        <v xml:space="preserve"> </v>
      </c>
      <c r="AO108" s="323" t="str">
        <f t="shared" si="189"/>
        <v xml:space="preserve"> </v>
      </c>
      <c r="AP108" s="323" t="str">
        <f t="shared" si="190"/>
        <v xml:space="preserve"> </v>
      </c>
      <c r="AQ108" s="323" t="str">
        <f t="shared" si="190"/>
        <v xml:space="preserve"> </v>
      </c>
      <c r="AR108" s="323" t="str">
        <f t="shared" si="190"/>
        <v xml:space="preserve"> </v>
      </c>
      <c r="AS108" s="323" t="str">
        <f t="shared" si="190"/>
        <v xml:space="preserve"> </v>
      </c>
      <c r="AT108" s="323" t="str">
        <f t="shared" si="190"/>
        <v xml:space="preserve"> </v>
      </c>
      <c r="AU108" s="323" t="str">
        <f t="shared" si="190"/>
        <v xml:space="preserve"> </v>
      </c>
      <c r="AV108" s="323" t="str">
        <f t="shared" si="190"/>
        <v xml:space="preserve"> </v>
      </c>
      <c r="AW108" s="323" t="str">
        <f t="shared" si="190"/>
        <v xml:space="preserve"> </v>
      </c>
      <c r="AX108" s="323" t="str">
        <f t="shared" si="190"/>
        <v xml:space="preserve"> </v>
      </c>
      <c r="AY108" s="323" t="str">
        <f t="shared" si="190"/>
        <v xml:space="preserve"> </v>
      </c>
      <c r="AZ108" s="323" t="str">
        <f t="shared" si="190"/>
        <v xml:space="preserve"> </v>
      </c>
      <c r="BA108" s="323" t="str">
        <f t="shared" si="190"/>
        <v xml:space="preserve"> </v>
      </c>
      <c r="BB108" s="323" t="str">
        <f t="shared" si="190"/>
        <v xml:space="preserve"> </v>
      </c>
      <c r="BC108" s="323" t="str">
        <f t="shared" si="190"/>
        <v xml:space="preserve"> </v>
      </c>
      <c r="BD108" s="323" t="str">
        <f t="shared" si="190"/>
        <v xml:space="preserve"> </v>
      </c>
      <c r="BE108" s="323" t="str">
        <f t="shared" si="190"/>
        <v xml:space="preserve"> </v>
      </c>
    </row>
    <row r="109" spans="2:57" x14ac:dyDescent="0.25">
      <c r="B109" s="314"/>
      <c r="C109" s="171" t="s">
        <v>690</v>
      </c>
      <c r="D109" s="325" t="s">
        <v>688</v>
      </c>
      <c r="E109" s="325">
        <v>4</v>
      </c>
      <c r="F109" s="324">
        <v>2030</v>
      </c>
      <c r="G109" s="324">
        <v>2031</v>
      </c>
      <c r="H109" s="313">
        <f t="shared" si="187"/>
        <v>1</v>
      </c>
      <c r="J109" s="323" t="str">
        <f t="shared" si="188"/>
        <v xml:space="preserve"> </v>
      </c>
      <c r="K109" s="323" t="str">
        <f t="shared" si="188"/>
        <v xml:space="preserve"> </v>
      </c>
      <c r="L109" s="323" t="str">
        <f t="shared" si="188"/>
        <v xml:space="preserve"> </v>
      </c>
      <c r="M109" s="323" t="str">
        <f t="shared" si="188"/>
        <v xml:space="preserve"> </v>
      </c>
      <c r="N109" s="323" t="str">
        <f t="shared" si="188"/>
        <v xml:space="preserve"> </v>
      </c>
      <c r="O109" s="323" t="str">
        <f t="shared" si="188"/>
        <v xml:space="preserve"> </v>
      </c>
      <c r="P109" s="323" t="str">
        <f t="shared" si="188"/>
        <v xml:space="preserve"> </v>
      </c>
      <c r="Q109" s="323" t="str">
        <f t="shared" si="188"/>
        <v xml:space="preserve"> </v>
      </c>
      <c r="R109" s="323" t="str">
        <f t="shared" si="188"/>
        <v xml:space="preserve"> </v>
      </c>
      <c r="S109" s="323" t="str">
        <f t="shared" si="188"/>
        <v xml:space="preserve"> </v>
      </c>
      <c r="T109" s="323" t="str">
        <f t="shared" si="188"/>
        <v xml:space="preserve"> </v>
      </c>
      <c r="U109" s="323" t="str">
        <f t="shared" si="188"/>
        <v xml:space="preserve"> </v>
      </c>
      <c r="V109" s="323">
        <f t="shared" si="188"/>
        <v>1</v>
      </c>
      <c r="W109" s="323" t="str">
        <f t="shared" si="188"/>
        <v xml:space="preserve"> </v>
      </c>
      <c r="X109" s="323" t="str">
        <f t="shared" si="188"/>
        <v xml:space="preserve"> </v>
      </c>
      <c r="Y109" s="323" t="str">
        <f t="shared" si="188"/>
        <v xml:space="preserve"> </v>
      </c>
      <c r="Z109" s="323" t="str">
        <f t="shared" si="189"/>
        <v xml:space="preserve"> </v>
      </c>
      <c r="AA109" s="323" t="str">
        <f t="shared" si="189"/>
        <v xml:space="preserve"> </v>
      </c>
      <c r="AB109" s="323" t="str">
        <f t="shared" si="189"/>
        <v xml:space="preserve"> </v>
      </c>
      <c r="AC109" s="323" t="str">
        <f t="shared" si="189"/>
        <v xml:space="preserve"> </v>
      </c>
      <c r="AD109" s="323" t="str">
        <f t="shared" si="189"/>
        <v xml:space="preserve"> </v>
      </c>
      <c r="AE109" s="323" t="str">
        <f t="shared" si="189"/>
        <v xml:space="preserve"> </v>
      </c>
      <c r="AF109" s="323" t="str">
        <f t="shared" si="189"/>
        <v xml:space="preserve"> </v>
      </c>
      <c r="AG109" s="323" t="str">
        <f t="shared" si="189"/>
        <v xml:space="preserve"> </v>
      </c>
      <c r="AH109" s="323" t="str">
        <f t="shared" si="189"/>
        <v xml:space="preserve"> </v>
      </c>
      <c r="AI109" s="323" t="str">
        <f t="shared" si="189"/>
        <v xml:space="preserve"> </v>
      </c>
      <c r="AJ109" s="323" t="str">
        <f t="shared" si="189"/>
        <v xml:space="preserve"> </v>
      </c>
      <c r="AK109" s="323" t="str">
        <f t="shared" si="189"/>
        <v xml:space="preserve"> </v>
      </c>
      <c r="AL109" s="323" t="str">
        <f t="shared" si="189"/>
        <v xml:space="preserve"> </v>
      </c>
      <c r="AM109" s="323" t="str">
        <f t="shared" si="189"/>
        <v xml:space="preserve"> </v>
      </c>
      <c r="AN109" s="323" t="str">
        <f t="shared" si="189"/>
        <v xml:space="preserve"> </v>
      </c>
      <c r="AO109" s="323" t="str">
        <f t="shared" si="189"/>
        <v xml:space="preserve"> </v>
      </c>
      <c r="AP109" s="323" t="str">
        <f t="shared" si="190"/>
        <v xml:space="preserve"> </v>
      </c>
      <c r="AQ109" s="323" t="str">
        <f t="shared" si="190"/>
        <v xml:space="preserve"> </v>
      </c>
      <c r="AR109" s="323" t="str">
        <f t="shared" si="190"/>
        <v xml:space="preserve"> </v>
      </c>
      <c r="AS109" s="323" t="str">
        <f t="shared" si="190"/>
        <v xml:space="preserve"> </v>
      </c>
      <c r="AT109" s="323" t="str">
        <f t="shared" si="190"/>
        <v xml:space="preserve"> </v>
      </c>
      <c r="AU109" s="323" t="str">
        <f t="shared" si="190"/>
        <v xml:space="preserve"> </v>
      </c>
      <c r="AV109" s="323" t="str">
        <f t="shared" si="190"/>
        <v xml:space="preserve"> </v>
      </c>
      <c r="AW109" s="323" t="str">
        <f t="shared" si="190"/>
        <v xml:space="preserve"> </v>
      </c>
      <c r="AX109" s="323" t="str">
        <f t="shared" si="190"/>
        <v xml:space="preserve"> </v>
      </c>
      <c r="AY109" s="323" t="str">
        <f t="shared" si="190"/>
        <v xml:space="preserve"> </v>
      </c>
      <c r="AZ109" s="323" t="str">
        <f t="shared" si="190"/>
        <v xml:space="preserve"> </v>
      </c>
      <c r="BA109" s="323" t="str">
        <f t="shared" si="190"/>
        <v xml:space="preserve"> </v>
      </c>
      <c r="BB109" s="323" t="str">
        <f t="shared" si="190"/>
        <v xml:space="preserve"> </v>
      </c>
      <c r="BC109" s="323" t="str">
        <f t="shared" si="190"/>
        <v xml:space="preserve"> </v>
      </c>
      <c r="BD109" s="323" t="str">
        <f t="shared" si="190"/>
        <v xml:space="preserve"> </v>
      </c>
      <c r="BE109" s="323" t="str">
        <f t="shared" si="190"/>
        <v xml:space="preserve"> </v>
      </c>
    </row>
    <row r="110" spans="2:57" x14ac:dyDescent="0.25">
      <c r="B110" s="315"/>
      <c r="C110" s="171" t="s">
        <v>691</v>
      </c>
      <c r="D110" s="325" t="s">
        <v>688</v>
      </c>
      <c r="E110" s="325">
        <v>5</v>
      </c>
      <c r="F110" s="917">
        <v>2031</v>
      </c>
      <c r="G110" s="916">
        <v>2033</v>
      </c>
      <c r="H110" s="313">
        <f t="shared" si="187"/>
        <v>2</v>
      </c>
      <c r="J110" s="323" t="str">
        <f t="shared" si="188"/>
        <v xml:space="preserve"> </v>
      </c>
      <c r="K110" s="323" t="str">
        <f t="shared" si="188"/>
        <v xml:space="preserve"> </v>
      </c>
      <c r="L110" s="323" t="str">
        <f t="shared" si="188"/>
        <v xml:space="preserve"> </v>
      </c>
      <c r="M110" s="323" t="str">
        <f t="shared" si="188"/>
        <v xml:space="preserve"> </v>
      </c>
      <c r="N110" s="323" t="str">
        <f t="shared" si="188"/>
        <v xml:space="preserve"> </v>
      </c>
      <c r="O110" s="323" t="str">
        <f t="shared" si="188"/>
        <v xml:space="preserve"> </v>
      </c>
      <c r="P110" s="323" t="str">
        <f t="shared" si="188"/>
        <v xml:space="preserve"> </v>
      </c>
      <c r="Q110" s="323" t="str">
        <f t="shared" si="188"/>
        <v xml:space="preserve"> </v>
      </c>
      <c r="R110" s="323" t="str">
        <f t="shared" si="188"/>
        <v xml:space="preserve"> </v>
      </c>
      <c r="S110" s="323" t="str">
        <f t="shared" si="188"/>
        <v xml:space="preserve"> </v>
      </c>
      <c r="T110" s="323" t="str">
        <f t="shared" si="188"/>
        <v xml:space="preserve"> </v>
      </c>
      <c r="U110" s="323" t="str">
        <f t="shared" si="188"/>
        <v xml:space="preserve"> </v>
      </c>
      <c r="V110" s="323" t="str">
        <f t="shared" si="188"/>
        <v xml:space="preserve"> </v>
      </c>
      <c r="W110" s="323">
        <f t="shared" si="188"/>
        <v>1</v>
      </c>
      <c r="X110" s="323">
        <f t="shared" si="188"/>
        <v>1</v>
      </c>
      <c r="Y110" s="323" t="str">
        <f t="shared" si="188"/>
        <v xml:space="preserve"> </v>
      </c>
      <c r="Z110" s="323" t="str">
        <f t="shared" si="189"/>
        <v xml:space="preserve"> </v>
      </c>
      <c r="AA110" s="323" t="str">
        <f t="shared" si="189"/>
        <v xml:space="preserve"> </v>
      </c>
      <c r="AB110" s="323" t="str">
        <f t="shared" si="189"/>
        <v xml:space="preserve"> </v>
      </c>
      <c r="AC110" s="323" t="str">
        <f t="shared" si="189"/>
        <v xml:space="preserve"> </v>
      </c>
      <c r="AD110" s="323" t="str">
        <f t="shared" si="189"/>
        <v xml:space="preserve"> </v>
      </c>
      <c r="AE110" s="323" t="str">
        <f t="shared" si="189"/>
        <v xml:space="preserve"> </v>
      </c>
      <c r="AF110" s="323" t="str">
        <f t="shared" si="189"/>
        <v xml:space="preserve"> </v>
      </c>
      <c r="AG110" s="323" t="str">
        <f t="shared" si="189"/>
        <v xml:space="preserve"> </v>
      </c>
      <c r="AH110" s="323" t="str">
        <f t="shared" si="189"/>
        <v xml:space="preserve"> </v>
      </c>
      <c r="AI110" s="323" t="str">
        <f t="shared" si="189"/>
        <v xml:space="preserve"> </v>
      </c>
      <c r="AJ110" s="323" t="str">
        <f t="shared" si="189"/>
        <v xml:space="preserve"> </v>
      </c>
      <c r="AK110" s="323" t="str">
        <f t="shared" si="189"/>
        <v xml:space="preserve"> </v>
      </c>
      <c r="AL110" s="323" t="str">
        <f t="shared" si="189"/>
        <v xml:space="preserve"> </v>
      </c>
      <c r="AM110" s="323" t="str">
        <f t="shared" si="189"/>
        <v xml:space="preserve"> </v>
      </c>
      <c r="AN110" s="323" t="str">
        <f t="shared" si="189"/>
        <v xml:space="preserve"> </v>
      </c>
      <c r="AO110" s="323" t="str">
        <f t="shared" si="189"/>
        <v xml:space="preserve"> </v>
      </c>
      <c r="AP110" s="323" t="str">
        <f t="shared" si="190"/>
        <v xml:space="preserve"> </v>
      </c>
      <c r="AQ110" s="323" t="str">
        <f t="shared" si="190"/>
        <v xml:space="preserve"> </v>
      </c>
      <c r="AR110" s="323" t="str">
        <f t="shared" si="190"/>
        <v xml:space="preserve"> </v>
      </c>
      <c r="AS110" s="323" t="str">
        <f t="shared" si="190"/>
        <v xml:space="preserve"> </v>
      </c>
      <c r="AT110" s="323" t="str">
        <f t="shared" si="190"/>
        <v xml:space="preserve"> </v>
      </c>
      <c r="AU110" s="323" t="str">
        <f t="shared" si="190"/>
        <v xml:space="preserve"> </v>
      </c>
      <c r="AV110" s="323" t="str">
        <f t="shared" si="190"/>
        <v xml:space="preserve"> </v>
      </c>
      <c r="AW110" s="323" t="str">
        <f t="shared" si="190"/>
        <v xml:space="preserve"> </v>
      </c>
      <c r="AX110" s="323" t="str">
        <f t="shared" si="190"/>
        <v xml:space="preserve"> </v>
      </c>
      <c r="AY110" s="323" t="str">
        <f t="shared" si="190"/>
        <v xml:space="preserve"> </v>
      </c>
      <c r="AZ110" s="323" t="str">
        <f t="shared" si="190"/>
        <v xml:space="preserve"> </v>
      </c>
      <c r="BA110" s="323" t="str">
        <f t="shared" si="190"/>
        <v xml:space="preserve"> </v>
      </c>
      <c r="BB110" s="323" t="str">
        <f t="shared" si="190"/>
        <v xml:space="preserve"> </v>
      </c>
      <c r="BC110" s="323" t="str">
        <f t="shared" si="190"/>
        <v xml:space="preserve"> </v>
      </c>
      <c r="BD110" s="323" t="str">
        <f t="shared" si="190"/>
        <v xml:space="preserve"> </v>
      </c>
      <c r="BE110" s="323" t="str">
        <f t="shared" si="190"/>
        <v xml:space="preserve"> </v>
      </c>
    </row>
    <row r="111" spans="2:57" x14ac:dyDescent="0.25">
      <c r="B111" s="315"/>
      <c r="C111" s="171" t="s">
        <v>692</v>
      </c>
      <c r="D111" s="325" t="s">
        <v>688</v>
      </c>
      <c r="E111" s="325">
        <v>6</v>
      </c>
      <c r="F111" s="313">
        <v>2033</v>
      </c>
      <c r="G111" s="916">
        <v>2048</v>
      </c>
      <c r="H111" s="313">
        <f t="shared" si="187"/>
        <v>15</v>
      </c>
      <c r="J111" s="323" t="str">
        <f t="shared" si="188"/>
        <v xml:space="preserve"> </v>
      </c>
      <c r="K111" s="323" t="str">
        <f t="shared" si="188"/>
        <v xml:space="preserve"> </v>
      </c>
      <c r="L111" s="323" t="str">
        <f t="shared" si="188"/>
        <v xml:space="preserve"> </v>
      </c>
      <c r="M111" s="323" t="str">
        <f t="shared" si="188"/>
        <v xml:space="preserve"> </v>
      </c>
      <c r="N111" s="323" t="str">
        <f t="shared" si="188"/>
        <v xml:space="preserve"> </v>
      </c>
      <c r="O111" s="323" t="str">
        <f t="shared" si="188"/>
        <v xml:space="preserve"> </v>
      </c>
      <c r="P111" s="323" t="str">
        <f t="shared" si="188"/>
        <v xml:space="preserve"> </v>
      </c>
      <c r="Q111" s="323" t="str">
        <f t="shared" si="188"/>
        <v xml:space="preserve"> </v>
      </c>
      <c r="R111" s="323" t="str">
        <f t="shared" si="188"/>
        <v xml:space="preserve"> </v>
      </c>
      <c r="S111" s="323" t="str">
        <f t="shared" si="188"/>
        <v xml:space="preserve"> </v>
      </c>
      <c r="T111" s="323" t="str">
        <f t="shared" si="188"/>
        <v xml:space="preserve"> </v>
      </c>
      <c r="U111" s="323" t="str">
        <f t="shared" si="188"/>
        <v xml:space="preserve"> </v>
      </c>
      <c r="V111" s="323" t="str">
        <f t="shared" si="188"/>
        <v xml:space="preserve"> </v>
      </c>
      <c r="W111" s="323" t="str">
        <f t="shared" si="188"/>
        <v xml:space="preserve"> </v>
      </c>
      <c r="X111" s="323" t="str">
        <f t="shared" si="188"/>
        <v xml:space="preserve"> </v>
      </c>
      <c r="Y111" s="323">
        <f t="shared" si="188"/>
        <v>1</v>
      </c>
      <c r="Z111" s="323">
        <f t="shared" si="189"/>
        <v>1</v>
      </c>
      <c r="AA111" s="323">
        <f t="shared" si="189"/>
        <v>1</v>
      </c>
      <c r="AB111" s="323">
        <f t="shared" si="189"/>
        <v>1</v>
      </c>
      <c r="AC111" s="323">
        <f t="shared" si="189"/>
        <v>1</v>
      </c>
      <c r="AD111" s="323">
        <f t="shared" si="189"/>
        <v>1</v>
      </c>
      <c r="AE111" s="323">
        <f t="shared" si="189"/>
        <v>1</v>
      </c>
      <c r="AF111" s="323">
        <f t="shared" si="189"/>
        <v>1</v>
      </c>
      <c r="AG111" s="323">
        <f t="shared" si="189"/>
        <v>1</v>
      </c>
      <c r="AH111" s="323">
        <f t="shared" si="189"/>
        <v>1</v>
      </c>
      <c r="AI111" s="323">
        <f t="shared" si="189"/>
        <v>1</v>
      </c>
      <c r="AJ111" s="323">
        <f t="shared" si="189"/>
        <v>1</v>
      </c>
      <c r="AK111" s="323">
        <f t="shared" si="189"/>
        <v>1</v>
      </c>
      <c r="AL111" s="323">
        <f t="shared" si="189"/>
        <v>1</v>
      </c>
      <c r="AM111" s="323">
        <f t="shared" si="189"/>
        <v>1</v>
      </c>
      <c r="AN111" s="323" t="str">
        <f t="shared" si="189"/>
        <v xml:space="preserve"> </v>
      </c>
      <c r="AO111" s="323" t="str">
        <f t="shared" si="189"/>
        <v xml:space="preserve"> </v>
      </c>
      <c r="AP111" s="323" t="str">
        <f t="shared" si="190"/>
        <v xml:space="preserve"> </v>
      </c>
      <c r="AQ111" s="323" t="str">
        <f t="shared" si="190"/>
        <v xml:space="preserve"> </v>
      </c>
      <c r="AR111" s="323" t="str">
        <f t="shared" si="190"/>
        <v xml:space="preserve"> </v>
      </c>
      <c r="AS111" s="323" t="str">
        <f t="shared" si="190"/>
        <v xml:space="preserve"> </v>
      </c>
      <c r="AT111" s="323" t="str">
        <f t="shared" si="190"/>
        <v xml:space="preserve"> </v>
      </c>
      <c r="AU111" s="323" t="str">
        <f t="shared" si="190"/>
        <v xml:space="preserve"> </v>
      </c>
      <c r="AV111" s="323" t="str">
        <f t="shared" si="190"/>
        <v xml:space="preserve"> </v>
      </c>
      <c r="AW111" s="323" t="str">
        <f t="shared" si="190"/>
        <v xml:space="preserve"> </v>
      </c>
      <c r="AX111" s="323" t="str">
        <f t="shared" si="190"/>
        <v xml:space="preserve"> </v>
      </c>
      <c r="AY111" s="323" t="str">
        <f t="shared" si="190"/>
        <v xml:space="preserve"> </v>
      </c>
      <c r="AZ111" s="323" t="str">
        <f t="shared" si="190"/>
        <v xml:space="preserve"> </v>
      </c>
      <c r="BA111" s="323" t="str">
        <f t="shared" si="190"/>
        <v xml:space="preserve"> </v>
      </c>
      <c r="BB111" s="323" t="str">
        <f t="shared" si="190"/>
        <v xml:space="preserve"> </v>
      </c>
      <c r="BC111" s="323" t="str">
        <f t="shared" si="190"/>
        <v xml:space="preserve"> </v>
      </c>
      <c r="BD111" s="323" t="str">
        <f t="shared" si="190"/>
        <v xml:space="preserve"> </v>
      </c>
      <c r="BE111" s="323" t="str">
        <f t="shared" si="190"/>
        <v xml:space="preserve"> </v>
      </c>
    </row>
    <row r="112" spans="2:57" x14ac:dyDescent="0.25">
      <c r="B112" s="315"/>
      <c r="C112" s="171" t="s">
        <v>693</v>
      </c>
      <c r="D112" s="325" t="s">
        <v>688</v>
      </c>
      <c r="E112" s="325">
        <v>7</v>
      </c>
      <c r="F112" s="324">
        <v>2048</v>
      </c>
      <c r="G112" s="917">
        <v>2050</v>
      </c>
      <c r="H112" s="313">
        <f t="shared" si="187"/>
        <v>2</v>
      </c>
      <c r="J112" s="323" t="str">
        <f t="shared" si="188"/>
        <v xml:space="preserve"> </v>
      </c>
      <c r="K112" s="323" t="str">
        <f t="shared" si="188"/>
        <v xml:space="preserve"> </v>
      </c>
      <c r="L112" s="323" t="str">
        <f t="shared" si="188"/>
        <v xml:space="preserve"> </v>
      </c>
      <c r="M112" s="323" t="str">
        <f t="shared" si="188"/>
        <v xml:space="preserve"> </v>
      </c>
      <c r="N112" s="323" t="str">
        <f t="shared" si="188"/>
        <v xml:space="preserve"> </v>
      </c>
      <c r="O112" s="323" t="str">
        <f t="shared" si="188"/>
        <v xml:space="preserve"> </v>
      </c>
      <c r="P112" s="323" t="str">
        <f t="shared" si="188"/>
        <v xml:space="preserve"> </v>
      </c>
      <c r="Q112" s="323" t="str">
        <f t="shared" si="188"/>
        <v xml:space="preserve"> </v>
      </c>
      <c r="R112" s="323" t="str">
        <f t="shared" si="188"/>
        <v xml:space="preserve"> </v>
      </c>
      <c r="S112" s="323" t="str">
        <f t="shared" si="188"/>
        <v xml:space="preserve"> </v>
      </c>
      <c r="T112" s="323" t="str">
        <f t="shared" si="188"/>
        <v xml:space="preserve"> </v>
      </c>
      <c r="U112" s="323" t="str">
        <f t="shared" si="188"/>
        <v xml:space="preserve"> </v>
      </c>
      <c r="V112" s="323" t="str">
        <f t="shared" si="188"/>
        <v xml:space="preserve"> </v>
      </c>
      <c r="W112" s="323" t="str">
        <f t="shared" si="188"/>
        <v xml:space="preserve"> </v>
      </c>
      <c r="X112" s="323" t="str">
        <f t="shared" si="188"/>
        <v xml:space="preserve"> </v>
      </c>
      <c r="Y112" s="323" t="str">
        <f t="shared" si="188"/>
        <v xml:space="preserve"> </v>
      </c>
      <c r="Z112" s="323" t="str">
        <f t="shared" si="189"/>
        <v xml:space="preserve"> </v>
      </c>
      <c r="AA112" s="323" t="str">
        <f t="shared" si="189"/>
        <v xml:space="preserve"> </v>
      </c>
      <c r="AB112" s="323" t="str">
        <f t="shared" si="189"/>
        <v xml:space="preserve"> </v>
      </c>
      <c r="AC112" s="323" t="str">
        <f t="shared" si="189"/>
        <v xml:space="preserve"> </v>
      </c>
      <c r="AD112" s="323" t="str">
        <f t="shared" si="189"/>
        <v xml:space="preserve"> </v>
      </c>
      <c r="AE112" s="323" t="str">
        <f t="shared" si="189"/>
        <v xml:space="preserve"> </v>
      </c>
      <c r="AF112" s="323" t="str">
        <f t="shared" si="189"/>
        <v xml:space="preserve"> </v>
      </c>
      <c r="AG112" s="323" t="str">
        <f t="shared" si="189"/>
        <v xml:space="preserve"> </v>
      </c>
      <c r="AH112" s="323" t="str">
        <f t="shared" si="189"/>
        <v xml:space="preserve"> </v>
      </c>
      <c r="AI112" s="323" t="str">
        <f t="shared" si="189"/>
        <v xml:space="preserve"> </v>
      </c>
      <c r="AJ112" s="323" t="str">
        <f t="shared" si="189"/>
        <v xml:space="preserve"> </v>
      </c>
      <c r="AK112" s="323" t="str">
        <f t="shared" si="189"/>
        <v xml:space="preserve"> </v>
      </c>
      <c r="AL112" s="323" t="str">
        <f t="shared" si="189"/>
        <v xml:space="preserve"> </v>
      </c>
      <c r="AM112" s="323" t="str">
        <f t="shared" si="189"/>
        <v xml:space="preserve"> </v>
      </c>
      <c r="AN112" s="323">
        <f t="shared" si="189"/>
        <v>1</v>
      </c>
      <c r="AO112" s="323">
        <f t="shared" si="189"/>
        <v>1</v>
      </c>
      <c r="AP112" s="323" t="str">
        <f t="shared" si="190"/>
        <v xml:space="preserve"> </v>
      </c>
      <c r="AQ112" s="323" t="str">
        <f t="shared" si="190"/>
        <v xml:space="preserve"> </v>
      </c>
      <c r="AR112" s="323" t="str">
        <f t="shared" si="190"/>
        <v xml:space="preserve"> </v>
      </c>
      <c r="AS112" s="323" t="str">
        <f t="shared" si="190"/>
        <v xml:space="preserve"> </v>
      </c>
      <c r="AT112" s="323" t="str">
        <f t="shared" si="190"/>
        <v xml:space="preserve"> </v>
      </c>
      <c r="AU112" s="323" t="str">
        <f t="shared" si="190"/>
        <v xml:space="preserve"> </v>
      </c>
      <c r="AV112" s="323" t="str">
        <f t="shared" si="190"/>
        <v xml:space="preserve"> </v>
      </c>
      <c r="AW112" s="323" t="str">
        <f t="shared" si="190"/>
        <v xml:space="preserve"> </v>
      </c>
      <c r="AX112" s="323" t="str">
        <f t="shared" si="190"/>
        <v xml:space="preserve"> </v>
      </c>
      <c r="AY112" s="323" t="str">
        <f t="shared" si="190"/>
        <v xml:space="preserve"> </v>
      </c>
      <c r="AZ112" s="323" t="str">
        <f t="shared" si="190"/>
        <v xml:space="preserve"> </v>
      </c>
      <c r="BA112" s="323" t="str">
        <f t="shared" si="190"/>
        <v xml:space="preserve"> </v>
      </c>
      <c r="BB112" s="323" t="str">
        <f t="shared" si="190"/>
        <v xml:space="preserve"> </v>
      </c>
      <c r="BC112" s="323" t="str">
        <f t="shared" si="190"/>
        <v xml:space="preserve"> </v>
      </c>
      <c r="BD112" s="323" t="str">
        <f t="shared" si="190"/>
        <v xml:space="preserve"> </v>
      </c>
      <c r="BE112" s="323" t="str">
        <f t="shared" si="190"/>
        <v xml:space="preserve"> </v>
      </c>
    </row>
    <row r="113" spans="2:57" x14ac:dyDescent="0.25">
      <c r="B113" s="3"/>
      <c r="C113" s="171" t="s">
        <v>694</v>
      </c>
      <c r="D113" s="325" t="s">
        <v>688</v>
      </c>
      <c r="E113" s="325">
        <v>8</v>
      </c>
      <c r="F113" s="917">
        <v>2025</v>
      </c>
      <c r="G113" s="324">
        <v>2026</v>
      </c>
      <c r="H113" s="313">
        <f t="shared" si="187"/>
        <v>1</v>
      </c>
      <c r="J113" s="323" t="str">
        <f t="shared" si="188"/>
        <v xml:space="preserve"> </v>
      </c>
      <c r="K113" s="323" t="str">
        <f t="shared" si="188"/>
        <v xml:space="preserve"> </v>
      </c>
      <c r="L113" s="323" t="str">
        <f t="shared" si="188"/>
        <v xml:space="preserve"> </v>
      </c>
      <c r="M113" s="323" t="str">
        <f t="shared" si="188"/>
        <v xml:space="preserve"> </v>
      </c>
      <c r="N113" s="323" t="str">
        <f t="shared" si="188"/>
        <v xml:space="preserve"> </v>
      </c>
      <c r="O113" s="323" t="str">
        <f t="shared" si="188"/>
        <v xml:space="preserve"> </v>
      </c>
      <c r="P113" s="323" t="str">
        <f t="shared" si="188"/>
        <v xml:space="preserve"> </v>
      </c>
      <c r="Q113" s="323">
        <f t="shared" si="188"/>
        <v>1</v>
      </c>
      <c r="R113" s="323" t="str">
        <f t="shared" si="188"/>
        <v xml:space="preserve"> </v>
      </c>
      <c r="S113" s="323" t="str">
        <f t="shared" si="188"/>
        <v xml:space="preserve"> </v>
      </c>
      <c r="T113" s="323" t="str">
        <f t="shared" si="188"/>
        <v xml:space="preserve"> </v>
      </c>
      <c r="U113" s="323" t="str">
        <f t="shared" si="188"/>
        <v xml:space="preserve"> </v>
      </c>
      <c r="V113" s="323" t="str">
        <f t="shared" si="188"/>
        <v xml:space="preserve"> </v>
      </c>
      <c r="W113" s="323" t="str">
        <f t="shared" si="188"/>
        <v xml:space="preserve"> </v>
      </c>
      <c r="X113" s="323" t="str">
        <f t="shared" si="188"/>
        <v xml:space="preserve"> </v>
      </c>
      <c r="Y113" s="323" t="str">
        <f t="shared" si="188"/>
        <v xml:space="preserve"> </v>
      </c>
      <c r="Z113" s="323" t="str">
        <f t="shared" si="189"/>
        <v xml:space="preserve"> </v>
      </c>
      <c r="AA113" s="323" t="str">
        <f t="shared" si="189"/>
        <v xml:space="preserve"> </v>
      </c>
      <c r="AB113" s="323" t="str">
        <f t="shared" si="189"/>
        <v xml:space="preserve"> </v>
      </c>
      <c r="AC113" s="323" t="str">
        <f t="shared" si="189"/>
        <v xml:space="preserve"> </v>
      </c>
      <c r="AD113" s="323" t="str">
        <f t="shared" si="189"/>
        <v xml:space="preserve"> </v>
      </c>
      <c r="AE113" s="323" t="str">
        <f t="shared" si="189"/>
        <v xml:space="preserve"> </v>
      </c>
      <c r="AF113" s="323" t="str">
        <f t="shared" si="189"/>
        <v xml:space="preserve"> </v>
      </c>
      <c r="AG113" s="323" t="str">
        <f t="shared" si="189"/>
        <v xml:space="preserve"> </v>
      </c>
      <c r="AH113" s="323" t="str">
        <f t="shared" si="189"/>
        <v xml:space="preserve"> </v>
      </c>
      <c r="AI113" s="323" t="str">
        <f t="shared" si="189"/>
        <v xml:space="preserve"> </v>
      </c>
      <c r="AJ113" s="323" t="str">
        <f t="shared" si="189"/>
        <v xml:space="preserve"> </v>
      </c>
      <c r="AK113" s="323" t="str">
        <f t="shared" si="189"/>
        <v xml:space="preserve"> </v>
      </c>
      <c r="AL113" s="323" t="str">
        <f t="shared" si="189"/>
        <v xml:space="preserve"> </v>
      </c>
      <c r="AM113" s="323" t="str">
        <f t="shared" si="189"/>
        <v xml:space="preserve"> </v>
      </c>
      <c r="AN113" s="323" t="str">
        <f t="shared" si="189"/>
        <v xml:space="preserve"> </v>
      </c>
      <c r="AO113" s="323" t="str">
        <f t="shared" si="189"/>
        <v xml:space="preserve"> </v>
      </c>
      <c r="AP113" s="323" t="str">
        <f t="shared" si="190"/>
        <v xml:space="preserve"> </v>
      </c>
      <c r="AQ113" s="323" t="str">
        <f t="shared" si="190"/>
        <v xml:space="preserve"> </v>
      </c>
      <c r="AR113" s="323" t="str">
        <f t="shared" si="190"/>
        <v xml:space="preserve"> </v>
      </c>
      <c r="AS113" s="323" t="str">
        <f t="shared" si="190"/>
        <v xml:space="preserve"> </v>
      </c>
      <c r="AT113" s="323" t="str">
        <f t="shared" si="190"/>
        <v xml:space="preserve"> </v>
      </c>
      <c r="AU113" s="323" t="str">
        <f t="shared" si="190"/>
        <v xml:space="preserve"> </v>
      </c>
      <c r="AV113" s="323" t="str">
        <f t="shared" si="190"/>
        <v xml:space="preserve"> </v>
      </c>
      <c r="AW113" s="323" t="str">
        <f t="shared" si="190"/>
        <v xml:space="preserve"> </v>
      </c>
      <c r="AX113" s="323" t="str">
        <f t="shared" si="190"/>
        <v xml:space="preserve"> </v>
      </c>
      <c r="AY113" s="323" t="str">
        <f t="shared" si="190"/>
        <v xml:space="preserve"> </v>
      </c>
      <c r="AZ113" s="323" t="str">
        <f t="shared" si="190"/>
        <v xml:space="preserve"> </v>
      </c>
      <c r="BA113" s="323" t="str">
        <f t="shared" si="190"/>
        <v xml:space="preserve"> </v>
      </c>
      <c r="BB113" s="323" t="str">
        <f t="shared" si="190"/>
        <v xml:space="preserve"> </v>
      </c>
      <c r="BC113" s="323" t="str">
        <f t="shared" si="190"/>
        <v xml:space="preserve"> </v>
      </c>
      <c r="BD113" s="323" t="str">
        <f t="shared" si="190"/>
        <v xml:space="preserve"> </v>
      </c>
      <c r="BE113" s="323" t="str">
        <f t="shared" si="190"/>
        <v xml:space="preserve"> </v>
      </c>
    </row>
    <row r="114" spans="2:57" x14ac:dyDescent="0.25">
      <c r="B114" s="3"/>
      <c r="C114" s="171" t="s">
        <v>695</v>
      </c>
      <c r="D114" s="325" t="s">
        <v>688</v>
      </c>
      <c r="E114" s="325">
        <v>9</v>
      </c>
      <c r="F114" s="313">
        <v>2026</v>
      </c>
      <c r="G114" s="916">
        <v>2030</v>
      </c>
      <c r="H114" s="313">
        <f t="shared" si="187"/>
        <v>4</v>
      </c>
      <c r="J114" s="323" t="str">
        <f t="shared" si="188"/>
        <v xml:space="preserve"> </v>
      </c>
      <c r="K114" s="323" t="str">
        <f t="shared" si="188"/>
        <v xml:space="preserve"> </v>
      </c>
      <c r="L114" s="323" t="str">
        <f t="shared" si="188"/>
        <v xml:space="preserve"> </v>
      </c>
      <c r="M114" s="323" t="str">
        <f t="shared" si="188"/>
        <v xml:space="preserve"> </v>
      </c>
      <c r="N114" s="323" t="str">
        <f t="shared" si="188"/>
        <v xml:space="preserve"> </v>
      </c>
      <c r="O114" s="323" t="str">
        <f t="shared" si="188"/>
        <v xml:space="preserve"> </v>
      </c>
      <c r="P114" s="323" t="str">
        <f t="shared" si="188"/>
        <v xml:space="preserve"> </v>
      </c>
      <c r="Q114" s="323" t="str">
        <f t="shared" si="188"/>
        <v xml:space="preserve"> </v>
      </c>
      <c r="R114" s="323">
        <f t="shared" si="188"/>
        <v>1</v>
      </c>
      <c r="S114" s="323">
        <f t="shared" si="188"/>
        <v>1</v>
      </c>
      <c r="T114" s="323">
        <f t="shared" si="188"/>
        <v>1</v>
      </c>
      <c r="U114" s="323">
        <f t="shared" si="188"/>
        <v>1</v>
      </c>
      <c r="V114" s="323" t="str">
        <f t="shared" si="188"/>
        <v xml:space="preserve"> </v>
      </c>
      <c r="W114" s="323" t="str">
        <f t="shared" si="188"/>
        <v xml:space="preserve"> </v>
      </c>
      <c r="X114" s="323" t="str">
        <f t="shared" si="188"/>
        <v xml:space="preserve"> </v>
      </c>
      <c r="Y114" s="323" t="str">
        <f t="shared" si="188"/>
        <v xml:space="preserve"> </v>
      </c>
      <c r="Z114" s="323" t="str">
        <f t="shared" si="189"/>
        <v xml:space="preserve"> </v>
      </c>
      <c r="AA114" s="323" t="str">
        <f t="shared" si="189"/>
        <v xml:space="preserve"> </v>
      </c>
      <c r="AB114" s="323" t="str">
        <f t="shared" si="189"/>
        <v xml:space="preserve"> </v>
      </c>
      <c r="AC114" s="323" t="str">
        <f t="shared" si="189"/>
        <v xml:space="preserve"> </v>
      </c>
      <c r="AD114" s="323" t="str">
        <f t="shared" si="189"/>
        <v xml:space="preserve"> </v>
      </c>
      <c r="AE114" s="323" t="str">
        <f t="shared" si="189"/>
        <v xml:space="preserve"> </v>
      </c>
      <c r="AF114" s="323" t="str">
        <f t="shared" si="189"/>
        <v xml:space="preserve"> </v>
      </c>
      <c r="AG114" s="323" t="str">
        <f t="shared" si="189"/>
        <v xml:space="preserve"> </v>
      </c>
      <c r="AH114" s="323" t="str">
        <f t="shared" si="189"/>
        <v xml:space="preserve"> </v>
      </c>
      <c r="AI114" s="323" t="str">
        <f t="shared" si="189"/>
        <v xml:space="preserve"> </v>
      </c>
      <c r="AJ114" s="323" t="str">
        <f t="shared" si="189"/>
        <v xml:space="preserve"> </v>
      </c>
      <c r="AK114" s="323" t="str">
        <f t="shared" si="189"/>
        <v xml:space="preserve"> </v>
      </c>
      <c r="AL114" s="323" t="str">
        <f t="shared" si="189"/>
        <v xml:space="preserve"> </v>
      </c>
      <c r="AM114" s="323" t="str">
        <f t="shared" si="189"/>
        <v xml:space="preserve"> </v>
      </c>
      <c r="AN114" s="323" t="str">
        <f t="shared" si="189"/>
        <v xml:space="preserve"> </v>
      </c>
      <c r="AO114" s="323" t="str">
        <f t="shared" si="189"/>
        <v xml:space="preserve"> </v>
      </c>
      <c r="AP114" s="323" t="str">
        <f t="shared" si="190"/>
        <v xml:space="preserve"> </v>
      </c>
      <c r="AQ114" s="323" t="str">
        <f t="shared" si="190"/>
        <v xml:space="preserve"> </v>
      </c>
      <c r="AR114" s="323" t="str">
        <f t="shared" si="190"/>
        <v xml:space="preserve"> </v>
      </c>
      <c r="AS114" s="323" t="str">
        <f t="shared" si="190"/>
        <v xml:space="preserve"> </v>
      </c>
      <c r="AT114" s="323" t="str">
        <f t="shared" si="190"/>
        <v xml:space="preserve"> </v>
      </c>
      <c r="AU114" s="323" t="str">
        <f t="shared" si="190"/>
        <v xml:space="preserve"> </v>
      </c>
      <c r="AV114" s="323" t="str">
        <f t="shared" si="190"/>
        <v xml:space="preserve"> </v>
      </c>
      <c r="AW114" s="323" t="str">
        <f t="shared" si="190"/>
        <v xml:space="preserve"> </v>
      </c>
      <c r="AX114" s="323" t="str">
        <f t="shared" si="190"/>
        <v xml:space="preserve"> </v>
      </c>
      <c r="AY114" s="323" t="str">
        <f t="shared" si="190"/>
        <v xml:space="preserve"> </v>
      </c>
      <c r="AZ114" s="323" t="str">
        <f t="shared" si="190"/>
        <v xml:space="preserve"> </v>
      </c>
      <c r="BA114" s="323" t="str">
        <f t="shared" si="190"/>
        <v xml:space="preserve"> </v>
      </c>
      <c r="BB114" s="323" t="str">
        <f t="shared" si="190"/>
        <v xml:space="preserve"> </v>
      </c>
      <c r="BC114" s="323" t="str">
        <f t="shared" si="190"/>
        <v xml:space="preserve"> </v>
      </c>
      <c r="BD114" s="323" t="str">
        <f t="shared" si="190"/>
        <v xml:space="preserve"> </v>
      </c>
      <c r="BE114" s="323" t="str">
        <f t="shared" si="190"/>
        <v xml:space="preserve"> </v>
      </c>
    </row>
    <row r="115" spans="2:57" x14ac:dyDescent="0.25">
      <c r="B115" s="3"/>
      <c r="C115" s="171" t="s">
        <v>696</v>
      </c>
      <c r="D115" s="325" t="s">
        <v>688</v>
      </c>
      <c r="E115" s="325">
        <v>10</v>
      </c>
      <c r="F115" s="324">
        <v>2030</v>
      </c>
      <c r="G115" s="916">
        <v>2031</v>
      </c>
      <c r="H115" s="313">
        <f t="shared" si="187"/>
        <v>1</v>
      </c>
      <c r="J115" s="323" t="str">
        <f t="shared" si="188"/>
        <v xml:space="preserve"> </v>
      </c>
      <c r="K115" s="323" t="str">
        <f t="shared" si="188"/>
        <v xml:space="preserve"> </v>
      </c>
      <c r="L115" s="323" t="str">
        <f t="shared" si="188"/>
        <v xml:space="preserve"> </v>
      </c>
      <c r="M115" s="323" t="str">
        <f t="shared" si="188"/>
        <v xml:space="preserve"> </v>
      </c>
      <c r="N115" s="323" t="str">
        <f t="shared" si="188"/>
        <v xml:space="preserve"> </v>
      </c>
      <c r="O115" s="323" t="str">
        <f t="shared" si="188"/>
        <v xml:space="preserve"> </v>
      </c>
      <c r="P115" s="323" t="str">
        <f t="shared" si="188"/>
        <v xml:space="preserve"> </v>
      </c>
      <c r="Q115" s="323" t="str">
        <f t="shared" si="188"/>
        <v xml:space="preserve"> </v>
      </c>
      <c r="R115" s="323" t="str">
        <f t="shared" si="188"/>
        <v xml:space="preserve"> </v>
      </c>
      <c r="S115" s="323" t="str">
        <f t="shared" si="188"/>
        <v xml:space="preserve"> </v>
      </c>
      <c r="T115" s="323" t="str">
        <f t="shared" si="188"/>
        <v xml:space="preserve"> </v>
      </c>
      <c r="U115" s="323" t="str">
        <f t="shared" si="188"/>
        <v xml:space="preserve"> </v>
      </c>
      <c r="V115" s="323">
        <f t="shared" si="188"/>
        <v>1</v>
      </c>
      <c r="W115" s="323" t="str">
        <f t="shared" si="188"/>
        <v xml:space="preserve"> </v>
      </c>
      <c r="X115" s="323" t="str">
        <f t="shared" si="188"/>
        <v xml:space="preserve"> </v>
      </c>
      <c r="Y115" s="323" t="str">
        <f t="shared" si="188"/>
        <v xml:space="preserve"> </v>
      </c>
      <c r="Z115" s="323" t="str">
        <f t="shared" si="189"/>
        <v xml:space="preserve"> </v>
      </c>
      <c r="AA115" s="323" t="str">
        <f t="shared" si="189"/>
        <v xml:space="preserve"> </v>
      </c>
      <c r="AB115" s="323" t="str">
        <f t="shared" si="189"/>
        <v xml:space="preserve"> </v>
      </c>
      <c r="AC115" s="323" t="str">
        <f t="shared" si="189"/>
        <v xml:space="preserve"> </v>
      </c>
      <c r="AD115" s="323" t="str">
        <f t="shared" si="189"/>
        <v xml:space="preserve"> </v>
      </c>
      <c r="AE115" s="323" t="str">
        <f t="shared" si="189"/>
        <v xml:space="preserve"> </v>
      </c>
      <c r="AF115" s="323" t="str">
        <f t="shared" si="189"/>
        <v xml:space="preserve"> </v>
      </c>
      <c r="AG115" s="323" t="str">
        <f t="shared" si="189"/>
        <v xml:space="preserve"> </v>
      </c>
      <c r="AH115" s="323" t="str">
        <f t="shared" si="189"/>
        <v xml:space="preserve"> </v>
      </c>
      <c r="AI115" s="323" t="str">
        <f t="shared" si="189"/>
        <v xml:space="preserve"> </v>
      </c>
      <c r="AJ115" s="323" t="str">
        <f t="shared" si="189"/>
        <v xml:space="preserve"> </v>
      </c>
      <c r="AK115" s="323" t="str">
        <f t="shared" si="189"/>
        <v xml:space="preserve"> </v>
      </c>
      <c r="AL115" s="323" t="str">
        <f t="shared" si="189"/>
        <v xml:space="preserve"> </v>
      </c>
      <c r="AM115" s="323" t="str">
        <f t="shared" si="189"/>
        <v xml:space="preserve"> </v>
      </c>
      <c r="AN115" s="323" t="str">
        <f t="shared" si="189"/>
        <v xml:space="preserve"> </v>
      </c>
      <c r="AO115" s="323" t="str">
        <f t="shared" si="189"/>
        <v xml:space="preserve"> </v>
      </c>
      <c r="AP115" s="323" t="str">
        <f t="shared" si="190"/>
        <v xml:space="preserve"> </v>
      </c>
      <c r="AQ115" s="323" t="str">
        <f t="shared" si="190"/>
        <v xml:space="preserve"> </v>
      </c>
      <c r="AR115" s="323" t="str">
        <f t="shared" si="190"/>
        <v xml:space="preserve"> </v>
      </c>
      <c r="AS115" s="323" t="str">
        <f t="shared" si="190"/>
        <v xml:space="preserve"> </v>
      </c>
      <c r="AT115" s="323" t="str">
        <f t="shared" si="190"/>
        <v xml:space="preserve"> </v>
      </c>
      <c r="AU115" s="323" t="str">
        <f t="shared" si="190"/>
        <v xml:space="preserve"> </v>
      </c>
      <c r="AV115" s="323" t="str">
        <f t="shared" si="190"/>
        <v xml:space="preserve"> </v>
      </c>
      <c r="AW115" s="323" t="str">
        <f t="shared" si="190"/>
        <v xml:space="preserve"> </v>
      </c>
      <c r="AX115" s="323" t="str">
        <f t="shared" si="190"/>
        <v xml:space="preserve"> </v>
      </c>
      <c r="AY115" s="323" t="str">
        <f t="shared" si="190"/>
        <v xml:space="preserve"> </v>
      </c>
      <c r="AZ115" s="323" t="str">
        <f t="shared" si="190"/>
        <v xml:space="preserve"> </v>
      </c>
      <c r="BA115" s="323" t="str">
        <f t="shared" si="190"/>
        <v xml:space="preserve"> </v>
      </c>
      <c r="BB115" s="323" t="str">
        <f t="shared" si="190"/>
        <v xml:space="preserve"> </v>
      </c>
      <c r="BC115" s="323" t="str">
        <f t="shared" si="190"/>
        <v xml:space="preserve"> </v>
      </c>
      <c r="BD115" s="323" t="str">
        <f t="shared" si="190"/>
        <v xml:space="preserve"> </v>
      </c>
      <c r="BE115" s="323" t="str">
        <f t="shared" si="190"/>
        <v xml:space="preserve"> </v>
      </c>
    </row>
    <row r="116" spans="2:57" x14ac:dyDescent="0.25">
      <c r="B116" s="316"/>
      <c r="C116" s="171" t="s">
        <v>697</v>
      </c>
      <c r="D116" s="325" t="s">
        <v>688</v>
      </c>
      <c r="E116" s="325">
        <v>11</v>
      </c>
      <c r="F116" s="917">
        <v>2030</v>
      </c>
      <c r="G116" s="313">
        <v>2031</v>
      </c>
      <c r="H116" s="313">
        <f t="shared" si="187"/>
        <v>1</v>
      </c>
      <c r="J116" s="323" t="str">
        <f t="shared" si="188"/>
        <v xml:space="preserve"> </v>
      </c>
      <c r="K116" s="323" t="str">
        <f t="shared" si="188"/>
        <v xml:space="preserve"> </v>
      </c>
      <c r="L116" s="323" t="str">
        <f t="shared" si="188"/>
        <v xml:space="preserve"> </v>
      </c>
      <c r="M116" s="323" t="str">
        <f t="shared" si="188"/>
        <v xml:space="preserve"> </v>
      </c>
      <c r="N116" s="323" t="str">
        <f t="shared" si="188"/>
        <v xml:space="preserve"> </v>
      </c>
      <c r="O116" s="323" t="str">
        <f t="shared" si="188"/>
        <v xml:space="preserve"> </v>
      </c>
      <c r="P116" s="323" t="str">
        <f t="shared" si="188"/>
        <v xml:space="preserve"> </v>
      </c>
      <c r="Q116" s="323" t="str">
        <f t="shared" si="188"/>
        <v xml:space="preserve"> </v>
      </c>
      <c r="R116" s="323" t="str">
        <f t="shared" si="188"/>
        <v xml:space="preserve"> </v>
      </c>
      <c r="S116" s="323" t="str">
        <f t="shared" si="188"/>
        <v xml:space="preserve"> </v>
      </c>
      <c r="T116" s="323" t="str">
        <f t="shared" si="188"/>
        <v xml:space="preserve"> </v>
      </c>
      <c r="U116" s="323" t="str">
        <f t="shared" si="188"/>
        <v xml:space="preserve"> </v>
      </c>
      <c r="V116" s="323">
        <f t="shared" si="188"/>
        <v>1</v>
      </c>
      <c r="W116" s="323" t="str">
        <f t="shared" si="188"/>
        <v xml:space="preserve"> </v>
      </c>
      <c r="X116" s="323" t="str">
        <f t="shared" si="188"/>
        <v xml:space="preserve"> </v>
      </c>
      <c r="Y116" s="323" t="str">
        <f t="shared" si="188"/>
        <v xml:space="preserve"> </v>
      </c>
      <c r="Z116" s="323" t="str">
        <f t="shared" si="189"/>
        <v xml:space="preserve"> </v>
      </c>
      <c r="AA116" s="323" t="str">
        <f t="shared" si="189"/>
        <v xml:space="preserve"> </v>
      </c>
      <c r="AB116" s="323" t="str">
        <f t="shared" si="189"/>
        <v xml:space="preserve"> </v>
      </c>
      <c r="AC116" s="323" t="str">
        <f t="shared" si="189"/>
        <v xml:space="preserve"> </v>
      </c>
      <c r="AD116" s="323" t="str">
        <f t="shared" si="189"/>
        <v xml:space="preserve"> </v>
      </c>
      <c r="AE116" s="323" t="str">
        <f t="shared" si="189"/>
        <v xml:space="preserve"> </v>
      </c>
      <c r="AF116" s="323" t="str">
        <f t="shared" si="189"/>
        <v xml:space="preserve"> </v>
      </c>
      <c r="AG116" s="323" t="str">
        <f t="shared" si="189"/>
        <v xml:space="preserve"> </v>
      </c>
      <c r="AH116" s="323" t="str">
        <f t="shared" si="189"/>
        <v xml:space="preserve"> </v>
      </c>
      <c r="AI116" s="323" t="str">
        <f t="shared" si="189"/>
        <v xml:space="preserve"> </v>
      </c>
      <c r="AJ116" s="323" t="str">
        <f t="shared" si="189"/>
        <v xml:space="preserve"> </v>
      </c>
      <c r="AK116" s="323" t="str">
        <f t="shared" si="189"/>
        <v xml:space="preserve"> </v>
      </c>
      <c r="AL116" s="323" t="str">
        <f t="shared" si="189"/>
        <v xml:space="preserve"> </v>
      </c>
      <c r="AM116" s="323" t="str">
        <f t="shared" si="189"/>
        <v xml:space="preserve"> </v>
      </c>
      <c r="AN116" s="323" t="str">
        <f t="shared" si="189"/>
        <v xml:space="preserve"> </v>
      </c>
      <c r="AO116" s="323" t="str">
        <f t="shared" si="189"/>
        <v xml:space="preserve"> </v>
      </c>
      <c r="AP116" s="323" t="str">
        <f t="shared" si="190"/>
        <v xml:space="preserve"> </v>
      </c>
      <c r="AQ116" s="323" t="str">
        <f t="shared" si="190"/>
        <v xml:space="preserve"> </v>
      </c>
      <c r="AR116" s="323" t="str">
        <f t="shared" si="190"/>
        <v xml:space="preserve"> </v>
      </c>
      <c r="AS116" s="323" t="str">
        <f t="shared" si="190"/>
        <v xml:space="preserve"> </v>
      </c>
      <c r="AT116" s="323" t="str">
        <f t="shared" si="190"/>
        <v xml:space="preserve"> </v>
      </c>
      <c r="AU116" s="323" t="str">
        <f t="shared" si="190"/>
        <v xml:space="preserve"> </v>
      </c>
      <c r="AV116" s="323" t="str">
        <f t="shared" si="190"/>
        <v xml:space="preserve"> </v>
      </c>
      <c r="AW116" s="323" t="str">
        <f t="shared" si="190"/>
        <v xml:space="preserve"> </v>
      </c>
      <c r="AX116" s="323" t="str">
        <f t="shared" si="190"/>
        <v xml:space="preserve"> </v>
      </c>
      <c r="AY116" s="323" t="str">
        <f t="shared" si="190"/>
        <v xml:space="preserve"> </v>
      </c>
      <c r="AZ116" s="323" t="str">
        <f t="shared" si="190"/>
        <v xml:space="preserve"> </v>
      </c>
      <c r="BA116" s="323" t="str">
        <f t="shared" si="190"/>
        <v xml:space="preserve"> </v>
      </c>
      <c r="BB116" s="323" t="str">
        <f t="shared" si="190"/>
        <v xml:space="preserve"> </v>
      </c>
      <c r="BC116" s="323" t="str">
        <f t="shared" si="190"/>
        <v xml:space="preserve"> </v>
      </c>
      <c r="BD116" s="323" t="str">
        <f t="shared" si="190"/>
        <v xml:space="preserve"> </v>
      </c>
      <c r="BE116" s="323" t="str">
        <f t="shared" si="190"/>
        <v xml:space="preserve"> </v>
      </c>
    </row>
    <row r="117" spans="2:57" x14ac:dyDescent="0.25">
      <c r="B117" s="316"/>
      <c r="C117" s="171" t="s">
        <v>698</v>
      </c>
      <c r="D117" s="325" t="s">
        <v>688</v>
      </c>
      <c r="E117" s="325">
        <v>12</v>
      </c>
      <c r="F117" s="324">
        <v>2031</v>
      </c>
      <c r="G117" s="917">
        <v>2050</v>
      </c>
      <c r="H117" s="313">
        <f t="shared" si="187"/>
        <v>19</v>
      </c>
      <c r="J117" s="323" t="str">
        <f t="shared" si="188"/>
        <v xml:space="preserve"> </v>
      </c>
      <c r="K117" s="323" t="str">
        <f t="shared" si="188"/>
        <v xml:space="preserve"> </v>
      </c>
      <c r="L117" s="323" t="str">
        <f t="shared" si="188"/>
        <v xml:space="preserve"> </v>
      </c>
      <c r="M117" s="323" t="str">
        <f t="shared" si="188"/>
        <v xml:space="preserve"> </v>
      </c>
      <c r="N117" s="323" t="str">
        <f t="shared" si="188"/>
        <v xml:space="preserve"> </v>
      </c>
      <c r="O117" s="323" t="str">
        <f t="shared" si="188"/>
        <v xml:space="preserve"> </v>
      </c>
      <c r="P117" s="323" t="str">
        <f t="shared" si="188"/>
        <v xml:space="preserve"> </v>
      </c>
      <c r="Q117" s="323" t="str">
        <f t="shared" si="188"/>
        <v xml:space="preserve"> </v>
      </c>
      <c r="R117" s="323" t="str">
        <f t="shared" si="188"/>
        <v xml:space="preserve"> </v>
      </c>
      <c r="S117" s="323" t="str">
        <f t="shared" si="188"/>
        <v xml:space="preserve"> </v>
      </c>
      <c r="T117" s="323" t="str">
        <f t="shared" si="188"/>
        <v xml:space="preserve"> </v>
      </c>
      <c r="U117" s="323" t="str">
        <f t="shared" si="188"/>
        <v xml:space="preserve"> </v>
      </c>
      <c r="V117" s="323" t="str">
        <f t="shared" si="188"/>
        <v xml:space="preserve"> </v>
      </c>
      <c r="W117" s="323">
        <f t="shared" si="188"/>
        <v>1</v>
      </c>
      <c r="X117" s="323">
        <f t="shared" si="188"/>
        <v>1</v>
      </c>
      <c r="Y117" s="323">
        <f t="shared" si="188"/>
        <v>1</v>
      </c>
      <c r="Z117" s="323">
        <f t="shared" si="189"/>
        <v>1</v>
      </c>
      <c r="AA117" s="323">
        <f t="shared" si="189"/>
        <v>1</v>
      </c>
      <c r="AB117" s="323">
        <f t="shared" si="189"/>
        <v>1</v>
      </c>
      <c r="AC117" s="323">
        <f t="shared" si="189"/>
        <v>1</v>
      </c>
      <c r="AD117" s="323">
        <f t="shared" si="189"/>
        <v>1</v>
      </c>
      <c r="AE117" s="323">
        <f t="shared" si="189"/>
        <v>1</v>
      </c>
      <c r="AF117" s="323">
        <f t="shared" si="189"/>
        <v>1</v>
      </c>
      <c r="AG117" s="323">
        <f t="shared" si="189"/>
        <v>1</v>
      </c>
      <c r="AH117" s="323">
        <f t="shared" si="189"/>
        <v>1</v>
      </c>
      <c r="AI117" s="323">
        <f t="shared" si="189"/>
        <v>1</v>
      </c>
      <c r="AJ117" s="323">
        <f t="shared" si="189"/>
        <v>1</v>
      </c>
      <c r="AK117" s="323">
        <f t="shared" si="189"/>
        <v>1</v>
      </c>
      <c r="AL117" s="323">
        <f t="shared" si="189"/>
        <v>1</v>
      </c>
      <c r="AM117" s="323">
        <f t="shared" si="189"/>
        <v>1</v>
      </c>
      <c r="AN117" s="323">
        <f t="shared" si="189"/>
        <v>1</v>
      </c>
      <c r="AO117" s="323">
        <f t="shared" si="189"/>
        <v>1</v>
      </c>
      <c r="AP117" s="323" t="str">
        <f t="shared" si="190"/>
        <v xml:space="preserve"> </v>
      </c>
      <c r="AQ117" s="323" t="str">
        <f t="shared" si="190"/>
        <v xml:space="preserve"> </v>
      </c>
      <c r="AR117" s="323" t="str">
        <f t="shared" si="190"/>
        <v xml:space="preserve"> </v>
      </c>
      <c r="AS117" s="323" t="str">
        <f t="shared" si="190"/>
        <v xml:space="preserve"> </v>
      </c>
      <c r="AT117" s="323" t="str">
        <f t="shared" si="190"/>
        <v xml:space="preserve"> </v>
      </c>
      <c r="AU117" s="323" t="str">
        <f t="shared" si="190"/>
        <v xml:space="preserve"> </v>
      </c>
      <c r="AV117" s="323" t="str">
        <f t="shared" si="190"/>
        <v xml:space="preserve"> </v>
      </c>
      <c r="AW117" s="323" t="str">
        <f t="shared" si="190"/>
        <v xml:space="preserve"> </v>
      </c>
      <c r="AX117" s="323" t="str">
        <f t="shared" si="190"/>
        <v xml:space="preserve"> </v>
      </c>
      <c r="AY117" s="323" t="str">
        <f t="shared" si="190"/>
        <v xml:space="preserve"> </v>
      </c>
      <c r="AZ117" s="323" t="str">
        <f t="shared" si="190"/>
        <v xml:space="preserve"> </v>
      </c>
      <c r="BA117" s="323" t="str">
        <f t="shared" si="190"/>
        <v xml:space="preserve"> </v>
      </c>
      <c r="BB117" s="323" t="str">
        <f t="shared" si="190"/>
        <v xml:space="preserve"> </v>
      </c>
      <c r="BC117" s="323" t="str">
        <f t="shared" si="190"/>
        <v xml:space="preserve"> </v>
      </c>
      <c r="BD117" s="323" t="str">
        <f t="shared" si="190"/>
        <v xml:space="preserve"> </v>
      </c>
      <c r="BE117" s="323" t="str">
        <f t="shared" si="190"/>
        <v xml:space="preserve"> </v>
      </c>
    </row>
    <row r="118" spans="2:57" x14ac:dyDescent="0.25">
      <c r="B118" s="316"/>
      <c r="C118" s="171" t="s">
        <v>699</v>
      </c>
      <c r="D118" s="325" t="s">
        <v>688</v>
      </c>
      <c r="E118" s="325">
        <v>13</v>
      </c>
      <c r="F118" s="324">
        <f>G117</f>
        <v>2050</v>
      </c>
      <c r="G118" s="917">
        <v>2051</v>
      </c>
      <c r="H118" s="313">
        <f t="shared" si="187"/>
        <v>1</v>
      </c>
      <c r="J118" s="323" t="str">
        <f t="shared" si="188"/>
        <v xml:space="preserve"> </v>
      </c>
      <c r="K118" s="323" t="str">
        <f t="shared" si="188"/>
        <v xml:space="preserve"> </v>
      </c>
      <c r="L118" s="323" t="str">
        <f t="shared" si="188"/>
        <v xml:space="preserve"> </v>
      </c>
      <c r="M118" s="323" t="str">
        <f t="shared" si="188"/>
        <v xml:space="preserve"> </v>
      </c>
      <c r="N118" s="323" t="str">
        <f t="shared" si="188"/>
        <v xml:space="preserve"> </v>
      </c>
      <c r="O118" s="323" t="str">
        <f t="shared" si="188"/>
        <v xml:space="preserve"> </v>
      </c>
      <c r="P118" s="323" t="str">
        <f t="shared" si="188"/>
        <v xml:space="preserve"> </v>
      </c>
      <c r="Q118" s="323" t="str">
        <f t="shared" si="188"/>
        <v xml:space="preserve"> </v>
      </c>
      <c r="R118" s="323" t="str">
        <f t="shared" si="188"/>
        <v xml:space="preserve"> </v>
      </c>
      <c r="S118" s="323" t="str">
        <f t="shared" si="188"/>
        <v xml:space="preserve"> </v>
      </c>
      <c r="T118" s="323" t="str">
        <f t="shared" si="188"/>
        <v xml:space="preserve"> </v>
      </c>
      <c r="U118" s="323" t="str">
        <f t="shared" si="188"/>
        <v xml:space="preserve"> </v>
      </c>
      <c r="V118" s="323" t="str">
        <f t="shared" si="188"/>
        <v xml:space="preserve"> </v>
      </c>
      <c r="W118" s="323" t="str">
        <f t="shared" si="188"/>
        <v xml:space="preserve"> </v>
      </c>
      <c r="X118" s="323" t="str">
        <f t="shared" si="188"/>
        <v xml:space="preserve"> </v>
      </c>
      <c r="Y118" s="323" t="str">
        <f t="shared" si="188"/>
        <v xml:space="preserve"> </v>
      </c>
      <c r="Z118" s="323" t="str">
        <f t="shared" si="189"/>
        <v xml:space="preserve"> </v>
      </c>
      <c r="AA118" s="323" t="str">
        <f t="shared" si="189"/>
        <v xml:space="preserve"> </v>
      </c>
      <c r="AB118" s="323" t="str">
        <f t="shared" si="189"/>
        <v xml:space="preserve"> </v>
      </c>
      <c r="AC118" s="323" t="str">
        <f t="shared" si="189"/>
        <v xml:space="preserve"> </v>
      </c>
      <c r="AD118" s="323" t="str">
        <f t="shared" si="189"/>
        <v xml:space="preserve"> </v>
      </c>
      <c r="AE118" s="323" t="str">
        <f t="shared" si="189"/>
        <v xml:space="preserve"> </v>
      </c>
      <c r="AF118" s="323" t="str">
        <f t="shared" si="189"/>
        <v xml:space="preserve"> </v>
      </c>
      <c r="AG118" s="323" t="str">
        <f t="shared" si="189"/>
        <v xml:space="preserve"> </v>
      </c>
      <c r="AH118" s="323" t="str">
        <f t="shared" si="189"/>
        <v xml:space="preserve"> </v>
      </c>
      <c r="AI118" s="323" t="str">
        <f t="shared" si="189"/>
        <v xml:space="preserve"> </v>
      </c>
      <c r="AJ118" s="323" t="str">
        <f t="shared" si="189"/>
        <v xml:space="preserve"> </v>
      </c>
      <c r="AK118" s="323" t="str">
        <f t="shared" si="189"/>
        <v xml:space="preserve"> </v>
      </c>
      <c r="AL118" s="323" t="str">
        <f t="shared" si="189"/>
        <v xml:space="preserve"> </v>
      </c>
      <c r="AM118" s="323" t="str">
        <f t="shared" si="189"/>
        <v xml:space="preserve"> </v>
      </c>
      <c r="AN118" s="323" t="str">
        <f t="shared" si="189"/>
        <v xml:space="preserve"> </v>
      </c>
      <c r="AO118" s="323" t="str">
        <f t="shared" si="189"/>
        <v xml:space="preserve"> </v>
      </c>
      <c r="AP118" s="323">
        <f t="shared" si="190"/>
        <v>1</v>
      </c>
      <c r="AQ118" s="323" t="str">
        <f t="shared" si="190"/>
        <v xml:space="preserve"> </v>
      </c>
      <c r="AR118" s="323" t="str">
        <f t="shared" si="190"/>
        <v xml:space="preserve"> </v>
      </c>
      <c r="AS118" s="323" t="str">
        <f t="shared" si="190"/>
        <v xml:space="preserve"> </v>
      </c>
      <c r="AT118" s="323" t="str">
        <f t="shared" si="190"/>
        <v xml:space="preserve"> </v>
      </c>
      <c r="AU118" s="323" t="str">
        <f t="shared" si="190"/>
        <v xml:space="preserve"> </v>
      </c>
      <c r="AV118" s="323" t="str">
        <f t="shared" si="190"/>
        <v xml:space="preserve"> </v>
      </c>
      <c r="AW118" s="323" t="str">
        <f t="shared" si="190"/>
        <v xml:space="preserve"> </v>
      </c>
      <c r="AX118" s="323" t="str">
        <f t="shared" si="190"/>
        <v xml:space="preserve"> </v>
      </c>
      <c r="AY118" s="323" t="str">
        <f t="shared" si="190"/>
        <v xml:space="preserve"> </v>
      </c>
      <c r="AZ118" s="323" t="str">
        <f t="shared" si="190"/>
        <v xml:space="preserve"> </v>
      </c>
      <c r="BA118" s="323" t="str">
        <f t="shared" si="190"/>
        <v xml:space="preserve"> </v>
      </c>
      <c r="BB118" s="323" t="str">
        <f t="shared" si="190"/>
        <v xml:space="preserve"> </v>
      </c>
      <c r="BC118" s="323" t="str">
        <f t="shared" si="190"/>
        <v xml:space="preserve"> </v>
      </c>
      <c r="BD118" s="323" t="str">
        <f t="shared" si="190"/>
        <v xml:space="preserve"> </v>
      </c>
      <c r="BE118" s="323" t="str">
        <f t="shared" si="190"/>
        <v xml:space="preserve"> </v>
      </c>
    </row>
    <row r="119" spans="2:57" x14ac:dyDescent="0.25">
      <c r="B119" s="317"/>
      <c r="C119" s="171" t="s">
        <v>676</v>
      </c>
      <c r="D119" s="325" t="s">
        <v>688</v>
      </c>
      <c r="E119" s="325">
        <v>14</v>
      </c>
      <c r="F119" s="917">
        <v>2050</v>
      </c>
      <c r="G119" s="916">
        <v>2051</v>
      </c>
      <c r="H119" s="313">
        <f t="shared" si="187"/>
        <v>1</v>
      </c>
      <c r="J119" s="323" t="str">
        <f t="shared" si="188"/>
        <v xml:space="preserve"> </v>
      </c>
      <c r="K119" s="323" t="str">
        <f t="shared" si="188"/>
        <v xml:space="preserve"> </v>
      </c>
      <c r="L119" s="323" t="str">
        <f t="shared" si="188"/>
        <v xml:space="preserve"> </v>
      </c>
      <c r="M119" s="323" t="str">
        <f t="shared" si="188"/>
        <v xml:space="preserve"> </v>
      </c>
      <c r="N119" s="323" t="str">
        <f t="shared" si="188"/>
        <v xml:space="preserve"> </v>
      </c>
      <c r="O119" s="323" t="str">
        <f t="shared" si="188"/>
        <v xml:space="preserve"> </v>
      </c>
      <c r="P119" s="323" t="str">
        <f t="shared" si="188"/>
        <v xml:space="preserve"> </v>
      </c>
      <c r="Q119" s="323" t="str">
        <f t="shared" si="188"/>
        <v xml:space="preserve"> </v>
      </c>
      <c r="R119" s="323" t="str">
        <f t="shared" si="188"/>
        <v xml:space="preserve"> </v>
      </c>
      <c r="S119" s="323" t="str">
        <f t="shared" si="188"/>
        <v xml:space="preserve"> </v>
      </c>
      <c r="T119" s="323" t="str">
        <f t="shared" si="188"/>
        <v xml:space="preserve"> </v>
      </c>
      <c r="U119" s="323" t="str">
        <f t="shared" si="188"/>
        <v xml:space="preserve"> </v>
      </c>
      <c r="V119" s="323" t="str">
        <f t="shared" si="188"/>
        <v xml:space="preserve"> </v>
      </c>
      <c r="W119" s="323" t="str">
        <f t="shared" si="188"/>
        <v xml:space="preserve"> </v>
      </c>
      <c r="X119" s="323" t="str">
        <f t="shared" si="188"/>
        <v xml:space="preserve"> </v>
      </c>
      <c r="Y119" s="323" t="str">
        <f t="shared" si="188"/>
        <v xml:space="preserve"> </v>
      </c>
      <c r="Z119" s="323" t="str">
        <f t="shared" si="189"/>
        <v xml:space="preserve"> </v>
      </c>
      <c r="AA119" s="323" t="str">
        <f t="shared" si="189"/>
        <v xml:space="preserve"> </v>
      </c>
      <c r="AB119" s="323" t="str">
        <f t="shared" si="189"/>
        <v xml:space="preserve"> </v>
      </c>
      <c r="AC119" s="323" t="str">
        <f t="shared" si="189"/>
        <v xml:space="preserve"> </v>
      </c>
      <c r="AD119" s="323" t="str">
        <f t="shared" si="189"/>
        <v xml:space="preserve"> </v>
      </c>
      <c r="AE119" s="323" t="str">
        <f t="shared" si="189"/>
        <v xml:space="preserve"> </v>
      </c>
      <c r="AF119" s="323" t="str">
        <f t="shared" si="189"/>
        <v xml:space="preserve"> </v>
      </c>
      <c r="AG119" s="323" t="str">
        <f t="shared" si="189"/>
        <v xml:space="preserve"> </v>
      </c>
      <c r="AH119" s="323" t="str">
        <f t="shared" si="189"/>
        <v xml:space="preserve"> </v>
      </c>
      <c r="AI119" s="323" t="str">
        <f t="shared" si="189"/>
        <v xml:space="preserve"> </v>
      </c>
      <c r="AJ119" s="323" t="str">
        <f t="shared" si="189"/>
        <v xml:space="preserve"> </v>
      </c>
      <c r="AK119" s="323" t="str">
        <f t="shared" si="189"/>
        <v xml:space="preserve"> </v>
      </c>
      <c r="AL119" s="323" t="str">
        <f t="shared" si="189"/>
        <v xml:space="preserve"> </v>
      </c>
      <c r="AM119" s="323" t="str">
        <f t="shared" si="189"/>
        <v xml:space="preserve"> </v>
      </c>
      <c r="AN119" s="323" t="str">
        <f t="shared" si="189"/>
        <v xml:space="preserve"> </v>
      </c>
      <c r="AO119" s="323" t="str">
        <f t="shared" si="189"/>
        <v xml:space="preserve"> </v>
      </c>
      <c r="AP119" s="323">
        <f t="shared" si="190"/>
        <v>1</v>
      </c>
      <c r="AQ119" s="323" t="str">
        <f t="shared" si="190"/>
        <v xml:space="preserve"> </v>
      </c>
      <c r="AR119" s="323" t="str">
        <f t="shared" si="190"/>
        <v xml:space="preserve"> </v>
      </c>
      <c r="AS119" s="323" t="str">
        <f t="shared" si="190"/>
        <v xml:space="preserve"> </v>
      </c>
      <c r="AT119" s="323" t="str">
        <f t="shared" si="190"/>
        <v xml:space="preserve"> </v>
      </c>
      <c r="AU119" s="323" t="str">
        <f t="shared" si="190"/>
        <v xml:space="preserve"> </v>
      </c>
      <c r="AV119" s="323" t="str">
        <f t="shared" si="190"/>
        <v xml:space="preserve"> </v>
      </c>
      <c r="AW119" s="323" t="str">
        <f t="shared" si="190"/>
        <v xml:space="preserve"> </v>
      </c>
      <c r="AX119" s="323" t="str">
        <f t="shared" si="190"/>
        <v xml:space="preserve"> </v>
      </c>
      <c r="AY119" s="323" t="str">
        <f t="shared" si="190"/>
        <v xml:space="preserve"> </v>
      </c>
      <c r="AZ119" s="323" t="str">
        <f t="shared" si="190"/>
        <v xml:space="preserve"> </v>
      </c>
      <c r="BA119" s="323" t="str">
        <f t="shared" si="190"/>
        <v xml:space="preserve"> </v>
      </c>
      <c r="BB119" s="323" t="str">
        <f t="shared" si="190"/>
        <v xml:space="preserve"> </v>
      </c>
      <c r="BC119" s="323" t="str">
        <f t="shared" si="190"/>
        <v xml:space="preserve"> </v>
      </c>
      <c r="BD119" s="323" t="str">
        <f t="shared" si="190"/>
        <v xml:space="preserve"> </v>
      </c>
      <c r="BE119" s="323" t="str">
        <f t="shared" si="190"/>
        <v xml:space="preserve"> </v>
      </c>
    </row>
    <row r="121" spans="2:57" ht="15.75" thickBot="1" x14ac:dyDescent="0.3">
      <c r="J121" s="171" t="s">
        <v>680</v>
      </c>
    </row>
    <row r="122" spans="2:57" ht="16.5" thickTop="1" thickBot="1" x14ac:dyDescent="0.3">
      <c r="B122" s="430"/>
      <c r="C122" s="431" t="s">
        <v>929</v>
      </c>
      <c r="D122" s="431" t="s">
        <v>930</v>
      </c>
      <c r="E122" s="431" t="s">
        <v>592</v>
      </c>
      <c r="F122" s="322" t="s">
        <v>684</v>
      </c>
      <c r="G122" s="322" t="s">
        <v>685</v>
      </c>
      <c r="H122" s="322" t="s">
        <v>686</v>
      </c>
      <c r="J122" s="171">
        <f>J105</f>
        <v>2018</v>
      </c>
      <c r="K122" s="171">
        <f t="shared" ref="K122:AP122" si="191">K105</f>
        <v>2019</v>
      </c>
      <c r="L122" s="171">
        <f t="shared" si="191"/>
        <v>2020</v>
      </c>
      <c r="M122" s="171">
        <f t="shared" si="191"/>
        <v>2021</v>
      </c>
      <c r="N122" s="171">
        <f t="shared" si="191"/>
        <v>2022</v>
      </c>
      <c r="O122" s="171">
        <f t="shared" si="191"/>
        <v>2023</v>
      </c>
      <c r="P122" s="171">
        <f t="shared" si="191"/>
        <v>2024</v>
      </c>
      <c r="Q122" s="171">
        <f t="shared" si="191"/>
        <v>2025</v>
      </c>
      <c r="R122" s="171">
        <f t="shared" si="191"/>
        <v>2026</v>
      </c>
      <c r="S122" s="171">
        <f t="shared" si="191"/>
        <v>2027</v>
      </c>
      <c r="T122" s="171">
        <f t="shared" si="191"/>
        <v>2028</v>
      </c>
      <c r="U122" s="171">
        <f t="shared" si="191"/>
        <v>2029</v>
      </c>
      <c r="V122" s="171">
        <f t="shared" si="191"/>
        <v>2030</v>
      </c>
      <c r="W122" s="171">
        <f t="shared" si="191"/>
        <v>2031</v>
      </c>
      <c r="X122" s="171">
        <f t="shared" si="191"/>
        <v>2032</v>
      </c>
      <c r="Y122" s="171">
        <f t="shared" si="191"/>
        <v>2033</v>
      </c>
      <c r="Z122" s="171">
        <f t="shared" si="191"/>
        <v>2034</v>
      </c>
      <c r="AA122" s="171">
        <f t="shared" si="191"/>
        <v>2035</v>
      </c>
      <c r="AB122" s="171">
        <f t="shared" si="191"/>
        <v>2036</v>
      </c>
      <c r="AC122" s="171">
        <f t="shared" si="191"/>
        <v>2037</v>
      </c>
      <c r="AD122" s="171">
        <f t="shared" si="191"/>
        <v>2038</v>
      </c>
      <c r="AE122" s="171">
        <f t="shared" si="191"/>
        <v>2039</v>
      </c>
      <c r="AF122" s="171">
        <f t="shared" si="191"/>
        <v>2040</v>
      </c>
      <c r="AG122" s="171">
        <f t="shared" si="191"/>
        <v>2041</v>
      </c>
      <c r="AH122" s="171">
        <f t="shared" si="191"/>
        <v>2042</v>
      </c>
      <c r="AI122" s="171">
        <f t="shared" si="191"/>
        <v>2043</v>
      </c>
      <c r="AJ122" s="171">
        <f t="shared" si="191"/>
        <v>2044</v>
      </c>
      <c r="AK122" s="171">
        <f t="shared" si="191"/>
        <v>2045</v>
      </c>
      <c r="AL122" s="171">
        <f t="shared" si="191"/>
        <v>2046</v>
      </c>
      <c r="AM122" s="171">
        <f t="shared" si="191"/>
        <v>2047</v>
      </c>
      <c r="AN122" s="171">
        <f t="shared" si="191"/>
        <v>2048</v>
      </c>
      <c r="AO122" s="171">
        <f t="shared" si="191"/>
        <v>2049</v>
      </c>
      <c r="AP122" s="171">
        <f t="shared" si="191"/>
        <v>2050</v>
      </c>
      <c r="AQ122" s="171">
        <f t="shared" ref="AQ122:BE122" si="192">AQ105</f>
        <v>2051</v>
      </c>
      <c r="AR122" s="171">
        <f t="shared" si="192"/>
        <v>2052</v>
      </c>
      <c r="AS122" s="171">
        <f t="shared" si="192"/>
        <v>2053</v>
      </c>
      <c r="AT122" s="171">
        <f t="shared" si="192"/>
        <v>2054</v>
      </c>
      <c r="AU122" s="171">
        <f t="shared" si="192"/>
        <v>2055</v>
      </c>
      <c r="AV122" s="171">
        <f t="shared" si="192"/>
        <v>2056</v>
      </c>
      <c r="AW122" s="171">
        <f t="shared" si="192"/>
        <v>2057</v>
      </c>
      <c r="AX122" s="171">
        <f t="shared" si="192"/>
        <v>2058</v>
      </c>
      <c r="AY122" s="171">
        <f t="shared" si="192"/>
        <v>2059</v>
      </c>
      <c r="AZ122" s="171">
        <f t="shared" si="192"/>
        <v>2060</v>
      </c>
      <c r="BA122" s="171">
        <f t="shared" si="192"/>
        <v>2061</v>
      </c>
      <c r="BB122" s="171">
        <f t="shared" si="192"/>
        <v>2062</v>
      </c>
      <c r="BC122" s="171">
        <f t="shared" si="192"/>
        <v>2063</v>
      </c>
      <c r="BD122" s="171">
        <f t="shared" si="192"/>
        <v>2064</v>
      </c>
      <c r="BE122" s="171">
        <f t="shared" si="192"/>
        <v>2065</v>
      </c>
    </row>
    <row r="123" spans="2:57" ht="15.75" thickTop="1" x14ac:dyDescent="0.25">
      <c r="B123" s="432"/>
      <c r="C123" s="430" t="s">
        <v>931</v>
      </c>
      <c r="D123" s="430" t="s">
        <v>932</v>
      </c>
      <c r="E123" s="325">
        <v>20</v>
      </c>
      <c r="F123" s="313">
        <f>F108</f>
        <v>2022</v>
      </c>
      <c r="G123" s="313">
        <f>G108</f>
        <v>2030</v>
      </c>
      <c r="H123" s="313">
        <f>G123-F123</f>
        <v>8</v>
      </c>
      <c r="J123" s="433">
        <f>IF(AND($F123&gt;=$J$8,J$8&gt;=$F123),$E123,)</f>
        <v>0</v>
      </c>
      <c r="K123" s="433">
        <f t="shared" ref="K123:Z126" si="193">IF(AND($F123&gt;=$J$8,K$8&gt;=$F123),$E123,)</f>
        <v>0</v>
      </c>
      <c r="L123" s="433">
        <f t="shared" si="193"/>
        <v>0</v>
      </c>
      <c r="M123" s="433">
        <f t="shared" si="193"/>
        <v>0</v>
      </c>
      <c r="N123" s="433">
        <f t="shared" si="193"/>
        <v>20</v>
      </c>
      <c r="O123" s="433">
        <f t="shared" si="193"/>
        <v>20</v>
      </c>
      <c r="P123" s="433">
        <f t="shared" si="193"/>
        <v>20</v>
      </c>
      <c r="Q123" s="433">
        <f t="shared" si="193"/>
        <v>20</v>
      </c>
      <c r="R123" s="433">
        <f t="shared" si="193"/>
        <v>20</v>
      </c>
      <c r="S123" s="433">
        <f t="shared" si="193"/>
        <v>20</v>
      </c>
      <c r="T123" s="433">
        <f t="shared" si="193"/>
        <v>20</v>
      </c>
      <c r="U123" s="433">
        <f t="shared" si="193"/>
        <v>20</v>
      </c>
      <c r="V123" s="433">
        <f t="shared" si="193"/>
        <v>20</v>
      </c>
      <c r="W123" s="433">
        <f t="shared" si="193"/>
        <v>20</v>
      </c>
      <c r="X123" s="433">
        <f t="shared" si="193"/>
        <v>20</v>
      </c>
      <c r="Y123" s="433">
        <f t="shared" si="193"/>
        <v>20</v>
      </c>
      <c r="Z123" s="433">
        <f t="shared" si="193"/>
        <v>20</v>
      </c>
      <c r="AA123" s="433">
        <f t="shared" ref="AA123:AQ126" si="194">IF(AND($F123&gt;=$J$8,AA$8&gt;=$F123),$E123,)</f>
        <v>20</v>
      </c>
      <c r="AB123" s="433">
        <f t="shared" si="194"/>
        <v>20</v>
      </c>
      <c r="AC123" s="433">
        <f t="shared" si="194"/>
        <v>20</v>
      </c>
      <c r="AD123" s="433">
        <f t="shared" si="194"/>
        <v>20</v>
      </c>
      <c r="AE123" s="433">
        <f t="shared" si="194"/>
        <v>20</v>
      </c>
      <c r="AF123" s="433">
        <f t="shared" si="194"/>
        <v>20</v>
      </c>
      <c r="AG123" s="433">
        <f t="shared" si="194"/>
        <v>20</v>
      </c>
      <c r="AH123" s="433">
        <f t="shared" si="194"/>
        <v>20</v>
      </c>
      <c r="AI123" s="433">
        <f t="shared" si="194"/>
        <v>20</v>
      </c>
      <c r="AJ123" s="433">
        <f t="shared" si="194"/>
        <v>20</v>
      </c>
      <c r="AK123" s="433">
        <f t="shared" si="194"/>
        <v>20</v>
      </c>
      <c r="AL123" s="433">
        <f t="shared" si="194"/>
        <v>20</v>
      </c>
      <c r="AM123" s="433">
        <f t="shared" si="194"/>
        <v>20</v>
      </c>
      <c r="AN123" s="433">
        <f t="shared" si="194"/>
        <v>20</v>
      </c>
      <c r="AO123" s="433">
        <f t="shared" si="194"/>
        <v>20</v>
      </c>
      <c r="AP123" s="433">
        <f t="shared" si="194"/>
        <v>20</v>
      </c>
      <c r="AQ123" s="433">
        <f t="shared" si="194"/>
        <v>20</v>
      </c>
      <c r="AR123" s="433">
        <f t="shared" ref="AQ123:BE126" si="195">IF(AND($F123&gt;=$J$8,AR$8&gt;=$F123),$E123,)</f>
        <v>20</v>
      </c>
      <c r="AS123" s="433">
        <f t="shared" si="195"/>
        <v>20</v>
      </c>
      <c r="AT123" s="433">
        <f t="shared" si="195"/>
        <v>20</v>
      </c>
      <c r="AU123" s="433">
        <f t="shared" si="195"/>
        <v>20</v>
      </c>
      <c r="AV123" s="433">
        <f t="shared" si="195"/>
        <v>20</v>
      </c>
      <c r="AW123" s="433">
        <f t="shared" si="195"/>
        <v>20</v>
      </c>
      <c r="AX123" s="433">
        <f t="shared" si="195"/>
        <v>20</v>
      </c>
      <c r="AY123" s="433">
        <f t="shared" si="195"/>
        <v>20</v>
      </c>
      <c r="AZ123" s="433">
        <f t="shared" si="195"/>
        <v>20</v>
      </c>
      <c r="BA123" s="433">
        <f t="shared" si="195"/>
        <v>20</v>
      </c>
      <c r="BB123" s="433">
        <f t="shared" si="195"/>
        <v>20</v>
      </c>
      <c r="BC123" s="433">
        <f t="shared" si="195"/>
        <v>20</v>
      </c>
      <c r="BD123" s="433">
        <f t="shared" si="195"/>
        <v>20</v>
      </c>
      <c r="BE123" s="433">
        <f t="shared" si="195"/>
        <v>20</v>
      </c>
    </row>
    <row r="124" spans="2:57" x14ac:dyDescent="0.25">
      <c r="B124" s="434"/>
      <c r="C124" s="430" t="s">
        <v>933</v>
      </c>
      <c r="D124" s="430" t="s">
        <v>934</v>
      </c>
      <c r="E124" s="325">
        <v>5</v>
      </c>
      <c r="F124" s="313">
        <f>F111</f>
        <v>2033</v>
      </c>
      <c r="G124" s="313">
        <f>G111</f>
        <v>2048</v>
      </c>
      <c r="H124" s="313">
        <f t="shared" ref="H124:H126" si="196">G124-F124</f>
        <v>15</v>
      </c>
      <c r="J124" s="433">
        <f t="shared" ref="J124:J126" si="197">IF(AND($F124&gt;=$J$8,J$8&gt;=$F124),$E124,)</f>
        <v>0</v>
      </c>
      <c r="K124" s="433">
        <f t="shared" si="193"/>
        <v>0</v>
      </c>
      <c r="L124" s="433">
        <f t="shared" si="193"/>
        <v>0</v>
      </c>
      <c r="M124" s="433">
        <f t="shared" si="193"/>
        <v>0</v>
      </c>
      <c r="N124" s="433">
        <f t="shared" si="193"/>
        <v>0</v>
      </c>
      <c r="O124" s="433">
        <f t="shared" si="193"/>
        <v>0</v>
      </c>
      <c r="P124" s="433">
        <f t="shared" si="193"/>
        <v>0</v>
      </c>
      <c r="Q124" s="433">
        <f t="shared" si="193"/>
        <v>0</v>
      </c>
      <c r="R124" s="433">
        <f t="shared" si="193"/>
        <v>0</v>
      </c>
      <c r="S124" s="433">
        <f t="shared" si="193"/>
        <v>0</v>
      </c>
      <c r="T124" s="433">
        <f t="shared" si="193"/>
        <v>0</v>
      </c>
      <c r="U124" s="433">
        <f t="shared" si="193"/>
        <v>0</v>
      </c>
      <c r="V124" s="433">
        <f t="shared" si="193"/>
        <v>0</v>
      </c>
      <c r="W124" s="433">
        <f t="shared" si="193"/>
        <v>0</v>
      </c>
      <c r="X124" s="433">
        <f t="shared" si="193"/>
        <v>0</v>
      </c>
      <c r="Y124" s="433">
        <f t="shared" si="193"/>
        <v>5</v>
      </c>
      <c r="Z124" s="433">
        <f t="shared" si="193"/>
        <v>5</v>
      </c>
      <c r="AA124" s="433">
        <f t="shared" si="194"/>
        <v>5</v>
      </c>
      <c r="AB124" s="433">
        <f t="shared" si="194"/>
        <v>5</v>
      </c>
      <c r="AC124" s="433">
        <f t="shared" si="194"/>
        <v>5</v>
      </c>
      <c r="AD124" s="433">
        <f t="shared" si="194"/>
        <v>5</v>
      </c>
      <c r="AE124" s="433">
        <f t="shared" si="194"/>
        <v>5</v>
      </c>
      <c r="AF124" s="433">
        <f t="shared" si="194"/>
        <v>5</v>
      </c>
      <c r="AG124" s="433">
        <f t="shared" si="194"/>
        <v>5</v>
      </c>
      <c r="AH124" s="433">
        <f t="shared" si="194"/>
        <v>5</v>
      </c>
      <c r="AI124" s="433">
        <f t="shared" si="194"/>
        <v>5</v>
      </c>
      <c r="AJ124" s="433">
        <f t="shared" si="194"/>
        <v>5</v>
      </c>
      <c r="AK124" s="433">
        <f t="shared" si="194"/>
        <v>5</v>
      </c>
      <c r="AL124" s="433">
        <f t="shared" si="194"/>
        <v>5</v>
      </c>
      <c r="AM124" s="433">
        <f t="shared" si="194"/>
        <v>5</v>
      </c>
      <c r="AN124" s="433">
        <f t="shared" si="194"/>
        <v>5</v>
      </c>
      <c r="AO124" s="433">
        <f t="shared" si="194"/>
        <v>5</v>
      </c>
      <c r="AP124" s="433">
        <f t="shared" si="194"/>
        <v>5</v>
      </c>
      <c r="AQ124" s="433">
        <f t="shared" si="195"/>
        <v>5</v>
      </c>
      <c r="AR124" s="433">
        <f t="shared" si="195"/>
        <v>5</v>
      </c>
      <c r="AS124" s="433">
        <f t="shared" si="195"/>
        <v>5</v>
      </c>
      <c r="AT124" s="433">
        <f t="shared" si="195"/>
        <v>5</v>
      </c>
      <c r="AU124" s="433">
        <f t="shared" si="195"/>
        <v>5</v>
      </c>
      <c r="AV124" s="433">
        <f t="shared" si="195"/>
        <v>5</v>
      </c>
      <c r="AW124" s="433">
        <f t="shared" si="195"/>
        <v>5</v>
      </c>
      <c r="AX124" s="433">
        <f t="shared" si="195"/>
        <v>5</v>
      </c>
      <c r="AY124" s="433">
        <f t="shared" si="195"/>
        <v>5</v>
      </c>
      <c r="AZ124" s="433">
        <f t="shared" si="195"/>
        <v>5</v>
      </c>
      <c r="BA124" s="433">
        <f t="shared" si="195"/>
        <v>5</v>
      </c>
      <c r="BB124" s="433">
        <f t="shared" si="195"/>
        <v>5</v>
      </c>
      <c r="BC124" s="433">
        <f t="shared" si="195"/>
        <v>5</v>
      </c>
      <c r="BD124" s="433">
        <f t="shared" si="195"/>
        <v>5</v>
      </c>
      <c r="BE124" s="433">
        <f t="shared" si="195"/>
        <v>5</v>
      </c>
    </row>
    <row r="125" spans="2:57" x14ac:dyDescent="0.25">
      <c r="B125" s="30"/>
      <c r="C125" s="430" t="s">
        <v>935</v>
      </c>
      <c r="D125" s="430" t="s">
        <v>936</v>
      </c>
      <c r="E125" s="325">
        <v>10</v>
      </c>
      <c r="F125" s="313">
        <f>F114</f>
        <v>2026</v>
      </c>
      <c r="G125" s="313">
        <f>G114</f>
        <v>2030</v>
      </c>
      <c r="H125" s="313">
        <f t="shared" si="196"/>
        <v>4</v>
      </c>
      <c r="J125" s="433">
        <f t="shared" si="197"/>
        <v>0</v>
      </c>
      <c r="K125" s="433">
        <f t="shared" si="193"/>
        <v>0</v>
      </c>
      <c r="L125" s="433">
        <f t="shared" si="193"/>
        <v>0</v>
      </c>
      <c r="M125" s="433">
        <f t="shared" si="193"/>
        <v>0</v>
      </c>
      <c r="N125" s="433">
        <f t="shared" si="193"/>
        <v>0</v>
      </c>
      <c r="O125" s="433">
        <f t="shared" si="193"/>
        <v>0</v>
      </c>
      <c r="P125" s="433">
        <f t="shared" si="193"/>
        <v>0</v>
      </c>
      <c r="Q125" s="433">
        <f t="shared" si="193"/>
        <v>0</v>
      </c>
      <c r="R125" s="433">
        <f t="shared" si="193"/>
        <v>10</v>
      </c>
      <c r="S125" s="433">
        <f t="shared" si="193"/>
        <v>10</v>
      </c>
      <c r="T125" s="433">
        <f t="shared" si="193"/>
        <v>10</v>
      </c>
      <c r="U125" s="433">
        <f t="shared" si="193"/>
        <v>10</v>
      </c>
      <c r="V125" s="433">
        <f t="shared" si="193"/>
        <v>10</v>
      </c>
      <c r="W125" s="433">
        <f t="shared" si="193"/>
        <v>10</v>
      </c>
      <c r="X125" s="433">
        <f t="shared" si="193"/>
        <v>10</v>
      </c>
      <c r="Y125" s="433">
        <f t="shared" si="193"/>
        <v>10</v>
      </c>
      <c r="Z125" s="433">
        <f t="shared" si="193"/>
        <v>10</v>
      </c>
      <c r="AA125" s="433">
        <f t="shared" si="194"/>
        <v>10</v>
      </c>
      <c r="AB125" s="433">
        <f t="shared" si="194"/>
        <v>10</v>
      </c>
      <c r="AC125" s="433">
        <f t="shared" si="194"/>
        <v>10</v>
      </c>
      <c r="AD125" s="433">
        <f t="shared" si="194"/>
        <v>10</v>
      </c>
      <c r="AE125" s="433">
        <f t="shared" si="194"/>
        <v>10</v>
      </c>
      <c r="AF125" s="433">
        <f t="shared" si="194"/>
        <v>10</v>
      </c>
      <c r="AG125" s="433">
        <f t="shared" si="194"/>
        <v>10</v>
      </c>
      <c r="AH125" s="433">
        <f t="shared" si="194"/>
        <v>10</v>
      </c>
      <c r="AI125" s="433">
        <f t="shared" si="194"/>
        <v>10</v>
      </c>
      <c r="AJ125" s="433">
        <f t="shared" si="194"/>
        <v>10</v>
      </c>
      <c r="AK125" s="433">
        <f t="shared" si="194"/>
        <v>10</v>
      </c>
      <c r="AL125" s="433">
        <f t="shared" si="194"/>
        <v>10</v>
      </c>
      <c r="AM125" s="433">
        <f t="shared" si="194"/>
        <v>10</v>
      </c>
      <c r="AN125" s="433">
        <f t="shared" si="194"/>
        <v>10</v>
      </c>
      <c r="AO125" s="433">
        <f t="shared" si="194"/>
        <v>10</v>
      </c>
      <c r="AP125" s="433">
        <f t="shared" si="194"/>
        <v>10</v>
      </c>
      <c r="AQ125" s="433">
        <f t="shared" si="195"/>
        <v>10</v>
      </c>
      <c r="AR125" s="433">
        <f t="shared" si="195"/>
        <v>10</v>
      </c>
      <c r="AS125" s="433">
        <f t="shared" si="195"/>
        <v>10</v>
      </c>
      <c r="AT125" s="433">
        <f t="shared" si="195"/>
        <v>10</v>
      </c>
      <c r="AU125" s="433">
        <f t="shared" si="195"/>
        <v>10</v>
      </c>
      <c r="AV125" s="433">
        <f t="shared" si="195"/>
        <v>10</v>
      </c>
      <c r="AW125" s="433">
        <f t="shared" si="195"/>
        <v>10</v>
      </c>
      <c r="AX125" s="433">
        <f t="shared" si="195"/>
        <v>10</v>
      </c>
      <c r="AY125" s="433">
        <f t="shared" si="195"/>
        <v>10</v>
      </c>
      <c r="AZ125" s="433">
        <f t="shared" si="195"/>
        <v>10</v>
      </c>
      <c r="BA125" s="433">
        <f t="shared" si="195"/>
        <v>10</v>
      </c>
      <c r="BB125" s="433">
        <f t="shared" si="195"/>
        <v>10</v>
      </c>
      <c r="BC125" s="433">
        <f t="shared" si="195"/>
        <v>10</v>
      </c>
      <c r="BD125" s="433">
        <f t="shared" si="195"/>
        <v>10</v>
      </c>
      <c r="BE125" s="433">
        <f t="shared" si="195"/>
        <v>10</v>
      </c>
    </row>
    <row r="126" spans="2:57" x14ac:dyDescent="0.25">
      <c r="B126" s="435"/>
      <c r="C126" s="430" t="s">
        <v>937</v>
      </c>
      <c r="D126" s="430" t="s">
        <v>936</v>
      </c>
      <c r="E126" s="325">
        <v>100</v>
      </c>
      <c r="F126" s="313">
        <f>F117</f>
        <v>2031</v>
      </c>
      <c r="G126" s="313">
        <f>G117</f>
        <v>2050</v>
      </c>
      <c r="H126" s="313">
        <f t="shared" si="196"/>
        <v>19</v>
      </c>
      <c r="J126" s="433">
        <f t="shared" si="197"/>
        <v>0</v>
      </c>
      <c r="K126" s="433">
        <f t="shared" si="193"/>
        <v>0</v>
      </c>
      <c r="L126" s="433">
        <f t="shared" si="193"/>
        <v>0</v>
      </c>
      <c r="M126" s="433">
        <f t="shared" si="193"/>
        <v>0</v>
      </c>
      <c r="N126" s="433">
        <f t="shared" si="193"/>
        <v>0</v>
      </c>
      <c r="O126" s="433">
        <f t="shared" si="193"/>
        <v>0</v>
      </c>
      <c r="P126" s="433">
        <f t="shared" si="193"/>
        <v>0</v>
      </c>
      <c r="Q126" s="433">
        <f t="shared" si="193"/>
        <v>0</v>
      </c>
      <c r="R126" s="433">
        <f t="shared" si="193"/>
        <v>0</v>
      </c>
      <c r="S126" s="433">
        <f t="shared" si="193"/>
        <v>0</v>
      </c>
      <c r="T126" s="433">
        <f t="shared" si="193"/>
        <v>0</v>
      </c>
      <c r="U126" s="433">
        <f t="shared" si="193"/>
        <v>0</v>
      </c>
      <c r="V126" s="433">
        <f t="shared" si="193"/>
        <v>0</v>
      </c>
      <c r="W126" s="433">
        <f t="shared" si="193"/>
        <v>100</v>
      </c>
      <c r="X126" s="433">
        <f t="shared" si="193"/>
        <v>100</v>
      </c>
      <c r="Y126" s="433">
        <f t="shared" si="193"/>
        <v>100</v>
      </c>
      <c r="Z126" s="433">
        <f t="shared" si="193"/>
        <v>100</v>
      </c>
      <c r="AA126" s="433">
        <f t="shared" si="194"/>
        <v>100</v>
      </c>
      <c r="AB126" s="433">
        <f t="shared" si="194"/>
        <v>100</v>
      </c>
      <c r="AC126" s="433">
        <f t="shared" si="194"/>
        <v>100</v>
      </c>
      <c r="AD126" s="433">
        <f t="shared" si="194"/>
        <v>100</v>
      </c>
      <c r="AE126" s="433">
        <f t="shared" si="194"/>
        <v>100</v>
      </c>
      <c r="AF126" s="433">
        <f t="shared" si="194"/>
        <v>100</v>
      </c>
      <c r="AG126" s="433">
        <f t="shared" si="194"/>
        <v>100</v>
      </c>
      <c r="AH126" s="433">
        <f t="shared" si="194"/>
        <v>100</v>
      </c>
      <c r="AI126" s="433">
        <f t="shared" si="194"/>
        <v>100</v>
      </c>
      <c r="AJ126" s="433">
        <f t="shared" si="194"/>
        <v>100</v>
      </c>
      <c r="AK126" s="433">
        <f t="shared" si="194"/>
        <v>100</v>
      </c>
      <c r="AL126" s="433">
        <f t="shared" si="194"/>
        <v>100</v>
      </c>
      <c r="AM126" s="433">
        <f t="shared" si="194"/>
        <v>100</v>
      </c>
      <c r="AN126" s="433">
        <f t="shared" si="194"/>
        <v>100</v>
      </c>
      <c r="AO126" s="433">
        <f t="shared" si="194"/>
        <v>100</v>
      </c>
      <c r="AP126" s="433">
        <f t="shared" si="194"/>
        <v>100</v>
      </c>
      <c r="AQ126" s="433">
        <f t="shared" si="195"/>
        <v>100</v>
      </c>
      <c r="AR126" s="433">
        <f t="shared" si="195"/>
        <v>100</v>
      </c>
      <c r="AS126" s="433">
        <f t="shared" si="195"/>
        <v>100</v>
      </c>
      <c r="AT126" s="433">
        <f t="shared" si="195"/>
        <v>100</v>
      </c>
      <c r="AU126" s="433">
        <f t="shared" si="195"/>
        <v>100</v>
      </c>
      <c r="AV126" s="433">
        <f t="shared" si="195"/>
        <v>100</v>
      </c>
      <c r="AW126" s="433">
        <f t="shared" si="195"/>
        <v>100</v>
      </c>
      <c r="AX126" s="433">
        <f t="shared" si="195"/>
        <v>100</v>
      </c>
      <c r="AY126" s="433">
        <f t="shared" si="195"/>
        <v>100</v>
      </c>
      <c r="AZ126" s="433">
        <f t="shared" si="195"/>
        <v>100</v>
      </c>
      <c r="BA126" s="433">
        <f t="shared" si="195"/>
        <v>100</v>
      </c>
      <c r="BB126" s="433">
        <f t="shared" si="195"/>
        <v>100</v>
      </c>
      <c r="BC126" s="433">
        <f t="shared" si="195"/>
        <v>100</v>
      </c>
      <c r="BD126" s="433">
        <f t="shared" si="195"/>
        <v>100</v>
      </c>
      <c r="BE126" s="433">
        <f t="shared" si="195"/>
        <v>100</v>
      </c>
    </row>
    <row r="128" spans="2:57" x14ac:dyDescent="0.25">
      <c r="C128" s="431" t="s">
        <v>938</v>
      </c>
    </row>
    <row r="129" spans="2:57" x14ac:dyDescent="0.25">
      <c r="B129" s="171">
        <v>1</v>
      </c>
      <c r="C129" s="325" t="s">
        <v>1388</v>
      </c>
    </row>
    <row r="130" spans="2:57" x14ac:dyDescent="0.25">
      <c r="B130" s="171">
        <v>2</v>
      </c>
      <c r="C130" s="325" t="s">
        <v>1389</v>
      </c>
    </row>
    <row r="131" spans="2:57" x14ac:dyDescent="0.25">
      <c r="B131" s="171">
        <v>3</v>
      </c>
      <c r="C131" s="325" t="s">
        <v>1390</v>
      </c>
    </row>
    <row r="132" spans="2:57" x14ac:dyDescent="0.25">
      <c r="B132" s="171">
        <v>4</v>
      </c>
      <c r="C132" s="325" t="s">
        <v>1391</v>
      </c>
    </row>
    <row r="133" spans="2:57" x14ac:dyDescent="0.25">
      <c r="B133" s="604">
        <v>5</v>
      </c>
      <c r="C133" s="325" t="s">
        <v>1407</v>
      </c>
    </row>
    <row r="134" spans="2:57" x14ac:dyDescent="0.25">
      <c r="B134" s="171">
        <v>6</v>
      </c>
      <c r="C134" s="325" t="s">
        <v>1445</v>
      </c>
    </row>
    <row r="135" spans="2:57" x14ac:dyDescent="0.25">
      <c r="B135" s="171">
        <v>7</v>
      </c>
      <c r="C135" s="325" t="s">
        <v>1491</v>
      </c>
    </row>
    <row r="137" spans="2:57" ht="23.25" x14ac:dyDescent="0.35">
      <c r="C137" s="722" t="s">
        <v>1721</v>
      </c>
    </row>
    <row r="138" spans="2:57" ht="15.75" thickBot="1" x14ac:dyDescent="0.3">
      <c r="F138" s="321"/>
      <c r="J138" s="171" t="s">
        <v>680</v>
      </c>
    </row>
    <row r="139" spans="2:57" ht="16.5" thickTop="1" thickBot="1" x14ac:dyDescent="0.3">
      <c r="C139" s="322" t="s">
        <v>681</v>
      </c>
      <c r="D139" s="322" t="s">
        <v>682</v>
      </c>
      <c r="E139" s="322" t="s">
        <v>683</v>
      </c>
      <c r="F139" s="322" t="s">
        <v>684</v>
      </c>
      <c r="G139" s="322" t="s">
        <v>685</v>
      </c>
      <c r="H139" s="322" t="s">
        <v>686</v>
      </c>
      <c r="J139" s="171">
        <f>F140</f>
        <v>2018</v>
      </c>
      <c r="K139" s="171">
        <f>J139+1</f>
        <v>2019</v>
      </c>
      <c r="L139" s="171">
        <f t="shared" ref="L139" si="198">K139+1</f>
        <v>2020</v>
      </c>
      <c r="M139" s="171">
        <f t="shared" ref="M139" si="199">L139+1</f>
        <v>2021</v>
      </c>
      <c r="N139" s="171">
        <f t="shared" ref="N139" si="200">M139+1</f>
        <v>2022</v>
      </c>
      <c r="O139" s="171">
        <f t="shared" ref="O139" si="201">N139+1</f>
        <v>2023</v>
      </c>
      <c r="P139" s="171">
        <f t="shared" ref="P139" si="202">O139+1</f>
        <v>2024</v>
      </c>
      <c r="Q139" s="171">
        <f t="shared" ref="Q139" si="203">P139+1</f>
        <v>2025</v>
      </c>
      <c r="R139" s="171">
        <f t="shared" ref="R139" si="204">Q139+1</f>
        <v>2026</v>
      </c>
      <c r="S139" s="171">
        <f t="shared" ref="S139" si="205">R139+1</f>
        <v>2027</v>
      </c>
      <c r="T139" s="171">
        <f t="shared" ref="T139" si="206">S139+1</f>
        <v>2028</v>
      </c>
      <c r="U139" s="171">
        <f t="shared" ref="U139" si="207">T139+1</f>
        <v>2029</v>
      </c>
      <c r="V139" s="171">
        <f t="shared" ref="V139" si="208">U139+1</f>
        <v>2030</v>
      </c>
      <c r="W139" s="171">
        <f t="shared" ref="W139" si="209">V139+1</f>
        <v>2031</v>
      </c>
      <c r="X139" s="171">
        <f t="shared" ref="X139" si="210">W139+1</f>
        <v>2032</v>
      </c>
      <c r="Y139" s="171">
        <f t="shared" ref="Y139" si="211">X139+1</f>
        <v>2033</v>
      </c>
      <c r="Z139" s="171">
        <f t="shared" ref="Z139" si="212">Y139+1</f>
        <v>2034</v>
      </c>
      <c r="AA139" s="171">
        <f t="shared" ref="AA139" si="213">Z139+1</f>
        <v>2035</v>
      </c>
      <c r="AB139" s="171">
        <f t="shared" ref="AB139" si="214">AA139+1</f>
        <v>2036</v>
      </c>
      <c r="AC139" s="171">
        <f t="shared" ref="AC139" si="215">AB139+1</f>
        <v>2037</v>
      </c>
      <c r="AD139" s="171">
        <f t="shared" ref="AD139" si="216">AC139+1</f>
        <v>2038</v>
      </c>
      <c r="AE139" s="171">
        <f t="shared" ref="AE139" si="217">AD139+1</f>
        <v>2039</v>
      </c>
      <c r="AF139" s="171">
        <f t="shared" ref="AF139" si="218">AE139+1</f>
        <v>2040</v>
      </c>
      <c r="AG139" s="171">
        <f t="shared" ref="AG139" si="219">AF139+1</f>
        <v>2041</v>
      </c>
      <c r="AH139" s="171">
        <f t="shared" ref="AH139" si="220">AG139+1</f>
        <v>2042</v>
      </c>
      <c r="AI139" s="171">
        <f t="shared" ref="AI139" si="221">AH139+1</f>
        <v>2043</v>
      </c>
      <c r="AJ139" s="171">
        <f t="shared" ref="AJ139" si="222">AI139+1</f>
        <v>2044</v>
      </c>
      <c r="AK139" s="171">
        <f t="shared" ref="AK139" si="223">AJ139+1</f>
        <v>2045</v>
      </c>
      <c r="AL139" s="171">
        <f t="shared" ref="AL139" si="224">AK139+1</f>
        <v>2046</v>
      </c>
      <c r="AM139" s="171">
        <f t="shared" ref="AM139" si="225">AL139+1</f>
        <v>2047</v>
      </c>
      <c r="AN139" s="171">
        <f t="shared" ref="AN139" si="226">AM139+1</f>
        <v>2048</v>
      </c>
      <c r="AO139" s="171">
        <f t="shared" ref="AO139" si="227">AN139+1</f>
        <v>2049</v>
      </c>
      <c r="AP139" s="171">
        <f t="shared" ref="AP139" si="228">AO139+1</f>
        <v>2050</v>
      </c>
      <c r="AQ139" s="171">
        <f t="shared" ref="AQ139" si="229">AP139+1</f>
        <v>2051</v>
      </c>
      <c r="AR139" s="171">
        <f t="shared" ref="AR139" si="230">AQ139+1</f>
        <v>2052</v>
      </c>
      <c r="AS139" s="171">
        <f t="shared" ref="AS139" si="231">AR139+1</f>
        <v>2053</v>
      </c>
      <c r="AT139" s="171">
        <f t="shared" ref="AT139" si="232">AS139+1</f>
        <v>2054</v>
      </c>
      <c r="AU139" s="171">
        <f t="shared" ref="AU139" si="233">AT139+1</f>
        <v>2055</v>
      </c>
      <c r="AV139" s="171">
        <f t="shared" ref="AV139" si="234">AU139+1</f>
        <v>2056</v>
      </c>
      <c r="AW139" s="171">
        <f t="shared" ref="AW139" si="235">AV139+1</f>
        <v>2057</v>
      </c>
      <c r="AX139" s="171">
        <f t="shared" ref="AX139" si="236">AW139+1</f>
        <v>2058</v>
      </c>
      <c r="AY139" s="171">
        <f t="shared" ref="AY139" si="237">AX139+1</f>
        <v>2059</v>
      </c>
      <c r="AZ139" s="171">
        <f t="shared" ref="AZ139" si="238">AY139+1</f>
        <v>2060</v>
      </c>
      <c r="BA139" s="171">
        <f t="shared" ref="BA139" si="239">AZ139+1</f>
        <v>2061</v>
      </c>
      <c r="BB139" s="171">
        <f t="shared" ref="BB139" si="240">BA139+1</f>
        <v>2062</v>
      </c>
      <c r="BC139" s="171">
        <f t="shared" ref="BC139" si="241">BB139+1</f>
        <v>2063</v>
      </c>
      <c r="BD139" s="171">
        <f t="shared" ref="BD139" si="242">BC139+1</f>
        <v>2064</v>
      </c>
      <c r="BE139" s="171">
        <f t="shared" ref="BE139" si="243">BD139+1</f>
        <v>2065</v>
      </c>
    </row>
    <row r="140" spans="2:57" ht="15.75" thickTop="1" x14ac:dyDescent="0.25">
      <c r="C140" s="171" t="s">
        <v>687</v>
      </c>
      <c r="D140" s="325" t="s">
        <v>688</v>
      </c>
      <c r="E140" s="325">
        <v>1</v>
      </c>
      <c r="F140" s="916">
        <v>2018</v>
      </c>
      <c r="G140" s="916">
        <v>2021</v>
      </c>
      <c r="H140" s="313">
        <f t="shared" ref="H140:H153" si="244">G140-F140</f>
        <v>3</v>
      </c>
      <c r="J140" s="323">
        <f t="shared" ref="J140:Y153" si="245">IF(AND(J$8&gt;=$F140,J$8&lt;$G140),1," ")</f>
        <v>1</v>
      </c>
      <c r="K140" s="323">
        <f t="shared" si="245"/>
        <v>1</v>
      </c>
      <c r="L140" s="323">
        <f t="shared" si="245"/>
        <v>1</v>
      </c>
      <c r="M140" s="323" t="str">
        <f t="shared" si="245"/>
        <v xml:space="preserve"> </v>
      </c>
      <c r="N140" s="323" t="str">
        <f t="shared" si="245"/>
        <v xml:space="preserve"> </v>
      </c>
      <c r="O140" s="323" t="str">
        <f t="shared" si="245"/>
        <v xml:space="preserve"> </v>
      </c>
      <c r="P140" s="323" t="str">
        <f t="shared" si="245"/>
        <v xml:space="preserve"> </v>
      </c>
      <c r="Q140" s="323" t="str">
        <f t="shared" si="245"/>
        <v xml:space="preserve"> </v>
      </c>
      <c r="R140" s="323" t="str">
        <f t="shared" si="245"/>
        <v xml:space="preserve"> </v>
      </c>
      <c r="S140" s="323" t="str">
        <f t="shared" si="245"/>
        <v xml:space="preserve"> </v>
      </c>
      <c r="T140" s="323" t="str">
        <f t="shared" si="245"/>
        <v xml:space="preserve"> </v>
      </c>
      <c r="U140" s="323" t="str">
        <f t="shared" si="245"/>
        <v xml:space="preserve"> </v>
      </c>
      <c r="V140" s="323" t="str">
        <f t="shared" si="245"/>
        <v xml:space="preserve"> </v>
      </c>
      <c r="W140" s="323" t="str">
        <f t="shared" si="245"/>
        <v xml:space="preserve"> </v>
      </c>
      <c r="X140" s="323" t="str">
        <f t="shared" si="245"/>
        <v xml:space="preserve"> </v>
      </c>
      <c r="Y140" s="323" t="str">
        <f t="shared" si="245"/>
        <v xml:space="preserve"> </v>
      </c>
      <c r="Z140" s="323" t="str">
        <f t="shared" ref="Z140:AO153" si="246">IF(AND(Z$8&gt;=$F140,Z$8&lt;$G140),1," ")</f>
        <v xml:space="preserve"> </v>
      </c>
      <c r="AA140" s="323" t="str">
        <f t="shared" si="246"/>
        <v xml:space="preserve"> </v>
      </c>
      <c r="AB140" s="323" t="str">
        <f t="shared" si="246"/>
        <v xml:space="preserve"> </v>
      </c>
      <c r="AC140" s="323" t="str">
        <f t="shared" si="246"/>
        <v xml:space="preserve"> </v>
      </c>
      <c r="AD140" s="323" t="str">
        <f t="shared" si="246"/>
        <v xml:space="preserve"> </v>
      </c>
      <c r="AE140" s="323" t="str">
        <f t="shared" si="246"/>
        <v xml:space="preserve"> </v>
      </c>
      <c r="AF140" s="323" t="str">
        <f t="shared" si="246"/>
        <v xml:space="preserve"> </v>
      </c>
      <c r="AG140" s="323" t="str">
        <f t="shared" si="246"/>
        <v xml:space="preserve"> </v>
      </c>
      <c r="AH140" s="323" t="str">
        <f t="shared" si="246"/>
        <v xml:space="preserve"> </v>
      </c>
      <c r="AI140" s="323" t="str">
        <f t="shared" si="246"/>
        <v xml:space="preserve"> </v>
      </c>
      <c r="AJ140" s="323" t="str">
        <f t="shared" si="246"/>
        <v xml:space="preserve"> </v>
      </c>
      <c r="AK140" s="323" t="str">
        <f t="shared" si="246"/>
        <v xml:space="preserve"> </v>
      </c>
      <c r="AL140" s="323" t="str">
        <f t="shared" si="246"/>
        <v xml:space="preserve"> </v>
      </c>
      <c r="AM140" s="323" t="str">
        <f t="shared" si="246"/>
        <v xml:space="preserve"> </v>
      </c>
      <c r="AN140" s="323" t="str">
        <f t="shared" si="246"/>
        <v xml:space="preserve"> </v>
      </c>
      <c r="AO140" s="323" t="str">
        <f t="shared" si="246"/>
        <v xml:space="preserve"> </v>
      </c>
      <c r="AP140" s="323" t="str">
        <f t="shared" ref="AP140:BE153" si="247">IF(AND(AP$8&gt;=$F140,AP$8&lt;$G140),1," ")</f>
        <v xml:space="preserve"> </v>
      </c>
      <c r="AQ140" s="323" t="str">
        <f t="shared" si="247"/>
        <v xml:space="preserve"> </v>
      </c>
      <c r="AR140" s="323" t="str">
        <f t="shared" si="247"/>
        <v xml:space="preserve"> </v>
      </c>
      <c r="AS140" s="323" t="str">
        <f t="shared" si="247"/>
        <v xml:space="preserve"> </v>
      </c>
      <c r="AT140" s="323" t="str">
        <f t="shared" si="247"/>
        <v xml:space="preserve"> </v>
      </c>
      <c r="AU140" s="323" t="str">
        <f t="shared" si="247"/>
        <v xml:space="preserve"> </v>
      </c>
      <c r="AV140" s="323" t="str">
        <f t="shared" si="247"/>
        <v xml:space="preserve"> </v>
      </c>
      <c r="AW140" s="323" t="str">
        <f t="shared" si="247"/>
        <v xml:space="preserve"> </v>
      </c>
      <c r="AX140" s="323" t="str">
        <f t="shared" si="247"/>
        <v xml:space="preserve"> </v>
      </c>
      <c r="AY140" s="323" t="str">
        <f t="shared" si="247"/>
        <v xml:space="preserve"> </v>
      </c>
      <c r="AZ140" s="323" t="str">
        <f t="shared" si="247"/>
        <v xml:space="preserve"> </v>
      </c>
      <c r="BA140" s="323" t="str">
        <f t="shared" si="247"/>
        <v xml:space="preserve"> </v>
      </c>
      <c r="BB140" s="323" t="str">
        <f t="shared" si="247"/>
        <v xml:space="preserve"> </v>
      </c>
      <c r="BC140" s="323" t="str">
        <f t="shared" si="247"/>
        <v xml:space="preserve"> </v>
      </c>
      <c r="BD140" s="323" t="str">
        <f t="shared" si="247"/>
        <v xml:space="preserve"> </v>
      </c>
      <c r="BE140" s="323" t="str">
        <f t="shared" si="247"/>
        <v xml:space="preserve"> </v>
      </c>
    </row>
    <row r="141" spans="2:57" x14ac:dyDescent="0.25">
      <c r="B141" s="314"/>
      <c r="C141" s="171" t="s">
        <v>689</v>
      </c>
      <c r="D141" s="325" t="s">
        <v>688</v>
      </c>
      <c r="E141" s="325">
        <v>2</v>
      </c>
      <c r="F141" s="917">
        <v>2021</v>
      </c>
      <c r="G141" s="916">
        <v>2022</v>
      </c>
      <c r="H141" s="313">
        <f t="shared" si="244"/>
        <v>1</v>
      </c>
      <c r="J141" s="323" t="str">
        <f t="shared" si="245"/>
        <v xml:space="preserve"> </v>
      </c>
      <c r="K141" s="323" t="str">
        <f t="shared" si="245"/>
        <v xml:space="preserve"> </v>
      </c>
      <c r="L141" s="323" t="str">
        <f t="shared" si="245"/>
        <v xml:space="preserve"> </v>
      </c>
      <c r="M141" s="323">
        <f t="shared" si="245"/>
        <v>1</v>
      </c>
      <c r="N141" s="323" t="str">
        <f t="shared" si="245"/>
        <v xml:space="preserve"> </v>
      </c>
      <c r="O141" s="323" t="str">
        <f t="shared" si="245"/>
        <v xml:space="preserve"> </v>
      </c>
      <c r="P141" s="323" t="str">
        <f t="shared" si="245"/>
        <v xml:space="preserve"> </v>
      </c>
      <c r="Q141" s="323" t="str">
        <f t="shared" si="245"/>
        <v xml:space="preserve"> </v>
      </c>
      <c r="R141" s="323" t="str">
        <f t="shared" si="245"/>
        <v xml:space="preserve"> </v>
      </c>
      <c r="S141" s="323" t="str">
        <f t="shared" si="245"/>
        <v xml:space="preserve"> </v>
      </c>
      <c r="T141" s="323" t="str">
        <f t="shared" si="245"/>
        <v xml:space="preserve"> </v>
      </c>
      <c r="U141" s="323" t="str">
        <f t="shared" si="245"/>
        <v xml:space="preserve"> </v>
      </c>
      <c r="V141" s="323" t="str">
        <f t="shared" si="245"/>
        <v xml:space="preserve"> </v>
      </c>
      <c r="W141" s="323" t="str">
        <f t="shared" si="245"/>
        <v xml:space="preserve"> </v>
      </c>
      <c r="X141" s="323" t="str">
        <f t="shared" si="245"/>
        <v xml:space="preserve"> </v>
      </c>
      <c r="Y141" s="323" t="str">
        <f t="shared" si="245"/>
        <v xml:space="preserve"> </v>
      </c>
      <c r="Z141" s="323" t="str">
        <f t="shared" si="246"/>
        <v xml:space="preserve"> </v>
      </c>
      <c r="AA141" s="323" t="str">
        <f t="shared" si="246"/>
        <v xml:space="preserve"> </v>
      </c>
      <c r="AB141" s="323" t="str">
        <f t="shared" si="246"/>
        <v xml:space="preserve"> </v>
      </c>
      <c r="AC141" s="323" t="str">
        <f t="shared" si="246"/>
        <v xml:space="preserve"> </v>
      </c>
      <c r="AD141" s="323" t="str">
        <f t="shared" si="246"/>
        <v xml:space="preserve"> </v>
      </c>
      <c r="AE141" s="323" t="str">
        <f t="shared" si="246"/>
        <v xml:space="preserve"> </v>
      </c>
      <c r="AF141" s="323" t="str">
        <f t="shared" si="246"/>
        <v xml:space="preserve"> </v>
      </c>
      <c r="AG141" s="323" t="str">
        <f t="shared" si="246"/>
        <v xml:space="preserve"> </v>
      </c>
      <c r="AH141" s="323" t="str">
        <f t="shared" si="246"/>
        <v xml:space="preserve"> </v>
      </c>
      <c r="AI141" s="323" t="str">
        <f t="shared" si="246"/>
        <v xml:space="preserve"> </v>
      </c>
      <c r="AJ141" s="323" t="str">
        <f t="shared" si="246"/>
        <v xml:space="preserve"> </v>
      </c>
      <c r="AK141" s="323" t="str">
        <f t="shared" si="246"/>
        <v xml:space="preserve"> </v>
      </c>
      <c r="AL141" s="323" t="str">
        <f t="shared" si="246"/>
        <v xml:space="preserve"> </v>
      </c>
      <c r="AM141" s="323" t="str">
        <f t="shared" si="246"/>
        <v xml:space="preserve"> </v>
      </c>
      <c r="AN141" s="323" t="str">
        <f t="shared" si="246"/>
        <v xml:space="preserve"> </v>
      </c>
      <c r="AO141" s="323" t="str">
        <f t="shared" si="246"/>
        <v xml:space="preserve"> </v>
      </c>
      <c r="AP141" s="323" t="str">
        <f t="shared" si="247"/>
        <v xml:space="preserve"> </v>
      </c>
      <c r="AQ141" s="323" t="str">
        <f t="shared" si="247"/>
        <v xml:space="preserve"> </v>
      </c>
      <c r="AR141" s="323" t="str">
        <f t="shared" si="247"/>
        <v xml:space="preserve"> </v>
      </c>
      <c r="AS141" s="323" t="str">
        <f t="shared" si="247"/>
        <v xml:space="preserve"> </v>
      </c>
      <c r="AT141" s="323" t="str">
        <f t="shared" si="247"/>
        <v xml:space="preserve"> </v>
      </c>
      <c r="AU141" s="323" t="str">
        <f t="shared" si="247"/>
        <v xml:space="preserve"> </v>
      </c>
      <c r="AV141" s="323" t="str">
        <f t="shared" si="247"/>
        <v xml:space="preserve"> </v>
      </c>
      <c r="AW141" s="323" t="str">
        <f t="shared" si="247"/>
        <v xml:space="preserve"> </v>
      </c>
      <c r="AX141" s="323" t="str">
        <f t="shared" si="247"/>
        <v xml:space="preserve"> </v>
      </c>
      <c r="AY141" s="323" t="str">
        <f t="shared" si="247"/>
        <v xml:space="preserve"> </v>
      </c>
      <c r="AZ141" s="323" t="str">
        <f t="shared" si="247"/>
        <v xml:space="preserve"> </v>
      </c>
      <c r="BA141" s="323" t="str">
        <f t="shared" si="247"/>
        <v xml:space="preserve"> </v>
      </c>
      <c r="BB141" s="323" t="str">
        <f t="shared" si="247"/>
        <v xml:space="preserve"> </v>
      </c>
      <c r="BC141" s="323" t="str">
        <f t="shared" si="247"/>
        <v xml:space="preserve"> </v>
      </c>
      <c r="BD141" s="323" t="str">
        <f t="shared" si="247"/>
        <v xml:space="preserve"> </v>
      </c>
      <c r="BE141" s="323" t="str">
        <f t="shared" si="247"/>
        <v xml:space="preserve"> </v>
      </c>
    </row>
    <row r="142" spans="2:57" x14ac:dyDescent="0.25">
      <c r="B142" s="314"/>
      <c r="C142" s="171" t="s">
        <v>673</v>
      </c>
      <c r="D142" s="325" t="s">
        <v>688</v>
      </c>
      <c r="E142" s="325">
        <v>3</v>
      </c>
      <c r="F142" s="313">
        <f>G141</f>
        <v>2022</v>
      </c>
      <c r="G142" s="916">
        <v>2030</v>
      </c>
      <c r="H142" s="313">
        <f t="shared" si="244"/>
        <v>8</v>
      </c>
      <c r="J142" s="323" t="str">
        <f t="shared" si="245"/>
        <v xml:space="preserve"> </v>
      </c>
      <c r="K142" s="323" t="str">
        <f t="shared" si="245"/>
        <v xml:space="preserve"> </v>
      </c>
      <c r="L142" s="323" t="str">
        <f t="shared" si="245"/>
        <v xml:space="preserve"> </v>
      </c>
      <c r="M142" s="323" t="str">
        <f t="shared" si="245"/>
        <v xml:space="preserve"> </v>
      </c>
      <c r="N142" s="323">
        <f t="shared" si="245"/>
        <v>1</v>
      </c>
      <c r="O142" s="323">
        <f t="shared" si="245"/>
        <v>1</v>
      </c>
      <c r="P142" s="323">
        <f t="shared" si="245"/>
        <v>1</v>
      </c>
      <c r="Q142" s="323">
        <f t="shared" si="245"/>
        <v>1</v>
      </c>
      <c r="R142" s="323">
        <f t="shared" si="245"/>
        <v>1</v>
      </c>
      <c r="S142" s="323">
        <f t="shared" si="245"/>
        <v>1</v>
      </c>
      <c r="T142" s="323">
        <f t="shared" si="245"/>
        <v>1</v>
      </c>
      <c r="U142" s="323">
        <f t="shared" si="245"/>
        <v>1</v>
      </c>
      <c r="V142" s="323" t="str">
        <f t="shared" si="245"/>
        <v xml:space="preserve"> </v>
      </c>
      <c r="W142" s="323" t="str">
        <f t="shared" si="245"/>
        <v xml:space="preserve"> </v>
      </c>
      <c r="X142" s="323" t="str">
        <f t="shared" si="245"/>
        <v xml:space="preserve"> </v>
      </c>
      <c r="Y142" s="323" t="str">
        <f t="shared" si="245"/>
        <v xml:space="preserve"> </v>
      </c>
      <c r="Z142" s="323" t="str">
        <f t="shared" si="246"/>
        <v xml:space="preserve"> </v>
      </c>
      <c r="AA142" s="323" t="str">
        <f t="shared" si="246"/>
        <v xml:space="preserve"> </v>
      </c>
      <c r="AB142" s="323" t="str">
        <f t="shared" si="246"/>
        <v xml:space="preserve"> </v>
      </c>
      <c r="AC142" s="323" t="str">
        <f t="shared" si="246"/>
        <v xml:space="preserve"> </v>
      </c>
      <c r="AD142" s="323" t="str">
        <f t="shared" si="246"/>
        <v xml:space="preserve"> </v>
      </c>
      <c r="AE142" s="323" t="str">
        <f t="shared" si="246"/>
        <v xml:space="preserve"> </v>
      </c>
      <c r="AF142" s="323" t="str">
        <f t="shared" si="246"/>
        <v xml:space="preserve"> </v>
      </c>
      <c r="AG142" s="323" t="str">
        <f t="shared" si="246"/>
        <v xml:space="preserve"> </v>
      </c>
      <c r="AH142" s="323" t="str">
        <f t="shared" si="246"/>
        <v xml:space="preserve"> </v>
      </c>
      <c r="AI142" s="323" t="str">
        <f t="shared" si="246"/>
        <v xml:space="preserve"> </v>
      </c>
      <c r="AJ142" s="323" t="str">
        <f t="shared" si="246"/>
        <v xml:space="preserve"> </v>
      </c>
      <c r="AK142" s="323" t="str">
        <f t="shared" si="246"/>
        <v xml:space="preserve"> </v>
      </c>
      <c r="AL142" s="323" t="str">
        <f t="shared" si="246"/>
        <v xml:space="preserve"> </v>
      </c>
      <c r="AM142" s="323" t="str">
        <f t="shared" si="246"/>
        <v xml:space="preserve"> </v>
      </c>
      <c r="AN142" s="323" t="str">
        <f t="shared" si="246"/>
        <v xml:space="preserve"> </v>
      </c>
      <c r="AO142" s="323" t="str">
        <f t="shared" si="246"/>
        <v xml:space="preserve"> </v>
      </c>
      <c r="AP142" s="323" t="str">
        <f t="shared" si="247"/>
        <v xml:space="preserve"> </v>
      </c>
      <c r="AQ142" s="323" t="str">
        <f t="shared" si="247"/>
        <v xml:space="preserve"> </v>
      </c>
      <c r="AR142" s="323" t="str">
        <f t="shared" si="247"/>
        <v xml:space="preserve"> </v>
      </c>
      <c r="AS142" s="323" t="str">
        <f t="shared" si="247"/>
        <v xml:space="preserve"> </v>
      </c>
      <c r="AT142" s="323" t="str">
        <f t="shared" si="247"/>
        <v xml:space="preserve"> </v>
      </c>
      <c r="AU142" s="323" t="str">
        <f t="shared" si="247"/>
        <v xml:space="preserve"> </v>
      </c>
      <c r="AV142" s="323" t="str">
        <f t="shared" si="247"/>
        <v xml:space="preserve"> </v>
      </c>
      <c r="AW142" s="323" t="str">
        <f t="shared" si="247"/>
        <v xml:space="preserve"> </v>
      </c>
      <c r="AX142" s="323" t="str">
        <f t="shared" si="247"/>
        <v xml:space="preserve"> </v>
      </c>
      <c r="AY142" s="323" t="str">
        <f t="shared" si="247"/>
        <v xml:space="preserve"> </v>
      </c>
      <c r="AZ142" s="323" t="str">
        <f t="shared" si="247"/>
        <v xml:space="preserve"> </v>
      </c>
      <c r="BA142" s="323" t="str">
        <f t="shared" si="247"/>
        <v xml:space="preserve"> </v>
      </c>
      <c r="BB142" s="323" t="str">
        <f t="shared" si="247"/>
        <v xml:space="preserve"> </v>
      </c>
      <c r="BC142" s="323" t="str">
        <f t="shared" si="247"/>
        <v xml:space="preserve"> </v>
      </c>
      <c r="BD142" s="323" t="str">
        <f t="shared" si="247"/>
        <v xml:space="preserve"> </v>
      </c>
      <c r="BE142" s="323" t="str">
        <f t="shared" si="247"/>
        <v xml:space="preserve"> </v>
      </c>
    </row>
    <row r="143" spans="2:57" x14ac:dyDescent="0.25">
      <c r="B143" s="314"/>
      <c r="C143" s="171" t="s">
        <v>690</v>
      </c>
      <c r="D143" s="325" t="s">
        <v>688</v>
      </c>
      <c r="E143" s="325">
        <v>4</v>
      </c>
      <c r="F143" s="324">
        <f>G142</f>
        <v>2030</v>
      </c>
      <c r="G143" s="324">
        <f>F143+1</f>
        <v>2031</v>
      </c>
      <c r="H143" s="313">
        <f t="shared" si="244"/>
        <v>1</v>
      </c>
      <c r="J143" s="323" t="str">
        <f t="shared" si="245"/>
        <v xml:space="preserve"> </v>
      </c>
      <c r="K143" s="323" t="str">
        <f t="shared" si="245"/>
        <v xml:space="preserve"> </v>
      </c>
      <c r="L143" s="323" t="str">
        <f t="shared" si="245"/>
        <v xml:space="preserve"> </v>
      </c>
      <c r="M143" s="323" t="str">
        <f t="shared" si="245"/>
        <v xml:space="preserve"> </v>
      </c>
      <c r="N143" s="323" t="str">
        <f t="shared" si="245"/>
        <v xml:space="preserve"> </v>
      </c>
      <c r="O143" s="323" t="str">
        <f t="shared" si="245"/>
        <v xml:space="preserve"> </v>
      </c>
      <c r="P143" s="323" t="str">
        <f t="shared" si="245"/>
        <v xml:space="preserve"> </v>
      </c>
      <c r="Q143" s="323" t="str">
        <f t="shared" si="245"/>
        <v xml:space="preserve"> </v>
      </c>
      <c r="R143" s="323" t="str">
        <f t="shared" si="245"/>
        <v xml:space="preserve"> </v>
      </c>
      <c r="S143" s="323" t="str">
        <f t="shared" si="245"/>
        <v xml:space="preserve"> </v>
      </c>
      <c r="T143" s="323" t="str">
        <f t="shared" si="245"/>
        <v xml:space="preserve"> </v>
      </c>
      <c r="U143" s="323" t="str">
        <f t="shared" si="245"/>
        <v xml:space="preserve"> </v>
      </c>
      <c r="V143" s="323">
        <f t="shared" si="245"/>
        <v>1</v>
      </c>
      <c r="W143" s="323" t="str">
        <f t="shared" si="245"/>
        <v xml:space="preserve"> </v>
      </c>
      <c r="X143" s="323" t="str">
        <f t="shared" si="245"/>
        <v xml:space="preserve"> </v>
      </c>
      <c r="Y143" s="323" t="str">
        <f t="shared" si="245"/>
        <v xml:space="preserve"> </v>
      </c>
      <c r="Z143" s="323" t="str">
        <f t="shared" si="246"/>
        <v xml:space="preserve"> </v>
      </c>
      <c r="AA143" s="323" t="str">
        <f t="shared" si="246"/>
        <v xml:space="preserve"> </v>
      </c>
      <c r="AB143" s="323" t="str">
        <f t="shared" si="246"/>
        <v xml:space="preserve"> </v>
      </c>
      <c r="AC143" s="323" t="str">
        <f t="shared" si="246"/>
        <v xml:space="preserve"> </v>
      </c>
      <c r="AD143" s="323" t="str">
        <f t="shared" si="246"/>
        <v xml:space="preserve"> </v>
      </c>
      <c r="AE143" s="323" t="str">
        <f t="shared" si="246"/>
        <v xml:space="preserve"> </v>
      </c>
      <c r="AF143" s="323" t="str">
        <f t="shared" si="246"/>
        <v xml:space="preserve"> </v>
      </c>
      <c r="AG143" s="323" t="str">
        <f t="shared" si="246"/>
        <v xml:space="preserve"> </v>
      </c>
      <c r="AH143" s="323" t="str">
        <f t="shared" si="246"/>
        <v xml:space="preserve"> </v>
      </c>
      <c r="AI143" s="323" t="str">
        <f t="shared" si="246"/>
        <v xml:space="preserve"> </v>
      </c>
      <c r="AJ143" s="323" t="str">
        <f t="shared" si="246"/>
        <v xml:space="preserve"> </v>
      </c>
      <c r="AK143" s="323" t="str">
        <f t="shared" si="246"/>
        <v xml:space="preserve"> </v>
      </c>
      <c r="AL143" s="323" t="str">
        <f t="shared" si="246"/>
        <v xml:space="preserve"> </v>
      </c>
      <c r="AM143" s="323" t="str">
        <f t="shared" si="246"/>
        <v xml:space="preserve"> </v>
      </c>
      <c r="AN143" s="323" t="str">
        <f t="shared" si="246"/>
        <v xml:space="preserve"> </v>
      </c>
      <c r="AO143" s="323" t="str">
        <f t="shared" si="246"/>
        <v xml:space="preserve"> </v>
      </c>
      <c r="AP143" s="323" t="str">
        <f t="shared" si="247"/>
        <v xml:space="preserve"> </v>
      </c>
      <c r="AQ143" s="323" t="str">
        <f t="shared" si="247"/>
        <v xml:space="preserve"> </v>
      </c>
      <c r="AR143" s="323" t="str">
        <f t="shared" si="247"/>
        <v xml:space="preserve"> </v>
      </c>
      <c r="AS143" s="323" t="str">
        <f t="shared" si="247"/>
        <v xml:space="preserve"> </v>
      </c>
      <c r="AT143" s="323" t="str">
        <f t="shared" si="247"/>
        <v xml:space="preserve"> </v>
      </c>
      <c r="AU143" s="323" t="str">
        <f t="shared" si="247"/>
        <v xml:space="preserve"> </v>
      </c>
      <c r="AV143" s="323" t="str">
        <f t="shared" si="247"/>
        <v xml:space="preserve"> </v>
      </c>
      <c r="AW143" s="323" t="str">
        <f t="shared" si="247"/>
        <v xml:space="preserve"> </v>
      </c>
      <c r="AX143" s="323" t="str">
        <f t="shared" si="247"/>
        <v xml:space="preserve"> </v>
      </c>
      <c r="AY143" s="323" t="str">
        <f t="shared" si="247"/>
        <v xml:space="preserve"> </v>
      </c>
      <c r="AZ143" s="323" t="str">
        <f t="shared" si="247"/>
        <v xml:space="preserve"> </v>
      </c>
      <c r="BA143" s="323" t="str">
        <f t="shared" si="247"/>
        <v xml:space="preserve"> </v>
      </c>
      <c r="BB143" s="323" t="str">
        <f t="shared" si="247"/>
        <v xml:space="preserve"> </v>
      </c>
      <c r="BC143" s="323" t="str">
        <f t="shared" si="247"/>
        <v xml:space="preserve"> </v>
      </c>
      <c r="BD143" s="323" t="str">
        <f t="shared" si="247"/>
        <v xml:space="preserve"> </v>
      </c>
      <c r="BE143" s="323" t="str">
        <f t="shared" si="247"/>
        <v xml:space="preserve"> </v>
      </c>
    </row>
    <row r="144" spans="2:57" x14ac:dyDescent="0.25">
      <c r="B144" s="315"/>
      <c r="C144" s="171" t="s">
        <v>691</v>
      </c>
      <c r="D144" s="325" t="s">
        <v>688</v>
      </c>
      <c r="E144" s="325">
        <v>5</v>
      </c>
      <c r="F144" s="917">
        <v>2030</v>
      </c>
      <c r="G144" s="916">
        <v>2031</v>
      </c>
      <c r="H144" s="313">
        <f t="shared" si="244"/>
        <v>1</v>
      </c>
      <c r="J144" s="323" t="str">
        <f t="shared" si="245"/>
        <v xml:space="preserve"> </v>
      </c>
      <c r="K144" s="323" t="str">
        <f t="shared" si="245"/>
        <v xml:space="preserve"> </v>
      </c>
      <c r="L144" s="323" t="str">
        <f t="shared" si="245"/>
        <v xml:space="preserve"> </v>
      </c>
      <c r="M144" s="323" t="str">
        <f t="shared" si="245"/>
        <v xml:space="preserve"> </v>
      </c>
      <c r="N144" s="323" t="str">
        <f t="shared" si="245"/>
        <v xml:space="preserve"> </v>
      </c>
      <c r="O144" s="323" t="str">
        <f t="shared" si="245"/>
        <v xml:space="preserve"> </v>
      </c>
      <c r="P144" s="323" t="str">
        <f t="shared" si="245"/>
        <v xml:space="preserve"> </v>
      </c>
      <c r="Q144" s="323" t="str">
        <f t="shared" si="245"/>
        <v xml:space="preserve"> </v>
      </c>
      <c r="R144" s="323" t="str">
        <f t="shared" si="245"/>
        <v xml:space="preserve"> </v>
      </c>
      <c r="S144" s="323" t="str">
        <f t="shared" si="245"/>
        <v xml:space="preserve"> </v>
      </c>
      <c r="T144" s="323" t="str">
        <f t="shared" si="245"/>
        <v xml:space="preserve"> </v>
      </c>
      <c r="U144" s="323" t="str">
        <f t="shared" si="245"/>
        <v xml:space="preserve"> </v>
      </c>
      <c r="V144" s="323">
        <f t="shared" si="245"/>
        <v>1</v>
      </c>
      <c r="W144" s="323" t="str">
        <f t="shared" si="245"/>
        <v xml:space="preserve"> </v>
      </c>
      <c r="X144" s="323" t="str">
        <f t="shared" si="245"/>
        <v xml:space="preserve"> </v>
      </c>
      <c r="Y144" s="323" t="str">
        <f t="shared" si="245"/>
        <v xml:space="preserve"> </v>
      </c>
      <c r="Z144" s="323" t="str">
        <f t="shared" si="246"/>
        <v xml:space="preserve"> </v>
      </c>
      <c r="AA144" s="323" t="str">
        <f t="shared" si="246"/>
        <v xml:space="preserve"> </v>
      </c>
      <c r="AB144" s="323" t="str">
        <f t="shared" si="246"/>
        <v xml:space="preserve"> </v>
      </c>
      <c r="AC144" s="323" t="str">
        <f t="shared" si="246"/>
        <v xml:space="preserve"> </v>
      </c>
      <c r="AD144" s="323" t="str">
        <f t="shared" si="246"/>
        <v xml:space="preserve"> </v>
      </c>
      <c r="AE144" s="323" t="str">
        <f t="shared" si="246"/>
        <v xml:space="preserve"> </v>
      </c>
      <c r="AF144" s="323" t="str">
        <f t="shared" si="246"/>
        <v xml:space="preserve"> </v>
      </c>
      <c r="AG144" s="323" t="str">
        <f t="shared" si="246"/>
        <v xml:space="preserve"> </v>
      </c>
      <c r="AH144" s="323" t="str">
        <f t="shared" si="246"/>
        <v xml:space="preserve"> </v>
      </c>
      <c r="AI144" s="323" t="str">
        <f t="shared" si="246"/>
        <v xml:space="preserve"> </v>
      </c>
      <c r="AJ144" s="323" t="str">
        <f t="shared" si="246"/>
        <v xml:space="preserve"> </v>
      </c>
      <c r="AK144" s="323" t="str">
        <f t="shared" si="246"/>
        <v xml:space="preserve"> </v>
      </c>
      <c r="AL144" s="323" t="str">
        <f t="shared" si="246"/>
        <v xml:space="preserve"> </v>
      </c>
      <c r="AM144" s="323" t="str">
        <f t="shared" si="246"/>
        <v xml:space="preserve"> </v>
      </c>
      <c r="AN144" s="323" t="str">
        <f t="shared" si="246"/>
        <v xml:space="preserve"> </v>
      </c>
      <c r="AO144" s="323" t="str">
        <f t="shared" si="246"/>
        <v xml:space="preserve"> </v>
      </c>
      <c r="AP144" s="323" t="str">
        <f t="shared" si="247"/>
        <v xml:space="preserve"> </v>
      </c>
      <c r="AQ144" s="323" t="str">
        <f t="shared" si="247"/>
        <v xml:space="preserve"> </v>
      </c>
      <c r="AR144" s="323" t="str">
        <f t="shared" si="247"/>
        <v xml:space="preserve"> </v>
      </c>
      <c r="AS144" s="323" t="str">
        <f t="shared" si="247"/>
        <v xml:space="preserve"> </v>
      </c>
      <c r="AT144" s="323" t="str">
        <f t="shared" si="247"/>
        <v xml:space="preserve"> </v>
      </c>
      <c r="AU144" s="323" t="str">
        <f t="shared" si="247"/>
        <v xml:space="preserve"> </v>
      </c>
      <c r="AV144" s="323" t="str">
        <f t="shared" si="247"/>
        <v xml:space="preserve"> </v>
      </c>
      <c r="AW144" s="323" t="str">
        <f t="shared" si="247"/>
        <v xml:space="preserve"> </v>
      </c>
      <c r="AX144" s="323" t="str">
        <f t="shared" si="247"/>
        <v xml:space="preserve"> </v>
      </c>
      <c r="AY144" s="323" t="str">
        <f t="shared" si="247"/>
        <v xml:space="preserve"> </v>
      </c>
      <c r="AZ144" s="323" t="str">
        <f t="shared" si="247"/>
        <v xml:space="preserve"> </v>
      </c>
      <c r="BA144" s="323" t="str">
        <f t="shared" si="247"/>
        <v xml:space="preserve"> </v>
      </c>
      <c r="BB144" s="323" t="str">
        <f t="shared" si="247"/>
        <v xml:space="preserve"> </v>
      </c>
      <c r="BC144" s="323" t="str">
        <f t="shared" si="247"/>
        <v xml:space="preserve"> </v>
      </c>
      <c r="BD144" s="323" t="str">
        <f t="shared" si="247"/>
        <v xml:space="preserve"> </v>
      </c>
      <c r="BE144" s="323" t="str">
        <f t="shared" si="247"/>
        <v xml:space="preserve"> </v>
      </c>
    </row>
    <row r="145" spans="2:57" x14ac:dyDescent="0.25">
      <c r="B145" s="315"/>
      <c r="C145" s="171" t="s">
        <v>692</v>
      </c>
      <c r="D145" s="325" t="s">
        <v>688</v>
      </c>
      <c r="E145" s="325">
        <v>6</v>
      </c>
      <c r="F145" s="313">
        <f>G144</f>
        <v>2031</v>
      </c>
      <c r="G145" s="916">
        <v>2049</v>
      </c>
      <c r="H145" s="313">
        <f t="shared" si="244"/>
        <v>18</v>
      </c>
      <c r="J145" s="323" t="str">
        <f t="shared" si="245"/>
        <v xml:space="preserve"> </v>
      </c>
      <c r="K145" s="323" t="str">
        <f t="shared" si="245"/>
        <v xml:space="preserve"> </v>
      </c>
      <c r="L145" s="323" t="str">
        <f t="shared" si="245"/>
        <v xml:space="preserve"> </v>
      </c>
      <c r="M145" s="323" t="str">
        <f t="shared" si="245"/>
        <v xml:space="preserve"> </v>
      </c>
      <c r="N145" s="323" t="str">
        <f t="shared" si="245"/>
        <v xml:space="preserve"> </v>
      </c>
      <c r="O145" s="323" t="str">
        <f t="shared" si="245"/>
        <v xml:space="preserve"> </v>
      </c>
      <c r="P145" s="323" t="str">
        <f t="shared" si="245"/>
        <v xml:space="preserve"> </v>
      </c>
      <c r="Q145" s="323" t="str">
        <f t="shared" si="245"/>
        <v xml:space="preserve"> </v>
      </c>
      <c r="R145" s="323" t="str">
        <f t="shared" si="245"/>
        <v xml:space="preserve"> </v>
      </c>
      <c r="S145" s="323" t="str">
        <f t="shared" si="245"/>
        <v xml:space="preserve"> </v>
      </c>
      <c r="T145" s="323" t="str">
        <f t="shared" si="245"/>
        <v xml:space="preserve"> </v>
      </c>
      <c r="U145" s="323" t="str">
        <f t="shared" si="245"/>
        <v xml:space="preserve"> </v>
      </c>
      <c r="V145" s="323" t="str">
        <f t="shared" si="245"/>
        <v xml:space="preserve"> </v>
      </c>
      <c r="W145" s="323">
        <f t="shared" si="245"/>
        <v>1</v>
      </c>
      <c r="X145" s="323">
        <f t="shared" si="245"/>
        <v>1</v>
      </c>
      <c r="Y145" s="323">
        <f t="shared" si="245"/>
        <v>1</v>
      </c>
      <c r="Z145" s="323">
        <f t="shared" si="246"/>
        <v>1</v>
      </c>
      <c r="AA145" s="323">
        <f t="shared" si="246"/>
        <v>1</v>
      </c>
      <c r="AB145" s="323">
        <f t="shared" si="246"/>
        <v>1</v>
      </c>
      <c r="AC145" s="323">
        <f t="shared" si="246"/>
        <v>1</v>
      </c>
      <c r="AD145" s="323">
        <f t="shared" si="246"/>
        <v>1</v>
      </c>
      <c r="AE145" s="323">
        <f t="shared" si="246"/>
        <v>1</v>
      </c>
      <c r="AF145" s="323">
        <f t="shared" si="246"/>
        <v>1</v>
      </c>
      <c r="AG145" s="323">
        <f t="shared" si="246"/>
        <v>1</v>
      </c>
      <c r="AH145" s="323">
        <f t="shared" si="246"/>
        <v>1</v>
      </c>
      <c r="AI145" s="323">
        <f t="shared" si="246"/>
        <v>1</v>
      </c>
      <c r="AJ145" s="323">
        <f t="shared" si="246"/>
        <v>1</v>
      </c>
      <c r="AK145" s="323">
        <f t="shared" si="246"/>
        <v>1</v>
      </c>
      <c r="AL145" s="323">
        <f t="shared" si="246"/>
        <v>1</v>
      </c>
      <c r="AM145" s="323">
        <f t="shared" si="246"/>
        <v>1</v>
      </c>
      <c r="AN145" s="323">
        <f t="shared" si="246"/>
        <v>1</v>
      </c>
      <c r="AO145" s="323" t="str">
        <f t="shared" si="246"/>
        <v xml:space="preserve"> </v>
      </c>
      <c r="AP145" s="323" t="str">
        <f t="shared" si="247"/>
        <v xml:space="preserve"> </v>
      </c>
      <c r="AQ145" s="323" t="str">
        <f t="shared" si="247"/>
        <v xml:space="preserve"> </v>
      </c>
      <c r="AR145" s="323" t="str">
        <f t="shared" si="247"/>
        <v xml:space="preserve"> </v>
      </c>
      <c r="AS145" s="323" t="str">
        <f t="shared" si="247"/>
        <v xml:space="preserve"> </v>
      </c>
      <c r="AT145" s="323" t="str">
        <f t="shared" si="247"/>
        <v xml:space="preserve"> </v>
      </c>
      <c r="AU145" s="323" t="str">
        <f t="shared" si="247"/>
        <v xml:space="preserve"> </v>
      </c>
      <c r="AV145" s="323" t="str">
        <f t="shared" si="247"/>
        <v xml:space="preserve"> </v>
      </c>
      <c r="AW145" s="323" t="str">
        <f t="shared" si="247"/>
        <v xml:space="preserve"> </v>
      </c>
      <c r="AX145" s="323" t="str">
        <f t="shared" si="247"/>
        <v xml:space="preserve"> </v>
      </c>
      <c r="AY145" s="323" t="str">
        <f t="shared" si="247"/>
        <v xml:space="preserve"> </v>
      </c>
      <c r="AZ145" s="323" t="str">
        <f t="shared" si="247"/>
        <v xml:space="preserve"> </v>
      </c>
      <c r="BA145" s="323" t="str">
        <f t="shared" si="247"/>
        <v xml:space="preserve"> </v>
      </c>
      <c r="BB145" s="323" t="str">
        <f t="shared" si="247"/>
        <v xml:space="preserve"> </v>
      </c>
      <c r="BC145" s="323" t="str">
        <f t="shared" si="247"/>
        <v xml:space="preserve"> </v>
      </c>
      <c r="BD145" s="323" t="str">
        <f t="shared" si="247"/>
        <v xml:space="preserve"> </v>
      </c>
      <c r="BE145" s="323" t="str">
        <f t="shared" si="247"/>
        <v xml:space="preserve"> </v>
      </c>
    </row>
    <row r="146" spans="2:57" x14ac:dyDescent="0.25">
      <c r="B146" s="315"/>
      <c r="C146" s="171" t="s">
        <v>693</v>
      </c>
      <c r="D146" s="325" t="s">
        <v>688</v>
      </c>
      <c r="E146" s="325">
        <v>7</v>
      </c>
      <c r="F146" s="324">
        <v>2050</v>
      </c>
      <c r="G146" s="917">
        <v>2051</v>
      </c>
      <c r="H146" s="313">
        <f t="shared" si="244"/>
        <v>1</v>
      </c>
      <c r="J146" s="323" t="str">
        <f t="shared" si="245"/>
        <v xml:space="preserve"> </v>
      </c>
      <c r="K146" s="323" t="str">
        <f t="shared" si="245"/>
        <v xml:space="preserve"> </v>
      </c>
      <c r="L146" s="323" t="str">
        <f t="shared" si="245"/>
        <v xml:space="preserve"> </v>
      </c>
      <c r="M146" s="323" t="str">
        <f t="shared" si="245"/>
        <v xml:space="preserve"> </v>
      </c>
      <c r="N146" s="323" t="str">
        <f t="shared" si="245"/>
        <v xml:space="preserve"> </v>
      </c>
      <c r="O146" s="323" t="str">
        <f t="shared" si="245"/>
        <v xml:space="preserve"> </v>
      </c>
      <c r="P146" s="323" t="str">
        <f t="shared" si="245"/>
        <v xml:space="preserve"> </v>
      </c>
      <c r="Q146" s="323" t="str">
        <f t="shared" si="245"/>
        <v xml:space="preserve"> </v>
      </c>
      <c r="R146" s="323" t="str">
        <f t="shared" si="245"/>
        <v xml:space="preserve"> </v>
      </c>
      <c r="S146" s="323" t="str">
        <f t="shared" si="245"/>
        <v xml:space="preserve"> </v>
      </c>
      <c r="T146" s="323" t="str">
        <f t="shared" si="245"/>
        <v xml:space="preserve"> </v>
      </c>
      <c r="U146" s="323" t="str">
        <f t="shared" si="245"/>
        <v xml:space="preserve"> </v>
      </c>
      <c r="V146" s="323" t="str">
        <f t="shared" si="245"/>
        <v xml:space="preserve"> </v>
      </c>
      <c r="W146" s="323" t="str">
        <f t="shared" si="245"/>
        <v xml:space="preserve"> </v>
      </c>
      <c r="X146" s="323" t="str">
        <f t="shared" si="245"/>
        <v xml:space="preserve"> </v>
      </c>
      <c r="Y146" s="323" t="str">
        <f t="shared" si="245"/>
        <v xml:space="preserve"> </v>
      </c>
      <c r="Z146" s="323" t="str">
        <f t="shared" si="246"/>
        <v xml:space="preserve"> </v>
      </c>
      <c r="AA146" s="323" t="str">
        <f t="shared" si="246"/>
        <v xml:space="preserve"> </v>
      </c>
      <c r="AB146" s="323" t="str">
        <f t="shared" si="246"/>
        <v xml:space="preserve"> </v>
      </c>
      <c r="AC146" s="323" t="str">
        <f t="shared" si="246"/>
        <v xml:space="preserve"> </v>
      </c>
      <c r="AD146" s="323" t="str">
        <f t="shared" si="246"/>
        <v xml:space="preserve"> </v>
      </c>
      <c r="AE146" s="323" t="str">
        <f t="shared" si="246"/>
        <v xml:space="preserve"> </v>
      </c>
      <c r="AF146" s="323" t="str">
        <f t="shared" si="246"/>
        <v xml:space="preserve"> </v>
      </c>
      <c r="AG146" s="323" t="str">
        <f t="shared" si="246"/>
        <v xml:space="preserve"> </v>
      </c>
      <c r="AH146" s="323" t="str">
        <f t="shared" si="246"/>
        <v xml:space="preserve"> </v>
      </c>
      <c r="AI146" s="323" t="str">
        <f t="shared" si="246"/>
        <v xml:space="preserve"> </v>
      </c>
      <c r="AJ146" s="323" t="str">
        <f t="shared" si="246"/>
        <v xml:space="preserve"> </v>
      </c>
      <c r="AK146" s="323" t="str">
        <f t="shared" si="246"/>
        <v xml:space="preserve"> </v>
      </c>
      <c r="AL146" s="323" t="str">
        <f t="shared" si="246"/>
        <v xml:space="preserve"> </v>
      </c>
      <c r="AM146" s="323" t="str">
        <f t="shared" si="246"/>
        <v xml:space="preserve"> </v>
      </c>
      <c r="AN146" s="323" t="str">
        <f t="shared" si="246"/>
        <v xml:space="preserve"> </v>
      </c>
      <c r="AO146" s="323" t="str">
        <f t="shared" si="246"/>
        <v xml:space="preserve"> </v>
      </c>
      <c r="AP146" s="323">
        <f t="shared" si="247"/>
        <v>1</v>
      </c>
      <c r="AQ146" s="323" t="str">
        <f t="shared" si="247"/>
        <v xml:space="preserve"> </v>
      </c>
      <c r="AR146" s="323" t="str">
        <f t="shared" si="247"/>
        <v xml:space="preserve"> </v>
      </c>
      <c r="AS146" s="323" t="str">
        <f t="shared" si="247"/>
        <v xml:space="preserve"> </v>
      </c>
      <c r="AT146" s="323" t="str">
        <f t="shared" si="247"/>
        <v xml:space="preserve"> </v>
      </c>
      <c r="AU146" s="323" t="str">
        <f t="shared" si="247"/>
        <v xml:space="preserve"> </v>
      </c>
      <c r="AV146" s="323" t="str">
        <f t="shared" si="247"/>
        <v xml:space="preserve"> </v>
      </c>
      <c r="AW146" s="323" t="str">
        <f t="shared" si="247"/>
        <v xml:space="preserve"> </v>
      </c>
      <c r="AX146" s="323" t="str">
        <f t="shared" si="247"/>
        <v xml:space="preserve"> </v>
      </c>
      <c r="AY146" s="323" t="str">
        <f t="shared" si="247"/>
        <v xml:space="preserve"> </v>
      </c>
      <c r="AZ146" s="323" t="str">
        <f t="shared" si="247"/>
        <v xml:space="preserve"> </v>
      </c>
      <c r="BA146" s="323" t="str">
        <f t="shared" si="247"/>
        <v xml:space="preserve"> </v>
      </c>
      <c r="BB146" s="323" t="str">
        <f t="shared" si="247"/>
        <v xml:space="preserve"> </v>
      </c>
      <c r="BC146" s="323" t="str">
        <f t="shared" si="247"/>
        <v xml:space="preserve"> </v>
      </c>
      <c r="BD146" s="323" t="str">
        <f t="shared" si="247"/>
        <v xml:space="preserve"> </v>
      </c>
      <c r="BE146" s="323" t="str">
        <f t="shared" si="247"/>
        <v xml:space="preserve"> </v>
      </c>
    </row>
    <row r="147" spans="2:57" x14ac:dyDescent="0.25">
      <c r="B147" s="3"/>
      <c r="C147" s="171" t="s">
        <v>694</v>
      </c>
      <c r="D147" s="325" t="s">
        <v>688</v>
      </c>
      <c r="E147" s="325">
        <v>8</v>
      </c>
      <c r="F147" s="917">
        <v>2025</v>
      </c>
      <c r="G147" s="324">
        <f>F147+1</f>
        <v>2026</v>
      </c>
      <c r="H147" s="313">
        <f t="shared" si="244"/>
        <v>1</v>
      </c>
      <c r="J147" s="323" t="str">
        <f t="shared" si="245"/>
        <v xml:space="preserve"> </v>
      </c>
      <c r="K147" s="323" t="str">
        <f t="shared" si="245"/>
        <v xml:space="preserve"> </v>
      </c>
      <c r="L147" s="323" t="str">
        <f t="shared" si="245"/>
        <v xml:space="preserve"> </v>
      </c>
      <c r="M147" s="323" t="str">
        <f t="shared" si="245"/>
        <v xml:space="preserve"> </v>
      </c>
      <c r="N147" s="323" t="str">
        <f t="shared" si="245"/>
        <v xml:space="preserve"> </v>
      </c>
      <c r="O147" s="323" t="str">
        <f t="shared" si="245"/>
        <v xml:space="preserve"> </v>
      </c>
      <c r="P147" s="323" t="str">
        <f t="shared" si="245"/>
        <v xml:space="preserve"> </v>
      </c>
      <c r="Q147" s="323">
        <f t="shared" si="245"/>
        <v>1</v>
      </c>
      <c r="R147" s="323" t="str">
        <f t="shared" si="245"/>
        <v xml:space="preserve"> </v>
      </c>
      <c r="S147" s="323" t="str">
        <f t="shared" si="245"/>
        <v xml:space="preserve"> </v>
      </c>
      <c r="T147" s="323" t="str">
        <f t="shared" si="245"/>
        <v xml:space="preserve"> </v>
      </c>
      <c r="U147" s="323" t="str">
        <f t="shared" si="245"/>
        <v xml:space="preserve"> </v>
      </c>
      <c r="V147" s="323" t="str">
        <f t="shared" si="245"/>
        <v xml:space="preserve"> </v>
      </c>
      <c r="W147" s="323" t="str">
        <f t="shared" si="245"/>
        <v xml:space="preserve"> </v>
      </c>
      <c r="X147" s="323" t="str">
        <f t="shared" si="245"/>
        <v xml:space="preserve"> </v>
      </c>
      <c r="Y147" s="323" t="str">
        <f t="shared" si="245"/>
        <v xml:space="preserve"> </v>
      </c>
      <c r="Z147" s="323" t="str">
        <f t="shared" si="246"/>
        <v xml:space="preserve"> </v>
      </c>
      <c r="AA147" s="323" t="str">
        <f t="shared" si="246"/>
        <v xml:space="preserve"> </v>
      </c>
      <c r="AB147" s="323" t="str">
        <f t="shared" si="246"/>
        <v xml:space="preserve"> </v>
      </c>
      <c r="AC147" s="323" t="str">
        <f t="shared" si="246"/>
        <v xml:space="preserve"> </v>
      </c>
      <c r="AD147" s="323" t="str">
        <f t="shared" si="246"/>
        <v xml:space="preserve"> </v>
      </c>
      <c r="AE147" s="323" t="str">
        <f t="shared" si="246"/>
        <v xml:space="preserve"> </v>
      </c>
      <c r="AF147" s="323" t="str">
        <f t="shared" si="246"/>
        <v xml:space="preserve"> </v>
      </c>
      <c r="AG147" s="323" t="str">
        <f t="shared" si="246"/>
        <v xml:space="preserve"> </v>
      </c>
      <c r="AH147" s="323" t="str">
        <f t="shared" si="246"/>
        <v xml:space="preserve"> </v>
      </c>
      <c r="AI147" s="323" t="str">
        <f t="shared" si="246"/>
        <v xml:space="preserve"> </v>
      </c>
      <c r="AJ147" s="323" t="str">
        <f t="shared" si="246"/>
        <v xml:space="preserve"> </v>
      </c>
      <c r="AK147" s="323" t="str">
        <f t="shared" si="246"/>
        <v xml:space="preserve"> </v>
      </c>
      <c r="AL147" s="323" t="str">
        <f t="shared" si="246"/>
        <v xml:space="preserve"> </v>
      </c>
      <c r="AM147" s="323" t="str">
        <f t="shared" si="246"/>
        <v xml:space="preserve"> </v>
      </c>
      <c r="AN147" s="323" t="str">
        <f t="shared" si="246"/>
        <v xml:space="preserve"> </v>
      </c>
      <c r="AO147" s="323" t="str">
        <f t="shared" si="246"/>
        <v xml:space="preserve"> </v>
      </c>
      <c r="AP147" s="323" t="str">
        <f t="shared" si="247"/>
        <v xml:space="preserve"> </v>
      </c>
      <c r="AQ147" s="323" t="str">
        <f t="shared" si="247"/>
        <v xml:space="preserve"> </v>
      </c>
      <c r="AR147" s="323" t="str">
        <f t="shared" si="247"/>
        <v xml:space="preserve"> </v>
      </c>
      <c r="AS147" s="323" t="str">
        <f t="shared" si="247"/>
        <v xml:space="preserve"> </v>
      </c>
      <c r="AT147" s="323" t="str">
        <f t="shared" si="247"/>
        <v xml:space="preserve"> </v>
      </c>
      <c r="AU147" s="323" t="str">
        <f t="shared" si="247"/>
        <v xml:space="preserve"> </v>
      </c>
      <c r="AV147" s="323" t="str">
        <f t="shared" si="247"/>
        <v xml:space="preserve"> </v>
      </c>
      <c r="AW147" s="323" t="str">
        <f t="shared" si="247"/>
        <v xml:space="preserve"> </v>
      </c>
      <c r="AX147" s="323" t="str">
        <f t="shared" si="247"/>
        <v xml:space="preserve"> </v>
      </c>
      <c r="AY147" s="323" t="str">
        <f t="shared" si="247"/>
        <v xml:space="preserve"> </v>
      </c>
      <c r="AZ147" s="323" t="str">
        <f t="shared" si="247"/>
        <v xml:space="preserve"> </v>
      </c>
      <c r="BA147" s="323" t="str">
        <f t="shared" si="247"/>
        <v xml:space="preserve"> </v>
      </c>
      <c r="BB147" s="323" t="str">
        <f t="shared" si="247"/>
        <v xml:space="preserve"> </v>
      </c>
      <c r="BC147" s="323" t="str">
        <f t="shared" si="247"/>
        <v xml:space="preserve"> </v>
      </c>
      <c r="BD147" s="323" t="str">
        <f t="shared" si="247"/>
        <v xml:space="preserve"> </v>
      </c>
      <c r="BE147" s="323" t="str">
        <f t="shared" si="247"/>
        <v xml:space="preserve"> </v>
      </c>
    </row>
    <row r="148" spans="2:57" x14ac:dyDescent="0.25">
      <c r="B148" s="3"/>
      <c r="C148" s="171" t="s">
        <v>695</v>
      </c>
      <c r="D148" s="325" t="s">
        <v>688</v>
      </c>
      <c r="E148" s="325">
        <v>9</v>
      </c>
      <c r="F148" s="313">
        <f>G147</f>
        <v>2026</v>
      </c>
      <c r="G148" s="916">
        <v>2030</v>
      </c>
      <c r="H148" s="313">
        <f t="shared" si="244"/>
        <v>4</v>
      </c>
      <c r="J148" s="323" t="str">
        <f t="shared" si="245"/>
        <v xml:space="preserve"> </v>
      </c>
      <c r="K148" s="323" t="str">
        <f t="shared" si="245"/>
        <v xml:space="preserve"> </v>
      </c>
      <c r="L148" s="323" t="str">
        <f t="shared" si="245"/>
        <v xml:space="preserve"> </v>
      </c>
      <c r="M148" s="323" t="str">
        <f t="shared" si="245"/>
        <v xml:space="preserve"> </v>
      </c>
      <c r="N148" s="323" t="str">
        <f t="shared" si="245"/>
        <v xml:space="preserve"> </v>
      </c>
      <c r="O148" s="323" t="str">
        <f t="shared" si="245"/>
        <v xml:space="preserve"> </v>
      </c>
      <c r="P148" s="323" t="str">
        <f t="shared" si="245"/>
        <v xml:space="preserve"> </v>
      </c>
      <c r="Q148" s="323" t="str">
        <f t="shared" si="245"/>
        <v xml:space="preserve"> </v>
      </c>
      <c r="R148" s="323">
        <f t="shared" si="245"/>
        <v>1</v>
      </c>
      <c r="S148" s="323">
        <f t="shared" si="245"/>
        <v>1</v>
      </c>
      <c r="T148" s="323">
        <f t="shared" si="245"/>
        <v>1</v>
      </c>
      <c r="U148" s="323">
        <f t="shared" si="245"/>
        <v>1</v>
      </c>
      <c r="V148" s="323" t="str">
        <f t="shared" si="245"/>
        <v xml:space="preserve"> </v>
      </c>
      <c r="W148" s="323" t="str">
        <f t="shared" si="245"/>
        <v xml:space="preserve"> </v>
      </c>
      <c r="X148" s="323" t="str">
        <f t="shared" si="245"/>
        <v xml:space="preserve"> </v>
      </c>
      <c r="Y148" s="323" t="str">
        <f t="shared" si="245"/>
        <v xml:space="preserve"> </v>
      </c>
      <c r="Z148" s="323" t="str">
        <f t="shared" si="246"/>
        <v xml:space="preserve"> </v>
      </c>
      <c r="AA148" s="323" t="str">
        <f t="shared" si="246"/>
        <v xml:space="preserve"> </v>
      </c>
      <c r="AB148" s="323" t="str">
        <f t="shared" si="246"/>
        <v xml:space="preserve"> </v>
      </c>
      <c r="AC148" s="323" t="str">
        <f t="shared" si="246"/>
        <v xml:space="preserve"> </v>
      </c>
      <c r="AD148" s="323" t="str">
        <f t="shared" si="246"/>
        <v xml:space="preserve"> </v>
      </c>
      <c r="AE148" s="323" t="str">
        <f t="shared" si="246"/>
        <v xml:space="preserve"> </v>
      </c>
      <c r="AF148" s="323" t="str">
        <f t="shared" si="246"/>
        <v xml:space="preserve"> </v>
      </c>
      <c r="AG148" s="323" t="str">
        <f t="shared" si="246"/>
        <v xml:space="preserve"> </v>
      </c>
      <c r="AH148" s="323" t="str">
        <f t="shared" si="246"/>
        <v xml:space="preserve"> </v>
      </c>
      <c r="AI148" s="323" t="str">
        <f t="shared" si="246"/>
        <v xml:space="preserve"> </v>
      </c>
      <c r="AJ148" s="323" t="str">
        <f t="shared" si="246"/>
        <v xml:space="preserve"> </v>
      </c>
      <c r="AK148" s="323" t="str">
        <f t="shared" si="246"/>
        <v xml:space="preserve"> </v>
      </c>
      <c r="AL148" s="323" t="str">
        <f t="shared" si="246"/>
        <v xml:space="preserve"> </v>
      </c>
      <c r="AM148" s="323" t="str">
        <f t="shared" si="246"/>
        <v xml:space="preserve"> </v>
      </c>
      <c r="AN148" s="323" t="str">
        <f t="shared" si="246"/>
        <v xml:space="preserve"> </v>
      </c>
      <c r="AO148" s="323" t="str">
        <f t="shared" si="246"/>
        <v xml:space="preserve"> </v>
      </c>
      <c r="AP148" s="323" t="str">
        <f t="shared" si="247"/>
        <v xml:space="preserve"> </v>
      </c>
      <c r="AQ148" s="323" t="str">
        <f t="shared" si="247"/>
        <v xml:space="preserve"> </v>
      </c>
      <c r="AR148" s="323" t="str">
        <f t="shared" si="247"/>
        <v xml:space="preserve"> </v>
      </c>
      <c r="AS148" s="323" t="str">
        <f t="shared" si="247"/>
        <v xml:space="preserve"> </v>
      </c>
      <c r="AT148" s="323" t="str">
        <f t="shared" si="247"/>
        <v xml:space="preserve"> </v>
      </c>
      <c r="AU148" s="323" t="str">
        <f t="shared" si="247"/>
        <v xml:space="preserve"> </v>
      </c>
      <c r="AV148" s="323" t="str">
        <f t="shared" si="247"/>
        <v xml:space="preserve"> </v>
      </c>
      <c r="AW148" s="323" t="str">
        <f t="shared" si="247"/>
        <v xml:space="preserve"> </v>
      </c>
      <c r="AX148" s="323" t="str">
        <f t="shared" si="247"/>
        <v xml:space="preserve"> </v>
      </c>
      <c r="AY148" s="323" t="str">
        <f t="shared" si="247"/>
        <v xml:space="preserve"> </v>
      </c>
      <c r="AZ148" s="323" t="str">
        <f t="shared" si="247"/>
        <v xml:space="preserve"> </v>
      </c>
      <c r="BA148" s="323" t="str">
        <f t="shared" si="247"/>
        <v xml:space="preserve"> </v>
      </c>
      <c r="BB148" s="323" t="str">
        <f t="shared" si="247"/>
        <v xml:space="preserve"> </v>
      </c>
      <c r="BC148" s="323" t="str">
        <f t="shared" si="247"/>
        <v xml:space="preserve"> </v>
      </c>
      <c r="BD148" s="323" t="str">
        <f t="shared" si="247"/>
        <v xml:space="preserve"> </v>
      </c>
      <c r="BE148" s="323" t="str">
        <f t="shared" si="247"/>
        <v xml:space="preserve"> </v>
      </c>
    </row>
    <row r="149" spans="2:57" x14ac:dyDescent="0.25">
      <c r="B149" s="3"/>
      <c r="C149" s="171" t="s">
        <v>696</v>
      </c>
      <c r="D149" s="325" t="s">
        <v>688</v>
      </c>
      <c r="E149" s="325">
        <v>10</v>
      </c>
      <c r="F149" s="324">
        <v>2030</v>
      </c>
      <c r="G149" s="916">
        <v>2031</v>
      </c>
      <c r="H149" s="313">
        <f t="shared" si="244"/>
        <v>1</v>
      </c>
      <c r="J149" s="323" t="str">
        <f t="shared" si="245"/>
        <v xml:space="preserve"> </v>
      </c>
      <c r="K149" s="323" t="str">
        <f t="shared" si="245"/>
        <v xml:space="preserve"> </v>
      </c>
      <c r="L149" s="323" t="str">
        <f t="shared" si="245"/>
        <v xml:space="preserve"> </v>
      </c>
      <c r="M149" s="323" t="str">
        <f t="shared" si="245"/>
        <v xml:space="preserve"> </v>
      </c>
      <c r="N149" s="323" t="str">
        <f t="shared" si="245"/>
        <v xml:space="preserve"> </v>
      </c>
      <c r="O149" s="323" t="str">
        <f t="shared" si="245"/>
        <v xml:space="preserve"> </v>
      </c>
      <c r="P149" s="323" t="str">
        <f t="shared" si="245"/>
        <v xml:space="preserve"> </v>
      </c>
      <c r="Q149" s="323" t="str">
        <f t="shared" si="245"/>
        <v xml:space="preserve"> </v>
      </c>
      <c r="R149" s="323" t="str">
        <f t="shared" si="245"/>
        <v xml:space="preserve"> </v>
      </c>
      <c r="S149" s="323" t="str">
        <f t="shared" si="245"/>
        <v xml:space="preserve"> </v>
      </c>
      <c r="T149" s="323" t="str">
        <f t="shared" si="245"/>
        <v xml:space="preserve"> </v>
      </c>
      <c r="U149" s="323" t="str">
        <f t="shared" si="245"/>
        <v xml:space="preserve"> </v>
      </c>
      <c r="V149" s="323">
        <f t="shared" si="245"/>
        <v>1</v>
      </c>
      <c r="W149" s="323" t="str">
        <f t="shared" si="245"/>
        <v xml:space="preserve"> </v>
      </c>
      <c r="X149" s="323" t="str">
        <f t="shared" si="245"/>
        <v xml:space="preserve"> </v>
      </c>
      <c r="Y149" s="323" t="str">
        <f t="shared" si="245"/>
        <v xml:space="preserve"> </v>
      </c>
      <c r="Z149" s="323" t="str">
        <f t="shared" si="246"/>
        <v xml:space="preserve"> </v>
      </c>
      <c r="AA149" s="323" t="str">
        <f t="shared" si="246"/>
        <v xml:space="preserve"> </v>
      </c>
      <c r="AB149" s="323" t="str">
        <f t="shared" si="246"/>
        <v xml:space="preserve"> </v>
      </c>
      <c r="AC149" s="323" t="str">
        <f t="shared" si="246"/>
        <v xml:space="preserve"> </v>
      </c>
      <c r="AD149" s="323" t="str">
        <f t="shared" si="246"/>
        <v xml:space="preserve"> </v>
      </c>
      <c r="AE149" s="323" t="str">
        <f t="shared" si="246"/>
        <v xml:space="preserve"> </v>
      </c>
      <c r="AF149" s="323" t="str">
        <f t="shared" si="246"/>
        <v xml:space="preserve"> </v>
      </c>
      <c r="AG149" s="323" t="str">
        <f t="shared" si="246"/>
        <v xml:space="preserve"> </v>
      </c>
      <c r="AH149" s="323" t="str">
        <f t="shared" si="246"/>
        <v xml:space="preserve"> </v>
      </c>
      <c r="AI149" s="323" t="str">
        <f t="shared" si="246"/>
        <v xml:space="preserve"> </v>
      </c>
      <c r="AJ149" s="323" t="str">
        <f t="shared" si="246"/>
        <v xml:space="preserve"> </v>
      </c>
      <c r="AK149" s="323" t="str">
        <f t="shared" si="246"/>
        <v xml:space="preserve"> </v>
      </c>
      <c r="AL149" s="323" t="str">
        <f t="shared" si="246"/>
        <v xml:space="preserve"> </v>
      </c>
      <c r="AM149" s="323" t="str">
        <f t="shared" si="246"/>
        <v xml:space="preserve"> </v>
      </c>
      <c r="AN149" s="323" t="str">
        <f t="shared" si="246"/>
        <v xml:space="preserve"> </v>
      </c>
      <c r="AO149" s="323" t="str">
        <f t="shared" si="246"/>
        <v xml:space="preserve"> </v>
      </c>
      <c r="AP149" s="323" t="str">
        <f t="shared" si="247"/>
        <v xml:space="preserve"> </v>
      </c>
      <c r="AQ149" s="323" t="str">
        <f t="shared" si="247"/>
        <v xml:space="preserve"> </v>
      </c>
      <c r="AR149" s="323" t="str">
        <f t="shared" si="247"/>
        <v xml:space="preserve"> </v>
      </c>
      <c r="AS149" s="323" t="str">
        <f t="shared" si="247"/>
        <v xml:space="preserve"> </v>
      </c>
      <c r="AT149" s="323" t="str">
        <f t="shared" si="247"/>
        <v xml:space="preserve"> </v>
      </c>
      <c r="AU149" s="323" t="str">
        <f t="shared" si="247"/>
        <v xml:space="preserve"> </v>
      </c>
      <c r="AV149" s="323" t="str">
        <f t="shared" si="247"/>
        <v xml:space="preserve"> </v>
      </c>
      <c r="AW149" s="323" t="str">
        <f t="shared" si="247"/>
        <v xml:space="preserve"> </v>
      </c>
      <c r="AX149" s="323" t="str">
        <f t="shared" si="247"/>
        <v xml:space="preserve"> </v>
      </c>
      <c r="AY149" s="323" t="str">
        <f t="shared" si="247"/>
        <v xml:space="preserve"> </v>
      </c>
      <c r="AZ149" s="323" t="str">
        <f t="shared" si="247"/>
        <v xml:space="preserve"> </v>
      </c>
      <c r="BA149" s="323" t="str">
        <f t="shared" si="247"/>
        <v xml:space="preserve"> </v>
      </c>
      <c r="BB149" s="323" t="str">
        <f t="shared" si="247"/>
        <v xml:space="preserve"> </v>
      </c>
      <c r="BC149" s="323" t="str">
        <f t="shared" si="247"/>
        <v xml:space="preserve"> </v>
      </c>
      <c r="BD149" s="323" t="str">
        <f t="shared" si="247"/>
        <v xml:space="preserve"> </v>
      </c>
      <c r="BE149" s="323" t="str">
        <f t="shared" si="247"/>
        <v xml:space="preserve"> </v>
      </c>
    </row>
    <row r="150" spans="2:57" x14ac:dyDescent="0.25">
      <c r="B150" s="316"/>
      <c r="C150" s="171" t="s">
        <v>697</v>
      </c>
      <c r="D150" s="325" t="s">
        <v>688</v>
      </c>
      <c r="E150" s="325">
        <v>11</v>
      </c>
      <c r="F150" s="917">
        <v>2030</v>
      </c>
      <c r="G150" s="313">
        <f>F150+1</f>
        <v>2031</v>
      </c>
      <c r="H150" s="313">
        <f t="shared" si="244"/>
        <v>1</v>
      </c>
      <c r="J150" s="323" t="str">
        <f t="shared" si="245"/>
        <v xml:space="preserve"> </v>
      </c>
      <c r="K150" s="323" t="str">
        <f t="shared" si="245"/>
        <v xml:space="preserve"> </v>
      </c>
      <c r="L150" s="323" t="str">
        <f t="shared" si="245"/>
        <v xml:space="preserve"> </v>
      </c>
      <c r="M150" s="323" t="str">
        <f t="shared" si="245"/>
        <v xml:space="preserve"> </v>
      </c>
      <c r="N150" s="323" t="str">
        <f t="shared" si="245"/>
        <v xml:space="preserve"> </v>
      </c>
      <c r="O150" s="323" t="str">
        <f t="shared" si="245"/>
        <v xml:space="preserve"> </v>
      </c>
      <c r="P150" s="323" t="str">
        <f t="shared" si="245"/>
        <v xml:space="preserve"> </v>
      </c>
      <c r="Q150" s="323" t="str">
        <f t="shared" si="245"/>
        <v xml:space="preserve"> </v>
      </c>
      <c r="R150" s="323" t="str">
        <f t="shared" si="245"/>
        <v xml:space="preserve"> </v>
      </c>
      <c r="S150" s="323" t="str">
        <f t="shared" si="245"/>
        <v xml:space="preserve"> </v>
      </c>
      <c r="T150" s="323" t="str">
        <f t="shared" si="245"/>
        <v xml:space="preserve"> </v>
      </c>
      <c r="U150" s="323" t="str">
        <f t="shared" si="245"/>
        <v xml:space="preserve"> </v>
      </c>
      <c r="V150" s="323">
        <f t="shared" si="245"/>
        <v>1</v>
      </c>
      <c r="W150" s="323" t="str">
        <f t="shared" si="245"/>
        <v xml:space="preserve"> </v>
      </c>
      <c r="X150" s="323" t="str">
        <f t="shared" si="245"/>
        <v xml:space="preserve"> </v>
      </c>
      <c r="Y150" s="323" t="str">
        <f t="shared" si="245"/>
        <v xml:space="preserve"> </v>
      </c>
      <c r="Z150" s="323" t="str">
        <f t="shared" si="246"/>
        <v xml:space="preserve"> </v>
      </c>
      <c r="AA150" s="323" t="str">
        <f t="shared" si="246"/>
        <v xml:space="preserve"> </v>
      </c>
      <c r="AB150" s="323" t="str">
        <f t="shared" si="246"/>
        <v xml:space="preserve"> </v>
      </c>
      <c r="AC150" s="323" t="str">
        <f t="shared" si="246"/>
        <v xml:space="preserve"> </v>
      </c>
      <c r="AD150" s="323" t="str">
        <f t="shared" si="246"/>
        <v xml:space="preserve"> </v>
      </c>
      <c r="AE150" s="323" t="str">
        <f t="shared" si="246"/>
        <v xml:space="preserve"> </v>
      </c>
      <c r="AF150" s="323" t="str">
        <f t="shared" si="246"/>
        <v xml:space="preserve"> </v>
      </c>
      <c r="AG150" s="323" t="str">
        <f t="shared" si="246"/>
        <v xml:space="preserve"> </v>
      </c>
      <c r="AH150" s="323" t="str">
        <f t="shared" si="246"/>
        <v xml:space="preserve"> </v>
      </c>
      <c r="AI150" s="323" t="str">
        <f t="shared" si="246"/>
        <v xml:space="preserve"> </v>
      </c>
      <c r="AJ150" s="323" t="str">
        <f t="shared" si="246"/>
        <v xml:space="preserve"> </v>
      </c>
      <c r="AK150" s="323" t="str">
        <f t="shared" si="246"/>
        <v xml:space="preserve"> </v>
      </c>
      <c r="AL150" s="323" t="str">
        <f t="shared" si="246"/>
        <v xml:space="preserve"> </v>
      </c>
      <c r="AM150" s="323" t="str">
        <f t="shared" si="246"/>
        <v xml:space="preserve"> </v>
      </c>
      <c r="AN150" s="323" t="str">
        <f t="shared" si="246"/>
        <v xml:space="preserve"> </v>
      </c>
      <c r="AO150" s="323" t="str">
        <f t="shared" si="246"/>
        <v xml:space="preserve"> </v>
      </c>
      <c r="AP150" s="323" t="str">
        <f t="shared" si="247"/>
        <v xml:space="preserve"> </v>
      </c>
      <c r="AQ150" s="323" t="str">
        <f t="shared" si="247"/>
        <v xml:space="preserve"> </v>
      </c>
      <c r="AR150" s="323" t="str">
        <f t="shared" si="247"/>
        <v xml:space="preserve"> </v>
      </c>
      <c r="AS150" s="323" t="str">
        <f t="shared" si="247"/>
        <v xml:space="preserve"> </v>
      </c>
      <c r="AT150" s="323" t="str">
        <f t="shared" si="247"/>
        <v xml:space="preserve"> </v>
      </c>
      <c r="AU150" s="323" t="str">
        <f t="shared" si="247"/>
        <v xml:space="preserve"> </v>
      </c>
      <c r="AV150" s="323" t="str">
        <f t="shared" si="247"/>
        <v xml:space="preserve"> </v>
      </c>
      <c r="AW150" s="323" t="str">
        <f t="shared" si="247"/>
        <v xml:space="preserve"> </v>
      </c>
      <c r="AX150" s="323" t="str">
        <f t="shared" si="247"/>
        <v xml:space="preserve"> </v>
      </c>
      <c r="AY150" s="323" t="str">
        <f t="shared" si="247"/>
        <v xml:space="preserve"> </v>
      </c>
      <c r="AZ150" s="323" t="str">
        <f t="shared" si="247"/>
        <v xml:space="preserve"> </v>
      </c>
      <c r="BA150" s="323" t="str">
        <f t="shared" si="247"/>
        <v xml:space="preserve"> </v>
      </c>
      <c r="BB150" s="323" t="str">
        <f t="shared" si="247"/>
        <v xml:space="preserve"> </v>
      </c>
      <c r="BC150" s="323" t="str">
        <f t="shared" si="247"/>
        <v xml:space="preserve"> </v>
      </c>
      <c r="BD150" s="323" t="str">
        <f t="shared" si="247"/>
        <v xml:space="preserve"> </v>
      </c>
      <c r="BE150" s="323" t="str">
        <f t="shared" si="247"/>
        <v xml:space="preserve"> </v>
      </c>
    </row>
    <row r="151" spans="2:57" x14ac:dyDescent="0.25">
      <c r="B151" s="316"/>
      <c r="C151" s="171" t="s">
        <v>698</v>
      </c>
      <c r="D151" s="325" t="s">
        <v>688</v>
      </c>
      <c r="E151" s="325">
        <v>12</v>
      </c>
      <c r="F151" s="324">
        <f>G150</f>
        <v>2031</v>
      </c>
      <c r="G151" s="917">
        <v>2050</v>
      </c>
      <c r="H151" s="313">
        <f t="shared" si="244"/>
        <v>19</v>
      </c>
      <c r="J151" s="323" t="str">
        <f t="shared" si="245"/>
        <v xml:space="preserve"> </v>
      </c>
      <c r="K151" s="323" t="str">
        <f t="shared" si="245"/>
        <v xml:space="preserve"> </v>
      </c>
      <c r="L151" s="323" t="str">
        <f t="shared" si="245"/>
        <v xml:space="preserve"> </v>
      </c>
      <c r="M151" s="323" t="str">
        <f t="shared" si="245"/>
        <v xml:space="preserve"> </v>
      </c>
      <c r="N151" s="323" t="str">
        <f t="shared" si="245"/>
        <v xml:space="preserve"> </v>
      </c>
      <c r="O151" s="323" t="str">
        <f t="shared" si="245"/>
        <v xml:space="preserve"> </v>
      </c>
      <c r="P151" s="323" t="str">
        <f t="shared" si="245"/>
        <v xml:space="preserve"> </v>
      </c>
      <c r="Q151" s="323" t="str">
        <f t="shared" si="245"/>
        <v xml:space="preserve"> </v>
      </c>
      <c r="R151" s="323" t="str">
        <f t="shared" si="245"/>
        <v xml:space="preserve"> </v>
      </c>
      <c r="S151" s="323" t="str">
        <f t="shared" si="245"/>
        <v xml:space="preserve"> </v>
      </c>
      <c r="T151" s="323" t="str">
        <f t="shared" si="245"/>
        <v xml:space="preserve"> </v>
      </c>
      <c r="U151" s="323" t="str">
        <f t="shared" si="245"/>
        <v xml:space="preserve"> </v>
      </c>
      <c r="V151" s="323" t="str">
        <f t="shared" si="245"/>
        <v xml:space="preserve"> </v>
      </c>
      <c r="W151" s="323">
        <f t="shared" si="245"/>
        <v>1</v>
      </c>
      <c r="X151" s="323">
        <f t="shared" si="245"/>
        <v>1</v>
      </c>
      <c r="Y151" s="323">
        <f t="shared" si="245"/>
        <v>1</v>
      </c>
      <c r="Z151" s="323">
        <f t="shared" si="246"/>
        <v>1</v>
      </c>
      <c r="AA151" s="323">
        <f t="shared" si="246"/>
        <v>1</v>
      </c>
      <c r="AB151" s="323">
        <f t="shared" si="246"/>
        <v>1</v>
      </c>
      <c r="AC151" s="323">
        <f t="shared" si="246"/>
        <v>1</v>
      </c>
      <c r="AD151" s="323">
        <f t="shared" si="246"/>
        <v>1</v>
      </c>
      <c r="AE151" s="323">
        <f t="shared" si="246"/>
        <v>1</v>
      </c>
      <c r="AF151" s="323">
        <f t="shared" si="246"/>
        <v>1</v>
      </c>
      <c r="AG151" s="323">
        <f t="shared" si="246"/>
        <v>1</v>
      </c>
      <c r="AH151" s="323">
        <f t="shared" si="246"/>
        <v>1</v>
      </c>
      <c r="AI151" s="323">
        <f t="shared" si="246"/>
        <v>1</v>
      </c>
      <c r="AJ151" s="323">
        <f t="shared" si="246"/>
        <v>1</v>
      </c>
      <c r="AK151" s="323">
        <f t="shared" si="246"/>
        <v>1</v>
      </c>
      <c r="AL151" s="323">
        <f t="shared" si="246"/>
        <v>1</v>
      </c>
      <c r="AM151" s="323">
        <f t="shared" si="246"/>
        <v>1</v>
      </c>
      <c r="AN151" s="323">
        <f t="shared" si="246"/>
        <v>1</v>
      </c>
      <c r="AO151" s="323">
        <f t="shared" si="246"/>
        <v>1</v>
      </c>
      <c r="AP151" s="323" t="str">
        <f t="shared" si="247"/>
        <v xml:space="preserve"> </v>
      </c>
      <c r="AQ151" s="323" t="str">
        <f t="shared" si="247"/>
        <v xml:space="preserve"> </v>
      </c>
      <c r="AR151" s="323" t="str">
        <f t="shared" si="247"/>
        <v xml:space="preserve"> </v>
      </c>
      <c r="AS151" s="323" t="str">
        <f t="shared" si="247"/>
        <v xml:space="preserve"> </v>
      </c>
      <c r="AT151" s="323" t="str">
        <f t="shared" si="247"/>
        <v xml:space="preserve"> </v>
      </c>
      <c r="AU151" s="323" t="str">
        <f t="shared" si="247"/>
        <v xml:space="preserve"> </v>
      </c>
      <c r="AV151" s="323" t="str">
        <f t="shared" si="247"/>
        <v xml:space="preserve"> </v>
      </c>
      <c r="AW151" s="323" t="str">
        <f t="shared" si="247"/>
        <v xml:space="preserve"> </v>
      </c>
      <c r="AX151" s="323" t="str">
        <f t="shared" si="247"/>
        <v xml:space="preserve"> </v>
      </c>
      <c r="AY151" s="323" t="str">
        <f t="shared" si="247"/>
        <v xml:space="preserve"> </v>
      </c>
      <c r="AZ151" s="323" t="str">
        <f t="shared" si="247"/>
        <v xml:space="preserve"> </v>
      </c>
      <c r="BA151" s="323" t="str">
        <f t="shared" si="247"/>
        <v xml:space="preserve"> </v>
      </c>
      <c r="BB151" s="323" t="str">
        <f t="shared" si="247"/>
        <v xml:space="preserve"> </v>
      </c>
      <c r="BC151" s="323" t="str">
        <f t="shared" si="247"/>
        <v xml:space="preserve"> </v>
      </c>
      <c r="BD151" s="323" t="str">
        <f t="shared" si="247"/>
        <v xml:space="preserve"> </v>
      </c>
      <c r="BE151" s="323" t="str">
        <f t="shared" si="247"/>
        <v xml:space="preserve"> </v>
      </c>
    </row>
    <row r="152" spans="2:57" x14ac:dyDescent="0.25">
      <c r="B152" s="316"/>
      <c r="C152" s="171" t="s">
        <v>699</v>
      </c>
      <c r="D152" s="325" t="s">
        <v>688</v>
      </c>
      <c r="E152" s="325">
        <v>13</v>
      </c>
      <c r="F152" s="324">
        <v>2050</v>
      </c>
      <c r="G152" s="917">
        <v>2051</v>
      </c>
      <c r="H152" s="313">
        <f t="shared" si="244"/>
        <v>1</v>
      </c>
      <c r="J152" s="323" t="str">
        <f t="shared" si="245"/>
        <v xml:space="preserve"> </v>
      </c>
      <c r="K152" s="323" t="str">
        <f t="shared" si="245"/>
        <v xml:space="preserve"> </v>
      </c>
      <c r="L152" s="323" t="str">
        <f t="shared" si="245"/>
        <v xml:space="preserve"> </v>
      </c>
      <c r="M152" s="323" t="str">
        <f t="shared" si="245"/>
        <v xml:space="preserve"> </v>
      </c>
      <c r="N152" s="323" t="str">
        <f t="shared" si="245"/>
        <v xml:space="preserve"> </v>
      </c>
      <c r="O152" s="323" t="str">
        <f t="shared" si="245"/>
        <v xml:space="preserve"> </v>
      </c>
      <c r="P152" s="323" t="str">
        <f t="shared" si="245"/>
        <v xml:space="preserve"> </v>
      </c>
      <c r="Q152" s="323" t="str">
        <f t="shared" si="245"/>
        <v xml:space="preserve"> </v>
      </c>
      <c r="R152" s="323" t="str">
        <f t="shared" si="245"/>
        <v xml:space="preserve"> </v>
      </c>
      <c r="S152" s="323" t="str">
        <f t="shared" si="245"/>
        <v xml:space="preserve"> </v>
      </c>
      <c r="T152" s="323" t="str">
        <f t="shared" si="245"/>
        <v xml:space="preserve"> </v>
      </c>
      <c r="U152" s="323" t="str">
        <f t="shared" si="245"/>
        <v xml:space="preserve"> </v>
      </c>
      <c r="V152" s="323" t="str">
        <f t="shared" si="245"/>
        <v xml:space="preserve"> </v>
      </c>
      <c r="W152" s="323" t="str">
        <f t="shared" si="245"/>
        <v xml:space="preserve"> </v>
      </c>
      <c r="X152" s="323" t="str">
        <f t="shared" si="245"/>
        <v xml:space="preserve"> </v>
      </c>
      <c r="Y152" s="323" t="str">
        <f t="shared" si="245"/>
        <v xml:space="preserve"> </v>
      </c>
      <c r="Z152" s="323" t="str">
        <f t="shared" si="246"/>
        <v xml:space="preserve"> </v>
      </c>
      <c r="AA152" s="323" t="str">
        <f t="shared" si="246"/>
        <v xml:space="preserve"> </v>
      </c>
      <c r="AB152" s="323" t="str">
        <f t="shared" si="246"/>
        <v xml:space="preserve"> </v>
      </c>
      <c r="AC152" s="323" t="str">
        <f t="shared" si="246"/>
        <v xml:space="preserve"> </v>
      </c>
      <c r="AD152" s="323" t="str">
        <f t="shared" si="246"/>
        <v xml:space="preserve"> </v>
      </c>
      <c r="AE152" s="323" t="str">
        <f t="shared" si="246"/>
        <v xml:space="preserve"> </v>
      </c>
      <c r="AF152" s="323" t="str">
        <f t="shared" si="246"/>
        <v xml:space="preserve"> </v>
      </c>
      <c r="AG152" s="323" t="str">
        <f t="shared" si="246"/>
        <v xml:space="preserve"> </v>
      </c>
      <c r="AH152" s="323" t="str">
        <f t="shared" si="246"/>
        <v xml:space="preserve"> </v>
      </c>
      <c r="AI152" s="323" t="str">
        <f t="shared" si="246"/>
        <v xml:space="preserve"> </v>
      </c>
      <c r="AJ152" s="323" t="str">
        <f t="shared" si="246"/>
        <v xml:space="preserve"> </v>
      </c>
      <c r="AK152" s="323" t="str">
        <f t="shared" si="246"/>
        <v xml:space="preserve"> </v>
      </c>
      <c r="AL152" s="323" t="str">
        <f t="shared" si="246"/>
        <v xml:space="preserve"> </v>
      </c>
      <c r="AM152" s="323" t="str">
        <f t="shared" si="246"/>
        <v xml:space="preserve"> </v>
      </c>
      <c r="AN152" s="323" t="str">
        <f t="shared" si="246"/>
        <v xml:space="preserve"> </v>
      </c>
      <c r="AO152" s="323" t="str">
        <f t="shared" si="246"/>
        <v xml:space="preserve"> </v>
      </c>
      <c r="AP152" s="323">
        <f t="shared" si="247"/>
        <v>1</v>
      </c>
      <c r="AQ152" s="323" t="str">
        <f t="shared" si="247"/>
        <v xml:space="preserve"> </v>
      </c>
      <c r="AR152" s="323" t="str">
        <f t="shared" si="247"/>
        <v xml:space="preserve"> </v>
      </c>
      <c r="AS152" s="323" t="str">
        <f t="shared" si="247"/>
        <v xml:space="preserve"> </v>
      </c>
      <c r="AT152" s="323" t="str">
        <f t="shared" si="247"/>
        <v xml:space="preserve"> </v>
      </c>
      <c r="AU152" s="323" t="str">
        <f t="shared" si="247"/>
        <v xml:space="preserve"> </v>
      </c>
      <c r="AV152" s="323" t="str">
        <f t="shared" si="247"/>
        <v xml:space="preserve"> </v>
      </c>
      <c r="AW152" s="323" t="str">
        <f t="shared" si="247"/>
        <v xml:space="preserve"> </v>
      </c>
      <c r="AX152" s="323" t="str">
        <f t="shared" si="247"/>
        <v xml:space="preserve"> </v>
      </c>
      <c r="AY152" s="323" t="str">
        <f t="shared" si="247"/>
        <v xml:space="preserve"> </v>
      </c>
      <c r="AZ152" s="323" t="str">
        <f t="shared" si="247"/>
        <v xml:space="preserve"> </v>
      </c>
      <c r="BA152" s="323" t="str">
        <f t="shared" si="247"/>
        <v xml:space="preserve"> </v>
      </c>
      <c r="BB152" s="323" t="str">
        <f t="shared" si="247"/>
        <v xml:space="preserve"> </v>
      </c>
      <c r="BC152" s="323" t="str">
        <f t="shared" si="247"/>
        <v xml:space="preserve"> </v>
      </c>
      <c r="BD152" s="323" t="str">
        <f t="shared" si="247"/>
        <v xml:space="preserve"> </v>
      </c>
      <c r="BE152" s="323" t="str">
        <f t="shared" si="247"/>
        <v xml:space="preserve"> </v>
      </c>
    </row>
    <row r="153" spans="2:57" x14ac:dyDescent="0.25">
      <c r="B153" s="317"/>
      <c r="C153" s="171" t="s">
        <v>676</v>
      </c>
      <c r="D153" s="325" t="s">
        <v>688</v>
      </c>
      <c r="E153" s="325">
        <v>14</v>
      </c>
      <c r="F153" s="917">
        <v>2050</v>
      </c>
      <c r="G153" s="916">
        <v>2051</v>
      </c>
      <c r="H153" s="313">
        <f t="shared" si="244"/>
        <v>1</v>
      </c>
      <c r="J153" s="323" t="str">
        <f t="shared" si="245"/>
        <v xml:space="preserve"> </v>
      </c>
      <c r="K153" s="323" t="str">
        <f t="shared" si="245"/>
        <v xml:space="preserve"> </v>
      </c>
      <c r="L153" s="323" t="str">
        <f t="shared" si="245"/>
        <v xml:space="preserve"> </v>
      </c>
      <c r="M153" s="323" t="str">
        <f t="shared" si="245"/>
        <v xml:space="preserve"> </v>
      </c>
      <c r="N153" s="323" t="str">
        <f t="shared" si="245"/>
        <v xml:space="preserve"> </v>
      </c>
      <c r="O153" s="323" t="str">
        <f t="shared" si="245"/>
        <v xml:space="preserve"> </v>
      </c>
      <c r="P153" s="323" t="str">
        <f t="shared" si="245"/>
        <v xml:space="preserve"> </v>
      </c>
      <c r="Q153" s="323" t="str">
        <f t="shared" si="245"/>
        <v xml:space="preserve"> </v>
      </c>
      <c r="R153" s="323" t="str">
        <f t="shared" si="245"/>
        <v xml:space="preserve"> </v>
      </c>
      <c r="S153" s="323" t="str">
        <f t="shared" si="245"/>
        <v xml:space="preserve"> </v>
      </c>
      <c r="T153" s="323" t="str">
        <f t="shared" si="245"/>
        <v xml:space="preserve"> </v>
      </c>
      <c r="U153" s="323" t="str">
        <f t="shared" si="245"/>
        <v xml:space="preserve"> </v>
      </c>
      <c r="V153" s="323" t="str">
        <f t="shared" si="245"/>
        <v xml:space="preserve"> </v>
      </c>
      <c r="W153" s="323" t="str">
        <f t="shared" si="245"/>
        <v xml:space="preserve"> </v>
      </c>
      <c r="X153" s="323" t="str">
        <f t="shared" si="245"/>
        <v xml:space="preserve"> </v>
      </c>
      <c r="Y153" s="323" t="str">
        <f t="shared" si="245"/>
        <v xml:space="preserve"> </v>
      </c>
      <c r="Z153" s="323" t="str">
        <f t="shared" si="246"/>
        <v xml:space="preserve"> </v>
      </c>
      <c r="AA153" s="323" t="str">
        <f t="shared" si="246"/>
        <v xml:space="preserve"> </v>
      </c>
      <c r="AB153" s="323" t="str">
        <f t="shared" si="246"/>
        <v xml:space="preserve"> </v>
      </c>
      <c r="AC153" s="323" t="str">
        <f t="shared" si="246"/>
        <v xml:space="preserve"> </v>
      </c>
      <c r="AD153" s="323" t="str">
        <f t="shared" si="246"/>
        <v xml:space="preserve"> </v>
      </c>
      <c r="AE153" s="323" t="str">
        <f t="shared" si="246"/>
        <v xml:space="preserve"> </v>
      </c>
      <c r="AF153" s="323" t="str">
        <f t="shared" si="246"/>
        <v xml:space="preserve"> </v>
      </c>
      <c r="AG153" s="323" t="str">
        <f t="shared" si="246"/>
        <v xml:space="preserve"> </v>
      </c>
      <c r="AH153" s="323" t="str">
        <f t="shared" si="246"/>
        <v xml:space="preserve"> </v>
      </c>
      <c r="AI153" s="323" t="str">
        <f t="shared" si="246"/>
        <v xml:space="preserve"> </v>
      </c>
      <c r="AJ153" s="323" t="str">
        <f t="shared" si="246"/>
        <v xml:space="preserve"> </v>
      </c>
      <c r="AK153" s="323" t="str">
        <f t="shared" si="246"/>
        <v xml:space="preserve"> </v>
      </c>
      <c r="AL153" s="323" t="str">
        <f t="shared" si="246"/>
        <v xml:space="preserve"> </v>
      </c>
      <c r="AM153" s="323" t="str">
        <f t="shared" si="246"/>
        <v xml:space="preserve"> </v>
      </c>
      <c r="AN153" s="323" t="str">
        <f t="shared" si="246"/>
        <v xml:space="preserve"> </v>
      </c>
      <c r="AO153" s="323" t="str">
        <f t="shared" si="246"/>
        <v xml:space="preserve"> </v>
      </c>
      <c r="AP153" s="323">
        <f t="shared" si="247"/>
        <v>1</v>
      </c>
      <c r="AQ153" s="323" t="str">
        <f t="shared" si="247"/>
        <v xml:space="preserve"> </v>
      </c>
      <c r="AR153" s="323" t="str">
        <f t="shared" si="247"/>
        <v xml:space="preserve"> </v>
      </c>
      <c r="AS153" s="323" t="str">
        <f t="shared" si="247"/>
        <v xml:space="preserve"> </v>
      </c>
      <c r="AT153" s="323" t="str">
        <f t="shared" si="247"/>
        <v xml:space="preserve"> </v>
      </c>
      <c r="AU153" s="323" t="str">
        <f t="shared" si="247"/>
        <v xml:space="preserve"> </v>
      </c>
      <c r="AV153" s="323" t="str">
        <f t="shared" si="247"/>
        <v xml:space="preserve"> </v>
      </c>
      <c r="AW153" s="323" t="str">
        <f t="shared" si="247"/>
        <v xml:space="preserve"> </v>
      </c>
      <c r="AX153" s="323" t="str">
        <f t="shared" si="247"/>
        <v xml:space="preserve"> </v>
      </c>
      <c r="AY153" s="323" t="str">
        <f t="shared" si="247"/>
        <v xml:space="preserve"> </v>
      </c>
      <c r="AZ153" s="323" t="str">
        <f t="shared" si="247"/>
        <v xml:space="preserve"> </v>
      </c>
      <c r="BA153" s="323" t="str">
        <f t="shared" si="247"/>
        <v xml:space="preserve"> </v>
      </c>
      <c r="BB153" s="323" t="str">
        <f t="shared" si="247"/>
        <v xml:space="preserve"> </v>
      </c>
      <c r="BC153" s="323" t="str">
        <f t="shared" si="247"/>
        <v xml:space="preserve"> </v>
      </c>
      <c r="BD153" s="323" t="str">
        <f t="shared" si="247"/>
        <v xml:space="preserve"> </v>
      </c>
      <c r="BE153" s="323" t="str">
        <f t="shared" si="247"/>
        <v xml:space="preserve"> </v>
      </c>
    </row>
    <row r="155" spans="2:57" ht="15.75" thickBot="1" x14ac:dyDescent="0.3">
      <c r="J155" s="171" t="s">
        <v>680</v>
      </c>
    </row>
    <row r="156" spans="2:57" ht="16.5" thickTop="1" thickBot="1" x14ac:dyDescent="0.3">
      <c r="B156" s="430"/>
      <c r="C156" s="431" t="s">
        <v>929</v>
      </c>
      <c r="D156" s="431" t="s">
        <v>930</v>
      </c>
      <c r="E156" s="431" t="s">
        <v>592</v>
      </c>
      <c r="F156" s="322" t="s">
        <v>684</v>
      </c>
      <c r="G156" s="322" t="s">
        <v>685</v>
      </c>
      <c r="H156" s="322" t="s">
        <v>686</v>
      </c>
      <c r="J156" s="171">
        <f>J139</f>
        <v>2018</v>
      </c>
      <c r="K156" s="171">
        <f t="shared" ref="K156:AP156" si="248">K139</f>
        <v>2019</v>
      </c>
      <c r="L156" s="171">
        <f t="shared" si="248"/>
        <v>2020</v>
      </c>
      <c r="M156" s="171">
        <f t="shared" si="248"/>
        <v>2021</v>
      </c>
      <c r="N156" s="171">
        <f t="shared" si="248"/>
        <v>2022</v>
      </c>
      <c r="O156" s="171">
        <f t="shared" si="248"/>
        <v>2023</v>
      </c>
      <c r="P156" s="171">
        <f t="shared" si="248"/>
        <v>2024</v>
      </c>
      <c r="Q156" s="171">
        <f t="shared" si="248"/>
        <v>2025</v>
      </c>
      <c r="R156" s="171">
        <f t="shared" si="248"/>
        <v>2026</v>
      </c>
      <c r="S156" s="171">
        <f t="shared" si="248"/>
        <v>2027</v>
      </c>
      <c r="T156" s="171">
        <f t="shared" si="248"/>
        <v>2028</v>
      </c>
      <c r="U156" s="171">
        <f t="shared" si="248"/>
        <v>2029</v>
      </c>
      <c r="V156" s="171">
        <f t="shared" si="248"/>
        <v>2030</v>
      </c>
      <c r="W156" s="171">
        <f t="shared" si="248"/>
        <v>2031</v>
      </c>
      <c r="X156" s="171">
        <f t="shared" si="248"/>
        <v>2032</v>
      </c>
      <c r="Y156" s="171">
        <f t="shared" si="248"/>
        <v>2033</v>
      </c>
      <c r="Z156" s="171">
        <f t="shared" si="248"/>
        <v>2034</v>
      </c>
      <c r="AA156" s="171">
        <f t="shared" si="248"/>
        <v>2035</v>
      </c>
      <c r="AB156" s="171">
        <f t="shared" si="248"/>
        <v>2036</v>
      </c>
      <c r="AC156" s="171">
        <f t="shared" si="248"/>
        <v>2037</v>
      </c>
      <c r="AD156" s="171">
        <f t="shared" si="248"/>
        <v>2038</v>
      </c>
      <c r="AE156" s="171">
        <f t="shared" si="248"/>
        <v>2039</v>
      </c>
      <c r="AF156" s="171">
        <f t="shared" si="248"/>
        <v>2040</v>
      </c>
      <c r="AG156" s="171">
        <f t="shared" si="248"/>
        <v>2041</v>
      </c>
      <c r="AH156" s="171">
        <f t="shared" si="248"/>
        <v>2042</v>
      </c>
      <c r="AI156" s="171">
        <f t="shared" si="248"/>
        <v>2043</v>
      </c>
      <c r="AJ156" s="171">
        <f t="shared" si="248"/>
        <v>2044</v>
      </c>
      <c r="AK156" s="171">
        <f t="shared" si="248"/>
        <v>2045</v>
      </c>
      <c r="AL156" s="171">
        <f t="shared" si="248"/>
        <v>2046</v>
      </c>
      <c r="AM156" s="171">
        <f t="shared" si="248"/>
        <v>2047</v>
      </c>
      <c r="AN156" s="171">
        <f t="shared" si="248"/>
        <v>2048</v>
      </c>
      <c r="AO156" s="171">
        <f t="shared" si="248"/>
        <v>2049</v>
      </c>
      <c r="AP156" s="171">
        <f t="shared" si="248"/>
        <v>2050</v>
      </c>
      <c r="AQ156" s="171">
        <f t="shared" ref="AQ156:BE156" si="249">AQ139</f>
        <v>2051</v>
      </c>
      <c r="AR156" s="171">
        <f t="shared" si="249"/>
        <v>2052</v>
      </c>
      <c r="AS156" s="171">
        <f t="shared" si="249"/>
        <v>2053</v>
      </c>
      <c r="AT156" s="171">
        <f t="shared" si="249"/>
        <v>2054</v>
      </c>
      <c r="AU156" s="171">
        <f t="shared" si="249"/>
        <v>2055</v>
      </c>
      <c r="AV156" s="171">
        <f t="shared" si="249"/>
        <v>2056</v>
      </c>
      <c r="AW156" s="171">
        <f t="shared" si="249"/>
        <v>2057</v>
      </c>
      <c r="AX156" s="171">
        <f t="shared" si="249"/>
        <v>2058</v>
      </c>
      <c r="AY156" s="171">
        <f t="shared" si="249"/>
        <v>2059</v>
      </c>
      <c r="AZ156" s="171">
        <f t="shared" si="249"/>
        <v>2060</v>
      </c>
      <c r="BA156" s="171">
        <f t="shared" si="249"/>
        <v>2061</v>
      </c>
      <c r="BB156" s="171">
        <f t="shared" si="249"/>
        <v>2062</v>
      </c>
      <c r="BC156" s="171">
        <f t="shared" si="249"/>
        <v>2063</v>
      </c>
      <c r="BD156" s="171">
        <f t="shared" si="249"/>
        <v>2064</v>
      </c>
      <c r="BE156" s="171">
        <f t="shared" si="249"/>
        <v>2065</v>
      </c>
    </row>
    <row r="157" spans="2:57" ht="15.75" thickTop="1" x14ac:dyDescent="0.25">
      <c r="B157" s="432"/>
      <c r="C157" s="430" t="s">
        <v>931</v>
      </c>
      <c r="D157" s="430" t="s">
        <v>932</v>
      </c>
      <c r="E157" s="325">
        <v>20</v>
      </c>
      <c r="F157" s="313">
        <f>F142</f>
        <v>2022</v>
      </c>
      <c r="G157" s="313">
        <f>G142</f>
        <v>2030</v>
      </c>
      <c r="H157" s="313">
        <f>G157-F157</f>
        <v>8</v>
      </c>
      <c r="J157" s="433">
        <f>IF(AND($F157&gt;=$J$8,J$8&gt;=$F157),$E157,)</f>
        <v>0</v>
      </c>
      <c r="K157" s="433">
        <f t="shared" ref="K157:Z160" si="250">IF(AND($F157&gt;=$J$8,K$8&gt;=$F157),$E157,)</f>
        <v>0</v>
      </c>
      <c r="L157" s="433">
        <f t="shared" si="250"/>
        <v>0</v>
      </c>
      <c r="M157" s="433">
        <f t="shared" si="250"/>
        <v>0</v>
      </c>
      <c r="N157" s="433">
        <f t="shared" si="250"/>
        <v>20</v>
      </c>
      <c r="O157" s="433">
        <f t="shared" si="250"/>
        <v>20</v>
      </c>
      <c r="P157" s="433">
        <f t="shared" si="250"/>
        <v>20</v>
      </c>
      <c r="Q157" s="433">
        <f t="shared" si="250"/>
        <v>20</v>
      </c>
      <c r="R157" s="433">
        <f t="shared" si="250"/>
        <v>20</v>
      </c>
      <c r="S157" s="433">
        <f t="shared" si="250"/>
        <v>20</v>
      </c>
      <c r="T157" s="433">
        <f t="shared" si="250"/>
        <v>20</v>
      </c>
      <c r="U157" s="433">
        <f t="shared" si="250"/>
        <v>20</v>
      </c>
      <c r="V157" s="433">
        <f t="shared" si="250"/>
        <v>20</v>
      </c>
      <c r="W157" s="433">
        <f t="shared" si="250"/>
        <v>20</v>
      </c>
      <c r="X157" s="433">
        <f t="shared" si="250"/>
        <v>20</v>
      </c>
      <c r="Y157" s="433">
        <f t="shared" si="250"/>
        <v>20</v>
      </c>
      <c r="Z157" s="433">
        <f t="shared" si="250"/>
        <v>20</v>
      </c>
      <c r="AA157" s="433">
        <f t="shared" ref="AA157:AQ160" si="251">IF(AND($F157&gt;=$J$8,AA$8&gt;=$F157),$E157,)</f>
        <v>20</v>
      </c>
      <c r="AB157" s="433">
        <f t="shared" si="251"/>
        <v>20</v>
      </c>
      <c r="AC157" s="433">
        <f t="shared" si="251"/>
        <v>20</v>
      </c>
      <c r="AD157" s="433">
        <f t="shared" si="251"/>
        <v>20</v>
      </c>
      <c r="AE157" s="433">
        <f t="shared" si="251"/>
        <v>20</v>
      </c>
      <c r="AF157" s="433">
        <f t="shared" si="251"/>
        <v>20</v>
      </c>
      <c r="AG157" s="433">
        <f t="shared" si="251"/>
        <v>20</v>
      </c>
      <c r="AH157" s="433">
        <f t="shared" si="251"/>
        <v>20</v>
      </c>
      <c r="AI157" s="433">
        <f t="shared" si="251"/>
        <v>20</v>
      </c>
      <c r="AJ157" s="433">
        <f t="shared" si="251"/>
        <v>20</v>
      </c>
      <c r="AK157" s="433">
        <f t="shared" si="251"/>
        <v>20</v>
      </c>
      <c r="AL157" s="433">
        <f t="shared" si="251"/>
        <v>20</v>
      </c>
      <c r="AM157" s="433">
        <f t="shared" si="251"/>
        <v>20</v>
      </c>
      <c r="AN157" s="433">
        <f t="shared" si="251"/>
        <v>20</v>
      </c>
      <c r="AO157" s="433">
        <f t="shared" si="251"/>
        <v>20</v>
      </c>
      <c r="AP157" s="433">
        <f t="shared" si="251"/>
        <v>20</v>
      </c>
      <c r="AQ157" s="433">
        <f t="shared" si="251"/>
        <v>20</v>
      </c>
      <c r="AR157" s="433">
        <f t="shared" ref="AQ157:BE160" si="252">IF(AND($F157&gt;=$J$8,AR$8&gt;=$F157),$E157,)</f>
        <v>20</v>
      </c>
      <c r="AS157" s="433">
        <f t="shared" si="252"/>
        <v>20</v>
      </c>
      <c r="AT157" s="433">
        <f t="shared" si="252"/>
        <v>20</v>
      </c>
      <c r="AU157" s="433">
        <f t="shared" si="252"/>
        <v>20</v>
      </c>
      <c r="AV157" s="433">
        <f t="shared" si="252"/>
        <v>20</v>
      </c>
      <c r="AW157" s="433">
        <f t="shared" si="252"/>
        <v>20</v>
      </c>
      <c r="AX157" s="433">
        <f t="shared" si="252"/>
        <v>20</v>
      </c>
      <c r="AY157" s="433">
        <f t="shared" si="252"/>
        <v>20</v>
      </c>
      <c r="AZ157" s="433">
        <f t="shared" si="252"/>
        <v>20</v>
      </c>
      <c r="BA157" s="433">
        <f t="shared" si="252"/>
        <v>20</v>
      </c>
      <c r="BB157" s="433">
        <f t="shared" si="252"/>
        <v>20</v>
      </c>
      <c r="BC157" s="433">
        <f t="shared" si="252"/>
        <v>20</v>
      </c>
      <c r="BD157" s="433">
        <f t="shared" si="252"/>
        <v>20</v>
      </c>
      <c r="BE157" s="433">
        <f t="shared" si="252"/>
        <v>20</v>
      </c>
    </row>
    <row r="158" spans="2:57" x14ac:dyDescent="0.25">
      <c r="B158" s="434"/>
      <c r="C158" s="430" t="s">
        <v>933</v>
      </c>
      <c r="D158" s="430" t="s">
        <v>934</v>
      </c>
      <c r="E158" s="901">
        <v>5</v>
      </c>
      <c r="F158" s="313">
        <f>F145</f>
        <v>2031</v>
      </c>
      <c r="G158" s="313">
        <f>G145</f>
        <v>2049</v>
      </c>
      <c r="H158" s="313">
        <f t="shared" ref="H158:H160" si="253">G158-F158</f>
        <v>18</v>
      </c>
      <c r="J158" s="433">
        <f t="shared" ref="J158:J160" si="254">IF(AND($F158&gt;=$J$8,J$8&gt;=$F158),$E158,)</f>
        <v>0</v>
      </c>
      <c r="K158" s="433">
        <f t="shared" si="250"/>
        <v>0</v>
      </c>
      <c r="L158" s="433">
        <f t="shared" si="250"/>
        <v>0</v>
      </c>
      <c r="M158" s="433">
        <f t="shared" si="250"/>
        <v>0</v>
      </c>
      <c r="N158" s="433">
        <f t="shared" si="250"/>
        <v>0</v>
      </c>
      <c r="O158" s="433">
        <f t="shared" si="250"/>
        <v>0</v>
      </c>
      <c r="P158" s="433">
        <f t="shared" si="250"/>
        <v>0</v>
      </c>
      <c r="Q158" s="433">
        <f t="shared" si="250"/>
        <v>0</v>
      </c>
      <c r="R158" s="433">
        <f t="shared" si="250"/>
        <v>0</v>
      </c>
      <c r="S158" s="433">
        <f t="shared" si="250"/>
        <v>0</v>
      </c>
      <c r="T158" s="433">
        <f t="shared" si="250"/>
        <v>0</v>
      </c>
      <c r="U158" s="433">
        <f t="shared" si="250"/>
        <v>0</v>
      </c>
      <c r="V158" s="433">
        <f t="shared" si="250"/>
        <v>0</v>
      </c>
      <c r="W158" s="433">
        <f t="shared" si="250"/>
        <v>5</v>
      </c>
      <c r="X158" s="433">
        <f t="shared" si="250"/>
        <v>5</v>
      </c>
      <c r="Y158" s="433">
        <f t="shared" si="250"/>
        <v>5</v>
      </c>
      <c r="Z158" s="433">
        <f t="shared" si="250"/>
        <v>5</v>
      </c>
      <c r="AA158" s="433">
        <f t="shared" si="251"/>
        <v>5</v>
      </c>
      <c r="AB158" s="433">
        <f t="shared" si="251"/>
        <v>5</v>
      </c>
      <c r="AC158" s="433">
        <f t="shared" si="251"/>
        <v>5</v>
      </c>
      <c r="AD158" s="433">
        <f t="shared" si="251"/>
        <v>5</v>
      </c>
      <c r="AE158" s="433">
        <f t="shared" si="251"/>
        <v>5</v>
      </c>
      <c r="AF158" s="433">
        <f t="shared" si="251"/>
        <v>5</v>
      </c>
      <c r="AG158" s="433">
        <f t="shared" si="251"/>
        <v>5</v>
      </c>
      <c r="AH158" s="433">
        <f t="shared" si="251"/>
        <v>5</v>
      </c>
      <c r="AI158" s="433">
        <f t="shared" si="251"/>
        <v>5</v>
      </c>
      <c r="AJ158" s="433">
        <f t="shared" si="251"/>
        <v>5</v>
      </c>
      <c r="AK158" s="433">
        <f t="shared" si="251"/>
        <v>5</v>
      </c>
      <c r="AL158" s="433">
        <f t="shared" si="251"/>
        <v>5</v>
      </c>
      <c r="AM158" s="433">
        <f t="shared" si="251"/>
        <v>5</v>
      </c>
      <c r="AN158" s="433">
        <f t="shared" si="251"/>
        <v>5</v>
      </c>
      <c r="AO158" s="433">
        <f t="shared" si="251"/>
        <v>5</v>
      </c>
      <c r="AP158" s="433">
        <f t="shared" si="251"/>
        <v>5</v>
      </c>
      <c r="AQ158" s="433">
        <f t="shared" si="252"/>
        <v>5</v>
      </c>
      <c r="AR158" s="433">
        <f t="shared" si="252"/>
        <v>5</v>
      </c>
      <c r="AS158" s="433">
        <f t="shared" si="252"/>
        <v>5</v>
      </c>
      <c r="AT158" s="433">
        <f t="shared" si="252"/>
        <v>5</v>
      </c>
      <c r="AU158" s="433">
        <f t="shared" si="252"/>
        <v>5</v>
      </c>
      <c r="AV158" s="433">
        <f t="shared" si="252"/>
        <v>5</v>
      </c>
      <c r="AW158" s="433">
        <f t="shared" si="252"/>
        <v>5</v>
      </c>
      <c r="AX158" s="433">
        <f t="shared" si="252"/>
        <v>5</v>
      </c>
      <c r="AY158" s="433">
        <f t="shared" si="252"/>
        <v>5</v>
      </c>
      <c r="AZ158" s="433">
        <f t="shared" si="252"/>
        <v>5</v>
      </c>
      <c r="BA158" s="433">
        <f t="shared" si="252"/>
        <v>5</v>
      </c>
      <c r="BB158" s="433">
        <f t="shared" si="252"/>
        <v>5</v>
      </c>
      <c r="BC158" s="433">
        <f t="shared" si="252"/>
        <v>5</v>
      </c>
      <c r="BD158" s="433">
        <f t="shared" si="252"/>
        <v>5</v>
      </c>
      <c r="BE158" s="433">
        <f t="shared" si="252"/>
        <v>5</v>
      </c>
    </row>
    <row r="159" spans="2:57" x14ac:dyDescent="0.25">
      <c r="B159" s="30"/>
      <c r="C159" s="430" t="s">
        <v>935</v>
      </c>
      <c r="D159" s="430" t="s">
        <v>936</v>
      </c>
      <c r="E159" s="325">
        <v>10</v>
      </c>
      <c r="F159" s="313">
        <f>F148</f>
        <v>2026</v>
      </c>
      <c r="G159" s="313">
        <f>G148</f>
        <v>2030</v>
      </c>
      <c r="H159" s="313">
        <f t="shared" si="253"/>
        <v>4</v>
      </c>
      <c r="J159" s="433">
        <f t="shared" si="254"/>
        <v>0</v>
      </c>
      <c r="K159" s="433">
        <f t="shared" si="250"/>
        <v>0</v>
      </c>
      <c r="L159" s="433">
        <f t="shared" si="250"/>
        <v>0</v>
      </c>
      <c r="M159" s="433">
        <f t="shared" si="250"/>
        <v>0</v>
      </c>
      <c r="N159" s="433">
        <f t="shared" si="250"/>
        <v>0</v>
      </c>
      <c r="O159" s="433">
        <f t="shared" si="250"/>
        <v>0</v>
      </c>
      <c r="P159" s="433">
        <f t="shared" si="250"/>
        <v>0</v>
      </c>
      <c r="Q159" s="433">
        <f t="shared" si="250"/>
        <v>0</v>
      </c>
      <c r="R159" s="433">
        <f t="shared" si="250"/>
        <v>10</v>
      </c>
      <c r="S159" s="433">
        <f t="shared" si="250"/>
        <v>10</v>
      </c>
      <c r="T159" s="433">
        <f t="shared" si="250"/>
        <v>10</v>
      </c>
      <c r="U159" s="433">
        <f t="shared" si="250"/>
        <v>10</v>
      </c>
      <c r="V159" s="433">
        <f t="shared" si="250"/>
        <v>10</v>
      </c>
      <c r="W159" s="433">
        <f t="shared" si="250"/>
        <v>10</v>
      </c>
      <c r="X159" s="433">
        <f t="shared" si="250"/>
        <v>10</v>
      </c>
      <c r="Y159" s="433">
        <f t="shared" si="250"/>
        <v>10</v>
      </c>
      <c r="Z159" s="433">
        <f t="shared" si="250"/>
        <v>10</v>
      </c>
      <c r="AA159" s="433">
        <f t="shared" si="251"/>
        <v>10</v>
      </c>
      <c r="AB159" s="433">
        <f t="shared" si="251"/>
        <v>10</v>
      </c>
      <c r="AC159" s="433">
        <f t="shared" si="251"/>
        <v>10</v>
      </c>
      <c r="AD159" s="433">
        <f t="shared" si="251"/>
        <v>10</v>
      </c>
      <c r="AE159" s="433">
        <f t="shared" si="251"/>
        <v>10</v>
      </c>
      <c r="AF159" s="433">
        <f t="shared" si="251"/>
        <v>10</v>
      </c>
      <c r="AG159" s="433">
        <f t="shared" si="251"/>
        <v>10</v>
      </c>
      <c r="AH159" s="433">
        <f t="shared" si="251"/>
        <v>10</v>
      </c>
      <c r="AI159" s="433">
        <f t="shared" si="251"/>
        <v>10</v>
      </c>
      <c r="AJ159" s="433">
        <f t="shared" si="251"/>
        <v>10</v>
      </c>
      <c r="AK159" s="433">
        <f t="shared" si="251"/>
        <v>10</v>
      </c>
      <c r="AL159" s="433">
        <f t="shared" si="251"/>
        <v>10</v>
      </c>
      <c r="AM159" s="433">
        <f t="shared" si="251"/>
        <v>10</v>
      </c>
      <c r="AN159" s="433">
        <f t="shared" si="251"/>
        <v>10</v>
      </c>
      <c r="AO159" s="433">
        <f t="shared" si="251"/>
        <v>10</v>
      </c>
      <c r="AP159" s="433">
        <f t="shared" si="251"/>
        <v>10</v>
      </c>
      <c r="AQ159" s="433">
        <f t="shared" si="252"/>
        <v>10</v>
      </c>
      <c r="AR159" s="433">
        <f t="shared" si="252"/>
        <v>10</v>
      </c>
      <c r="AS159" s="433">
        <f t="shared" si="252"/>
        <v>10</v>
      </c>
      <c r="AT159" s="433">
        <f t="shared" si="252"/>
        <v>10</v>
      </c>
      <c r="AU159" s="433">
        <f t="shared" si="252"/>
        <v>10</v>
      </c>
      <c r="AV159" s="433">
        <f t="shared" si="252"/>
        <v>10</v>
      </c>
      <c r="AW159" s="433">
        <f t="shared" si="252"/>
        <v>10</v>
      </c>
      <c r="AX159" s="433">
        <f t="shared" si="252"/>
        <v>10</v>
      </c>
      <c r="AY159" s="433">
        <f t="shared" si="252"/>
        <v>10</v>
      </c>
      <c r="AZ159" s="433">
        <f t="shared" si="252"/>
        <v>10</v>
      </c>
      <c r="BA159" s="433">
        <f t="shared" si="252"/>
        <v>10</v>
      </c>
      <c r="BB159" s="433">
        <f t="shared" si="252"/>
        <v>10</v>
      </c>
      <c r="BC159" s="433">
        <f t="shared" si="252"/>
        <v>10</v>
      </c>
      <c r="BD159" s="433">
        <f t="shared" si="252"/>
        <v>10</v>
      </c>
      <c r="BE159" s="433">
        <f t="shared" si="252"/>
        <v>10</v>
      </c>
    </row>
    <row r="160" spans="2:57" x14ac:dyDescent="0.25">
      <c r="B160" s="435"/>
      <c r="C160" s="430" t="s">
        <v>937</v>
      </c>
      <c r="D160" s="430" t="s">
        <v>936</v>
      </c>
      <c r="E160" s="325">
        <v>100</v>
      </c>
      <c r="F160" s="313">
        <f>F151</f>
        <v>2031</v>
      </c>
      <c r="G160" s="313">
        <f>G151</f>
        <v>2050</v>
      </c>
      <c r="H160" s="313">
        <f t="shared" si="253"/>
        <v>19</v>
      </c>
      <c r="J160" s="433">
        <f t="shared" si="254"/>
        <v>0</v>
      </c>
      <c r="K160" s="433">
        <f t="shared" si="250"/>
        <v>0</v>
      </c>
      <c r="L160" s="433">
        <f t="shared" si="250"/>
        <v>0</v>
      </c>
      <c r="M160" s="433">
        <f t="shared" si="250"/>
        <v>0</v>
      </c>
      <c r="N160" s="433">
        <f t="shared" si="250"/>
        <v>0</v>
      </c>
      <c r="O160" s="433">
        <f t="shared" si="250"/>
        <v>0</v>
      </c>
      <c r="P160" s="433">
        <f t="shared" si="250"/>
        <v>0</v>
      </c>
      <c r="Q160" s="433">
        <f t="shared" si="250"/>
        <v>0</v>
      </c>
      <c r="R160" s="433">
        <f t="shared" si="250"/>
        <v>0</v>
      </c>
      <c r="S160" s="433">
        <f t="shared" si="250"/>
        <v>0</v>
      </c>
      <c r="T160" s="433">
        <f t="shared" si="250"/>
        <v>0</v>
      </c>
      <c r="U160" s="433">
        <f t="shared" si="250"/>
        <v>0</v>
      </c>
      <c r="V160" s="433">
        <f t="shared" si="250"/>
        <v>0</v>
      </c>
      <c r="W160" s="433">
        <f t="shared" si="250"/>
        <v>100</v>
      </c>
      <c r="X160" s="433">
        <f t="shared" si="250"/>
        <v>100</v>
      </c>
      <c r="Y160" s="433">
        <f t="shared" si="250"/>
        <v>100</v>
      </c>
      <c r="Z160" s="433">
        <f t="shared" si="250"/>
        <v>100</v>
      </c>
      <c r="AA160" s="433">
        <f t="shared" si="251"/>
        <v>100</v>
      </c>
      <c r="AB160" s="433">
        <f t="shared" si="251"/>
        <v>100</v>
      </c>
      <c r="AC160" s="433">
        <f t="shared" si="251"/>
        <v>100</v>
      </c>
      <c r="AD160" s="433">
        <f t="shared" si="251"/>
        <v>100</v>
      </c>
      <c r="AE160" s="433">
        <f t="shared" si="251"/>
        <v>100</v>
      </c>
      <c r="AF160" s="433">
        <f t="shared" si="251"/>
        <v>100</v>
      </c>
      <c r="AG160" s="433">
        <f t="shared" si="251"/>
        <v>100</v>
      </c>
      <c r="AH160" s="433">
        <f t="shared" si="251"/>
        <v>100</v>
      </c>
      <c r="AI160" s="433">
        <f t="shared" si="251"/>
        <v>100</v>
      </c>
      <c r="AJ160" s="433">
        <f t="shared" si="251"/>
        <v>100</v>
      </c>
      <c r="AK160" s="433">
        <f t="shared" si="251"/>
        <v>100</v>
      </c>
      <c r="AL160" s="433">
        <f t="shared" si="251"/>
        <v>100</v>
      </c>
      <c r="AM160" s="433">
        <f t="shared" si="251"/>
        <v>100</v>
      </c>
      <c r="AN160" s="433">
        <f t="shared" si="251"/>
        <v>100</v>
      </c>
      <c r="AO160" s="433">
        <f t="shared" si="251"/>
        <v>100</v>
      </c>
      <c r="AP160" s="433">
        <f t="shared" si="251"/>
        <v>100</v>
      </c>
      <c r="AQ160" s="433">
        <f t="shared" si="252"/>
        <v>100</v>
      </c>
      <c r="AR160" s="433">
        <f t="shared" si="252"/>
        <v>100</v>
      </c>
      <c r="AS160" s="433">
        <f t="shared" si="252"/>
        <v>100</v>
      </c>
      <c r="AT160" s="433">
        <f t="shared" si="252"/>
        <v>100</v>
      </c>
      <c r="AU160" s="433">
        <f t="shared" si="252"/>
        <v>100</v>
      </c>
      <c r="AV160" s="433">
        <f t="shared" si="252"/>
        <v>100</v>
      </c>
      <c r="AW160" s="433">
        <f t="shared" si="252"/>
        <v>100</v>
      </c>
      <c r="AX160" s="433">
        <f t="shared" si="252"/>
        <v>100</v>
      </c>
      <c r="AY160" s="433">
        <f t="shared" si="252"/>
        <v>100</v>
      </c>
      <c r="AZ160" s="433">
        <f t="shared" si="252"/>
        <v>100</v>
      </c>
      <c r="BA160" s="433">
        <f t="shared" si="252"/>
        <v>100</v>
      </c>
      <c r="BB160" s="433">
        <f t="shared" si="252"/>
        <v>100</v>
      </c>
      <c r="BC160" s="433">
        <f t="shared" si="252"/>
        <v>100</v>
      </c>
      <c r="BD160" s="433">
        <f t="shared" si="252"/>
        <v>100</v>
      </c>
      <c r="BE160" s="433">
        <f t="shared" si="252"/>
        <v>100</v>
      </c>
    </row>
    <row r="162" spans="2:57" x14ac:dyDescent="0.25">
      <c r="C162" s="431" t="s">
        <v>938</v>
      </c>
    </row>
    <row r="163" spans="2:57" x14ac:dyDescent="0.25">
      <c r="B163" s="171">
        <v>1</v>
      </c>
      <c r="C163" s="916" t="s">
        <v>1392</v>
      </c>
    </row>
    <row r="164" spans="2:57" x14ac:dyDescent="0.25">
      <c r="B164" s="171">
        <v>2</v>
      </c>
      <c r="C164" s="916" t="s">
        <v>1393</v>
      </c>
    </row>
    <row r="165" spans="2:57" x14ac:dyDescent="0.25">
      <c r="B165" s="171">
        <v>3</v>
      </c>
      <c r="C165" s="916" t="s">
        <v>1394</v>
      </c>
    </row>
    <row r="166" spans="2:57" x14ac:dyDescent="0.25">
      <c r="B166" s="171">
        <v>4</v>
      </c>
      <c r="C166" s="916" t="s">
        <v>1395</v>
      </c>
    </row>
    <row r="167" spans="2:57" x14ac:dyDescent="0.25">
      <c r="B167" s="171">
        <v>5</v>
      </c>
      <c r="C167" s="916" t="s">
        <v>1396</v>
      </c>
    </row>
    <row r="168" spans="2:57" x14ac:dyDescent="0.25">
      <c r="B168" s="171">
        <v>6</v>
      </c>
      <c r="C168" s="325" t="s">
        <v>1445</v>
      </c>
    </row>
    <row r="169" spans="2:57" x14ac:dyDescent="0.25">
      <c r="B169" s="171">
        <v>7</v>
      </c>
      <c r="C169" s="325" t="s">
        <v>1491</v>
      </c>
    </row>
    <row r="171" spans="2:57" ht="23.25" x14ac:dyDescent="0.35">
      <c r="C171" s="722" t="s">
        <v>1750</v>
      </c>
    </row>
    <row r="172" spans="2:57" ht="15.75" thickBot="1" x14ac:dyDescent="0.3">
      <c r="F172" s="321"/>
      <c r="J172" s="171" t="s">
        <v>680</v>
      </c>
    </row>
    <row r="173" spans="2:57" ht="16.5" thickTop="1" thickBot="1" x14ac:dyDescent="0.3">
      <c r="C173" s="322" t="s">
        <v>681</v>
      </c>
      <c r="D173" s="322" t="s">
        <v>682</v>
      </c>
      <c r="E173" s="322" t="s">
        <v>683</v>
      </c>
      <c r="F173" s="322" t="s">
        <v>684</v>
      </c>
      <c r="G173" s="322" t="s">
        <v>685</v>
      </c>
      <c r="H173" s="322" t="s">
        <v>686</v>
      </c>
      <c r="J173" s="171">
        <f>F174</f>
        <v>0</v>
      </c>
      <c r="K173" s="171">
        <f>J173+1</f>
        <v>1</v>
      </c>
      <c r="L173" s="171">
        <f t="shared" ref="L173" si="255">K173+1</f>
        <v>2</v>
      </c>
      <c r="M173" s="171">
        <f t="shared" ref="M173" si="256">L173+1</f>
        <v>3</v>
      </c>
      <c r="N173" s="171">
        <f t="shared" ref="N173" si="257">M173+1</f>
        <v>4</v>
      </c>
      <c r="O173" s="171">
        <f t="shared" ref="O173" si="258">N173+1</f>
        <v>5</v>
      </c>
      <c r="P173" s="171">
        <f t="shared" ref="P173" si="259">O173+1</f>
        <v>6</v>
      </c>
      <c r="Q173" s="171">
        <f t="shared" ref="Q173" si="260">P173+1</f>
        <v>7</v>
      </c>
      <c r="R173" s="171">
        <f t="shared" ref="R173" si="261">Q173+1</f>
        <v>8</v>
      </c>
      <c r="S173" s="171">
        <f t="shared" ref="S173" si="262">R173+1</f>
        <v>9</v>
      </c>
      <c r="T173" s="171">
        <f t="shared" ref="T173" si="263">S173+1</f>
        <v>10</v>
      </c>
      <c r="U173" s="171">
        <f t="shared" ref="U173" si="264">T173+1</f>
        <v>11</v>
      </c>
      <c r="V173" s="171">
        <f t="shared" ref="V173" si="265">U173+1</f>
        <v>12</v>
      </c>
      <c r="W173" s="171">
        <f t="shared" ref="W173" si="266">V173+1</f>
        <v>13</v>
      </c>
      <c r="X173" s="171">
        <f t="shared" ref="X173" si="267">W173+1</f>
        <v>14</v>
      </c>
      <c r="Y173" s="171">
        <f t="shared" ref="Y173" si="268">X173+1</f>
        <v>15</v>
      </c>
      <c r="Z173" s="171">
        <f t="shared" ref="Z173" si="269">Y173+1</f>
        <v>16</v>
      </c>
      <c r="AA173" s="171">
        <f t="shared" ref="AA173" si="270">Z173+1</f>
        <v>17</v>
      </c>
      <c r="AB173" s="171">
        <f t="shared" ref="AB173" si="271">AA173+1</f>
        <v>18</v>
      </c>
      <c r="AC173" s="171">
        <f t="shared" ref="AC173" si="272">AB173+1</f>
        <v>19</v>
      </c>
      <c r="AD173" s="171">
        <f t="shared" ref="AD173" si="273">AC173+1</f>
        <v>20</v>
      </c>
      <c r="AE173" s="171">
        <f t="shared" ref="AE173" si="274">AD173+1</f>
        <v>21</v>
      </c>
      <c r="AF173" s="171">
        <f t="shared" ref="AF173" si="275">AE173+1</f>
        <v>22</v>
      </c>
      <c r="AG173" s="171">
        <f t="shared" ref="AG173" si="276">AF173+1</f>
        <v>23</v>
      </c>
      <c r="AH173" s="171">
        <f t="shared" ref="AH173" si="277">AG173+1</f>
        <v>24</v>
      </c>
      <c r="AI173" s="171">
        <f t="shared" ref="AI173" si="278">AH173+1</f>
        <v>25</v>
      </c>
      <c r="AJ173" s="171">
        <f t="shared" ref="AJ173" si="279">AI173+1</f>
        <v>26</v>
      </c>
      <c r="AK173" s="171">
        <f t="shared" ref="AK173" si="280">AJ173+1</f>
        <v>27</v>
      </c>
      <c r="AL173" s="171">
        <f t="shared" ref="AL173" si="281">AK173+1</f>
        <v>28</v>
      </c>
      <c r="AM173" s="171">
        <f t="shared" ref="AM173" si="282">AL173+1</f>
        <v>29</v>
      </c>
      <c r="AN173" s="171">
        <f t="shared" ref="AN173" si="283">AM173+1</f>
        <v>30</v>
      </c>
      <c r="AO173" s="171">
        <f t="shared" ref="AO173" si="284">AN173+1</f>
        <v>31</v>
      </c>
      <c r="AP173" s="171">
        <f t="shared" ref="AP173" si="285">AO173+1</f>
        <v>32</v>
      </c>
      <c r="AQ173" s="171">
        <f t="shared" ref="AQ173" si="286">AP173+1</f>
        <v>33</v>
      </c>
      <c r="AR173" s="171">
        <f t="shared" ref="AR173" si="287">AQ173+1</f>
        <v>34</v>
      </c>
      <c r="AS173" s="171">
        <f t="shared" ref="AS173" si="288">AR173+1</f>
        <v>35</v>
      </c>
      <c r="AT173" s="171">
        <f t="shared" ref="AT173" si="289">AS173+1</f>
        <v>36</v>
      </c>
      <c r="AU173" s="171">
        <f t="shared" ref="AU173" si="290">AT173+1</f>
        <v>37</v>
      </c>
      <c r="AV173" s="171">
        <f t="shared" ref="AV173" si="291">AU173+1</f>
        <v>38</v>
      </c>
      <c r="AW173" s="171">
        <f t="shared" ref="AW173" si="292">AV173+1</f>
        <v>39</v>
      </c>
      <c r="AX173" s="171">
        <f t="shared" ref="AX173" si="293">AW173+1</f>
        <v>40</v>
      </c>
      <c r="AY173" s="171">
        <f t="shared" ref="AY173" si="294">AX173+1</f>
        <v>41</v>
      </c>
      <c r="AZ173" s="171">
        <f t="shared" ref="AZ173" si="295">AY173+1</f>
        <v>42</v>
      </c>
      <c r="BA173" s="171">
        <f t="shared" ref="BA173" si="296">AZ173+1</f>
        <v>43</v>
      </c>
      <c r="BB173" s="171">
        <f t="shared" ref="BB173" si="297">BA173+1</f>
        <v>44</v>
      </c>
      <c r="BC173" s="171">
        <f t="shared" ref="BC173" si="298">BB173+1</f>
        <v>45</v>
      </c>
      <c r="BD173" s="171">
        <f t="shared" ref="BD173" si="299">BC173+1</f>
        <v>46</v>
      </c>
      <c r="BE173" s="171">
        <f t="shared" ref="BE173" si="300">BD173+1</f>
        <v>47</v>
      </c>
    </row>
    <row r="174" spans="2:57" ht="15.75" thickTop="1" x14ac:dyDescent="0.25">
      <c r="C174" s="171" t="s">
        <v>687</v>
      </c>
      <c r="D174" s="325" t="s">
        <v>688</v>
      </c>
      <c r="E174" s="325">
        <v>1</v>
      </c>
      <c r="F174" s="916"/>
      <c r="G174" s="916"/>
      <c r="H174" s="313">
        <f t="shared" ref="H174:H187" si="301">G174-F174</f>
        <v>0</v>
      </c>
      <c r="J174" s="323" t="str">
        <f t="shared" ref="J174:Y187" si="302">IF(AND(J$8&gt;=$F174,J$8&lt;$G174),1," ")</f>
        <v xml:space="preserve"> </v>
      </c>
      <c r="K174" s="323" t="str">
        <f t="shared" si="302"/>
        <v xml:space="preserve"> </v>
      </c>
      <c r="L174" s="323" t="str">
        <f t="shared" si="302"/>
        <v xml:space="preserve"> </v>
      </c>
      <c r="M174" s="323" t="str">
        <f t="shared" si="302"/>
        <v xml:space="preserve"> </v>
      </c>
      <c r="N174" s="323" t="str">
        <f t="shared" si="302"/>
        <v xml:space="preserve"> </v>
      </c>
      <c r="O174" s="323" t="str">
        <f t="shared" si="302"/>
        <v xml:space="preserve"> </v>
      </c>
      <c r="P174" s="323" t="str">
        <f t="shared" si="302"/>
        <v xml:space="preserve"> </v>
      </c>
      <c r="Q174" s="323" t="str">
        <f t="shared" si="302"/>
        <v xml:space="preserve"> </v>
      </c>
      <c r="R174" s="323" t="str">
        <f t="shared" si="302"/>
        <v xml:space="preserve"> </v>
      </c>
      <c r="S174" s="323" t="str">
        <f t="shared" si="302"/>
        <v xml:space="preserve"> </v>
      </c>
      <c r="T174" s="323" t="str">
        <f t="shared" si="302"/>
        <v xml:space="preserve"> </v>
      </c>
      <c r="U174" s="323" t="str">
        <f t="shared" si="302"/>
        <v xml:space="preserve"> </v>
      </c>
      <c r="V174" s="323" t="str">
        <f t="shared" si="302"/>
        <v xml:space="preserve"> </v>
      </c>
      <c r="W174" s="323" t="str">
        <f t="shared" si="302"/>
        <v xml:space="preserve"> </v>
      </c>
      <c r="X174" s="323" t="str">
        <f t="shared" si="302"/>
        <v xml:space="preserve"> </v>
      </c>
      <c r="Y174" s="323" t="str">
        <f t="shared" si="302"/>
        <v xml:space="preserve"> </v>
      </c>
      <c r="Z174" s="323" t="str">
        <f t="shared" ref="Z174:AO187" si="303">IF(AND(Z$8&gt;=$F174,Z$8&lt;$G174),1," ")</f>
        <v xml:space="preserve"> </v>
      </c>
      <c r="AA174" s="323" t="str">
        <f t="shared" si="303"/>
        <v xml:space="preserve"> </v>
      </c>
      <c r="AB174" s="323" t="str">
        <f t="shared" si="303"/>
        <v xml:space="preserve"> </v>
      </c>
      <c r="AC174" s="323" t="str">
        <f t="shared" si="303"/>
        <v xml:space="preserve"> </v>
      </c>
      <c r="AD174" s="323" t="str">
        <f t="shared" si="303"/>
        <v xml:space="preserve"> </v>
      </c>
      <c r="AE174" s="323" t="str">
        <f t="shared" si="303"/>
        <v xml:space="preserve"> </v>
      </c>
      <c r="AF174" s="323" t="str">
        <f t="shared" si="303"/>
        <v xml:space="preserve"> </v>
      </c>
      <c r="AG174" s="323" t="str">
        <f t="shared" si="303"/>
        <v xml:space="preserve"> </v>
      </c>
      <c r="AH174" s="323" t="str">
        <f t="shared" si="303"/>
        <v xml:space="preserve"> </v>
      </c>
      <c r="AI174" s="323" t="str">
        <f t="shared" si="303"/>
        <v xml:space="preserve"> </v>
      </c>
      <c r="AJ174" s="323" t="str">
        <f t="shared" si="303"/>
        <v xml:space="preserve"> </v>
      </c>
      <c r="AK174" s="323" t="str">
        <f t="shared" si="303"/>
        <v xml:space="preserve"> </v>
      </c>
      <c r="AL174" s="323" t="str">
        <f t="shared" si="303"/>
        <v xml:space="preserve"> </v>
      </c>
      <c r="AM174" s="323" t="str">
        <f t="shared" si="303"/>
        <v xml:space="preserve"> </v>
      </c>
      <c r="AN174" s="323" t="str">
        <f t="shared" si="303"/>
        <v xml:space="preserve"> </v>
      </c>
      <c r="AO174" s="323" t="str">
        <f t="shared" si="303"/>
        <v xml:space="preserve"> </v>
      </c>
      <c r="AP174" s="323" t="str">
        <f t="shared" ref="AP174:BE187" si="304">IF(AND(AP$8&gt;=$F174,AP$8&lt;$G174),1," ")</f>
        <v xml:space="preserve"> </v>
      </c>
      <c r="AQ174" s="323" t="str">
        <f t="shared" si="304"/>
        <v xml:space="preserve"> </v>
      </c>
      <c r="AR174" s="323" t="str">
        <f t="shared" si="304"/>
        <v xml:space="preserve"> </v>
      </c>
      <c r="AS174" s="323" t="str">
        <f t="shared" si="304"/>
        <v xml:space="preserve"> </v>
      </c>
      <c r="AT174" s="323" t="str">
        <f t="shared" si="304"/>
        <v xml:space="preserve"> </v>
      </c>
      <c r="AU174" s="323" t="str">
        <f t="shared" si="304"/>
        <v xml:space="preserve"> </v>
      </c>
      <c r="AV174" s="323" t="str">
        <f t="shared" si="304"/>
        <v xml:space="preserve"> </v>
      </c>
      <c r="AW174" s="323" t="str">
        <f t="shared" si="304"/>
        <v xml:space="preserve"> </v>
      </c>
      <c r="AX174" s="323" t="str">
        <f t="shared" si="304"/>
        <v xml:space="preserve"> </v>
      </c>
      <c r="AY174" s="323" t="str">
        <f t="shared" si="304"/>
        <v xml:space="preserve"> </v>
      </c>
      <c r="AZ174" s="323" t="str">
        <f t="shared" si="304"/>
        <v xml:space="preserve"> </v>
      </c>
      <c r="BA174" s="323" t="str">
        <f t="shared" si="304"/>
        <v xml:space="preserve"> </v>
      </c>
      <c r="BB174" s="323" t="str">
        <f t="shared" si="304"/>
        <v xml:space="preserve"> </v>
      </c>
      <c r="BC174" s="323" t="str">
        <f t="shared" si="304"/>
        <v xml:space="preserve"> </v>
      </c>
      <c r="BD174" s="323" t="str">
        <f t="shared" si="304"/>
        <v xml:space="preserve"> </v>
      </c>
      <c r="BE174" s="323" t="str">
        <f t="shared" si="304"/>
        <v xml:space="preserve"> </v>
      </c>
    </row>
    <row r="175" spans="2:57" x14ac:dyDescent="0.25">
      <c r="B175" s="314"/>
      <c r="C175" s="171" t="s">
        <v>689</v>
      </c>
      <c r="D175" s="325" t="s">
        <v>688</v>
      </c>
      <c r="E175" s="325">
        <v>2</v>
      </c>
      <c r="F175" s="917"/>
      <c r="G175" s="916"/>
      <c r="H175" s="313">
        <f t="shared" si="301"/>
        <v>0</v>
      </c>
      <c r="J175" s="323" t="str">
        <f t="shared" si="302"/>
        <v xml:space="preserve"> </v>
      </c>
      <c r="K175" s="323" t="str">
        <f t="shared" si="302"/>
        <v xml:space="preserve"> </v>
      </c>
      <c r="L175" s="323" t="str">
        <f t="shared" si="302"/>
        <v xml:space="preserve"> </v>
      </c>
      <c r="M175" s="323" t="str">
        <f t="shared" si="302"/>
        <v xml:space="preserve"> </v>
      </c>
      <c r="N175" s="323" t="str">
        <f t="shared" si="302"/>
        <v xml:space="preserve"> </v>
      </c>
      <c r="O175" s="323" t="str">
        <f t="shared" si="302"/>
        <v xml:space="preserve"> </v>
      </c>
      <c r="P175" s="323" t="str">
        <f t="shared" si="302"/>
        <v xml:space="preserve"> </v>
      </c>
      <c r="Q175" s="323" t="str">
        <f t="shared" si="302"/>
        <v xml:space="preserve"> </v>
      </c>
      <c r="R175" s="323" t="str">
        <f t="shared" si="302"/>
        <v xml:space="preserve"> </v>
      </c>
      <c r="S175" s="323" t="str">
        <f t="shared" si="302"/>
        <v xml:space="preserve"> </v>
      </c>
      <c r="T175" s="323" t="str">
        <f t="shared" si="302"/>
        <v xml:space="preserve"> </v>
      </c>
      <c r="U175" s="323" t="str">
        <f t="shared" si="302"/>
        <v xml:space="preserve"> </v>
      </c>
      <c r="V175" s="323" t="str">
        <f t="shared" si="302"/>
        <v xml:space="preserve"> </v>
      </c>
      <c r="W175" s="323" t="str">
        <f t="shared" si="302"/>
        <v xml:space="preserve"> </v>
      </c>
      <c r="X175" s="323" t="str">
        <f t="shared" si="302"/>
        <v xml:space="preserve"> </v>
      </c>
      <c r="Y175" s="323" t="str">
        <f t="shared" si="302"/>
        <v xml:space="preserve"> </v>
      </c>
      <c r="Z175" s="323" t="str">
        <f t="shared" si="303"/>
        <v xml:space="preserve"> </v>
      </c>
      <c r="AA175" s="323" t="str">
        <f t="shared" si="303"/>
        <v xml:space="preserve"> </v>
      </c>
      <c r="AB175" s="323" t="str">
        <f t="shared" si="303"/>
        <v xml:space="preserve"> </v>
      </c>
      <c r="AC175" s="323" t="str">
        <f t="shared" si="303"/>
        <v xml:space="preserve"> </v>
      </c>
      <c r="AD175" s="323" t="str">
        <f t="shared" si="303"/>
        <v xml:space="preserve"> </v>
      </c>
      <c r="AE175" s="323" t="str">
        <f t="shared" si="303"/>
        <v xml:space="preserve"> </v>
      </c>
      <c r="AF175" s="323" t="str">
        <f t="shared" si="303"/>
        <v xml:space="preserve"> </v>
      </c>
      <c r="AG175" s="323" t="str">
        <f t="shared" si="303"/>
        <v xml:space="preserve"> </v>
      </c>
      <c r="AH175" s="323" t="str">
        <f t="shared" si="303"/>
        <v xml:space="preserve"> </v>
      </c>
      <c r="AI175" s="323" t="str">
        <f t="shared" si="303"/>
        <v xml:space="preserve"> </v>
      </c>
      <c r="AJ175" s="323" t="str">
        <f t="shared" si="303"/>
        <v xml:space="preserve"> </v>
      </c>
      <c r="AK175" s="323" t="str">
        <f t="shared" si="303"/>
        <v xml:space="preserve"> </v>
      </c>
      <c r="AL175" s="323" t="str">
        <f t="shared" si="303"/>
        <v xml:space="preserve"> </v>
      </c>
      <c r="AM175" s="323" t="str">
        <f t="shared" si="303"/>
        <v xml:space="preserve"> </v>
      </c>
      <c r="AN175" s="323" t="str">
        <f t="shared" si="303"/>
        <v xml:space="preserve"> </v>
      </c>
      <c r="AO175" s="323" t="str">
        <f t="shared" si="303"/>
        <v xml:space="preserve"> </v>
      </c>
      <c r="AP175" s="323" t="str">
        <f t="shared" si="304"/>
        <v xml:space="preserve"> </v>
      </c>
      <c r="AQ175" s="323" t="str">
        <f t="shared" si="304"/>
        <v xml:space="preserve"> </v>
      </c>
      <c r="AR175" s="323" t="str">
        <f t="shared" si="304"/>
        <v xml:space="preserve"> </v>
      </c>
      <c r="AS175" s="323" t="str">
        <f t="shared" si="304"/>
        <v xml:space="preserve"> </v>
      </c>
      <c r="AT175" s="323" t="str">
        <f t="shared" si="304"/>
        <v xml:space="preserve"> </v>
      </c>
      <c r="AU175" s="323" t="str">
        <f t="shared" si="304"/>
        <v xml:space="preserve"> </v>
      </c>
      <c r="AV175" s="323" t="str">
        <f t="shared" si="304"/>
        <v xml:space="preserve"> </v>
      </c>
      <c r="AW175" s="323" t="str">
        <f t="shared" si="304"/>
        <v xml:space="preserve"> </v>
      </c>
      <c r="AX175" s="323" t="str">
        <f t="shared" si="304"/>
        <v xml:space="preserve"> </v>
      </c>
      <c r="AY175" s="323" t="str">
        <f t="shared" si="304"/>
        <v xml:space="preserve"> </v>
      </c>
      <c r="AZ175" s="323" t="str">
        <f t="shared" si="304"/>
        <v xml:space="preserve"> </v>
      </c>
      <c r="BA175" s="323" t="str">
        <f t="shared" si="304"/>
        <v xml:space="preserve"> </v>
      </c>
      <c r="BB175" s="323" t="str">
        <f t="shared" si="304"/>
        <v xml:space="preserve"> </v>
      </c>
      <c r="BC175" s="323" t="str">
        <f t="shared" si="304"/>
        <v xml:space="preserve"> </v>
      </c>
      <c r="BD175" s="323" t="str">
        <f t="shared" si="304"/>
        <v xml:space="preserve"> </v>
      </c>
      <c r="BE175" s="323" t="str">
        <f t="shared" si="304"/>
        <v xml:space="preserve"> </v>
      </c>
    </row>
    <row r="176" spans="2:57" x14ac:dyDescent="0.25">
      <c r="B176" s="314"/>
      <c r="C176" s="171" t="s">
        <v>673</v>
      </c>
      <c r="D176" s="325" t="s">
        <v>688</v>
      </c>
      <c r="E176" s="325">
        <v>3</v>
      </c>
      <c r="F176" s="313"/>
      <c r="G176" s="916"/>
      <c r="H176" s="313">
        <f t="shared" si="301"/>
        <v>0</v>
      </c>
      <c r="J176" s="323" t="str">
        <f t="shared" si="302"/>
        <v xml:space="preserve"> </v>
      </c>
      <c r="K176" s="323" t="str">
        <f t="shared" si="302"/>
        <v xml:space="preserve"> </v>
      </c>
      <c r="L176" s="323" t="str">
        <f t="shared" si="302"/>
        <v xml:space="preserve"> </v>
      </c>
      <c r="M176" s="323" t="str">
        <f t="shared" si="302"/>
        <v xml:space="preserve"> </v>
      </c>
      <c r="N176" s="323" t="str">
        <f t="shared" si="302"/>
        <v xml:space="preserve"> </v>
      </c>
      <c r="O176" s="323" t="str">
        <f t="shared" si="302"/>
        <v xml:space="preserve"> </v>
      </c>
      <c r="P176" s="323" t="str">
        <f t="shared" si="302"/>
        <v xml:space="preserve"> </v>
      </c>
      <c r="Q176" s="323" t="str">
        <f t="shared" si="302"/>
        <v xml:space="preserve"> </v>
      </c>
      <c r="R176" s="323" t="str">
        <f t="shared" si="302"/>
        <v xml:space="preserve"> </v>
      </c>
      <c r="S176" s="323" t="str">
        <f t="shared" si="302"/>
        <v xml:space="preserve"> </v>
      </c>
      <c r="T176" s="323" t="str">
        <f t="shared" si="302"/>
        <v xml:space="preserve"> </v>
      </c>
      <c r="U176" s="323" t="str">
        <f t="shared" si="302"/>
        <v xml:space="preserve"> </v>
      </c>
      <c r="V176" s="323" t="str">
        <f t="shared" si="302"/>
        <v xml:space="preserve"> </v>
      </c>
      <c r="W176" s="323" t="str">
        <f t="shared" si="302"/>
        <v xml:space="preserve"> </v>
      </c>
      <c r="X176" s="323" t="str">
        <f t="shared" si="302"/>
        <v xml:space="preserve"> </v>
      </c>
      <c r="Y176" s="323" t="str">
        <f t="shared" si="302"/>
        <v xml:space="preserve"> </v>
      </c>
      <c r="Z176" s="323" t="str">
        <f t="shared" si="303"/>
        <v xml:space="preserve"> </v>
      </c>
      <c r="AA176" s="323" t="str">
        <f t="shared" si="303"/>
        <v xml:space="preserve"> </v>
      </c>
      <c r="AB176" s="323" t="str">
        <f t="shared" si="303"/>
        <v xml:space="preserve"> </v>
      </c>
      <c r="AC176" s="323" t="str">
        <f t="shared" si="303"/>
        <v xml:space="preserve"> </v>
      </c>
      <c r="AD176" s="323" t="str">
        <f t="shared" si="303"/>
        <v xml:space="preserve"> </v>
      </c>
      <c r="AE176" s="323" t="str">
        <f t="shared" si="303"/>
        <v xml:space="preserve"> </v>
      </c>
      <c r="AF176" s="323" t="str">
        <f t="shared" si="303"/>
        <v xml:space="preserve"> </v>
      </c>
      <c r="AG176" s="323" t="str">
        <f t="shared" si="303"/>
        <v xml:space="preserve"> </v>
      </c>
      <c r="AH176" s="323" t="str">
        <f t="shared" si="303"/>
        <v xml:space="preserve"> </v>
      </c>
      <c r="AI176" s="323" t="str">
        <f t="shared" si="303"/>
        <v xml:space="preserve"> </v>
      </c>
      <c r="AJ176" s="323" t="str">
        <f t="shared" si="303"/>
        <v xml:space="preserve"> </v>
      </c>
      <c r="AK176" s="323" t="str">
        <f t="shared" si="303"/>
        <v xml:space="preserve"> </v>
      </c>
      <c r="AL176" s="323" t="str">
        <f t="shared" si="303"/>
        <v xml:space="preserve"> </v>
      </c>
      <c r="AM176" s="323" t="str">
        <f t="shared" si="303"/>
        <v xml:space="preserve"> </v>
      </c>
      <c r="AN176" s="323" t="str">
        <f t="shared" si="303"/>
        <v xml:space="preserve"> </v>
      </c>
      <c r="AO176" s="323" t="str">
        <f t="shared" si="303"/>
        <v xml:space="preserve"> </v>
      </c>
      <c r="AP176" s="323" t="str">
        <f t="shared" si="304"/>
        <v xml:space="preserve"> </v>
      </c>
      <c r="AQ176" s="323" t="str">
        <f t="shared" si="304"/>
        <v xml:space="preserve"> </v>
      </c>
      <c r="AR176" s="323" t="str">
        <f t="shared" si="304"/>
        <v xml:space="preserve"> </v>
      </c>
      <c r="AS176" s="323" t="str">
        <f t="shared" si="304"/>
        <v xml:space="preserve"> </v>
      </c>
      <c r="AT176" s="323" t="str">
        <f t="shared" si="304"/>
        <v xml:space="preserve"> </v>
      </c>
      <c r="AU176" s="323" t="str">
        <f t="shared" si="304"/>
        <v xml:space="preserve"> </v>
      </c>
      <c r="AV176" s="323" t="str">
        <f t="shared" si="304"/>
        <v xml:space="preserve"> </v>
      </c>
      <c r="AW176" s="323" t="str">
        <f t="shared" si="304"/>
        <v xml:space="preserve"> </v>
      </c>
      <c r="AX176" s="323" t="str">
        <f t="shared" si="304"/>
        <v xml:space="preserve"> </v>
      </c>
      <c r="AY176" s="323" t="str">
        <f t="shared" si="304"/>
        <v xml:space="preserve"> </v>
      </c>
      <c r="AZ176" s="323" t="str">
        <f t="shared" si="304"/>
        <v xml:space="preserve"> </v>
      </c>
      <c r="BA176" s="323" t="str">
        <f t="shared" si="304"/>
        <v xml:space="preserve"> </v>
      </c>
      <c r="BB176" s="323" t="str">
        <f t="shared" si="304"/>
        <v xml:space="preserve"> </v>
      </c>
      <c r="BC176" s="323" t="str">
        <f t="shared" si="304"/>
        <v xml:space="preserve"> </v>
      </c>
      <c r="BD176" s="323" t="str">
        <f t="shared" si="304"/>
        <v xml:space="preserve"> </v>
      </c>
      <c r="BE176" s="323" t="str">
        <f t="shared" si="304"/>
        <v xml:space="preserve"> </v>
      </c>
    </row>
    <row r="177" spans="2:57" x14ac:dyDescent="0.25">
      <c r="B177" s="314"/>
      <c r="C177" s="171" t="s">
        <v>690</v>
      </c>
      <c r="D177" s="325" t="s">
        <v>688</v>
      </c>
      <c r="E177" s="325">
        <v>4</v>
      </c>
      <c r="F177" s="324"/>
      <c r="G177" s="324"/>
      <c r="H177" s="313">
        <f t="shared" si="301"/>
        <v>0</v>
      </c>
      <c r="J177" s="323" t="str">
        <f t="shared" si="302"/>
        <v xml:space="preserve"> </v>
      </c>
      <c r="K177" s="323" t="str">
        <f t="shared" si="302"/>
        <v xml:space="preserve"> </v>
      </c>
      <c r="L177" s="323" t="str">
        <f t="shared" si="302"/>
        <v xml:space="preserve"> </v>
      </c>
      <c r="M177" s="323" t="str">
        <f t="shared" si="302"/>
        <v xml:space="preserve"> </v>
      </c>
      <c r="N177" s="323" t="str">
        <f t="shared" si="302"/>
        <v xml:space="preserve"> </v>
      </c>
      <c r="O177" s="323" t="str">
        <f t="shared" si="302"/>
        <v xml:space="preserve"> </v>
      </c>
      <c r="P177" s="323" t="str">
        <f t="shared" si="302"/>
        <v xml:space="preserve"> </v>
      </c>
      <c r="Q177" s="323" t="str">
        <f t="shared" si="302"/>
        <v xml:space="preserve"> </v>
      </c>
      <c r="R177" s="323" t="str">
        <f t="shared" si="302"/>
        <v xml:space="preserve"> </v>
      </c>
      <c r="S177" s="323" t="str">
        <f t="shared" si="302"/>
        <v xml:space="preserve"> </v>
      </c>
      <c r="T177" s="323" t="str">
        <f t="shared" si="302"/>
        <v xml:space="preserve"> </v>
      </c>
      <c r="U177" s="323" t="str">
        <f t="shared" si="302"/>
        <v xml:space="preserve"> </v>
      </c>
      <c r="V177" s="323" t="str">
        <f t="shared" si="302"/>
        <v xml:space="preserve"> </v>
      </c>
      <c r="W177" s="323" t="str">
        <f t="shared" si="302"/>
        <v xml:space="preserve"> </v>
      </c>
      <c r="X177" s="323" t="str">
        <f t="shared" si="302"/>
        <v xml:space="preserve"> </v>
      </c>
      <c r="Y177" s="323" t="str">
        <f t="shared" si="302"/>
        <v xml:space="preserve"> </v>
      </c>
      <c r="Z177" s="323" t="str">
        <f t="shared" si="303"/>
        <v xml:space="preserve"> </v>
      </c>
      <c r="AA177" s="323" t="str">
        <f t="shared" si="303"/>
        <v xml:space="preserve"> </v>
      </c>
      <c r="AB177" s="323" t="str">
        <f t="shared" si="303"/>
        <v xml:space="preserve"> </v>
      </c>
      <c r="AC177" s="323" t="str">
        <f t="shared" si="303"/>
        <v xml:space="preserve"> </v>
      </c>
      <c r="AD177" s="323" t="str">
        <f t="shared" si="303"/>
        <v xml:space="preserve"> </v>
      </c>
      <c r="AE177" s="323" t="str">
        <f t="shared" si="303"/>
        <v xml:space="preserve"> </v>
      </c>
      <c r="AF177" s="323" t="str">
        <f t="shared" si="303"/>
        <v xml:space="preserve"> </v>
      </c>
      <c r="AG177" s="323" t="str">
        <f t="shared" si="303"/>
        <v xml:space="preserve"> </v>
      </c>
      <c r="AH177" s="323" t="str">
        <f t="shared" si="303"/>
        <v xml:space="preserve"> </v>
      </c>
      <c r="AI177" s="323" t="str">
        <f t="shared" si="303"/>
        <v xml:space="preserve"> </v>
      </c>
      <c r="AJ177" s="323" t="str">
        <f t="shared" si="303"/>
        <v xml:space="preserve"> </v>
      </c>
      <c r="AK177" s="323" t="str">
        <f t="shared" si="303"/>
        <v xml:space="preserve"> </v>
      </c>
      <c r="AL177" s="323" t="str">
        <f t="shared" si="303"/>
        <v xml:space="preserve"> </v>
      </c>
      <c r="AM177" s="323" t="str">
        <f t="shared" si="303"/>
        <v xml:space="preserve"> </v>
      </c>
      <c r="AN177" s="323" t="str">
        <f t="shared" si="303"/>
        <v xml:space="preserve"> </v>
      </c>
      <c r="AO177" s="323" t="str">
        <f t="shared" si="303"/>
        <v xml:space="preserve"> </v>
      </c>
      <c r="AP177" s="323" t="str">
        <f t="shared" si="304"/>
        <v xml:space="preserve"> </v>
      </c>
      <c r="AQ177" s="323" t="str">
        <f t="shared" si="304"/>
        <v xml:space="preserve"> </v>
      </c>
      <c r="AR177" s="323" t="str">
        <f t="shared" si="304"/>
        <v xml:space="preserve"> </v>
      </c>
      <c r="AS177" s="323" t="str">
        <f t="shared" si="304"/>
        <v xml:space="preserve"> </v>
      </c>
      <c r="AT177" s="323" t="str">
        <f t="shared" si="304"/>
        <v xml:space="preserve"> </v>
      </c>
      <c r="AU177" s="323" t="str">
        <f t="shared" si="304"/>
        <v xml:space="preserve"> </v>
      </c>
      <c r="AV177" s="323" t="str">
        <f t="shared" si="304"/>
        <v xml:space="preserve"> </v>
      </c>
      <c r="AW177" s="323" t="str">
        <f t="shared" si="304"/>
        <v xml:space="preserve"> </v>
      </c>
      <c r="AX177" s="323" t="str">
        <f t="shared" si="304"/>
        <v xml:space="preserve"> </v>
      </c>
      <c r="AY177" s="323" t="str">
        <f t="shared" si="304"/>
        <v xml:space="preserve"> </v>
      </c>
      <c r="AZ177" s="323" t="str">
        <f t="shared" si="304"/>
        <v xml:space="preserve"> </v>
      </c>
      <c r="BA177" s="323" t="str">
        <f t="shared" si="304"/>
        <v xml:space="preserve"> </v>
      </c>
      <c r="BB177" s="323" t="str">
        <f t="shared" si="304"/>
        <v xml:space="preserve"> </v>
      </c>
      <c r="BC177" s="323" t="str">
        <f t="shared" si="304"/>
        <v xml:space="preserve"> </v>
      </c>
      <c r="BD177" s="323" t="str">
        <f t="shared" si="304"/>
        <v xml:space="preserve"> </v>
      </c>
      <c r="BE177" s="323" t="str">
        <f t="shared" si="304"/>
        <v xml:space="preserve"> </v>
      </c>
    </row>
    <row r="178" spans="2:57" x14ac:dyDescent="0.25">
      <c r="B178" s="315"/>
      <c r="C178" s="171" t="s">
        <v>691</v>
      </c>
      <c r="D178" s="325" t="s">
        <v>688</v>
      </c>
      <c r="E178" s="325">
        <v>5</v>
      </c>
      <c r="F178" s="917"/>
      <c r="G178" s="916"/>
      <c r="H178" s="313">
        <f t="shared" si="301"/>
        <v>0</v>
      </c>
      <c r="J178" s="323" t="str">
        <f t="shared" si="302"/>
        <v xml:space="preserve"> </v>
      </c>
      <c r="K178" s="323" t="str">
        <f t="shared" si="302"/>
        <v xml:space="preserve"> </v>
      </c>
      <c r="L178" s="323" t="str">
        <f t="shared" si="302"/>
        <v xml:space="preserve"> </v>
      </c>
      <c r="M178" s="323" t="str">
        <f t="shared" si="302"/>
        <v xml:space="preserve"> </v>
      </c>
      <c r="N178" s="323" t="str">
        <f t="shared" si="302"/>
        <v xml:space="preserve"> </v>
      </c>
      <c r="O178" s="323" t="str">
        <f t="shared" si="302"/>
        <v xml:space="preserve"> </v>
      </c>
      <c r="P178" s="323" t="str">
        <f t="shared" si="302"/>
        <v xml:space="preserve"> </v>
      </c>
      <c r="Q178" s="323" t="str">
        <f t="shared" si="302"/>
        <v xml:space="preserve"> </v>
      </c>
      <c r="R178" s="323" t="str">
        <f t="shared" si="302"/>
        <v xml:space="preserve"> </v>
      </c>
      <c r="S178" s="323" t="str">
        <f t="shared" si="302"/>
        <v xml:space="preserve"> </v>
      </c>
      <c r="T178" s="323" t="str">
        <f t="shared" si="302"/>
        <v xml:space="preserve"> </v>
      </c>
      <c r="U178" s="323" t="str">
        <f t="shared" si="302"/>
        <v xml:space="preserve"> </v>
      </c>
      <c r="V178" s="323" t="str">
        <f t="shared" si="302"/>
        <v xml:space="preserve"> </v>
      </c>
      <c r="W178" s="323" t="str">
        <f t="shared" si="302"/>
        <v xml:space="preserve"> </v>
      </c>
      <c r="X178" s="323" t="str">
        <f t="shared" si="302"/>
        <v xml:space="preserve"> </v>
      </c>
      <c r="Y178" s="323" t="str">
        <f t="shared" si="302"/>
        <v xml:space="preserve"> </v>
      </c>
      <c r="Z178" s="323" t="str">
        <f t="shared" si="303"/>
        <v xml:space="preserve"> </v>
      </c>
      <c r="AA178" s="323" t="str">
        <f t="shared" si="303"/>
        <v xml:space="preserve"> </v>
      </c>
      <c r="AB178" s="323" t="str">
        <f t="shared" si="303"/>
        <v xml:space="preserve"> </v>
      </c>
      <c r="AC178" s="323" t="str">
        <f t="shared" si="303"/>
        <v xml:space="preserve"> </v>
      </c>
      <c r="AD178" s="323" t="str">
        <f t="shared" si="303"/>
        <v xml:space="preserve"> </v>
      </c>
      <c r="AE178" s="323" t="str">
        <f t="shared" si="303"/>
        <v xml:space="preserve"> </v>
      </c>
      <c r="AF178" s="323" t="str">
        <f t="shared" si="303"/>
        <v xml:space="preserve"> </v>
      </c>
      <c r="AG178" s="323" t="str">
        <f t="shared" si="303"/>
        <v xml:space="preserve"> </v>
      </c>
      <c r="AH178" s="323" t="str">
        <f t="shared" si="303"/>
        <v xml:space="preserve"> </v>
      </c>
      <c r="AI178" s="323" t="str">
        <f t="shared" si="303"/>
        <v xml:space="preserve"> </v>
      </c>
      <c r="AJ178" s="323" t="str">
        <f t="shared" si="303"/>
        <v xml:space="preserve"> </v>
      </c>
      <c r="AK178" s="323" t="str">
        <f t="shared" si="303"/>
        <v xml:space="preserve"> </v>
      </c>
      <c r="AL178" s="323" t="str">
        <f t="shared" si="303"/>
        <v xml:space="preserve"> </v>
      </c>
      <c r="AM178" s="323" t="str">
        <f t="shared" si="303"/>
        <v xml:space="preserve"> </v>
      </c>
      <c r="AN178" s="323" t="str">
        <f t="shared" si="303"/>
        <v xml:space="preserve"> </v>
      </c>
      <c r="AO178" s="323" t="str">
        <f t="shared" si="303"/>
        <v xml:space="preserve"> </v>
      </c>
      <c r="AP178" s="323" t="str">
        <f t="shared" si="304"/>
        <v xml:space="preserve"> </v>
      </c>
      <c r="AQ178" s="323" t="str">
        <f t="shared" si="304"/>
        <v xml:space="preserve"> </v>
      </c>
      <c r="AR178" s="323" t="str">
        <f t="shared" si="304"/>
        <v xml:space="preserve"> </v>
      </c>
      <c r="AS178" s="323" t="str">
        <f t="shared" si="304"/>
        <v xml:space="preserve"> </v>
      </c>
      <c r="AT178" s="323" t="str">
        <f t="shared" si="304"/>
        <v xml:space="preserve"> </v>
      </c>
      <c r="AU178" s="323" t="str">
        <f t="shared" si="304"/>
        <v xml:space="preserve"> </v>
      </c>
      <c r="AV178" s="323" t="str">
        <f t="shared" si="304"/>
        <v xml:space="preserve"> </v>
      </c>
      <c r="AW178" s="323" t="str">
        <f t="shared" si="304"/>
        <v xml:space="preserve"> </v>
      </c>
      <c r="AX178" s="323" t="str">
        <f t="shared" si="304"/>
        <v xml:space="preserve"> </v>
      </c>
      <c r="AY178" s="323" t="str">
        <f t="shared" si="304"/>
        <v xml:space="preserve"> </v>
      </c>
      <c r="AZ178" s="323" t="str">
        <f t="shared" si="304"/>
        <v xml:space="preserve"> </v>
      </c>
      <c r="BA178" s="323" t="str">
        <f t="shared" si="304"/>
        <v xml:space="preserve"> </v>
      </c>
      <c r="BB178" s="323" t="str">
        <f t="shared" si="304"/>
        <v xml:space="preserve"> </v>
      </c>
      <c r="BC178" s="323" t="str">
        <f t="shared" si="304"/>
        <v xml:space="preserve"> </v>
      </c>
      <c r="BD178" s="323" t="str">
        <f t="shared" si="304"/>
        <v xml:space="preserve"> </v>
      </c>
      <c r="BE178" s="323" t="str">
        <f t="shared" si="304"/>
        <v xml:space="preserve"> </v>
      </c>
    </row>
    <row r="179" spans="2:57" x14ac:dyDescent="0.25">
      <c r="B179" s="315"/>
      <c r="C179" s="171" t="s">
        <v>692</v>
      </c>
      <c r="D179" s="325" t="s">
        <v>688</v>
      </c>
      <c r="E179" s="325">
        <v>6</v>
      </c>
      <c r="F179" s="313"/>
      <c r="G179" s="916"/>
      <c r="H179" s="313">
        <f t="shared" si="301"/>
        <v>0</v>
      </c>
      <c r="J179" s="323" t="str">
        <f t="shared" si="302"/>
        <v xml:space="preserve"> </v>
      </c>
      <c r="K179" s="323" t="str">
        <f t="shared" si="302"/>
        <v xml:space="preserve"> </v>
      </c>
      <c r="L179" s="323" t="str">
        <f t="shared" si="302"/>
        <v xml:space="preserve"> </v>
      </c>
      <c r="M179" s="323" t="str">
        <f t="shared" si="302"/>
        <v xml:space="preserve"> </v>
      </c>
      <c r="N179" s="323" t="str">
        <f t="shared" si="302"/>
        <v xml:space="preserve"> </v>
      </c>
      <c r="O179" s="323" t="str">
        <f t="shared" si="302"/>
        <v xml:space="preserve"> </v>
      </c>
      <c r="P179" s="323" t="str">
        <f t="shared" si="302"/>
        <v xml:space="preserve"> </v>
      </c>
      <c r="Q179" s="323" t="str">
        <f t="shared" si="302"/>
        <v xml:space="preserve"> </v>
      </c>
      <c r="R179" s="323" t="str">
        <f t="shared" si="302"/>
        <v xml:space="preserve"> </v>
      </c>
      <c r="S179" s="323" t="str">
        <f t="shared" si="302"/>
        <v xml:space="preserve"> </v>
      </c>
      <c r="T179" s="323" t="str">
        <f t="shared" si="302"/>
        <v xml:space="preserve"> </v>
      </c>
      <c r="U179" s="323" t="str">
        <f t="shared" si="302"/>
        <v xml:space="preserve"> </v>
      </c>
      <c r="V179" s="323" t="str">
        <f t="shared" si="302"/>
        <v xml:space="preserve"> </v>
      </c>
      <c r="W179" s="323" t="str">
        <f t="shared" si="302"/>
        <v xml:space="preserve"> </v>
      </c>
      <c r="X179" s="323" t="str">
        <f t="shared" si="302"/>
        <v xml:space="preserve"> </v>
      </c>
      <c r="Y179" s="323" t="str">
        <f t="shared" si="302"/>
        <v xml:space="preserve"> </v>
      </c>
      <c r="Z179" s="323" t="str">
        <f t="shared" si="303"/>
        <v xml:space="preserve"> </v>
      </c>
      <c r="AA179" s="323" t="str">
        <f t="shared" si="303"/>
        <v xml:space="preserve"> </v>
      </c>
      <c r="AB179" s="323" t="str">
        <f t="shared" si="303"/>
        <v xml:space="preserve"> </v>
      </c>
      <c r="AC179" s="323" t="str">
        <f t="shared" si="303"/>
        <v xml:space="preserve"> </v>
      </c>
      <c r="AD179" s="323" t="str">
        <f t="shared" si="303"/>
        <v xml:space="preserve"> </v>
      </c>
      <c r="AE179" s="323" t="str">
        <f t="shared" si="303"/>
        <v xml:space="preserve"> </v>
      </c>
      <c r="AF179" s="323" t="str">
        <f t="shared" si="303"/>
        <v xml:space="preserve"> </v>
      </c>
      <c r="AG179" s="323" t="str">
        <f t="shared" si="303"/>
        <v xml:space="preserve"> </v>
      </c>
      <c r="AH179" s="323" t="str">
        <f t="shared" si="303"/>
        <v xml:space="preserve"> </v>
      </c>
      <c r="AI179" s="323" t="str">
        <f t="shared" si="303"/>
        <v xml:space="preserve"> </v>
      </c>
      <c r="AJ179" s="323" t="str">
        <f t="shared" si="303"/>
        <v xml:space="preserve"> </v>
      </c>
      <c r="AK179" s="323" t="str">
        <f t="shared" si="303"/>
        <v xml:space="preserve"> </v>
      </c>
      <c r="AL179" s="323" t="str">
        <f t="shared" si="303"/>
        <v xml:space="preserve"> </v>
      </c>
      <c r="AM179" s="323" t="str">
        <f t="shared" si="303"/>
        <v xml:space="preserve"> </v>
      </c>
      <c r="AN179" s="323" t="str">
        <f t="shared" si="303"/>
        <v xml:space="preserve"> </v>
      </c>
      <c r="AO179" s="323" t="str">
        <f t="shared" si="303"/>
        <v xml:space="preserve"> </v>
      </c>
      <c r="AP179" s="323" t="str">
        <f t="shared" si="304"/>
        <v xml:space="preserve"> </v>
      </c>
      <c r="AQ179" s="323" t="str">
        <f t="shared" si="304"/>
        <v xml:space="preserve"> </v>
      </c>
      <c r="AR179" s="323" t="str">
        <f t="shared" si="304"/>
        <v xml:space="preserve"> </v>
      </c>
      <c r="AS179" s="323" t="str">
        <f t="shared" si="304"/>
        <v xml:space="preserve"> </v>
      </c>
      <c r="AT179" s="323" t="str">
        <f t="shared" si="304"/>
        <v xml:space="preserve"> </v>
      </c>
      <c r="AU179" s="323" t="str">
        <f t="shared" si="304"/>
        <v xml:space="preserve"> </v>
      </c>
      <c r="AV179" s="323" t="str">
        <f t="shared" si="304"/>
        <v xml:space="preserve"> </v>
      </c>
      <c r="AW179" s="323" t="str">
        <f t="shared" si="304"/>
        <v xml:space="preserve"> </v>
      </c>
      <c r="AX179" s="323" t="str">
        <f t="shared" si="304"/>
        <v xml:space="preserve"> </v>
      </c>
      <c r="AY179" s="323" t="str">
        <f t="shared" si="304"/>
        <v xml:space="preserve"> </v>
      </c>
      <c r="AZ179" s="323" t="str">
        <f t="shared" si="304"/>
        <v xml:space="preserve"> </v>
      </c>
      <c r="BA179" s="323" t="str">
        <f t="shared" si="304"/>
        <v xml:space="preserve"> </v>
      </c>
      <c r="BB179" s="323" t="str">
        <f t="shared" si="304"/>
        <v xml:space="preserve"> </v>
      </c>
      <c r="BC179" s="323" t="str">
        <f t="shared" si="304"/>
        <v xml:space="preserve"> </v>
      </c>
      <c r="BD179" s="323" t="str">
        <f t="shared" si="304"/>
        <v xml:space="preserve"> </v>
      </c>
      <c r="BE179" s="323" t="str">
        <f t="shared" si="304"/>
        <v xml:space="preserve"> </v>
      </c>
    </row>
    <row r="180" spans="2:57" x14ac:dyDescent="0.25">
      <c r="B180" s="315"/>
      <c r="C180" s="171" t="s">
        <v>693</v>
      </c>
      <c r="D180" s="325" t="s">
        <v>688</v>
      </c>
      <c r="E180" s="325">
        <v>7</v>
      </c>
      <c r="F180" s="324"/>
      <c r="G180" s="917"/>
      <c r="H180" s="313">
        <f t="shared" si="301"/>
        <v>0</v>
      </c>
      <c r="J180" s="323" t="str">
        <f t="shared" si="302"/>
        <v xml:space="preserve"> </v>
      </c>
      <c r="K180" s="323" t="str">
        <f t="shared" si="302"/>
        <v xml:space="preserve"> </v>
      </c>
      <c r="L180" s="323" t="str">
        <f t="shared" si="302"/>
        <v xml:space="preserve"> </v>
      </c>
      <c r="M180" s="323" t="str">
        <f t="shared" si="302"/>
        <v xml:space="preserve"> </v>
      </c>
      <c r="N180" s="323" t="str">
        <f t="shared" si="302"/>
        <v xml:space="preserve"> </v>
      </c>
      <c r="O180" s="323" t="str">
        <f t="shared" si="302"/>
        <v xml:space="preserve"> </v>
      </c>
      <c r="P180" s="323" t="str">
        <f t="shared" si="302"/>
        <v xml:space="preserve"> </v>
      </c>
      <c r="Q180" s="323" t="str">
        <f t="shared" si="302"/>
        <v xml:space="preserve"> </v>
      </c>
      <c r="R180" s="323" t="str">
        <f t="shared" si="302"/>
        <v xml:space="preserve"> </v>
      </c>
      <c r="S180" s="323" t="str">
        <f t="shared" si="302"/>
        <v xml:space="preserve"> </v>
      </c>
      <c r="T180" s="323" t="str">
        <f t="shared" si="302"/>
        <v xml:space="preserve"> </v>
      </c>
      <c r="U180" s="323" t="str">
        <f t="shared" si="302"/>
        <v xml:space="preserve"> </v>
      </c>
      <c r="V180" s="323" t="str">
        <f t="shared" si="302"/>
        <v xml:space="preserve"> </v>
      </c>
      <c r="W180" s="323" t="str">
        <f t="shared" si="302"/>
        <v xml:space="preserve"> </v>
      </c>
      <c r="X180" s="323" t="str">
        <f t="shared" si="302"/>
        <v xml:space="preserve"> </v>
      </c>
      <c r="Y180" s="323" t="str">
        <f t="shared" si="302"/>
        <v xml:space="preserve"> </v>
      </c>
      <c r="Z180" s="323" t="str">
        <f t="shared" si="303"/>
        <v xml:space="preserve"> </v>
      </c>
      <c r="AA180" s="323" t="str">
        <f t="shared" si="303"/>
        <v xml:space="preserve"> </v>
      </c>
      <c r="AB180" s="323" t="str">
        <f t="shared" si="303"/>
        <v xml:space="preserve"> </v>
      </c>
      <c r="AC180" s="323" t="str">
        <f t="shared" si="303"/>
        <v xml:space="preserve"> </v>
      </c>
      <c r="AD180" s="323" t="str">
        <f t="shared" si="303"/>
        <v xml:space="preserve"> </v>
      </c>
      <c r="AE180" s="323" t="str">
        <f t="shared" si="303"/>
        <v xml:space="preserve"> </v>
      </c>
      <c r="AF180" s="323" t="str">
        <f t="shared" si="303"/>
        <v xml:space="preserve"> </v>
      </c>
      <c r="AG180" s="323" t="str">
        <f t="shared" si="303"/>
        <v xml:space="preserve"> </v>
      </c>
      <c r="AH180" s="323" t="str">
        <f t="shared" si="303"/>
        <v xml:space="preserve"> </v>
      </c>
      <c r="AI180" s="323" t="str">
        <f t="shared" si="303"/>
        <v xml:space="preserve"> </v>
      </c>
      <c r="AJ180" s="323" t="str">
        <f t="shared" si="303"/>
        <v xml:space="preserve"> </v>
      </c>
      <c r="AK180" s="323" t="str">
        <f t="shared" si="303"/>
        <v xml:space="preserve"> </v>
      </c>
      <c r="AL180" s="323" t="str">
        <f t="shared" si="303"/>
        <v xml:space="preserve"> </v>
      </c>
      <c r="AM180" s="323" t="str">
        <f t="shared" si="303"/>
        <v xml:space="preserve"> </v>
      </c>
      <c r="AN180" s="323" t="str">
        <f t="shared" si="303"/>
        <v xml:space="preserve"> </v>
      </c>
      <c r="AO180" s="323" t="str">
        <f t="shared" si="303"/>
        <v xml:space="preserve"> </v>
      </c>
      <c r="AP180" s="323" t="str">
        <f t="shared" si="304"/>
        <v xml:space="preserve"> </v>
      </c>
      <c r="AQ180" s="323" t="str">
        <f t="shared" si="304"/>
        <v xml:space="preserve"> </v>
      </c>
      <c r="AR180" s="323" t="str">
        <f t="shared" si="304"/>
        <v xml:space="preserve"> </v>
      </c>
      <c r="AS180" s="323" t="str">
        <f t="shared" si="304"/>
        <v xml:space="preserve"> </v>
      </c>
      <c r="AT180" s="323" t="str">
        <f t="shared" si="304"/>
        <v xml:space="preserve"> </v>
      </c>
      <c r="AU180" s="323" t="str">
        <f t="shared" si="304"/>
        <v xml:space="preserve"> </v>
      </c>
      <c r="AV180" s="323" t="str">
        <f t="shared" si="304"/>
        <v xml:space="preserve"> </v>
      </c>
      <c r="AW180" s="323" t="str">
        <f t="shared" si="304"/>
        <v xml:space="preserve"> </v>
      </c>
      <c r="AX180" s="323" t="str">
        <f t="shared" si="304"/>
        <v xml:space="preserve"> </v>
      </c>
      <c r="AY180" s="323" t="str">
        <f t="shared" si="304"/>
        <v xml:space="preserve"> </v>
      </c>
      <c r="AZ180" s="323" t="str">
        <f t="shared" si="304"/>
        <v xml:space="preserve"> </v>
      </c>
      <c r="BA180" s="323" t="str">
        <f t="shared" si="304"/>
        <v xml:space="preserve"> </v>
      </c>
      <c r="BB180" s="323" t="str">
        <f t="shared" si="304"/>
        <v xml:space="preserve"> </v>
      </c>
      <c r="BC180" s="323" t="str">
        <f t="shared" si="304"/>
        <v xml:space="preserve"> </v>
      </c>
      <c r="BD180" s="323" t="str">
        <f t="shared" si="304"/>
        <v xml:space="preserve"> </v>
      </c>
      <c r="BE180" s="323" t="str">
        <f t="shared" si="304"/>
        <v xml:space="preserve"> </v>
      </c>
    </row>
    <row r="181" spans="2:57" x14ac:dyDescent="0.25">
      <c r="B181" s="3"/>
      <c r="C181" s="171" t="s">
        <v>694</v>
      </c>
      <c r="D181" s="325" t="s">
        <v>688</v>
      </c>
      <c r="E181" s="325">
        <v>8</v>
      </c>
      <c r="F181" s="917"/>
      <c r="G181" s="324"/>
      <c r="H181" s="313">
        <f t="shared" si="301"/>
        <v>0</v>
      </c>
      <c r="J181" s="323" t="str">
        <f t="shared" si="302"/>
        <v xml:space="preserve"> </v>
      </c>
      <c r="K181" s="323" t="str">
        <f t="shared" si="302"/>
        <v xml:space="preserve"> </v>
      </c>
      <c r="L181" s="323" t="str">
        <f t="shared" si="302"/>
        <v xml:space="preserve"> </v>
      </c>
      <c r="M181" s="323" t="str">
        <f t="shared" si="302"/>
        <v xml:space="preserve"> </v>
      </c>
      <c r="N181" s="323" t="str">
        <f t="shared" si="302"/>
        <v xml:space="preserve"> </v>
      </c>
      <c r="O181" s="323" t="str">
        <f t="shared" si="302"/>
        <v xml:space="preserve"> </v>
      </c>
      <c r="P181" s="323" t="str">
        <f t="shared" si="302"/>
        <v xml:space="preserve"> </v>
      </c>
      <c r="Q181" s="323" t="str">
        <f t="shared" si="302"/>
        <v xml:space="preserve"> </v>
      </c>
      <c r="R181" s="323" t="str">
        <f t="shared" si="302"/>
        <v xml:space="preserve"> </v>
      </c>
      <c r="S181" s="323" t="str">
        <f t="shared" si="302"/>
        <v xml:space="preserve"> </v>
      </c>
      <c r="T181" s="323" t="str">
        <f t="shared" si="302"/>
        <v xml:space="preserve"> </v>
      </c>
      <c r="U181" s="323" t="str">
        <f t="shared" si="302"/>
        <v xml:space="preserve"> </v>
      </c>
      <c r="V181" s="323" t="str">
        <f t="shared" si="302"/>
        <v xml:space="preserve"> </v>
      </c>
      <c r="W181" s="323" t="str">
        <f t="shared" si="302"/>
        <v xml:space="preserve"> </v>
      </c>
      <c r="X181" s="323" t="str">
        <f t="shared" si="302"/>
        <v xml:space="preserve"> </v>
      </c>
      <c r="Y181" s="323" t="str">
        <f t="shared" si="302"/>
        <v xml:space="preserve"> </v>
      </c>
      <c r="Z181" s="323" t="str">
        <f t="shared" si="303"/>
        <v xml:space="preserve"> </v>
      </c>
      <c r="AA181" s="323" t="str">
        <f t="shared" si="303"/>
        <v xml:space="preserve"> </v>
      </c>
      <c r="AB181" s="323" t="str">
        <f t="shared" si="303"/>
        <v xml:space="preserve"> </v>
      </c>
      <c r="AC181" s="323" t="str">
        <f t="shared" si="303"/>
        <v xml:space="preserve"> </v>
      </c>
      <c r="AD181" s="323" t="str">
        <f t="shared" si="303"/>
        <v xml:space="preserve"> </v>
      </c>
      <c r="AE181" s="323" t="str">
        <f t="shared" si="303"/>
        <v xml:space="preserve"> </v>
      </c>
      <c r="AF181" s="323" t="str">
        <f t="shared" si="303"/>
        <v xml:space="preserve"> </v>
      </c>
      <c r="AG181" s="323" t="str">
        <f t="shared" si="303"/>
        <v xml:space="preserve"> </v>
      </c>
      <c r="AH181" s="323" t="str">
        <f t="shared" si="303"/>
        <v xml:space="preserve"> </v>
      </c>
      <c r="AI181" s="323" t="str">
        <f t="shared" si="303"/>
        <v xml:space="preserve"> </v>
      </c>
      <c r="AJ181" s="323" t="str">
        <f t="shared" si="303"/>
        <v xml:space="preserve"> </v>
      </c>
      <c r="AK181" s="323" t="str">
        <f t="shared" si="303"/>
        <v xml:space="preserve"> </v>
      </c>
      <c r="AL181" s="323" t="str">
        <f t="shared" si="303"/>
        <v xml:space="preserve"> </v>
      </c>
      <c r="AM181" s="323" t="str">
        <f t="shared" si="303"/>
        <v xml:space="preserve"> </v>
      </c>
      <c r="AN181" s="323" t="str">
        <f t="shared" si="303"/>
        <v xml:space="preserve"> </v>
      </c>
      <c r="AO181" s="323" t="str">
        <f t="shared" si="303"/>
        <v xml:space="preserve"> </v>
      </c>
      <c r="AP181" s="323" t="str">
        <f t="shared" si="304"/>
        <v xml:space="preserve"> </v>
      </c>
      <c r="AQ181" s="323" t="str">
        <f t="shared" si="304"/>
        <v xml:space="preserve"> </v>
      </c>
      <c r="AR181" s="323" t="str">
        <f t="shared" si="304"/>
        <v xml:space="preserve"> </v>
      </c>
      <c r="AS181" s="323" t="str">
        <f t="shared" si="304"/>
        <v xml:space="preserve"> </v>
      </c>
      <c r="AT181" s="323" t="str">
        <f t="shared" si="304"/>
        <v xml:space="preserve"> </v>
      </c>
      <c r="AU181" s="323" t="str">
        <f t="shared" si="304"/>
        <v xml:space="preserve"> </v>
      </c>
      <c r="AV181" s="323" t="str">
        <f t="shared" si="304"/>
        <v xml:space="preserve"> </v>
      </c>
      <c r="AW181" s="323" t="str">
        <f t="shared" si="304"/>
        <v xml:space="preserve"> </v>
      </c>
      <c r="AX181" s="323" t="str">
        <f t="shared" si="304"/>
        <v xml:space="preserve"> </v>
      </c>
      <c r="AY181" s="323" t="str">
        <f t="shared" si="304"/>
        <v xml:space="preserve"> </v>
      </c>
      <c r="AZ181" s="323" t="str">
        <f t="shared" si="304"/>
        <v xml:space="preserve"> </v>
      </c>
      <c r="BA181" s="323" t="str">
        <f t="shared" si="304"/>
        <v xml:space="preserve"> </v>
      </c>
      <c r="BB181" s="323" t="str">
        <f t="shared" si="304"/>
        <v xml:space="preserve"> </v>
      </c>
      <c r="BC181" s="323" t="str">
        <f t="shared" si="304"/>
        <v xml:space="preserve"> </v>
      </c>
      <c r="BD181" s="323" t="str">
        <f t="shared" si="304"/>
        <v xml:space="preserve"> </v>
      </c>
      <c r="BE181" s="323" t="str">
        <f t="shared" si="304"/>
        <v xml:space="preserve"> </v>
      </c>
    </row>
    <row r="182" spans="2:57" x14ac:dyDescent="0.25">
      <c r="B182" s="3"/>
      <c r="C182" s="171" t="s">
        <v>695</v>
      </c>
      <c r="D182" s="325" t="s">
        <v>688</v>
      </c>
      <c r="E182" s="325">
        <v>9</v>
      </c>
      <c r="F182" s="313"/>
      <c r="G182" s="916"/>
      <c r="H182" s="313">
        <f t="shared" si="301"/>
        <v>0</v>
      </c>
      <c r="J182" s="323" t="str">
        <f t="shared" si="302"/>
        <v xml:space="preserve"> </v>
      </c>
      <c r="K182" s="323" t="str">
        <f t="shared" si="302"/>
        <v xml:space="preserve"> </v>
      </c>
      <c r="L182" s="323" t="str">
        <f t="shared" si="302"/>
        <v xml:space="preserve"> </v>
      </c>
      <c r="M182" s="323" t="str">
        <f t="shared" si="302"/>
        <v xml:space="preserve"> </v>
      </c>
      <c r="N182" s="323" t="str">
        <f t="shared" si="302"/>
        <v xml:space="preserve"> </v>
      </c>
      <c r="O182" s="323" t="str">
        <f t="shared" si="302"/>
        <v xml:space="preserve"> </v>
      </c>
      <c r="P182" s="323" t="str">
        <f t="shared" si="302"/>
        <v xml:space="preserve"> </v>
      </c>
      <c r="Q182" s="323" t="str">
        <f t="shared" si="302"/>
        <v xml:space="preserve"> </v>
      </c>
      <c r="R182" s="323" t="str">
        <f t="shared" si="302"/>
        <v xml:space="preserve"> </v>
      </c>
      <c r="S182" s="323" t="str">
        <f t="shared" si="302"/>
        <v xml:space="preserve"> </v>
      </c>
      <c r="T182" s="323" t="str">
        <f t="shared" si="302"/>
        <v xml:space="preserve"> </v>
      </c>
      <c r="U182" s="323" t="str">
        <f t="shared" si="302"/>
        <v xml:space="preserve"> </v>
      </c>
      <c r="V182" s="323" t="str">
        <f t="shared" si="302"/>
        <v xml:space="preserve"> </v>
      </c>
      <c r="W182" s="323" t="str">
        <f t="shared" si="302"/>
        <v xml:space="preserve"> </v>
      </c>
      <c r="X182" s="323" t="str">
        <f t="shared" si="302"/>
        <v xml:space="preserve"> </v>
      </c>
      <c r="Y182" s="323" t="str">
        <f t="shared" si="302"/>
        <v xml:space="preserve"> </v>
      </c>
      <c r="Z182" s="323" t="str">
        <f t="shared" si="303"/>
        <v xml:space="preserve"> </v>
      </c>
      <c r="AA182" s="323" t="str">
        <f t="shared" si="303"/>
        <v xml:space="preserve"> </v>
      </c>
      <c r="AB182" s="323" t="str">
        <f t="shared" si="303"/>
        <v xml:space="preserve"> </v>
      </c>
      <c r="AC182" s="323" t="str">
        <f t="shared" si="303"/>
        <v xml:space="preserve"> </v>
      </c>
      <c r="AD182" s="323" t="str">
        <f t="shared" si="303"/>
        <v xml:space="preserve"> </v>
      </c>
      <c r="AE182" s="323" t="str">
        <f t="shared" si="303"/>
        <v xml:space="preserve"> </v>
      </c>
      <c r="AF182" s="323" t="str">
        <f t="shared" si="303"/>
        <v xml:space="preserve"> </v>
      </c>
      <c r="AG182" s="323" t="str">
        <f t="shared" si="303"/>
        <v xml:space="preserve"> </v>
      </c>
      <c r="AH182" s="323" t="str">
        <f t="shared" si="303"/>
        <v xml:space="preserve"> </v>
      </c>
      <c r="AI182" s="323" t="str">
        <f t="shared" si="303"/>
        <v xml:space="preserve"> </v>
      </c>
      <c r="AJ182" s="323" t="str">
        <f t="shared" si="303"/>
        <v xml:space="preserve"> </v>
      </c>
      <c r="AK182" s="323" t="str">
        <f t="shared" si="303"/>
        <v xml:space="preserve"> </v>
      </c>
      <c r="AL182" s="323" t="str">
        <f t="shared" si="303"/>
        <v xml:space="preserve"> </v>
      </c>
      <c r="AM182" s="323" t="str">
        <f t="shared" si="303"/>
        <v xml:space="preserve"> </v>
      </c>
      <c r="AN182" s="323" t="str">
        <f t="shared" si="303"/>
        <v xml:space="preserve"> </v>
      </c>
      <c r="AO182" s="323" t="str">
        <f t="shared" si="303"/>
        <v xml:space="preserve"> </v>
      </c>
      <c r="AP182" s="323" t="str">
        <f t="shared" si="304"/>
        <v xml:space="preserve"> </v>
      </c>
      <c r="AQ182" s="323" t="str">
        <f t="shared" si="304"/>
        <v xml:space="preserve"> </v>
      </c>
      <c r="AR182" s="323" t="str">
        <f t="shared" si="304"/>
        <v xml:space="preserve"> </v>
      </c>
      <c r="AS182" s="323" t="str">
        <f t="shared" si="304"/>
        <v xml:space="preserve"> </v>
      </c>
      <c r="AT182" s="323" t="str">
        <f t="shared" si="304"/>
        <v xml:space="preserve"> </v>
      </c>
      <c r="AU182" s="323" t="str">
        <f t="shared" si="304"/>
        <v xml:space="preserve"> </v>
      </c>
      <c r="AV182" s="323" t="str">
        <f t="shared" si="304"/>
        <v xml:space="preserve"> </v>
      </c>
      <c r="AW182" s="323" t="str">
        <f t="shared" si="304"/>
        <v xml:space="preserve"> </v>
      </c>
      <c r="AX182" s="323" t="str">
        <f t="shared" si="304"/>
        <v xml:space="preserve"> </v>
      </c>
      <c r="AY182" s="323" t="str">
        <f t="shared" si="304"/>
        <v xml:space="preserve"> </v>
      </c>
      <c r="AZ182" s="323" t="str">
        <f t="shared" si="304"/>
        <v xml:space="preserve"> </v>
      </c>
      <c r="BA182" s="323" t="str">
        <f t="shared" si="304"/>
        <v xml:space="preserve"> </v>
      </c>
      <c r="BB182" s="323" t="str">
        <f t="shared" si="304"/>
        <v xml:space="preserve"> </v>
      </c>
      <c r="BC182" s="323" t="str">
        <f t="shared" si="304"/>
        <v xml:space="preserve"> </v>
      </c>
      <c r="BD182" s="323" t="str">
        <f t="shared" si="304"/>
        <v xml:space="preserve"> </v>
      </c>
      <c r="BE182" s="323" t="str">
        <f t="shared" si="304"/>
        <v xml:space="preserve"> </v>
      </c>
    </row>
    <row r="183" spans="2:57" x14ac:dyDescent="0.25">
      <c r="B183" s="3"/>
      <c r="C183" s="171" t="s">
        <v>696</v>
      </c>
      <c r="D183" s="325" t="s">
        <v>688</v>
      </c>
      <c r="E183" s="325">
        <v>10</v>
      </c>
      <c r="F183" s="324"/>
      <c r="G183" s="916"/>
      <c r="H183" s="313">
        <f t="shared" si="301"/>
        <v>0</v>
      </c>
      <c r="J183" s="323" t="str">
        <f t="shared" si="302"/>
        <v xml:space="preserve"> </v>
      </c>
      <c r="K183" s="323" t="str">
        <f t="shared" si="302"/>
        <v xml:space="preserve"> </v>
      </c>
      <c r="L183" s="323" t="str">
        <f t="shared" si="302"/>
        <v xml:space="preserve"> </v>
      </c>
      <c r="M183" s="323" t="str">
        <f t="shared" si="302"/>
        <v xml:space="preserve"> </v>
      </c>
      <c r="N183" s="323" t="str">
        <f t="shared" si="302"/>
        <v xml:space="preserve"> </v>
      </c>
      <c r="O183" s="323" t="str">
        <f t="shared" si="302"/>
        <v xml:space="preserve"> </v>
      </c>
      <c r="P183" s="323" t="str">
        <f t="shared" si="302"/>
        <v xml:space="preserve"> </v>
      </c>
      <c r="Q183" s="323" t="str">
        <f t="shared" si="302"/>
        <v xml:space="preserve"> </v>
      </c>
      <c r="R183" s="323" t="str">
        <f t="shared" si="302"/>
        <v xml:space="preserve"> </v>
      </c>
      <c r="S183" s="323" t="str">
        <f t="shared" si="302"/>
        <v xml:space="preserve"> </v>
      </c>
      <c r="T183" s="323" t="str">
        <f t="shared" si="302"/>
        <v xml:space="preserve"> </v>
      </c>
      <c r="U183" s="323" t="str">
        <f t="shared" si="302"/>
        <v xml:space="preserve"> </v>
      </c>
      <c r="V183" s="323" t="str">
        <f t="shared" si="302"/>
        <v xml:space="preserve"> </v>
      </c>
      <c r="W183" s="323" t="str">
        <f t="shared" si="302"/>
        <v xml:space="preserve"> </v>
      </c>
      <c r="X183" s="323" t="str">
        <f t="shared" si="302"/>
        <v xml:space="preserve"> </v>
      </c>
      <c r="Y183" s="323" t="str">
        <f t="shared" si="302"/>
        <v xml:space="preserve"> </v>
      </c>
      <c r="Z183" s="323" t="str">
        <f t="shared" si="303"/>
        <v xml:space="preserve"> </v>
      </c>
      <c r="AA183" s="323" t="str">
        <f t="shared" si="303"/>
        <v xml:space="preserve"> </v>
      </c>
      <c r="AB183" s="323" t="str">
        <f t="shared" si="303"/>
        <v xml:space="preserve"> </v>
      </c>
      <c r="AC183" s="323" t="str">
        <f t="shared" si="303"/>
        <v xml:space="preserve"> </v>
      </c>
      <c r="AD183" s="323" t="str">
        <f t="shared" si="303"/>
        <v xml:space="preserve"> </v>
      </c>
      <c r="AE183" s="323" t="str">
        <f t="shared" si="303"/>
        <v xml:space="preserve"> </v>
      </c>
      <c r="AF183" s="323" t="str">
        <f t="shared" si="303"/>
        <v xml:space="preserve"> </v>
      </c>
      <c r="AG183" s="323" t="str">
        <f t="shared" si="303"/>
        <v xml:space="preserve"> </v>
      </c>
      <c r="AH183" s="323" t="str">
        <f t="shared" si="303"/>
        <v xml:space="preserve"> </v>
      </c>
      <c r="AI183" s="323" t="str">
        <f t="shared" si="303"/>
        <v xml:space="preserve"> </v>
      </c>
      <c r="AJ183" s="323" t="str">
        <f t="shared" si="303"/>
        <v xml:space="preserve"> </v>
      </c>
      <c r="AK183" s="323" t="str">
        <f t="shared" si="303"/>
        <v xml:space="preserve"> </v>
      </c>
      <c r="AL183" s="323" t="str">
        <f t="shared" si="303"/>
        <v xml:space="preserve"> </v>
      </c>
      <c r="AM183" s="323" t="str">
        <f t="shared" si="303"/>
        <v xml:space="preserve"> </v>
      </c>
      <c r="AN183" s="323" t="str">
        <f t="shared" si="303"/>
        <v xml:space="preserve"> </v>
      </c>
      <c r="AO183" s="323" t="str">
        <f t="shared" si="303"/>
        <v xml:space="preserve"> </v>
      </c>
      <c r="AP183" s="323" t="str">
        <f t="shared" si="304"/>
        <v xml:space="preserve"> </v>
      </c>
      <c r="AQ183" s="323" t="str">
        <f t="shared" si="304"/>
        <v xml:space="preserve"> </v>
      </c>
      <c r="AR183" s="323" t="str">
        <f t="shared" si="304"/>
        <v xml:space="preserve"> </v>
      </c>
      <c r="AS183" s="323" t="str">
        <f t="shared" si="304"/>
        <v xml:space="preserve"> </v>
      </c>
      <c r="AT183" s="323" t="str">
        <f t="shared" si="304"/>
        <v xml:space="preserve"> </v>
      </c>
      <c r="AU183" s="323" t="str">
        <f t="shared" si="304"/>
        <v xml:space="preserve"> </v>
      </c>
      <c r="AV183" s="323" t="str">
        <f t="shared" si="304"/>
        <v xml:space="preserve"> </v>
      </c>
      <c r="AW183" s="323" t="str">
        <f t="shared" si="304"/>
        <v xml:space="preserve"> </v>
      </c>
      <c r="AX183" s="323" t="str">
        <f t="shared" si="304"/>
        <v xml:space="preserve"> </v>
      </c>
      <c r="AY183" s="323" t="str">
        <f t="shared" si="304"/>
        <v xml:space="preserve"> </v>
      </c>
      <c r="AZ183" s="323" t="str">
        <f t="shared" si="304"/>
        <v xml:space="preserve"> </v>
      </c>
      <c r="BA183" s="323" t="str">
        <f t="shared" si="304"/>
        <v xml:space="preserve"> </v>
      </c>
      <c r="BB183" s="323" t="str">
        <f t="shared" si="304"/>
        <v xml:space="preserve"> </v>
      </c>
      <c r="BC183" s="323" t="str">
        <f t="shared" si="304"/>
        <v xml:space="preserve"> </v>
      </c>
      <c r="BD183" s="323" t="str">
        <f t="shared" si="304"/>
        <v xml:space="preserve"> </v>
      </c>
      <c r="BE183" s="323" t="str">
        <f t="shared" si="304"/>
        <v xml:space="preserve"> </v>
      </c>
    </row>
    <row r="184" spans="2:57" x14ac:dyDescent="0.25">
      <c r="B184" s="316"/>
      <c r="C184" s="171" t="s">
        <v>697</v>
      </c>
      <c r="D184" s="325" t="s">
        <v>688</v>
      </c>
      <c r="E184" s="325">
        <v>11</v>
      </c>
      <c r="F184" s="917"/>
      <c r="G184" s="313"/>
      <c r="H184" s="313">
        <f t="shared" si="301"/>
        <v>0</v>
      </c>
      <c r="J184" s="323" t="str">
        <f t="shared" si="302"/>
        <v xml:space="preserve"> </v>
      </c>
      <c r="K184" s="323" t="str">
        <f t="shared" si="302"/>
        <v xml:space="preserve"> </v>
      </c>
      <c r="L184" s="323" t="str">
        <f t="shared" si="302"/>
        <v xml:space="preserve"> </v>
      </c>
      <c r="M184" s="323" t="str">
        <f t="shared" si="302"/>
        <v xml:space="preserve"> </v>
      </c>
      <c r="N184" s="323" t="str">
        <f t="shared" si="302"/>
        <v xml:space="preserve"> </v>
      </c>
      <c r="O184" s="323" t="str">
        <f t="shared" si="302"/>
        <v xml:space="preserve"> </v>
      </c>
      <c r="P184" s="323" t="str">
        <f t="shared" si="302"/>
        <v xml:space="preserve"> </v>
      </c>
      <c r="Q184" s="323" t="str">
        <f t="shared" si="302"/>
        <v xml:space="preserve"> </v>
      </c>
      <c r="R184" s="323" t="str">
        <f t="shared" si="302"/>
        <v xml:space="preserve"> </v>
      </c>
      <c r="S184" s="323" t="str">
        <f t="shared" si="302"/>
        <v xml:space="preserve"> </v>
      </c>
      <c r="T184" s="323" t="str">
        <f t="shared" si="302"/>
        <v xml:space="preserve"> </v>
      </c>
      <c r="U184" s="323" t="str">
        <f t="shared" si="302"/>
        <v xml:space="preserve"> </v>
      </c>
      <c r="V184" s="323" t="str">
        <f t="shared" si="302"/>
        <v xml:space="preserve"> </v>
      </c>
      <c r="W184" s="323" t="str">
        <f t="shared" si="302"/>
        <v xml:space="preserve"> </v>
      </c>
      <c r="X184" s="323" t="str">
        <f t="shared" si="302"/>
        <v xml:space="preserve"> </v>
      </c>
      <c r="Y184" s="323" t="str">
        <f t="shared" si="302"/>
        <v xml:space="preserve"> </v>
      </c>
      <c r="Z184" s="323" t="str">
        <f t="shared" si="303"/>
        <v xml:space="preserve"> </v>
      </c>
      <c r="AA184" s="323" t="str">
        <f t="shared" si="303"/>
        <v xml:space="preserve"> </v>
      </c>
      <c r="AB184" s="323" t="str">
        <f t="shared" si="303"/>
        <v xml:space="preserve"> </v>
      </c>
      <c r="AC184" s="323" t="str">
        <f t="shared" si="303"/>
        <v xml:space="preserve"> </v>
      </c>
      <c r="AD184" s="323" t="str">
        <f t="shared" si="303"/>
        <v xml:space="preserve"> </v>
      </c>
      <c r="AE184" s="323" t="str">
        <f t="shared" si="303"/>
        <v xml:space="preserve"> </v>
      </c>
      <c r="AF184" s="323" t="str">
        <f t="shared" si="303"/>
        <v xml:space="preserve"> </v>
      </c>
      <c r="AG184" s="323" t="str">
        <f t="shared" si="303"/>
        <v xml:space="preserve"> </v>
      </c>
      <c r="AH184" s="323" t="str">
        <f t="shared" si="303"/>
        <v xml:space="preserve"> </v>
      </c>
      <c r="AI184" s="323" t="str">
        <f t="shared" si="303"/>
        <v xml:space="preserve"> </v>
      </c>
      <c r="AJ184" s="323" t="str">
        <f t="shared" si="303"/>
        <v xml:space="preserve"> </v>
      </c>
      <c r="AK184" s="323" t="str">
        <f t="shared" si="303"/>
        <v xml:space="preserve"> </v>
      </c>
      <c r="AL184" s="323" t="str">
        <f t="shared" si="303"/>
        <v xml:space="preserve"> </v>
      </c>
      <c r="AM184" s="323" t="str">
        <f t="shared" si="303"/>
        <v xml:space="preserve"> </v>
      </c>
      <c r="AN184" s="323" t="str">
        <f t="shared" si="303"/>
        <v xml:space="preserve"> </v>
      </c>
      <c r="AO184" s="323" t="str">
        <f t="shared" si="303"/>
        <v xml:space="preserve"> </v>
      </c>
      <c r="AP184" s="323" t="str">
        <f t="shared" si="304"/>
        <v xml:space="preserve"> </v>
      </c>
      <c r="AQ184" s="323" t="str">
        <f t="shared" si="304"/>
        <v xml:space="preserve"> </v>
      </c>
      <c r="AR184" s="323" t="str">
        <f t="shared" si="304"/>
        <v xml:space="preserve"> </v>
      </c>
      <c r="AS184" s="323" t="str">
        <f t="shared" si="304"/>
        <v xml:space="preserve"> </v>
      </c>
      <c r="AT184" s="323" t="str">
        <f t="shared" si="304"/>
        <v xml:space="preserve"> </v>
      </c>
      <c r="AU184" s="323" t="str">
        <f t="shared" si="304"/>
        <v xml:space="preserve"> </v>
      </c>
      <c r="AV184" s="323" t="str">
        <f t="shared" si="304"/>
        <v xml:space="preserve"> </v>
      </c>
      <c r="AW184" s="323" t="str">
        <f t="shared" si="304"/>
        <v xml:space="preserve"> </v>
      </c>
      <c r="AX184" s="323" t="str">
        <f t="shared" si="304"/>
        <v xml:space="preserve"> </v>
      </c>
      <c r="AY184" s="323" t="str">
        <f t="shared" si="304"/>
        <v xml:space="preserve"> </v>
      </c>
      <c r="AZ184" s="323" t="str">
        <f t="shared" si="304"/>
        <v xml:space="preserve"> </v>
      </c>
      <c r="BA184" s="323" t="str">
        <f t="shared" si="304"/>
        <v xml:space="preserve"> </v>
      </c>
      <c r="BB184" s="323" t="str">
        <f t="shared" si="304"/>
        <v xml:space="preserve"> </v>
      </c>
      <c r="BC184" s="323" t="str">
        <f t="shared" si="304"/>
        <v xml:space="preserve"> </v>
      </c>
      <c r="BD184" s="323" t="str">
        <f t="shared" si="304"/>
        <v xml:space="preserve"> </v>
      </c>
      <c r="BE184" s="323" t="str">
        <f t="shared" si="304"/>
        <v xml:space="preserve"> </v>
      </c>
    </row>
    <row r="185" spans="2:57" x14ac:dyDescent="0.25">
      <c r="B185" s="316"/>
      <c r="C185" s="171" t="s">
        <v>698</v>
      </c>
      <c r="D185" s="325" t="s">
        <v>688</v>
      </c>
      <c r="E185" s="325">
        <v>12</v>
      </c>
      <c r="F185" s="324"/>
      <c r="G185" s="917"/>
      <c r="H185" s="313">
        <f t="shared" si="301"/>
        <v>0</v>
      </c>
      <c r="J185" s="323" t="str">
        <f t="shared" si="302"/>
        <v xml:space="preserve"> </v>
      </c>
      <c r="K185" s="323" t="str">
        <f t="shared" si="302"/>
        <v xml:space="preserve"> </v>
      </c>
      <c r="L185" s="323" t="str">
        <f t="shared" si="302"/>
        <v xml:space="preserve"> </v>
      </c>
      <c r="M185" s="323" t="str">
        <f t="shared" si="302"/>
        <v xml:space="preserve"> </v>
      </c>
      <c r="N185" s="323" t="str">
        <f t="shared" si="302"/>
        <v xml:space="preserve"> </v>
      </c>
      <c r="O185" s="323" t="str">
        <f t="shared" si="302"/>
        <v xml:space="preserve"> </v>
      </c>
      <c r="P185" s="323" t="str">
        <f t="shared" si="302"/>
        <v xml:space="preserve"> </v>
      </c>
      <c r="Q185" s="323" t="str">
        <f t="shared" si="302"/>
        <v xml:space="preserve"> </v>
      </c>
      <c r="R185" s="323" t="str">
        <f t="shared" si="302"/>
        <v xml:space="preserve"> </v>
      </c>
      <c r="S185" s="323" t="str">
        <f t="shared" si="302"/>
        <v xml:space="preserve"> </v>
      </c>
      <c r="T185" s="323" t="str">
        <f t="shared" si="302"/>
        <v xml:space="preserve"> </v>
      </c>
      <c r="U185" s="323" t="str">
        <f t="shared" si="302"/>
        <v xml:space="preserve"> </v>
      </c>
      <c r="V185" s="323" t="str">
        <f t="shared" si="302"/>
        <v xml:space="preserve"> </v>
      </c>
      <c r="W185" s="323" t="str">
        <f t="shared" si="302"/>
        <v xml:space="preserve"> </v>
      </c>
      <c r="X185" s="323" t="str">
        <f t="shared" si="302"/>
        <v xml:space="preserve"> </v>
      </c>
      <c r="Y185" s="323" t="str">
        <f t="shared" si="302"/>
        <v xml:space="preserve"> </v>
      </c>
      <c r="Z185" s="323" t="str">
        <f t="shared" si="303"/>
        <v xml:space="preserve"> </v>
      </c>
      <c r="AA185" s="323" t="str">
        <f t="shared" si="303"/>
        <v xml:space="preserve"> </v>
      </c>
      <c r="AB185" s="323" t="str">
        <f t="shared" si="303"/>
        <v xml:space="preserve"> </v>
      </c>
      <c r="AC185" s="323" t="str">
        <f t="shared" si="303"/>
        <v xml:space="preserve"> </v>
      </c>
      <c r="AD185" s="323" t="str">
        <f t="shared" si="303"/>
        <v xml:space="preserve"> </v>
      </c>
      <c r="AE185" s="323" t="str">
        <f t="shared" si="303"/>
        <v xml:space="preserve"> </v>
      </c>
      <c r="AF185" s="323" t="str">
        <f t="shared" si="303"/>
        <v xml:space="preserve"> </v>
      </c>
      <c r="AG185" s="323" t="str">
        <f t="shared" si="303"/>
        <v xml:space="preserve"> </v>
      </c>
      <c r="AH185" s="323" t="str">
        <f t="shared" si="303"/>
        <v xml:space="preserve"> </v>
      </c>
      <c r="AI185" s="323" t="str">
        <f t="shared" si="303"/>
        <v xml:space="preserve"> </v>
      </c>
      <c r="AJ185" s="323" t="str">
        <f t="shared" si="303"/>
        <v xml:space="preserve"> </v>
      </c>
      <c r="AK185" s="323" t="str">
        <f t="shared" si="303"/>
        <v xml:space="preserve"> </v>
      </c>
      <c r="AL185" s="323" t="str">
        <f t="shared" si="303"/>
        <v xml:space="preserve"> </v>
      </c>
      <c r="AM185" s="323" t="str">
        <f t="shared" si="303"/>
        <v xml:space="preserve"> </v>
      </c>
      <c r="AN185" s="323" t="str">
        <f t="shared" si="303"/>
        <v xml:space="preserve"> </v>
      </c>
      <c r="AO185" s="323" t="str">
        <f t="shared" si="303"/>
        <v xml:space="preserve"> </v>
      </c>
      <c r="AP185" s="323" t="str">
        <f t="shared" si="304"/>
        <v xml:space="preserve"> </v>
      </c>
      <c r="AQ185" s="323" t="str">
        <f t="shared" si="304"/>
        <v xml:space="preserve"> </v>
      </c>
      <c r="AR185" s="323" t="str">
        <f t="shared" si="304"/>
        <v xml:space="preserve"> </v>
      </c>
      <c r="AS185" s="323" t="str">
        <f t="shared" si="304"/>
        <v xml:space="preserve"> </v>
      </c>
      <c r="AT185" s="323" t="str">
        <f t="shared" si="304"/>
        <v xml:space="preserve"> </v>
      </c>
      <c r="AU185" s="323" t="str">
        <f t="shared" si="304"/>
        <v xml:space="preserve"> </v>
      </c>
      <c r="AV185" s="323" t="str">
        <f t="shared" si="304"/>
        <v xml:space="preserve"> </v>
      </c>
      <c r="AW185" s="323" t="str">
        <f t="shared" si="304"/>
        <v xml:space="preserve"> </v>
      </c>
      <c r="AX185" s="323" t="str">
        <f t="shared" si="304"/>
        <v xml:space="preserve"> </v>
      </c>
      <c r="AY185" s="323" t="str">
        <f t="shared" si="304"/>
        <v xml:space="preserve"> </v>
      </c>
      <c r="AZ185" s="323" t="str">
        <f t="shared" si="304"/>
        <v xml:space="preserve"> </v>
      </c>
      <c r="BA185" s="323" t="str">
        <f t="shared" si="304"/>
        <v xml:space="preserve"> </v>
      </c>
      <c r="BB185" s="323" t="str">
        <f t="shared" si="304"/>
        <v xml:space="preserve"> </v>
      </c>
      <c r="BC185" s="323" t="str">
        <f t="shared" si="304"/>
        <v xml:space="preserve"> </v>
      </c>
      <c r="BD185" s="323" t="str">
        <f t="shared" si="304"/>
        <v xml:space="preserve"> </v>
      </c>
      <c r="BE185" s="323" t="str">
        <f t="shared" si="304"/>
        <v xml:space="preserve"> </v>
      </c>
    </row>
    <row r="186" spans="2:57" x14ac:dyDescent="0.25">
      <c r="B186" s="316"/>
      <c r="C186" s="171" t="s">
        <v>699</v>
      </c>
      <c r="D186" s="325" t="s">
        <v>688</v>
      </c>
      <c r="E186" s="325">
        <v>13</v>
      </c>
      <c r="F186" s="324"/>
      <c r="G186" s="917"/>
      <c r="H186" s="313">
        <f t="shared" si="301"/>
        <v>0</v>
      </c>
      <c r="J186" s="323" t="str">
        <f t="shared" si="302"/>
        <v xml:space="preserve"> </v>
      </c>
      <c r="K186" s="323" t="str">
        <f t="shared" si="302"/>
        <v xml:space="preserve"> </v>
      </c>
      <c r="L186" s="323" t="str">
        <f t="shared" si="302"/>
        <v xml:space="preserve"> </v>
      </c>
      <c r="M186" s="323" t="str">
        <f t="shared" si="302"/>
        <v xml:space="preserve"> </v>
      </c>
      <c r="N186" s="323" t="str">
        <f t="shared" si="302"/>
        <v xml:space="preserve"> </v>
      </c>
      <c r="O186" s="323" t="str">
        <f t="shared" si="302"/>
        <v xml:space="preserve"> </v>
      </c>
      <c r="P186" s="323" t="str">
        <f t="shared" si="302"/>
        <v xml:space="preserve"> </v>
      </c>
      <c r="Q186" s="323" t="str">
        <f t="shared" si="302"/>
        <v xml:space="preserve"> </v>
      </c>
      <c r="R186" s="323" t="str">
        <f t="shared" si="302"/>
        <v xml:space="preserve"> </v>
      </c>
      <c r="S186" s="323" t="str">
        <f t="shared" si="302"/>
        <v xml:space="preserve"> </v>
      </c>
      <c r="T186" s="323" t="str">
        <f t="shared" si="302"/>
        <v xml:space="preserve"> </v>
      </c>
      <c r="U186" s="323" t="str">
        <f t="shared" si="302"/>
        <v xml:space="preserve"> </v>
      </c>
      <c r="V186" s="323" t="str">
        <f t="shared" si="302"/>
        <v xml:space="preserve"> </v>
      </c>
      <c r="W186" s="323" t="str">
        <f t="shared" si="302"/>
        <v xml:space="preserve"> </v>
      </c>
      <c r="X186" s="323" t="str">
        <f t="shared" si="302"/>
        <v xml:space="preserve"> </v>
      </c>
      <c r="Y186" s="323" t="str">
        <f t="shared" si="302"/>
        <v xml:space="preserve"> </v>
      </c>
      <c r="Z186" s="323" t="str">
        <f t="shared" si="303"/>
        <v xml:space="preserve"> </v>
      </c>
      <c r="AA186" s="323" t="str">
        <f t="shared" si="303"/>
        <v xml:space="preserve"> </v>
      </c>
      <c r="AB186" s="323" t="str">
        <f t="shared" si="303"/>
        <v xml:space="preserve"> </v>
      </c>
      <c r="AC186" s="323" t="str">
        <f t="shared" si="303"/>
        <v xml:space="preserve"> </v>
      </c>
      <c r="AD186" s="323" t="str">
        <f t="shared" si="303"/>
        <v xml:space="preserve"> </v>
      </c>
      <c r="AE186" s="323" t="str">
        <f t="shared" si="303"/>
        <v xml:space="preserve"> </v>
      </c>
      <c r="AF186" s="323" t="str">
        <f t="shared" si="303"/>
        <v xml:space="preserve"> </v>
      </c>
      <c r="AG186" s="323" t="str">
        <f t="shared" si="303"/>
        <v xml:space="preserve"> </v>
      </c>
      <c r="AH186" s="323" t="str">
        <f t="shared" si="303"/>
        <v xml:space="preserve"> </v>
      </c>
      <c r="AI186" s="323" t="str">
        <f t="shared" si="303"/>
        <v xml:space="preserve"> </v>
      </c>
      <c r="AJ186" s="323" t="str">
        <f t="shared" si="303"/>
        <v xml:space="preserve"> </v>
      </c>
      <c r="AK186" s="323" t="str">
        <f t="shared" si="303"/>
        <v xml:space="preserve"> </v>
      </c>
      <c r="AL186" s="323" t="str">
        <f t="shared" si="303"/>
        <v xml:space="preserve"> </v>
      </c>
      <c r="AM186" s="323" t="str">
        <f t="shared" si="303"/>
        <v xml:space="preserve"> </v>
      </c>
      <c r="AN186" s="323" t="str">
        <f t="shared" si="303"/>
        <v xml:space="preserve"> </v>
      </c>
      <c r="AO186" s="323" t="str">
        <f t="shared" si="303"/>
        <v xml:space="preserve"> </v>
      </c>
      <c r="AP186" s="323" t="str">
        <f t="shared" si="304"/>
        <v xml:space="preserve"> </v>
      </c>
      <c r="AQ186" s="323" t="str">
        <f t="shared" si="304"/>
        <v xml:space="preserve"> </v>
      </c>
      <c r="AR186" s="323" t="str">
        <f t="shared" si="304"/>
        <v xml:space="preserve"> </v>
      </c>
      <c r="AS186" s="323" t="str">
        <f t="shared" si="304"/>
        <v xml:space="preserve"> </v>
      </c>
      <c r="AT186" s="323" t="str">
        <f t="shared" si="304"/>
        <v xml:space="preserve"> </v>
      </c>
      <c r="AU186" s="323" t="str">
        <f t="shared" si="304"/>
        <v xml:space="preserve"> </v>
      </c>
      <c r="AV186" s="323" t="str">
        <f t="shared" si="304"/>
        <v xml:space="preserve"> </v>
      </c>
      <c r="AW186" s="323" t="str">
        <f t="shared" si="304"/>
        <v xml:space="preserve"> </v>
      </c>
      <c r="AX186" s="323" t="str">
        <f t="shared" si="304"/>
        <v xml:space="preserve"> </v>
      </c>
      <c r="AY186" s="323" t="str">
        <f t="shared" si="304"/>
        <v xml:space="preserve"> </v>
      </c>
      <c r="AZ186" s="323" t="str">
        <f t="shared" si="304"/>
        <v xml:space="preserve"> </v>
      </c>
      <c r="BA186" s="323" t="str">
        <f t="shared" si="304"/>
        <v xml:space="preserve"> </v>
      </c>
      <c r="BB186" s="323" t="str">
        <f t="shared" si="304"/>
        <v xml:space="preserve"> </v>
      </c>
      <c r="BC186" s="323" t="str">
        <f t="shared" si="304"/>
        <v xml:space="preserve"> </v>
      </c>
      <c r="BD186" s="323" t="str">
        <f t="shared" si="304"/>
        <v xml:space="preserve"> </v>
      </c>
      <c r="BE186" s="323" t="str">
        <f t="shared" si="304"/>
        <v xml:space="preserve"> </v>
      </c>
    </row>
    <row r="187" spans="2:57" x14ac:dyDescent="0.25">
      <c r="B187" s="317"/>
      <c r="C187" s="171" t="s">
        <v>676</v>
      </c>
      <c r="D187" s="325" t="s">
        <v>688</v>
      </c>
      <c r="E187" s="325">
        <v>14</v>
      </c>
      <c r="F187" s="917"/>
      <c r="G187" s="916"/>
      <c r="H187" s="313">
        <f t="shared" si="301"/>
        <v>0</v>
      </c>
      <c r="J187" s="323" t="str">
        <f t="shared" si="302"/>
        <v xml:space="preserve"> </v>
      </c>
      <c r="K187" s="323" t="str">
        <f t="shared" si="302"/>
        <v xml:space="preserve"> </v>
      </c>
      <c r="L187" s="323" t="str">
        <f t="shared" si="302"/>
        <v xml:space="preserve"> </v>
      </c>
      <c r="M187" s="323" t="str">
        <f t="shared" si="302"/>
        <v xml:space="preserve"> </v>
      </c>
      <c r="N187" s="323" t="str">
        <f t="shared" si="302"/>
        <v xml:space="preserve"> </v>
      </c>
      <c r="O187" s="323" t="str">
        <f t="shared" si="302"/>
        <v xml:space="preserve"> </v>
      </c>
      <c r="P187" s="323" t="str">
        <f t="shared" si="302"/>
        <v xml:space="preserve"> </v>
      </c>
      <c r="Q187" s="323" t="str">
        <f t="shared" si="302"/>
        <v xml:space="preserve"> </v>
      </c>
      <c r="R187" s="323" t="str">
        <f t="shared" si="302"/>
        <v xml:space="preserve"> </v>
      </c>
      <c r="S187" s="323" t="str">
        <f t="shared" si="302"/>
        <v xml:space="preserve"> </v>
      </c>
      <c r="T187" s="323" t="str">
        <f t="shared" si="302"/>
        <v xml:space="preserve"> </v>
      </c>
      <c r="U187" s="323" t="str">
        <f t="shared" si="302"/>
        <v xml:space="preserve"> </v>
      </c>
      <c r="V187" s="323" t="str">
        <f t="shared" si="302"/>
        <v xml:space="preserve"> </v>
      </c>
      <c r="W187" s="323" t="str">
        <f t="shared" si="302"/>
        <v xml:space="preserve"> </v>
      </c>
      <c r="X187" s="323" t="str">
        <f t="shared" si="302"/>
        <v xml:space="preserve"> </v>
      </c>
      <c r="Y187" s="323" t="str">
        <f t="shared" si="302"/>
        <v xml:space="preserve"> </v>
      </c>
      <c r="Z187" s="323" t="str">
        <f t="shared" si="303"/>
        <v xml:space="preserve"> </v>
      </c>
      <c r="AA187" s="323" t="str">
        <f t="shared" si="303"/>
        <v xml:space="preserve"> </v>
      </c>
      <c r="AB187" s="323" t="str">
        <f t="shared" si="303"/>
        <v xml:space="preserve"> </v>
      </c>
      <c r="AC187" s="323" t="str">
        <f t="shared" si="303"/>
        <v xml:space="preserve"> </v>
      </c>
      <c r="AD187" s="323" t="str">
        <f t="shared" si="303"/>
        <v xml:space="preserve"> </v>
      </c>
      <c r="AE187" s="323" t="str">
        <f t="shared" si="303"/>
        <v xml:space="preserve"> </v>
      </c>
      <c r="AF187" s="323" t="str">
        <f t="shared" si="303"/>
        <v xml:space="preserve"> </v>
      </c>
      <c r="AG187" s="323" t="str">
        <f t="shared" si="303"/>
        <v xml:space="preserve"> </v>
      </c>
      <c r="AH187" s="323" t="str">
        <f t="shared" si="303"/>
        <v xml:space="preserve"> </v>
      </c>
      <c r="AI187" s="323" t="str">
        <f t="shared" si="303"/>
        <v xml:space="preserve"> </v>
      </c>
      <c r="AJ187" s="323" t="str">
        <f t="shared" si="303"/>
        <v xml:space="preserve"> </v>
      </c>
      <c r="AK187" s="323" t="str">
        <f t="shared" si="303"/>
        <v xml:space="preserve"> </v>
      </c>
      <c r="AL187" s="323" t="str">
        <f t="shared" si="303"/>
        <v xml:space="preserve"> </v>
      </c>
      <c r="AM187" s="323" t="str">
        <f t="shared" si="303"/>
        <v xml:space="preserve"> </v>
      </c>
      <c r="AN187" s="323" t="str">
        <f t="shared" si="303"/>
        <v xml:space="preserve"> </v>
      </c>
      <c r="AO187" s="323" t="str">
        <f t="shared" si="303"/>
        <v xml:space="preserve"> </v>
      </c>
      <c r="AP187" s="323" t="str">
        <f t="shared" si="304"/>
        <v xml:space="preserve"> </v>
      </c>
      <c r="AQ187" s="323" t="str">
        <f t="shared" si="304"/>
        <v xml:space="preserve"> </v>
      </c>
      <c r="AR187" s="323" t="str">
        <f t="shared" si="304"/>
        <v xml:space="preserve"> </v>
      </c>
      <c r="AS187" s="323" t="str">
        <f t="shared" si="304"/>
        <v xml:space="preserve"> </v>
      </c>
      <c r="AT187" s="323" t="str">
        <f t="shared" si="304"/>
        <v xml:space="preserve"> </v>
      </c>
      <c r="AU187" s="323" t="str">
        <f t="shared" si="304"/>
        <v xml:space="preserve"> </v>
      </c>
      <c r="AV187" s="323" t="str">
        <f t="shared" si="304"/>
        <v xml:space="preserve"> </v>
      </c>
      <c r="AW187" s="323" t="str">
        <f t="shared" si="304"/>
        <v xml:space="preserve"> </v>
      </c>
      <c r="AX187" s="323" t="str">
        <f t="shared" si="304"/>
        <v xml:space="preserve"> </v>
      </c>
      <c r="AY187" s="323" t="str">
        <f t="shared" si="304"/>
        <v xml:space="preserve"> </v>
      </c>
      <c r="AZ187" s="323" t="str">
        <f t="shared" si="304"/>
        <v xml:space="preserve"> </v>
      </c>
      <c r="BA187" s="323" t="str">
        <f t="shared" si="304"/>
        <v xml:space="preserve"> </v>
      </c>
      <c r="BB187" s="323" t="str">
        <f t="shared" si="304"/>
        <v xml:space="preserve"> </v>
      </c>
      <c r="BC187" s="323" t="str">
        <f t="shared" si="304"/>
        <v xml:space="preserve"> </v>
      </c>
      <c r="BD187" s="323" t="str">
        <f t="shared" si="304"/>
        <v xml:space="preserve"> </v>
      </c>
      <c r="BE187" s="323" t="str">
        <f t="shared" si="304"/>
        <v xml:space="preserve"> </v>
      </c>
    </row>
    <row r="189" spans="2:57" ht="15.75" thickBot="1" x14ac:dyDescent="0.3">
      <c r="J189" s="171" t="s">
        <v>680</v>
      </c>
    </row>
    <row r="190" spans="2:57" ht="16.5" thickTop="1" thickBot="1" x14ac:dyDescent="0.3">
      <c r="B190" s="430"/>
      <c r="C190" s="431" t="s">
        <v>929</v>
      </c>
      <c r="D190" s="431" t="s">
        <v>930</v>
      </c>
      <c r="E190" s="431" t="s">
        <v>592</v>
      </c>
      <c r="F190" s="322" t="s">
        <v>684</v>
      </c>
      <c r="G190" s="322" t="s">
        <v>685</v>
      </c>
      <c r="H190" s="322" t="s">
        <v>686</v>
      </c>
      <c r="J190" s="171">
        <f>J173</f>
        <v>0</v>
      </c>
      <c r="K190" s="171">
        <f t="shared" ref="K190:AP190" si="305">K173</f>
        <v>1</v>
      </c>
      <c r="L190" s="171">
        <f t="shared" si="305"/>
        <v>2</v>
      </c>
      <c r="M190" s="171">
        <f t="shared" si="305"/>
        <v>3</v>
      </c>
      <c r="N190" s="171">
        <f t="shared" si="305"/>
        <v>4</v>
      </c>
      <c r="O190" s="171">
        <f t="shared" si="305"/>
        <v>5</v>
      </c>
      <c r="P190" s="171">
        <f t="shared" si="305"/>
        <v>6</v>
      </c>
      <c r="Q190" s="171">
        <f t="shared" si="305"/>
        <v>7</v>
      </c>
      <c r="R190" s="171">
        <f t="shared" si="305"/>
        <v>8</v>
      </c>
      <c r="S190" s="171">
        <f t="shared" si="305"/>
        <v>9</v>
      </c>
      <c r="T190" s="171">
        <f t="shared" si="305"/>
        <v>10</v>
      </c>
      <c r="U190" s="171">
        <f t="shared" si="305"/>
        <v>11</v>
      </c>
      <c r="V190" s="171">
        <f t="shared" si="305"/>
        <v>12</v>
      </c>
      <c r="W190" s="171">
        <f t="shared" si="305"/>
        <v>13</v>
      </c>
      <c r="X190" s="171">
        <f t="shared" si="305"/>
        <v>14</v>
      </c>
      <c r="Y190" s="171">
        <f t="shared" si="305"/>
        <v>15</v>
      </c>
      <c r="Z190" s="171">
        <f t="shared" si="305"/>
        <v>16</v>
      </c>
      <c r="AA190" s="171">
        <f t="shared" si="305"/>
        <v>17</v>
      </c>
      <c r="AB190" s="171">
        <f t="shared" si="305"/>
        <v>18</v>
      </c>
      <c r="AC190" s="171">
        <f t="shared" si="305"/>
        <v>19</v>
      </c>
      <c r="AD190" s="171">
        <f t="shared" si="305"/>
        <v>20</v>
      </c>
      <c r="AE190" s="171">
        <f t="shared" si="305"/>
        <v>21</v>
      </c>
      <c r="AF190" s="171">
        <f t="shared" si="305"/>
        <v>22</v>
      </c>
      <c r="AG190" s="171">
        <f t="shared" si="305"/>
        <v>23</v>
      </c>
      <c r="AH190" s="171">
        <f t="shared" si="305"/>
        <v>24</v>
      </c>
      <c r="AI190" s="171">
        <f t="shared" si="305"/>
        <v>25</v>
      </c>
      <c r="AJ190" s="171">
        <f t="shared" si="305"/>
        <v>26</v>
      </c>
      <c r="AK190" s="171">
        <f t="shared" si="305"/>
        <v>27</v>
      </c>
      <c r="AL190" s="171">
        <f t="shared" si="305"/>
        <v>28</v>
      </c>
      <c r="AM190" s="171">
        <f t="shared" si="305"/>
        <v>29</v>
      </c>
      <c r="AN190" s="171">
        <f t="shared" si="305"/>
        <v>30</v>
      </c>
      <c r="AO190" s="171">
        <f t="shared" si="305"/>
        <v>31</v>
      </c>
      <c r="AP190" s="171">
        <f t="shared" si="305"/>
        <v>32</v>
      </c>
      <c r="AQ190" s="171">
        <f t="shared" ref="AQ190:BE190" si="306">AQ173</f>
        <v>33</v>
      </c>
      <c r="AR190" s="171">
        <f t="shared" si="306"/>
        <v>34</v>
      </c>
      <c r="AS190" s="171">
        <f t="shared" si="306"/>
        <v>35</v>
      </c>
      <c r="AT190" s="171">
        <f t="shared" si="306"/>
        <v>36</v>
      </c>
      <c r="AU190" s="171">
        <f t="shared" si="306"/>
        <v>37</v>
      </c>
      <c r="AV190" s="171">
        <f t="shared" si="306"/>
        <v>38</v>
      </c>
      <c r="AW190" s="171">
        <f t="shared" si="306"/>
        <v>39</v>
      </c>
      <c r="AX190" s="171">
        <f t="shared" si="306"/>
        <v>40</v>
      </c>
      <c r="AY190" s="171">
        <f t="shared" si="306"/>
        <v>41</v>
      </c>
      <c r="AZ190" s="171">
        <f t="shared" si="306"/>
        <v>42</v>
      </c>
      <c r="BA190" s="171">
        <f t="shared" si="306"/>
        <v>43</v>
      </c>
      <c r="BB190" s="171">
        <f t="shared" si="306"/>
        <v>44</v>
      </c>
      <c r="BC190" s="171">
        <f t="shared" si="306"/>
        <v>45</v>
      </c>
      <c r="BD190" s="171">
        <f t="shared" si="306"/>
        <v>46</v>
      </c>
      <c r="BE190" s="171">
        <f t="shared" si="306"/>
        <v>47</v>
      </c>
    </row>
    <row r="191" spans="2:57" ht="15.75" thickTop="1" x14ac:dyDescent="0.25">
      <c r="B191" s="432"/>
      <c r="C191" s="430" t="s">
        <v>931</v>
      </c>
      <c r="D191" s="430" t="s">
        <v>932</v>
      </c>
      <c r="E191" s="325">
        <v>0</v>
      </c>
      <c r="F191" s="313"/>
      <c r="G191" s="313"/>
      <c r="H191" s="313">
        <f>G191-F191</f>
        <v>0</v>
      </c>
      <c r="J191" s="433">
        <f>IF(AND($F191&gt;=$J$8,J$8&gt;=$F191),$E191,)</f>
        <v>0</v>
      </c>
      <c r="K191" s="433">
        <f t="shared" ref="K191:Z194" si="307">IF(AND($F191&gt;=$J$8,K$8&gt;=$F191),$E191,)</f>
        <v>0</v>
      </c>
      <c r="L191" s="433">
        <f t="shared" si="307"/>
        <v>0</v>
      </c>
      <c r="M191" s="433">
        <f t="shared" si="307"/>
        <v>0</v>
      </c>
      <c r="N191" s="433">
        <f t="shared" si="307"/>
        <v>0</v>
      </c>
      <c r="O191" s="433">
        <f t="shared" si="307"/>
        <v>0</v>
      </c>
      <c r="P191" s="433">
        <f t="shared" si="307"/>
        <v>0</v>
      </c>
      <c r="Q191" s="433">
        <f t="shared" si="307"/>
        <v>0</v>
      </c>
      <c r="R191" s="433">
        <f t="shared" si="307"/>
        <v>0</v>
      </c>
      <c r="S191" s="433">
        <f t="shared" si="307"/>
        <v>0</v>
      </c>
      <c r="T191" s="433">
        <f t="shared" si="307"/>
        <v>0</v>
      </c>
      <c r="U191" s="433">
        <f t="shared" si="307"/>
        <v>0</v>
      </c>
      <c r="V191" s="433">
        <f t="shared" si="307"/>
        <v>0</v>
      </c>
      <c r="W191" s="433">
        <f t="shared" si="307"/>
        <v>0</v>
      </c>
      <c r="X191" s="433">
        <f t="shared" si="307"/>
        <v>0</v>
      </c>
      <c r="Y191" s="433">
        <f t="shared" si="307"/>
        <v>0</v>
      </c>
      <c r="Z191" s="433">
        <f t="shared" si="307"/>
        <v>0</v>
      </c>
      <c r="AA191" s="433">
        <f t="shared" ref="AA191:AQ194" si="308">IF(AND($F191&gt;=$J$8,AA$8&gt;=$F191),$E191,)</f>
        <v>0</v>
      </c>
      <c r="AB191" s="433">
        <f t="shared" si="308"/>
        <v>0</v>
      </c>
      <c r="AC191" s="433">
        <f t="shared" si="308"/>
        <v>0</v>
      </c>
      <c r="AD191" s="433">
        <f t="shared" si="308"/>
        <v>0</v>
      </c>
      <c r="AE191" s="433">
        <f t="shared" si="308"/>
        <v>0</v>
      </c>
      <c r="AF191" s="433">
        <f t="shared" si="308"/>
        <v>0</v>
      </c>
      <c r="AG191" s="433">
        <f t="shared" si="308"/>
        <v>0</v>
      </c>
      <c r="AH191" s="433">
        <f t="shared" si="308"/>
        <v>0</v>
      </c>
      <c r="AI191" s="433">
        <f t="shared" si="308"/>
        <v>0</v>
      </c>
      <c r="AJ191" s="433">
        <f t="shared" si="308"/>
        <v>0</v>
      </c>
      <c r="AK191" s="433">
        <f t="shared" si="308"/>
        <v>0</v>
      </c>
      <c r="AL191" s="433">
        <f t="shared" si="308"/>
        <v>0</v>
      </c>
      <c r="AM191" s="433">
        <f t="shared" si="308"/>
        <v>0</v>
      </c>
      <c r="AN191" s="433">
        <f t="shared" si="308"/>
        <v>0</v>
      </c>
      <c r="AO191" s="433">
        <f t="shared" si="308"/>
        <v>0</v>
      </c>
      <c r="AP191" s="433">
        <f t="shared" si="308"/>
        <v>0</v>
      </c>
      <c r="AQ191" s="433">
        <f t="shared" si="308"/>
        <v>0</v>
      </c>
      <c r="AR191" s="433">
        <f t="shared" ref="AQ191:BE194" si="309">IF(AND($F191&gt;=$J$8,AR$8&gt;=$F191),$E191,)</f>
        <v>0</v>
      </c>
      <c r="AS191" s="433">
        <f t="shared" si="309"/>
        <v>0</v>
      </c>
      <c r="AT191" s="433">
        <f t="shared" si="309"/>
        <v>0</v>
      </c>
      <c r="AU191" s="433">
        <f t="shared" si="309"/>
        <v>0</v>
      </c>
      <c r="AV191" s="433">
        <f t="shared" si="309"/>
        <v>0</v>
      </c>
      <c r="AW191" s="433">
        <f t="shared" si="309"/>
        <v>0</v>
      </c>
      <c r="AX191" s="433">
        <f t="shared" si="309"/>
        <v>0</v>
      </c>
      <c r="AY191" s="433">
        <f t="shared" si="309"/>
        <v>0</v>
      </c>
      <c r="AZ191" s="433">
        <f t="shared" si="309"/>
        <v>0</v>
      </c>
      <c r="BA191" s="433">
        <f t="shared" si="309"/>
        <v>0</v>
      </c>
      <c r="BB191" s="433">
        <f t="shared" si="309"/>
        <v>0</v>
      </c>
      <c r="BC191" s="433">
        <f t="shared" si="309"/>
        <v>0</v>
      </c>
      <c r="BD191" s="433">
        <f t="shared" si="309"/>
        <v>0</v>
      </c>
      <c r="BE191" s="433">
        <f t="shared" si="309"/>
        <v>0</v>
      </c>
    </row>
    <row r="192" spans="2:57" x14ac:dyDescent="0.25">
      <c r="B192" s="434"/>
      <c r="C192" s="430" t="s">
        <v>933</v>
      </c>
      <c r="D192" s="430" t="s">
        <v>934</v>
      </c>
      <c r="E192" s="325">
        <v>0</v>
      </c>
      <c r="F192" s="313"/>
      <c r="G192" s="313"/>
      <c r="H192" s="313">
        <f t="shared" ref="H192:H194" si="310">G192-F192</f>
        <v>0</v>
      </c>
      <c r="J192" s="433">
        <f t="shared" ref="J192:J194" si="311">IF(AND($F192&gt;=$J$8,J$8&gt;=$F192),$E192,)</f>
        <v>0</v>
      </c>
      <c r="K192" s="433">
        <f t="shared" si="307"/>
        <v>0</v>
      </c>
      <c r="L192" s="433">
        <f t="shared" si="307"/>
        <v>0</v>
      </c>
      <c r="M192" s="433">
        <f t="shared" si="307"/>
        <v>0</v>
      </c>
      <c r="N192" s="433">
        <f t="shared" si="307"/>
        <v>0</v>
      </c>
      <c r="O192" s="433">
        <f t="shared" si="307"/>
        <v>0</v>
      </c>
      <c r="P192" s="433">
        <f t="shared" si="307"/>
        <v>0</v>
      </c>
      <c r="Q192" s="433">
        <f t="shared" si="307"/>
        <v>0</v>
      </c>
      <c r="R192" s="433">
        <f t="shared" si="307"/>
        <v>0</v>
      </c>
      <c r="S192" s="433">
        <f t="shared" si="307"/>
        <v>0</v>
      </c>
      <c r="T192" s="433">
        <f t="shared" si="307"/>
        <v>0</v>
      </c>
      <c r="U192" s="433">
        <f t="shared" si="307"/>
        <v>0</v>
      </c>
      <c r="V192" s="433">
        <f t="shared" si="307"/>
        <v>0</v>
      </c>
      <c r="W192" s="433">
        <f t="shared" si="307"/>
        <v>0</v>
      </c>
      <c r="X192" s="433">
        <f t="shared" si="307"/>
        <v>0</v>
      </c>
      <c r="Y192" s="433">
        <f t="shared" si="307"/>
        <v>0</v>
      </c>
      <c r="Z192" s="433">
        <f t="shared" si="307"/>
        <v>0</v>
      </c>
      <c r="AA192" s="433">
        <f t="shared" si="308"/>
        <v>0</v>
      </c>
      <c r="AB192" s="433">
        <f t="shared" si="308"/>
        <v>0</v>
      </c>
      <c r="AC192" s="433">
        <f t="shared" si="308"/>
        <v>0</v>
      </c>
      <c r="AD192" s="433">
        <f t="shared" si="308"/>
        <v>0</v>
      </c>
      <c r="AE192" s="433">
        <f t="shared" si="308"/>
        <v>0</v>
      </c>
      <c r="AF192" s="433">
        <f t="shared" si="308"/>
        <v>0</v>
      </c>
      <c r="AG192" s="433">
        <f t="shared" si="308"/>
        <v>0</v>
      </c>
      <c r="AH192" s="433">
        <f t="shared" si="308"/>
        <v>0</v>
      </c>
      <c r="AI192" s="433">
        <f t="shared" si="308"/>
        <v>0</v>
      </c>
      <c r="AJ192" s="433">
        <f t="shared" si="308"/>
        <v>0</v>
      </c>
      <c r="AK192" s="433">
        <f t="shared" si="308"/>
        <v>0</v>
      </c>
      <c r="AL192" s="433">
        <f t="shared" si="308"/>
        <v>0</v>
      </c>
      <c r="AM192" s="433">
        <f t="shared" si="308"/>
        <v>0</v>
      </c>
      <c r="AN192" s="433">
        <f t="shared" si="308"/>
        <v>0</v>
      </c>
      <c r="AO192" s="433">
        <f t="shared" si="308"/>
        <v>0</v>
      </c>
      <c r="AP192" s="433">
        <f t="shared" si="308"/>
        <v>0</v>
      </c>
      <c r="AQ192" s="433">
        <f t="shared" si="309"/>
        <v>0</v>
      </c>
      <c r="AR192" s="433">
        <f t="shared" si="309"/>
        <v>0</v>
      </c>
      <c r="AS192" s="433">
        <f t="shared" si="309"/>
        <v>0</v>
      </c>
      <c r="AT192" s="433">
        <f t="shared" si="309"/>
        <v>0</v>
      </c>
      <c r="AU192" s="433">
        <f t="shared" si="309"/>
        <v>0</v>
      </c>
      <c r="AV192" s="433">
        <f t="shared" si="309"/>
        <v>0</v>
      </c>
      <c r="AW192" s="433">
        <f t="shared" si="309"/>
        <v>0</v>
      </c>
      <c r="AX192" s="433">
        <f t="shared" si="309"/>
        <v>0</v>
      </c>
      <c r="AY192" s="433">
        <f t="shared" si="309"/>
        <v>0</v>
      </c>
      <c r="AZ192" s="433">
        <f t="shared" si="309"/>
        <v>0</v>
      </c>
      <c r="BA192" s="433">
        <f t="shared" si="309"/>
        <v>0</v>
      </c>
      <c r="BB192" s="433">
        <f t="shared" si="309"/>
        <v>0</v>
      </c>
      <c r="BC192" s="433">
        <f t="shared" si="309"/>
        <v>0</v>
      </c>
      <c r="BD192" s="433">
        <f t="shared" si="309"/>
        <v>0</v>
      </c>
      <c r="BE192" s="433">
        <f t="shared" si="309"/>
        <v>0</v>
      </c>
    </row>
    <row r="193" spans="2:57" x14ac:dyDescent="0.25">
      <c r="B193" s="30"/>
      <c r="C193" s="430" t="s">
        <v>935</v>
      </c>
      <c r="D193" s="430" t="s">
        <v>936</v>
      </c>
      <c r="E193" s="325">
        <v>0</v>
      </c>
      <c r="F193" s="313"/>
      <c r="G193" s="313"/>
      <c r="H193" s="313">
        <f t="shared" si="310"/>
        <v>0</v>
      </c>
      <c r="J193" s="433">
        <f t="shared" si="311"/>
        <v>0</v>
      </c>
      <c r="K193" s="433">
        <f t="shared" si="307"/>
        <v>0</v>
      </c>
      <c r="L193" s="433">
        <f t="shared" si="307"/>
        <v>0</v>
      </c>
      <c r="M193" s="433">
        <f t="shared" si="307"/>
        <v>0</v>
      </c>
      <c r="N193" s="433">
        <f t="shared" si="307"/>
        <v>0</v>
      </c>
      <c r="O193" s="433">
        <f t="shared" si="307"/>
        <v>0</v>
      </c>
      <c r="P193" s="433">
        <f t="shared" si="307"/>
        <v>0</v>
      </c>
      <c r="Q193" s="433">
        <f t="shared" si="307"/>
        <v>0</v>
      </c>
      <c r="R193" s="433">
        <f t="shared" si="307"/>
        <v>0</v>
      </c>
      <c r="S193" s="433">
        <f t="shared" si="307"/>
        <v>0</v>
      </c>
      <c r="T193" s="433">
        <f t="shared" si="307"/>
        <v>0</v>
      </c>
      <c r="U193" s="433">
        <f t="shared" si="307"/>
        <v>0</v>
      </c>
      <c r="V193" s="433">
        <f t="shared" si="307"/>
        <v>0</v>
      </c>
      <c r="W193" s="433">
        <f t="shared" si="307"/>
        <v>0</v>
      </c>
      <c r="X193" s="433">
        <f t="shared" si="307"/>
        <v>0</v>
      </c>
      <c r="Y193" s="433">
        <f t="shared" si="307"/>
        <v>0</v>
      </c>
      <c r="Z193" s="433">
        <f t="shared" si="307"/>
        <v>0</v>
      </c>
      <c r="AA193" s="433">
        <f t="shared" si="308"/>
        <v>0</v>
      </c>
      <c r="AB193" s="433">
        <f t="shared" si="308"/>
        <v>0</v>
      </c>
      <c r="AC193" s="433">
        <f t="shared" si="308"/>
        <v>0</v>
      </c>
      <c r="AD193" s="433">
        <f t="shared" si="308"/>
        <v>0</v>
      </c>
      <c r="AE193" s="433">
        <f t="shared" si="308"/>
        <v>0</v>
      </c>
      <c r="AF193" s="433">
        <f t="shared" si="308"/>
        <v>0</v>
      </c>
      <c r="AG193" s="433">
        <f t="shared" si="308"/>
        <v>0</v>
      </c>
      <c r="AH193" s="433">
        <f t="shared" si="308"/>
        <v>0</v>
      </c>
      <c r="AI193" s="433">
        <f t="shared" si="308"/>
        <v>0</v>
      </c>
      <c r="AJ193" s="433">
        <f t="shared" si="308"/>
        <v>0</v>
      </c>
      <c r="AK193" s="433">
        <f t="shared" si="308"/>
        <v>0</v>
      </c>
      <c r="AL193" s="433">
        <f t="shared" si="308"/>
        <v>0</v>
      </c>
      <c r="AM193" s="433">
        <f t="shared" si="308"/>
        <v>0</v>
      </c>
      <c r="AN193" s="433">
        <f t="shared" si="308"/>
        <v>0</v>
      </c>
      <c r="AO193" s="433">
        <f t="shared" si="308"/>
        <v>0</v>
      </c>
      <c r="AP193" s="433">
        <f t="shared" si="308"/>
        <v>0</v>
      </c>
      <c r="AQ193" s="433">
        <f t="shared" si="309"/>
        <v>0</v>
      </c>
      <c r="AR193" s="433">
        <f t="shared" si="309"/>
        <v>0</v>
      </c>
      <c r="AS193" s="433">
        <f t="shared" si="309"/>
        <v>0</v>
      </c>
      <c r="AT193" s="433">
        <f t="shared" si="309"/>
        <v>0</v>
      </c>
      <c r="AU193" s="433">
        <f t="shared" si="309"/>
        <v>0</v>
      </c>
      <c r="AV193" s="433">
        <f t="shared" si="309"/>
        <v>0</v>
      </c>
      <c r="AW193" s="433">
        <f t="shared" si="309"/>
        <v>0</v>
      </c>
      <c r="AX193" s="433">
        <f t="shared" si="309"/>
        <v>0</v>
      </c>
      <c r="AY193" s="433">
        <f t="shared" si="309"/>
        <v>0</v>
      </c>
      <c r="AZ193" s="433">
        <f t="shared" si="309"/>
        <v>0</v>
      </c>
      <c r="BA193" s="433">
        <f t="shared" si="309"/>
        <v>0</v>
      </c>
      <c r="BB193" s="433">
        <f t="shared" si="309"/>
        <v>0</v>
      </c>
      <c r="BC193" s="433">
        <f t="shared" si="309"/>
        <v>0</v>
      </c>
      <c r="BD193" s="433">
        <f t="shared" si="309"/>
        <v>0</v>
      </c>
      <c r="BE193" s="433">
        <f t="shared" si="309"/>
        <v>0</v>
      </c>
    </row>
    <row r="194" spans="2:57" x14ac:dyDescent="0.25">
      <c r="B194" s="435"/>
      <c r="C194" s="430" t="s">
        <v>937</v>
      </c>
      <c r="D194" s="430" t="s">
        <v>936</v>
      </c>
      <c r="E194" s="325">
        <v>0</v>
      </c>
      <c r="F194" s="313"/>
      <c r="G194" s="313"/>
      <c r="H194" s="313">
        <f t="shared" si="310"/>
        <v>0</v>
      </c>
      <c r="J194" s="433">
        <f t="shared" si="311"/>
        <v>0</v>
      </c>
      <c r="K194" s="433">
        <f t="shared" si="307"/>
        <v>0</v>
      </c>
      <c r="L194" s="433">
        <f t="shared" si="307"/>
        <v>0</v>
      </c>
      <c r="M194" s="433">
        <f t="shared" si="307"/>
        <v>0</v>
      </c>
      <c r="N194" s="433">
        <f t="shared" si="307"/>
        <v>0</v>
      </c>
      <c r="O194" s="433">
        <f t="shared" si="307"/>
        <v>0</v>
      </c>
      <c r="P194" s="433">
        <f t="shared" si="307"/>
        <v>0</v>
      </c>
      <c r="Q194" s="433">
        <f t="shared" si="307"/>
        <v>0</v>
      </c>
      <c r="R194" s="433">
        <f t="shared" si="307"/>
        <v>0</v>
      </c>
      <c r="S194" s="433">
        <f t="shared" si="307"/>
        <v>0</v>
      </c>
      <c r="T194" s="433">
        <f t="shared" si="307"/>
        <v>0</v>
      </c>
      <c r="U194" s="433">
        <f t="shared" si="307"/>
        <v>0</v>
      </c>
      <c r="V194" s="433">
        <f t="shared" si="307"/>
        <v>0</v>
      </c>
      <c r="W194" s="433">
        <f t="shared" si="307"/>
        <v>0</v>
      </c>
      <c r="X194" s="433">
        <f t="shared" si="307"/>
        <v>0</v>
      </c>
      <c r="Y194" s="433">
        <f t="shared" si="307"/>
        <v>0</v>
      </c>
      <c r="Z194" s="433">
        <f t="shared" si="307"/>
        <v>0</v>
      </c>
      <c r="AA194" s="433">
        <f t="shared" si="308"/>
        <v>0</v>
      </c>
      <c r="AB194" s="433">
        <f t="shared" si="308"/>
        <v>0</v>
      </c>
      <c r="AC194" s="433">
        <f t="shared" si="308"/>
        <v>0</v>
      </c>
      <c r="AD194" s="433">
        <f t="shared" si="308"/>
        <v>0</v>
      </c>
      <c r="AE194" s="433">
        <f t="shared" si="308"/>
        <v>0</v>
      </c>
      <c r="AF194" s="433">
        <f t="shared" si="308"/>
        <v>0</v>
      </c>
      <c r="AG194" s="433">
        <f t="shared" si="308"/>
        <v>0</v>
      </c>
      <c r="AH194" s="433">
        <f t="shared" si="308"/>
        <v>0</v>
      </c>
      <c r="AI194" s="433">
        <f t="shared" si="308"/>
        <v>0</v>
      </c>
      <c r="AJ194" s="433">
        <f t="shared" si="308"/>
        <v>0</v>
      </c>
      <c r="AK194" s="433">
        <f t="shared" si="308"/>
        <v>0</v>
      </c>
      <c r="AL194" s="433">
        <f t="shared" si="308"/>
        <v>0</v>
      </c>
      <c r="AM194" s="433">
        <f t="shared" si="308"/>
        <v>0</v>
      </c>
      <c r="AN194" s="433">
        <f t="shared" si="308"/>
        <v>0</v>
      </c>
      <c r="AO194" s="433">
        <f t="shared" si="308"/>
        <v>0</v>
      </c>
      <c r="AP194" s="433">
        <f t="shared" si="308"/>
        <v>0</v>
      </c>
      <c r="AQ194" s="433">
        <f t="shared" si="309"/>
        <v>0</v>
      </c>
      <c r="AR194" s="433">
        <f t="shared" si="309"/>
        <v>0</v>
      </c>
      <c r="AS194" s="433">
        <f t="shared" si="309"/>
        <v>0</v>
      </c>
      <c r="AT194" s="433">
        <f t="shared" si="309"/>
        <v>0</v>
      </c>
      <c r="AU194" s="433">
        <f t="shared" si="309"/>
        <v>0</v>
      </c>
      <c r="AV194" s="433">
        <f t="shared" si="309"/>
        <v>0</v>
      </c>
      <c r="AW194" s="433">
        <f t="shared" si="309"/>
        <v>0</v>
      </c>
      <c r="AX194" s="433">
        <f t="shared" si="309"/>
        <v>0</v>
      </c>
      <c r="AY194" s="433">
        <f t="shared" si="309"/>
        <v>0</v>
      </c>
      <c r="AZ194" s="433">
        <f t="shared" si="309"/>
        <v>0</v>
      </c>
      <c r="BA194" s="433">
        <f t="shared" si="309"/>
        <v>0</v>
      </c>
      <c r="BB194" s="433">
        <f t="shared" si="309"/>
        <v>0</v>
      </c>
      <c r="BC194" s="433">
        <f t="shared" si="309"/>
        <v>0</v>
      </c>
      <c r="BD194" s="433">
        <f t="shared" si="309"/>
        <v>0</v>
      </c>
      <c r="BE194" s="433">
        <f t="shared" si="309"/>
        <v>0</v>
      </c>
    </row>
    <row r="196" spans="2:57" x14ac:dyDescent="0.25">
      <c r="C196" s="431" t="s">
        <v>938</v>
      </c>
    </row>
    <row r="197" spans="2:57" x14ac:dyDescent="0.25">
      <c r="B197" s="171">
        <v>1</v>
      </c>
      <c r="C197" s="325"/>
    </row>
    <row r="198" spans="2:57" x14ac:dyDescent="0.25">
      <c r="B198" s="171">
        <v>2</v>
      </c>
      <c r="C198" s="325"/>
    </row>
    <row r="199" spans="2:57" x14ac:dyDescent="0.25">
      <c r="B199" s="171">
        <v>3</v>
      </c>
      <c r="C199" s="325"/>
    </row>
    <row r="200" spans="2:57" x14ac:dyDescent="0.25">
      <c r="B200" s="171">
        <v>4</v>
      </c>
      <c r="C200" s="325"/>
    </row>
    <row r="203" spans="2:57" ht="23.25" x14ac:dyDescent="0.35">
      <c r="C203" s="722" t="s">
        <v>1722</v>
      </c>
    </row>
    <row r="204" spans="2:57" ht="15.75" thickBot="1" x14ac:dyDescent="0.3">
      <c r="F204" s="321"/>
      <c r="J204" s="171" t="s">
        <v>680</v>
      </c>
    </row>
    <row r="205" spans="2:57" ht="16.5" thickTop="1" thickBot="1" x14ac:dyDescent="0.3">
      <c r="C205" s="322" t="s">
        <v>681</v>
      </c>
      <c r="D205" s="322" t="s">
        <v>682</v>
      </c>
      <c r="E205" s="322" t="s">
        <v>683</v>
      </c>
      <c r="F205" s="322" t="s">
        <v>684</v>
      </c>
      <c r="G205" s="322" t="s">
        <v>685</v>
      </c>
      <c r="H205" s="322" t="s">
        <v>686</v>
      </c>
      <c r="J205" s="171">
        <f>F206</f>
        <v>2018</v>
      </c>
      <c r="K205" s="171">
        <f>J205+1</f>
        <v>2019</v>
      </c>
      <c r="L205" s="171">
        <f t="shared" ref="L205" si="312">K205+1</f>
        <v>2020</v>
      </c>
      <c r="M205" s="171">
        <f t="shared" ref="M205" si="313">L205+1</f>
        <v>2021</v>
      </c>
      <c r="N205" s="171">
        <f t="shared" ref="N205" si="314">M205+1</f>
        <v>2022</v>
      </c>
      <c r="O205" s="171">
        <f t="shared" ref="O205" si="315">N205+1</f>
        <v>2023</v>
      </c>
      <c r="P205" s="171">
        <f t="shared" ref="P205" si="316">O205+1</f>
        <v>2024</v>
      </c>
      <c r="Q205" s="171">
        <f t="shared" ref="Q205" si="317">P205+1</f>
        <v>2025</v>
      </c>
      <c r="R205" s="171">
        <f t="shared" ref="R205" si="318">Q205+1</f>
        <v>2026</v>
      </c>
      <c r="S205" s="171">
        <f t="shared" ref="S205" si="319">R205+1</f>
        <v>2027</v>
      </c>
      <c r="T205" s="171">
        <f t="shared" ref="T205" si="320">S205+1</f>
        <v>2028</v>
      </c>
      <c r="U205" s="171">
        <f t="shared" ref="U205" si="321">T205+1</f>
        <v>2029</v>
      </c>
      <c r="V205" s="171">
        <f t="shared" ref="V205" si="322">U205+1</f>
        <v>2030</v>
      </c>
      <c r="W205" s="171">
        <f t="shared" ref="W205" si="323">V205+1</f>
        <v>2031</v>
      </c>
      <c r="X205" s="171">
        <f t="shared" ref="X205" si="324">W205+1</f>
        <v>2032</v>
      </c>
      <c r="Y205" s="171">
        <f t="shared" ref="Y205" si="325">X205+1</f>
        <v>2033</v>
      </c>
      <c r="Z205" s="171">
        <f t="shared" ref="Z205" si="326">Y205+1</f>
        <v>2034</v>
      </c>
      <c r="AA205" s="171">
        <f t="shared" ref="AA205" si="327">Z205+1</f>
        <v>2035</v>
      </c>
      <c r="AB205" s="171">
        <f t="shared" ref="AB205" si="328">AA205+1</f>
        <v>2036</v>
      </c>
      <c r="AC205" s="171">
        <f t="shared" ref="AC205" si="329">AB205+1</f>
        <v>2037</v>
      </c>
      <c r="AD205" s="171">
        <f t="shared" ref="AD205" si="330">AC205+1</f>
        <v>2038</v>
      </c>
      <c r="AE205" s="171">
        <f t="shared" ref="AE205" si="331">AD205+1</f>
        <v>2039</v>
      </c>
      <c r="AF205" s="171">
        <f t="shared" ref="AF205" si="332">AE205+1</f>
        <v>2040</v>
      </c>
      <c r="AG205" s="171">
        <f t="shared" ref="AG205" si="333">AF205+1</f>
        <v>2041</v>
      </c>
      <c r="AH205" s="171">
        <f t="shared" ref="AH205" si="334">AG205+1</f>
        <v>2042</v>
      </c>
      <c r="AI205" s="171">
        <f t="shared" ref="AI205" si="335">AH205+1</f>
        <v>2043</v>
      </c>
      <c r="AJ205" s="171">
        <f t="shared" ref="AJ205" si="336">AI205+1</f>
        <v>2044</v>
      </c>
      <c r="AK205" s="171">
        <f t="shared" ref="AK205" si="337">AJ205+1</f>
        <v>2045</v>
      </c>
      <c r="AL205" s="171">
        <f t="shared" ref="AL205" si="338">AK205+1</f>
        <v>2046</v>
      </c>
      <c r="AM205" s="171">
        <f t="shared" ref="AM205" si="339">AL205+1</f>
        <v>2047</v>
      </c>
      <c r="AN205" s="171">
        <f t="shared" ref="AN205" si="340">AM205+1</f>
        <v>2048</v>
      </c>
      <c r="AO205" s="171">
        <f t="shared" ref="AO205" si="341">AN205+1</f>
        <v>2049</v>
      </c>
      <c r="AP205" s="171">
        <f t="shared" ref="AP205" si="342">AO205+1</f>
        <v>2050</v>
      </c>
      <c r="AQ205" s="171">
        <f t="shared" ref="AQ205" si="343">AP205+1</f>
        <v>2051</v>
      </c>
      <c r="AR205" s="171">
        <f t="shared" ref="AR205" si="344">AQ205+1</f>
        <v>2052</v>
      </c>
      <c r="AS205" s="171">
        <f t="shared" ref="AS205" si="345">AR205+1</f>
        <v>2053</v>
      </c>
      <c r="AT205" s="171">
        <f t="shared" ref="AT205" si="346">AS205+1</f>
        <v>2054</v>
      </c>
      <c r="AU205" s="171">
        <f t="shared" ref="AU205" si="347">AT205+1</f>
        <v>2055</v>
      </c>
      <c r="AV205" s="171">
        <f t="shared" ref="AV205" si="348">AU205+1</f>
        <v>2056</v>
      </c>
      <c r="AW205" s="171">
        <f t="shared" ref="AW205" si="349">AV205+1</f>
        <v>2057</v>
      </c>
      <c r="AX205" s="171">
        <f t="shared" ref="AX205" si="350">AW205+1</f>
        <v>2058</v>
      </c>
      <c r="AY205" s="171">
        <f t="shared" ref="AY205" si="351">AX205+1</f>
        <v>2059</v>
      </c>
      <c r="AZ205" s="171">
        <f t="shared" ref="AZ205" si="352">AY205+1</f>
        <v>2060</v>
      </c>
      <c r="BA205" s="171">
        <f t="shared" ref="BA205" si="353">AZ205+1</f>
        <v>2061</v>
      </c>
      <c r="BB205" s="171">
        <f t="shared" ref="BB205" si="354">BA205+1</f>
        <v>2062</v>
      </c>
      <c r="BC205" s="171">
        <f t="shared" ref="BC205" si="355">BB205+1</f>
        <v>2063</v>
      </c>
      <c r="BD205" s="171">
        <f t="shared" ref="BD205" si="356">BC205+1</f>
        <v>2064</v>
      </c>
      <c r="BE205" s="171">
        <f t="shared" ref="BE205" si="357">BD205+1</f>
        <v>2065</v>
      </c>
    </row>
    <row r="206" spans="2:57" ht="15.75" thickTop="1" x14ac:dyDescent="0.25">
      <c r="C206" s="171" t="s">
        <v>687</v>
      </c>
      <c r="D206" s="325" t="s">
        <v>688</v>
      </c>
      <c r="E206" s="325">
        <v>1</v>
      </c>
      <c r="F206" s="325">
        <v>2018</v>
      </c>
      <c r="G206" s="325">
        <v>2023</v>
      </c>
      <c r="H206" s="313">
        <f t="shared" ref="H206:H219" si="358">G206-F206</f>
        <v>5</v>
      </c>
      <c r="J206" s="323">
        <f t="shared" ref="J206:Y219" si="359">IF(AND(J$8&gt;=$F206,J$8&lt;$G206),1," ")</f>
        <v>1</v>
      </c>
      <c r="K206" s="323">
        <f t="shared" si="359"/>
        <v>1</v>
      </c>
      <c r="L206" s="323">
        <f t="shared" si="359"/>
        <v>1</v>
      </c>
      <c r="M206" s="323">
        <f t="shared" si="359"/>
        <v>1</v>
      </c>
      <c r="N206" s="323">
        <f t="shared" si="359"/>
        <v>1</v>
      </c>
      <c r="O206" s="323" t="str">
        <f t="shared" si="359"/>
        <v xml:space="preserve"> </v>
      </c>
      <c r="P206" s="323" t="str">
        <f t="shared" si="359"/>
        <v xml:space="preserve"> </v>
      </c>
      <c r="Q206" s="323" t="str">
        <f t="shared" si="359"/>
        <v xml:space="preserve"> </v>
      </c>
      <c r="R206" s="323" t="str">
        <f t="shared" si="359"/>
        <v xml:space="preserve"> </v>
      </c>
      <c r="S206" s="323" t="str">
        <f t="shared" si="359"/>
        <v xml:space="preserve"> </v>
      </c>
      <c r="T206" s="323" t="str">
        <f t="shared" si="359"/>
        <v xml:space="preserve"> </v>
      </c>
      <c r="U206" s="323" t="str">
        <f t="shared" si="359"/>
        <v xml:space="preserve"> </v>
      </c>
      <c r="V206" s="323" t="str">
        <f t="shared" si="359"/>
        <v xml:space="preserve"> </v>
      </c>
      <c r="W206" s="323" t="str">
        <f t="shared" si="359"/>
        <v xml:space="preserve"> </v>
      </c>
      <c r="X206" s="323" t="str">
        <f t="shared" si="359"/>
        <v xml:space="preserve"> </v>
      </c>
      <c r="Y206" s="323" t="str">
        <f t="shared" si="359"/>
        <v xml:space="preserve"> </v>
      </c>
      <c r="Z206" s="323" t="str">
        <f t="shared" ref="Z206:AO219" si="360">IF(AND(Z$8&gt;=$F206,Z$8&lt;$G206),1," ")</f>
        <v xml:space="preserve"> </v>
      </c>
      <c r="AA206" s="323" t="str">
        <f t="shared" si="360"/>
        <v xml:space="preserve"> </v>
      </c>
      <c r="AB206" s="323" t="str">
        <f t="shared" si="360"/>
        <v xml:space="preserve"> </v>
      </c>
      <c r="AC206" s="323" t="str">
        <f t="shared" si="360"/>
        <v xml:space="preserve"> </v>
      </c>
      <c r="AD206" s="323" t="str">
        <f t="shared" si="360"/>
        <v xml:space="preserve"> </v>
      </c>
      <c r="AE206" s="323" t="str">
        <f t="shared" si="360"/>
        <v xml:space="preserve"> </v>
      </c>
      <c r="AF206" s="323" t="str">
        <f t="shared" si="360"/>
        <v xml:space="preserve"> </v>
      </c>
      <c r="AG206" s="323" t="str">
        <f t="shared" si="360"/>
        <v xml:space="preserve"> </v>
      </c>
      <c r="AH206" s="323" t="str">
        <f t="shared" si="360"/>
        <v xml:space="preserve"> </v>
      </c>
      <c r="AI206" s="323" t="str">
        <f t="shared" si="360"/>
        <v xml:space="preserve"> </v>
      </c>
      <c r="AJ206" s="323" t="str">
        <f t="shared" si="360"/>
        <v xml:space="preserve"> </v>
      </c>
      <c r="AK206" s="323" t="str">
        <f t="shared" si="360"/>
        <v xml:space="preserve"> </v>
      </c>
      <c r="AL206" s="323" t="str">
        <f t="shared" si="360"/>
        <v xml:space="preserve"> </v>
      </c>
      <c r="AM206" s="323" t="str">
        <f t="shared" si="360"/>
        <v xml:space="preserve"> </v>
      </c>
      <c r="AN206" s="323" t="str">
        <f t="shared" si="360"/>
        <v xml:space="preserve"> </v>
      </c>
      <c r="AO206" s="323" t="str">
        <f t="shared" si="360"/>
        <v xml:space="preserve"> </v>
      </c>
      <c r="AP206" s="323" t="str">
        <f t="shared" ref="AP206:BE219" si="361">IF(AND(AP$8&gt;=$F206,AP$8&lt;$G206),1," ")</f>
        <v xml:space="preserve"> </v>
      </c>
      <c r="AQ206" s="323" t="str">
        <f t="shared" si="361"/>
        <v xml:space="preserve"> </v>
      </c>
      <c r="AR206" s="323" t="str">
        <f t="shared" si="361"/>
        <v xml:space="preserve"> </v>
      </c>
      <c r="AS206" s="323" t="str">
        <f t="shared" si="361"/>
        <v xml:space="preserve"> </v>
      </c>
      <c r="AT206" s="323" t="str">
        <f t="shared" si="361"/>
        <v xml:space="preserve"> </v>
      </c>
      <c r="AU206" s="323" t="str">
        <f t="shared" si="361"/>
        <v xml:space="preserve"> </v>
      </c>
      <c r="AV206" s="323" t="str">
        <f t="shared" si="361"/>
        <v xml:space="preserve"> </v>
      </c>
      <c r="AW206" s="323" t="str">
        <f t="shared" si="361"/>
        <v xml:space="preserve"> </v>
      </c>
      <c r="AX206" s="323" t="str">
        <f t="shared" si="361"/>
        <v xml:space="preserve"> </v>
      </c>
      <c r="AY206" s="323" t="str">
        <f t="shared" si="361"/>
        <v xml:space="preserve"> </v>
      </c>
      <c r="AZ206" s="323" t="str">
        <f t="shared" si="361"/>
        <v xml:space="preserve"> </v>
      </c>
      <c r="BA206" s="323" t="str">
        <f t="shared" si="361"/>
        <v xml:space="preserve"> </v>
      </c>
      <c r="BB206" s="323" t="str">
        <f t="shared" si="361"/>
        <v xml:space="preserve"> </v>
      </c>
      <c r="BC206" s="323" t="str">
        <f t="shared" si="361"/>
        <v xml:space="preserve"> </v>
      </c>
      <c r="BD206" s="323" t="str">
        <f t="shared" si="361"/>
        <v xml:space="preserve"> </v>
      </c>
      <c r="BE206" s="323" t="str">
        <f t="shared" si="361"/>
        <v xml:space="preserve"> </v>
      </c>
    </row>
    <row r="207" spans="2:57" x14ac:dyDescent="0.25">
      <c r="B207" s="314"/>
      <c r="C207" s="171" t="s">
        <v>689</v>
      </c>
      <c r="D207" s="325" t="s">
        <v>688</v>
      </c>
      <c r="E207" s="325">
        <v>2</v>
      </c>
      <c r="F207" s="325">
        <v>2023</v>
      </c>
      <c r="G207" s="325">
        <v>2024</v>
      </c>
      <c r="H207" s="313">
        <f t="shared" si="358"/>
        <v>1</v>
      </c>
      <c r="J207" s="323" t="str">
        <f t="shared" si="359"/>
        <v xml:space="preserve"> </v>
      </c>
      <c r="K207" s="323" t="str">
        <f t="shared" si="359"/>
        <v xml:space="preserve"> </v>
      </c>
      <c r="L207" s="323" t="str">
        <f t="shared" si="359"/>
        <v xml:space="preserve"> </v>
      </c>
      <c r="M207" s="323" t="str">
        <f t="shared" si="359"/>
        <v xml:space="preserve"> </v>
      </c>
      <c r="N207" s="323" t="str">
        <f t="shared" si="359"/>
        <v xml:space="preserve"> </v>
      </c>
      <c r="O207" s="323">
        <f t="shared" si="359"/>
        <v>1</v>
      </c>
      <c r="P207" s="323" t="str">
        <f t="shared" si="359"/>
        <v xml:space="preserve"> </v>
      </c>
      <c r="Q207" s="323" t="str">
        <f t="shared" si="359"/>
        <v xml:space="preserve"> </v>
      </c>
      <c r="R207" s="323" t="str">
        <f t="shared" si="359"/>
        <v xml:space="preserve"> </v>
      </c>
      <c r="S207" s="323" t="str">
        <f t="shared" si="359"/>
        <v xml:space="preserve"> </v>
      </c>
      <c r="T207" s="323" t="str">
        <f t="shared" si="359"/>
        <v xml:space="preserve"> </v>
      </c>
      <c r="U207" s="323" t="str">
        <f t="shared" si="359"/>
        <v xml:space="preserve"> </v>
      </c>
      <c r="V207" s="323" t="str">
        <f t="shared" si="359"/>
        <v xml:space="preserve"> </v>
      </c>
      <c r="W207" s="323" t="str">
        <f t="shared" si="359"/>
        <v xml:space="preserve"> </v>
      </c>
      <c r="X207" s="323" t="str">
        <f t="shared" si="359"/>
        <v xml:space="preserve"> </v>
      </c>
      <c r="Y207" s="323" t="str">
        <f t="shared" si="359"/>
        <v xml:space="preserve"> </v>
      </c>
      <c r="Z207" s="323" t="str">
        <f t="shared" si="360"/>
        <v xml:space="preserve"> </v>
      </c>
      <c r="AA207" s="323" t="str">
        <f t="shared" si="360"/>
        <v xml:space="preserve"> </v>
      </c>
      <c r="AB207" s="323" t="str">
        <f t="shared" si="360"/>
        <v xml:space="preserve"> </v>
      </c>
      <c r="AC207" s="323" t="str">
        <f t="shared" si="360"/>
        <v xml:space="preserve"> </v>
      </c>
      <c r="AD207" s="323" t="str">
        <f t="shared" si="360"/>
        <v xml:space="preserve"> </v>
      </c>
      <c r="AE207" s="323" t="str">
        <f t="shared" si="360"/>
        <v xml:space="preserve"> </v>
      </c>
      <c r="AF207" s="323" t="str">
        <f t="shared" si="360"/>
        <v xml:space="preserve"> </v>
      </c>
      <c r="AG207" s="323" t="str">
        <f t="shared" si="360"/>
        <v xml:space="preserve"> </v>
      </c>
      <c r="AH207" s="323" t="str">
        <f t="shared" si="360"/>
        <v xml:space="preserve"> </v>
      </c>
      <c r="AI207" s="323" t="str">
        <f t="shared" si="360"/>
        <v xml:space="preserve"> </v>
      </c>
      <c r="AJ207" s="323" t="str">
        <f t="shared" si="360"/>
        <v xml:space="preserve"> </v>
      </c>
      <c r="AK207" s="323" t="str">
        <f t="shared" si="360"/>
        <v xml:space="preserve"> </v>
      </c>
      <c r="AL207" s="323" t="str">
        <f t="shared" si="360"/>
        <v xml:space="preserve"> </v>
      </c>
      <c r="AM207" s="323" t="str">
        <f t="shared" si="360"/>
        <v xml:space="preserve"> </v>
      </c>
      <c r="AN207" s="323" t="str">
        <f t="shared" si="360"/>
        <v xml:space="preserve"> </v>
      </c>
      <c r="AO207" s="323" t="str">
        <f t="shared" si="360"/>
        <v xml:space="preserve"> </v>
      </c>
      <c r="AP207" s="323" t="str">
        <f t="shared" si="361"/>
        <v xml:space="preserve"> </v>
      </c>
      <c r="AQ207" s="323" t="str">
        <f t="shared" si="361"/>
        <v xml:space="preserve"> </v>
      </c>
      <c r="AR207" s="323" t="str">
        <f t="shared" si="361"/>
        <v xml:space="preserve"> </v>
      </c>
      <c r="AS207" s="323" t="str">
        <f t="shared" si="361"/>
        <v xml:space="preserve"> </v>
      </c>
      <c r="AT207" s="323" t="str">
        <f t="shared" si="361"/>
        <v xml:space="preserve"> </v>
      </c>
      <c r="AU207" s="323" t="str">
        <f t="shared" si="361"/>
        <v xml:space="preserve"> </v>
      </c>
      <c r="AV207" s="323" t="str">
        <f t="shared" si="361"/>
        <v xml:space="preserve"> </v>
      </c>
      <c r="AW207" s="323" t="str">
        <f t="shared" si="361"/>
        <v xml:space="preserve"> </v>
      </c>
      <c r="AX207" s="323" t="str">
        <f t="shared" si="361"/>
        <v xml:space="preserve"> </v>
      </c>
      <c r="AY207" s="323" t="str">
        <f t="shared" si="361"/>
        <v xml:space="preserve"> </v>
      </c>
      <c r="AZ207" s="323" t="str">
        <f t="shared" si="361"/>
        <v xml:space="preserve"> </v>
      </c>
      <c r="BA207" s="323" t="str">
        <f t="shared" si="361"/>
        <v xml:space="preserve"> </v>
      </c>
      <c r="BB207" s="323" t="str">
        <f t="shared" si="361"/>
        <v xml:space="preserve"> </v>
      </c>
      <c r="BC207" s="323" t="str">
        <f t="shared" si="361"/>
        <v xml:space="preserve"> </v>
      </c>
      <c r="BD207" s="323" t="str">
        <f t="shared" si="361"/>
        <v xml:space="preserve"> </v>
      </c>
      <c r="BE207" s="323" t="str">
        <f t="shared" si="361"/>
        <v xml:space="preserve"> </v>
      </c>
    </row>
    <row r="208" spans="2:57" x14ac:dyDescent="0.25">
      <c r="B208" s="314"/>
      <c r="C208" s="171" t="s">
        <v>673</v>
      </c>
      <c r="D208" s="325" t="s">
        <v>688</v>
      </c>
      <c r="E208" s="325">
        <v>3</v>
      </c>
      <c r="F208" s="313">
        <v>2024</v>
      </c>
      <c r="G208" s="325">
        <v>2033</v>
      </c>
      <c r="H208" s="313">
        <f t="shared" si="358"/>
        <v>9</v>
      </c>
      <c r="J208" s="323" t="str">
        <f t="shared" si="359"/>
        <v xml:space="preserve"> </v>
      </c>
      <c r="K208" s="323" t="str">
        <f t="shared" si="359"/>
        <v xml:space="preserve"> </v>
      </c>
      <c r="L208" s="323" t="str">
        <f t="shared" si="359"/>
        <v xml:space="preserve"> </v>
      </c>
      <c r="M208" s="323" t="str">
        <f t="shared" si="359"/>
        <v xml:space="preserve"> </v>
      </c>
      <c r="N208" s="323" t="str">
        <f t="shared" si="359"/>
        <v xml:space="preserve"> </v>
      </c>
      <c r="O208" s="323" t="str">
        <f t="shared" si="359"/>
        <v xml:space="preserve"> </v>
      </c>
      <c r="P208" s="323">
        <f t="shared" si="359"/>
        <v>1</v>
      </c>
      <c r="Q208" s="323">
        <f t="shared" si="359"/>
        <v>1</v>
      </c>
      <c r="R208" s="323">
        <f t="shared" si="359"/>
        <v>1</v>
      </c>
      <c r="S208" s="323">
        <f t="shared" si="359"/>
        <v>1</v>
      </c>
      <c r="T208" s="323">
        <f t="shared" si="359"/>
        <v>1</v>
      </c>
      <c r="U208" s="323">
        <f t="shared" si="359"/>
        <v>1</v>
      </c>
      <c r="V208" s="323">
        <f t="shared" si="359"/>
        <v>1</v>
      </c>
      <c r="W208" s="323">
        <f t="shared" si="359"/>
        <v>1</v>
      </c>
      <c r="X208" s="323">
        <f t="shared" si="359"/>
        <v>1</v>
      </c>
      <c r="Y208" s="323" t="str">
        <f t="shared" si="359"/>
        <v xml:space="preserve"> </v>
      </c>
      <c r="Z208" s="323" t="str">
        <f t="shared" si="360"/>
        <v xml:space="preserve"> </v>
      </c>
      <c r="AA208" s="323" t="str">
        <f t="shared" si="360"/>
        <v xml:space="preserve"> </v>
      </c>
      <c r="AB208" s="323" t="str">
        <f t="shared" si="360"/>
        <v xml:space="preserve"> </v>
      </c>
      <c r="AC208" s="323" t="str">
        <f t="shared" si="360"/>
        <v xml:space="preserve"> </v>
      </c>
      <c r="AD208" s="323" t="str">
        <f t="shared" si="360"/>
        <v xml:space="preserve"> </v>
      </c>
      <c r="AE208" s="323" t="str">
        <f t="shared" si="360"/>
        <v xml:space="preserve"> </v>
      </c>
      <c r="AF208" s="323" t="str">
        <f t="shared" si="360"/>
        <v xml:space="preserve"> </v>
      </c>
      <c r="AG208" s="323" t="str">
        <f t="shared" si="360"/>
        <v xml:space="preserve"> </v>
      </c>
      <c r="AH208" s="323" t="str">
        <f t="shared" si="360"/>
        <v xml:space="preserve"> </v>
      </c>
      <c r="AI208" s="323" t="str">
        <f t="shared" si="360"/>
        <v xml:space="preserve"> </v>
      </c>
      <c r="AJ208" s="323" t="str">
        <f t="shared" si="360"/>
        <v xml:space="preserve"> </v>
      </c>
      <c r="AK208" s="323" t="str">
        <f t="shared" si="360"/>
        <v xml:space="preserve"> </v>
      </c>
      <c r="AL208" s="323" t="str">
        <f t="shared" si="360"/>
        <v xml:space="preserve"> </v>
      </c>
      <c r="AM208" s="323" t="str">
        <f t="shared" si="360"/>
        <v xml:space="preserve"> </v>
      </c>
      <c r="AN208" s="323" t="str">
        <f t="shared" si="360"/>
        <v xml:space="preserve"> </v>
      </c>
      <c r="AO208" s="323" t="str">
        <f t="shared" si="360"/>
        <v xml:space="preserve"> </v>
      </c>
      <c r="AP208" s="323" t="str">
        <f t="shared" si="361"/>
        <v xml:space="preserve"> </v>
      </c>
      <c r="AQ208" s="323" t="str">
        <f t="shared" si="361"/>
        <v xml:space="preserve"> </v>
      </c>
      <c r="AR208" s="323" t="str">
        <f t="shared" si="361"/>
        <v xml:space="preserve"> </v>
      </c>
      <c r="AS208" s="323" t="str">
        <f t="shared" si="361"/>
        <v xml:space="preserve"> </v>
      </c>
      <c r="AT208" s="323" t="str">
        <f t="shared" si="361"/>
        <v xml:space="preserve"> </v>
      </c>
      <c r="AU208" s="323" t="str">
        <f t="shared" si="361"/>
        <v xml:space="preserve"> </v>
      </c>
      <c r="AV208" s="323" t="str">
        <f t="shared" si="361"/>
        <v xml:space="preserve"> </v>
      </c>
      <c r="AW208" s="323" t="str">
        <f t="shared" si="361"/>
        <v xml:space="preserve"> </v>
      </c>
      <c r="AX208" s="323" t="str">
        <f t="shared" si="361"/>
        <v xml:space="preserve"> </v>
      </c>
      <c r="AY208" s="323" t="str">
        <f t="shared" si="361"/>
        <v xml:space="preserve"> </v>
      </c>
      <c r="AZ208" s="323" t="str">
        <f t="shared" si="361"/>
        <v xml:space="preserve"> </v>
      </c>
      <c r="BA208" s="323" t="str">
        <f t="shared" si="361"/>
        <v xml:space="preserve"> </v>
      </c>
      <c r="BB208" s="323" t="str">
        <f t="shared" si="361"/>
        <v xml:space="preserve"> </v>
      </c>
      <c r="BC208" s="323" t="str">
        <f t="shared" si="361"/>
        <v xml:space="preserve"> </v>
      </c>
      <c r="BD208" s="323" t="str">
        <f t="shared" si="361"/>
        <v xml:space="preserve"> </v>
      </c>
      <c r="BE208" s="323" t="str">
        <f t="shared" si="361"/>
        <v xml:space="preserve"> </v>
      </c>
    </row>
    <row r="209" spans="2:57" x14ac:dyDescent="0.25">
      <c r="B209" s="314"/>
      <c r="C209" s="171" t="s">
        <v>690</v>
      </c>
      <c r="D209" s="325" t="s">
        <v>688</v>
      </c>
      <c r="E209" s="325">
        <v>4</v>
      </c>
      <c r="F209" s="324">
        <v>2049</v>
      </c>
      <c r="G209" s="324">
        <v>2050</v>
      </c>
      <c r="H209" s="313">
        <f t="shared" si="358"/>
        <v>1</v>
      </c>
      <c r="J209" s="323" t="str">
        <f t="shared" si="359"/>
        <v xml:space="preserve"> </v>
      </c>
      <c r="K209" s="323" t="str">
        <f t="shared" si="359"/>
        <v xml:space="preserve"> </v>
      </c>
      <c r="L209" s="323" t="str">
        <f t="shared" si="359"/>
        <v xml:space="preserve"> </v>
      </c>
      <c r="M209" s="323" t="str">
        <f t="shared" si="359"/>
        <v xml:space="preserve"> </v>
      </c>
      <c r="N209" s="323" t="str">
        <f t="shared" si="359"/>
        <v xml:space="preserve"> </v>
      </c>
      <c r="O209" s="323" t="str">
        <f t="shared" si="359"/>
        <v xml:space="preserve"> </v>
      </c>
      <c r="P209" s="323" t="str">
        <f t="shared" si="359"/>
        <v xml:space="preserve"> </v>
      </c>
      <c r="Q209" s="323" t="str">
        <f t="shared" si="359"/>
        <v xml:space="preserve"> </v>
      </c>
      <c r="R209" s="323" t="str">
        <f t="shared" si="359"/>
        <v xml:space="preserve"> </v>
      </c>
      <c r="S209" s="323" t="str">
        <f t="shared" si="359"/>
        <v xml:space="preserve"> </v>
      </c>
      <c r="T209" s="323" t="str">
        <f t="shared" si="359"/>
        <v xml:space="preserve"> </v>
      </c>
      <c r="U209" s="323" t="str">
        <f t="shared" si="359"/>
        <v xml:space="preserve"> </v>
      </c>
      <c r="V209" s="323" t="str">
        <f t="shared" si="359"/>
        <v xml:space="preserve"> </v>
      </c>
      <c r="W209" s="323" t="str">
        <f t="shared" si="359"/>
        <v xml:space="preserve"> </v>
      </c>
      <c r="X209" s="323" t="str">
        <f t="shared" si="359"/>
        <v xml:space="preserve"> </v>
      </c>
      <c r="Y209" s="323" t="str">
        <f t="shared" si="359"/>
        <v xml:space="preserve"> </v>
      </c>
      <c r="Z209" s="323" t="str">
        <f t="shared" si="360"/>
        <v xml:space="preserve"> </v>
      </c>
      <c r="AA209" s="323" t="str">
        <f t="shared" si="360"/>
        <v xml:space="preserve"> </v>
      </c>
      <c r="AB209" s="323" t="str">
        <f t="shared" si="360"/>
        <v xml:space="preserve"> </v>
      </c>
      <c r="AC209" s="323" t="str">
        <f t="shared" si="360"/>
        <v xml:space="preserve"> </v>
      </c>
      <c r="AD209" s="323" t="str">
        <f t="shared" si="360"/>
        <v xml:space="preserve"> </v>
      </c>
      <c r="AE209" s="323" t="str">
        <f t="shared" si="360"/>
        <v xml:space="preserve"> </v>
      </c>
      <c r="AF209" s="323" t="str">
        <f t="shared" si="360"/>
        <v xml:space="preserve"> </v>
      </c>
      <c r="AG209" s="323" t="str">
        <f t="shared" si="360"/>
        <v xml:space="preserve"> </v>
      </c>
      <c r="AH209" s="323" t="str">
        <f t="shared" si="360"/>
        <v xml:space="preserve"> </v>
      </c>
      <c r="AI209" s="323" t="str">
        <f t="shared" si="360"/>
        <v xml:space="preserve"> </v>
      </c>
      <c r="AJ209" s="323" t="str">
        <f t="shared" si="360"/>
        <v xml:space="preserve"> </v>
      </c>
      <c r="AK209" s="323" t="str">
        <f t="shared" si="360"/>
        <v xml:space="preserve"> </v>
      </c>
      <c r="AL209" s="323" t="str">
        <f t="shared" si="360"/>
        <v xml:space="preserve"> </v>
      </c>
      <c r="AM209" s="323" t="str">
        <f t="shared" si="360"/>
        <v xml:space="preserve"> </v>
      </c>
      <c r="AN209" s="323" t="str">
        <f t="shared" si="360"/>
        <v xml:space="preserve"> </v>
      </c>
      <c r="AO209" s="323">
        <f t="shared" si="360"/>
        <v>1</v>
      </c>
      <c r="AP209" s="323" t="str">
        <f t="shared" si="361"/>
        <v xml:space="preserve"> </v>
      </c>
      <c r="AQ209" s="323" t="str">
        <f t="shared" si="361"/>
        <v xml:space="preserve"> </v>
      </c>
      <c r="AR209" s="323" t="str">
        <f t="shared" si="361"/>
        <v xml:space="preserve"> </v>
      </c>
      <c r="AS209" s="323" t="str">
        <f t="shared" si="361"/>
        <v xml:space="preserve"> </v>
      </c>
      <c r="AT209" s="323" t="str">
        <f t="shared" si="361"/>
        <v xml:space="preserve"> </v>
      </c>
      <c r="AU209" s="323" t="str">
        <f t="shared" si="361"/>
        <v xml:space="preserve"> </v>
      </c>
      <c r="AV209" s="323" t="str">
        <f t="shared" si="361"/>
        <v xml:space="preserve"> </v>
      </c>
      <c r="AW209" s="323" t="str">
        <f t="shared" si="361"/>
        <v xml:space="preserve"> </v>
      </c>
      <c r="AX209" s="323" t="str">
        <f t="shared" si="361"/>
        <v xml:space="preserve"> </v>
      </c>
      <c r="AY209" s="323" t="str">
        <f t="shared" si="361"/>
        <v xml:space="preserve"> </v>
      </c>
      <c r="AZ209" s="323" t="str">
        <f t="shared" si="361"/>
        <v xml:space="preserve"> </v>
      </c>
      <c r="BA209" s="323" t="str">
        <f t="shared" si="361"/>
        <v xml:space="preserve"> </v>
      </c>
      <c r="BB209" s="323" t="str">
        <f t="shared" si="361"/>
        <v xml:space="preserve"> </v>
      </c>
      <c r="BC209" s="323" t="str">
        <f t="shared" si="361"/>
        <v xml:space="preserve"> </v>
      </c>
      <c r="BD209" s="323" t="str">
        <f t="shared" si="361"/>
        <v xml:space="preserve"> </v>
      </c>
      <c r="BE209" s="323" t="str">
        <f t="shared" si="361"/>
        <v xml:space="preserve"> </v>
      </c>
    </row>
    <row r="210" spans="2:57" x14ac:dyDescent="0.25">
      <c r="B210" s="315"/>
      <c r="C210" s="171" t="s">
        <v>691</v>
      </c>
      <c r="D210" s="325" t="s">
        <v>688</v>
      </c>
      <c r="E210" s="325">
        <v>5</v>
      </c>
      <c r="F210" s="325">
        <v>2028</v>
      </c>
      <c r="G210" s="325">
        <v>2029</v>
      </c>
      <c r="H210" s="313">
        <f t="shared" si="358"/>
        <v>1</v>
      </c>
      <c r="J210" s="323" t="str">
        <f t="shared" si="359"/>
        <v xml:space="preserve"> </v>
      </c>
      <c r="K210" s="323" t="str">
        <f t="shared" si="359"/>
        <v xml:space="preserve"> </v>
      </c>
      <c r="L210" s="323" t="str">
        <f t="shared" si="359"/>
        <v xml:space="preserve"> </v>
      </c>
      <c r="M210" s="323" t="str">
        <f t="shared" si="359"/>
        <v xml:space="preserve"> </v>
      </c>
      <c r="N210" s="323" t="str">
        <f t="shared" si="359"/>
        <v xml:space="preserve"> </v>
      </c>
      <c r="O210" s="323" t="str">
        <f t="shared" si="359"/>
        <v xml:space="preserve"> </v>
      </c>
      <c r="P210" s="323" t="str">
        <f t="shared" si="359"/>
        <v xml:space="preserve"> </v>
      </c>
      <c r="Q210" s="323" t="str">
        <f t="shared" si="359"/>
        <v xml:space="preserve"> </v>
      </c>
      <c r="R210" s="323" t="str">
        <f t="shared" si="359"/>
        <v xml:space="preserve"> </v>
      </c>
      <c r="S210" s="323" t="str">
        <f t="shared" si="359"/>
        <v xml:space="preserve"> </v>
      </c>
      <c r="T210" s="323">
        <f t="shared" si="359"/>
        <v>1</v>
      </c>
      <c r="U210" s="323" t="str">
        <f t="shared" si="359"/>
        <v xml:space="preserve"> </v>
      </c>
      <c r="V210" s="323" t="str">
        <f t="shared" si="359"/>
        <v xml:space="preserve"> </v>
      </c>
      <c r="W210" s="323" t="str">
        <f t="shared" si="359"/>
        <v xml:space="preserve"> </v>
      </c>
      <c r="X210" s="323" t="str">
        <f t="shared" si="359"/>
        <v xml:space="preserve"> </v>
      </c>
      <c r="Y210" s="323" t="str">
        <f t="shared" si="359"/>
        <v xml:space="preserve"> </v>
      </c>
      <c r="Z210" s="323" t="str">
        <f t="shared" si="360"/>
        <v xml:space="preserve"> </v>
      </c>
      <c r="AA210" s="323" t="str">
        <f t="shared" si="360"/>
        <v xml:space="preserve"> </v>
      </c>
      <c r="AB210" s="323" t="str">
        <f t="shared" si="360"/>
        <v xml:space="preserve"> </v>
      </c>
      <c r="AC210" s="323" t="str">
        <f t="shared" si="360"/>
        <v xml:space="preserve"> </v>
      </c>
      <c r="AD210" s="323" t="str">
        <f t="shared" si="360"/>
        <v xml:space="preserve"> </v>
      </c>
      <c r="AE210" s="323" t="str">
        <f t="shared" si="360"/>
        <v xml:space="preserve"> </v>
      </c>
      <c r="AF210" s="323" t="str">
        <f t="shared" si="360"/>
        <v xml:space="preserve"> </v>
      </c>
      <c r="AG210" s="323" t="str">
        <f t="shared" si="360"/>
        <v xml:space="preserve"> </v>
      </c>
      <c r="AH210" s="323" t="str">
        <f t="shared" si="360"/>
        <v xml:space="preserve"> </v>
      </c>
      <c r="AI210" s="323" t="str">
        <f t="shared" si="360"/>
        <v xml:space="preserve"> </v>
      </c>
      <c r="AJ210" s="323" t="str">
        <f t="shared" si="360"/>
        <v xml:space="preserve"> </v>
      </c>
      <c r="AK210" s="323" t="str">
        <f t="shared" si="360"/>
        <v xml:space="preserve"> </v>
      </c>
      <c r="AL210" s="323" t="str">
        <f t="shared" si="360"/>
        <v xml:space="preserve"> </v>
      </c>
      <c r="AM210" s="323" t="str">
        <f t="shared" si="360"/>
        <v xml:space="preserve"> </v>
      </c>
      <c r="AN210" s="323" t="str">
        <f t="shared" si="360"/>
        <v xml:space="preserve"> </v>
      </c>
      <c r="AO210" s="323" t="str">
        <f t="shared" si="360"/>
        <v xml:space="preserve"> </v>
      </c>
      <c r="AP210" s="323" t="str">
        <f t="shared" si="361"/>
        <v xml:space="preserve"> </v>
      </c>
      <c r="AQ210" s="323" t="str">
        <f t="shared" si="361"/>
        <v xml:space="preserve"> </v>
      </c>
      <c r="AR210" s="323" t="str">
        <f t="shared" si="361"/>
        <v xml:space="preserve"> </v>
      </c>
      <c r="AS210" s="323" t="str">
        <f t="shared" si="361"/>
        <v xml:space="preserve"> </v>
      </c>
      <c r="AT210" s="323" t="str">
        <f t="shared" si="361"/>
        <v xml:space="preserve"> </v>
      </c>
      <c r="AU210" s="323" t="str">
        <f t="shared" si="361"/>
        <v xml:space="preserve"> </v>
      </c>
      <c r="AV210" s="323" t="str">
        <f t="shared" si="361"/>
        <v xml:space="preserve"> </v>
      </c>
      <c r="AW210" s="323" t="str">
        <f t="shared" si="361"/>
        <v xml:space="preserve"> </v>
      </c>
      <c r="AX210" s="323" t="str">
        <f t="shared" si="361"/>
        <v xml:space="preserve"> </v>
      </c>
      <c r="AY210" s="323" t="str">
        <f t="shared" si="361"/>
        <v xml:space="preserve"> </v>
      </c>
      <c r="AZ210" s="323" t="str">
        <f t="shared" si="361"/>
        <v xml:space="preserve"> </v>
      </c>
      <c r="BA210" s="323" t="str">
        <f t="shared" si="361"/>
        <v xml:space="preserve"> </v>
      </c>
      <c r="BB210" s="323" t="str">
        <f t="shared" si="361"/>
        <v xml:space="preserve"> </v>
      </c>
      <c r="BC210" s="323" t="str">
        <f t="shared" si="361"/>
        <v xml:space="preserve"> </v>
      </c>
      <c r="BD210" s="323" t="str">
        <f t="shared" si="361"/>
        <v xml:space="preserve"> </v>
      </c>
      <c r="BE210" s="323" t="str">
        <f t="shared" si="361"/>
        <v xml:space="preserve"> </v>
      </c>
    </row>
    <row r="211" spans="2:57" x14ac:dyDescent="0.25">
      <c r="B211" s="315"/>
      <c r="C211" s="171" t="s">
        <v>692</v>
      </c>
      <c r="D211" s="325" t="s">
        <v>688</v>
      </c>
      <c r="E211" s="325">
        <v>6</v>
      </c>
      <c r="F211" s="313">
        <v>2029</v>
      </c>
      <c r="G211" s="325">
        <v>2049</v>
      </c>
      <c r="H211" s="313">
        <f t="shared" si="358"/>
        <v>20</v>
      </c>
      <c r="J211" s="323" t="str">
        <f t="shared" si="359"/>
        <v xml:space="preserve"> </v>
      </c>
      <c r="K211" s="323" t="str">
        <f t="shared" si="359"/>
        <v xml:space="preserve"> </v>
      </c>
      <c r="L211" s="323" t="str">
        <f t="shared" si="359"/>
        <v xml:space="preserve"> </v>
      </c>
      <c r="M211" s="323" t="str">
        <f t="shared" si="359"/>
        <v xml:space="preserve"> </v>
      </c>
      <c r="N211" s="323" t="str">
        <f t="shared" si="359"/>
        <v xml:space="preserve"> </v>
      </c>
      <c r="O211" s="323" t="str">
        <f t="shared" si="359"/>
        <v xml:space="preserve"> </v>
      </c>
      <c r="P211" s="323" t="str">
        <f t="shared" si="359"/>
        <v xml:space="preserve"> </v>
      </c>
      <c r="Q211" s="323" t="str">
        <f t="shared" si="359"/>
        <v xml:space="preserve"> </v>
      </c>
      <c r="R211" s="323" t="str">
        <f t="shared" si="359"/>
        <v xml:space="preserve"> </v>
      </c>
      <c r="S211" s="323" t="str">
        <f t="shared" si="359"/>
        <v xml:space="preserve"> </v>
      </c>
      <c r="T211" s="323" t="str">
        <f t="shared" si="359"/>
        <v xml:space="preserve"> </v>
      </c>
      <c r="U211" s="323">
        <f t="shared" si="359"/>
        <v>1</v>
      </c>
      <c r="V211" s="323">
        <f t="shared" si="359"/>
        <v>1</v>
      </c>
      <c r="W211" s="323">
        <f t="shared" si="359"/>
        <v>1</v>
      </c>
      <c r="X211" s="323">
        <f t="shared" si="359"/>
        <v>1</v>
      </c>
      <c r="Y211" s="323">
        <f t="shared" si="359"/>
        <v>1</v>
      </c>
      <c r="Z211" s="323">
        <f t="shared" si="360"/>
        <v>1</v>
      </c>
      <c r="AA211" s="323">
        <f t="shared" si="360"/>
        <v>1</v>
      </c>
      <c r="AB211" s="323">
        <f t="shared" si="360"/>
        <v>1</v>
      </c>
      <c r="AC211" s="323">
        <f t="shared" si="360"/>
        <v>1</v>
      </c>
      <c r="AD211" s="323">
        <f t="shared" si="360"/>
        <v>1</v>
      </c>
      <c r="AE211" s="323">
        <f t="shared" si="360"/>
        <v>1</v>
      </c>
      <c r="AF211" s="323">
        <f t="shared" si="360"/>
        <v>1</v>
      </c>
      <c r="AG211" s="323">
        <f t="shared" si="360"/>
        <v>1</v>
      </c>
      <c r="AH211" s="323">
        <f t="shared" si="360"/>
        <v>1</v>
      </c>
      <c r="AI211" s="323">
        <f t="shared" si="360"/>
        <v>1</v>
      </c>
      <c r="AJ211" s="323">
        <f t="shared" si="360"/>
        <v>1</v>
      </c>
      <c r="AK211" s="323">
        <f t="shared" si="360"/>
        <v>1</v>
      </c>
      <c r="AL211" s="323">
        <f t="shared" si="360"/>
        <v>1</v>
      </c>
      <c r="AM211" s="323">
        <f t="shared" si="360"/>
        <v>1</v>
      </c>
      <c r="AN211" s="323">
        <f t="shared" si="360"/>
        <v>1</v>
      </c>
      <c r="AO211" s="323" t="str">
        <f t="shared" si="360"/>
        <v xml:space="preserve"> </v>
      </c>
      <c r="AP211" s="323" t="str">
        <f t="shared" si="361"/>
        <v xml:space="preserve"> </v>
      </c>
      <c r="AQ211" s="323" t="str">
        <f t="shared" si="361"/>
        <v xml:space="preserve"> </v>
      </c>
      <c r="AR211" s="323" t="str">
        <f t="shared" si="361"/>
        <v xml:space="preserve"> </v>
      </c>
      <c r="AS211" s="323" t="str">
        <f t="shared" si="361"/>
        <v xml:space="preserve"> </v>
      </c>
      <c r="AT211" s="323" t="str">
        <f t="shared" si="361"/>
        <v xml:space="preserve"> </v>
      </c>
      <c r="AU211" s="323" t="str">
        <f t="shared" si="361"/>
        <v xml:space="preserve"> </v>
      </c>
      <c r="AV211" s="323" t="str">
        <f t="shared" si="361"/>
        <v xml:space="preserve"> </v>
      </c>
      <c r="AW211" s="323" t="str">
        <f t="shared" si="361"/>
        <v xml:space="preserve"> </v>
      </c>
      <c r="AX211" s="323" t="str">
        <f t="shared" si="361"/>
        <v xml:space="preserve"> </v>
      </c>
      <c r="AY211" s="323" t="str">
        <f t="shared" si="361"/>
        <v xml:space="preserve"> </v>
      </c>
      <c r="AZ211" s="323" t="str">
        <f t="shared" si="361"/>
        <v xml:space="preserve"> </v>
      </c>
      <c r="BA211" s="323" t="str">
        <f t="shared" si="361"/>
        <v xml:space="preserve"> </v>
      </c>
      <c r="BB211" s="323" t="str">
        <f t="shared" si="361"/>
        <v xml:space="preserve"> </v>
      </c>
      <c r="BC211" s="323" t="str">
        <f t="shared" si="361"/>
        <v xml:space="preserve"> </v>
      </c>
      <c r="BD211" s="323" t="str">
        <f t="shared" si="361"/>
        <v xml:space="preserve"> </v>
      </c>
      <c r="BE211" s="323" t="str">
        <f t="shared" si="361"/>
        <v xml:space="preserve"> </v>
      </c>
    </row>
    <row r="212" spans="2:57" x14ac:dyDescent="0.25">
      <c r="B212" s="315"/>
      <c r="C212" s="171" t="s">
        <v>693</v>
      </c>
      <c r="D212" s="325" t="s">
        <v>688</v>
      </c>
      <c r="E212" s="325">
        <v>7</v>
      </c>
      <c r="F212" s="324">
        <v>2049</v>
      </c>
      <c r="G212" s="325">
        <v>2050</v>
      </c>
      <c r="H212" s="313">
        <f t="shared" si="358"/>
        <v>1</v>
      </c>
      <c r="J212" s="323" t="str">
        <f t="shared" si="359"/>
        <v xml:space="preserve"> </v>
      </c>
      <c r="K212" s="323" t="str">
        <f t="shared" si="359"/>
        <v xml:space="preserve"> </v>
      </c>
      <c r="L212" s="323" t="str">
        <f t="shared" si="359"/>
        <v xml:space="preserve"> </v>
      </c>
      <c r="M212" s="323" t="str">
        <f t="shared" si="359"/>
        <v xml:space="preserve"> </v>
      </c>
      <c r="N212" s="323" t="str">
        <f t="shared" si="359"/>
        <v xml:space="preserve"> </v>
      </c>
      <c r="O212" s="323" t="str">
        <f t="shared" si="359"/>
        <v xml:space="preserve"> </v>
      </c>
      <c r="P212" s="323" t="str">
        <f t="shared" si="359"/>
        <v xml:space="preserve"> </v>
      </c>
      <c r="Q212" s="323" t="str">
        <f t="shared" si="359"/>
        <v xml:space="preserve"> </v>
      </c>
      <c r="R212" s="323" t="str">
        <f t="shared" si="359"/>
        <v xml:space="preserve"> </v>
      </c>
      <c r="S212" s="323" t="str">
        <f t="shared" si="359"/>
        <v xml:space="preserve"> </v>
      </c>
      <c r="T212" s="323" t="str">
        <f t="shared" si="359"/>
        <v xml:space="preserve"> </v>
      </c>
      <c r="U212" s="323" t="str">
        <f t="shared" si="359"/>
        <v xml:space="preserve"> </v>
      </c>
      <c r="V212" s="323" t="str">
        <f t="shared" si="359"/>
        <v xml:space="preserve"> </v>
      </c>
      <c r="W212" s="323" t="str">
        <f t="shared" si="359"/>
        <v xml:space="preserve"> </v>
      </c>
      <c r="X212" s="323" t="str">
        <f t="shared" si="359"/>
        <v xml:space="preserve"> </v>
      </c>
      <c r="Y212" s="323" t="str">
        <f t="shared" si="359"/>
        <v xml:space="preserve"> </v>
      </c>
      <c r="Z212" s="323" t="str">
        <f t="shared" si="360"/>
        <v xml:space="preserve"> </v>
      </c>
      <c r="AA212" s="323" t="str">
        <f t="shared" si="360"/>
        <v xml:space="preserve"> </v>
      </c>
      <c r="AB212" s="323" t="str">
        <f t="shared" si="360"/>
        <v xml:space="preserve"> </v>
      </c>
      <c r="AC212" s="323" t="str">
        <f t="shared" si="360"/>
        <v xml:space="preserve"> </v>
      </c>
      <c r="AD212" s="323" t="str">
        <f t="shared" si="360"/>
        <v xml:space="preserve"> </v>
      </c>
      <c r="AE212" s="323" t="str">
        <f t="shared" si="360"/>
        <v xml:space="preserve"> </v>
      </c>
      <c r="AF212" s="323" t="str">
        <f t="shared" si="360"/>
        <v xml:space="preserve"> </v>
      </c>
      <c r="AG212" s="323" t="str">
        <f t="shared" si="360"/>
        <v xml:space="preserve"> </v>
      </c>
      <c r="AH212" s="323" t="str">
        <f t="shared" si="360"/>
        <v xml:space="preserve"> </v>
      </c>
      <c r="AI212" s="323" t="str">
        <f t="shared" si="360"/>
        <v xml:space="preserve"> </v>
      </c>
      <c r="AJ212" s="323" t="str">
        <f t="shared" si="360"/>
        <v xml:space="preserve"> </v>
      </c>
      <c r="AK212" s="323" t="str">
        <f t="shared" si="360"/>
        <v xml:space="preserve"> </v>
      </c>
      <c r="AL212" s="323" t="str">
        <f t="shared" si="360"/>
        <v xml:space="preserve"> </v>
      </c>
      <c r="AM212" s="323" t="str">
        <f t="shared" si="360"/>
        <v xml:space="preserve"> </v>
      </c>
      <c r="AN212" s="323" t="str">
        <f t="shared" si="360"/>
        <v xml:space="preserve"> </v>
      </c>
      <c r="AO212" s="323">
        <f t="shared" si="360"/>
        <v>1</v>
      </c>
      <c r="AP212" s="323" t="str">
        <f t="shared" si="361"/>
        <v xml:space="preserve"> </v>
      </c>
      <c r="AQ212" s="323" t="str">
        <f t="shared" si="361"/>
        <v xml:space="preserve"> </v>
      </c>
      <c r="AR212" s="323" t="str">
        <f t="shared" si="361"/>
        <v xml:space="preserve"> </v>
      </c>
      <c r="AS212" s="323" t="str">
        <f t="shared" si="361"/>
        <v xml:space="preserve"> </v>
      </c>
      <c r="AT212" s="323" t="str">
        <f t="shared" si="361"/>
        <v xml:space="preserve"> </v>
      </c>
      <c r="AU212" s="323" t="str">
        <f t="shared" si="361"/>
        <v xml:space="preserve"> </v>
      </c>
      <c r="AV212" s="323" t="str">
        <f t="shared" si="361"/>
        <v xml:space="preserve"> </v>
      </c>
      <c r="AW212" s="323" t="str">
        <f t="shared" si="361"/>
        <v xml:space="preserve"> </v>
      </c>
      <c r="AX212" s="323" t="str">
        <f t="shared" si="361"/>
        <v xml:space="preserve"> </v>
      </c>
      <c r="AY212" s="323" t="str">
        <f t="shared" si="361"/>
        <v xml:space="preserve"> </v>
      </c>
      <c r="AZ212" s="323" t="str">
        <f t="shared" si="361"/>
        <v xml:space="preserve"> </v>
      </c>
      <c r="BA212" s="323" t="str">
        <f t="shared" si="361"/>
        <v xml:space="preserve"> </v>
      </c>
      <c r="BB212" s="323" t="str">
        <f t="shared" si="361"/>
        <v xml:space="preserve"> </v>
      </c>
      <c r="BC212" s="323" t="str">
        <f t="shared" si="361"/>
        <v xml:space="preserve"> </v>
      </c>
      <c r="BD212" s="323" t="str">
        <f t="shared" si="361"/>
        <v xml:space="preserve"> </v>
      </c>
      <c r="BE212" s="323" t="str">
        <f t="shared" si="361"/>
        <v xml:space="preserve"> </v>
      </c>
    </row>
    <row r="213" spans="2:57" x14ac:dyDescent="0.25">
      <c r="B213" s="3"/>
      <c r="C213" s="171" t="s">
        <v>694</v>
      </c>
      <c r="D213" s="325" t="s">
        <v>688</v>
      </c>
      <c r="E213" s="325">
        <v>8</v>
      </c>
      <c r="F213" s="325">
        <v>0</v>
      </c>
      <c r="G213" s="324">
        <v>0</v>
      </c>
      <c r="H213" s="313">
        <f t="shared" si="358"/>
        <v>0</v>
      </c>
      <c r="J213" s="323" t="str">
        <f t="shared" si="359"/>
        <v xml:space="preserve"> </v>
      </c>
      <c r="K213" s="323" t="str">
        <f t="shared" si="359"/>
        <v xml:space="preserve"> </v>
      </c>
      <c r="L213" s="323" t="str">
        <f t="shared" si="359"/>
        <v xml:space="preserve"> </v>
      </c>
      <c r="M213" s="323" t="str">
        <f t="shared" si="359"/>
        <v xml:space="preserve"> </v>
      </c>
      <c r="N213" s="323" t="str">
        <f t="shared" si="359"/>
        <v xml:space="preserve"> </v>
      </c>
      <c r="O213" s="323" t="str">
        <f t="shared" si="359"/>
        <v xml:space="preserve"> </v>
      </c>
      <c r="P213" s="323" t="str">
        <f t="shared" si="359"/>
        <v xml:space="preserve"> </v>
      </c>
      <c r="Q213" s="323" t="str">
        <f t="shared" si="359"/>
        <v xml:space="preserve"> </v>
      </c>
      <c r="R213" s="323" t="str">
        <f t="shared" si="359"/>
        <v xml:space="preserve"> </v>
      </c>
      <c r="S213" s="323" t="str">
        <f t="shared" si="359"/>
        <v xml:space="preserve"> </v>
      </c>
      <c r="T213" s="323" t="str">
        <f t="shared" si="359"/>
        <v xml:space="preserve"> </v>
      </c>
      <c r="U213" s="323" t="str">
        <f t="shared" si="359"/>
        <v xml:space="preserve"> </v>
      </c>
      <c r="V213" s="323" t="str">
        <f t="shared" si="359"/>
        <v xml:space="preserve"> </v>
      </c>
      <c r="W213" s="323" t="str">
        <f t="shared" si="359"/>
        <v xml:space="preserve"> </v>
      </c>
      <c r="X213" s="323" t="str">
        <f t="shared" si="359"/>
        <v xml:space="preserve"> </v>
      </c>
      <c r="Y213" s="323" t="str">
        <f t="shared" si="359"/>
        <v xml:space="preserve"> </v>
      </c>
      <c r="Z213" s="323" t="str">
        <f t="shared" si="360"/>
        <v xml:space="preserve"> </v>
      </c>
      <c r="AA213" s="323" t="str">
        <f t="shared" si="360"/>
        <v xml:space="preserve"> </v>
      </c>
      <c r="AB213" s="323" t="str">
        <f t="shared" si="360"/>
        <v xml:space="preserve"> </v>
      </c>
      <c r="AC213" s="323" t="str">
        <f t="shared" si="360"/>
        <v xml:space="preserve"> </v>
      </c>
      <c r="AD213" s="323" t="str">
        <f t="shared" si="360"/>
        <v xml:space="preserve"> </v>
      </c>
      <c r="AE213" s="323" t="str">
        <f t="shared" si="360"/>
        <v xml:space="preserve"> </v>
      </c>
      <c r="AF213" s="323" t="str">
        <f t="shared" si="360"/>
        <v xml:space="preserve"> </v>
      </c>
      <c r="AG213" s="323" t="str">
        <f t="shared" si="360"/>
        <v xml:space="preserve"> </v>
      </c>
      <c r="AH213" s="323" t="str">
        <f t="shared" si="360"/>
        <v xml:space="preserve"> </v>
      </c>
      <c r="AI213" s="323" t="str">
        <f t="shared" si="360"/>
        <v xml:space="preserve"> </v>
      </c>
      <c r="AJ213" s="323" t="str">
        <f t="shared" si="360"/>
        <v xml:space="preserve"> </v>
      </c>
      <c r="AK213" s="323" t="str">
        <f t="shared" si="360"/>
        <v xml:space="preserve"> </v>
      </c>
      <c r="AL213" s="323" t="str">
        <f t="shared" si="360"/>
        <v xml:space="preserve"> </v>
      </c>
      <c r="AM213" s="323" t="str">
        <f t="shared" si="360"/>
        <v xml:space="preserve"> </v>
      </c>
      <c r="AN213" s="323" t="str">
        <f t="shared" si="360"/>
        <v xml:space="preserve"> </v>
      </c>
      <c r="AO213" s="323" t="str">
        <f t="shared" si="360"/>
        <v xml:space="preserve"> </v>
      </c>
      <c r="AP213" s="323" t="str">
        <f t="shared" si="361"/>
        <v xml:space="preserve"> </v>
      </c>
      <c r="AQ213" s="323" t="str">
        <f t="shared" si="361"/>
        <v xml:space="preserve"> </v>
      </c>
      <c r="AR213" s="323" t="str">
        <f t="shared" si="361"/>
        <v xml:space="preserve"> </v>
      </c>
      <c r="AS213" s="323" t="str">
        <f t="shared" si="361"/>
        <v xml:space="preserve"> </v>
      </c>
      <c r="AT213" s="323" t="str">
        <f t="shared" si="361"/>
        <v xml:space="preserve"> </v>
      </c>
      <c r="AU213" s="323" t="str">
        <f t="shared" si="361"/>
        <v xml:space="preserve"> </v>
      </c>
      <c r="AV213" s="323" t="str">
        <f t="shared" si="361"/>
        <v xml:space="preserve"> </v>
      </c>
      <c r="AW213" s="323" t="str">
        <f t="shared" si="361"/>
        <v xml:space="preserve"> </v>
      </c>
      <c r="AX213" s="323" t="str">
        <f t="shared" si="361"/>
        <v xml:space="preserve"> </v>
      </c>
      <c r="AY213" s="323" t="str">
        <f t="shared" si="361"/>
        <v xml:space="preserve"> </v>
      </c>
      <c r="AZ213" s="323" t="str">
        <f t="shared" si="361"/>
        <v xml:space="preserve"> </v>
      </c>
      <c r="BA213" s="323" t="str">
        <f t="shared" si="361"/>
        <v xml:space="preserve"> </v>
      </c>
      <c r="BB213" s="323" t="str">
        <f t="shared" si="361"/>
        <v xml:space="preserve"> </v>
      </c>
      <c r="BC213" s="323" t="str">
        <f t="shared" si="361"/>
        <v xml:space="preserve"> </v>
      </c>
      <c r="BD213" s="323" t="str">
        <f t="shared" si="361"/>
        <v xml:space="preserve"> </v>
      </c>
      <c r="BE213" s="323" t="str">
        <f t="shared" si="361"/>
        <v xml:space="preserve"> </v>
      </c>
    </row>
    <row r="214" spans="2:57" x14ac:dyDescent="0.25">
      <c r="B214" s="3"/>
      <c r="C214" s="171" t="s">
        <v>695</v>
      </c>
      <c r="D214" s="325" t="s">
        <v>688</v>
      </c>
      <c r="E214" s="325">
        <v>9</v>
      </c>
      <c r="F214" s="313">
        <v>0</v>
      </c>
      <c r="G214" s="325">
        <v>0</v>
      </c>
      <c r="H214" s="313">
        <f t="shared" si="358"/>
        <v>0</v>
      </c>
      <c r="J214" s="323" t="str">
        <f t="shared" si="359"/>
        <v xml:space="preserve"> </v>
      </c>
      <c r="K214" s="323" t="str">
        <f t="shared" si="359"/>
        <v xml:space="preserve"> </v>
      </c>
      <c r="L214" s="323" t="str">
        <f t="shared" si="359"/>
        <v xml:space="preserve"> </v>
      </c>
      <c r="M214" s="323" t="str">
        <f t="shared" si="359"/>
        <v xml:space="preserve"> </v>
      </c>
      <c r="N214" s="323" t="str">
        <f t="shared" si="359"/>
        <v xml:space="preserve"> </v>
      </c>
      <c r="O214" s="323" t="str">
        <f t="shared" si="359"/>
        <v xml:space="preserve"> </v>
      </c>
      <c r="P214" s="323" t="str">
        <f t="shared" si="359"/>
        <v xml:space="preserve"> </v>
      </c>
      <c r="Q214" s="323" t="str">
        <f t="shared" si="359"/>
        <v xml:space="preserve"> </v>
      </c>
      <c r="R214" s="323" t="str">
        <f t="shared" si="359"/>
        <v xml:space="preserve"> </v>
      </c>
      <c r="S214" s="323" t="str">
        <f t="shared" si="359"/>
        <v xml:space="preserve"> </v>
      </c>
      <c r="T214" s="323" t="str">
        <f t="shared" si="359"/>
        <v xml:space="preserve"> </v>
      </c>
      <c r="U214" s="323" t="str">
        <f t="shared" si="359"/>
        <v xml:space="preserve"> </v>
      </c>
      <c r="V214" s="323" t="str">
        <f t="shared" si="359"/>
        <v xml:space="preserve"> </v>
      </c>
      <c r="W214" s="323" t="str">
        <f t="shared" si="359"/>
        <v xml:space="preserve"> </v>
      </c>
      <c r="X214" s="323" t="str">
        <f t="shared" si="359"/>
        <v xml:space="preserve"> </v>
      </c>
      <c r="Y214" s="323" t="str">
        <f t="shared" si="359"/>
        <v xml:space="preserve"> </v>
      </c>
      <c r="Z214" s="323" t="str">
        <f t="shared" si="360"/>
        <v xml:space="preserve"> </v>
      </c>
      <c r="AA214" s="323" t="str">
        <f t="shared" si="360"/>
        <v xml:space="preserve"> </v>
      </c>
      <c r="AB214" s="323" t="str">
        <f t="shared" si="360"/>
        <v xml:space="preserve"> </v>
      </c>
      <c r="AC214" s="323" t="str">
        <f t="shared" si="360"/>
        <v xml:space="preserve"> </v>
      </c>
      <c r="AD214" s="323" t="str">
        <f t="shared" si="360"/>
        <v xml:space="preserve"> </v>
      </c>
      <c r="AE214" s="323" t="str">
        <f t="shared" si="360"/>
        <v xml:space="preserve"> </v>
      </c>
      <c r="AF214" s="323" t="str">
        <f t="shared" si="360"/>
        <v xml:space="preserve"> </v>
      </c>
      <c r="AG214" s="323" t="str">
        <f t="shared" si="360"/>
        <v xml:space="preserve"> </v>
      </c>
      <c r="AH214" s="323" t="str">
        <f t="shared" si="360"/>
        <v xml:space="preserve"> </v>
      </c>
      <c r="AI214" s="323" t="str">
        <f t="shared" si="360"/>
        <v xml:space="preserve"> </v>
      </c>
      <c r="AJ214" s="323" t="str">
        <f t="shared" si="360"/>
        <v xml:space="preserve"> </v>
      </c>
      <c r="AK214" s="323" t="str">
        <f t="shared" si="360"/>
        <v xml:space="preserve"> </v>
      </c>
      <c r="AL214" s="323" t="str">
        <f t="shared" si="360"/>
        <v xml:space="preserve"> </v>
      </c>
      <c r="AM214" s="323" t="str">
        <f t="shared" si="360"/>
        <v xml:space="preserve"> </v>
      </c>
      <c r="AN214" s="323" t="str">
        <f t="shared" si="360"/>
        <v xml:space="preserve"> </v>
      </c>
      <c r="AO214" s="323" t="str">
        <f t="shared" si="360"/>
        <v xml:space="preserve"> </v>
      </c>
      <c r="AP214" s="323" t="str">
        <f t="shared" si="361"/>
        <v xml:space="preserve"> </v>
      </c>
      <c r="AQ214" s="323" t="str">
        <f t="shared" si="361"/>
        <v xml:space="preserve"> </v>
      </c>
      <c r="AR214" s="323" t="str">
        <f t="shared" si="361"/>
        <v xml:space="preserve"> </v>
      </c>
      <c r="AS214" s="323" t="str">
        <f t="shared" si="361"/>
        <v xml:space="preserve"> </v>
      </c>
      <c r="AT214" s="323" t="str">
        <f t="shared" si="361"/>
        <v xml:space="preserve"> </v>
      </c>
      <c r="AU214" s="323" t="str">
        <f t="shared" si="361"/>
        <v xml:space="preserve"> </v>
      </c>
      <c r="AV214" s="323" t="str">
        <f t="shared" si="361"/>
        <v xml:space="preserve"> </v>
      </c>
      <c r="AW214" s="323" t="str">
        <f t="shared" si="361"/>
        <v xml:space="preserve"> </v>
      </c>
      <c r="AX214" s="323" t="str">
        <f t="shared" si="361"/>
        <v xml:space="preserve"> </v>
      </c>
      <c r="AY214" s="323" t="str">
        <f t="shared" si="361"/>
        <v xml:space="preserve"> </v>
      </c>
      <c r="AZ214" s="323" t="str">
        <f t="shared" si="361"/>
        <v xml:space="preserve"> </v>
      </c>
      <c r="BA214" s="323" t="str">
        <f t="shared" si="361"/>
        <v xml:space="preserve"> </v>
      </c>
      <c r="BB214" s="323" t="str">
        <f t="shared" si="361"/>
        <v xml:space="preserve"> </v>
      </c>
      <c r="BC214" s="323" t="str">
        <f t="shared" si="361"/>
        <v xml:space="preserve"> </v>
      </c>
      <c r="BD214" s="323" t="str">
        <f t="shared" si="361"/>
        <v xml:space="preserve"> </v>
      </c>
      <c r="BE214" s="323" t="str">
        <f t="shared" si="361"/>
        <v xml:space="preserve"> </v>
      </c>
    </row>
    <row r="215" spans="2:57" x14ac:dyDescent="0.25">
      <c r="B215" s="3"/>
      <c r="C215" s="171" t="s">
        <v>696</v>
      </c>
      <c r="D215" s="325" t="s">
        <v>688</v>
      </c>
      <c r="E215" s="325">
        <v>10</v>
      </c>
      <c r="F215" s="324">
        <v>0</v>
      </c>
      <c r="G215" s="325">
        <v>0</v>
      </c>
      <c r="H215" s="313">
        <f t="shared" si="358"/>
        <v>0</v>
      </c>
      <c r="J215" s="323" t="str">
        <f t="shared" si="359"/>
        <v xml:space="preserve"> </v>
      </c>
      <c r="K215" s="323" t="str">
        <f t="shared" si="359"/>
        <v xml:space="preserve"> </v>
      </c>
      <c r="L215" s="323" t="str">
        <f t="shared" si="359"/>
        <v xml:space="preserve"> </v>
      </c>
      <c r="M215" s="323" t="str">
        <f t="shared" si="359"/>
        <v xml:space="preserve"> </v>
      </c>
      <c r="N215" s="323" t="str">
        <f t="shared" si="359"/>
        <v xml:space="preserve"> </v>
      </c>
      <c r="O215" s="323" t="str">
        <f t="shared" si="359"/>
        <v xml:space="preserve"> </v>
      </c>
      <c r="P215" s="323" t="str">
        <f t="shared" si="359"/>
        <v xml:space="preserve"> </v>
      </c>
      <c r="Q215" s="323" t="str">
        <f t="shared" si="359"/>
        <v xml:space="preserve"> </v>
      </c>
      <c r="R215" s="323" t="str">
        <f t="shared" si="359"/>
        <v xml:space="preserve"> </v>
      </c>
      <c r="S215" s="323" t="str">
        <f t="shared" si="359"/>
        <v xml:space="preserve"> </v>
      </c>
      <c r="T215" s="323" t="str">
        <f t="shared" si="359"/>
        <v xml:space="preserve"> </v>
      </c>
      <c r="U215" s="323" t="str">
        <f t="shared" si="359"/>
        <v xml:space="preserve"> </v>
      </c>
      <c r="V215" s="323" t="str">
        <f t="shared" si="359"/>
        <v xml:space="preserve"> </v>
      </c>
      <c r="W215" s="323" t="str">
        <f t="shared" si="359"/>
        <v xml:space="preserve"> </v>
      </c>
      <c r="X215" s="323" t="str">
        <f t="shared" si="359"/>
        <v xml:space="preserve"> </v>
      </c>
      <c r="Y215" s="323" t="str">
        <f t="shared" si="359"/>
        <v xml:space="preserve"> </v>
      </c>
      <c r="Z215" s="323" t="str">
        <f t="shared" si="360"/>
        <v xml:space="preserve"> </v>
      </c>
      <c r="AA215" s="323" t="str">
        <f t="shared" si="360"/>
        <v xml:space="preserve"> </v>
      </c>
      <c r="AB215" s="323" t="str">
        <f t="shared" si="360"/>
        <v xml:space="preserve"> </v>
      </c>
      <c r="AC215" s="323" t="str">
        <f t="shared" si="360"/>
        <v xml:space="preserve"> </v>
      </c>
      <c r="AD215" s="323" t="str">
        <f t="shared" si="360"/>
        <v xml:space="preserve"> </v>
      </c>
      <c r="AE215" s="323" t="str">
        <f t="shared" si="360"/>
        <v xml:space="preserve"> </v>
      </c>
      <c r="AF215" s="323" t="str">
        <f t="shared" si="360"/>
        <v xml:space="preserve"> </v>
      </c>
      <c r="AG215" s="323" t="str">
        <f t="shared" si="360"/>
        <v xml:space="preserve"> </v>
      </c>
      <c r="AH215" s="323" t="str">
        <f t="shared" si="360"/>
        <v xml:space="preserve"> </v>
      </c>
      <c r="AI215" s="323" t="str">
        <f t="shared" si="360"/>
        <v xml:space="preserve"> </v>
      </c>
      <c r="AJ215" s="323" t="str">
        <f t="shared" si="360"/>
        <v xml:space="preserve"> </v>
      </c>
      <c r="AK215" s="323" t="str">
        <f t="shared" si="360"/>
        <v xml:space="preserve"> </v>
      </c>
      <c r="AL215" s="323" t="str">
        <f t="shared" si="360"/>
        <v xml:space="preserve"> </v>
      </c>
      <c r="AM215" s="323" t="str">
        <f t="shared" si="360"/>
        <v xml:space="preserve"> </v>
      </c>
      <c r="AN215" s="323" t="str">
        <f t="shared" si="360"/>
        <v xml:space="preserve"> </v>
      </c>
      <c r="AO215" s="323" t="str">
        <f t="shared" si="360"/>
        <v xml:space="preserve"> </v>
      </c>
      <c r="AP215" s="323" t="str">
        <f t="shared" si="361"/>
        <v xml:space="preserve"> </v>
      </c>
      <c r="AQ215" s="323" t="str">
        <f t="shared" si="361"/>
        <v xml:space="preserve"> </v>
      </c>
      <c r="AR215" s="323" t="str">
        <f t="shared" si="361"/>
        <v xml:space="preserve"> </v>
      </c>
      <c r="AS215" s="323" t="str">
        <f t="shared" si="361"/>
        <v xml:space="preserve"> </v>
      </c>
      <c r="AT215" s="323" t="str">
        <f t="shared" si="361"/>
        <v xml:space="preserve"> </v>
      </c>
      <c r="AU215" s="323" t="str">
        <f t="shared" si="361"/>
        <v xml:space="preserve"> </v>
      </c>
      <c r="AV215" s="323" t="str">
        <f t="shared" si="361"/>
        <v xml:space="preserve"> </v>
      </c>
      <c r="AW215" s="323" t="str">
        <f t="shared" si="361"/>
        <v xml:space="preserve"> </v>
      </c>
      <c r="AX215" s="323" t="str">
        <f t="shared" si="361"/>
        <v xml:space="preserve"> </v>
      </c>
      <c r="AY215" s="323" t="str">
        <f t="shared" si="361"/>
        <v xml:space="preserve"> </v>
      </c>
      <c r="AZ215" s="323" t="str">
        <f t="shared" si="361"/>
        <v xml:space="preserve"> </v>
      </c>
      <c r="BA215" s="323" t="str">
        <f t="shared" si="361"/>
        <v xml:space="preserve"> </v>
      </c>
      <c r="BB215" s="323" t="str">
        <f t="shared" si="361"/>
        <v xml:space="preserve"> </v>
      </c>
      <c r="BC215" s="323" t="str">
        <f t="shared" si="361"/>
        <v xml:space="preserve"> </v>
      </c>
      <c r="BD215" s="323" t="str">
        <f t="shared" si="361"/>
        <v xml:space="preserve"> </v>
      </c>
      <c r="BE215" s="323" t="str">
        <f t="shared" si="361"/>
        <v xml:space="preserve"> </v>
      </c>
    </row>
    <row r="216" spans="2:57" x14ac:dyDescent="0.25">
      <c r="B216" s="316"/>
      <c r="C216" s="171" t="s">
        <v>697</v>
      </c>
      <c r="D216" s="325" t="s">
        <v>688</v>
      </c>
      <c r="E216" s="325">
        <v>11</v>
      </c>
      <c r="F216" s="325">
        <v>0</v>
      </c>
      <c r="G216" s="313">
        <v>0</v>
      </c>
      <c r="H216" s="313">
        <f t="shared" si="358"/>
        <v>0</v>
      </c>
      <c r="J216" s="323" t="str">
        <f t="shared" si="359"/>
        <v xml:space="preserve"> </v>
      </c>
      <c r="K216" s="323" t="str">
        <f t="shared" si="359"/>
        <v xml:space="preserve"> </v>
      </c>
      <c r="L216" s="323" t="str">
        <f t="shared" si="359"/>
        <v xml:space="preserve"> </v>
      </c>
      <c r="M216" s="323" t="str">
        <f t="shared" si="359"/>
        <v xml:space="preserve"> </v>
      </c>
      <c r="N216" s="323" t="str">
        <f t="shared" si="359"/>
        <v xml:space="preserve"> </v>
      </c>
      <c r="O216" s="323" t="str">
        <f t="shared" si="359"/>
        <v xml:space="preserve"> </v>
      </c>
      <c r="P216" s="323" t="str">
        <f t="shared" si="359"/>
        <v xml:space="preserve"> </v>
      </c>
      <c r="Q216" s="323" t="str">
        <f t="shared" si="359"/>
        <v xml:space="preserve"> </v>
      </c>
      <c r="R216" s="323" t="str">
        <f t="shared" si="359"/>
        <v xml:space="preserve"> </v>
      </c>
      <c r="S216" s="323" t="str">
        <f t="shared" si="359"/>
        <v xml:space="preserve"> </v>
      </c>
      <c r="T216" s="323" t="str">
        <f t="shared" si="359"/>
        <v xml:space="preserve"> </v>
      </c>
      <c r="U216" s="323" t="str">
        <f t="shared" si="359"/>
        <v xml:space="preserve"> </v>
      </c>
      <c r="V216" s="323" t="str">
        <f t="shared" si="359"/>
        <v xml:space="preserve"> </v>
      </c>
      <c r="W216" s="323" t="str">
        <f t="shared" si="359"/>
        <v xml:space="preserve"> </v>
      </c>
      <c r="X216" s="323" t="str">
        <f t="shared" si="359"/>
        <v xml:space="preserve"> </v>
      </c>
      <c r="Y216" s="323" t="str">
        <f t="shared" si="359"/>
        <v xml:space="preserve"> </v>
      </c>
      <c r="Z216" s="323" t="str">
        <f t="shared" si="360"/>
        <v xml:space="preserve"> </v>
      </c>
      <c r="AA216" s="323" t="str">
        <f t="shared" si="360"/>
        <v xml:space="preserve"> </v>
      </c>
      <c r="AB216" s="323" t="str">
        <f t="shared" si="360"/>
        <v xml:space="preserve"> </v>
      </c>
      <c r="AC216" s="323" t="str">
        <f t="shared" si="360"/>
        <v xml:space="preserve"> </v>
      </c>
      <c r="AD216" s="323" t="str">
        <f t="shared" si="360"/>
        <v xml:space="preserve"> </v>
      </c>
      <c r="AE216" s="323" t="str">
        <f t="shared" si="360"/>
        <v xml:space="preserve"> </v>
      </c>
      <c r="AF216" s="323" t="str">
        <f t="shared" si="360"/>
        <v xml:space="preserve"> </v>
      </c>
      <c r="AG216" s="323" t="str">
        <f t="shared" si="360"/>
        <v xml:space="preserve"> </v>
      </c>
      <c r="AH216" s="323" t="str">
        <f t="shared" si="360"/>
        <v xml:space="preserve"> </v>
      </c>
      <c r="AI216" s="323" t="str">
        <f t="shared" si="360"/>
        <v xml:space="preserve"> </v>
      </c>
      <c r="AJ216" s="323" t="str">
        <f t="shared" si="360"/>
        <v xml:space="preserve"> </v>
      </c>
      <c r="AK216" s="323" t="str">
        <f t="shared" si="360"/>
        <v xml:space="preserve"> </v>
      </c>
      <c r="AL216" s="323" t="str">
        <f t="shared" si="360"/>
        <v xml:space="preserve"> </v>
      </c>
      <c r="AM216" s="323" t="str">
        <f t="shared" si="360"/>
        <v xml:space="preserve"> </v>
      </c>
      <c r="AN216" s="323" t="str">
        <f t="shared" si="360"/>
        <v xml:space="preserve"> </v>
      </c>
      <c r="AO216" s="323" t="str">
        <f t="shared" si="360"/>
        <v xml:space="preserve"> </v>
      </c>
      <c r="AP216" s="323" t="str">
        <f t="shared" si="361"/>
        <v xml:space="preserve"> </v>
      </c>
      <c r="AQ216" s="323" t="str">
        <f t="shared" si="361"/>
        <v xml:space="preserve"> </v>
      </c>
      <c r="AR216" s="323" t="str">
        <f t="shared" si="361"/>
        <v xml:space="preserve"> </v>
      </c>
      <c r="AS216" s="323" t="str">
        <f t="shared" si="361"/>
        <v xml:space="preserve"> </v>
      </c>
      <c r="AT216" s="323" t="str">
        <f t="shared" si="361"/>
        <v xml:space="preserve"> </v>
      </c>
      <c r="AU216" s="323" t="str">
        <f t="shared" si="361"/>
        <v xml:space="preserve"> </v>
      </c>
      <c r="AV216" s="323" t="str">
        <f t="shared" si="361"/>
        <v xml:space="preserve"> </v>
      </c>
      <c r="AW216" s="323" t="str">
        <f t="shared" si="361"/>
        <v xml:space="preserve"> </v>
      </c>
      <c r="AX216" s="323" t="str">
        <f t="shared" si="361"/>
        <v xml:space="preserve"> </v>
      </c>
      <c r="AY216" s="323" t="str">
        <f t="shared" si="361"/>
        <v xml:space="preserve"> </v>
      </c>
      <c r="AZ216" s="323" t="str">
        <f t="shared" si="361"/>
        <v xml:space="preserve"> </v>
      </c>
      <c r="BA216" s="323" t="str">
        <f t="shared" si="361"/>
        <v xml:space="preserve"> </v>
      </c>
      <c r="BB216" s="323" t="str">
        <f t="shared" si="361"/>
        <v xml:space="preserve"> </v>
      </c>
      <c r="BC216" s="323" t="str">
        <f t="shared" si="361"/>
        <v xml:space="preserve"> </v>
      </c>
      <c r="BD216" s="323" t="str">
        <f t="shared" si="361"/>
        <v xml:space="preserve"> </v>
      </c>
      <c r="BE216" s="323" t="str">
        <f t="shared" si="361"/>
        <v xml:space="preserve"> </v>
      </c>
    </row>
    <row r="217" spans="2:57" x14ac:dyDescent="0.25">
      <c r="B217" s="316"/>
      <c r="C217" s="171" t="s">
        <v>698</v>
      </c>
      <c r="D217" s="325" t="s">
        <v>688</v>
      </c>
      <c r="E217" s="325">
        <v>12</v>
      </c>
      <c r="F217" s="324">
        <v>0</v>
      </c>
      <c r="G217" s="325">
        <v>0</v>
      </c>
      <c r="H217" s="313">
        <f t="shared" si="358"/>
        <v>0</v>
      </c>
      <c r="J217" s="323" t="str">
        <f t="shared" si="359"/>
        <v xml:space="preserve"> </v>
      </c>
      <c r="K217" s="323" t="str">
        <f t="shared" si="359"/>
        <v xml:space="preserve"> </v>
      </c>
      <c r="L217" s="323" t="str">
        <f t="shared" si="359"/>
        <v xml:space="preserve"> </v>
      </c>
      <c r="M217" s="323" t="str">
        <f t="shared" si="359"/>
        <v xml:space="preserve"> </v>
      </c>
      <c r="N217" s="323" t="str">
        <f t="shared" si="359"/>
        <v xml:space="preserve"> </v>
      </c>
      <c r="O217" s="323" t="str">
        <f t="shared" si="359"/>
        <v xml:space="preserve"> </v>
      </c>
      <c r="P217" s="323" t="str">
        <f t="shared" si="359"/>
        <v xml:space="preserve"> </v>
      </c>
      <c r="Q217" s="323" t="str">
        <f t="shared" si="359"/>
        <v xml:space="preserve"> </v>
      </c>
      <c r="R217" s="323" t="str">
        <f t="shared" si="359"/>
        <v xml:space="preserve"> </v>
      </c>
      <c r="S217" s="323" t="str">
        <f t="shared" si="359"/>
        <v xml:space="preserve"> </v>
      </c>
      <c r="T217" s="323" t="str">
        <f t="shared" si="359"/>
        <v xml:space="preserve"> </v>
      </c>
      <c r="U217" s="323" t="str">
        <f t="shared" si="359"/>
        <v xml:space="preserve"> </v>
      </c>
      <c r="V217" s="323" t="str">
        <f t="shared" si="359"/>
        <v xml:space="preserve"> </v>
      </c>
      <c r="W217" s="323" t="str">
        <f t="shared" si="359"/>
        <v xml:space="preserve"> </v>
      </c>
      <c r="X217" s="323" t="str">
        <f t="shared" si="359"/>
        <v xml:space="preserve"> </v>
      </c>
      <c r="Y217" s="323" t="str">
        <f t="shared" si="359"/>
        <v xml:space="preserve"> </v>
      </c>
      <c r="Z217" s="323" t="str">
        <f t="shared" si="360"/>
        <v xml:space="preserve"> </v>
      </c>
      <c r="AA217" s="323" t="str">
        <f t="shared" si="360"/>
        <v xml:space="preserve"> </v>
      </c>
      <c r="AB217" s="323" t="str">
        <f t="shared" si="360"/>
        <v xml:space="preserve"> </v>
      </c>
      <c r="AC217" s="323" t="str">
        <f t="shared" si="360"/>
        <v xml:space="preserve"> </v>
      </c>
      <c r="AD217" s="323" t="str">
        <f t="shared" si="360"/>
        <v xml:space="preserve"> </v>
      </c>
      <c r="AE217" s="323" t="str">
        <f t="shared" si="360"/>
        <v xml:space="preserve"> </v>
      </c>
      <c r="AF217" s="323" t="str">
        <f t="shared" si="360"/>
        <v xml:space="preserve"> </v>
      </c>
      <c r="AG217" s="323" t="str">
        <f t="shared" si="360"/>
        <v xml:space="preserve"> </v>
      </c>
      <c r="AH217" s="323" t="str">
        <f t="shared" si="360"/>
        <v xml:space="preserve"> </v>
      </c>
      <c r="AI217" s="323" t="str">
        <f t="shared" si="360"/>
        <v xml:space="preserve"> </v>
      </c>
      <c r="AJ217" s="323" t="str">
        <f t="shared" si="360"/>
        <v xml:space="preserve"> </v>
      </c>
      <c r="AK217" s="323" t="str">
        <f t="shared" si="360"/>
        <v xml:space="preserve"> </v>
      </c>
      <c r="AL217" s="323" t="str">
        <f t="shared" si="360"/>
        <v xml:space="preserve"> </v>
      </c>
      <c r="AM217" s="323" t="str">
        <f t="shared" si="360"/>
        <v xml:space="preserve"> </v>
      </c>
      <c r="AN217" s="323" t="str">
        <f t="shared" si="360"/>
        <v xml:space="preserve"> </v>
      </c>
      <c r="AO217" s="323" t="str">
        <f t="shared" si="360"/>
        <v xml:space="preserve"> </v>
      </c>
      <c r="AP217" s="323" t="str">
        <f t="shared" si="361"/>
        <v xml:space="preserve"> </v>
      </c>
      <c r="AQ217" s="323" t="str">
        <f t="shared" si="361"/>
        <v xml:space="preserve"> </v>
      </c>
      <c r="AR217" s="323" t="str">
        <f t="shared" si="361"/>
        <v xml:space="preserve"> </v>
      </c>
      <c r="AS217" s="323" t="str">
        <f t="shared" si="361"/>
        <v xml:space="preserve"> </v>
      </c>
      <c r="AT217" s="323" t="str">
        <f t="shared" si="361"/>
        <v xml:space="preserve"> </v>
      </c>
      <c r="AU217" s="323" t="str">
        <f t="shared" si="361"/>
        <v xml:space="preserve"> </v>
      </c>
      <c r="AV217" s="323" t="str">
        <f t="shared" si="361"/>
        <v xml:space="preserve"> </v>
      </c>
      <c r="AW217" s="323" t="str">
        <f t="shared" si="361"/>
        <v xml:space="preserve"> </v>
      </c>
      <c r="AX217" s="323" t="str">
        <f t="shared" si="361"/>
        <v xml:space="preserve"> </v>
      </c>
      <c r="AY217" s="323" t="str">
        <f t="shared" si="361"/>
        <v xml:space="preserve"> </v>
      </c>
      <c r="AZ217" s="323" t="str">
        <f t="shared" si="361"/>
        <v xml:space="preserve"> </v>
      </c>
      <c r="BA217" s="323" t="str">
        <f t="shared" si="361"/>
        <v xml:space="preserve"> </v>
      </c>
      <c r="BB217" s="323" t="str">
        <f t="shared" si="361"/>
        <v xml:space="preserve"> </v>
      </c>
      <c r="BC217" s="323" t="str">
        <f t="shared" si="361"/>
        <v xml:space="preserve"> </v>
      </c>
      <c r="BD217" s="323" t="str">
        <f t="shared" si="361"/>
        <v xml:space="preserve"> </v>
      </c>
      <c r="BE217" s="323" t="str">
        <f t="shared" si="361"/>
        <v xml:space="preserve"> </v>
      </c>
    </row>
    <row r="218" spans="2:57" x14ac:dyDescent="0.25">
      <c r="B218" s="316"/>
      <c r="C218" s="171" t="s">
        <v>699</v>
      </c>
      <c r="D218" s="325" t="s">
        <v>688</v>
      </c>
      <c r="E218" s="325">
        <v>13</v>
      </c>
      <c r="F218" s="324"/>
      <c r="G218" s="325"/>
      <c r="H218" s="313">
        <f t="shared" si="358"/>
        <v>0</v>
      </c>
      <c r="J218" s="323" t="str">
        <f t="shared" si="359"/>
        <v xml:space="preserve"> </v>
      </c>
      <c r="K218" s="323" t="str">
        <f t="shared" si="359"/>
        <v xml:space="preserve"> </v>
      </c>
      <c r="L218" s="323" t="str">
        <f t="shared" si="359"/>
        <v xml:space="preserve"> </v>
      </c>
      <c r="M218" s="323" t="str">
        <f t="shared" si="359"/>
        <v xml:space="preserve"> </v>
      </c>
      <c r="N218" s="323" t="str">
        <f t="shared" si="359"/>
        <v xml:space="preserve"> </v>
      </c>
      <c r="O218" s="323" t="str">
        <f t="shared" si="359"/>
        <v xml:space="preserve"> </v>
      </c>
      <c r="P218" s="323" t="str">
        <f t="shared" si="359"/>
        <v xml:space="preserve"> </v>
      </c>
      <c r="Q218" s="323" t="str">
        <f t="shared" si="359"/>
        <v xml:space="preserve"> </v>
      </c>
      <c r="R218" s="323" t="str">
        <f t="shared" si="359"/>
        <v xml:space="preserve"> </v>
      </c>
      <c r="S218" s="323" t="str">
        <f t="shared" si="359"/>
        <v xml:space="preserve"> </v>
      </c>
      <c r="T218" s="323" t="str">
        <f t="shared" si="359"/>
        <v xml:space="preserve"> </v>
      </c>
      <c r="U218" s="323" t="str">
        <f t="shared" si="359"/>
        <v xml:space="preserve"> </v>
      </c>
      <c r="V218" s="323" t="str">
        <f t="shared" si="359"/>
        <v xml:space="preserve"> </v>
      </c>
      <c r="W218" s="323" t="str">
        <f t="shared" si="359"/>
        <v xml:space="preserve"> </v>
      </c>
      <c r="X218" s="323" t="str">
        <f t="shared" si="359"/>
        <v xml:space="preserve"> </v>
      </c>
      <c r="Y218" s="323" t="str">
        <f t="shared" si="359"/>
        <v xml:space="preserve"> </v>
      </c>
      <c r="Z218" s="323" t="str">
        <f t="shared" si="360"/>
        <v xml:space="preserve"> </v>
      </c>
      <c r="AA218" s="323" t="str">
        <f t="shared" si="360"/>
        <v xml:space="preserve"> </v>
      </c>
      <c r="AB218" s="323" t="str">
        <f t="shared" si="360"/>
        <v xml:space="preserve"> </v>
      </c>
      <c r="AC218" s="323" t="str">
        <f t="shared" si="360"/>
        <v xml:space="preserve"> </v>
      </c>
      <c r="AD218" s="323" t="str">
        <f t="shared" si="360"/>
        <v xml:space="preserve"> </v>
      </c>
      <c r="AE218" s="323" t="str">
        <f t="shared" si="360"/>
        <v xml:space="preserve"> </v>
      </c>
      <c r="AF218" s="323" t="str">
        <f t="shared" si="360"/>
        <v xml:space="preserve"> </v>
      </c>
      <c r="AG218" s="323" t="str">
        <f t="shared" si="360"/>
        <v xml:space="preserve"> </v>
      </c>
      <c r="AH218" s="323" t="str">
        <f t="shared" si="360"/>
        <v xml:space="preserve"> </v>
      </c>
      <c r="AI218" s="323" t="str">
        <f t="shared" si="360"/>
        <v xml:space="preserve"> </v>
      </c>
      <c r="AJ218" s="323" t="str">
        <f t="shared" si="360"/>
        <v xml:space="preserve"> </v>
      </c>
      <c r="AK218" s="323" t="str">
        <f t="shared" si="360"/>
        <v xml:space="preserve"> </v>
      </c>
      <c r="AL218" s="323" t="str">
        <f t="shared" si="360"/>
        <v xml:space="preserve"> </v>
      </c>
      <c r="AM218" s="323" t="str">
        <f t="shared" si="360"/>
        <v xml:space="preserve"> </v>
      </c>
      <c r="AN218" s="323" t="str">
        <f t="shared" si="360"/>
        <v xml:space="preserve"> </v>
      </c>
      <c r="AO218" s="323" t="str">
        <f t="shared" si="360"/>
        <v xml:space="preserve"> </v>
      </c>
      <c r="AP218" s="323" t="str">
        <f t="shared" si="361"/>
        <v xml:space="preserve"> </v>
      </c>
      <c r="AQ218" s="323" t="str">
        <f t="shared" si="361"/>
        <v xml:space="preserve"> </v>
      </c>
      <c r="AR218" s="323" t="str">
        <f t="shared" si="361"/>
        <v xml:space="preserve"> </v>
      </c>
      <c r="AS218" s="323" t="str">
        <f t="shared" si="361"/>
        <v xml:space="preserve"> </v>
      </c>
      <c r="AT218" s="323" t="str">
        <f t="shared" si="361"/>
        <v xml:space="preserve"> </v>
      </c>
      <c r="AU218" s="323" t="str">
        <f t="shared" si="361"/>
        <v xml:space="preserve"> </v>
      </c>
      <c r="AV218" s="323" t="str">
        <f t="shared" si="361"/>
        <v xml:space="preserve"> </v>
      </c>
      <c r="AW218" s="323" t="str">
        <f t="shared" si="361"/>
        <v xml:space="preserve"> </v>
      </c>
      <c r="AX218" s="323" t="str">
        <f t="shared" si="361"/>
        <v xml:space="preserve"> </v>
      </c>
      <c r="AY218" s="323" t="str">
        <f t="shared" si="361"/>
        <v xml:space="preserve"> </v>
      </c>
      <c r="AZ218" s="323" t="str">
        <f t="shared" si="361"/>
        <v xml:space="preserve"> </v>
      </c>
      <c r="BA218" s="323" t="str">
        <f t="shared" si="361"/>
        <v xml:space="preserve"> </v>
      </c>
      <c r="BB218" s="323" t="str">
        <f t="shared" si="361"/>
        <v xml:space="preserve"> </v>
      </c>
      <c r="BC218" s="323" t="str">
        <f t="shared" si="361"/>
        <v xml:space="preserve"> </v>
      </c>
      <c r="BD218" s="323" t="str">
        <f t="shared" si="361"/>
        <v xml:space="preserve"> </v>
      </c>
      <c r="BE218" s="323" t="str">
        <f t="shared" si="361"/>
        <v xml:space="preserve"> </v>
      </c>
    </row>
    <row r="219" spans="2:57" x14ac:dyDescent="0.25">
      <c r="B219" s="317"/>
      <c r="C219" s="171" t="s">
        <v>676</v>
      </c>
      <c r="D219" s="325" t="s">
        <v>688</v>
      </c>
      <c r="E219" s="325">
        <v>14</v>
      </c>
      <c r="F219" s="325">
        <v>2049</v>
      </c>
      <c r="G219" s="325">
        <v>2050</v>
      </c>
      <c r="H219" s="313">
        <f t="shared" si="358"/>
        <v>1</v>
      </c>
      <c r="J219" s="323" t="str">
        <f t="shared" si="359"/>
        <v xml:space="preserve"> </v>
      </c>
      <c r="K219" s="323" t="str">
        <f t="shared" si="359"/>
        <v xml:space="preserve"> </v>
      </c>
      <c r="L219" s="323" t="str">
        <f t="shared" si="359"/>
        <v xml:space="preserve"> </v>
      </c>
      <c r="M219" s="323" t="str">
        <f t="shared" si="359"/>
        <v xml:space="preserve"> </v>
      </c>
      <c r="N219" s="323" t="str">
        <f t="shared" si="359"/>
        <v xml:space="preserve"> </v>
      </c>
      <c r="O219" s="323" t="str">
        <f t="shared" si="359"/>
        <v xml:space="preserve"> </v>
      </c>
      <c r="P219" s="323" t="str">
        <f t="shared" si="359"/>
        <v xml:space="preserve"> </v>
      </c>
      <c r="Q219" s="323" t="str">
        <f t="shared" si="359"/>
        <v xml:space="preserve"> </v>
      </c>
      <c r="R219" s="323" t="str">
        <f t="shared" si="359"/>
        <v xml:space="preserve"> </v>
      </c>
      <c r="S219" s="323" t="str">
        <f t="shared" si="359"/>
        <v xml:space="preserve"> </v>
      </c>
      <c r="T219" s="323" t="str">
        <f t="shared" si="359"/>
        <v xml:space="preserve"> </v>
      </c>
      <c r="U219" s="323" t="str">
        <f t="shared" si="359"/>
        <v xml:space="preserve"> </v>
      </c>
      <c r="V219" s="323" t="str">
        <f t="shared" si="359"/>
        <v xml:space="preserve"> </v>
      </c>
      <c r="W219" s="323" t="str">
        <f t="shared" si="359"/>
        <v xml:space="preserve"> </v>
      </c>
      <c r="X219" s="323" t="str">
        <f t="shared" si="359"/>
        <v xml:space="preserve"> </v>
      </c>
      <c r="Y219" s="323" t="str">
        <f t="shared" si="359"/>
        <v xml:space="preserve"> </v>
      </c>
      <c r="Z219" s="323" t="str">
        <f t="shared" si="360"/>
        <v xml:space="preserve"> </v>
      </c>
      <c r="AA219" s="323" t="str">
        <f t="shared" si="360"/>
        <v xml:space="preserve"> </v>
      </c>
      <c r="AB219" s="323" t="str">
        <f t="shared" si="360"/>
        <v xml:space="preserve"> </v>
      </c>
      <c r="AC219" s="323" t="str">
        <f t="shared" si="360"/>
        <v xml:space="preserve"> </v>
      </c>
      <c r="AD219" s="323" t="str">
        <f t="shared" si="360"/>
        <v xml:space="preserve"> </v>
      </c>
      <c r="AE219" s="323" t="str">
        <f t="shared" si="360"/>
        <v xml:space="preserve"> </v>
      </c>
      <c r="AF219" s="323" t="str">
        <f t="shared" si="360"/>
        <v xml:space="preserve"> </v>
      </c>
      <c r="AG219" s="323" t="str">
        <f t="shared" si="360"/>
        <v xml:space="preserve"> </v>
      </c>
      <c r="AH219" s="323" t="str">
        <f t="shared" si="360"/>
        <v xml:space="preserve"> </v>
      </c>
      <c r="AI219" s="323" t="str">
        <f t="shared" si="360"/>
        <v xml:space="preserve"> </v>
      </c>
      <c r="AJ219" s="323" t="str">
        <f t="shared" si="360"/>
        <v xml:space="preserve"> </v>
      </c>
      <c r="AK219" s="323" t="str">
        <f t="shared" si="360"/>
        <v xml:space="preserve"> </v>
      </c>
      <c r="AL219" s="323" t="str">
        <f t="shared" si="360"/>
        <v xml:space="preserve"> </v>
      </c>
      <c r="AM219" s="323" t="str">
        <f t="shared" si="360"/>
        <v xml:space="preserve"> </v>
      </c>
      <c r="AN219" s="323" t="str">
        <f t="shared" si="360"/>
        <v xml:space="preserve"> </v>
      </c>
      <c r="AO219" s="323">
        <f t="shared" si="360"/>
        <v>1</v>
      </c>
      <c r="AP219" s="323" t="str">
        <f t="shared" si="361"/>
        <v xml:space="preserve"> </v>
      </c>
      <c r="AQ219" s="323" t="str">
        <f t="shared" si="361"/>
        <v xml:space="preserve"> </v>
      </c>
      <c r="AR219" s="323" t="str">
        <f t="shared" si="361"/>
        <v xml:space="preserve"> </v>
      </c>
      <c r="AS219" s="323" t="str">
        <f t="shared" si="361"/>
        <v xml:space="preserve"> </v>
      </c>
      <c r="AT219" s="323" t="str">
        <f t="shared" si="361"/>
        <v xml:space="preserve"> </v>
      </c>
      <c r="AU219" s="323" t="str">
        <f t="shared" si="361"/>
        <v xml:space="preserve"> </v>
      </c>
      <c r="AV219" s="323" t="str">
        <f t="shared" si="361"/>
        <v xml:space="preserve"> </v>
      </c>
      <c r="AW219" s="323" t="str">
        <f t="shared" si="361"/>
        <v xml:space="preserve"> </v>
      </c>
      <c r="AX219" s="323" t="str">
        <f t="shared" si="361"/>
        <v xml:space="preserve"> </v>
      </c>
      <c r="AY219" s="323" t="str">
        <f t="shared" si="361"/>
        <v xml:space="preserve"> </v>
      </c>
      <c r="AZ219" s="323" t="str">
        <f t="shared" si="361"/>
        <v xml:space="preserve"> </v>
      </c>
      <c r="BA219" s="323" t="str">
        <f t="shared" si="361"/>
        <v xml:space="preserve"> </v>
      </c>
      <c r="BB219" s="323" t="str">
        <f t="shared" si="361"/>
        <v xml:space="preserve"> </v>
      </c>
      <c r="BC219" s="323" t="str">
        <f t="shared" si="361"/>
        <v xml:space="preserve"> </v>
      </c>
      <c r="BD219" s="323" t="str">
        <f t="shared" si="361"/>
        <v xml:space="preserve"> </v>
      </c>
      <c r="BE219" s="323" t="str">
        <f t="shared" si="361"/>
        <v xml:space="preserve"> </v>
      </c>
    </row>
    <row r="221" spans="2:57" ht="15.75" thickBot="1" x14ac:dyDescent="0.3">
      <c r="J221" s="171" t="s">
        <v>680</v>
      </c>
    </row>
    <row r="222" spans="2:57" ht="16.5" thickTop="1" thickBot="1" x14ac:dyDescent="0.3">
      <c r="B222" s="430"/>
      <c r="C222" s="431" t="s">
        <v>929</v>
      </c>
      <c r="D222" s="431" t="s">
        <v>930</v>
      </c>
      <c r="E222" s="431" t="s">
        <v>592</v>
      </c>
      <c r="F222" s="322" t="s">
        <v>684</v>
      </c>
      <c r="G222" s="322" t="s">
        <v>685</v>
      </c>
      <c r="H222" s="322" t="s">
        <v>686</v>
      </c>
      <c r="J222" s="171">
        <f>J205</f>
        <v>2018</v>
      </c>
      <c r="K222" s="171">
        <f t="shared" ref="K222:AP222" si="362">K205</f>
        <v>2019</v>
      </c>
      <c r="L222" s="171">
        <f t="shared" si="362"/>
        <v>2020</v>
      </c>
      <c r="M222" s="171">
        <f t="shared" si="362"/>
        <v>2021</v>
      </c>
      <c r="N222" s="171">
        <f t="shared" si="362"/>
        <v>2022</v>
      </c>
      <c r="O222" s="171">
        <f t="shared" si="362"/>
        <v>2023</v>
      </c>
      <c r="P222" s="171">
        <f t="shared" si="362"/>
        <v>2024</v>
      </c>
      <c r="Q222" s="171">
        <f t="shared" si="362"/>
        <v>2025</v>
      </c>
      <c r="R222" s="171">
        <f t="shared" si="362"/>
        <v>2026</v>
      </c>
      <c r="S222" s="171">
        <f t="shared" si="362"/>
        <v>2027</v>
      </c>
      <c r="T222" s="171">
        <f t="shared" si="362"/>
        <v>2028</v>
      </c>
      <c r="U222" s="171">
        <f t="shared" si="362"/>
        <v>2029</v>
      </c>
      <c r="V222" s="171">
        <f t="shared" si="362"/>
        <v>2030</v>
      </c>
      <c r="W222" s="171">
        <f t="shared" si="362"/>
        <v>2031</v>
      </c>
      <c r="X222" s="171">
        <f t="shared" si="362"/>
        <v>2032</v>
      </c>
      <c r="Y222" s="171">
        <f t="shared" si="362"/>
        <v>2033</v>
      </c>
      <c r="Z222" s="171">
        <f t="shared" si="362"/>
        <v>2034</v>
      </c>
      <c r="AA222" s="171">
        <f t="shared" si="362"/>
        <v>2035</v>
      </c>
      <c r="AB222" s="171">
        <f t="shared" si="362"/>
        <v>2036</v>
      </c>
      <c r="AC222" s="171">
        <f t="shared" si="362"/>
        <v>2037</v>
      </c>
      <c r="AD222" s="171">
        <f t="shared" si="362"/>
        <v>2038</v>
      </c>
      <c r="AE222" s="171">
        <f t="shared" si="362"/>
        <v>2039</v>
      </c>
      <c r="AF222" s="171">
        <f t="shared" si="362"/>
        <v>2040</v>
      </c>
      <c r="AG222" s="171">
        <f t="shared" si="362"/>
        <v>2041</v>
      </c>
      <c r="AH222" s="171">
        <f t="shared" si="362"/>
        <v>2042</v>
      </c>
      <c r="AI222" s="171">
        <f t="shared" si="362"/>
        <v>2043</v>
      </c>
      <c r="AJ222" s="171">
        <f t="shared" si="362"/>
        <v>2044</v>
      </c>
      <c r="AK222" s="171">
        <f t="shared" si="362"/>
        <v>2045</v>
      </c>
      <c r="AL222" s="171">
        <f t="shared" si="362"/>
        <v>2046</v>
      </c>
      <c r="AM222" s="171">
        <f t="shared" si="362"/>
        <v>2047</v>
      </c>
      <c r="AN222" s="171">
        <f t="shared" si="362"/>
        <v>2048</v>
      </c>
      <c r="AO222" s="171">
        <f t="shared" si="362"/>
        <v>2049</v>
      </c>
      <c r="AP222" s="171">
        <f t="shared" si="362"/>
        <v>2050</v>
      </c>
      <c r="AQ222" s="171">
        <f t="shared" ref="AQ222:BE222" si="363">AQ205</f>
        <v>2051</v>
      </c>
      <c r="AR222" s="171">
        <f t="shared" si="363"/>
        <v>2052</v>
      </c>
      <c r="AS222" s="171">
        <f t="shared" si="363"/>
        <v>2053</v>
      </c>
      <c r="AT222" s="171">
        <f t="shared" si="363"/>
        <v>2054</v>
      </c>
      <c r="AU222" s="171">
        <f t="shared" si="363"/>
        <v>2055</v>
      </c>
      <c r="AV222" s="171">
        <f t="shared" si="363"/>
        <v>2056</v>
      </c>
      <c r="AW222" s="171">
        <f t="shared" si="363"/>
        <v>2057</v>
      </c>
      <c r="AX222" s="171">
        <f t="shared" si="363"/>
        <v>2058</v>
      </c>
      <c r="AY222" s="171">
        <f t="shared" si="363"/>
        <v>2059</v>
      </c>
      <c r="AZ222" s="171">
        <f t="shared" si="363"/>
        <v>2060</v>
      </c>
      <c r="BA222" s="171">
        <f t="shared" si="363"/>
        <v>2061</v>
      </c>
      <c r="BB222" s="171">
        <f t="shared" si="363"/>
        <v>2062</v>
      </c>
      <c r="BC222" s="171">
        <f t="shared" si="363"/>
        <v>2063</v>
      </c>
      <c r="BD222" s="171">
        <f t="shared" si="363"/>
        <v>2064</v>
      </c>
      <c r="BE222" s="171">
        <f t="shared" si="363"/>
        <v>2065</v>
      </c>
    </row>
    <row r="223" spans="2:57" ht="15.75" thickTop="1" x14ac:dyDescent="0.25">
      <c r="B223" s="432"/>
      <c r="C223" s="430" t="s">
        <v>931</v>
      </c>
      <c r="D223" s="430" t="s">
        <v>932</v>
      </c>
      <c r="E223" s="325">
        <v>40</v>
      </c>
      <c r="F223" s="313">
        <v>2024</v>
      </c>
      <c r="G223" s="313">
        <v>2049</v>
      </c>
      <c r="H223" s="313">
        <f>G223-F223</f>
        <v>25</v>
      </c>
      <c r="J223" s="433">
        <f>IF(AND($F223&gt;=$J$8,J$8&gt;=$F223),$E223,)</f>
        <v>0</v>
      </c>
      <c r="K223" s="433">
        <f t="shared" ref="K223:Z226" si="364">IF(AND($F223&gt;=$J$8,K$8&gt;=$F223),$E223,)</f>
        <v>0</v>
      </c>
      <c r="L223" s="433">
        <f t="shared" si="364"/>
        <v>0</v>
      </c>
      <c r="M223" s="433">
        <f t="shared" si="364"/>
        <v>0</v>
      </c>
      <c r="N223" s="433">
        <f t="shared" si="364"/>
        <v>0</v>
      </c>
      <c r="O223" s="433">
        <f t="shared" si="364"/>
        <v>0</v>
      </c>
      <c r="P223" s="433">
        <f t="shared" si="364"/>
        <v>40</v>
      </c>
      <c r="Q223" s="433">
        <f t="shared" si="364"/>
        <v>40</v>
      </c>
      <c r="R223" s="433">
        <f t="shared" si="364"/>
        <v>40</v>
      </c>
      <c r="S223" s="433">
        <f t="shared" si="364"/>
        <v>40</v>
      </c>
      <c r="T223" s="433">
        <f t="shared" si="364"/>
        <v>40</v>
      </c>
      <c r="U223" s="433">
        <f t="shared" si="364"/>
        <v>40</v>
      </c>
      <c r="V223" s="433">
        <f t="shared" si="364"/>
        <v>40</v>
      </c>
      <c r="W223" s="433">
        <f t="shared" si="364"/>
        <v>40</v>
      </c>
      <c r="X223" s="433">
        <f t="shared" si="364"/>
        <v>40</v>
      </c>
      <c r="Y223" s="433">
        <f t="shared" si="364"/>
        <v>40</v>
      </c>
      <c r="Z223" s="433">
        <f t="shared" si="364"/>
        <v>40</v>
      </c>
      <c r="AA223" s="433">
        <f t="shared" ref="AA223:AQ226" si="365">IF(AND($F223&gt;=$J$8,AA$8&gt;=$F223),$E223,)</f>
        <v>40</v>
      </c>
      <c r="AB223" s="433">
        <f t="shared" si="365"/>
        <v>40</v>
      </c>
      <c r="AC223" s="433">
        <f t="shared" si="365"/>
        <v>40</v>
      </c>
      <c r="AD223" s="433">
        <f t="shared" si="365"/>
        <v>40</v>
      </c>
      <c r="AE223" s="433">
        <f t="shared" si="365"/>
        <v>40</v>
      </c>
      <c r="AF223" s="433">
        <f t="shared" si="365"/>
        <v>40</v>
      </c>
      <c r="AG223" s="433">
        <f t="shared" si="365"/>
        <v>40</v>
      </c>
      <c r="AH223" s="433">
        <f t="shared" si="365"/>
        <v>40</v>
      </c>
      <c r="AI223" s="433">
        <f t="shared" si="365"/>
        <v>40</v>
      </c>
      <c r="AJ223" s="433">
        <f t="shared" si="365"/>
        <v>40</v>
      </c>
      <c r="AK223" s="433">
        <f t="shared" si="365"/>
        <v>40</v>
      </c>
      <c r="AL223" s="433">
        <f t="shared" si="365"/>
        <v>40</v>
      </c>
      <c r="AM223" s="433">
        <f t="shared" si="365"/>
        <v>40</v>
      </c>
      <c r="AN223" s="433">
        <f t="shared" si="365"/>
        <v>40</v>
      </c>
      <c r="AO223" s="433">
        <f t="shared" si="365"/>
        <v>40</v>
      </c>
      <c r="AP223" s="433">
        <f t="shared" si="365"/>
        <v>40</v>
      </c>
      <c r="AQ223" s="433">
        <f t="shared" si="365"/>
        <v>40</v>
      </c>
      <c r="AR223" s="433">
        <f t="shared" ref="AQ223:BE226" si="366">IF(AND($F223&gt;=$J$8,AR$8&gt;=$F223),$E223,)</f>
        <v>40</v>
      </c>
      <c r="AS223" s="433">
        <f t="shared" si="366"/>
        <v>40</v>
      </c>
      <c r="AT223" s="433">
        <f t="shared" si="366"/>
        <v>40</v>
      </c>
      <c r="AU223" s="433">
        <f t="shared" si="366"/>
        <v>40</v>
      </c>
      <c r="AV223" s="433">
        <f t="shared" si="366"/>
        <v>40</v>
      </c>
      <c r="AW223" s="433">
        <f t="shared" si="366"/>
        <v>40</v>
      </c>
      <c r="AX223" s="433">
        <f t="shared" si="366"/>
        <v>40</v>
      </c>
      <c r="AY223" s="433">
        <f t="shared" si="366"/>
        <v>40</v>
      </c>
      <c r="AZ223" s="433">
        <f t="shared" si="366"/>
        <v>40</v>
      </c>
      <c r="BA223" s="433">
        <f t="shared" si="366"/>
        <v>40</v>
      </c>
      <c r="BB223" s="433">
        <f t="shared" si="366"/>
        <v>40</v>
      </c>
      <c r="BC223" s="433">
        <f t="shared" si="366"/>
        <v>40</v>
      </c>
      <c r="BD223" s="433">
        <f t="shared" si="366"/>
        <v>40</v>
      </c>
      <c r="BE223" s="433">
        <f t="shared" si="366"/>
        <v>40</v>
      </c>
    </row>
    <row r="224" spans="2:57" x14ac:dyDescent="0.25">
      <c r="B224" s="434"/>
      <c r="C224" s="430" t="s">
        <v>933</v>
      </c>
      <c r="D224" s="430" t="s">
        <v>934</v>
      </c>
      <c r="E224" s="325">
        <v>8</v>
      </c>
      <c r="F224" s="313">
        <v>2029</v>
      </c>
      <c r="G224" s="313">
        <v>2049</v>
      </c>
      <c r="H224" s="313">
        <f t="shared" ref="H224:H226" si="367">G224-F224</f>
        <v>20</v>
      </c>
      <c r="J224" s="433">
        <f t="shared" ref="J224:J226" si="368">IF(AND($F224&gt;=$J$8,J$8&gt;=$F224),$E224,)</f>
        <v>0</v>
      </c>
      <c r="K224" s="433">
        <f t="shared" si="364"/>
        <v>0</v>
      </c>
      <c r="L224" s="433">
        <f t="shared" si="364"/>
        <v>0</v>
      </c>
      <c r="M224" s="433">
        <f t="shared" si="364"/>
        <v>0</v>
      </c>
      <c r="N224" s="433">
        <f t="shared" si="364"/>
        <v>0</v>
      </c>
      <c r="O224" s="433">
        <f t="shared" si="364"/>
        <v>0</v>
      </c>
      <c r="P224" s="433">
        <f t="shared" si="364"/>
        <v>0</v>
      </c>
      <c r="Q224" s="433">
        <f t="shared" si="364"/>
        <v>0</v>
      </c>
      <c r="R224" s="433">
        <f t="shared" si="364"/>
        <v>0</v>
      </c>
      <c r="S224" s="433">
        <f t="shared" si="364"/>
        <v>0</v>
      </c>
      <c r="T224" s="433">
        <f t="shared" si="364"/>
        <v>0</v>
      </c>
      <c r="U224" s="433">
        <f t="shared" si="364"/>
        <v>8</v>
      </c>
      <c r="V224" s="433">
        <f t="shared" si="364"/>
        <v>8</v>
      </c>
      <c r="W224" s="433">
        <f t="shared" si="364"/>
        <v>8</v>
      </c>
      <c r="X224" s="433">
        <f t="shared" si="364"/>
        <v>8</v>
      </c>
      <c r="Y224" s="433">
        <f t="shared" si="364"/>
        <v>8</v>
      </c>
      <c r="Z224" s="433">
        <f t="shared" si="364"/>
        <v>8</v>
      </c>
      <c r="AA224" s="433">
        <f t="shared" si="365"/>
        <v>8</v>
      </c>
      <c r="AB224" s="433">
        <f t="shared" si="365"/>
        <v>8</v>
      </c>
      <c r="AC224" s="433">
        <f t="shared" si="365"/>
        <v>8</v>
      </c>
      <c r="AD224" s="433">
        <f t="shared" si="365"/>
        <v>8</v>
      </c>
      <c r="AE224" s="433">
        <f t="shared" si="365"/>
        <v>8</v>
      </c>
      <c r="AF224" s="433">
        <f t="shared" si="365"/>
        <v>8</v>
      </c>
      <c r="AG224" s="433">
        <f t="shared" si="365"/>
        <v>8</v>
      </c>
      <c r="AH224" s="433">
        <f t="shared" si="365"/>
        <v>8</v>
      </c>
      <c r="AI224" s="433">
        <f t="shared" si="365"/>
        <v>8</v>
      </c>
      <c r="AJ224" s="433">
        <f t="shared" si="365"/>
        <v>8</v>
      </c>
      <c r="AK224" s="433">
        <f t="shared" si="365"/>
        <v>8</v>
      </c>
      <c r="AL224" s="433">
        <f t="shared" si="365"/>
        <v>8</v>
      </c>
      <c r="AM224" s="433">
        <f t="shared" si="365"/>
        <v>8</v>
      </c>
      <c r="AN224" s="433">
        <f t="shared" si="365"/>
        <v>8</v>
      </c>
      <c r="AO224" s="433">
        <f t="shared" si="365"/>
        <v>8</v>
      </c>
      <c r="AP224" s="433">
        <f t="shared" si="365"/>
        <v>8</v>
      </c>
      <c r="AQ224" s="433">
        <f t="shared" si="366"/>
        <v>8</v>
      </c>
      <c r="AR224" s="433">
        <f t="shared" si="366"/>
        <v>8</v>
      </c>
      <c r="AS224" s="433">
        <f t="shared" si="366"/>
        <v>8</v>
      </c>
      <c r="AT224" s="433">
        <f t="shared" si="366"/>
        <v>8</v>
      </c>
      <c r="AU224" s="433">
        <f t="shared" si="366"/>
        <v>8</v>
      </c>
      <c r="AV224" s="433">
        <f t="shared" si="366"/>
        <v>8</v>
      </c>
      <c r="AW224" s="433">
        <f t="shared" si="366"/>
        <v>8</v>
      </c>
      <c r="AX224" s="433">
        <f t="shared" si="366"/>
        <v>8</v>
      </c>
      <c r="AY224" s="433">
        <f t="shared" si="366"/>
        <v>8</v>
      </c>
      <c r="AZ224" s="433">
        <f t="shared" si="366"/>
        <v>8</v>
      </c>
      <c r="BA224" s="433">
        <f t="shared" si="366"/>
        <v>8</v>
      </c>
      <c r="BB224" s="433">
        <f t="shared" si="366"/>
        <v>8</v>
      </c>
      <c r="BC224" s="433">
        <f t="shared" si="366"/>
        <v>8</v>
      </c>
      <c r="BD224" s="433">
        <f t="shared" si="366"/>
        <v>8</v>
      </c>
      <c r="BE224" s="433">
        <f t="shared" si="366"/>
        <v>8</v>
      </c>
    </row>
    <row r="225" spans="2:57" x14ac:dyDescent="0.25">
      <c r="B225" s="30"/>
      <c r="C225" s="430" t="s">
        <v>935</v>
      </c>
      <c r="D225" s="430" t="s">
        <v>936</v>
      </c>
      <c r="E225" s="325">
        <v>0</v>
      </c>
      <c r="F225" s="313">
        <v>0</v>
      </c>
      <c r="G225" s="313">
        <v>0</v>
      </c>
      <c r="H225" s="313">
        <f t="shared" si="367"/>
        <v>0</v>
      </c>
      <c r="J225" s="433">
        <f t="shared" si="368"/>
        <v>0</v>
      </c>
      <c r="K225" s="433">
        <f t="shared" si="364"/>
        <v>0</v>
      </c>
      <c r="L225" s="433">
        <f t="shared" si="364"/>
        <v>0</v>
      </c>
      <c r="M225" s="433">
        <f t="shared" si="364"/>
        <v>0</v>
      </c>
      <c r="N225" s="433">
        <f t="shared" si="364"/>
        <v>0</v>
      </c>
      <c r="O225" s="433">
        <f t="shared" si="364"/>
        <v>0</v>
      </c>
      <c r="P225" s="433">
        <f t="shared" si="364"/>
        <v>0</v>
      </c>
      <c r="Q225" s="433">
        <f t="shared" si="364"/>
        <v>0</v>
      </c>
      <c r="R225" s="433">
        <f t="shared" si="364"/>
        <v>0</v>
      </c>
      <c r="S225" s="433">
        <f t="shared" si="364"/>
        <v>0</v>
      </c>
      <c r="T225" s="433">
        <f t="shared" si="364"/>
        <v>0</v>
      </c>
      <c r="U225" s="433">
        <f t="shared" si="364"/>
        <v>0</v>
      </c>
      <c r="V225" s="433">
        <f t="shared" si="364"/>
        <v>0</v>
      </c>
      <c r="W225" s="433">
        <f t="shared" si="364"/>
        <v>0</v>
      </c>
      <c r="X225" s="433">
        <f t="shared" si="364"/>
        <v>0</v>
      </c>
      <c r="Y225" s="433">
        <f t="shared" si="364"/>
        <v>0</v>
      </c>
      <c r="Z225" s="433">
        <f t="shared" si="364"/>
        <v>0</v>
      </c>
      <c r="AA225" s="433">
        <f t="shared" si="365"/>
        <v>0</v>
      </c>
      <c r="AB225" s="433">
        <f t="shared" si="365"/>
        <v>0</v>
      </c>
      <c r="AC225" s="433">
        <f t="shared" si="365"/>
        <v>0</v>
      </c>
      <c r="AD225" s="433">
        <f t="shared" si="365"/>
        <v>0</v>
      </c>
      <c r="AE225" s="433">
        <f t="shared" si="365"/>
        <v>0</v>
      </c>
      <c r="AF225" s="433">
        <f t="shared" si="365"/>
        <v>0</v>
      </c>
      <c r="AG225" s="433">
        <f t="shared" si="365"/>
        <v>0</v>
      </c>
      <c r="AH225" s="433">
        <f t="shared" si="365"/>
        <v>0</v>
      </c>
      <c r="AI225" s="433">
        <f t="shared" si="365"/>
        <v>0</v>
      </c>
      <c r="AJ225" s="433">
        <f t="shared" si="365"/>
        <v>0</v>
      </c>
      <c r="AK225" s="433">
        <f t="shared" si="365"/>
        <v>0</v>
      </c>
      <c r="AL225" s="433">
        <f t="shared" si="365"/>
        <v>0</v>
      </c>
      <c r="AM225" s="433">
        <f t="shared" si="365"/>
        <v>0</v>
      </c>
      <c r="AN225" s="433">
        <f t="shared" si="365"/>
        <v>0</v>
      </c>
      <c r="AO225" s="433">
        <f t="shared" si="365"/>
        <v>0</v>
      </c>
      <c r="AP225" s="433">
        <f t="shared" si="365"/>
        <v>0</v>
      </c>
      <c r="AQ225" s="433">
        <f t="shared" si="366"/>
        <v>0</v>
      </c>
      <c r="AR225" s="433">
        <f t="shared" si="366"/>
        <v>0</v>
      </c>
      <c r="AS225" s="433">
        <f t="shared" si="366"/>
        <v>0</v>
      </c>
      <c r="AT225" s="433">
        <f t="shared" si="366"/>
        <v>0</v>
      </c>
      <c r="AU225" s="433">
        <f t="shared" si="366"/>
        <v>0</v>
      </c>
      <c r="AV225" s="433">
        <f t="shared" si="366"/>
        <v>0</v>
      </c>
      <c r="AW225" s="433">
        <f t="shared" si="366"/>
        <v>0</v>
      </c>
      <c r="AX225" s="433">
        <f t="shared" si="366"/>
        <v>0</v>
      </c>
      <c r="AY225" s="433">
        <f t="shared" si="366"/>
        <v>0</v>
      </c>
      <c r="AZ225" s="433">
        <f t="shared" si="366"/>
        <v>0</v>
      </c>
      <c r="BA225" s="433">
        <f t="shared" si="366"/>
        <v>0</v>
      </c>
      <c r="BB225" s="433">
        <f t="shared" si="366"/>
        <v>0</v>
      </c>
      <c r="BC225" s="433">
        <f t="shared" si="366"/>
        <v>0</v>
      </c>
      <c r="BD225" s="433">
        <f t="shared" si="366"/>
        <v>0</v>
      </c>
      <c r="BE225" s="433">
        <f t="shared" si="366"/>
        <v>0</v>
      </c>
    </row>
    <row r="226" spans="2:57" x14ac:dyDescent="0.25">
      <c r="B226" s="435"/>
      <c r="C226" s="430" t="s">
        <v>937</v>
      </c>
      <c r="D226" s="430" t="s">
        <v>936</v>
      </c>
      <c r="E226" s="325">
        <v>0</v>
      </c>
      <c r="F226" s="313">
        <v>0</v>
      </c>
      <c r="G226" s="313">
        <v>0</v>
      </c>
      <c r="H226" s="313">
        <f t="shared" si="367"/>
        <v>0</v>
      </c>
      <c r="J226" s="433">
        <f t="shared" si="368"/>
        <v>0</v>
      </c>
      <c r="K226" s="433">
        <f t="shared" si="364"/>
        <v>0</v>
      </c>
      <c r="L226" s="433">
        <f t="shared" si="364"/>
        <v>0</v>
      </c>
      <c r="M226" s="433">
        <f t="shared" si="364"/>
        <v>0</v>
      </c>
      <c r="N226" s="433">
        <f t="shared" si="364"/>
        <v>0</v>
      </c>
      <c r="O226" s="433">
        <f t="shared" si="364"/>
        <v>0</v>
      </c>
      <c r="P226" s="433">
        <f t="shared" si="364"/>
        <v>0</v>
      </c>
      <c r="Q226" s="433">
        <f t="shared" si="364"/>
        <v>0</v>
      </c>
      <c r="R226" s="433">
        <f t="shared" si="364"/>
        <v>0</v>
      </c>
      <c r="S226" s="433">
        <f t="shared" si="364"/>
        <v>0</v>
      </c>
      <c r="T226" s="433">
        <f t="shared" si="364"/>
        <v>0</v>
      </c>
      <c r="U226" s="433">
        <f t="shared" si="364"/>
        <v>0</v>
      </c>
      <c r="V226" s="433">
        <f t="shared" si="364"/>
        <v>0</v>
      </c>
      <c r="W226" s="433">
        <f t="shared" si="364"/>
        <v>0</v>
      </c>
      <c r="X226" s="433">
        <f t="shared" si="364"/>
        <v>0</v>
      </c>
      <c r="Y226" s="433">
        <f t="shared" si="364"/>
        <v>0</v>
      </c>
      <c r="Z226" s="433">
        <f t="shared" si="364"/>
        <v>0</v>
      </c>
      <c r="AA226" s="433">
        <f t="shared" si="365"/>
        <v>0</v>
      </c>
      <c r="AB226" s="433">
        <f t="shared" si="365"/>
        <v>0</v>
      </c>
      <c r="AC226" s="433">
        <f t="shared" si="365"/>
        <v>0</v>
      </c>
      <c r="AD226" s="433">
        <f t="shared" si="365"/>
        <v>0</v>
      </c>
      <c r="AE226" s="433">
        <f t="shared" si="365"/>
        <v>0</v>
      </c>
      <c r="AF226" s="433">
        <f t="shared" si="365"/>
        <v>0</v>
      </c>
      <c r="AG226" s="433">
        <f t="shared" si="365"/>
        <v>0</v>
      </c>
      <c r="AH226" s="433">
        <f t="shared" si="365"/>
        <v>0</v>
      </c>
      <c r="AI226" s="433">
        <f t="shared" si="365"/>
        <v>0</v>
      </c>
      <c r="AJ226" s="433">
        <f t="shared" si="365"/>
        <v>0</v>
      </c>
      <c r="AK226" s="433">
        <f t="shared" si="365"/>
        <v>0</v>
      </c>
      <c r="AL226" s="433">
        <f t="shared" si="365"/>
        <v>0</v>
      </c>
      <c r="AM226" s="433">
        <f t="shared" si="365"/>
        <v>0</v>
      </c>
      <c r="AN226" s="433">
        <f t="shared" si="365"/>
        <v>0</v>
      </c>
      <c r="AO226" s="433">
        <f t="shared" si="365"/>
        <v>0</v>
      </c>
      <c r="AP226" s="433">
        <f t="shared" si="365"/>
        <v>0</v>
      </c>
      <c r="AQ226" s="433">
        <f t="shared" si="366"/>
        <v>0</v>
      </c>
      <c r="AR226" s="433">
        <f t="shared" si="366"/>
        <v>0</v>
      </c>
      <c r="AS226" s="433">
        <f t="shared" si="366"/>
        <v>0</v>
      </c>
      <c r="AT226" s="433">
        <f t="shared" si="366"/>
        <v>0</v>
      </c>
      <c r="AU226" s="433">
        <f t="shared" si="366"/>
        <v>0</v>
      </c>
      <c r="AV226" s="433">
        <f t="shared" si="366"/>
        <v>0</v>
      </c>
      <c r="AW226" s="433">
        <f t="shared" si="366"/>
        <v>0</v>
      </c>
      <c r="AX226" s="433">
        <f t="shared" si="366"/>
        <v>0</v>
      </c>
      <c r="AY226" s="433">
        <f t="shared" si="366"/>
        <v>0</v>
      </c>
      <c r="AZ226" s="433">
        <f t="shared" si="366"/>
        <v>0</v>
      </c>
      <c r="BA226" s="433">
        <f t="shared" si="366"/>
        <v>0</v>
      </c>
      <c r="BB226" s="433">
        <f t="shared" si="366"/>
        <v>0</v>
      </c>
      <c r="BC226" s="433">
        <f t="shared" si="366"/>
        <v>0</v>
      </c>
      <c r="BD226" s="433">
        <f t="shared" si="366"/>
        <v>0</v>
      </c>
      <c r="BE226" s="433">
        <f t="shared" si="366"/>
        <v>0</v>
      </c>
    </row>
    <row r="228" spans="2:57" x14ac:dyDescent="0.25">
      <c r="C228" s="431" t="s">
        <v>938</v>
      </c>
    </row>
    <row r="229" spans="2:57" x14ac:dyDescent="0.25">
      <c r="B229" s="171">
        <v>1</v>
      </c>
      <c r="C229" s="1105" t="s">
        <v>1421</v>
      </c>
    </row>
    <row r="230" spans="2:57" x14ac:dyDescent="0.25">
      <c r="B230" s="171">
        <v>2</v>
      </c>
      <c r="C230" s="325" t="s">
        <v>1422</v>
      </c>
    </row>
    <row r="231" spans="2:57" x14ac:dyDescent="0.25">
      <c r="B231" s="171">
        <v>3</v>
      </c>
      <c r="C231" s="325" t="s">
        <v>1423</v>
      </c>
    </row>
    <row r="232" spans="2:57" ht="60" x14ac:dyDescent="0.25">
      <c r="B232" s="171">
        <v>4</v>
      </c>
      <c r="C232" s="1205" t="s">
        <v>1697</v>
      </c>
    </row>
    <row r="233" spans="2:57" x14ac:dyDescent="0.25">
      <c r="B233" s="604">
        <v>6</v>
      </c>
      <c r="C233" s="1105" t="s">
        <v>1504</v>
      </c>
    </row>
    <row r="234" spans="2:57" x14ac:dyDescent="0.25">
      <c r="B234" s="171">
        <v>7</v>
      </c>
      <c r="C234" s="325" t="s">
        <v>1606</v>
      </c>
    </row>
    <row r="236" spans="2:57" ht="23.25" x14ac:dyDescent="0.35">
      <c r="C236" s="722" t="s">
        <v>1723</v>
      </c>
    </row>
    <row r="237" spans="2:57" ht="15.75" thickBot="1" x14ac:dyDescent="0.3">
      <c r="F237" s="321"/>
      <c r="J237" s="171" t="s">
        <v>680</v>
      </c>
    </row>
    <row r="238" spans="2:57" ht="16.5" thickTop="1" thickBot="1" x14ac:dyDescent="0.3">
      <c r="C238" s="322" t="s">
        <v>681</v>
      </c>
      <c r="D238" s="322" t="s">
        <v>682</v>
      </c>
      <c r="E238" s="322" t="s">
        <v>683</v>
      </c>
      <c r="F238" s="322" t="s">
        <v>684</v>
      </c>
      <c r="G238" s="322" t="s">
        <v>685</v>
      </c>
      <c r="H238" s="322" t="s">
        <v>686</v>
      </c>
      <c r="J238" s="171">
        <f>F239</f>
        <v>2018</v>
      </c>
      <c r="K238" s="171">
        <f>J238+1</f>
        <v>2019</v>
      </c>
      <c r="L238" s="171">
        <f t="shared" ref="L238" si="369">K238+1</f>
        <v>2020</v>
      </c>
      <c r="M238" s="171">
        <f t="shared" ref="M238" si="370">L238+1</f>
        <v>2021</v>
      </c>
      <c r="N238" s="171">
        <f t="shared" ref="N238" si="371">M238+1</f>
        <v>2022</v>
      </c>
      <c r="O238" s="171">
        <f t="shared" ref="O238" si="372">N238+1</f>
        <v>2023</v>
      </c>
      <c r="P238" s="171">
        <f t="shared" ref="P238" si="373">O238+1</f>
        <v>2024</v>
      </c>
      <c r="Q238" s="171">
        <f t="shared" ref="Q238" si="374">P238+1</f>
        <v>2025</v>
      </c>
      <c r="R238" s="171">
        <f t="shared" ref="R238" si="375">Q238+1</f>
        <v>2026</v>
      </c>
      <c r="S238" s="171">
        <f t="shared" ref="S238" si="376">R238+1</f>
        <v>2027</v>
      </c>
      <c r="T238" s="171">
        <f t="shared" ref="T238" si="377">S238+1</f>
        <v>2028</v>
      </c>
      <c r="U238" s="171">
        <f t="shared" ref="U238" si="378">T238+1</f>
        <v>2029</v>
      </c>
      <c r="V238" s="171">
        <f t="shared" ref="V238" si="379">U238+1</f>
        <v>2030</v>
      </c>
      <c r="W238" s="171">
        <f t="shared" ref="W238" si="380">V238+1</f>
        <v>2031</v>
      </c>
      <c r="X238" s="171">
        <f t="shared" ref="X238" si="381">W238+1</f>
        <v>2032</v>
      </c>
      <c r="Y238" s="171">
        <f t="shared" ref="Y238" si="382">X238+1</f>
        <v>2033</v>
      </c>
      <c r="Z238" s="171">
        <f t="shared" ref="Z238" si="383">Y238+1</f>
        <v>2034</v>
      </c>
      <c r="AA238" s="171">
        <f t="shared" ref="AA238" si="384">Z238+1</f>
        <v>2035</v>
      </c>
      <c r="AB238" s="171">
        <f t="shared" ref="AB238" si="385">AA238+1</f>
        <v>2036</v>
      </c>
      <c r="AC238" s="171">
        <f t="shared" ref="AC238" si="386">AB238+1</f>
        <v>2037</v>
      </c>
      <c r="AD238" s="171">
        <f t="shared" ref="AD238" si="387">AC238+1</f>
        <v>2038</v>
      </c>
      <c r="AE238" s="171">
        <f t="shared" ref="AE238" si="388">AD238+1</f>
        <v>2039</v>
      </c>
      <c r="AF238" s="171">
        <f t="shared" ref="AF238" si="389">AE238+1</f>
        <v>2040</v>
      </c>
      <c r="AG238" s="171">
        <f t="shared" ref="AG238" si="390">AF238+1</f>
        <v>2041</v>
      </c>
      <c r="AH238" s="171">
        <f t="shared" ref="AH238" si="391">AG238+1</f>
        <v>2042</v>
      </c>
      <c r="AI238" s="171">
        <f t="shared" ref="AI238" si="392">AH238+1</f>
        <v>2043</v>
      </c>
      <c r="AJ238" s="171">
        <f t="shared" ref="AJ238" si="393">AI238+1</f>
        <v>2044</v>
      </c>
      <c r="AK238" s="171">
        <f t="shared" ref="AK238" si="394">AJ238+1</f>
        <v>2045</v>
      </c>
      <c r="AL238" s="171">
        <f t="shared" ref="AL238" si="395">AK238+1</f>
        <v>2046</v>
      </c>
      <c r="AM238" s="171">
        <f t="shared" ref="AM238" si="396">AL238+1</f>
        <v>2047</v>
      </c>
      <c r="AN238" s="171">
        <f t="shared" ref="AN238" si="397">AM238+1</f>
        <v>2048</v>
      </c>
      <c r="AO238" s="171">
        <f t="shared" ref="AO238" si="398">AN238+1</f>
        <v>2049</v>
      </c>
      <c r="AP238" s="171">
        <f t="shared" ref="AP238" si="399">AO238+1</f>
        <v>2050</v>
      </c>
      <c r="AQ238" s="171">
        <f t="shared" ref="AQ238" si="400">AP238+1</f>
        <v>2051</v>
      </c>
      <c r="AR238" s="171">
        <f t="shared" ref="AR238" si="401">AQ238+1</f>
        <v>2052</v>
      </c>
      <c r="AS238" s="171">
        <f t="shared" ref="AS238" si="402">AR238+1</f>
        <v>2053</v>
      </c>
      <c r="AT238" s="171">
        <f t="shared" ref="AT238" si="403">AS238+1</f>
        <v>2054</v>
      </c>
      <c r="AU238" s="171">
        <f t="shared" ref="AU238" si="404">AT238+1</f>
        <v>2055</v>
      </c>
      <c r="AV238" s="171">
        <f t="shared" ref="AV238" si="405">AU238+1</f>
        <v>2056</v>
      </c>
      <c r="AW238" s="171">
        <f t="shared" ref="AW238" si="406">AV238+1</f>
        <v>2057</v>
      </c>
      <c r="AX238" s="171">
        <f t="shared" ref="AX238" si="407">AW238+1</f>
        <v>2058</v>
      </c>
      <c r="AY238" s="171">
        <f t="shared" ref="AY238" si="408">AX238+1</f>
        <v>2059</v>
      </c>
      <c r="AZ238" s="171">
        <f t="shared" ref="AZ238" si="409">AY238+1</f>
        <v>2060</v>
      </c>
      <c r="BA238" s="171">
        <f t="shared" ref="BA238" si="410">AZ238+1</f>
        <v>2061</v>
      </c>
      <c r="BB238" s="171">
        <f t="shared" ref="BB238" si="411">BA238+1</f>
        <v>2062</v>
      </c>
      <c r="BC238" s="171">
        <f t="shared" ref="BC238" si="412">BB238+1</f>
        <v>2063</v>
      </c>
      <c r="BD238" s="171">
        <f t="shared" ref="BD238" si="413">BC238+1</f>
        <v>2064</v>
      </c>
      <c r="BE238" s="171">
        <f t="shared" ref="BE238" si="414">BD238+1</f>
        <v>2065</v>
      </c>
    </row>
    <row r="239" spans="2:57" ht="15.75" thickTop="1" x14ac:dyDescent="0.25">
      <c r="C239" s="171" t="s">
        <v>687</v>
      </c>
      <c r="D239" s="325" t="s">
        <v>688</v>
      </c>
      <c r="E239" s="325">
        <v>1</v>
      </c>
      <c r="F239" s="325">
        <v>2018</v>
      </c>
      <c r="G239" s="325">
        <v>2023</v>
      </c>
      <c r="H239" s="313">
        <f t="shared" ref="H239:H252" si="415">G239-F239</f>
        <v>5</v>
      </c>
      <c r="J239" s="323">
        <f t="shared" ref="J239:Y252" si="416">IF(AND(J$8&gt;=$F239,J$8&lt;$G239),1," ")</f>
        <v>1</v>
      </c>
      <c r="K239" s="323">
        <f t="shared" si="416"/>
        <v>1</v>
      </c>
      <c r="L239" s="323">
        <f t="shared" si="416"/>
        <v>1</v>
      </c>
      <c r="M239" s="323">
        <f t="shared" si="416"/>
        <v>1</v>
      </c>
      <c r="N239" s="323">
        <f t="shared" si="416"/>
        <v>1</v>
      </c>
      <c r="O239" s="323" t="str">
        <f t="shared" si="416"/>
        <v xml:space="preserve"> </v>
      </c>
      <c r="P239" s="323" t="str">
        <f t="shared" si="416"/>
        <v xml:space="preserve"> </v>
      </c>
      <c r="Q239" s="323" t="str">
        <f t="shared" si="416"/>
        <v xml:space="preserve"> </v>
      </c>
      <c r="R239" s="323" t="str">
        <f t="shared" si="416"/>
        <v xml:space="preserve"> </v>
      </c>
      <c r="S239" s="323" t="str">
        <f t="shared" si="416"/>
        <v xml:space="preserve"> </v>
      </c>
      <c r="T239" s="323" t="str">
        <f t="shared" si="416"/>
        <v xml:space="preserve"> </v>
      </c>
      <c r="U239" s="323" t="str">
        <f t="shared" si="416"/>
        <v xml:space="preserve"> </v>
      </c>
      <c r="V239" s="323" t="str">
        <f t="shared" si="416"/>
        <v xml:space="preserve"> </v>
      </c>
      <c r="W239" s="323" t="str">
        <f t="shared" si="416"/>
        <v xml:space="preserve"> </v>
      </c>
      <c r="X239" s="323" t="str">
        <f t="shared" si="416"/>
        <v xml:space="preserve"> </v>
      </c>
      <c r="Y239" s="323" t="str">
        <f t="shared" si="416"/>
        <v xml:space="preserve"> </v>
      </c>
      <c r="Z239" s="323" t="str">
        <f t="shared" ref="Z239:AO252" si="417">IF(AND(Z$8&gt;=$F239,Z$8&lt;$G239),1," ")</f>
        <v xml:space="preserve"> </v>
      </c>
      <c r="AA239" s="323" t="str">
        <f t="shared" si="417"/>
        <v xml:space="preserve"> </v>
      </c>
      <c r="AB239" s="323" t="str">
        <f t="shared" si="417"/>
        <v xml:space="preserve"> </v>
      </c>
      <c r="AC239" s="323" t="str">
        <f t="shared" si="417"/>
        <v xml:space="preserve"> </v>
      </c>
      <c r="AD239" s="323" t="str">
        <f t="shared" si="417"/>
        <v xml:space="preserve"> </v>
      </c>
      <c r="AE239" s="323" t="str">
        <f t="shared" si="417"/>
        <v xml:space="preserve"> </v>
      </c>
      <c r="AF239" s="323" t="str">
        <f t="shared" si="417"/>
        <v xml:space="preserve"> </v>
      </c>
      <c r="AG239" s="323" t="str">
        <f t="shared" si="417"/>
        <v xml:space="preserve"> </v>
      </c>
      <c r="AH239" s="323" t="str">
        <f t="shared" si="417"/>
        <v xml:space="preserve"> </v>
      </c>
      <c r="AI239" s="323" t="str">
        <f t="shared" si="417"/>
        <v xml:space="preserve"> </v>
      </c>
      <c r="AJ239" s="323" t="str">
        <f t="shared" si="417"/>
        <v xml:space="preserve"> </v>
      </c>
      <c r="AK239" s="323" t="str">
        <f t="shared" si="417"/>
        <v xml:space="preserve"> </v>
      </c>
      <c r="AL239" s="323" t="str">
        <f t="shared" si="417"/>
        <v xml:space="preserve"> </v>
      </c>
      <c r="AM239" s="323" t="str">
        <f t="shared" si="417"/>
        <v xml:space="preserve"> </v>
      </c>
      <c r="AN239" s="323" t="str">
        <f t="shared" si="417"/>
        <v xml:space="preserve"> </v>
      </c>
      <c r="AO239" s="323" t="str">
        <f t="shared" si="417"/>
        <v xml:space="preserve"> </v>
      </c>
      <c r="AP239" s="323" t="str">
        <f t="shared" ref="AP239:BE252" si="418">IF(AND(AP$8&gt;=$F239,AP$8&lt;$G239),1," ")</f>
        <v xml:space="preserve"> </v>
      </c>
      <c r="AQ239" s="323" t="str">
        <f t="shared" si="418"/>
        <v xml:space="preserve"> </v>
      </c>
      <c r="AR239" s="323" t="str">
        <f t="shared" si="418"/>
        <v xml:space="preserve"> </v>
      </c>
      <c r="AS239" s="323" t="str">
        <f t="shared" si="418"/>
        <v xml:space="preserve"> </v>
      </c>
      <c r="AT239" s="323" t="str">
        <f t="shared" si="418"/>
        <v xml:space="preserve"> </v>
      </c>
      <c r="AU239" s="323" t="str">
        <f t="shared" si="418"/>
        <v xml:space="preserve"> </v>
      </c>
      <c r="AV239" s="323" t="str">
        <f t="shared" si="418"/>
        <v xml:space="preserve"> </v>
      </c>
      <c r="AW239" s="323" t="str">
        <f t="shared" si="418"/>
        <v xml:space="preserve"> </v>
      </c>
      <c r="AX239" s="323" t="str">
        <f t="shared" si="418"/>
        <v xml:space="preserve"> </v>
      </c>
      <c r="AY239" s="323" t="str">
        <f t="shared" si="418"/>
        <v xml:space="preserve"> </v>
      </c>
      <c r="AZ239" s="323" t="str">
        <f t="shared" si="418"/>
        <v xml:space="preserve"> </v>
      </c>
      <c r="BA239" s="323" t="str">
        <f t="shared" si="418"/>
        <v xml:space="preserve"> </v>
      </c>
      <c r="BB239" s="323" t="str">
        <f t="shared" si="418"/>
        <v xml:space="preserve"> </v>
      </c>
      <c r="BC239" s="323" t="str">
        <f t="shared" si="418"/>
        <v xml:space="preserve"> </v>
      </c>
      <c r="BD239" s="323" t="str">
        <f t="shared" si="418"/>
        <v xml:space="preserve"> </v>
      </c>
      <c r="BE239" s="323" t="str">
        <f t="shared" si="418"/>
        <v xml:space="preserve"> </v>
      </c>
    </row>
    <row r="240" spans="2:57" x14ac:dyDescent="0.25">
      <c r="B240" s="314"/>
      <c r="C240" s="171" t="s">
        <v>689</v>
      </c>
      <c r="D240" s="325" t="s">
        <v>688</v>
      </c>
      <c r="E240" s="325">
        <v>2</v>
      </c>
      <c r="F240" s="325">
        <v>2023</v>
      </c>
      <c r="G240" s="325">
        <v>2024</v>
      </c>
      <c r="H240" s="313">
        <f t="shared" si="415"/>
        <v>1</v>
      </c>
      <c r="J240" s="323" t="str">
        <f t="shared" si="416"/>
        <v xml:space="preserve"> </v>
      </c>
      <c r="K240" s="323" t="str">
        <f t="shared" si="416"/>
        <v xml:space="preserve"> </v>
      </c>
      <c r="L240" s="323" t="str">
        <f t="shared" si="416"/>
        <v xml:space="preserve"> </v>
      </c>
      <c r="M240" s="323" t="str">
        <f t="shared" si="416"/>
        <v xml:space="preserve"> </v>
      </c>
      <c r="N240" s="323" t="str">
        <f t="shared" si="416"/>
        <v xml:space="preserve"> </v>
      </c>
      <c r="O240" s="323">
        <f t="shared" si="416"/>
        <v>1</v>
      </c>
      <c r="P240" s="323" t="str">
        <f t="shared" si="416"/>
        <v xml:space="preserve"> </v>
      </c>
      <c r="Q240" s="323" t="str">
        <f t="shared" si="416"/>
        <v xml:space="preserve"> </v>
      </c>
      <c r="R240" s="323" t="str">
        <f t="shared" si="416"/>
        <v xml:space="preserve"> </v>
      </c>
      <c r="S240" s="323" t="str">
        <f t="shared" si="416"/>
        <v xml:space="preserve"> </v>
      </c>
      <c r="T240" s="323" t="str">
        <f t="shared" si="416"/>
        <v xml:space="preserve"> </v>
      </c>
      <c r="U240" s="323" t="str">
        <f t="shared" si="416"/>
        <v xml:space="preserve"> </v>
      </c>
      <c r="V240" s="323" t="str">
        <f t="shared" si="416"/>
        <v xml:space="preserve"> </v>
      </c>
      <c r="W240" s="323" t="str">
        <f t="shared" si="416"/>
        <v xml:space="preserve"> </v>
      </c>
      <c r="X240" s="323" t="str">
        <f t="shared" si="416"/>
        <v xml:space="preserve"> </v>
      </c>
      <c r="Y240" s="323" t="str">
        <f t="shared" si="416"/>
        <v xml:space="preserve"> </v>
      </c>
      <c r="Z240" s="323" t="str">
        <f t="shared" si="417"/>
        <v xml:space="preserve"> </v>
      </c>
      <c r="AA240" s="323" t="str">
        <f t="shared" si="417"/>
        <v xml:space="preserve"> </v>
      </c>
      <c r="AB240" s="323" t="str">
        <f t="shared" si="417"/>
        <v xml:space="preserve"> </v>
      </c>
      <c r="AC240" s="323" t="str">
        <f t="shared" si="417"/>
        <v xml:space="preserve"> </v>
      </c>
      <c r="AD240" s="323" t="str">
        <f t="shared" si="417"/>
        <v xml:space="preserve"> </v>
      </c>
      <c r="AE240" s="323" t="str">
        <f t="shared" si="417"/>
        <v xml:space="preserve"> </v>
      </c>
      <c r="AF240" s="323" t="str">
        <f t="shared" si="417"/>
        <v xml:space="preserve"> </v>
      </c>
      <c r="AG240" s="323" t="str">
        <f t="shared" si="417"/>
        <v xml:space="preserve"> </v>
      </c>
      <c r="AH240" s="323" t="str">
        <f t="shared" si="417"/>
        <v xml:space="preserve"> </v>
      </c>
      <c r="AI240" s="323" t="str">
        <f t="shared" si="417"/>
        <v xml:space="preserve"> </v>
      </c>
      <c r="AJ240" s="323" t="str">
        <f t="shared" si="417"/>
        <v xml:space="preserve"> </v>
      </c>
      <c r="AK240" s="323" t="str">
        <f t="shared" si="417"/>
        <v xml:space="preserve"> </v>
      </c>
      <c r="AL240" s="323" t="str">
        <f t="shared" si="417"/>
        <v xml:space="preserve"> </v>
      </c>
      <c r="AM240" s="323" t="str">
        <f t="shared" si="417"/>
        <v xml:space="preserve"> </v>
      </c>
      <c r="AN240" s="323" t="str">
        <f t="shared" si="417"/>
        <v xml:space="preserve"> </v>
      </c>
      <c r="AO240" s="323" t="str">
        <f t="shared" si="417"/>
        <v xml:space="preserve"> </v>
      </c>
      <c r="AP240" s="323" t="str">
        <f t="shared" si="418"/>
        <v xml:space="preserve"> </v>
      </c>
      <c r="AQ240" s="323" t="str">
        <f t="shared" si="418"/>
        <v xml:space="preserve"> </v>
      </c>
      <c r="AR240" s="323" t="str">
        <f t="shared" si="418"/>
        <v xml:space="preserve"> </v>
      </c>
      <c r="AS240" s="323" t="str">
        <f t="shared" si="418"/>
        <v xml:space="preserve"> </v>
      </c>
      <c r="AT240" s="323" t="str">
        <f t="shared" si="418"/>
        <v xml:space="preserve"> </v>
      </c>
      <c r="AU240" s="323" t="str">
        <f t="shared" si="418"/>
        <v xml:space="preserve"> </v>
      </c>
      <c r="AV240" s="323" t="str">
        <f t="shared" si="418"/>
        <v xml:space="preserve"> </v>
      </c>
      <c r="AW240" s="323" t="str">
        <f t="shared" si="418"/>
        <v xml:space="preserve"> </v>
      </c>
      <c r="AX240" s="323" t="str">
        <f t="shared" si="418"/>
        <v xml:space="preserve"> </v>
      </c>
      <c r="AY240" s="323" t="str">
        <f t="shared" si="418"/>
        <v xml:space="preserve"> </v>
      </c>
      <c r="AZ240" s="323" t="str">
        <f t="shared" si="418"/>
        <v xml:space="preserve"> </v>
      </c>
      <c r="BA240" s="323" t="str">
        <f t="shared" si="418"/>
        <v xml:space="preserve"> </v>
      </c>
      <c r="BB240" s="323" t="str">
        <f t="shared" si="418"/>
        <v xml:space="preserve"> </v>
      </c>
      <c r="BC240" s="323" t="str">
        <f t="shared" si="418"/>
        <v xml:space="preserve"> </v>
      </c>
      <c r="BD240" s="323" t="str">
        <f t="shared" si="418"/>
        <v xml:space="preserve"> </v>
      </c>
      <c r="BE240" s="323" t="str">
        <f t="shared" si="418"/>
        <v xml:space="preserve"> </v>
      </c>
    </row>
    <row r="241" spans="2:57" x14ac:dyDescent="0.25">
      <c r="B241" s="314"/>
      <c r="C241" s="171" t="s">
        <v>673</v>
      </c>
      <c r="D241" s="325" t="s">
        <v>688</v>
      </c>
      <c r="E241" s="325">
        <v>3</v>
      </c>
      <c r="F241" s="313">
        <v>2024</v>
      </c>
      <c r="G241" s="325">
        <v>2033</v>
      </c>
      <c r="H241" s="313">
        <f t="shared" si="415"/>
        <v>9</v>
      </c>
      <c r="J241" s="323" t="str">
        <f t="shared" si="416"/>
        <v xml:space="preserve"> </v>
      </c>
      <c r="K241" s="323" t="str">
        <f t="shared" si="416"/>
        <v xml:space="preserve"> </v>
      </c>
      <c r="L241" s="323" t="str">
        <f t="shared" si="416"/>
        <v xml:space="preserve"> </v>
      </c>
      <c r="M241" s="323" t="str">
        <f t="shared" si="416"/>
        <v xml:space="preserve"> </v>
      </c>
      <c r="N241" s="323" t="str">
        <f t="shared" si="416"/>
        <v xml:space="preserve"> </v>
      </c>
      <c r="O241" s="323" t="str">
        <f t="shared" si="416"/>
        <v xml:space="preserve"> </v>
      </c>
      <c r="P241" s="323">
        <f t="shared" si="416"/>
        <v>1</v>
      </c>
      <c r="Q241" s="323">
        <f t="shared" si="416"/>
        <v>1</v>
      </c>
      <c r="R241" s="323">
        <f t="shared" si="416"/>
        <v>1</v>
      </c>
      <c r="S241" s="323">
        <f t="shared" si="416"/>
        <v>1</v>
      </c>
      <c r="T241" s="323">
        <f t="shared" si="416"/>
        <v>1</v>
      </c>
      <c r="U241" s="323">
        <f t="shared" si="416"/>
        <v>1</v>
      </c>
      <c r="V241" s="323">
        <f t="shared" si="416"/>
        <v>1</v>
      </c>
      <c r="W241" s="323">
        <f t="shared" si="416"/>
        <v>1</v>
      </c>
      <c r="X241" s="323">
        <f t="shared" si="416"/>
        <v>1</v>
      </c>
      <c r="Y241" s="323" t="str">
        <f t="shared" si="416"/>
        <v xml:space="preserve"> </v>
      </c>
      <c r="Z241" s="323" t="str">
        <f t="shared" si="417"/>
        <v xml:space="preserve"> </v>
      </c>
      <c r="AA241" s="323" t="str">
        <f t="shared" si="417"/>
        <v xml:space="preserve"> </v>
      </c>
      <c r="AB241" s="323" t="str">
        <f t="shared" si="417"/>
        <v xml:space="preserve"> </v>
      </c>
      <c r="AC241" s="323" t="str">
        <f t="shared" si="417"/>
        <v xml:space="preserve"> </v>
      </c>
      <c r="AD241" s="323" t="str">
        <f t="shared" si="417"/>
        <v xml:space="preserve"> </v>
      </c>
      <c r="AE241" s="323" t="str">
        <f t="shared" si="417"/>
        <v xml:space="preserve"> </v>
      </c>
      <c r="AF241" s="323" t="str">
        <f t="shared" si="417"/>
        <v xml:space="preserve"> </v>
      </c>
      <c r="AG241" s="323" t="str">
        <f t="shared" si="417"/>
        <v xml:space="preserve"> </v>
      </c>
      <c r="AH241" s="323" t="str">
        <f t="shared" si="417"/>
        <v xml:space="preserve"> </v>
      </c>
      <c r="AI241" s="323" t="str">
        <f t="shared" si="417"/>
        <v xml:space="preserve"> </v>
      </c>
      <c r="AJ241" s="323" t="str">
        <f t="shared" si="417"/>
        <v xml:space="preserve"> </v>
      </c>
      <c r="AK241" s="323" t="str">
        <f t="shared" si="417"/>
        <v xml:space="preserve"> </v>
      </c>
      <c r="AL241" s="323" t="str">
        <f t="shared" si="417"/>
        <v xml:space="preserve"> </v>
      </c>
      <c r="AM241" s="323" t="str">
        <f t="shared" si="417"/>
        <v xml:space="preserve"> </v>
      </c>
      <c r="AN241" s="323" t="str">
        <f t="shared" si="417"/>
        <v xml:space="preserve"> </v>
      </c>
      <c r="AO241" s="323" t="str">
        <f t="shared" si="417"/>
        <v xml:space="preserve"> </v>
      </c>
      <c r="AP241" s="323" t="str">
        <f t="shared" si="418"/>
        <v xml:space="preserve"> </v>
      </c>
      <c r="AQ241" s="323" t="str">
        <f t="shared" si="418"/>
        <v xml:space="preserve"> </v>
      </c>
      <c r="AR241" s="323" t="str">
        <f t="shared" si="418"/>
        <v xml:space="preserve"> </v>
      </c>
      <c r="AS241" s="323" t="str">
        <f t="shared" si="418"/>
        <v xml:space="preserve"> </v>
      </c>
      <c r="AT241" s="323" t="str">
        <f t="shared" si="418"/>
        <v xml:space="preserve"> </v>
      </c>
      <c r="AU241" s="323" t="str">
        <f t="shared" si="418"/>
        <v xml:space="preserve"> </v>
      </c>
      <c r="AV241" s="323" t="str">
        <f t="shared" si="418"/>
        <v xml:space="preserve"> </v>
      </c>
      <c r="AW241" s="323" t="str">
        <f t="shared" si="418"/>
        <v xml:space="preserve"> </v>
      </c>
      <c r="AX241" s="323" t="str">
        <f t="shared" si="418"/>
        <v xml:space="preserve"> </v>
      </c>
      <c r="AY241" s="323" t="str">
        <f t="shared" si="418"/>
        <v xml:space="preserve"> </v>
      </c>
      <c r="AZ241" s="323" t="str">
        <f t="shared" si="418"/>
        <v xml:space="preserve"> </v>
      </c>
      <c r="BA241" s="323" t="str">
        <f t="shared" si="418"/>
        <v xml:space="preserve"> </v>
      </c>
      <c r="BB241" s="323" t="str">
        <f t="shared" si="418"/>
        <v xml:space="preserve"> </v>
      </c>
      <c r="BC241" s="323" t="str">
        <f t="shared" si="418"/>
        <v xml:space="preserve"> </v>
      </c>
      <c r="BD241" s="323" t="str">
        <f t="shared" si="418"/>
        <v xml:space="preserve"> </v>
      </c>
      <c r="BE241" s="323" t="str">
        <f t="shared" si="418"/>
        <v xml:space="preserve"> </v>
      </c>
    </row>
    <row r="242" spans="2:57" x14ac:dyDescent="0.25">
      <c r="B242" s="314"/>
      <c r="C242" s="171" t="s">
        <v>690</v>
      </c>
      <c r="D242" s="325" t="s">
        <v>688</v>
      </c>
      <c r="E242" s="325">
        <v>4</v>
      </c>
      <c r="F242" s="324">
        <v>2053</v>
      </c>
      <c r="G242" s="324">
        <v>2054</v>
      </c>
      <c r="H242" s="313">
        <f t="shared" si="415"/>
        <v>1</v>
      </c>
      <c r="J242" s="323" t="str">
        <f t="shared" si="416"/>
        <v xml:space="preserve"> </v>
      </c>
      <c r="K242" s="323" t="str">
        <f t="shared" si="416"/>
        <v xml:space="preserve"> </v>
      </c>
      <c r="L242" s="323" t="str">
        <f t="shared" si="416"/>
        <v xml:space="preserve"> </v>
      </c>
      <c r="M242" s="323" t="str">
        <f t="shared" si="416"/>
        <v xml:space="preserve"> </v>
      </c>
      <c r="N242" s="323" t="str">
        <f t="shared" si="416"/>
        <v xml:space="preserve"> </v>
      </c>
      <c r="O242" s="323" t="str">
        <f t="shared" si="416"/>
        <v xml:space="preserve"> </v>
      </c>
      <c r="P242" s="323" t="str">
        <f t="shared" si="416"/>
        <v xml:space="preserve"> </v>
      </c>
      <c r="Q242" s="323" t="str">
        <f t="shared" si="416"/>
        <v xml:space="preserve"> </v>
      </c>
      <c r="R242" s="323" t="str">
        <f t="shared" si="416"/>
        <v xml:space="preserve"> </v>
      </c>
      <c r="S242" s="323" t="str">
        <f t="shared" si="416"/>
        <v xml:space="preserve"> </v>
      </c>
      <c r="T242" s="323" t="str">
        <f t="shared" si="416"/>
        <v xml:space="preserve"> </v>
      </c>
      <c r="U242" s="323" t="str">
        <f t="shared" si="416"/>
        <v xml:space="preserve"> </v>
      </c>
      <c r="V242" s="323" t="str">
        <f t="shared" si="416"/>
        <v xml:space="preserve"> </v>
      </c>
      <c r="W242" s="323" t="str">
        <f t="shared" si="416"/>
        <v xml:space="preserve"> </v>
      </c>
      <c r="X242" s="323" t="str">
        <f t="shared" si="416"/>
        <v xml:space="preserve"> </v>
      </c>
      <c r="Y242" s="323" t="str">
        <f t="shared" si="416"/>
        <v xml:space="preserve"> </v>
      </c>
      <c r="Z242" s="323" t="str">
        <f t="shared" si="417"/>
        <v xml:space="preserve"> </v>
      </c>
      <c r="AA242" s="323" t="str">
        <f t="shared" si="417"/>
        <v xml:space="preserve"> </v>
      </c>
      <c r="AB242" s="323" t="str">
        <f t="shared" si="417"/>
        <v xml:space="preserve"> </v>
      </c>
      <c r="AC242" s="323" t="str">
        <f t="shared" si="417"/>
        <v xml:space="preserve"> </v>
      </c>
      <c r="AD242" s="323" t="str">
        <f t="shared" si="417"/>
        <v xml:space="preserve"> </v>
      </c>
      <c r="AE242" s="323" t="str">
        <f t="shared" si="417"/>
        <v xml:space="preserve"> </v>
      </c>
      <c r="AF242" s="323" t="str">
        <f t="shared" si="417"/>
        <v xml:space="preserve"> </v>
      </c>
      <c r="AG242" s="323" t="str">
        <f t="shared" si="417"/>
        <v xml:space="preserve"> </v>
      </c>
      <c r="AH242" s="323" t="str">
        <f t="shared" si="417"/>
        <v xml:space="preserve"> </v>
      </c>
      <c r="AI242" s="323" t="str">
        <f t="shared" si="417"/>
        <v xml:space="preserve"> </v>
      </c>
      <c r="AJ242" s="323" t="str">
        <f t="shared" si="417"/>
        <v xml:space="preserve"> </v>
      </c>
      <c r="AK242" s="323" t="str">
        <f t="shared" si="417"/>
        <v xml:space="preserve"> </v>
      </c>
      <c r="AL242" s="323" t="str">
        <f t="shared" si="417"/>
        <v xml:space="preserve"> </v>
      </c>
      <c r="AM242" s="323" t="str">
        <f t="shared" si="417"/>
        <v xml:space="preserve"> </v>
      </c>
      <c r="AN242" s="323" t="str">
        <f t="shared" si="417"/>
        <v xml:space="preserve"> </v>
      </c>
      <c r="AO242" s="323" t="str">
        <f t="shared" si="417"/>
        <v xml:space="preserve"> </v>
      </c>
      <c r="AP242" s="323" t="str">
        <f t="shared" si="418"/>
        <v xml:space="preserve"> </v>
      </c>
      <c r="AQ242" s="323" t="str">
        <f t="shared" si="418"/>
        <v xml:space="preserve"> </v>
      </c>
      <c r="AR242" s="323" t="str">
        <f t="shared" si="418"/>
        <v xml:space="preserve"> </v>
      </c>
      <c r="AS242" s="323">
        <f t="shared" si="418"/>
        <v>1</v>
      </c>
      <c r="AT242" s="323" t="str">
        <f t="shared" si="418"/>
        <v xml:space="preserve"> </v>
      </c>
      <c r="AU242" s="323" t="str">
        <f t="shared" si="418"/>
        <v xml:space="preserve"> </v>
      </c>
      <c r="AV242" s="323" t="str">
        <f t="shared" si="418"/>
        <v xml:space="preserve"> </v>
      </c>
      <c r="AW242" s="323" t="str">
        <f t="shared" si="418"/>
        <v xml:space="preserve"> </v>
      </c>
      <c r="AX242" s="323" t="str">
        <f t="shared" si="418"/>
        <v xml:space="preserve"> </v>
      </c>
      <c r="AY242" s="323" t="str">
        <f t="shared" si="418"/>
        <v xml:space="preserve"> </v>
      </c>
      <c r="AZ242" s="323" t="str">
        <f t="shared" si="418"/>
        <v xml:space="preserve"> </v>
      </c>
      <c r="BA242" s="323" t="str">
        <f t="shared" si="418"/>
        <v xml:space="preserve"> </v>
      </c>
      <c r="BB242" s="323" t="str">
        <f t="shared" si="418"/>
        <v xml:space="preserve"> </v>
      </c>
      <c r="BC242" s="323" t="str">
        <f t="shared" si="418"/>
        <v xml:space="preserve"> </v>
      </c>
      <c r="BD242" s="323" t="str">
        <f t="shared" si="418"/>
        <v xml:space="preserve"> </v>
      </c>
      <c r="BE242" s="323" t="str">
        <f t="shared" si="418"/>
        <v xml:space="preserve"> </v>
      </c>
    </row>
    <row r="243" spans="2:57" x14ac:dyDescent="0.25">
      <c r="B243" s="315"/>
      <c r="C243" s="171" t="s">
        <v>691</v>
      </c>
      <c r="D243" s="325" t="s">
        <v>688</v>
      </c>
      <c r="E243" s="325">
        <v>5</v>
      </c>
      <c r="F243" s="325">
        <v>2032</v>
      </c>
      <c r="G243" s="325">
        <v>2033</v>
      </c>
      <c r="H243" s="313">
        <f t="shared" si="415"/>
        <v>1</v>
      </c>
      <c r="J243" s="323" t="str">
        <f t="shared" si="416"/>
        <v xml:space="preserve"> </v>
      </c>
      <c r="K243" s="323" t="str">
        <f t="shared" si="416"/>
        <v xml:space="preserve"> </v>
      </c>
      <c r="L243" s="323" t="str">
        <f t="shared" si="416"/>
        <v xml:space="preserve"> </v>
      </c>
      <c r="M243" s="323" t="str">
        <f t="shared" si="416"/>
        <v xml:space="preserve"> </v>
      </c>
      <c r="N243" s="323" t="str">
        <f t="shared" si="416"/>
        <v xml:space="preserve"> </v>
      </c>
      <c r="O243" s="323" t="str">
        <f t="shared" si="416"/>
        <v xml:space="preserve"> </v>
      </c>
      <c r="P243" s="323" t="str">
        <f t="shared" si="416"/>
        <v xml:space="preserve"> </v>
      </c>
      <c r="Q243" s="323" t="str">
        <f t="shared" si="416"/>
        <v xml:space="preserve"> </v>
      </c>
      <c r="R243" s="323" t="str">
        <f t="shared" si="416"/>
        <v xml:space="preserve"> </v>
      </c>
      <c r="S243" s="323" t="str">
        <f t="shared" si="416"/>
        <v xml:space="preserve"> </v>
      </c>
      <c r="T243" s="323" t="str">
        <f t="shared" si="416"/>
        <v xml:space="preserve"> </v>
      </c>
      <c r="U243" s="323" t="str">
        <f t="shared" si="416"/>
        <v xml:space="preserve"> </v>
      </c>
      <c r="V243" s="323" t="str">
        <f t="shared" si="416"/>
        <v xml:space="preserve"> </v>
      </c>
      <c r="W243" s="323" t="str">
        <f t="shared" si="416"/>
        <v xml:space="preserve"> </v>
      </c>
      <c r="X243" s="323">
        <f t="shared" si="416"/>
        <v>1</v>
      </c>
      <c r="Y243" s="323" t="str">
        <f t="shared" si="416"/>
        <v xml:space="preserve"> </v>
      </c>
      <c r="Z243" s="323" t="str">
        <f t="shared" si="417"/>
        <v xml:space="preserve"> </v>
      </c>
      <c r="AA243" s="323" t="str">
        <f t="shared" si="417"/>
        <v xml:space="preserve"> </v>
      </c>
      <c r="AB243" s="323" t="str">
        <f t="shared" si="417"/>
        <v xml:space="preserve"> </v>
      </c>
      <c r="AC243" s="323" t="str">
        <f t="shared" si="417"/>
        <v xml:space="preserve"> </v>
      </c>
      <c r="AD243" s="323" t="str">
        <f t="shared" si="417"/>
        <v xml:space="preserve"> </v>
      </c>
      <c r="AE243" s="323" t="str">
        <f t="shared" si="417"/>
        <v xml:space="preserve"> </v>
      </c>
      <c r="AF243" s="323" t="str">
        <f t="shared" si="417"/>
        <v xml:space="preserve"> </v>
      </c>
      <c r="AG243" s="323" t="str">
        <f t="shared" si="417"/>
        <v xml:space="preserve"> </v>
      </c>
      <c r="AH243" s="323" t="str">
        <f t="shared" si="417"/>
        <v xml:space="preserve"> </v>
      </c>
      <c r="AI243" s="323" t="str">
        <f t="shared" si="417"/>
        <v xml:space="preserve"> </v>
      </c>
      <c r="AJ243" s="323" t="str">
        <f t="shared" si="417"/>
        <v xml:space="preserve"> </v>
      </c>
      <c r="AK243" s="323" t="str">
        <f t="shared" si="417"/>
        <v xml:space="preserve"> </v>
      </c>
      <c r="AL243" s="323" t="str">
        <f t="shared" si="417"/>
        <v xml:space="preserve"> </v>
      </c>
      <c r="AM243" s="323" t="str">
        <f t="shared" si="417"/>
        <v xml:space="preserve"> </v>
      </c>
      <c r="AN243" s="323" t="str">
        <f t="shared" si="417"/>
        <v xml:space="preserve"> </v>
      </c>
      <c r="AO243" s="323" t="str">
        <f t="shared" si="417"/>
        <v xml:space="preserve"> </v>
      </c>
      <c r="AP243" s="323" t="str">
        <f t="shared" si="418"/>
        <v xml:space="preserve"> </v>
      </c>
      <c r="AQ243" s="323" t="str">
        <f t="shared" si="418"/>
        <v xml:space="preserve"> </v>
      </c>
      <c r="AR243" s="323" t="str">
        <f t="shared" si="418"/>
        <v xml:space="preserve"> </v>
      </c>
      <c r="AS243" s="323" t="str">
        <f t="shared" si="418"/>
        <v xml:space="preserve"> </v>
      </c>
      <c r="AT243" s="323" t="str">
        <f t="shared" si="418"/>
        <v xml:space="preserve"> </v>
      </c>
      <c r="AU243" s="323" t="str">
        <f t="shared" si="418"/>
        <v xml:space="preserve"> </v>
      </c>
      <c r="AV243" s="323" t="str">
        <f t="shared" si="418"/>
        <v xml:space="preserve"> </v>
      </c>
      <c r="AW243" s="323" t="str">
        <f t="shared" si="418"/>
        <v xml:space="preserve"> </v>
      </c>
      <c r="AX243" s="323" t="str">
        <f t="shared" si="418"/>
        <v xml:space="preserve"> </v>
      </c>
      <c r="AY243" s="323" t="str">
        <f t="shared" si="418"/>
        <v xml:space="preserve"> </v>
      </c>
      <c r="AZ243" s="323" t="str">
        <f t="shared" si="418"/>
        <v xml:space="preserve"> </v>
      </c>
      <c r="BA243" s="323" t="str">
        <f t="shared" si="418"/>
        <v xml:space="preserve"> </v>
      </c>
      <c r="BB243" s="323" t="str">
        <f t="shared" si="418"/>
        <v xml:space="preserve"> </v>
      </c>
      <c r="BC243" s="323" t="str">
        <f t="shared" si="418"/>
        <v xml:space="preserve"> </v>
      </c>
      <c r="BD243" s="323" t="str">
        <f t="shared" si="418"/>
        <v xml:space="preserve"> </v>
      </c>
      <c r="BE243" s="323" t="str">
        <f t="shared" si="418"/>
        <v xml:space="preserve"> </v>
      </c>
    </row>
    <row r="244" spans="2:57" x14ac:dyDescent="0.25">
      <c r="B244" s="315"/>
      <c r="C244" s="171" t="s">
        <v>692</v>
      </c>
      <c r="D244" s="325" t="s">
        <v>688</v>
      </c>
      <c r="E244" s="325">
        <v>6</v>
      </c>
      <c r="F244" s="313">
        <v>2033</v>
      </c>
      <c r="G244" s="325">
        <v>2053</v>
      </c>
      <c r="H244" s="313">
        <f t="shared" si="415"/>
        <v>20</v>
      </c>
      <c r="J244" s="323" t="str">
        <f t="shared" si="416"/>
        <v xml:space="preserve"> </v>
      </c>
      <c r="K244" s="323" t="str">
        <f t="shared" si="416"/>
        <v xml:space="preserve"> </v>
      </c>
      <c r="L244" s="323" t="str">
        <f t="shared" si="416"/>
        <v xml:space="preserve"> </v>
      </c>
      <c r="M244" s="323" t="str">
        <f t="shared" si="416"/>
        <v xml:space="preserve"> </v>
      </c>
      <c r="N244" s="323" t="str">
        <f t="shared" si="416"/>
        <v xml:space="preserve"> </v>
      </c>
      <c r="O244" s="323" t="str">
        <f t="shared" si="416"/>
        <v xml:space="preserve"> </v>
      </c>
      <c r="P244" s="323" t="str">
        <f t="shared" si="416"/>
        <v xml:space="preserve"> </v>
      </c>
      <c r="Q244" s="323" t="str">
        <f t="shared" si="416"/>
        <v xml:space="preserve"> </v>
      </c>
      <c r="R244" s="323" t="str">
        <f t="shared" si="416"/>
        <v xml:space="preserve"> </v>
      </c>
      <c r="S244" s="323" t="str">
        <f t="shared" si="416"/>
        <v xml:space="preserve"> </v>
      </c>
      <c r="T244" s="323" t="str">
        <f t="shared" si="416"/>
        <v xml:space="preserve"> </v>
      </c>
      <c r="U244" s="323" t="str">
        <f t="shared" si="416"/>
        <v xml:space="preserve"> </v>
      </c>
      <c r="V244" s="323" t="str">
        <f t="shared" si="416"/>
        <v xml:space="preserve"> </v>
      </c>
      <c r="W244" s="323" t="str">
        <f t="shared" si="416"/>
        <v xml:space="preserve"> </v>
      </c>
      <c r="X244" s="323" t="str">
        <f t="shared" si="416"/>
        <v xml:space="preserve"> </v>
      </c>
      <c r="Y244" s="323">
        <f t="shared" si="416"/>
        <v>1</v>
      </c>
      <c r="Z244" s="323">
        <f t="shared" si="417"/>
        <v>1</v>
      </c>
      <c r="AA244" s="323">
        <f t="shared" si="417"/>
        <v>1</v>
      </c>
      <c r="AB244" s="323">
        <f t="shared" si="417"/>
        <v>1</v>
      </c>
      <c r="AC244" s="323">
        <f t="shared" si="417"/>
        <v>1</v>
      </c>
      <c r="AD244" s="323">
        <f t="shared" si="417"/>
        <v>1</v>
      </c>
      <c r="AE244" s="323">
        <f t="shared" si="417"/>
        <v>1</v>
      </c>
      <c r="AF244" s="323">
        <f t="shared" si="417"/>
        <v>1</v>
      </c>
      <c r="AG244" s="323">
        <f t="shared" si="417"/>
        <v>1</v>
      </c>
      <c r="AH244" s="323">
        <f t="shared" si="417"/>
        <v>1</v>
      </c>
      <c r="AI244" s="323">
        <f t="shared" si="417"/>
        <v>1</v>
      </c>
      <c r="AJ244" s="323">
        <f t="shared" si="417"/>
        <v>1</v>
      </c>
      <c r="AK244" s="323">
        <f t="shared" si="417"/>
        <v>1</v>
      </c>
      <c r="AL244" s="323">
        <f t="shared" si="417"/>
        <v>1</v>
      </c>
      <c r="AM244" s="323">
        <f t="shared" si="417"/>
        <v>1</v>
      </c>
      <c r="AN244" s="323">
        <f t="shared" si="417"/>
        <v>1</v>
      </c>
      <c r="AO244" s="323">
        <f t="shared" si="417"/>
        <v>1</v>
      </c>
      <c r="AP244" s="323">
        <f t="shared" si="418"/>
        <v>1</v>
      </c>
      <c r="AQ244" s="323">
        <f t="shared" si="418"/>
        <v>1</v>
      </c>
      <c r="AR244" s="323">
        <f t="shared" si="418"/>
        <v>1</v>
      </c>
      <c r="AS244" s="323" t="str">
        <f t="shared" si="418"/>
        <v xml:space="preserve"> </v>
      </c>
      <c r="AT244" s="323" t="str">
        <f t="shared" si="418"/>
        <v xml:space="preserve"> </v>
      </c>
      <c r="AU244" s="323" t="str">
        <f t="shared" si="418"/>
        <v xml:space="preserve"> </v>
      </c>
      <c r="AV244" s="323" t="str">
        <f t="shared" si="418"/>
        <v xml:space="preserve"> </v>
      </c>
      <c r="AW244" s="323" t="str">
        <f t="shared" si="418"/>
        <v xml:space="preserve"> </v>
      </c>
      <c r="AX244" s="323" t="str">
        <f t="shared" si="418"/>
        <v xml:space="preserve"> </v>
      </c>
      <c r="AY244" s="323" t="str">
        <f t="shared" si="418"/>
        <v xml:space="preserve"> </v>
      </c>
      <c r="AZ244" s="323" t="str">
        <f t="shared" si="418"/>
        <v xml:space="preserve"> </v>
      </c>
      <c r="BA244" s="323" t="str">
        <f t="shared" si="418"/>
        <v xml:space="preserve"> </v>
      </c>
      <c r="BB244" s="323" t="str">
        <f t="shared" si="418"/>
        <v xml:space="preserve"> </v>
      </c>
      <c r="BC244" s="323" t="str">
        <f t="shared" si="418"/>
        <v xml:space="preserve"> </v>
      </c>
      <c r="BD244" s="323" t="str">
        <f t="shared" si="418"/>
        <v xml:space="preserve"> </v>
      </c>
      <c r="BE244" s="323" t="str">
        <f t="shared" si="418"/>
        <v xml:space="preserve"> </v>
      </c>
    </row>
    <row r="245" spans="2:57" x14ac:dyDescent="0.25">
      <c r="B245" s="315"/>
      <c r="C245" s="171" t="s">
        <v>693</v>
      </c>
      <c r="D245" s="325" t="s">
        <v>688</v>
      </c>
      <c r="E245" s="325">
        <v>7</v>
      </c>
      <c r="F245" s="324">
        <v>2053</v>
      </c>
      <c r="G245" s="325">
        <v>2054</v>
      </c>
      <c r="H245" s="313">
        <f t="shared" si="415"/>
        <v>1</v>
      </c>
      <c r="J245" s="323" t="str">
        <f t="shared" si="416"/>
        <v xml:space="preserve"> </v>
      </c>
      <c r="K245" s="323" t="str">
        <f t="shared" si="416"/>
        <v xml:space="preserve"> </v>
      </c>
      <c r="L245" s="323" t="str">
        <f t="shared" si="416"/>
        <v xml:space="preserve"> </v>
      </c>
      <c r="M245" s="323" t="str">
        <f t="shared" si="416"/>
        <v xml:space="preserve"> </v>
      </c>
      <c r="N245" s="323" t="str">
        <f t="shared" si="416"/>
        <v xml:space="preserve"> </v>
      </c>
      <c r="O245" s="323" t="str">
        <f t="shared" si="416"/>
        <v xml:space="preserve"> </v>
      </c>
      <c r="P245" s="323" t="str">
        <f t="shared" si="416"/>
        <v xml:space="preserve"> </v>
      </c>
      <c r="Q245" s="323" t="str">
        <f t="shared" si="416"/>
        <v xml:space="preserve"> </v>
      </c>
      <c r="R245" s="323" t="str">
        <f t="shared" si="416"/>
        <v xml:space="preserve"> </v>
      </c>
      <c r="S245" s="323" t="str">
        <f t="shared" si="416"/>
        <v xml:space="preserve"> </v>
      </c>
      <c r="T245" s="323" t="str">
        <f t="shared" si="416"/>
        <v xml:space="preserve"> </v>
      </c>
      <c r="U245" s="323" t="str">
        <f t="shared" si="416"/>
        <v xml:space="preserve"> </v>
      </c>
      <c r="V245" s="323" t="str">
        <f t="shared" si="416"/>
        <v xml:space="preserve"> </v>
      </c>
      <c r="W245" s="323" t="str">
        <f t="shared" si="416"/>
        <v xml:space="preserve"> </v>
      </c>
      <c r="X245" s="323" t="str">
        <f t="shared" si="416"/>
        <v xml:space="preserve"> </v>
      </c>
      <c r="Y245" s="323" t="str">
        <f t="shared" si="416"/>
        <v xml:space="preserve"> </v>
      </c>
      <c r="Z245" s="323" t="str">
        <f t="shared" si="417"/>
        <v xml:space="preserve"> </v>
      </c>
      <c r="AA245" s="323" t="str">
        <f t="shared" si="417"/>
        <v xml:space="preserve"> </v>
      </c>
      <c r="AB245" s="323" t="str">
        <f t="shared" si="417"/>
        <v xml:space="preserve"> </v>
      </c>
      <c r="AC245" s="323" t="str">
        <f t="shared" si="417"/>
        <v xml:space="preserve"> </v>
      </c>
      <c r="AD245" s="323" t="str">
        <f t="shared" si="417"/>
        <v xml:space="preserve"> </v>
      </c>
      <c r="AE245" s="323" t="str">
        <f t="shared" si="417"/>
        <v xml:space="preserve"> </v>
      </c>
      <c r="AF245" s="323" t="str">
        <f t="shared" si="417"/>
        <v xml:space="preserve"> </v>
      </c>
      <c r="AG245" s="323" t="str">
        <f t="shared" si="417"/>
        <v xml:space="preserve"> </v>
      </c>
      <c r="AH245" s="323" t="str">
        <f t="shared" si="417"/>
        <v xml:space="preserve"> </v>
      </c>
      <c r="AI245" s="323" t="str">
        <f t="shared" si="417"/>
        <v xml:space="preserve"> </v>
      </c>
      <c r="AJ245" s="323" t="str">
        <f t="shared" si="417"/>
        <v xml:space="preserve"> </v>
      </c>
      <c r="AK245" s="323" t="str">
        <f t="shared" si="417"/>
        <v xml:space="preserve"> </v>
      </c>
      <c r="AL245" s="323" t="str">
        <f t="shared" si="417"/>
        <v xml:space="preserve"> </v>
      </c>
      <c r="AM245" s="323" t="str">
        <f t="shared" si="417"/>
        <v xml:space="preserve"> </v>
      </c>
      <c r="AN245" s="323" t="str">
        <f t="shared" si="417"/>
        <v xml:space="preserve"> </v>
      </c>
      <c r="AO245" s="323" t="str">
        <f t="shared" si="417"/>
        <v xml:space="preserve"> </v>
      </c>
      <c r="AP245" s="323" t="str">
        <f t="shared" si="418"/>
        <v xml:space="preserve"> </v>
      </c>
      <c r="AQ245" s="323" t="str">
        <f t="shared" si="418"/>
        <v xml:space="preserve"> </v>
      </c>
      <c r="AR245" s="323" t="str">
        <f t="shared" si="418"/>
        <v xml:space="preserve"> </v>
      </c>
      <c r="AS245" s="323">
        <f t="shared" si="418"/>
        <v>1</v>
      </c>
      <c r="AT245" s="323" t="str">
        <f t="shared" si="418"/>
        <v xml:space="preserve"> </v>
      </c>
      <c r="AU245" s="323" t="str">
        <f t="shared" si="418"/>
        <v xml:space="preserve"> </v>
      </c>
      <c r="AV245" s="323" t="str">
        <f t="shared" si="418"/>
        <v xml:space="preserve"> </v>
      </c>
      <c r="AW245" s="323" t="str">
        <f t="shared" si="418"/>
        <v xml:space="preserve"> </v>
      </c>
      <c r="AX245" s="323" t="str">
        <f t="shared" si="418"/>
        <v xml:space="preserve"> </v>
      </c>
      <c r="AY245" s="323" t="str">
        <f t="shared" si="418"/>
        <v xml:space="preserve"> </v>
      </c>
      <c r="AZ245" s="323" t="str">
        <f t="shared" si="418"/>
        <v xml:space="preserve"> </v>
      </c>
      <c r="BA245" s="323" t="str">
        <f t="shared" si="418"/>
        <v xml:space="preserve"> </v>
      </c>
      <c r="BB245" s="323" t="str">
        <f t="shared" si="418"/>
        <v xml:space="preserve"> </v>
      </c>
      <c r="BC245" s="323" t="str">
        <f t="shared" si="418"/>
        <v xml:space="preserve"> </v>
      </c>
      <c r="BD245" s="323" t="str">
        <f t="shared" si="418"/>
        <v xml:space="preserve"> </v>
      </c>
      <c r="BE245" s="323" t="str">
        <f t="shared" si="418"/>
        <v xml:space="preserve"> </v>
      </c>
    </row>
    <row r="246" spans="2:57" x14ac:dyDescent="0.25">
      <c r="B246" s="3"/>
      <c r="C246" s="171" t="s">
        <v>694</v>
      </c>
      <c r="D246" s="325" t="s">
        <v>688</v>
      </c>
      <c r="E246" s="325">
        <v>8</v>
      </c>
      <c r="F246" s="325">
        <v>0</v>
      </c>
      <c r="G246" s="324">
        <v>0</v>
      </c>
      <c r="H246" s="313">
        <f t="shared" si="415"/>
        <v>0</v>
      </c>
      <c r="J246" s="323" t="str">
        <f t="shared" si="416"/>
        <v xml:space="preserve"> </v>
      </c>
      <c r="K246" s="323" t="str">
        <f t="shared" si="416"/>
        <v xml:space="preserve"> </v>
      </c>
      <c r="L246" s="323" t="str">
        <f t="shared" si="416"/>
        <v xml:space="preserve"> </v>
      </c>
      <c r="M246" s="323" t="str">
        <f t="shared" si="416"/>
        <v xml:space="preserve"> </v>
      </c>
      <c r="N246" s="323" t="str">
        <f t="shared" si="416"/>
        <v xml:space="preserve"> </v>
      </c>
      <c r="O246" s="323" t="str">
        <f t="shared" si="416"/>
        <v xml:space="preserve"> </v>
      </c>
      <c r="P246" s="323" t="str">
        <f t="shared" si="416"/>
        <v xml:space="preserve"> </v>
      </c>
      <c r="Q246" s="323" t="str">
        <f t="shared" si="416"/>
        <v xml:space="preserve"> </v>
      </c>
      <c r="R246" s="323" t="str">
        <f t="shared" si="416"/>
        <v xml:space="preserve"> </v>
      </c>
      <c r="S246" s="323" t="str">
        <f t="shared" si="416"/>
        <v xml:space="preserve"> </v>
      </c>
      <c r="T246" s="323" t="str">
        <f t="shared" si="416"/>
        <v xml:space="preserve"> </v>
      </c>
      <c r="U246" s="323" t="str">
        <f t="shared" si="416"/>
        <v xml:space="preserve"> </v>
      </c>
      <c r="V246" s="323" t="str">
        <f t="shared" si="416"/>
        <v xml:space="preserve"> </v>
      </c>
      <c r="W246" s="323" t="str">
        <f t="shared" si="416"/>
        <v xml:space="preserve"> </v>
      </c>
      <c r="X246" s="323" t="str">
        <f t="shared" si="416"/>
        <v xml:space="preserve"> </v>
      </c>
      <c r="Y246" s="323" t="str">
        <f t="shared" si="416"/>
        <v xml:space="preserve"> </v>
      </c>
      <c r="Z246" s="323" t="str">
        <f t="shared" si="417"/>
        <v xml:space="preserve"> </v>
      </c>
      <c r="AA246" s="323" t="str">
        <f t="shared" si="417"/>
        <v xml:space="preserve"> </v>
      </c>
      <c r="AB246" s="323" t="str">
        <f t="shared" si="417"/>
        <v xml:space="preserve"> </v>
      </c>
      <c r="AC246" s="323" t="str">
        <f t="shared" si="417"/>
        <v xml:space="preserve"> </v>
      </c>
      <c r="AD246" s="323" t="str">
        <f t="shared" si="417"/>
        <v xml:space="preserve"> </v>
      </c>
      <c r="AE246" s="323" t="str">
        <f t="shared" si="417"/>
        <v xml:space="preserve"> </v>
      </c>
      <c r="AF246" s="323" t="str">
        <f t="shared" si="417"/>
        <v xml:space="preserve"> </v>
      </c>
      <c r="AG246" s="323" t="str">
        <f t="shared" si="417"/>
        <v xml:space="preserve"> </v>
      </c>
      <c r="AH246" s="323" t="str">
        <f t="shared" si="417"/>
        <v xml:space="preserve"> </v>
      </c>
      <c r="AI246" s="323" t="str">
        <f t="shared" si="417"/>
        <v xml:space="preserve"> </v>
      </c>
      <c r="AJ246" s="323" t="str">
        <f t="shared" si="417"/>
        <v xml:space="preserve"> </v>
      </c>
      <c r="AK246" s="323" t="str">
        <f t="shared" si="417"/>
        <v xml:space="preserve"> </v>
      </c>
      <c r="AL246" s="323" t="str">
        <f t="shared" si="417"/>
        <v xml:space="preserve"> </v>
      </c>
      <c r="AM246" s="323" t="str">
        <f t="shared" si="417"/>
        <v xml:space="preserve"> </v>
      </c>
      <c r="AN246" s="323" t="str">
        <f t="shared" si="417"/>
        <v xml:space="preserve"> </v>
      </c>
      <c r="AO246" s="323" t="str">
        <f t="shared" si="417"/>
        <v xml:space="preserve"> </v>
      </c>
      <c r="AP246" s="323" t="str">
        <f t="shared" si="418"/>
        <v xml:space="preserve"> </v>
      </c>
      <c r="AQ246" s="323" t="str">
        <f t="shared" si="418"/>
        <v xml:space="preserve"> </v>
      </c>
      <c r="AR246" s="323" t="str">
        <f t="shared" si="418"/>
        <v xml:space="preserve"> </v>
      </c>
      <c r="AS246" s="323" t="str">
        <f t="shared" si="418"/>
        <v xml:space="preserve"> </v>
      </c>
      <c r="AT246" s="323" t="str">
        <f t="shared" si="418"/>
        <v xml:space="preserve"> </v>
      </c>
      <c r="AU246" s="323" t="str">
        <f t="shared" si="418"/>
        <v xml:space="preserve"> </v>
      </c>
      <c r="AV246" s="323" t="str">
        <f t="shared" si="418"/>
        <v xml:space="preserve"> </v>
      </c>
      <c r="AW246" s="323" t="str">
        <f t="shared" si="418"/>
        <v xml:space="preserve"> </v>
      </c>
      <c r="AX246" s="323" t="str">
        <f t="shared" si="418"/>
        <v xml:space="preserve"> </v>
      </c>
      <c r="AY246" s="323" t="str">
        <f t="shared" si="418"/>
        <v xml:space="preserve"> </v>
      </c>
      <c r="AZ246" s="323" t="str">
        <f t="shared" si="418"/>
        <v xml:space="preserve"> </v>
      </c>
      <c r="BA246" s="323" t="str">
        <f t="shared" si="418"/>
        <v xml:space="preserve"> </v>
      </c>
      <c r="BB246" s="323" t="str">
        <f t="shared" si="418"/>
        <v xml:space="preserve"> </v>
      </c>
      <c r="BC246" s="323" t="str">
        <f t="shared" si="418"/>
        <v xml:space="preserve"> </v>
      </c>
      <c r="BD246" s="323" t="str">
        <f t="shared" si="418"/>
        <v xml:space="preserve"> </v>
      </c>
      <c r="BE246" s="323" t="str">
        <f t="shared" si="418"/>
        <v xml:space="preserve"> </v>
      </c>
    </row>
    <row r="247" spans="2:57" x14ac:dyDescent="0.25">
      <c r="B247" s="3"/>
      <c r="C247" s="171" t="s">
        <v>695</v>
      </c>
      <c r="D247" s="325" t="s">
        <v>688</v>
      </c>
      <c r="E247" s="325">
        <v>9</v>
      </c>
      <c r="F247" s="313">
        <v>0</v>
      </c>
      <c r="G247" s="325">
        <v>0</v>
      </c>
      <c r="H247" s="313">
        <f t="shared" si="415"/>
        <v>0</v>
      </c>
      <c r="J247" s="323" t="str">
        <f t="shared" si="416"/>
        <v xml:space="preserve"> </v>
      </c>
      <c r="K247" s="323" t="str">
        <f t="shared" si="416"/>
        <v xml:space="preserve"> </v>
      </c>
      <c r="L247" s="323" t="str">
        <f t="shared" si="416"/>
        <v xml:space="preserve"> </v>
      </c>
      <c r="M247" s="323" t="str">
        <f t="shared" si="416"/>
        <v xml:space="preserve"> </v>
      </c>
      <c r="N247" s="323" t="str">
        <f t="shared" si="416"/>
        <v xml:space="preserve"> </v>
      </c>
      <c r="O247" s="323" t="str">
        <f t="shared" si="416"/>
        <v xml:space="preserve"> </v>
      </c>
      <c r="P247" s="323" t="str">
        <f t="shared" si="416"/>
        <v xml:space="preserve"> </v>
      </c>
      <c r="Q247" s="323" t="str">
        <f t="shared" si="416"/>
        <v xml:space="preserve"> </v>
      </c>
      <c r="R247" s="323" t="str">
        <f t="shared" si="416"/>
        <v xml:space="preserve"> </v>
      </c>
      <c r="S247" s="323" t="str">
        <f t="shared" si="416"/>
        <v xml:space="preserve"> </v>
      </c>
      <c r="T247" s="323" t="str">
        <f t="shared" si="416"/>
        <v xml:space="preserve"> </v>
      </c>
      <c r="U247" s="323" t="str">
        <f t="shared" si="416"/>
        <v xml:space="preserve"> </v>
      </c>
      <c r="V247" s="323" t="str">
        <f t="shared" si="416"/>
        <v xml:space="preserve"> </v>
      </c>
      <c r="W247" s="323" t="str">
        <f t="shared" si="416"/>
        <v xml:space="preserve"> </v>
      </c>
      <c r="X247" s="323" t="str">
        <f t="shared" si="416"/>
        <v xml:space="preserve"> </v>
      </c>
      <c r="Y247" s="323" t="str">
        <f t="shared" si="416"/>
        <v xml:space="preserve"> </v>
      </c>
      <c r="Z247" s="323" t="str">
        <f t="shared" si="417"/>
        <v xml:space="preserve"> </v>
      </c>
      <c r="AA247" s="323" t="str">
        <f t="shared" si="417"/>
        <v xml:space="preserve"> </v>
      </c>
      <c r="AB247" s="323" t="str">
        <f t="shared" si="417"/>
        <v xml:space="preserve"> </v>
      </c>
      <c r="AC247" s="323" t="str">
        <f t="shared" si="417"/>
        <v xml:space="preserve"> </v>
      </c>
      <c r="AD247" s="323" t="str">
        <f t="shared" si="417"/>
        <v xml:space="preserve"> </v>
      </c>
      <c r="AE247" s="323" t="str">
        <f t="shared" si="417"/>
        <v xml:space="preserve"> </v>
      </c>
      <c r="AF247" s="323" t="str">
        <f t="shared" si="417"/>
        <v xml:space="preserve"> </v>
      </c>
      <c r="AG247" s="323" t="str">
        <f t="shared" si="417"/>
        <v xml:space="preserve"> </v>
      </c>
      <c r="AH247" s="323" t="str">
        <f t="shared" si="417"/>
        <v xml:space="preserve"> </v>
      </c>
      <c r="AI247" s="323" t="str">
        <f t="shared" si="417"/>
        <v xml:space="preserve"> </v>
      </c>
      <c r="AJ247" s="323" t="str">
        <f t="shared" si="417"/>
        <v xml:space="preserve"> </v>
      </c>
      <c r="AK247" s="323" t="str">
        <f t="shared" si="417"/>
        <v xml:space="preserve"> </v>
      </c>
      <c r="AL247" s="323" t="str">
        <f t="shared" si="417"/>
        <v xml:space="preserve"> </v>
      </c>
      <c r="AM247" s="323" t="str">
        <f t="shared" si="417"/>
        <v xml:space="preserve"> </v>
      </c>
      <c r="AN247" s="323" t="str">
        <f t="shared" si="417"/>
        <v xml:space="preserve"> </v>
      </c>
      <c r="AO247" s="323" t="str">
        <f t="shared" si="417"/>
        <v xml:space="preserve"> </v>
      </c>
      <c r="AP247" s="323" t="str">
        <f t="shared" si="418"/>
        <v xml:space="preserve"> </v>
      </c>
      <c r="AQ247" s="323" t="str">
        <f t="shared" si="418"/>
        <v xml:space="preserve"> </v>
      </c>
      <c r="AR247" s="323" t="str">
        <f t="shared" si="418"/>
        <v xml:space="preserve"> </v>
      </c>
      <c r="AS247" s="323" t="str">
        <f t="shared" si="418"/>
        <v xml:space="preserve"> </v>
      </c>
      <c r="AT247" s="323" t="str">
        <f t="shared" si="418"/>
        <v xml:space="preserve"> </v>
      </c>
      <c r="AU247" s="323" t="str">
        <f t="shared" si="418"/>
        <v xml:space="preserve"> </v>
      </c>
      <c r="AV247" s="323" t="str">
        <f t="shared" si="418"/>
        <v xml:space="preserve"> </v>
      </c>
      <c r="AW247" s="323" t="str">
        <f t="shared" si="418"/>
        <v xml:space="preserve"> </v>
      </c>
      <c r="AX247" s="323" t="str">
        <f t="shared" si="418"/>
        <v xml:space="preserve"> </v>
      </c>
      <c r="AY247" s="323" t="str">
        <f t="shared" si="418"/>
        <v xml:space="preserve"> </v>
      </c>
      <c r="AZ247" s="323" t="str">
        <f t="shared" si="418"/>
        <v xml:space="preserve"> </v>
      </c>
      <c r="BA247" s="323" t="str">
        <f t="shared" si="418"/>
        <v xml:space="preserve"> </v>
      </c>
      <c r="BB247" s="323" t="str">
        <f t="shared" si="418"/>
        <v xml:space="preserve"> </v>
      </c>
      <c r="BC247" s="323" t="str">
        <f t="shared" si="418"/>
        <v xml:space="preserve"> </v>
      </c>
      <c r="BD247" s="323" t="str">
        <f t="shared" si="418"/>
        <v xml:space="preserve"> </v>
      </c>
      <c r="BE247" s="323" t="str">
        <f t="shared" si="418"/>
        <v xml:space="preserve"> </v>
      </c>
    </row>
    <row r="248" spans="2:57" x14ac:dyDescent="0.25">
      <c r="B248" s="3"/>
      <c r="C248" s="171" t="s">
        <v>696</v>
      </c>
      <c r="D248" s="325" t="s">
        <v>688</v>
      </c>
      <c r="E248" s="325">
        <v>10</v>
      </c>
      <c r="F248" s="324">
        <v>0</v>
      </c>
      <c r="G248" s="325">
        <v>0</v>
      </c>
      <c r="H248" s="313">
        <f t="shared" si="415"/>
        <v>0</v>
      </c>
      <c r="J248" s="323" t="str">
        <f t="shared" si="416"/>
        <v xml:space="preserve"> </v>
      </c>
      <c r="K248" s="323" t="str">
        <f t="shared" si="416"/>
        <v xml:space="preserve"> </v>
      </c>
      <c r="L248" s="323" t="str">
        <f t="shared" si="416"/>
        <v xml:space="preserve"> </v>
      </c>
      <c r="M248" s="323" t="str">
        <f t="shared" si="416"/>
        <v xml:space="preserve"> </v>
      </c>
      <c r="N248" s="323" t="str">
        <f t="shared" si="416"/>
        <v xml:space="preserve"> </v>
      </c>
      <c r="O248" s="323" t="str">
        <f t="shared" si="416"/>
        <v xml:space="preserve"> </v>
      </c>
      <c r="P248" s="323" t="str">
        <f t="shared" si="416"/>
        <v xml:space="preserve"> </v>
      </c>
      <c r="Q248" s="323" t="str">
        <f t="shared" si="416"/>
        <v xml:space="preserve"> </v>
      </c>
      <c r="R248" s="323" t="str">
        <f t="shared" si="416"/>
        <v xml:space="preserve"> </v>
      </c>
      <c r="S248" s="323" t="str">
        <f t="shared" si="416"/>
        <v xml:space="preserve"> </v>
      </c>
      <c r="T248" s="323" t="str">
        <f t="shared" si="416"/>
        <v xml:space="preserve"> </v>
      </c>
      <c r="U248" s="323" t="str">
        <f t="shared" si="416"/>
        <v xml:space="preserve"> </v>
      </c>
      <c r="V248" s="323" t="str">
        <f t="shared" si="416"/>
        <v xml:space="preserve"> </v>
      </c>
      <c r="W248" s="323" t="str">
        <f t="shared" si="416"/>
        <v xml:space="preserve"> </v>
      </c>
      <c r="X248" s="323" t="str">
        <f t="shared" si="416"/>
        <v xml:space="preserve"> </v>
      </c>
      <c r="Y248" s="323" t="str">
        <f t="shared" si="416"/>
        <v xml:space="preserve"> </v>
      </c>
      <c r="Z248" s="323" t="str">
        <f t="shared" si="417"/>
        <v xml:space="preserve"> </v>
      </c>
      <c r="AA248" s="323" t="str">
        <f t="shared" si="417"/>
        <v xml:space="preserve"> </v>
      </c>
      <c r="AB248" s="323" t="str">
        <f t="shared" si="417"/>
        <v xml:space="preserve"> </v>
      </c>
      <c r="AC248" s="323" t="str">
        <f t="shared" si="417"/>
        <v xml:space="preserve"> </v>
      </c>
      <c r="AD248" s="323" t="str">
        <f t="shared" si="417"/>
        <v xml:space="preserve"> </v>
      </c>
      <c r="AE248" s="323" t="str">
        <f t="shared" si="417"/>
        <v xml:space="preserve"> </v>
      </c>
      <c r="AF248" s="323" t="str">
        <f t="shared" si="417"/>
        <v xml:space="preserve"> </v>
      </c>
      <c r="AG248" s="323" t="str">
        <f t="shared" si="417"/>
        <v xml:space="preserve"> </v>
      </c>
      <c r="AH248" s="323" t="str">
        <f t="shared" si="417"/>
        <v xml:space="preserve"> </v>
      </c>
      <c r="AI248" s="323" t="str">
        <f t="shared" si="417"/>
        <v xml:space="preserve"> </v>
      </c>
      <c r="AJ248" s="323" t="str">
        <f t="shared" si="417"/>
        <v xml:space="preserve"> </v>
      </c>
      <c r="AK248" s="323" t="str">
        <f t="shared" si="417"/>
        <v xml:space="preserve"> </v>
      </c>
      <c r="AL248" s="323" t="str">
        <f t="shared" si="417"/>
        <v xml:space="preserve"> </v>
      </c>
      <c r="AM248" s="323" t="str">
        <f t="shared" si="417"/>
        <v xml:space="preserve"> </v>
      </c>
      <c r="AN248" s="323" t="str">
        <f t="shared" si="417"/>
        <v xml:space="preserve"> </v>
      </c>
      <c r="AO248" s="323" t="str">
        <f t="shared" si="417"/>
        <v xml:space="preserve"> </v>
      </c>
      <c r="AP248" s="323" t="str">
        <f t="shared" si="418"/>
        <v xml:space="preserve"> </v>
      </c>
      <c r="AQ248" s="323" t="str">
        <f t="shared" si="418"/>
        <v xml:space="preserve"> </v>
      </c>
      <c r="AR248" s="323" t="str">
        <f t="shared" si="418"/>
        <v xml:space="preserve"> </v>
      </c>
      <c r="AS248" s="323" t="str">
        <f t="shared" si="418"/>
        <v xml:space="preserve"> </v>
      </c>
      <c r="AT248" s="323" t="str">
        <f t="shared" si="418"/>
        <v xml:space="preserve"> </v>
      </c>
      <c r="AU248" s="323" t="str">
        <f t="shared" si="418"/>
        <v xml:space="preserve"> </v>
      </c>
      <c r="AV248" s="323" t="str">
        <f t="shared" si="418"/>
        <v xml:space="preserve"> </v>
      </c>
      <c r="AW248" s="323" t="str">
        <f t="shared" si="418"/>
        <v xml:space="preserve"> </v>
      </c>
      <c r="AX248" s="323" t="str">
        <f t="shared" si="418"/>
        <v xml:space="preserve"> </v>
      </c>
      <c r="AY248" s="323" t="str">
        <f t="shared" si="418"/>
        <v xml:space="preserve"> </v>
      </c>
      <c r="AZ248" s="323" t="str">
        <f t="shared" si="418"/>
        <v xml:space="preserve"> </v>
      </c>
      <c r="BA248" s="323" t="str">
        <f t="shared" si="418"/>
        <v xml:space="preserve"> </v>
      </c>
      <c r="BB248" s="323" t="str">
        <f t="shared" si="418"/>
        <v xml:space="preserve"> </v>
      </c>
      <c r="BC248" s="323" t="str">
        <f t="shared" si="418"/>
        <v xml:space="preserve"> </v>
      </c>
      <c r="BD248" s="323" t="str">
        <f t="shared" si="418"/>
        <v xml:space="preserve"> </v>
      </c>
      <c r="BE248" s="323" t="str">
        <f t="shared" si="418"/>
        <v xml:space="preserve"> </v>
      </c>
    </row>
    <row r="249" spans="2:57" x14ac:dyDescent="0.25">
      <c r="B249" s="316"/>
      <c r="C249" s="171" t="s">
        <v>697</v>
      </c>
      <c r="D249" s="325" t="s">
        <v>688</v>
      </c>
      <c r="E249" s="325">
        <v>11</v>
      </c>
      <c r="F249" s="325">
        <v>0</v>
      </c>
      <c r="G249" s="313">
        <v>0</v>
      </c>
      <c r="H249" s="313">
        <f t="shared" si="415"/>
        <v>0</v>
      </c>
      <c r="J249" s="323" t="str">
        <f t="shared" si="416"/>
        <v xml:space="preserve"> </v>
      </c>
      <c r="K249" s="323" t="str">
        <f t="shared" si="416"/>
        <v xml:space="preserve"> </v>
      </c>
      <c r="L249" s="323" t="str">
        <f t="shared" si="416"/>
        <v xml:space="preserve"> </v>
      </c>
      <c r="M249" s="323" t="str">
        <f t="shared" si="416"/>
        <v xml:space="preserve"> </v>
      </c>
      <c r="N249" s="323" t="str">
        <f t="shared" si="416"/>
        <v xml:space="preserve"> </v>
      </c>
      <c r="O249" s="323" t="str">
        <f t="shared" si="416"/>
        <v xml:space="preserve"> </v>
      </c>
      <c r="P249" s="323" t="str">
        <f t="shared" si="416"/>
        <v xml:space="preserve"> </v>
      </c>
      <c r="Q249" s="323" t="str">
        <f t="shared" si="416"/>
        <v xml:space="preserve"> </v>
      </c>
      <c r="R249" s="323" t="str">
        <f t="shared" si="416"/>
        <v xml:space="preserve"> </v>
      </c>
      <c r="S249" s="323" t="str">
        <f t="shared" si="416"/>
        <v xml:space="preserve"> </v>
      </c>
      <c r="T249" s="323" t="str">
        <f t="shared" si="416"/>
        <v xml:space="preserve"> </v>
      </c>
      <c r="U249" s="323" t="str">
        <f t="shared" si="416"/>
        <v xml:space="preserve"> </v>
      </c>
      <c r="V249" s="323" t="str">
        <f t="shared" si="416"/>
        <v xml:space="preserve"> </v>
      </c>
      <c r="W249" s="323" t="str">
        <f t="shared" si="416"/>
        <v xml:space="preserve"> </v>
      </c>
      <c r="X249" s="323" t="str">
        <f t="shared" si="416"/>
        <v xml:space="preserve"> </v>
      </c>
      <c r="Y249" s="323" t="str">
        <f t="shared" si="416"/>
        <v xml:space="preserve"> </v>
      </c>
      <c r="Z249" s="323" t="str">
        <f t="shared" si="417"/>
        <v xml:space="preserve"> </v>
      </c>
      <c r="AA249" s="323" t="str">
        <f t="shared" si="417"/>
        <v xml:space="preserve"> </v>
      </c>
      <c r="AB249" s="323" t="str">
        <f t="shared" si="417"/>
        <v xml:space="preserve"> </v>
      </c>
      <c r="AC249" s="323" t="str">
        <f t="shared" si="417"/>
        <v xml:space="preserve"> </v>
      </c>
      <c r="AD249" s="323" t="str">
        <f t="shared" si="417"/>
        <v xml:space="preserve"> </v>
      </c>
      <c r="AE249" s="323" t="str">
        <f t="shared" si="417"/>
        <v xml:space="preserve"> </v>
      </c>
      <c r="AF249" s="323" t="str">
        <f t="shared" si="417"/>
        <v xml:space="preserve"> </v>
      </c>
      <c r="AG249" s="323" t="str">
        <f t="shared" si="417"/>
        <v xml:space="preserve"> </v>
      </c>
      <c r="AH249" s="323" t="str">
        <f t="shared" si="417"/>
        <v xml:space="preserve"> </v>
      </c>
      <c r="AI249" s="323" t="str">
        <f t="shared" si="417"/>
        <v xml:space="preserve"> </v>
      </c>
      <c r="AJ249" s="323" t="str">
        <f t="shared" si="417"/>
        <v xml:space="preserve"> </v>
      </c>
      <c r="AK249" s="323" t="str">
        <f t="shared" si="417"/>
        <v xml:space="preserve"> </v>
      </c>
      <c r="AL249" s="323" t="str">
        <f t="shared" si="417"/>
        <v xml:space="preserve"> </v>
      </c>
      <c r="AM249" s="323" t="str">
        <f t="shared" si="417"/>
        <v xml:space="preserve"> </v>
      </c>
      <c r="AN249" s="323" t="str">
        <f t="shared" si="417"/>
        <v xml:space="preserve"> </v>
      </c>
      <c r="AO249" s="323" t="str">
        <f t="shared" si="417"/>
        <v xml:space="preserve"> </v>
      </c>
      <c r="AP249" s="323" t="str">
        <f t="shared" si="418"/>
        <v xml:space="preserve"> </v>
      </c>
      <c r="AQ249" s="323" t="str">
        <f t="shared" si="418"/>
        <v xml:space="preserve"> </v>
      </c>
      <c r="AR249" s="323" t="str">
        <f t="shared" si="418"/>
        <v xml:space="preserve"> </v>
      </c>
      <c r="AS249" s="323" t="str">
        <f t="shared" si="418"/>
        <v xml:space="preserve"> </v>
      </c>
      <c r="AT249" s="323" t="str">
        <f t="shared" si="418"/>
        <v xml:space="preserve"> </v>
      </c>
      <c r="AU249" s="323" t="str">
        <f t="shared" si="418"/>
        <v xml:space="preserve"> </v>
      </c>
      <c r="AV249" s="323" t="str">
        <f t="shared" si="418"/>
        <v xml:space="preserve"> </v>
      </c>
      <c r="AW249" s="323" t="str">
        <f t="shared" si="418"/>
        <v xml:space="preserve"> </v>
      </c>
      <c r="AX249" s="323" t="str">
        <f t="shared" si="418"/>
        <v xml:space="preserve"> </v>
      </c>
      <c r="AY249" s="323" t="str">
        <f t="shared" si="418"/>
        <v xml:space="preserve"> </v>
      </c>
      <c r="AZ249" s="323" t="str">
        <f t="shared" si="418"/>
        <v xml:space="preserve"> </v>
      </c>
      <c r="BA249" s="323" t="str">
        <f t="shared" si="418"/>
        <v xml:space="preserve"> </v>
      </c>
      <c r="BB249" s="323" t="str">
        <f t="shared" si="418"/>
        <v xml:space="preserve"> </v>
      </c>
      <c r="BC249" s="323" t="str">
        <f t="shared" si="418"/>
        <v xml:space="preserve"> </v>
      </c>
      <c r="BD249" s="323" t="str">
        <f t="shared" si="418"/>
        <v xml:space="preserve"> </v>
      </c>
      <c r="BE249" s="323" t="str">
        <f t="shared" si="418"/>
        <v xml:space="preserve"> </v>
      </c>
    </row>
    <row r="250" spans="2:57" x14ac:dyDescent="0.25">
      <c r="B250" s="316"/>
      <c r="C250" s="171" t="s">
        <v>698</v>
      </c>
      <c r="D250" s="325" t="s">
        <v>688</v>
      </c>
      <c r="E250" s="325">
        <v>12</v>
      </c>
      <c r="F250" s="324">
        <v>0</v>
      </c>
      <c r="G250" s="325">
        <v>0</v>
      </c>
      <c r="H250" s="313">
        <f t="shared" si="415"/>
        <v>0</v>
      </c>
      <c r="J250" s="323" t="str">
        <f t="shared" si="416"/>
        <v xml:space="preserve"> </v>
      </c>
      <c r="K250" s="323" t="str">
        <f t="shared" si="416"/>
        <v xml:space="preserve"> </v>
      </c>
      <c r="L250" s="323" t="str">
        <f t="shared" si="416"/>
        <v xml:space="preserve"> </v>
      </c>
      <c r="M250" s="323" t="str">
        <f t="shared" si="416"/>
        <v xml:space="preserve"> </v>
      </c>
      <c r="N250" s="323" t="str">
        <f t="shared" si="416"/>
        <v xml:space="preserve"> </v>
      </c>
      <c r="O250" s="323" t="str">
        <f t="shared" si="416"/>
        <v xml:space="preserve"> </v>
      </c>
      <c r="P250" s="323" t="str">
        <f t="shared" si="416"/>
        <v xml:space="preserve"> </v>
      </c>
      <c r="Q250" s="323" t="str">
        <f t="shared" si="416"/>
        <v xml:space="preserve"> </v>
      </c>
      <c r="R250" s="323" t="str">
        <f t="shared" si="416"/>
        <v xml:space="preserve"> </v>
      </c>
      <c r="S250" s="323" t="str">
        <f t="shared" si="416"/>
        <v xml:space="preserve"> </v>
      </c>
      <c r="T250" s="323" t="str">
        <f t="shared" si="416"/>
        <v xml:space="preserve"> </v>
      </c>
      <c r="U250" s="323" t="str">
        <f t="shared" si="416"/>
        <v xml:space="preserve"> </v>
      </c>
      <c r="V250" s="323" t="str">
        <f t="shared" si="416"/>
        <v xml:space="preserve"> </v>
      </c>
      <c r="W250" s="323" t="str">
        <f t="shared" si="416"/>
        <v xml:space="preserve"> </v>
      </c>
      <c r="X250" s="323" t="str">
        <f t="shared" si="416"/>
        <v xml:space="preserve"> </v>
      </c>
      <c r="Y250" s="323" t="str">
        <f t="shared" si="416"/>
        <v xml:space="preserve"> </v>
      </c>
      <c r="Z250" s="323" t="str">
        <f t="shared" si="417"/>
        <v xml:space="preserve"> </v>
      </c>
      <c r="AA250" s="323" t="str">
        <f t="shared" si="417"/>
        <v xml:space="preserve"> </v>
      </c>
      <c r="AB250" s="323" t="str">
        <f t="shared" si="417"/>
        <v xml:space="preserve"> </v>
      </c>
      <c r="AC250" s="323" t="str">
        <f t="shared" si="417"/>
        <v xml:space="preserve"> </v>
      </c>
      <c r="AD250" s="323" t="str">
        <f t="shared" si="417"/>
        <v xml:space="preserve"> </v>
      </c>
      <c r="AE250" s="323" t="str">
        <f t="shared" si="417"/>
        <v xml:space="preserve"> </v>
      </c>
      <c r="AF250" s="323" t="str">
        <f t="shared" si="417"/>
        <v xml:space="preserve"> </v>
      </c>
      <c r="AG250" s="323" t="str">
        <f t="shared" si="417"/>
        <v xml:space="preserve"> </v>
      </c>
      <c r="AH250" s="323" t="str">
        <f t="shared" si="417"/>
        <v xml:space="preserve"> </v>
      </c>
      <c r="AI250" s="323" t="str">
        <f t="shared" si="417"/>
        <v xml:space="preserve"> </v>
      </c>
      <c r="AJ250" s="323" t="str">
        <f t="shared" si="417"/>
        <v xml:space="preserve"> </v>
      </c>
      <c r="AK250" s="323" t="str">
        <f t="shared" si="417"/>
        <v xml:space="preserve"> </v>
      </c>
      <c r="AL250" s="323" t="str">
        <f t="shared" si="417"/>
        <v xml:space="preserve"> </v>
      </c>
      <c r="AM250" s="323" t="str">
        <f t="shared" si="417"/>
        <v xml:space="preserve"> </v>
      </c>
      <c r="AN250" s="323" t="str">
        <f t="shared" si="417"/>
        <v xml:space="preserve"> </v>
      </c>
      <c r="AO250" s="323" t="str">
        <f t="shared" si="417"/>
        <v xml:space="preserve"> </v>
      </c>
      <c r="AP250" s="323" t="str">
        <f t="shared" si="418"/>
        <v xml:space="preserve"> </v>
      </c>
      <c r="AQ250" s="323" t="str">
        <f t="shared" si="418"/>
        <v xml:space="preserve"> </v>
      </c>
      <c r="AR250" s="323" t="str">
        <f t="shared" si="418"/>
        <v xml:space="preserve"> </v>
      </c>
      <c r="AS250" s="323" t="str">
        <f t="shared" si="418"/>
        <v xml:space="preserve"> </v>
      </c>
      <c r="AT250" s="323" t="str">
        <f t="shared" si="418"/>
        <v xml:space="preserve"> </v>
      </c>
      <c r="AU250" s="323" t="str">
        <f t="shared" si="418"/>
        <v xml:space="preserve"> </v>
      </c>
      <c r="AV250" s="323" t="str">
        <f t="shared" si="418"/>
        <v xml:space="preserve"> </v>
      </c>
      <c r="AW250" s="323" t="str">
        <f t="shared" si="418"/>
        <v xml:space="preserve"> </v>
      </c>
      <c r="AX250" s="323" t="str">
        <f t="shared" si="418"/>
        <v xml:space="preserve"> </v>
      </c>
      <c r="AY250" s="323" t="str">
        <f t="shared" si="418"/>
        <v xml:space="preserve"> </v>
      </c>
      <c r="AZ250" s="323" t="str">
        <f t="shared" si="418"/>
        <v xml:space="preserve"> </v>
      </c>
      <c r="BA250" s="323" t="str">
        <f t="shared" si="418"/>
        <v xml:space="preserve"> </v>
      </c>
      <c r="BB250" s="323" t="str">
        <f t="shared" si="418"/>
        <v xml:space="preserve"> </v>
      </c>
      <c r="BC250" s="323" t="str">
        <f t="shared" si="418"/>
        <v xml:space="preserve"> </v>
      </c>
      <c r="BD250" s="323" t="str">
        <f t="shared" si="418"/>
        <v xml:space="preserve"> </v>
      </c>
      <c r="BE250" s="323" t="str">
        <f t="shared" si="418"/>
        <v xml:space="preserve"> </v>
      </c>
    </row>
    <row r="251" spans="2:57" x14ac:dyDescent="0.25">
      <c r="B251" s="316"/>
      <c r="C251" s="171" t="s">
        <v>699</v>
      </c>
      <c r="D251" s="325" t="s">
        <v>688</v>
      </c>
      <c r="E251" s="325">
        <v>13</v>
      </c>
      <c r="F251" s="324"/>
      <c r="G251" s="325"/>
      <c r="H251" s="313">
        <f t="shared" si="415"/>
        <v>0</v>
      </c>
      <c r="J251" s="323" t="str">
        <f t="shared" si="416"/>
        <v xml:space="preserve"> </v>
      </c>
      <c r="K251" s="323" t="str">
        <f t="shared" si="416"/>
        <v xml:space="preserve"> </v>
      </c>
      <c r="L251" s="323" t="str">
        <f t="shared" si="416"/>
        <v xml:space="preserve"> </v>
      </c>
      <c r="M251" s="323" t="str">
        <f t="shared" si="416"/>
        <v xml:space="preserve"> </v>
      </c>
      <c r="N251" s="323" t="str">
        <f t="shared" si="416"/>
        <v xml:space="preserve"> </v>
      </c>
      <c r="O251" s="323" t="str">
        <f t="shared" si="416"/>
        <v xml:space="preserve"> </v>
      </c>
      <c r="P251" s="323" t="str">
        <f t="shared" si="416"/>
        <v xml:space="preserve"> </v>
      </c>
      <c r="Q251" s="323" t="str">
        <f t="shared" si="416"/>
        <v xml:space="preserve"> </v>
      </c>
      <c r="R251" s="323" t="str">
        <f t="shared" si="416"/>
        <v xml:space="preserve"> </v>
      </c>
      <c r="S251" s="323" t="str">
        <f t="shared" si="416"/>
        <v xml:space="preserve"> </v>
      </c>
      <c r="T251" s="323" t="str">
        <f t="shared" si="416"/>
        <v xml:space="preserve"> </v>
      </c>
      <c r="U251" s="323" t="str">
        <f t="shared" si="416"/>
        <v xml:space="preserve"> </v>
      </c>
      <c r="V251" s="323" t="str">
        <f t="shared" si="416"/>
        <v xml:space="preserve"> </v>
      </c>
      <c r="W251" s="323" t="str">
        <f t="shared" si="416"/>
        <v xml:space="preserve"> </v>
      </c>
      <c r="X251" s="323" t="str">
        <f t="shared" si="416"/>
        <v xml:space="preserve"> </v>
      </c>
      <c r="Y251" s="323" t="str">
        <f t="shared" si="416"/>
        <v xml:space="preserve"> </v>
      </c>
      <c r="Z251" s="323" t="str">
        <f t="shared" si="417"/>
        <v xml:space="preserve"> </v>
      </c>
      <c r="AA251" s="323" t="str">
        <f t="shared" si="417"/>
        <v xml:space="preserve"> </v>
      </c>
      <c r="AB251" s="323" t="str">
        <f t="shared" si="417"/>
        <v xml:space="preserve"> </v>
      </c>
      <c r="AC251" s="323" t="str">
        <f t="shared" si="417"/>
        <v xml:space="preserve"> </v>
      </c>
      <c r="AD251" s="323" t="str">
        <f t="shared" si="417"/>
        <v xml:space="preserve"> </v>
      </c>
      <c r="AE251" s="323" t="str">
        <f t="shared" si="417"/>
        <v xml:space="preserve"> </v>
      </c>
      <c r="AF251" s="323" t="str">
        <f t="shared" si="417"/>
        <v xml:space="preserve"> </v>
      </c>
      <c r="AG251" s="323" t="str">
        <f t="shared" si="417"/>
        <v xml:space="preserve"> </v>
      </c>
      <c r="AH251" s="323" t="str">
        <f t="shared" si="417"/>
        <v xml:space="preserve"> </v>
      </c>
      <c r="AI251" s="323" t="str">
        <f t="shared" si="417"/>
        <v xml:space="preserve"> </v>
      </c>
      <c r="AJ251" s="323" t="str">
        <f t="shared" si="417"/>
        <v xml:space="preserve"> </v>
      </c>
      <c r="AK251" s="323" t="str">
        <f t="shared" si="417"/>
        <v xml:space="preserve"> </v>
      </c>
      <c r="AL251" s="323" t="str">
        <f t="shared" si="417"/>
        <v xml:space="preserve"> </v>
      </c>
      <c r="AM251" s="323" t="str">
        <f t="shared" si="417"/>
        <v xml:space="preserve"> </v>
      </c>
      <c r="AN251" s="323" t="str">
        <f t="shared" si="417"/>
        <v xml:space="preserve"> </v>
      </c>
      <c r="AO251" s="323" t="str">
        <f t="shared" si="417"/>
        <v xml:space="preserve"> </v>
      </c>
      <c r="AP251" s="323" t="str">
        <f t="shared" si="418"/>
        <v xml:space="preserve"> </v>
      </c>
      <c r="AQ251" s="323" t="str">
        <f t="shared" si="418"/>
        <v xml:space="preserve"> </v>
      </c>
      <c r="AR251" s="323" t="str">
        <f t="shared" si="418"/>
        <v xml:space="preserve"> </v>
      </c>
      <c r="AS251" s="323" t="str">
        <f t="shared" si="418"/>
        <v xml:space="preserve"> </v>
      </c>
      <c r="AT251" s="323" t="str">
        <f t="shared" si="418"/>
        <v xml:space="preserve"> </v>
      </c>
      <c r="AU251" s="323" t="str">
        <f t="shared" si="418"/>
        <v xml:space="preserve"> </v>
      </c>
      <c r="AV251" s="323" t="str">
        <f t="shared" si="418"/>
        <v xml:space="preserve"> </v>
      </c>
      <c r="AW251" s="323" t="str">
        <f t="shared" si="418"/>
        <v xml:space="preserve"> </v>
      </c>
      <c r="AX251" s="323" t="str">
        <f t="shared" si="418"/>
        <v xml:space="preserve"> </v>
      </c>
      <c r="AY251" s="323" t="str">
        <f t="shared" si="418"/>
        <v xml:space="preserve"> </v>
      </c>
      <c r="AZ251" s="323" t="str">
        <f t="shared" si="418"/>
        <v xml:space="preserve"> </v>
      </c>
      <c r="BA251" s="323" t="str">
        <f t="shared" si="418"/>
        <v xml:space="preserve"> </v>
      </c>
      <c r="BB251" s="323" t="str">
        <f t="shared" si="418"/>
        <v xml:space="preserve"> </v>
      </c>
      <c r="BC251" s="323" t="str">
        <f t="shared" si="418"/>
        <v xml:space="preserve"> </v>
      </c>
      <c r="BD251" s="323" t="str">
        <f t="shared" si="418"/>
        <v xml:space="preserve"> </v>
      </c>
      <c r="BE251" s="323" t="str">
        <f t="shared" si="418"/>
        <v xml:space="preserve"> </v>
      </c>
    </row>
    <row r="252" spans="2:57" x14ac:dyDescent="0.25">
      <c r="B252" s="317"/>
      <c r="C252" s="171" t="s">
        <v>676</v>
      </c>
      <c r="D252" s="325" t="s">
        <v>688</v>
      </c>
      <c r="E252" s="325">
        <v>14</v>
      </c>
      <c r="F252" s="325">
        <v>2053</v>
      </c>
      <c r="G252" s="325">
        <v>2054</v>
      </c>
      <c r="H252" s="313">
        <f t="shared" si="415"/>
        <v>1</v>
      </c>
      <c r="J252" s="323" t="str">
        <f t="shared" si="416"/>
        <v xml:space="preserve"> </v>
      </c>
      <c r="K252" s="323" t="str">
        <f t="shared" si="416"/>
        <v xml:space="preserve"> </v>
      </c>
      <c r="L252" s="323" t="str">
        <f t="shared" si="416"/>
        <v xml:space="preserve"> </v>
      </c>
      <c r="M252" s="323" t="str">
        <f t="shared" si="416"/>
        <v xml:space="preserve"> </v>
      </c>
      <c r="N252" s="323" t="str">
        <f t="shared" si="416"/>
        <v xml:space="preserve"> </v>
      </c>
      <c r="O252" s="323" t="str">
        <f t="shared" si="416"/>
        <v xml:space="preserve"> </v>
      </c>
      <c r="P252" s="323" t="str">
        <f t="shared" si="416"/>
        <v xml:space="preserve"> </v>
      </c>
      <c r="Q252" s="323" t="str">
        <f t="shared" si="416"/>
        <v xml:space="preserve"> </v>
      </c>
      <c r="R252" s="323" t="str">
        <f t="shared" si="416"/>
        <v xml:space="preserve"> </v>
      </c>
      <c r="S252" s="323" t="str">
        <f t="shared" si="416"/>
        <v xml:space="preserve"> </v>
      </c>
      <c r="T252" s="323" t="str">
        <f t="shared" si="416"/>
        <v xml:space="preserve"> </v>
      </c>
      <c r="U252" s="323" t="str">
        <f t="shared" si="416"/>
        <v xml:space="preserve"> </v>
      </c>
      <c r="V252" s="323" t="str">
        <f t="shared" si="416"/>
        <v xml:space="preserve"> </v>
      </c>
      <c r="W252" s="323" t="str">
        <f t="shared" si="416"/>
        <v xml:space="preserve"> </v>
      </c>
      <c r="X252" s="323" t="str">
        <f t="shared" si="416"/>
        <v xml:space="preserve"> </v>
      </c>
      <c r="Y252" s="323" t="str">
        <f t="shared" si="416"/>
        <v xml:space="preserve"> </v>
      </c>
      <c r="Z252" s="323" t="str">
        <f t="shared" si="417"/>
        <v xml:space="preserve"> </v>
      </c>
      <c r="AA252" s="323" t="str">
        <f t="shared" si="417"/>
        <v xml:space="preserve"> </v>
      </c>
      <c r="AB252" s="323" t="str">
        <f t="shared" si="417"/>
        <v xml:space="preserve"> </v>
      </c>
      <c r="AC252" s="323" t="str">
        <f t="shared" si="417"/>
        <v xml:space="preserve"> </v>
      </c>
      <c r="AD252" s="323" t="str">
        <f t="shared" si="417"/>
        <v xml:space="preserve"> </v>
      </c>
      <c r="AE252" s="323" t="str">
        <f t="shared" si="417"/>
        <v xml:space="preserve"> </v>
      </c>
      <c r="AF252" s="323" t="str">
        <f t="shared" si="417"/>
        <v xml:space="preserve"> </v>
      </c>
      <c r="AG252" s="323" t="str">
        <f t="shared" si="417"/>
        <v xml:space="preserve"> </v>
      </c>
      <c r="AH252" s="323" t="str">
        <f t="shared" si="417"/>
        <v xml:space="preserve"> </v>
      </c>
      <c r="AI252" s="323" t="str">
        <f t="shared" si="417"/>
        <v xml:space="preserve"> </v>
      </c>
      <c r="AJ252" s="323" t="str">
        <f t="shared" si="417"/>
        <v xml:space="preserve"> </v>
      </c>
      <c r="AK252" s="323" t="str">
        <f t="shared" si="417"/>
        <v xml:space="preserve"> </v>
      </c>
      <c r="AL252" s="323" t="str">
        <f t="shared" si="417"/>
        <v xml:space="preserve"> </v>
      </c>
      <c r="AM252" s="323" t="str">
        <f t="shared" si="417"/>
        <v xml:space="preserve"> </v>
      </c>
      <c r="AN252" s="323" t="str">
        <f t="shared" si="417"/>
        <v xml:space="preserve"> </v>
      </c>
      <c r="AO252" s="323" t="str">
        <f t="shared" si="417"/>
        <v xml:space="preserve"> </v>
      </c>
      <c r="AP252" s="323" t="str">
        <f t="shared" si="418"/>
        <v xml:space="preserve"> </v>
      </c>
      <c r="AQ252" s="323" t="str">
        <f t="shared" si="418"/>
        <v xml:space="preserve"> </v>
      </c>
      <c r="AR252" s="323" t="str">
        <f t="shared" si="418"/>
        <v xml:space="preserve"> </v>
      </c>
      <c r="AS252" s="323">
        <f t="shared" si="418"/>
        <v>1</v>
      </c>
      <c r="AT252" s="323" t="str">
        <f t="shared" si="418"/>
        <v xml:space="preserve"> </v>
      </c>
      <c r="AU252" s="323" t="str">
        <f t="shared" si="418"/>
        <v xml:space="preserve"> </v>
      </c>
      <c r="AV252" s="323" t="str">
        <f t="shared" si="418"/>
        <v xml:space="preserve"> </v>
      </c>
      <c r="AW252" s="323" t="str">
        <f t="shared" si="418"/>
        <v xml:space="preserve"> </v>
      </c>
      <c r="AX252" s="323" t="str">
        <f t="shared" si="418"/>
        <v xml:space="preserve"> </v>
      </c>
      <c r="AY252" s="323" t="str">
        <f t="shared" si="418"/>
        <v xml:space="preserve"> </v>
      </c>
      <c r="AZ252" s="323" t="str">
        <f t="shared" si="418"/>
        <v xml:space="preserve"> </v>
      </c>
      <c r="BA252" s="323" t="str">
        <f t="shared" si="418"/>
        <v xml:space="preserve"> </v>
      </c>
      <c r="BB252" s="323" t="str">
        <f t="shared" si="418"/>
        <v xml:space="preserve"> </v>
      </c>
      <c r="BC252" s="323" t="str">
        <f t="shared" si="418"/>
        <v xml:space="preserve"> </v>
      </c>
      <c r="BD252" s="323" t="str">
        <f t="shared" si="418"/>
        <v xml:space="preserve"> </v>
      </c>
      <c r="BE252" s="323" t="str">
        <f t="shared" si="418"/>
        <v xml:space="preserve"> </v>
      </c>
    </row>
    <row r="254" spans="2:57" ht="15.75" thickBot="1" x14ac:dyDescent="0.3">
      <c r="J254" s="171" t="s">
        <v>680</v>
      </c>
    </row>
    <row r="255" spans="2:57" ht="16.5" thickTop="1" thickBot="1" x14ac:dyDescent="0.3">
      <c r="B255" s="430"/>
      <c r="C255" s="431" t="s">
        <v>929</v>
      </c>
      <c r="D255" s="431" t="s">
        <v>930</v>
      </c>
      <c r="E255" s="431" t="s">
        <v>592</v>
      </c>
      <c r="F255" s="322" t="s">
        <v>684</v>
      </c>
      <c r="G255" s="322" t="s">
        <v>685</v>
      </c>
      <c r="H255" s="322" t="s">
        <v>686</v>
      </c>
      <c r="J255" s="171">
        <f>J238</f>
        <v>2018</v>
      </c>
      <c r="K255" s="171">
        <f t="shared" ref="K255:AP255" si="419">K238</f>
        <v>2019</v>
      </c>
      <c r="L255" s="171">
        <f t="shared" si="419"/>
        <v>2020</v>
      </c>
      <c r="M255" s="171">
        <f t="shared" si="419"/>
        <v>2021</v>
      </c>
      <c r="N255" s="171">
        <f t="shared" si="419"/>
        <v>2022</v>
      </c>
      <c r="O255" s="171">
        <f t="shared" si="419"/>
        <v>2023</v>
      </c>
      <c r="P255" s="171">
        <f t="shared" si="419"/>
        <v>2024</v>
      </c>
      <c r="Q255" s="171">
        <f t="shared" si="419"/>
        <v>2025</v>
      </c>
      <c r="R255" s="171">
        <f t="shared" si="419"/>
        <v>2026</v>
      </c>
      <c r="S255" s="171">
        <f t="shared" si="419"/>
        <v>2027</v>
      </c>
      <c r="T255" s="171">
        <f t="shared" si="419"/>
        <v>2028</v>
      </c>
      <c r="U255" s="171">
        <f t="shared" si="419"/>
        <v>2029</v>
      </c>
      <c r="V255" s="171">
        <f t="shared" si="419"/>
        <v>2030</v>
      </c>
      <c r="W255" s="171">
        <f t="shared" si="419"/>
        <v>2031</v>
      </c>
      <c r="X255" s="171">
        <f t="shared" si="419"/>
        <v>2032</v>
      </c>
      <c r="Y255" s="171">
        <f t="shared" si="419"/>
        <v>2033</v>
      </c>
      <c r="Z255" s="171">
        <f t="shared" si="419"/>
        <v>2034</v>
      </c>
      <c r="AA255" s="171">
        <f t="shared" si="419"/>
        <v>2035</v>
      </c>
      <c r="AB255" s="171">
        <f t="shared" si="419"/>
        <v>2036</v>
      </c>
      <c r="AC255" s="171">
        <f t="shared" si="419"/>
        <v>2037</v>
      </c>
      <c r="AD255" s="171">
        <f t="shared" si="419"/>
        <v>2038</v>
      </c>
      <c r="AE255" s="171">
        <f t="shared" si="419"/>
        <v>2039</v>
      </c>
      <c r="AF255" s="171">
        <f t="shared" si="419"/>
        <v>2040</v>
      </c>
      <c r="AG255" s="171">
        <f t="shared" si="419"/>
        <v>2041</v>
      </c>
      <c r="AH255" s="171">
        <f t="shared" si="419"/>
        <v>2042</v>
      </c>
      <c r="AI255" s="171">
        <f t="shared" si="419"/>
        <v>2043</v>
      </c>
      <c r="AJ255" s="171">
        <f t="shared" si="419"/>
        <v>2044</v>
      </c>
      <c r="AK255" s="171">
        <f t="shared" si="419"/>
        <v>2045</v>
      </c>
      <c r="AL255" s="171">
        <f t="shared" si="419"/>
        <v>2046</v>
      </c>
      <c r="AM255" s="171">
        <f t="shared" si="419"/>
        <v>2047</v>
      </c>
      <c r="AN255" s="171">
        <f t="shared" si="419"/>
        <v>2048</v>
      </c>
      <c r="AO255" s="171">
        <f t="shared" si="419"/>
        <v>2049</v>
      </c>
      <c r="AP255" s="171">
        <f t="shared" si="419"/>
        <v>2050</v>
      </c>
      <c r="AQ255" s="171">
        <f t="shared" ref="AQ255:BE255" si="420">AQ238</f>
        <v>2051</v>
      </c>
      <c r="AR255" s="171">
        <f t="shared" si="420"/>
        <v>2052</v>
      </c>
      <c r="AS255" s="171">
        <f t="shared" si="420"/>
        <v>2053</v>
      </c>
      <c r="AT255" s="171">
        <f t="shared" si="420"/>
        <v>2054</v>
      </c>
      <c r="AU255" s="171">
        <f t="shared" si="420"/>
        <v>2055</v>
      </c>
      <c r="AV255" s="171">
        <f t="shared" si="420"/>
        <v>2056</v>
      </c>
      <c r="AW255" s="171">
        <f t="shared" si="420"/>
        <v>2057</v>
      </c>
      <c r="AX255" s="171">
        <f t="shared" si="420"/>
        <v>2058</v>
      </c>
      <c r="AY255" s="171">
        <f t="shared" si="420"/>
        <v>2059</v>
      </c>
      <c r="AZ255" s="171">
        <f t="shared" si="420"/>
        <v>2060</v>
      </c>
      <c r="BA255" s="171">
        <f t="shared" si="420"/>
        <v>2061</v>
      </c>
      <c r="BB255" s="171">
        <f t="shared" si="420"/>
        <v>2062</v>
      </c>
      <c r="BC255" s="171">
        <f t="shared" si="420"/>
        <v>2063</v>
      </c>
      <c r="BD255" s="171">
        <f t="shared" si="420"/>
        <v>2064</v>
      </c>
      <c r="BE255" s="171">
        <f t="shared" si="420"/>
        <v>2065</v>
      </c>
    </row>
    <row r="256" spans="2:57" ht="15.75" thickTop="1" x14ac:dyDescent="0.25">
      <c r="B256" s="432"/>
      <c r="C256" s="430" t="s">
        <v>931</v>
      </c>
      <c r="D256" s="430" t="s">
        <v>932</v>
      </c>
      <c r="E256" s="325">
        <v>40</v>
      </c>
      <c r="F256" s="313">
        <v>2024</v>
      </c>
      <c r="G256" s="313">
        <v>2055</v>
      </c>
      <c r="H256" s="313">
        <f>G256-F256</f>
        <v>31</v>
      </c>
      <c r="J256" s="433">
        <f>IF(AND($F256&gt;=$J$8,J$8&gt;=$F256),$E256,)</f>
        <v>0</v>
      </c>
      <c r="K256" s="433">
        <f t="shared" ref="K256:Z259" si="421">IF(AND($F256&gt;=$J$8,K$8&gt;=$F256),$E256,)</f>
        <v>0</v>
      </c>
      <c r="L256" s="433">
        <f t="shared" si="421"/>
        <v>0</v>
      </c>
      <c r="M256" s="433">
        <f t="shared" si="421"/>
        <v>0</v>
      </c>
      <c r="N256" s="433">
        <f t="shared" si="421"/>
        <v>0</v>
      </c>
      <c r="O256" s="433">
        <f t="shared" si="421"/>
        <v>0</v>
      </c>
      <c r="P256" s="433">
        <f t="shared" si="421"/>
        <v>40</v>
      </c>
      <c r="Q256" s="433">
        <f t="shared" si="421"/>
        <v>40</v>
      </c>
      <c r="R256" s="433">
        <f t="shared" si="421"/>
        <v>40</v>
      </c>
      <c r="S256" s="433">
        <f t="shared" si="421"/>
        <v>40</v>
      </c>
      <c r="T256" s="433">
        <f t="shared" si="421"/>
        <v>40</v>
      </c>
      <c r="U256" s="433">
        <f t="shared" si="421"/>
        <v>40</v>
      </c>
      <c r="V256" s="433">
        <f t="shared" si="421"/>
        <v>40</v>
      </c>
      <c r="W256" s="433">
        <f t="shared" si="421"/>
        <v>40</v>
      </c>
      <c r="X256" s="433">
        <f t="shared" si="421"/>
        <v>40</v>
      </c>
      <c r="Y256" s="433">
        <f t="shared" si="421"/>
        <v>40</v>
      </c>
      <c r="Z256" s="433">
        <f t="shared" si="421"/>
        <v>40</v>
      </c>
      <c r="AA256" s="433">
        <f t="shared" ref="AA256:AQ259" si="422">IF(AND($F256&gt;=$J$8,AA$8&gt;=$F256),$E256,)</f>
        <v>40</v>
      </c>
      <c r="AB256" s="433">
        <f t="shared" si="422"/>
        <v>40</v>
      </c>
      <c r="AC256" s="433">
        <f t="shared" si="422"/>
        <v>40</v>
      </c>
      <c r="AD256" s="433">
        <f t="shared" si="422"/>
        <v>40</v>
      </c>
      <c r="AE256" s="433">
        <f t="shared" si="422"/>
        <v>40</v>
      </c>
      <c r="AF256" s="433">
        <f t="shared" si="422"/>
        <v>40</v>
      </c>
      <c r="AG256" s="433">
        <f t="shared" si="422"/>
        <v>40</v>
      </c>
      <c r="AH256" s="433">
        <f t="shared" si="422"/>
        <v>40</v>
      </c>
      <c r="AI256" s="433">
        <f t="shared" si="422"/>
        <v>40</v>
      </c>
      <c r="AJ256" s="433">
        <f t="shared" si="422"/>
        <v>40</v>
      </c>
      <c r="AK256" s="433">
        <f t="shared" si="422"/>
        <v>40</v>
      </c>
      <c r="AL256" s="433">
        <f t="shared" si="422"/>
        <v>40</v>
      </c>
      <c r="AM256" s="433">
        <f t="shared" si="422"/>
        <v>40</v>
      </c>
      <c r="AN256" s="433">
        <f t="shared" si="422"/>
        <v>40</v>
      </c>
      <c r="AO256" s="433">
        <f t="shared" si="422"/>
        <v>40</v>
      </c>
      <c r="AP256" s="433">
        <f t="shared" si="422"/>
        <v>40</v>
      </c>
      <c r="AQ256" s="433">
        <f t="shared" si="422"/>
        <v>40</v>
      </c>
      <c r="AR256" s="433">
        <f t="shared" ref="AQ256:BE259" si="423">IF(AND($F256&gt;=$J$8,AR$8&gt;=$F256),$E256,)</f>
        <v>40</v>
      </c>
      <c r="AS256" s="433">
        <f t="shared" si="423"/>
        <v>40</v>
      </c>
      <c r="AT256" s="433">
        <f t="shared" si="423"/>
        <v>40</v>
      </c>
      <c r="AU256" s="433">
        <f t="shared" si="423"/>
        <v>40</v>
      </c>
      <c r="AV256" s="433">
        <f t="shared" si="423"/>
        <v>40</v>
      </c>
      <c r="AW256" s="433">
        <f t="shared" si="423"/>
        <v>40</v>
      </c>
      <c r="AX256" s="433">
        <f t="shared" si="423"/>
        <v>40</v>
      </c>
      <c r="AY256" s="433">
        <f t="shared" si="423"/>
        <v>40</v>
      </c>
      <c r="AZ256" s="433">
        <f t="shared" si="423"/>
        <v>40</v>
      </c>
      <c r="BA256" s="433">
        <f t="shared" si="423"/>
        <v>40</v>
      </c>
      <c r="BB256" s="433">
        <f t="shared" si="423"/>
        <v>40</v>
      </c>
      <c r="BC256" s="433">
        <f t="shared" si="423"/>
        <v>40</v>
      </c>
      <c r="BD256" s="433">
        <f t="shared" si="423"/>
        <v>40</v>
      </c>
      <c r="BE256" s="433">
        <f t="shared" si="423"/>
        <v>40</v>
      </c>
    </row>
    <row r="257" spans="2:57" x14ac:dyDescent="0.25">
      <c r="B257" s="434"/>
      <c r="C257" s="430" t="s">
        <v>933</v>
      </c>
      <c r="D257" s="430" t="s">
        <v>934</v>
      </c>
      <c r="E257" s="325">
        <v>8</v>
      </c>
      <c r="F257" s="313">
        <v>2033</v>
      </c>
      <c r="G257" s="313">
        <v>2053</v>
      </c>
      <c r="H257" s="313">
        <f t="shared" ref="H257:H259" si="424">G257-F257</f>
        <v>20</v>
      </c>
      <c r="J257" s="433">
        <f t="shared" ref="J257:J259" si="425">IF(AND($F257&gt;=$J$8,J$8&gt;=$F257),$E257,)</f>
        <v>0</v>
      </c>
      <c r="K257" s="433">
        <f t="shared" si="421"/>
        <v>0</v>
      </c>
      <c r="L257" s="433">
        <f t="shared" si="421"/>
        <v>0</v>
      </c>
      <c r="M257" s="433">
        <f t="shared" si="421"/>
        <v>0</v>
      </c>
      <c r="N257" s="433">
        <f t="shared" si="421"/>
        <v>0</v>
      </c>
      <c r="O257" s="433">
        <f t="shared" si="421"/>
        <v>0</v>
      </c>
      <c r="P257" s="433">
        <f t="shared" si="421"/>
        <v>0</v>
      </c>
      <c r="Q257" s="433">
        <f t="shared" si="421"/>
        <v>0</v>
      </c>
      <c r="R257" s="433">
        <f t="shared" si="421"/>
        <v>0</v>
      </c>
      <c r="S257" s="433">
        <f t="shared" si="421"/>
        <v>0</v>
      </c>
      <c r="T257" s="433">
        <f t="shared" si="421"/>
        <v>0</v>
      </c>
      <c r="U257" s="433">
        <f t="shared" si="421"/>
        <v>0</v>
      </c>
      <c r="V257" s="433">
        <f t="shared" si="421"/>
        <v>0</v>
      </c>
      <c r="W257" s="433">
        <f t="shared" si="421"/>
        <v>0</v>
      </c>
      <c r="X257" s="433">
        <f t="shared" si="421"/>
        <v>0</v>
      </c>
      <c r="Y257" s="433">
        <f t="shared" si="421"/>
        <v>8</v>
      </c>
      <c r="Z257" s="433">
        <f t="shared" si="421"/>
        <v>8</v>
      </c>
      <c r="AA257" s="433">
        <f t="shared" si="422"/>
        <v>8</v>
      </c>
      <c r="AB257" s="433">
        <f t="shared" si="422"/>
        <v>8</v>
      </c>
      <c r="AC257" s="433">
        <f t="shared" si="422"/>
        <v>8</v>
      </c>
      <c r="AD257" s="433">
        <f t="shared" si="422"/>
        <v>8</v>
      </c>
      <c r="AE257" s="433">
        <f t="shared" si="422"/>
        <v>8</v>
      </c>
      <c r="AF257" s="433">
        <f t="shared" si="422"/>
        <v>8</v>
      </c>
      <c r="AG257" s="433">
        <f t="shared" si="422"/>
        <v>8</v>
      </c>
      <c r="AH257" s="433">
        <f t="shared" si="422"/>
        <v>8</v>
      </c>
      <c r="AI257" s="433">
        <f t="shared" si="422"/>
        <v>8</v>
      </c>
      <c r="AJ257" s="433">
        <f t="shared" si="422"/>
        <v>8</v>
      </c>
      <c r="AK257" s="433">
        <f t="shared" si="422"/>
        <v>8</v>
      </c>
      <c r="AL257" s="433">
        <f t="shared" si="422"/>
        <v>8</v>
      </c>
      <c r="AM257" s="433">
        <f t="shared" si="422"/>
        <v>8</v>
      </c>
      <c r="AN257" s="433">
        <f t="shared" si="422"/>
        <v>8</v>
      </c>
      <c r="AO257" s="433">
        <f t="shared" si="422"/>
        <v>8</v>
      </c>
      <c r="AP257" s="433">
        <f t="shared" si="422"/>
        <v>8</v>
      </c>
      <c r="AQ257" s="433">
        <f t="shared" si="423"/>
        <v>8</v>
      </c>
      <c r="AR257" s="433">
        <f t="shared" si="423"/>
        <v>8</v>
      </c>
      <c r="AS257" s="433">
        <f t="shared" si="423"/>
        <v>8</v>
      </c>
      <c r="AT257" s="433">
        <f t="shared" si="423"/>
        <v>8</v>
      </c>
      <c r="AU257" s="433">
        <f t="shared" si="423"/>
        <v>8</v>
      </c>
      <c r="AV257" s="433">
        <f t="shared" si="423"/>
        <v>8</v>
      </c>
      <c r="AW257" s="433">
        <f t="shared" si="423"/>
        <v>8</v>
      </c>
      <c r="AX257" s="433">
        <f t="shared" si="423"/>
        <v>8</v>
      </c>
      <c r="AY257" s="433">
        <f t="shared" si="423"/>
        <v>8</v>
      </c>
      <c r="AZ257" s="433">
        <f t="shared" si="423"/>
        <v>8</v>
      </c>
      <c r="BA257" s="433">
        <f t="shared" si="423"/>
        <v>8</v>
      </c>
      <c r="BB257" s="433">
        <f t="shared" si="423"/>
        <v>8</v>
      </c>
      <c r="BC257" s="433">
        <f t="shared" si="423"/>
        <v>8</v>
      </c>
      <c r="BD257" s="433">
        <f t="shared" si="423"/>
        <v>8</v>
      </c>
      <c r="BE257" s="433">
        <f t="shared" si="423"/>
        <v>8</v>
      </c>
    </row>
    <row r="258" spans="2:57" x14ac:dyDescent="0.25">
      <c r="B258" s="30"/>
      <c r="C258" s="430" t="s">
        <v>935</v>
      </c>
      <c r="D258" s="430" t="s">
        <v>936</v>
      </c>
      <c r="E258" s="325">
        <v>0</v>
      </c>
      <c r="F258" s="313">
        <v>0</v>
      </c>
      <c r="G258" s="313">
        <v>0</v>
      </c>
      <c r="H258" s="313">
        <f t="shared" si="424"/>
        <v>0</v>
      </c>
      <c r="J258" s="433">
        <f t="shared" si="425"/>
        <v>0</v>
      </c>
      <c r="K258" s="433">
        <f t="shared" si="421"/>
        <v>0</v>
      </c>
      <c r="L258" s="433">
        <f t="shared" si="421"/>
        <v>0</v>
      </c>
      <c r="M258" s="433">
        <f t="shared" si="421"/>
        <v>0</v>
      </c>
      <c r="N258" s="433">
        <f t="shared" si="421"/>
        <v>0</v>
      </c>
      <c r="O258" s="433">
        <f t="shared" si="421"/>
        <v>0</v>
      </c>
      <c r="P258" s="433">
        <f t="shared" si="421"/>
        <v>0</v>
      </c>
      <c r="Q258" s="433">
        <f t="shared" si="421"/>
        <v>0</v>
      </c>
      <c r="R258" s="433">
        <f t="shared" si="421"/>
        <v>0</v>
      </c>
      <c r="S258" s="433">
        <f t="shared" si="421"/>
        <v>0</v>
      </c>
      <c r="T258" s="433">
        <f t="shared" si="421"/>
        <v>0</v>
      </c>
      <c r="U258" s="433">
        <f t="shared" si="421"/>
        <v>0</v>
      </c>
      <c r="V258" s="433">
        <f t="shared" si="421"/>
        <v>0</v>
      </c>
      <c r="W258" s="433">
        <f t="shared" si="421"/>
        <v>0</v>
      </c>
      <c r="X258" s="433">
        <f t="shared" si="421"/>
        <v>0</v>
      </c>
      <c r="Y258" s="433">
        <f t="shared" si="421"/>
        <v>0</v>
      </c>
      <c r="Z258" s="433">
        <f t="shared" si="421"/>
        <v>0</v>
      </c>
      <c r="AA258" s="433">
        <f t="shared" si="422"/>
        <v>0</v>
      </c>
      <c r="AB258" s="433">
        <f t="shared" si="422"/>
        <v>0</v>
      </c>
      <c r="AC258" s="433">
        <f t="shared" si="422"/>
        <v>0</v>
      </c>
      <c r="AD258" s="433">
        <f t="shared" si="422"/>
        <v>0</v>
      </c>
      <c r="AE258" s="433">
        <f t="shared" si="422"/>
        <v>0</v>
      </c>
      <c r="AF258" s="433">
        <f t="shared" si="422"/>
        <v>0</v>
      </c>
      <c r="AG258" s="433">
        <f t="shared" si="422"/>
        <v>0</v>
      </c>
      <c r="AH258" s="433">
        <f t="shared" si="422"/>
        <v>0</v>
      </c>
      <c r="AI258" s="433">
        <f t="shared" si="422"/>
        <v>0</v>
      </c>
      <c r="AJ258" s="433">
        <f t="shared" si="422"/>
        <v>0</v>
      </c>
      <c r="AK258" s="433">
        <f t="shared" si="422"/>
        <v>0</v>
      </c>
      <c r="AL258" s="433">
        <f t="shared" si="422"/>
        <v>0</v>
      </c>
      <c r="AM258" s="433">
        <f t="shared" si="422"/>
        <v>0</v>
      </c>
      <c r="AN258" s="433">
        <f t="shared" si="422"/>
        <v>0</v>
      </c>
      <c r="AO258" s="433">
        <f t="shared" si="422"/>
        <v>0</v>
      </c>
      <c r="AP258" s="433">
        <f t="shared" si="422"/>
        <v>0</v>
      </c>
      <c r="AQ258" s="433">
        <f t="shared" si="423"/>
        <v>0</v>
      </c>
      <c r="AR258" s="433">
        <f t="shared" si="423"/>
        <v>0</v>
      </c>
      <c r="AS258" s="433">
        <f t="shared" si="423"/>
        <v>0</v>
      </c>
      <c r="AT258" s="433">
        <f t="shared" si="423"/>
        <v>0</v>
      </c>
      <c r="AU258" s="433">
        <f t="shared" si="423"/>
        <v>0</v>
      </c>
      <c r="AV258" s="433">
        <f t="shared" si="423"/>
        <v>0</v>
      </c>
      <c r="AW258" s="433">
        <f t="shared" si="423"/>
        <v>0</v>
      </c>
      <c r="AX258" s="433">
        <f t="shared" si="423"/>
        <v>0</v>
      </c>
      <c r="AY258" s="433">
        <f t="shared" si="423"/>
        <v>0</v>
      </c>
      <c r="AZ258" s="433">
        <f t="shared" si="423"/>
        <v>0</v>
      </c>
      <c r="BA258" s="433">
        <f t="shared" si="423"/>
        <v>0</v>
      </c>
      <c r="BB258" s="433">
        <f t="shared" si="423"/>
        <v>0</v>
      </c>
      <c r="BC258" s="433">
        <f t="shared" si="423"/>
        <v>0</v>
      </c>
      <c r="BD258" s="433">
        <f t="shared" si="423"/>
        <v>0</v>
      </c>
      <c r="BE258" s="433">
        <f t="shared" si="423"/>
        <v>0</v>
      </c>
    </row>
    <row r="259" spans="2:57" x14ac:dyDescent="0.25">
      <c r="B259" s="435"/>
      <c r="C259" s="430" t="s">
        <v>937</v>
      </c>
      <c r="D259" s="430" t="s">
        <v>936</v>
      </c>
      <c r="E259" s="325">
        <v>0</v>
      </c>
      <c r="F259" s="313">
        <v>0</v>
      </c>
      <c r="G259" s="313">
        <v>0</v>
      </c>
      <c r="H259" s="313">
        <f t="shared" si="424"/>
        <v>0</v>
      </c>
      <c r="J259" s="433">
        <f t="shared" si="425"/>
        <v>0</v>
      </c>
      <c r="K259" s="433">
        <f t="shared" si="421"/>
        <v>0</v>
      </c>
      <c r="L259" s="433">
        <f t="shared" si="421"/>
        <v>0</v>
      </c>
      <c r="M259" s="433">
        <f t="shared" si="421"/>
        <v>0</v>
      </c>
      <c r="N259" s="433">
        <f t="shared" si="421"/>
        <v>0</v>
      </c>
      <c r="O259" s="433">
        <f t="shared" si="421"/>
        <v>0</v>
      </c>
      <c r="P259" s="433">
        <f t="shared" si="421"/>
        <v>0</v>
      </c>
      <c r="Q259" s="433">
        <f t="shared" si="421"/>
        <v>0</v>
      </c>
      <c r="R259" s="433">
        <f t="shared" si="421"/>
        <v>0</v>
      </c>
      <c r="S259" s="433">
        <f t="shared" si="421"/>
        <v>0</v>
      </c>
      <c r="T259" s="433">
        <f t="shared" si="421"/>
        <v>0</v>
      </c>
      <c r="U259" s="433">
        <f t="shared" si="421"/>
        <v>0</v>
      </c>
      <c r="V259" s="433">
        <f t="shared" si="421"/>
        <v>0</v>
      </c>
      <c r="W259" s="433">
        <f t="shared" si="421"/>
        <v>0</v>
      </c>
      <c r="X259" s="433">
        <f t="shared" si="421"/>
        <v>0</v>
      </c>
      <c r="Y259" s="433">
        <f t="shared" si="421"/>
        <v>0</v>
      </c>
      <c r="Z259" s="433">
        <f t="shared" si="421"/>
        <v>0</v>
      </c>
      <c r="AA259" s="433">
        <f t="shared" si="422"/>
        <v>0</v>
      </c>
      <c r="AB259" s="433">
        <f t="shared" si="422"/>
        <v>0</v>
      </c>
      <c r="AC259" s="433">
        <f t="shared" si="422"/>
        <v>0</v>
      </c>
      <c r="AD259" s="433">
        <f t="shared" si="422"/>
        <v>0</v>
      </c>
      <c r="AE259" s="433">
        <f t="shared" si="422"/>
        <v>0</v>
      </c>
      <c r="AF259" s="433">
        <f t="shared" si="422"/>
        <v>0</v>
      </c>
      <c r="AG259" s="433">
        <f t="shared" si="422"/>
        <v>0</v>
      </c>
      <c r="AH259" s="433">
        <f t="shared" si="422"/>
        <v>0</v>
      </c>
      <c r="AI259" s="433">
        <f t="shared" si="422"/>
        <v>0</v>
      </c>
      <c r="AJ259" s="433">
        <f t="shared" si="422"/>
        <v>0</v>
      </c>
      <c r="AK259" s="433">
        <f t="shared" si="422"/>
        <v>0</v>
      </c>
      <c r="AL259" s="433">
        <f t="shared" si="422"/>
        <v>0</v>
      </c>
      <c r="AM259" s="433">
        <f t="shared" si="422"/>
        <v>0</v>
      </c>
      <c r="AN259" s="433">
        <f t="shared" si="422"/>
        <v>0</v>
      </c>
      <c r="AO259" s="433">
        <f t="shared" si="422"/>
        <v>0</v>
      </c>
      <c r="AP259" s="433">
        <f t="shared" si="422"/>
        <v>0</v>
      </c>
      <c r="AQ259" s="433">
        <f t="shared" si="423"/>
        <v>0</v>
      </c>
      <c r="AR259" s="433">
        <f t="shared" si="423"/>
        <v>0</v>
      </c>
      <c r="AS259" s="433">
        <f t="shared" si="423"/>
        <v>0</v>
      </c>
      <c r="AT259" s="433">
        <f t="shared" si="423"/>
        <v>0</v>
      </c>
      <c r="AU259" s="433">
        <f t="shared" si="423"/>
        <v>0</v>
      </c>
      <c r="AV259" s="433">
        <f t="shared" si="423"/>
        <v>0</v>
      </c>
      <c r="AW259" s="433">
        <f t="shared" si="423"/>
        <v>0</v>
      </c>
      <c r="AX259" s="433">
        <f t="shared" si="423"/>
        <v>0</v>
      </c>
      <c r="AY259" s="433">
        <f t="shared" si="423"/>
        <v>0</v>
      </c>
      <c r="AZ259" s="433">
        <f t="shared" si="423"/>
        <v>0</v>
      </c>
      <c r="BA259" s="433">
        <f t="shared" si="423"/>
        <v>0</v>
      </c>
      <c r="BB259" s="433">
        <f t="shared" si="423"/>
        <v>0</v>
      </c>
      <c r="BC259" s="433">
        <f t="shared" si="423"/>
        <v>0</v>
      </c>
      <c r="BD259" s="433">
        <f t="shared" si="423"/>
        <v>0</v>
      </c>
      <c r="BE259" s="433">
        <f t="shared" si="423"/>
        <v>0</v>
      </c>
    </row>
    <row r="261" spans="2:57" x14ac:dyDescent="0.25">
      <c r="C261" s="431" t="s">
        <v>938</v>
      </c>
    </row>
    <row r="262" spans="2:57" x14ac:dyDescent="0.25">
      <c r="B262" s="171">
        <v>1</v>
      </c>
      <c r="C262" s="1105" t="s">
        <v>1421</v>
      </c>
    </row>
    <row r="263" spans="2:57" x14ac:dyDescent="0.25">
      <c r="B263" s="171">
        <v>2</v>
      </c>
      <c r="C263" s="325" t="s">
        <v>1426</v>
      </c>
    </row>
    <row r="264" spans="2:57" x14ac:dyDescent="0.25">
      <c r="B264" s="171">
        <v>3</v>
      </c>
      <c r="C264" s="325" t="s">
        <v>1427</v>
      </c>
    </row>
    <row r="265" spans="2:57" x14ac:dyDescent="0.25">
      <c r="B265" s="171">
        <v>4</v>
      </c>
      <c r="C265" s="325" t="s">
        <v>1425</v>
      </c>
    </row>
    <row r="266" spans="2:57" x14ac:dyDescent="0.25">
      <c r="B266" s="604">
        <v>5</v>
      </c>
      <c r="C266" s="1105" t="s">
        <v>1504</v>
      </c>
    </row>
    <row r="267" spans="2:57" x14ac:dyDescent="0.25">
      <c r="B267" s="171">
        <v>6</v>
      </c>
      <c r="C267" s="325" t="s">
        <v>1606</v>
      </c>
    </row>
    <row r="269" spans="2:57" ht="23.25" x14ac:dyDescent="0.35">
      <c r="C269" s="722" t="s">
        <v>1724</v>
      </c>
    </row>
    <row r="270" spans="2:57" ht="15.75" thickBot="1" x14ac:dyDescent="0.3">
      <c r="F270" s="321"/>
      <c r="J270" s="171" t="s">
        <v>680</v>
      </c>
    </row>
    <row r="271" spans="2:57" ht="16.5" thickTop="1" thickBot="1" x14ac:dyDescent="0.3">
      <c r="C271" s="322" t="s">
        <v>681</v>
      </c>
      <c r="D271" s="322" t="s">
        <v>682</v>
      </c>
      <c r="E271" s="322" t="s">
        <v>683</v>
      </c>
      <c r="F271" s="322" t="s">
        <v>684</v>
      </c>
      <c r="G271" s="322" t="s">
        <v>685</v>
      </c>
      <c r="H271" s="322" t="s">
        <v>686</v>
      </c>
      <c r="J271" s="171">
        <f>F272</f>
        <v>2018</v>
      </c>
      <c r="K271" s="171">
        <f>J271+1</f>
        <v>2019</v>
      </c>
      <c r="L271" s="171">
        <f t="shared" ref="L271" si="426">K271+1</f>
        <v>2020</v>
      </c>
      <c r="M271" s="171">
        <f t="shared" ref="M271" si="427">L271+1</f>
        <v>2021</v>
      </c>
      <c r="N271" s="171">
        <f t="shared" ref="N271" si="428">M271+1</f>
        <v>2022</v>
      </c>
      <c r="O271" s="171">
        <f t="shared" ref="O271" si="429">N271+1</f>
        <v>2023</v>
      </c>
      <c r="P271" s="171">
        <f t="shared" ref="P271" si="430">O271+1</f>
        <v>2024</v>
      </c>
      <c r="Q271" s="171">
        <f t="shared" ref="Q271" si="431">P271+1</f>
        <v>2025</v>
      </c>
      <c r="R271" s="171">
        <f t="shared" ref="R271" si="432">Q271+1</f>
        <v>2026</v>
      </c>
      <c r="S271" s="171">
        <f t="shared" ref="S271" si="433">R271+1</f>
        <v>2027</v>
      </c>
      <c r="T271" s="171">
        <f t="shared" ref="T271" si="434">S271+1</f>
        <v>2028</v>
      </c>
      <c r="U271" s="171">
        <f t="shared" ref="U271" si="435">T271+1</f>
        <v>2029</v>
      </c>
      <c r="V271" s="171">
        <f t="shared" ref="V271" si="436">U271+1</f>
        <v>2030</v>
      </c>
      <c r="W271" s="171">
        <f t="shared" ref="W271" si="437">V271+1</f>
        <v>2031</v>
      </c>
      <c r="X271" s="171">
        <f t="shared" ref="X271" si="438">W271+1</f>
        <v>2032</v>
      </c>
      <c r="Y271" s="171">
        <f t="shared" ref="Y271" si="439">X271+1</f>
        <v>2033</v>
      </c>
      <c r="Z271" s="171">
        <f t="shared" ref="Z271" si="440">Y271+1</f>
        <v>2034</v>
      </c>
      <c r="AA271" s="171">
        <f t="shared" ref="AA271" si="441">Z271+1</f>
        <v>2035</v>
      </c>
      <c r="AB271" s="171">
        <f t="shared" ref="AB271" si="442">AA271+1</f>
        <v>2036</v>
      </c>
      <c r="AC271" s="171">
        <f t="shared" ref="AC271" si="443">AB271+1</f>
        <v>2037</v>
      </c>
      <c r="AD271" s="171">
        <f t="shared" ref="AD271" si="444">AC271+1</f>
        <v>2038</v>
      </c>
      <c r="AE271" s="171">
        <f t="shared" ref="AE271" si="445">AD271+1</f>
        <v>2039</v>
      </c>
      <c r="AF271" s="171">
        <f t="shared" ref="AF271" si="446">AE271+1</f>
        <v>2040</v>
      </c>
      <c r="AG271" s="171">
        <f t="shared" ref="AG271" si="447">AF271+1</f>
        <v>2041</v>
      </c>
      <c r="AH271" s="171">
        <f t="shared" ref="AH271" si="448">AG271+1</f>
        <v>2042</v>
      </c>
      <c r="AI271" s="171">
        <f t="shared" ref="AI271" si="449">AH271+1</f>
        <v>2043</v>
      </c>
      <c r="AJ271" s="171">
        <f t="shared" ref="AJ271" si="450">AI271+1</f>
        <v>2044</v>
      </c>
      <c r="AK271" s="171">
        <f t="shared" ref="AK271" si="451">AJ271+1</f>
        <v>2045</v>
      </c>
      <c r="AL271" s="171">
        <f t="shared" ref="AL271" si="452">AK271+1</f>
        <v>2046</v>
      </c>
      <c r="AM271" s="171">
        <f t="shared" ref="AM271" si="453">AL271+1</f>
        <v>2047</v>
      </c>
      <c r="AN271" s="171">
        <f t="shared" ref="AN271" si="454">AM271+1</f>
        <v>2048</v>
      </c>
      <c r="AO271" s="171">
        <f t="shared" ref="AO271" si="455">AN271+1</f>
        <v>2049</v>
      </c>
      <c r="AP271" s="171">
        <f t="shared" ref="AP271" si="456">AO271+1</f>
        <v>2050</v>
      </c>
      <c r="AQ271" s="171">
        <f t="shared" ref="AQ271" si="457">AP271+1</f>
        <v>2051</v>
      </c>
      <c r="AR271" s="171">
        <f t="shared" ref="AR271" si="458">AQ271+1</f>
        <v>2052</v>
      </c>
      <c r="AS271" s="171">
        <f t="shared" ref="AS271" si="459">AR271+1</f>
        <v>2053</v>
      </c>
      <c r="AT271" s="171">
        <f t="shared" ref="AT271" si="460">AS271+1</f>
        <v>2054</v>
      </c>
      <c r="AU271" s="171">
        <f t="shared" ref="AU271" si="461">AT271+1</f>
        <v>2055</v>
      </c>
      <c r="AV271" s="171">
        <f t="shared" ref="AV271" si="462">AU271+1</f>
        <v>2056</v>
      </c>
      <c r="AW271" s="171">
        <f t="shared" ref="AW271" si="463">AV271+1</f>
        <v>2057</v>
      </c>
      <c r="AX271" s="171">
        <f t="shared" ref="AX271" si="464">AW271+1</f>
        <v>2058</v>
      </c>
      <c r="AY271" s="171">
        <f t="shared" ref="AY271" si="465">AX271+1</f>
        <v>2059</v>
      </c>
      <c r="AZ271" s="171">
        <f t="shared" ref="AZ271" si="466">AY271+1</f>
        <v>2060</v>
      </c>
      <c r="BA271" s="171">
        <f t="shared" ref="BA271" si="467">AZ271+1</f>
        <v>2061</v>
      </c>
      <c r="BB271" s="171">
        <f t="shared" ref="BB271" si="468">BA271+1</f>
        <v>2062</v>
      </c>
      <c r="BC271" s="171">
        <f t="shared" ref="BC271" si="469">BB271+1</f>
        <v>2063</v>
      </c>
      <c r="BD271" s="171">
        <f t="shared" ref="BD271" si="470">BC271+1</f>
        <v>2064</v>
      </c>
      <c r="BE271" s="171">
        <f t="shared" ref="BE271" si="471">BD271+1</f>
        <v>2065</v>
      </c>
    </row>
    <row r="272" spans="2:57" ht="15.75" thickTop="1" x14ac:dyDescent="0.25">
      <c r="C272" s="171" t="s">
        <v>687</v>
      </c>
      <c r="D272" s="325" t="s">
        <v>688</v>
      </c>
      <c r="E272" s="325">
        <v>1</v>
      </c>
      <c r="F272" s="325">
        <v>2018</v>
      </c>
      <c r="G272" s="325">
        <v>2028</v>
      </c>
      <c r="H272" s="313">
        <f t="shared" ref="H272:H285" si="472">G272-F272</f>
        <v>10</v>
      </c>
      <c r="J272" s="323">
        <f t="shared" ref="J272:Y285" si="473">IF(AND(J$8&gt;=$F272,J$8&lt;$G272),1," ")</f>
        <v>1</v>
      </c>
      <c r="K272" s="323">
        <f t="shared" si="473"/>
        <v>1</v>
      </c>
      <c r="L272" s="323">
        <f t="shared" si="473"/>
        <v>1</v>
      </c>
      <c r="M272" s="323">
        <f t="shared" si="473"/>
        <v>1</v>
      </c>
      <c r="N272" s="323">
        <f t="shared" si="473"/>
        <v>1</v>
      </c>
      <c r="O272" s="323">
        <f t="shared" si="473"/>
        <v>1</v>
      </c>
      <c r="P272" s="323">
        <f t="shared" si="473"/>
        <v>1</v>
      </c>
      <c r="Q272" s="323">
        <f t="shared" si="473"/>
        <v>1</v>
      </c>
      <c r="R272" s="323">
        <f t="shared" si="473"/>
        <v>1</v>
      </c>
      <c r="S272" s="323">
        <f t="shared" si="473"/>
        <v>1</v>
      </c>
      <c r="T272" s="323" t="str">
        <f t="shared" si="473"/>
        <v xml:space="preserve"> </v>
      </c>
      <c r="U272" s="323" t="str">
        <f t="shared" si="473"/>
        <v xml:space="preserve"> </v>
      </c>
      <c r="V272" s="323" t="str">
        <f t="shared" si="473"/>
        <v xml:space="preserve"> </v>
      </c>
      <c r="W272" s="323" t="str">
        <f t="shared" si="473"/>
        <v xml:space="preserve"> </v>
      </c>
      <c r="X272" s="323" t="str">
        <f t="shared" si="473"/>
        <v xml:space="preserve"> </v>
      </c>
      <c r="Y272" s="323" t="str">
        <f t="shared" si="473"/>
        <v xml:space="preserve"> </v>
      </c>
      <c r="Z272" s="323" t="str">
        <f t="shared" ref="Z272:AO285" si="474">IF(AND(Z$8&gt;=$F272,Z$8&lt;$G272),1," ")</f>
        <v xml:space="preserve"> </v>
      </c>
      <c r="AA272" s="323" t="str">
        <f t="shared" si="474"/>
        <v xml:space="preserve"> </v>
      </c>
      <c r="AB272" s="323" t="str">
        <f t="shared" si="474"/>
        <v xml:space="preserve"> </v>
      </c>
      <c r="AC272" s="323" t="str">
        <f t="shared" si="474"/>
        <v xml:space="preserve"> </v>
      </c>
      <c r="AD272" s="323" t="str">
        <f t="shared" si="474"/>
        <v xml:space="preserve"> </v>
      </c>
      <c r="AE272" s="323" t="str">
        <f t="shared" si="474"/>
        <v xml:space="preserve"> </v>
      </c>
      <c r="AF272" s="323" t="str">
        <f t="shared" si="474"/>
        <v xml:space="preserve"> </v>
      </c>
      <c r="AG272" s="323" t="str">
        <f t="shared" si="474"/>
        <v xml:space="preserve"> </v>
      </c>
      <c r="AH272" s="323" t="str">
        <f t="shared" si="474"/>
        <v xml:space="preserve"> </v>
      </c>
      <c r="AI272" s="323" t="str">
        <f t="shared" si="474"/>
        <v xml:space="preserve"> </v>
      </c>
      <c r="AJ272" s="323" t="str">
        <f t="shared" si="474"/>
        <v xml:space="preserve"> </v>
      </c>
      <c r="AK272" s="323" t="str">
        <f t="shared" si="474"/>
        <v xml:space="preserve"> </v>
      </c>
      <c r="AL272" s="323" t="str">
        <f t="shared" si="474"/>
        <v xml:space="preserve"> </v>
      </c>
      <c r="AM272" s="323" t="str">
        <f t="shared" si="474"/>
        <v xml:space="preserve"> </v>
      </c>
      <c r="AN272" s="323" t="str">
        <f t="shared" si="474"/>
        <v xml:space="preserve"> </v>
      </c>
      <c r="AO272" s="323" t="str">
        <f t="shared" si="474"/>
        <v xml:space="preserve"> </v>
      </c>
      <c r="AP272" s="323" t="str">
        <f t="shared" ref="AP272:BE285" si="475">IF(AND(AP$8&gt;=$F272,AP$8&lt;$G272),1," ")</f>
        <v xml:space="preserve"> </v>
      </c>
      <c r="AQ272" s="323" t="str">
        <f t="shared" si="475"/>
        <v xml:space="preserve"> </v>
      </c>
      <c r="AR272" s="323" t="str">
        <f t="shared" si="475"/>
        <v xml:space="preserve"> </v>
      </c>
      <c r="AS272" s="323" t="str">
        <f t="shared" si="475"/>
        <v xml:space="preserve"> </v>
      </c>
      <c r="AT272" s="323" t="str">
        <f t="shared" si="475"/>
        <v xml:space="preserve"> </v>
      </c>
      <c r="AU272" s="323" t="str">
        <f t="shared" si="475"/>
        <v xml:space="preserve"> </v>
      </c>
      <c r="AV272" s="323" t="str">
        <f t="shared" si="475"/>
        <v xml:space="preserve"> </v>
      </c>
      <c r="AW272" s="323" t="str">
        <f t="shared" si="475"/>
        <v xml:space="preserve"> </v>
      </c>
      <c r="AX272" s="323" t="str">
        <f t="shared" si="475"/>
        <v xml:space="preserve"> </v>
      </c>
      <c r="AY272" s="323" t="str">
        <f t="shared" si="475"/>
        <v xml:space="preserve"> </v>
      </c>
      <c r="AZ272" s="323" t="str">
        <f t="shared" si="475"/>
        <v xml:space="preserve"> </v>
      </c>
      <c r="BA272" s="323" t="str">
        <f t="shared" si="475"/>
        <v xml:space="preserve"> </v>
      </c>
      <c r="BB272" s="323" t="str">
        <f t="shared" si="475"/>
        <v xml:space="preserve"> </v>
      </c>
      <c r="BC272" s="323" t="str">
        <f t="shared" si="475"/>
        <v xml:space="preserve"> </v>
      </c>
      <c r="BD272" s="323" t="str">
        <f t="shared" si="475"/>
        <v xml:space="preserve"> </v>
      </c>
      <c r="BE272" s="323" t="str">
        <f t="shared" si="475"/>
        <v xml:space="preserve"> </v>
      </c>
    </row>
    <row r="273" spans="2:57" x14ac:dyDescent="0.25">
      <c r="B273" s="314"/>
      <c r="C273" s="171" t="s">
        <v>689</v>
      </c>
      <c r="D273" s="325" t="s">
        <v>688</v>
      </c>
      <c r="E273" s="325">
        <v>2</v>
      </c>
      <c r="F273" s="325">
        <v>2028</v>
      </c>
      <c r="G273" s="325">
        <v>2029</v>
      </c>
      <c r="H273" s="313">
        <f t="shared" si="472"/>
        <v>1</v>
      </c>
      <c r="J273" s="323" t="str">
        <f t="shared" si="473"/>
        <v xml:space="preserve"> </v>
      </c>
      <c r="K273" s="323" t="str">
        <f t="shared" si="473"/>
        <v xml:space="preserve"> </v>
      </c>
      <c r="L273" s="323" t="str">
        <f t="shared" si="473"/>
        <v xml:space="preserve"> </v>
      </c>
      <c r="M273" s="323" t="str">
        <f t="shared" si="473"/>
        <v xml:space="preserve"> </v>
      </c>
      <c r="N273" s="323" t="str">
        <f t="shared" si="473"/>
        <v xml:space="preserve"> </v>
      </c>
      <c r="O273" s="323" t="str">
        <f t="shared" si="473"/>
        <v xml:space="preserve"> </v>
      </c>
      <c r="P273" s="323" t="str">
        <f t="shared" si="473"/>
        <v xml:space="preserve"> </v>
      </c>
      <c r="Q273" s="323" t="str">
        <f t="shared" si="473"/>
        <v xml:space="preserve"> </v>
      </c>
      <c r="R273" s="323" t="str">
        <f t="shared" si="473"/>
        <v xml:space="preserve"> </v>
      </c>
      <c r="S273" s="323" t="str">
        <f t="shared" si="473"/>
        <v xml:space="preserve"> </v>
      </c>
      <c r="T273" s="323">
        <f t="shared" si="473"/>
        <v>1</v>
      </c>
      <c r="U273" s="323" t="str">
        <f t="shared" si="473"/>
        <v xml:space="preserve"> </v>
      </c>
      <c r="V273" s="323" t="str">
        <f t="shared" si="473"/>
        <v xml:space="preserve"> </v>
      </c>
      <c r="W273" s="323" t="str">
        <f t="shared" si="473"/>
        <v xml:space="preserve"> </v>
      </c>
      <c r="X273" s="323" t="str">
        <f t="shared" si="473"/>
        <v xml:space="preserve"> </v>
      </c>
      <c r="Y273" s="323" t="str">
        <f t="shared" si="473"/>
        <v xml:space="preserve"> </v>
      </c>
      <c r="Z273" s="323" t="str">
        <f t="shared" si="474"/>
        <v xml:space="preserve"> </v>
      </c>
      <c r="AA273" s="323" t="str">
        <f t="shared" si="474"/>
        <v xml:space="preserve"> </v>
      </c>
      <c r="AB273" s="323" t="str">
        <f t="shared" si="474"/>
        <v xml:space="preserve"> </v>
      </c>
      <c r="AC273" s="323" t="str">
        <f t="shared" si="474"/>
        <v xml:space="preserve"> </v>
      </c>
      <c r="AD273" s="323" t="str">
        <f t="shared" si="474"/>
        <v xml:space="preserve"> </v>
      </c>
      <c r="AE273" s="323" t="str">
        <f t="shared" si="474"/>
        <v xml:space="preserve"> </v>
      </c>
      <c r="AF273" s="323" t="str">
        <f t="shared" si="474"/>
        <v xml:space="preserve"> </v>
      </c>
      <c r="AG273" s="323" t="str">
        <f t="shared" si="474"/>
        <v xml:space="preserve"> </v>
      </c>
      <c r="AH273" s="323" t="str">
        <f t="shared" si="474"/>
        <v xml:space="preserve"> </v>
      </c>
      <c r="AI273" s="323" t="str">
        <f t="shared" si="474"/>
        <v xml:space="preserve"> </v>
      </c>
      <c r="AJ273" s="323" t="str">
        <f t="shared" si="474"/>
        <v xml:space="preserve"> </v>
      </c>
      <c r="AK273" s="323" t="str">
        <f t="shared" si="474"/>
        <v xml:space="preserve"> </v>
      </c>
      <c r="AL273" s="323" t="str">
        <f t="shared" si="474"/>
        <v xml:space="preserve"> </v>
      </c>
      <c r="AM273" s="323" t="str">
        <f t="shared" si="474"/>
        <v xml:space="preserve"> </v>
      </c>
      <c r="AN273" s="323" t="str">
        <f t="shared" si="474"/>
        <v xml:space="preserve"> </v>
      </c>
      <c r="AO273" s="323" t="str">
        <f t="shared" si="474"/>
        <v xml:space="preserve"> </v>
      </c>
      <c r="AP273" s="323" t="str">
        <f t="shared" si="475"/>
        <v xml:space="preserve"> </v>
      </c>
      <c r="AQ273" s="323" t="str">
        <f t="shared" si="475"/>
        <v xml:space="preserve"> </v>
      </c>
      <c r="AR273" s="323" t="str">
        <f t="shared" si="475"/>
        <v xml:space="preserve"> </v>
      </c>
      <c r="AS273" s="323" t="str">
        <f t="shared" si="475"/>
        <v xml:space="preserve"> </v>
      </c>
      <c r="AT273" s="323" t="str">
        <f t="shared" si="475"/>
        <v xml:space="preserve"> </v>
      </c>
      <c r="AU273" s="323" t="str">
        <f t="shared" si="475"/>
        <v xml:space="preserve"> </v>
      </c>
      <c r="AV273" s="323" t="str">
        <f t="shared" si="475"/>
        <v xml:space="preserve"> </v>
      </c>
      <c r="AW273" s="323" t="str">
        <f t="shared" si="475"/>
        <v xml:space="preserve"> </v>
      </c>
      <c r="AX273" s="323" t="str">
        <f t="shared" si="475"/>
        <v xml:space="preserve"> </v>
      </c>
      <c r="AY273" s="323" t="str">
        <f t="shared" si="475"/>
        <v xml:space="preserve"> </v>
      </c>
      <c r="AZ273" s="323" t="str">
        <f t="shared" si="475"/>
        <v xml:space="preserve"> </v>
      </c>
      <c r="BA273" s="323" t="str">
        <f t="shared" si="475"/>
        <v xml:space="preserve"> </v>
      </c>
      <c r="BB273" s="323" t="str">
        <f t="shared" si="475"/>
        <v xml:space="preserve"> </v>
      </c>
      <c r="BC273" s="323" t="str">
        <f t="shared" si="475"/>
        <v xml:space="preserve"> </v>
      </c>
      <c r="BD273" s="323" t="str">
        <f t="shared" si="475"/>
        <v xml:space="preserve"> </v>
      </c>
      <c r="BE273" s="323" t="str">
        <f t="shared" si="475"/>
        <v xml:space="preserve"> </v>
      </c>
    </row>
    <row r="274" spans="2:57" x14ac:dyDescent="0.25">
      <c r="B274" s="314"/>
      <c r="C274" s="171" t="s">
        <v>673</v>
      </c>
      <c r="D274" s="325" t="s">
        <v>688</v>
      </c>
      <c r="E274" s="325">
        <v>3</v>
      </c>
      <c r="F274" s="313">
        <v>2029</v>
      </c>
      <c r="G274" s="325">
        <v>2033</v>
      </c>
      <c r="H274" s="313">
        <f t="shared" si="472"/>
        <v>4</v>
      </c>
      <c r="J274" s="323" t="str">
        <f t="shared" si="473"/>
        <v xml:space="preserve"> </v>
      </c>
      <c r="K274" s="323" t="str">
        <f t="shared" si="473"/>
        <v xml:space="preserve"> </v>
      </c>
      <c r="L274" s="323" t="str">
        <f t="shared" si="473"/>
        <v xml:space="preserve"> </v>
      </c>
      <c r="M274" s="323" t="str">
        <f t="shared" si="473"/>
        <v xml:space="preserve"> </v>
      </c>
      <c r="N274" s="323" t="str">
        <f t="shared" si="473"/>
        <v xml:space="preserve"> </v>
      </c>
      <c r="O274" s="323" t="str">
        <f t="shared" si="473"/>
        <v xml:space="preserve"> </v>
      </c>
      <c r="P274" s="323" t="str">
        <f t="shared" si="473"/>
        <v xml:space="preserve"> </v>
      </c>
      <c r="Q274" s="323" t="str">
        <f t="shared" si="473"/>
        <v xml:space="preserve"> </v>
      </c>
      <c r="R274" s="323" t="str">
        <f t="shared" si="473"/>
        <v xml:space="preserve"> </v>
      </c>
      <c r="S274" s="323" t="str">
        <f t="shared" si="473"/>
        <v xml:space="preserve"> </v>
      </c>
      <c r="T274" s="323" t="str">
        <f t="shared" si="473"/>
        <v xml:space="preserve"> </v>
      </c>
      <c r="U274" s="323">
        <f t="shared" si="473"/>
        <v>1</v>
      </c>
      <c r="V274" s="323">
        <f t="shared" si="473"/>
        <v>1</v>
      </c>
      <c r="W274" s="323">
        <f t="shared" si="473"/>
        <v>1</v>
      </c>
      <c r="X274" s="323">
        <f t="shared" si="473"/>
        <v>1</v>
      </c>
      <c r="Y274" s="323" t="str">
        <f t="shared" si="473"/>
        <v xml:space="preserve"> </v>
      </c>
      <c r="Z274" s="323" t="str">
        <f t="shared" si="474"/>
        <v xml:space="preserve"> </v>
      </c>
      <c r="AA274" s="323" t="str">
        <f t="shared" si="474"/>
        <v xml:space="preserve"> </v>
      </c>
      <c r="AB274" s="323" t="str">
        <f t="shared" si="474"/>
        <v xml:space="preserve"> </v>
      </c>
      <c r="AC274" s="323" t="str">
        <f t="shared" si="474"/>
        <v xml:space="preserve"> </v>
      </c>
      <c r="AD274" s="323" t="str">
        <f t="shared" si="474"/>
        <v xml:space="preserve"> </v>
      </c>
      <c r="AE274" s="323" t="str">
        <f t="shared" si="474"/>
        <v xml:space="preserve"> </v>
      </c>
      <c r="AF274" s="323" t="str">
        <f t="shared" si="474"/>
        <v xml:space="preserve"> </v>
      </c>
      <c r="AG274" s="323" t="str">
        <f t="shared" si="474"/>
        <v xml:space="preserve"> </v>
      </c>
      <c r="AH274" s="323" t="str">
        <f t="shared" si="474"/>
        <v xml:space="preserve"> </v>
      </c>
      <c r="AI274" s="323" t="str">
        <f t="shared" si="474"/>
        <v xml:space="preserve"> </v>
      </c>
      <c r="AJ274" s="323" t="str">
        <f t="shared" si="474"/>
        <v xml:space="preserve"> </v>
      </c>
      <c r="AK274" s="323" t="str">
        <f t="shared" si="474"/>
        <v xml:space="preserve"> </v>
      </c>
      <c r="AL274" s="323" t="str">
        <f t="shared" si="474"/>
        <v xml:space="preserve"> </v>
      </c>
      <c r="AM274" s="323" t="str">
        <f t="shared" si="474"/>
        <v xml:space="preserve"> </v>
      </c>
      <c r="AN274" s="323" t="str">
        <f t="shared" si="474"/>
        <v xml:space="preserve"> </v>
      </c>
      <c r="AO274" s="323" t="str">
        <f t="shared" si="474"/>
        <v xml:space="preserve"> </v>
      </c>
      <c r="AP274" s="323" t="str">
        <f t="shared" si="475"/>
        <v xml:space="preserve"> </v>
      </c>
      <c r="AQ274" s="323" t="str">
        <f t="shared" si="475"/>
        <v xml:space="preserve"> </v>
      </c>
      <c r="AR274" s="323" t="str">
        <f t="shared" si="475"/>
        <v xml:space="preserve"> </v>
      </c>
      <c r="AS274" s="323" t="str">
        <f t="shared" si="475"/>
        <v xml:space="preserve"> </v>
      </c>
      <c r="AT274" s="323" t="str">
        <f t="shared" si="475"/>
        <v xml:space="preserve"> </v>
      </c>
      <c r="AU274" s="323" t="str">
        <f t="shared" si="475"/>
        <v xml:space="preserve"> </v>
      </c>
      <c r="AV274" s="323" t="str">
        <f t="shared" si="475"/>
        <v xml:space="preserve"> </v>
      </c>
      <c r="AW274" s="323" t="str">
        <f t="shared" si="475"/>
        <v xml:space="preserve"> </v>
      </c>
      <c r="AX274" s="323" t="str">
        <f t="shared" si="475"/>
        <v xml:space="preserve"> </v>
      </c>
      <c r="AY274" s="323" t="str">
        <f t="shared" si="475"/>
        <v xml:space="preserve"> </v>
      </c>
      <c r="AZ274" s="323" t="str">
        <f t="shared" si="475"/>
        <v xml:space="preserve"> </v>
      </c>
      <c r="BA274" s="323" t="str">
        <f t="shared" si="475"/>
        <v xml:space="preserve"> </v>
      </c>
      <c r="BB274" s="323" t="str">
        <f t="shared" si="475"/>
        <v xml:space="preserve"> </v>
      </c>
      <c r="BC274" s="323" t="str">
        <f t="shared" si="475"/>
        <v xml:space="preserve"> </v>
      </c>
      <c r="BD274" s="323" t="str">
        <f t="shared" si="475"/>
        <v xml:space="preserve"> </v>
      </c>
      <c r="BE274" s="323" t="str">
        <f t="shared" si="475"/>
        <v xml:space="preserve"> </v>
      </c>
    </row>
    <row r="275" spans="2:57" x14ac:dyDescent="0.25">
      <c r="B275" s="314"/>
      <c r="C275" s="171" t="s">
        <v>690</v>
      </c>
      <c r="D275" s="325" t="s">
        <v>688</v>
      </c>
      <c r="E275" s="325">
        <v>4</v>
      </c>
      <c r="F275" s="324">
        <v>2049</v>
      </c>
      <c r="G275" s="324">
        <v>2050</v>
      </c>
      <c r="H275" s="313">
        <f t="shared" si="472"/>
        <v>1</v>
      </c>
      <c r="J275" s="323" t="str">
        <f t="shared" si="473"/>
        <v xml:space="preserve"> </v>
      </c>
      <c r="K275" s="323" t="str">
        <f t="shared" si="473"/>
        <v xml:space="preserve"> </v>
      </c>
      <c r="L275" s="323" t="str">
        <f t="shared" si="473"/>
        <v xml:space="preserve"> </v>
      </c>
      <c r="M275" s="323" t="str">
        <f t="shared" si="473"/>
        <v xml:space="preserve"> </v>
      </c>
      <c r="N275" s="323" t="str">
        <f t="shared" si="473"/>
        <v xml:space="preserve"> </v>
      </c>
      <c r="O275" s="323" t="str">
        <f t="shared" si="473"/>
        <v xml:space="preserve"> </v>
      </c>
      <c r="P275" s="323" t="str">
        <f t="shared" si="473"/>
        <v xml:space="preserve"> </v>
      </c>
      <c r="Q275" s="323" t="str">
        <f t="shared" si="473"/>
        <v xml:space="preserve"> </v>
      </c>
      <c r="R275" s="323" t="str">
        <f t="shared" si="473"/>
        <v xml:space="preserve"> </v>
      </c>
      <c r="S275" s="323" t="str">
        <f t="shared" si="473"/>
        <v xml:space="preserve"> </v>
      </c>
      <c r="T275" s="323" t="str">
        <f t="shared" si="473"/>
        <v xml:space="preserve"> </v>
      </c>
      <c r="U275" s="323" t="str">
        <f t="shared" si="473"/>
        <v xml:space="preserve"> </v>
      </c>
      <c r="V275" s="323" t="str">
        <f t="shared" si="473"/>
        <v xml:space="preserve"> </v>
      </c>
      <c r="W275" s="323" t="str">
        <f t="shared" si="473"/>
        <v xml:space="preserve"> </v>
      </c>
      <c r="X275" s="323" t="str">
        <f t="shared" si="473"/>
        <v xml:space="preserve"> </v>
      </c>
      <c r="Y275" s="323" t="str">
        <f t="shared" si="473"/>
        <v xml:space="preserve"> </v>
      </c>
      <c r="Z275" s="323" t="str">
        <f t="shared" si="474"/>
        <v xml:space="preserve"> </v>
      </c>
      <c r="AA275" s="323" t="str">
        <f t="shared" si="474"/>
        <v xml:space="preserve"> </v>
      </c>
      <c r="AB275" s="323" t="str">
        <f t="shared" si="474"/>
        <v xml:space="preserve"> </v>
      </c>
      <c r="AC275" s="323" t="str">
        <f t="shared" si="474"/>
        <v xml:space="preserve"> </v>
      </c>
      <c r="AD275" s="323" t="str">
        <f t="shared" si="474"/>
        <v xml:space="preserve"> </v>
      </c>
      <c r="AE275" s="323" t="str">
        <f t="shared" si="474"/>
        <v xml:space="preserve"> </v>
      </c>
      <c r="AF275" s="323" t="str">
        <f t="shared" si="474"/>
        <v xml:space="preserve"> </v>
      </c>
      <c r="AG275" s="323" t="str">
        <f t="shared" si="474"/>
        <v xml:space="preserve"> </v>
      </c>
      <c r="AH275" s="323" t="str">
        <f t="shared" si="474"/>
        <v xml:space="preserve"> </v>
      </c>
      <c r="AI275" s="323" t="str">
        <f t="shared" si="474"/>
        <v xml:space="preserve"> </v>
      </c>
      <c r="AJ275" s="323" t="str">
        <f t="shared" si="474"/>
        <v xml:space="preserve"> </v>
      </c>
      <c r="AK275" s="323" t="str">
        <f t="shared" si="474"/>
        <v xml:space="preserve"> </v>
      </c>
      <c r="AL275" s="323" t="str">
        <f t="shared" si="474"/>
        <v xml:space="preserve"> </v>
      </c>
      <c r="AM275" s="323" t="str">
        <f t="shared" si="474"/>
        <v xml:space="preserve"> </v>
      </c>
      <c r="AN275" s="323" t="str">
        <f t="shared" si="474"/>
        <v xml:space="preserve"> </v>
      </c>
      <c r="AO275" s="323">
        <f t="shared" si="474"/>
        <v>1</v>
      </c>
      <c r="AP275" s="323" t="str">
        <f t="shared" si="475"/>
        <v xml:space="preserve"> </v>
      </c>
      <c r="AQ275" s="323" t="str">
        <f t="shared" si="475"/>
        <v xml:space="preserve"> </v>
      </c>
      <c r="AR275" s="323" t="str">
        <f t="shared" si="475"/>
        <v xml:space="preserve"> </v>
      </c>
      <c r="AS275" s="323" t="str">
        <f t="shared" si="475"/>
        <v xml:space="preserve"> </v>
      </c>
      <c r="AT275" s="323" t="str">
        <f t="shared" si="475"/>
        <v xml:space="preserve"> </v>
      </c>
      <c r="AU275" s="323" t="str">
        <f t="shared" si="475"/>
        <v xml:space="preserve"> </v>
      </c>
      <c r="AV275" s="323" t="str">
        <f t="shared" si="475"/>
        <v xml:space="preserve"> </v>
      </c>
      <c r="AW275" s="323" t="str">
        <f t="shared" si="475"/>
        <v xml:space="preserve"> </v>
      </c>
      <c r="AX275" s="323" t="str">
        <f t="shared" si="475"/>
        <v xml:space="preserve"> </v>
      </c>
      <c r="AY275" s="323" t="str">
        <f t="shared" si="475"/>
        <v xml:space="preserve"> </v>
      </c>
      <c r="AZ275" s="323" t="str">
        <f t="shared" si="475"/>
        <v xml:space="preserve"> </v>
      </c>
      <c r="BA275" s="323" t="str">
        <f t="shared" si="475"/>
        <v xml:space="preserve"> </v>
      </c>
      <c r="BB275" s="323" t="str">
        <f t="shared" si="475"/>
        <v xml:space="preserve"> </v>
      </c>
      <c r="BC275" s="323" t="str">
        <f t="shared" si="475"/>
        <v xml:space="preserve"> </v>
      </c>
      <c r="BD275" s="323" t="str">
        <f t="shared" si="475"/>
        <v xml:space="preserve"> </v>
      </c>
      <c r="BE275" s="323" t="str">
        <f t="shared" si="475"/>
        <v xml:space="preserve"> </v>
      </c>
    </row>
    <row r="276" spans="2:57" x14ac:dyDescent="0.25">
      <c r="B276" s="315"/>
      <c r="C276" s="171" t="s">
        <v>691</v>
      </c>
      <c r="D276" s="325" t="s">
        <v>688</v>
      </c>
      <c r="E276" s="325">
        <v>5</v>
      </c>
      <c r="F276" s="325">
        <v>2028</v>
      </c>
      <c r="G276" s="325">
        <v>2029</v>
      </c>
      <c r="H276" s="313">
        <f t="shared" si="472"/>
        <v>1</v>
      </c>
      <c r="J276" s="323" t="str">
        <f t="shared" si="473"/>
        <v xml:space="preserve"> </v>
      </c>
      <c r="K276" s="323" t="str">
        <f t="shared" si="473"/>
        <v xml:space="preserve"> </v>
      </c>
      <c r="L276" s="323" t="str">
        <f t="shared" si="473"/>
        <v xml:space="preserve"> </v>
      </c>
      <c r="M276" s="323" t="str">
        <f t="shared" si="473"/>
        <v xml:space="preserve"> </v>
      </c>
      <c r="N276" s="323" t="str">
        <f t="shared" si="473"/>
        <v xml:space="preserve"> </v>
      </c>
      <c r="O276" s="323" t="str">
        <f t="shared" si="473"/>
        <v xml:space="preserve"> </v>
      </c>
      <c r="P276" s="323" t="str">
        <f t="shared" si="473"/>
        <v xml:space="preserve"> </v>
      </c>
      <c r="Q276" s="323" t="str">
        <f t="shared" si="473"/>
        <v xml:space="preserve"> </v>
      </c>
      <c r="R276" s="323" t="str">
        <f t="shared" si="473"/>
        <v xml:space="preserve"> </v>
      </c>
      <c r="S276" s="323" t="str">
        <f t="shared" si="473"/>
        <v xml:space="preserve"> </v>
      </c>
      <c r="T276" s="323">
        <f t="shared" si="473"/>
        <v>1</v>
      </c>
      <c r="U276" s="323" t="str">
        <f t="shared" si="473"/>
        <v xml:space="preserve"> </v>
      </c>
      <c r="V276" s="323" t="str">
        <f t="shared" si="473"/>
        <v xml:space="preserve"> </v>
      </c>
      <c r="W276" s="323" t="str">
        <f t="shared" si="473"/>
        <v xml:space="preserve"> </v>
      </c>
      <c r="X276" s="323" t="str">
        <f t="shared" si="473"/>
        <v xml:space="preserve"> </v>
      </c>
      <c r="Y276" s="323" t="str">
        <f t="shared" si="473"/>
        <v xml:space="preserve"> </v>
      </c>
      <c r="Z276" s="323" t="str">
        <f t="shared" si="474"/>
        <v xml:space="preserve"> </v>
      </c>
      <c r="AA276" s="323" t="str">
        <f t="shared" si="474"/>
        <v xml:space="preserve"> </v>
      </c>
      <c r="AB276" s="323" t="str">
        <f t="shared" si="474"/>
        <v xml:space="preserve"> </v>
      </c>
      <c r="AC276" s="323" t="str">
        <f t="shared" si="474"/>
        <v xml:space="preserve"> </v>
      </c>
      <c r="AD276" s="323" t="str">
        <f t="shared" si="474"/>
        <v xml:space="preserve"> </v>
      </c>
      <c r="AE276" s="323" t="str">
        <f t="shared" si="474"/>
        <v xml:space="preserve"> </v>
      </c>
      <c r="AF276" s="323" t="str">
        <f t="shared" si="474"/>
        <v xml:space="preserve"> </v>
      </c>
      <c r="AG276" s="323" t="str">
        <f t="shared" si="474"/>
        <v xml:space="preserve"> </v>
      </c>
      <c r="AH276" s="323" t="str">
        <f t="shared" si="474"/>
        <v xml:space="preserve"> </v>
      </c>
      <c r="AI276" s="323" t="str">
        <f t="shared" si="474"/>
        <v xml:space="preserve"> </v>
      </c>
      <c r="AJ276" s="323" t="str">
        <f t="shared" si="474"/>
        <v xml:space="preserve"> </v>
      </c>
      <c r="AK276" s="323" t="str">
        <f t="shared" si="474"/>
        <v xml:space="preserve"> </v>
      </c>
      <c r="AL276" s="323" t="str">
        <f t="shared" si="474"/>
        <v xml:space="preserve"> </v>
      </c>
      <c r="AM276" s="323" t="str">
        <f t="shared" si="474"/>
        <v xml:space="preserve"> </v>
      </c>
      <c r="AN276" s="323" t="str">
        <f t="shared" si="474"/>
        <v xml:space="preserve"> </v>
      </c>
      <c r="AO276" s="323" t="str">
        <f t="shared" si="474"/>
        <v xml:space="preserve"> </v>
      </c>
      <c r="AP276" s="323" t="str">
        <f t="shared" si="475"/>
        <v xml:space="preserve"> </v>
      </c>
      <c r="AQ276" s="323" t="str">
        <f t="shared" si="475"/>
        <v xml:space="preserve"> </v>
      </c>
      <c r="AR276" s="323" t="str">
        <f t="shared" si="475"/>
        <v xml:space="preserve"> </v>
      </c>
      <c r="AS276" s="323" t="str">
        <f t="shared" si="475"/>
        <v xml:space="preserve"> </v>
      </c>
      <c r="AT276" s="323" t="str">
        <f t="shared" si="475"/>
        <v xml:space="preserve"> </v>
      </c>
      <c r="AU276" s="323" t="str">
        <f t="shared" si="475"/>
        <v xml:space="preserve"> </v>
      </c>
      <c r="AV276" s="323" t="str">
        <f t="shared" si="475"/>
        <v xml:space="preserve"> </v>
      </c>
      <c r="AW276" s="323" t="str">
        <f t="shared" si="475"/>
        <v xml:space="preserve"> </v>
      </c>
      <c r="AX276" s="323" t="str">
        <f t="shared" si="475"/>
        <v xml:space="preserve"> </v>
      </c>
      <c r="AY276" s="323" t="str">
        <f t="shared" si="475"/>
        <v xml:space="preserve"> </v>
      </c>
      <c r="AZ276" s="323" t="str">
        <f t="shared" si="475"/>
        <v xml:space="preserve"> </v>
      </c>
      <c r="BA276" s="323" t="str">
        <f t="shared" si="475"/>
        <v xml:space="preserve"> </v>
      </c>
      <c r="BB276" s="323" t="str">
        <f t="shared" si="475"/>
        <v xml:space="preserve"> </v>
      </c>
      <c r="BC276" s="323" t="str">
        <f t="shared" si="475"/>
        <v xml:space="preserve"> </v>
      </c>
      <c r="BD276" s="323" t="str">
        <f t="shared" si="475"/>
        <v xml:space="preserve"> </v>
      </c>
      <c r="BE276" s="323" t="str">
        <f t="shared" si="475"/>
        <v xml:space="preserve"> </v>
      </c>
    </row>
    <row r="277" spans="2:57" x14ac:dyDescent="0.25">
      <c r="B277" s="315"/>
      <c r="C277" s="171" t="s">
        <v>692</v>
      </c>
      <c r="D277" s="325" t="s">
        <v>688</v>
      </c>
      <c r="E277" s="325">
        <v>6</v>
      </c>
      <c r="F277" s="313">
        <v>2029</v>
      </c>
      <c r="G277" s="325">
        <v>2049</v>
      </c>
      <c r="H277" s="313">
        <f t="shared" si="472"/>
        <v>20</v>
      </c>
      <c r="J277" s="323" t="str">
        <f t="shared" si="473"/>
        <v xml:space="preserve"> </v>
      </c>
      <c r="K277" s="323" t="str">
        <f t="shared" si="473"/>
        <v xml:space="preserve"> </v>
      </c>
      <c r="L277" s="323" t="str">
        <f t="shared" si="473"/>
        <v xml:space="preserve"> </v>
      </c>
      <c r="M277" s="323" t="str">
        <f t="shared" si="473"/>
        <v xml:space="preserve"> </v>
      </c>
      <c r="N277" s="323" t="str">
        <f t="shared" si="473"/>
        <v xml:space="preserve"> </v>
      </c>
      <c r="O277" s="323" t="str">
        <f t="shared" si="473"/>
        <v xml:space="preserve"> </v>
      </c>
      <c r="P277" s="323" t="str">
        <f t="shared" si="473"/>
        <v xml:space="preserve"> </v>
      </c>
      <c r="Q277" s="323" t="str">
        <f t="shared" si="473"/>
        <v xml:space="preserve"> </v>
      </c>
      <c r="R277" s="323" t="str">
        <f t="shared" si="473"/>
        <v xml:space="preserve"> </v>
      </c>
      <c r="S277" s="323" t="str">
        <f t="shared" si="473"/>
        <v xml:space="preserve"> </v>
      </c>
      <c r="T277" s="323" t="str">
        <f t="shared" si="473"/>
        <v xml:space="preserve"> </v>
      </c>
      <c r="U277" s="323">
        <f t="shared" si="473"/>
        <v>1</v>
      </c>
      <c r="V277" s="323">
        <f t="shared" si="473"/>
        <v>1</v>
      </c>
      <c r="W277" s="323">
        <f t="shared" si="473"/>
        <v>1</v>
      </c>
      <c r="X277" s="323">
        <f t="shared" si="473"/>
        <v>1</v>
      </c>
      <c r="Y277" s="323">
        <f t="shared" si="473"/>
        <v>1</v>
      </c>
      <c r="Z277" s="323">
        <f t="shared" si="474"/>
        <v>1</v>
      </c>
      <c r="AA277" s="323">
        <f t="shared" si="474"/>
        <v>1</v>
      </c>
      <c r="AB277" s="323">
        <f t="shared" si="474"/>
        <v>1</v>
      </c>
      <c r="AC277" s="323">
        <f t="shared" si="474"/>
        <v>1</v>
      </c>
      <c r="AD277" s="323">
        <f t="shared" si="474"/>
        <v>1</v>
      </c>
      <c r="AE277" s="323">
        <f t="shared" si="474"/>
        <v>1</v>
      </c>
      <c r="AF277" s="323">
        <f t="shared" si="474"/>
        <v>1</v>
      </c>
      <c r="AG277" s="323">
        <f t="shared" si="474"/>
        <v>1</v>
      </c>
      <c r="AH277" s="323">
        <f t="shared" si="474"/>
        <v>1</v>
      </c>
      <c r="AI277" s="323">
        <f t="shared" si="474"/>
        <v>1</v>
      </c>
      <c r="AJ277" s="323">
        <f t="shared" si="474"/>
        <v>1</v>
      </c>
      <c r="AK277" s="323">
        <f t="shared" si="474"/>
        <v>1</v>
      </c>
      <c r="AL277" s="323">
        <f t="shared" si="474"/>
        <v>1</v>
      </c>
      <c r="AM277" s="323">
        <f t="shared" si="474"/>
        <v>1</v>
      </c>
      <c r="AN277" s="323">
        <f t="shared" si="474"/>
        <v>1</v>
      </c>
      <c r="AO277" s="323" t="str">
        <f t="shared" si="474"/>
        <v xml:space="preserve"> </v>
      </c>
      <c r="AP277" s="323" t="str">
        <f t="shared" si="475"/>
        <v xml:space="preserve"> </v>
      </c>
      <c r="AQ277" s="323" t="str">
        <f t="shared" si="475"/>
        <v xml:space="preserve"> </v>
      </c>
      <c r="AR277" s="323" t="str">
        <f t="shared" si="475"/>
        <v xml:space="preserve"> </v>
      </c>
      <c r="AS277" s="323" t="str">
        <f t="shared" si="475"/>
        <v xml:space="preserve"> </v>
      </c>
      <c r="AT277" s="323" t="str">
        <f t="shared" si="475"/>
        <v xml:space="preserve"> </v>
      </c>
      <c r="AU277" s="323" t="str">
        <f t="shared" si="475"/>
        <v xml:space="preserve"> </v>
      </c>
      <c r="AV277" s="323" t="str">
        <f t="shared" si="475"/>
        <v xml:space="preserve"> </v>
      </c>
      <c r="AW277" s="323" t="str">
        <f t="shared" si="475"/>
        <v xml:space="preserve"> </v>
      </c>
      <c r="AX277" s="323" t="str">
        <f t="shared" si="475"/>
        <v xml:space="preserve"> </v>
      </c>
      <c r="AY277" s="323" t="str">
        <f t="shared" si="475"/>
        <v xml:space="preserve"> </v>
      </c>
      <c r="AZ277" s="323" t="str">
        <f t="shared" si="475"/>
        <v xml:space="preserve"> </v>
      </c>
      <c r="BA277" s="323" t="str">
        <f t="shared" si="475"/>
        <v xml:space="preserve"> </v>
      </c>
      <c r="BB277" s="323" t="str">
        <f t="shared" si="475"/>
        <v xml:space="preserve"> </v>
      </c>
      <c r="BC277" s="323" t="str">
        <f t="shared" si="475"/>
        <v xml:space="preserve"> </v>
      </c>
      <c r="BD277" s="323" t="str">
        <f t="shared" si="475"/>
        <v xml:space="preserve"> </v>
      </c>
      <c r="BE277" s="323" t="str">
        <f t="shared" si="475"/>
        <v xml:space="preserve"> </v>
      </c>
    </row>
    <row r="278" spans="2:57" x14ac:dyDescent="0.25">
      <c r="B278" s="315"/>
      <c r="C278" s="171" t="s">
        <v>693</v>
      </c>
      <c r="D278" s="325" t="s">
        <v>688</v>
      </c>
      <c r="E278" s="325">
        <v>7</v>
      </c>
      <c r="F278" s="324">
        <v>2049</v>
      </c>
      <c r="G278" s="325">
        <v>2050</v>
      </c>
      <c r="H278" s="313">
        <f t="shared" si="472"/>
        <v>1</v>
      </c>
      <c r="J278" s="323" t="str">
        <f t="shared" si="473"/>
        <v xml:space="preserve"> </v>
      </c>
      <c r="K278" s="323" t="str">
        <f t="shared" si="473"/>
        <v xml:space="preserve"> </v>
      </c>
      <c r="L278" s="323" t="str">
        <f t="shared" si="473"/>
        <v xml:space="preserve"> </v>
      </c>
      <c r="M278" s="323" t="str">
        <f t="shared" si="473"/>
        <v xml:space="preserve"> </v>
      </c>
      <c r="N278" s="323" t="str">
        <f t="shared" si="473"/>
        <v xml:space="preserve"> </v>
      </c>
      <c r="O278" s="323" t="str">
        <f t="shared" si="473"/>
        <v xml:space="preserve"> </v>
      </c>
      <c r="P278" s="323" t="str">
        <f t="shared" si="473"/>
        <v xml:space="preserve"> </v>
      </c>
      <c r="Q278" s="323" t="str">
        <f t="shared" si="473"/>
        <v xml:space="preserve"> </v>
      </c>
      <c r="R278" s="323" t="str">
        <f t="shared" si="473"/>
        <v xml:space="preserve"> </v>
      </c>
      <c r="S278" s="323" t="str">
        <f t="shared" si="473"/>
        <v xml:space="preserve"> </v>
      </c>
      <c r="T278" s="323" t="str">
        <f t="shared" si="473"/>
        <v xml:space="preserve"> </v>
      </c>
      <c r="U278" s="323" t="str">
        <f t="shared" si="473"/>
        <v xml:space="preserve"> </v>
      </c>
      <c r="V278" s="323" t="str">
        <f t="shared" si="473"/>
        <v xml:space="preserve"> </v>
      </c>
      <c r="W278" s="323" t="str">
        <f t="shared" si="473"/>
        <v xml:space="preserve"> </v>
      </c>
      <c r="X278" s="323" t="str">
        <f t="shared" si="473"/>
        <v xml:space="preserve"> </v>
      </c>
      <c r="Y278" s="323" t="str">
        <f t="shared" si="473"/>
        <v xml:space="preserve"> </v>
      </c>
      <c r="Z278" s="323" t="str">
        <f t="shared" si="474"/>
        <v xml:space="preserve"> </v>
      </c>
      <c r="AA278" s="323" t="str">
        <f t="shared" si="474"/>
        <v xml:space="preserve"> </v>
      </c>
      <c r="AB278" s="323" t="str">
        <f t="shared" si="474"/>
        <v xml:space="preserve"> </v>
      </c>
      <c r="AC278" s="323" t="str">
        <f t="shared" si="474"/>
        <v xml:space="preserve"> </v>
      </c>
      <c r="AD278" s="323" t="str">
        <f t="shared" si="474"/>
        <v xml:space="preserve"> </v>
      </c>
      <c r="AE278" s="323" t="str">
        <f t="shared" si="474"/>
        <v xml:space="preserve"> </v>
      </c>
      <c r="AF278" s="323" t="str">
        <f t="shared" si="474"/>
        <v xml:space="preserve"> </v>
      </c>
      <c r="AG278" s="323" t="str">
        <f t="shared" si="474"/>
        <v xml:space="preserve"> </v>
      </c>
      <c r="AH278" s="323" t="str">
        <f t="shared" si="474"/>
        <v xml:space="preserve"> </v>
      </c>
      <c r="AI278" s="323" t="str">
        <f t="shared" si="474"/>
        <v xml:space="preserve"> </v>
      </c>
      <c r="AJ278" s="323" t="str">
        <f t="shared" si="474"/>
        <v xml:space="preserve"> </v>
      </c>
      <c r="AK278" s="323" t="str">
        <f t="shared" si="474"/>
        <v xml:space="preserve"> </v>
      </c>
      <c r="AL278" s="323" t="str">
        <f t="shared" si="474"/>
        <v xml:space="preserve"> </v>
      </c>
      <c r="AM278" s="323" t="str">
        <f t="shared" si="474"/>
        <v xml:space="preserve"> </v>
      </c>
      <c r="AN278" s="323" t="str">
        <f t="shared" si="474"/>
        <v xml:space="preserve"> </v>
      </c>
      <c r="AO278" s="323">
        <f t="shared" si="474"/>
        <v>1</v>
      </c>
      <c r="AP278" s="323" t="str">
        <f t="shared" si="475"/>
        <v xml:space="preserve"> </v>
      </c>
      <c r="AQ278" s="323" t="str">
        <f t="shared" si="475"/>
        <v xml:space="preserve"> </v>
      </c>
      <c r="AR278" s="323" t="str">
        <f t="shared" si="475"/>
        <v xml:space="preserve"> </v>
      </c>
      <c r="AS278" s="323" t="str">
        <f t="shared" si="475"/>
        <v xml:space="preserve"> </v>
      </c>
      <c r="AT278" s="323" t="str">
        <f t="shared" si="475"/>
        <v xml:space="preserve"> </v>
      </c>
      <c r="AU278" s="323" t="str">
        <f t="shared" si="475"/>
        <v xml:space="preserve"> </v>
      </c>
      <c r="AV278" s="323" t="str">
        <f t="shared" si="475"/>
        <v xml:space="preserve"> </v>
      </c>
      <c r="AW278" s="323" t="str">
        <f t="shared" si="475"/>
        <v xml:space="preserve"> </v>
      </c>
      <c r="AX278" s="323" t="str">
        <f t="shared" si="475"/>
        <v xml:space="preserve"> </v>
      </c>
      <c r="AY278" s="323" t="str">
        <f t="shared" si="475"/>
        <v xml:space="preserve"> </v>
      </c>
      <c r="AZ278" s="323" t="str">
        <f t="shared" si="475"/>
        <v xml:space="preserve"> </v>
      </c>
      <c r="BA278" s="323" t="str">
        <f t="shared" si="475"/>
        <v xml:space="preserve"> </v>
      </c>
      <c r="BB278" s="323" t="str">
        <f t="shared" si="475"/>
        <v xml:space="preserve"> </v>
      </c>
      <c r="BC278" s="323" t="str">
        <f t="shared" si="475"/>
        <v xml:space="preserve"> </v>
      </c>
      <c r="BD278" s="323" t="str">
        <f t="shared" si="475"/>
        <v xml:space="preserve"> </v>
      </c>
      <c r="BE278" s="323" t="str">
        <f t="shared" si="475"/>
        <v xml:space="preserve"> </v>
      </c>
    </row>
    <row r="279" spans="2:57" x14ac:dyDescent="0.25">
      <c r="B279" s="3"/>
      <c r="C279" s="171" t="s">
        <v>694</v>
      </c>
      <c r="D279" s="325" t="s">
        <v>688</v>
      </c>
      <c r="E279" s="325">
        <v>8</v>
      </c>
      <c r="F279" s="325">
        <v>0</v>
      </c>
      <c r="G279" s="324">
        <v>0</v>
      </c>
      <c r="H279" s="313">
        <f t="shared" si="472"/>
        <v>0</v>
      </c>
      <c r="J279" s="323" t="str">
        <f t="shared" si="473"/>
        <v xml:space="preserve"> </v>
      </c>
      <c r="K279" s="323" t="str">
        <f t="shared" si="473"/>
        <v xml:space="preserve"> </v>
      </c>
      <c r="L279" s="323" t="str">
        <f t="shared" si="473"/>
        <v xml:space="preserve"> </v>
      </c>
      <c r="M279" s="323" t="str">
        <f t="shared" si="473"/>
        <v xml:space="preserve"> </v>
      </c>
      <c r="N279" s="323" t="str">
        <f t="shared" si="473"/>
        <v xml:space="preserve"> </v>
      </c>
      <c r="O279" s="323" t="str">
        <f t="shared" si="473"/>
        <v xml:space="preserve"> </v>
      </c>
      <c r="P279" s="323" t="str">
        <f t="shared" si="473"/>
        <v xml:space="preserve"> </v>
      </c>
      <c r="Q279" s="323" t="str">
        <f t="shared" si="473"/>
        <v xml:space="preserve"> </v>
      </c>
      <c r="R279" s="323" t="str">
        <f t="shared" si="473"/>
        <v xml:space="preserve"> </v>
      </c>
      <c r="S279" s="323" t="str">
        <f t="shared" si="473"/>
        <v xml:space="preserve"> </v>
      </c>
      <c r="T279" s="323" t="str">
        <f t="shared" si="473"/>
        <v xml:space="preserve"> </v>
      </c>
      <c r="U279" s="323" t="str">
        <f t="shared" si="473"/>
        <v xml:space="preserve"> </v>
      </c>
      <c r="V279" s="323" t="str">
        <f t="shared" si="473"/>
        <v xml:space="preserve"> </v>
      </c>
      <c r="W279" s="323" t="str">
        <f t="shared" si="473"/>
        <v xml:space="preserve"> </v>
      </c>
      <c r="X279" s="323" t="str">
        <f t="shared" si="473"/>
        <v xml:space="preserve"> </v>
      </c>
      <c r="Y279" s="323" t="str">
        <f t="shared" si="473"/>
        <v xml:space="preserve"> </v>
      </c>
      <c r="Z279" s="323" t="str">
        <f t="shared" si="474"/>
        <v xml:space="preserve"> </v>
      </c>
      <c r="AA279" s="323" t="str">
        <f t="shared" si="474"/>
        <v xml:space="preserve"> </v>
      </c>
      <c r="AB279" s="323" t="str">
        <f t="shared" si="474"/>
        <v xml:space="preserve"> </v>
      </c>
      <c r="AC279" s="323" t="str">
        <f t="shared" si="474"/>
        <v xml:space="preserve"> </v>
      </c>
      <c r="AD279" s="323" t="str">
        <f t="shared" si="474"/>
        <v xml:space="preserve"> </v>
      </c>
      <c r="AE279" s="323" t="str">
        <f t="shared" si="474"/>
        <v xml:space="preserve"> </v>
      </c>
      <c r="AF279" s="323" t="str">
        <f t="shared" si="474"/>
        <v xml:space="preserve"> </v>
      </c>
      <c r="AG279" s="323" t="str">
        <f t="shared" si="474"/>
        <v xml:space="preserve"> </v>
      </c>
      <c r="AH279" s="323" t="str">
        <f t="shared" si="474"/>
        <v xml:space="preserve"> </v>
      </c>
      <c r="AI279" s="323" t="str">
        <f t="shared" si="474"/>
        <v xml:space="preserve"> </v>
      </c>
      <c r="AJ279" s="323" t="str">
        <f t="shared" si="474"/>
        <v xml:space="preserve"> </v>
      </c>
      <c r="AK279" s="323" t="str">
        <f t="shared" si="474"/>
        <v xml:space="preserve"> </v>
      </c>
      <c r="AL279" s="323" t="str">
        <f t="shared" si="474"/>
        <v xml:space="preserve"> </v>
      </c>
      <c r="AM279" s="323" t="str">
        <f t="shared" si="474"/>
        <v xml:space="preserve"> </v>
      </c>
      <c r="AN279" s="323" t="str">
        <f t="shared" si="474"/>
        <v xml:space="preserve"> </v>
      </c>
      <c r="AO279" s="323" t="str">
        <f t="shared" si="474"/>
        <v xml:space="preserve"> </v>
      </c>
      <c r="AP279" s="323" t="str">
        <f t="shared" si="475"/>
        <v xml:space="preserve"> </v>
      </c>
      <c r="AQ279" s="323" t="str">
        <f t="shared" si="475"/>
        <v xml:space="preserve"> </v>
      </c>
      <c r="AR279" s="323" t="str">
        <f t="shared" si="475"/>
        <v xml:space="preserve"> </v>
      </c>
      <c r="AS279" s="323" t="str">
        <f t="shared" si="475"/>
        <v xml:space="preserve"> </v>
      </c>
      <c r="AT279" s="323" t="str">
        <f t="shared" si="475"/>
        <v xml:space="preserve"> </v>
      </c>
      <c r="AU279" s="323" t="str">
        <f t="shared" si="475"/>
        <v xml:space="preserve"> </v>
      </c>
      <c r="AV279" s="323" t="str">
        <f t="shared" si="475"/>
        <v xml:space="preserve"> </v>
      </c>
      <c r="AW279" s="323" t="str">
        <f t="shared" si="475"/>
        <v xml:space="preserve"> </v>
      </c>
      <c r="AX279" s="323" t="str">
        <f t="shared" si="475"/>
        <v xml:space="preserve"> </v>
      </c>
      <c r="AY279" s="323" t="str">
        <f t="shared" si="475"/>
        <v xml:space="preserve"> </v>
      </c>
      <c r="AZ279" s="323" t="str">
        <f t="shared" si="475"/>
        <v xml:space="preserve"> </v>
      </c>
      <c r="BA279" s="323" t="str">
        <f t="shared" si="475"/>
        <v xml:space="preserve"> </v>
      </c>
      <c r="BB279" s="323" t="str">
        <f t="shared" si="475"/>
        <v xml:space="preserve"> </v>
      </c>
      <c r="BC279" s="323" t="str">
        <f t="shared" si="475"/>
        <v xml:space="preserve"> </v>
      </c>
      <c r="BD279" s="323" t="str">
        <f t="shared" si="475"/>
        <v xml:space="preserve"> </v>
      </c>
      <c r="BE279" s="323" t="str">
        <f t="shared" si="475"/>
        <v xml:space="preserve"> </v>
      </c>
    </row>
    <row r="280" spans="2:57" x14ac:dyDescent="0.25">
      <c r="B280" s="3"/>
      <c r="C280" s="171" t="s">
        <v>695</v>
      </c>
      <c r="D280" s="325" t="s">
        <v>688</v>
      </c>
      <c r="E280" s="325">
        <v>9</v>
      </c>
      <c r="F280" s="313">
        <v>0</v>
      </c>
      <c r="G280" s="325">
        <v>0</v>
      </c>
      <c r="H280" s="313">
        <f t="shared" si="472"/>
        <v>0</v>
      </c>
      <c r="J280" s="323" t="str">
        <f t="shared" si="473"/>
        <v xml:space="preserve"> </v>
      </c>
      <c r="K280" s="323" t="str">
        <f t="shared" si="473"/>
        <v xml:space="preserve"> </v>
      </c>
      <c r="L280" s="323" t="str">
        <f t="shared" si="473"/>
        <v xml:space="preserve"> </v>
      </c>
      <c r="M280" s="323" t="str">
        <f t="shared" si="473"/>
        <v xml:space="preserve"> </v>
      </c>
      <c r="N280" s="323" t="str">
        <f t="shared" si="473"/>
        <v xml:space="preserve"> </v>
      </c>
      <c r="O280" s="323" t="str">
        <f t="shared" si="473"/>
        <v xml:space="preserve"> </v>
      </c>
      <c r="P280" s="323" t="str">
        <f t="shared" si="473"/>
        <v xml:space="preserve"> </v>
      </c>
      <c r="Q280" s="323" t="str">
        <f t="shared" si="473"/>
        <v xml:space="preserve"> </v>
      </c>
      <c r="R280" s="323" t="str">
        <f t="shared" si="473"/>
        <v xml:space="preserve"> </v>
      </c>
      <c r="S280" s="323" t="str">
        <f t="shared" si="473"/>
        <v xml:space="preserve"> </v>
      </c>
      <c r="T280" s="323" t="str">
        <f t="shared" si="473"/>
        <v xml:space="preserve"> </v>
      </c>
      <c r="U280" s="323" t="str">
        <f t="shared" si="473"/>
        <v xml:space="preserve"> </v>
      </c>
      <c r="V280" s="323" t="str">
        <f t="shared" si="473"/>
        <v xml:space="preserve"> </v>
      </c>
      <c r="W280" s="323" t="str">
        <f t="shared" si="473"/>
        <v xml:space="preserve"> </v>
      </c>
      <c r="X280" s="323" t="str">
        <f t="shared" si="473"/>
        <v xml:space="preserve"> </v>
      </c>
      <c r="Y280" s="323" t="str">
        <f t="shared" si="473"/>
        <v xml:space="preserve"> </v>
      </c>
      <c r="Z280" s="323" t="str">
        <f t="shared" si="474"/>
        <v xml:space="preserve"> </v>
      </c>
      <c r="AA280" s="323" t="str">
        <f t="shared" si="474"/>
        <v xml:space="preserve"> </v>
      </c>
      <c r="AB280" s="323" t="str">
        <f t="shared" si="474"/>
        <v xml:space="preserve"> </v>
      </c>
      <c r="AC280" s="323" t="str">
        <f t="shared" si="474"/>
        <v xml:space="preserve"> </v>
      </c>
      <c r="AD280" s="323" t="str">
        <f t="shared" si="474"/>
        <v xml:space="preserve"> </v>
      </c>
      <c r="AE280" s="323" t="str">
        <f t="shared" si="474"/>
        <v xml:space="preserve"> </v>
      </c>
      <c r="AF280" s="323" t="str">
        <f t="shared" si="474"/>
        <v xml:space="preserve"> </v>
      </c>
      <c r="AG280" s="323" t="str">
        <f t="shared" si="474"/>
        <v xml:space="preserve"> </v>
      </c>
      <c r="AH280" s="323" t="str">
        <f t="shared" si="474"/>
        <v xml:space="preserve"> </v>
      </c>
      <c r="AI280" s="323" t="str">
        <f t="shared" si="474"/>
        <v xml:space="preserve"> </v>
      </c>
      <c r="AJ280" s="323" t="str">
        <f t="shared" si="474"/>
        <v xml:space="preserve"> </v>
      </c>
      <c r="AK280" s="323" t="str">
        <f t="shared" si="474"/>
        <v xml:space="preserve"> </v>
      </c>
      <c r="AL280" s="323" t="str">
        <f t="shared" si="474"/>
        <v xml:space="preserve"> </v>
      </c>
      <c r="AM280" s="323" t="str">
        <f t="shared" si="474"/>
        <v xml:space="preserve"> </v>
      </c>
      <c r="AN280" s="323" t="str">
        <f t="shared" si="474"/>
        <v xml:space="preserve"> </v>
      </c>
      <c r="AO280" s="323" t="str">
        <f t="shared" si="474"/>
        <v xml:space="preserve"> </v>
      </c>
      <c r="AP280" s="323" t="str">
        <f t="shared" si="475"/>
        <v xml:space="preserve"> </v>
      </c>
      <c r="AQ280" s="323" t="str">
        <f t="shared" si="475"/>
        <v xml:space="preserve"> </v>
      </c>
      <c r="AR280" s="323" t="str">
        <f t="shared" si="475"/>
        <v xml:space="preserve"> </v>
      </c>
      <c r="AS280" s="323" t="str">
        <f t="shared" si="475"/>
        <v xml:space="preserve"> </v>
      </c>
      <c r="AT280" s="323" t="str">
        <f t="shared" si="475"/>
        <v xml:space="preserve"> </v>
      </c>
      <c r="AU280" s="323" t="str">
        <f t="shared" si="475"/>
        <v xml:space="preserve"> </v>
      </c>
      <c r="AV280" s="323" t="str">
        <f t="shared" si="475"/>
        <v xml:space="preserve"> </v>
      </c>
      <c r="AW280" s="323" t="str">
        <f t="shared" si="475"/>
        <v xml:space="preserve"> </v>
      </c>
      <c r="AX280" s="323" t="str">
        <f t="shared" si="475"/>
        <v xml:space="preserve"> </v>
      </c>
      <c r="AY280" s="323" t="str">
        <f t="shared" si="475"/>
        <v xml:space="preserve"> </v>
      </c>
      <c r="AZ280" s="323" t="str">
        <f t="shared" si="475"/>
        <v xml:space="preserve"> </v>
      </c>
      <c r="BA280" s="323" t="str">
        <f t="shared" si="475"/>
        <v xml:space="preserve"> </v>
      </c>
      <c r="BB280" s="323" t="str">
        <f t="shared" si="475"/>
        <v xml:space="preserve"> </v>
      </c>
      <c r="BC280" s="323" t="str">
        <f t="shared" si="475"/>
        <v xml:space="preserve"> </v>
      </c>
      <c r="BD280" s="323" t="str">
        <f t="shared" si="475"/>
        <v xml:space="preserve"> </v>
      </c>
      <c r="BE280" s="323" t="str">
        <f t="shared" si="475"/>
        <v xml:space="preserve"> </v>
      </c>
    </row>
    <row r="281" spans="2:57" x14ac:dyDescent="0.25">
      <c r="B281" s="3"/>
      <c r="C281" s="171" t="s">
        <v>696</v>
      </c>
      <c r="D281" s="325" t="s">
        <v>688</v>
      </c>
      <c r="E281" s="325">
        <v>10</v>
      </c>
      <c r="F281" s="324">
        <v>0</v>
      </c>
      <c r="G281" s="325">
        <v>0</v>
      </c>
      <c r="H281" s="313">
        <f t="shared" si="472"/>
        <v>0</v>
      </c>
      <c r="J281" s="323" t="str">
        <f t="shared" si="473"/>
        <v xml:space="preserve"> </v>
      </c>
      <c r="K281" s="323" t="str">
        <f t="shared" si="473"/>
        <v xml:space="preserve"> </v>
      </c>
      <c r="L281" s="323" t="str">
        <f t="shared" si="473"/>
        <v xml:space="preserve"> </v>
      </c>
      <c r="M281" s="323" t="str">
        <f t="shared" si="473"/>
        <v xml:space="preserve"> </v>
      </c>
      <c r="N281" s="323" t="str">
        <f t="shared" si="473"/>
        <v xml:space="preserve"> </v>
      </c>
      <c r="O281" s="323" t="str">
        <f t="shared" si="473"/>
        <v xml:space="preserve"> </v>
      </c>
      <c r="P281" s="323" t="str">
        <f t="shared" si="473"/>
        <v xml:space="preserve"> </v>
      </c>
      <c r="Q281" s="323" t="str">
        <f t="shared" si="473"/>
        <v xml:space="preserve"> </v>
      </c>
      <c r="R281" s="323" t="str">
        <f t="shared" si="473"/>
        <v xml:space="preserve"> </v>
      </c>
      <c r="S281" s="323" t="str">
        <f t="shared" si="473"/>
        <v xml:space="preserve"> </v>
      </c>
      <c r="T281" s="323" t="str">
        <f t="shared" si="473"/>
        <v xml:space="preserve"> </v>
      </c>
      <c r="U281" s="323" t="str">
        <f t="shared" si="473"/>
        <v xml:space="preserve"> </v>
      </c>
      <c r="V281" s="323" t="str">
        <f t="shared" si="473"/>
        <v xml:space="preserve"> </v>
      </c>
      <c r="W281" s="323" t="str">
        <f t="shared" si="473"/>
        <v xml:space="preserve"> </v>
      </c>
      <c r="X281" s="323" t="str">
        <f t="shared" si="473"/>
        <v xml:space="preserve"> </v>
      </c>
      <c r="Y281" s="323" t="str">
        <f t="shared" si="473"/>
        <v xml:space="preserve"> </v>
      </c>
      <c r="Z281" s="323" t="str">
        <f t="shared" si="474"/>
        <v xml:space="preserve"> </v>
      </c>
      <c r="AA281" s="323" t="str">
        <f t="shared" si="474"/>
        <v xml:space="preserve"> </v>
      </c>
      <c r="AB281" s="323" t="str">
        <f t="shared" si="474"/>
        <v xml:space="preserve"> </v>
      </c>
      <c r="AC281" s="323" t="str">
        <f t="shared" si="474"/>
        <v xml:space="preserve"> </v>
      </c>
      <c r="AD281" s="323" t="str">
        <f t="shared" si="474"/>
        <v xml:space="preserve"> </v>
      </c>
      <c r="AE281" s="323" t="str">
        <f t="shared" si="474"/>
        <v xml:space="preserve"> </v>
      </c>
      <c r="AF281" s="323" t="str">
        <f t="shared" si="474"/>
        <v xml:space="preserve"> </v>
      </c>
      <c r="AG281" s="323" t="str">
        <f t="shared" si="474"/>
        <v xml:space="preserve"> </v>
      </c>
      <c r="AH281" s="323" t="str">
        <f t="shared" si="474"/>
        <v xml:space="preserve"> </v>
      </c>
      <c r="AI281" s="323" t="str">
        <f t="shared" si="474"/>
        <v xml:space="preserve"> </v>
      </c>
      <c r="AJ281" s="323" t="str">
        <f t="shared" si="474"/>
        <v xml:space="preserve"> </v>
      </c>
      <c r="AK281" s="323" t="str">
        <f t="shared" si="474"/>
        <v xml:space="preserve"> </v>
      </c>
      <c r="AL281" s="323" t="str">
        <f t="shared" si="474"/>
        <v xml:space="preserve"> </v>
      </c>
      <c r="AM281" s="323" t="str">
        <f t="shared" si="474"/>
        <v xml:space="preserve"> </v>
      </c>
      <c r="AN281" s="323" t="str">
        <f t="shared" si="474"/>
        <v xml:space="preserve"> </v>
      </c>
      <c r="AO281" s="323" t="str">
        <f t="shared" si="474"/>
        <v xml:space="preserve"> </v>
      </c>
      <c r="AP281" s="323" t="str">
        <f t="shared" si="475"/>
        <v xml:space="preserve"> </v>
      </c>
      <c r="AQ281" s="323" t="str">
        <f t="shared" si="475"/>
        <v xml:space="preserve"> </v>
      </c>
      <c r="AR281" s="323" t="str">
        <f t="shared" si="475"/>
        <v xml:space="preserve"> </v>
      </c>
      <c r="AS281" s="323" t="str">
        <f t="shared" si="475"/>
        <v xml:space="preserve"> </v>
      </c>
      <c r="AT281" s="323" t="str">
        <f t="shared" si="475"/>
        <v xml:space="preserve"> </v>
      </c>
      <c r="AU281" s="323" t="str">
        <f t="shared" si="475"/>
        <v xml:space="preserve"> </v>
      </c>
      <c r="AV281" s="323" t="str">
        <f t="shared" si="475"/>
        <v xml:space="preserve"> </v>
      </c>
      <c r="AW281" s="323" t="str">
        <f t="shared" si="475"/>
        <v xml:space="preserve"> </v>
      </c>
      <c r="AX281" s="323" t="str">
        <f t="shared" si="475"/>
        <v xml:space="preserve"> </v>
      </c>
      <c r="AY281" s="323" t="str">
        <f t="shared" si="475"/>
        <v xml:space="preserve"> </v>
      </c>
      <c r="AZ281" s="323" t="str">
        <f t="shared" si="475"/>
        <v xml:space="preserve"> </v>
      </c>
      <c r="BA281" s="323" t="str">
        <f t="shared" si="475"/>
        <v xml:space="preserve"> </v>
      </c>
      <c r="BB281" s="323" t="str">
        <f t="shared" si="475"/>
        <v xml:space="preserve"> </v>
      </c>
      <c r="BC281" s="323" t="str">
        <f t="shared" si="475"/>
        <v xml:space="preserve"> </v>
      </c>
      <c r="BD281" s="323" t="str">
        <f t="shared" si="475"/>
        <v xml:space="preserve"> </v>
      </c>
      <c r="BE281" s="323" t="str">
        <f t="shared" si="475"/>
        <v xml:space="preserve"> </v>
      </c>
    </row>
    <row r="282" spans="2:57" x14ac:dyDescent="0.25">
      <c r="B282" s="316"/>
      <c r="C282" s="171" t="s">
        <v>697</v>
      </c>
      <c r="D282" s="325" t="s">
        <v>688</v>
      </c>
      <c r="E282" s="325">
        <v>11</v>
      </c>
      <c r="F282" s="325">
        <v>0</v>
      </c>
      <c r="G282" s="313">
        <v>0</v>
      </c>
      <c r="H282" s="313">
        <f t="shared" si="472"/>
        <v>0</v>
      </c>
      <c r="J282" s="323" t="str">
        <f t="shared" si="473"/>
        <v xml:space="preserve"> </v>
      </c>
      <c r="K282" s="323" t="str">
        <f t="shared" si="473"/>
        <v xml:space="preserve"> </v>
      </c>
      <c r="L282" s="323" t="str">
        <f t="shared" si="473"/>
        <v xml:space="preserve"> </v>
      </c>
      <c r="M282" s="323" t="str">
        <f t="shared" si="473"/>
        <v xml:space="preserve"> </v>
      </c>
      <c r="N282" s="323" t="str">
        <f t="shared" si="473"/>
        <v xml:space="preserve"> </v>
      </c>
      <c r="O282" s="323" t="str">
        <f t="shared" si="473"/>
        <v xml:space="preserve"> </v>
      </c>
      <c r="P282" s="323" t="str">
        <f t="shared" si="473"/>
        <v xml:space="preserve"> </v>
      </c>
      <c r="Q282" s="323" t="str">
        <f t="shared" si="473"/>
        <v xml:space="preserve"> </v>
      </c>
      <c r="R282" s="323" t="str">
        <f t="shared" si="473"/>
        <v xml:space="preserve"> </v>
      </c>
      <c r="S282" s="323" t="str">
        <f t="shared" si="473"/>
        <v xml:space="preserve"> </v>
      </c>
      <c r="T282" s="323" t="str">
        <f t="shared" si="473"/>
        <v xml:space="preserve"> </v>
      </c>
      <c r="U282" s="323" t="str">
        <f t="shared" si="473"/>
        <v xml:space="preserve"> </v>
      </c>
      <c r="V282" s="323" t="str">
        <f t="shared" si="473"/>
        <v xml:space="preserve"> </v>
      </c>
      <c r="W282" s="323" t="str">
        <f t="shared" si="473"/>
        <v xml:space="preserve"> </v>
      </c>
      <c r="X282" s="323" t="str">
        <f t="shared" si="473"/>
        <v xml:space="preserve"> </v>
      </c>
      <c r="Y282" s="323" t="str">
        <f t="shared" si="473"/>
        <v xml:space="preserve"> </v>
      </c>
      <c r="Z282" s="323" t="str">
        <f t="shared" si="474"/>
        <v xml:space="preserve"> </v>
      </c>
      <c r="AA282" s="323" t="str">
        <f t="shared" si="474"/>
        <v xml:space="preserve"> </v>
      </c>
      <c r="AB282" s="323" t="str">
        <f t="shared" si="474"/>
        <v xml:space="preserve"> </v>
      </c>
      <c r="AC282" s="323" t="str">
        <f t="shared" si="474"/>
        <v xml:space="preserve"> </v>
      </c>
      <c r="AD282" s="323" t="str">
        <f t="shared" si="474"/>
        <v xml:space="preserve"> </v>
      </c>
      <c r="AE282" s="323" t="str">
        <f t="shared" si="474"/>
        <v xml:space="preserve"> </v>
      </c>
      <c r="AF282" s="323" t="str">
        <f t="shared" si="474"/>
        <v xml:space="preserve"> </v>
      </c>
      <c r="AG282" s="323" t="str">
        <f t="shared" si="474"/>
        <v xml:space="preserve"> </v>
      </c>
      <c r="AH282" s="323" t="str">
        <f t="shared" si="474"/>
        <v xml:space="preserve"> </v>
      </c>
      <c r="AI282" s="323" t="str">
        <f t="shared" si="474"/>
        <v xml:space="preserve"> </v>
      </c>
      <c r="AJ282" s="323" t="str">
        <f t="shared" si="474"/>
        <v xml:space="preserve"> </v>
      </c>
      <c r="AK282" s="323" t="str">
        <f t="shared" si="474"/>
        <v xml:space="preserve"> </v>
      </c>
      <c r="AL282" s="323" t="str">
        <f t="shared" si="474"/>
        <v xml:space="preserve"> </v>
      </c>
      <c r="AM282" s="323" t="str">
        <f t="shared" si="474"/>
        <v xml:space="preserve"> </v>
      </c>
      <c r="AN282" s="323" t="str">
        <f t="shared" si="474"/>
        <v xml:space="preserve"> </v>
      </c>
      <c r="AO282" s="323" t="str">
        <f t="shared" si="474"/>
        <v xml:space="preserve"> </v>
      </c>
      <c r="AP282" s="323" t="str">
        <f t="shared" si="475"/>
        <v xml:space="preserve"> </v>
      </c>
      <c r="AQ282" s="323" t="str">
        <f t="shared" si="475"/>
        <v xml:space="preserve"> </v>
      </c>
      <c r="AR282" s="323" t="str">
        <f t="shared" si="475"/>
        <v xml:space="preserve"> </v>
      </c>
      <c r="AS282" s="323" t="str">
        <f t="shared" si="475"/>
        <v xml:space="preserve"> </v>
      </c>
      <c r="AT282" s="323" t="str">
        <f t="shared" si="475"/>
        <v xml:space="preserve"> </v>
      </c>
      <c r="AU282" s="323" t="str">
        <f t="shared" si="475"/>
        <v xml:space="preserve"> </v>
      </c>
      <c r="AV282" s="323" t="str">
        <f t="shared" si="475"/>
        <v xml:space="preserve"> </v>
      </c>
      <c r="AW282" s="323" t="str">
        <f t="shared" si="475"/>
        <v xml:space="preserve"> </v>
      </c>
      <c r="AX282" s="323" t="str">
        <f t="shared" si="475"/>
        <v xml:space="preserve"> </v>
      </c>
      <c r="AY282" s="323" t="str">
        <f t="shared" si="475"/>
        <v xml:space="preserve"> </v>
      </c>
      <c r="AZ282" s="323" t="str">
        <f t="shared" si="475"/>
        <v xml:space="preserve"> </v>
      </c>
      <c r="BA282" s="323" t="str">
        <f t="shared" si="475"/>
        <v xml:space="preserve"> </v>
      </c>
      <c r="BB282" s="323" t="str">
        <f t="shared" si="475"/>
        <v xml:space="preserve"> </v>
      </c>
      <c r="BC282" s="323" t="str">
        <f t="shared" si="475"/>
        <v xml:space="preserve"> </v>
      </c>
      <c r="BD282" s="323" t="str">
        <f t="shared" si="475"/>
        <v xml:space="preserve"> </v>
      </c>
      <c r="BE282" s="323" t="str">
        <f t="shared" si="475"/>
        <v xml:space="preserve"> </v>
      </c>
    </row>
    <row r="283" spans="2:57" x14ac:dyDescent="0.25">
      <c r="B283" s="316"/>
      <c r="C283" s="171" t="s">
        <v>698</v>
      </c>
      <c r="D283" s="325" t="s">
        <v>688</v>
      </c>
      <c r="E283" s="325">
        <v>12</v>
      </c>
      <c r="F283" s="324">
        <v>0</v>
      </c>
      <c r="G283" s="325">
        <v>0</v>
      </c>
      <c r="H283" s="313">
        <f t="shared" si="472"/>
        <v>0</v>
      </c>
      <c r="J283" s="323" t="str">
        <f t="shared" si="473"/>
        <v xml:space="preserve"> </v>
      </c>
      <c r="K283" s="323" t="str">
        <f t="shared" si="473"/>
        <v xml:space="preserve"> </v>
      </c>
      <c r="L283" s="323" t="str">
        <f t="shared" si="473"/>
        <v xml:space="preserve"> </v>
      </c>
      <c r="M283" s="323" t="str">
        <f t="shared" si="473"/>
        <v xml:space="preserve"> </v>
      </c>
      <c r="N283" s="323" t="str">
        <f t="shared" si="473"/>
        <v xml:space="preserve"> </v>
      </c>
      <c r="O283" s="323" t="str">
        <f t="shared" si="473"/>
        <v xml:space="preserve"> </v>
      </c>
      <c r="P283" s="323" t="str">
        <f t="shared" si="473"/>
        <v xml:space="preserve"> </v>
      </c>
      <c r="Q283" s="323" t="str">
        <f t="shared" si="473"/>
        <v xml:space="preserve"> </v>
      </c>
      <c r="R283" s="323" t="str">
        <f t="shared" si="473"/>
        <v xml:space="preserve"> </v>
      </c>
      <c r="S283" s="323" t="str">
        <f t="shared" si="473"/>
        <v xml:space="preserve"> </v>
      </c>
      <c r="T283" s="323" t="str">
        <f t="shared" si="473"/>
        <v xml:space="preserve"> </v>
      </c>
      <c r="U283" s="323" t="str">
        <f t="shared" si="473"/>
        <v xml:space="preserve"> </v>
      </c>
      <c r="V283" s="323" t="str">
        <f t="shared" si="473"/>
        <v xml:space="preserve"> </v>
      </c>
      <c r="W283" s="323" t="str">
        <f t="shared" si="473"/>
        <v xml:space="preserve"> </v>
      </c>
      <c r="X283" s="323" t="str">
        <f t="shared" si="473"/>
        <v xml:space="preserve"> </v>
      </c>
      <c r="Y283" s="323" t="str">
        <f t="shared" si="473"/>
        <v xml:space="preserve"> </v>
      </c>
      <c r="Z283" s="323" t="str">
        <f t="shared" si="474"/>
        <v xml:space="preserve"> </v>
      </c>
      <c r="AA283" s="323" t="str">
        <f t="shared" si="474"/>
        <v xml:space="preserve"> </v>
      </c>
      <c r="AB283" s="323" t="str">
        <f t="shared" si="474"/>
        <v xml:space="preserve"> </v>
      </c>
      <c r="AC283" s="323" t="str">
        <f t="shared" si="474"/>
        <v xml:space="preserve"> </v>
      </c>
      <c r="AD283" s="323" t="str">
        <f t="shared" si="474"/>
        <v xml:space="preserve"> </v>
      </c>
      <c r="AE283" s="323" t="str">
        <f t="shared" si="474"/>
        <v xml:space="preserve"> </v>
      </c>
      <c r="AF283" s="323" t="str">
        <f t="shared" si="474"/>
        <v xml:space="preserve"> </v>
      </c>
      <c r="AG283" s="323" t="str">
        <f t="shared" si="474"/>
        <v xml:space="preserve"> </v>
      </c>
      <c r="AH283" s="323" t="str">
        <f t="shared" si="474"/>
        <v xml:space="preserve"> </v>
      </c>
      <c r="AI283" s="323" t="str">
        <f t="shared" si="474"/>
        <v xml:space="preserve"> </v>
      </c>
      <c r="AJ283" s="323" t="str">
        <f t="shared" si="474"/>
        <v xml:space="preserve"> </v>
      </c>
      <c r="AK283" s="323" t="str">
        <f t="shared" si="474"/>
        <v xml:space="preserve"> </v>
      </c>
      <c r="AL283" s="323" t="str">
        <f t="shared" si="474"/>
        <v xml:space="preserve"> </v>
      </c>
      <c r="AM283" s="323" t="str">
        <f t="shared" si="474"/>
        <v xml:space="preserve"> </v>
      </c>
      <c r="AN283" s="323" t="str">
        <f t="shared" si="474"/>
        <v xml:space="preserve"> </v>
      </c>
      <c r="AO283" s="323" t="str">
        <f t="shared" si="474"/>
        <v xml:space="preserve"> </v>
      </c>
      <c r="AP283" s="323" t="str">
        <f t="shared" si="475"/>
        <v xml:space="preserve"> </v>
      </c>
      <c r="AQ283" s="323" t="str">
        <f t="shared" si="475"/>
        <v xml:space="preserve"> </v>
      </c>
      <c r="AR283" s="323" t="str">
        <f t="shared" si="475"/>
        <v xml:space="preserve"> </v>
      </c>
      <c r="AS283" s="323" t="str">
        <f t="shared" si="475"/>
        <v xml:space="preserve"> </v>
      </c>
      <c r="AT283" s="323" t="str">
        <f t="shared" si="475"/>
        <v xml:space="preserve"> </v>
      </c>
      <c r="AU283" s="323" t="str">
        <f t="shared" si="475"/>
        <v xml:space="preserve"> </v>
      </c>
      <c r="AV283" s="323" t="str">
        <f t="shared" si="475"/>
        <v xml:space="preserve"> </v>
      </c>
      <c r="AW283" s="323" t="str">
        <f t="shared" si="475"/>
        <v xml:space="preserve"> </v>
      </c>
      <c r="AX283" s="323" t="str">
        <f t="shared" si="475"/>
        <v xml:space="preserve"> </v>
      </c>
      <c r="AY283" s="323" t="str">
        <f t="shared" si="475"/>
        <v xml:space="preserve"> </v>
      </c>
      <c r="AZ283" s="323" t="str">
        <f t="shared" si="475"/>
        <v xml:space="preserve"> </v>
      </c>
      <c r="BA283" s="323" t="str">
        <f t="shared" si="475"/>
        <v xml:space="preserve"> </v>
      </c>
      <c r="BB283" s="323" t="str">
        <f t="shared" si="475"/>
        <v xml:space="preserve"> </v>
      </c>
      <c r="BC283" s="323" t="str">
        <f t="shared" si="475"/>
        <v xml:space="preserve"> </v>
      </c>
      <c r="BD283" s="323" t="str">
        <f t="shared" si="475"/>
        <v xml:space="preserve"> </v>
      </c>
      <c r="BE283" s="323" t="str">
        <f t="shared" si="475"/>
        <v xml:space="preserve"> </v>
      </c>
    </row>
    <row r="284" spans="2:57" x14ac:dyDescent="0.25">
      <c r="B284" s="316"/>
      <c r="C284" s="171" t="s">
        <v>699</v>
      </c>
      <c r="D284" s="325" t="s">
        <v>688</v>
      </c>
      <c r="E284" s="325">
        <v>13</v>
      </c>
      <c r="F284" s="324"/>
      <c r="G284" s="325"/>
      <c r="H284" s="313">
        <f t="shared" si="472"/>
        <v>0</v>
      </c>
      <c r="J284" s="323" t="str">
        <f t="shared" si="473"/>
        <v xml:space="preserve"> </v>
      </c>
      <c r="K284" s="323" t="str">
        <f t="shared" si="473"/>
        <v xml:space="preserve"> </v>
      </c>
      <c r="L284" s="323" t="str">
        <f t="shared" si="473"/>
        <v xml:space="preserve"> </v>
      </c>
      <c r="M284" s="323" t="str">
        <f t="shared" si="473"/>
        <v xml:space="preserve"> </v>
      </c>
      <c r="N284" s="323" t="str">
        <f t="shared" si="473"/>
        <v xml:space="preserve"> </v>
      </c>
      <c r="O284" s="323" t="str">
        <f t="shared" si="473"/>
        <v xml:space="preserve"> </v>
      </c>
      <c r="P284" s="323" t="str">
        <f t="shared" si="473"/>
        <v xml:space="preserve"> </v>
      </c>
      <c r="Q284" s="323" t="str">
        <f t="shared" si="473"/>
        <v xml:space="preserve"> </v>
      </c>
      <c r="R284" s="323" t="str">
        <f t="shared" si="473"/>
        <v xml:space="preserve"> </v>
      </c>
      <c r="S284" s="323" t="str">
        <f t="shared" si="473"/>
        <v xml:space="preserve"> </v>
      </c>
      <c r="T284" s="323" t="str">
        <f t="shared" si="473"/>
        <v xml:space="preserve"> </v>
      </c>
      <c r="U284" s="323" t="str">
        <f t="shared" si="473"/>
        <v xml:space="preserve"> </v>
      </c>
      <c r="V284" s="323" t="str">
        <f t="shared" si="473"/>
        <v xml:space="preserve"> </v>
      </c>
      <c r="W284" s="323" t="str">
        <f t="shared" si="473"/>
        <v xml:space="preserve"> </v>
      </c>
      <c r="X284" s="323" t="str">
        <f t="shared" si="473"/>
        <v xml:space="preserve"> </v>
      </c>
      <c r="Y284" s="323" t="str">
        <f t="shared" si="473"/>
        <v xml:space="preserve"> </v>
      </c>
      <c r="Z284" s="323" t="str">
        <f t="shared" si="474"/>
        <v xml:space="preserve"> </v>
      </c>
      <c r="AA284" s="323" t="str">
        <f t="shared" si="474"/>
        <v xml:space="preserve"> </v>
      </c>
      <c r="AB284" s="323" t="str">
        <f t="shared" si="474"/>
        <v xml:space="preserve"> </v>
      </c>
      <c r="AC284" s="323" t="str">
        <f t="shared" si="474"/>
        <v xml:space="preserve"> </v>
      </c>
      <c r="AD284" s="323" t="str">
        <f t="shared" si="474"/>
        <v xml:space="preserve"> </v>
      </c>
      <c r="AE284" s="323" t="str">
        <f t="shared" si="474"/>
        <v xml:space="preserve"> </v>
      </c>
      <c r="AF284" s="323" t="str">
        <f t="shared" si="474"/>
        <v xml:space="preserve"> </v>
      </c>
      <c r="AG284" s="323" t="str">
        <f t="shared" si="474"/>
        <v xml:space="preserve"> </v>
      </c>
      <c r="AH284" s="323" t="str">
        <f t="shared" si="474"/>
        <v xml:space="preserve"> </v>
      </c>
      <c r="AI284" s="323" t="str">
        <f t="shared" si="474"/>
        <v xml:space="preserve"> </v>
      </c>
      <c r="AJ284" s="323" t="str">
        <f t="shared" si="474"/>
        <v xml:space="preserve"> </v>
      </c>
      <c r="AK284" s="323" t="str">
        <f t="shared" si="474"/>
        <v xml:space="preserve"> </v>
      </c>
      <c r="AL284" s="323" t="str">
        <f t="shared" si="474"/>
        <v xml:space="preserve"> </v>
      </c>
      <c r="AM284" s="323" t="str">
        <f t="shared" si="474"/>
        <v xml:space="preserve"> </v>
      </c>
      <c r="AN284" s="323" t="str">
        <f t="shared" si="474"/>
        <v xml:space="preserve"> </v>
      </c>
      <c r="AO284" s="323" t="str">
        <f t="shared" si="474"/>
        <v xml:space="preserve"> </v>
      </c>
      <c r="AP284" s="323" t="str">
        <f t="shared" si="475"/>
        <v xml:space="preserve"> </v>
      </c>
      <c r="AQ284" s="323" t="str">
        <f t="shared" si="475"/>
        <v xml:space="preserve"> </v>
      </c>
      <c r="AR284" s="323" t="str">
        <f t="shared" si="475"/>
        <v xml:space="preserve"> </v>
      </c>
      <c r="AS284" s="323" t="str">
        <f t="shared" si="475"/>
        <v xml:space="preserve"> </v>
      </c>
      <c r="AT284" s="323" t="str">
        <f t="shared" si="475"/>
        <v xml:space="preserve"> </v>
      </c>
      <c r="AU284" s="323" t="str">
        <f t="shared" si="475"/>
        <v xml:space="preserve"> </v>
      </c>
      <c r="AV284" s="323" t="str">
        <f t="shared" si="475"/>
        <v xml:space="preserve"> </v>
      </c>
      <c r="AW284" s="323" t="str">
        <f t="shared" si="475"/>
        <v xml:space="preserve"> </v>
      </c>
      <c r="AX284" s="323" t="str">
        <f t="shared" si="475"/>
        <v xml:space="preserve"> </v>
      </c>
      <c r="AY284" s="323" t="str">
        <f t="shared" si="475"/>
        <v xml:space="preserve"> </v>
      </c>
      <c r="AZ284" s="323" t="str">
        <f t="shared" si="475"/>
        <v xml:space="preserve"> </v>
      </c>
      <c r="BA284" s="323" t="str">
        <f t="shared" si="475"/>
        <v xml:space="preserve"> </v>
      </c>
      <c r="BB284" s="323" t="str">
        <f t="shared" si="475"/>
        <v xml:space="preserve"> </v>
      </c>
      <c r="BC284" s="323" t="str">
        <f t="shared" si="475"/>
        <v xml:space="preserve"> </v>
      </c>
      <c r="BD284" s="323" t="str">
        <f t="shared" si="475"/>
        <v xml:space="preserve"> </v>
      </c>
      <c r="BE284" s="323" t="str">
        <f t="shared" si="475"/>
        <v xml:space="preserve"> </v>
      </c>
    </row>
    <row r="285" spans="2:57" x14ac:dyDescent="0.25">
      <c r="B285" s="317"/>
      <c r="C285" s="171" t="s">
        <v>676</v>
      </c>
      <c r="D285" s="325" t="s">
        <v>688</v>
      </c>
      <c r="E285" s="325">
        <v>14</v>
      </c>
      <c r="F285" s="325">
        <v>2049</v>
      </c>
      <c r="G285" s="325">
        <v>2050</v>
      </c>
      <c r="H285" s="313">
        <f t="shared" si="472"/>
        <v>1</v>
      </c>
      <c r="J285" s="323" t="str">
        <f t="shared" si="473"/>
        <v xml:space="preserve"> </v>
      </c>
      <c r="K285" s="323" t="str">
        <f t="shared" si="473"/>
        <v xml:space="preserve"> </v>
      </c>
      <c r="L285" s="323" t="str">
        <f t="shared" si="473"/>
        <v xml:space="preserve"> </v>
      </c>
      <c r="M285" s="323" t="str">
        <f t="shared" si="473"/>
        <v xml:space="preserve"> </v>
      </c>
      <c r="N285" s="323" t="str">
        <f t="shared" si="473"/>
        <v xml:space="preserve"> </v>
      </c>
      <c r="O285" s="323" t="str">
        <f t="shared" si="473"/>
        <v xml:space="preserve"> </v>
      </c>
      <c r="P285" s="323" t="str">
        <f t="shared" si="473"/>
        <v xml:space="preserve"> </v>
      </c>
      <c r="Q285" s="323" t="str">
        <f t="shared" si="473"/>
        <v xml:space="preserve"> </v>
      </c>
      <c r="R285" s="323" t="str">
        <f t="shared" si="473"/>
        <v xml:space="preserve"> </v>
      </c>
      <c r="S285" s="323" t="str">
        <f t="shared" si="473"/>
        <v xml:space="preserve"> </v>
      </c>
      <c r="T285" s="323" t="str">
        <f t="shared" si="473"/>
        <v xml:space="preserve"> </v>
      </c>
      <c r="U285" s="323" t="str">
        <f t="shared" si="473"/>
        <v xml:space="preserve"> </v>
      </c>
      <c r="V285" s="323" t="str">
        <f t="shared" si="473"/>
        <v xml:space="preserve"> </v>
      </c>
      <c r="W285" s="323" t="str">
        <f t="shared" si="473"/>
        <v xml:space="preserve"> </v>
      </c>
      <c r="X285" s="323" t="str">
        <f t="shared" si="473"/>
        <v xml:space="preserve"> </v>
      </c>
      <c r="Y285" s="323" t="str">
        <f t="shared" si="473"/>
        <v xml:space="preserve"> </v>
      </c>
      <c r="Z285" s="323" t="str">
        <f t="shared" si="474"/>
        <v xml:space="preserve"> </v>
      </c>
      <c r="AA285" s="323" t="str">
        <f t="shared" si="474"/>
        <v xml:space="preserve"> </v>
      </c>
      <c r="AB285" s="323" t="str">
        <f t="shared" si="474"/>
        <v xml:space="preserve"> </v>
      </c>
      <c r="AC285" s="323" t="str">
        <f t="shared" si="474"/>
        <v xml:space="preserve"> </v>
      </c>
      <c r="AD285" s="323" t="str">
        <f t="shared" si="474"/>
        <v xml:space="preserve"> </v>
      </c>
      <c r="AE285" s="323" t="str">
        <f t="shared" si="474"/>
        <v xml:space="preserve"> </v>
      </c>
      <c r="AF285" s="323" t="str">
        <f t="shared" si="474"/>
        <v xml:space="preserve"> </v>
      </c>
      <c r="AG285" s="323" t="str">
        <f t="shared" si="474"/>
        <v xml:space="preserve"> </v>
      </c>
      <c r="AH285" s="323" t="str">
        <f t="shared" si="474"/>
        <v xml:space="preserve"> </v>
      </c>
      <c r="AI285" s="323" t="str">
        <f t="shared" si="474"/>
        <v xml:space="preserve"> </v>
      </c>
      <c r="AJ285" s="323" t="str">
        <f t="shared" si="474"/>
        <v xml:space="preserve"> </v>
      </c>
      <c r="AK285" s="323" t="str">
        <f t="shared" si="474"/>
        <v xml:space="preserve"> </v>
      </c>
      <c r="AL285" s="323" t="str">
        <f t="shared" si="474"/>
        <v xml:space="preserve"> </v>
      </c>
      <c r="AM285" s="323" t="str">
        <f t="shared" si="474"/>
        <v xml:space="preserve"> </v>
      </c>
      <c r="AN285" s="323" t="str">
        <f t="shared" si="474"/>
        <v xml:space="preserve"> </v>
      </c>
      <c r="AO285" s="323">
        <f t="shared" si="474"/>
        <v>1</v>
      </c>
      <c r="AP285" s="323" t="str">
        <f t="shared" si="475"/>
        <v xml:space="preserve"> </v>
      </c>
      <c r="AQ285" s="323" t="str">
        <f t="shared" si="475"/>
        <v xml:space="preserve"> </v>
      </c>
      <c r="AR285" s="323" t="str">
        <f t="shared" si="475"/>
        <v xml:space="preserve"> </v>
      </c>
      <c r="AS285" s="323" t="str">
        <f t="shared" si="475"/>
        <v xml:space="preserve"> </v>
      </c>
      <c r="AT285" s="323" t="str">
        <f t="shared" si="475"/>
        <v xml:space="preserve"> </v>
      </c>
      <c r="AU285" s="323" t="str">
        <f t="shared" si="475"/>
        <v xml:space="preserve"> </v>
      </c>
      <c r="AV285" s="323" t="str">
        <f t="shared" si="475"/>
        <v xml:space="preserve"> </v>
      </c>
      <c r="AW285" s="323" t="str">
        <f t="shared" si="475"/>
        <v xml:space="preserve"> </v>
      </c>
      <c r="AX285" s="323" t="str">
        <f t="shared" si="475"/>
        <v xml:space="preserve"> </v>
      </c>
      <c r="AY285" s="323" t="str">
        <f t="shared" si="475"/>
        <v xml:space="preserve"> </v>
      </c>
      <c r="AZ285" s="323" t="str">
        <f t="shared" si="475"/>
        <v xml:space="preserve"> </v>
      </c>
      <c r="BA285" s="323" t="str">
        <f t="shared" si="475"/>
        <v xml:space="preserve"> </v>
      </c>
      <c r="BB285" s="323" t="str">
        <f t="shared" si="475"/>
        <v xml:space="preserve"> </v>
      </c>
      <c r="BC285" s="323" t="str">
        <f t="shared" si="475"/>
        <v xml:space="preserve"> </v>
      </c>
      <c r="BD285" s="323" t="str">
        <f t="shared" si="475"/>
        <v xml:space="preserve"> </v>
      </c>
      <c r="BE285" s="323" t="str">
        <f t="shared" si="475"/>
        <v xml:space="preserve"> </v>
      </c>
    </row>
    <row r="287" spans="2:57" ht="15.75" thickBot="1" x14ac:dyDescent="0.3">
      <c r="J287" s="171" t="s">
        <v>680</v>
      </c>
    </row>
    <row r="288" spans="2:57" ht="16.5" thickTop="1" thickBot="1" x14ac:dyDescent="0.3">
      <c r="B288" s="430"/>
      <c r="C288" s="431" t="s">
        <v>929</v>
      </c>
      <c r="D288" s="431" t="s">
        <v>930</v>
      </c>
      <c r="E288" s="431" t="s">
        <v>592</v>
      </c>
      <c r="F288" s="322" t="s">
        <v>684</v>
      </c>
      <c r="G288" s="322" t="s">
        <v>685</v>
      </c>
      <c r="H288" s="322" t="s">
        <v>686</v>
      </c>
      <c r="J288" s="171">
        <f>J271</f>
        <v>2018</v>
      </c>
      <c r="K288" s="171">
        <f t="shared" ref="K288:AP288" si="476">K271</f>
        <v>2019</v>
      </c>
      <c r="L288" s="171">
        <f t="shared" si="476"/>
        <v>2020</v>
      </c>
      <c r="M288" s="171">
        <f t="shared" si="476"/>
        <v>2021</v>
      </c>
      <c r="N288" s="171">
        <f t="shared" si="476"/>
        <v>2022</v>
      </c>
      <c r="O288" s="171">
        <f t="shared" si="476"/>
        <v>2023</v>
      </c>
      <c r="P288" s="171">
        <f t="shared" si="476"/>
        <v>2024</v>
      </c>
      <c r="Q288" s="171">
        <f t="shared" si="476"/>
        <v>2025</v>
      </c>
      <c r="R288" s="171">
        <f t="shared" si="476"/>
        <v>2026</v>
      </c>
      <c r="S288" s="171">
        <f t="shared" si="476"/>
        <v>2027</v>
      </c>
      <c r="T288" s="171">
        <f t="shared" si="476"/>
        <v>2028</v>
      </c>
      <c r="U288" s="171">
        <f t="shared" si="476"/>
        <v>2029</v>
      </c>
      <c r="V288" s="171">
        <f t="shared" si="476"/>
        <v>2030</v>
      </c>
      <c r="W288" s="171">
        <f t="shared" si="476"/>
        <v>2031</v>
      </c>
      <c r="X288" s="171">
        <f t="shared" si="476"/>
        <v>2032</v>
      </c>
      <c r="Y288" s="171">
        <f t="shared" si="476"/>
        <v>2033</v>
      </c>
      <c r="Z288" s="171">
        <f t="shared" si="476"/>
        <v>2034</v>
      </c>
      <c r="AA288" s="171">
        <f t="shared" si="476"/>
        <v>2035</v>
      </c>
      <c r="AB288" s="171">
        <f t="shared" si="476"/>
        <v>2036</v>
      </c>
      <c r="AC288" s="171">
        <f t="shared" si="476"/>
        <v>2037</v>
      </c>
      <c r="AD288" s="171">
        <f t="shared" si="476"/>
        <v>2038</v>
      </c>
      <c r="AE288" s="171">
        <f t="shared" si="476"/>
        <v>2039</v>
      </c>
      <c r="AF288" s="171">
        <f t="shared" si="476"/>
        <v>2040</v>
      </c>
      <c r="AG288" s="171">
        <f t="shared" si="476"/>
        <v>2041</v>
      </c>
      <c r="AH288" s="171">
        <f t="shared" si="476"/>
        <v>2042</v>
      </c>
      <c r="AI288" s="171">
        <f t="shared" si="476"/>
        <v>2043</v>
      </c>
      <c r="AJ288" s="171">
        <f t="shared" si="476"/>
        <v>2044</v>
      </c>
      <c r="AK288" s="171">
        <f t="shared" si="476"/>
        <v>2045</v>
      </c>
      <c r="AL288" s="171">
        <f t="shared" si="476"/>
        <v>2046</v>
      </c>
      <c r="AM288" s="171">
        <f t="shared" si="476"/>
        <v>2047</v>
      </c>
      <c r="AN288" s="171">
        <f t="shared" si="476"/>
        <v>2048</v>
      </c>
      <c r="AO288" s="171">
        <f t="shared" si="476"/>
        <v>2049</v>
      </c>
      <c r="AP288" s="171">
        <f t="shared" si="476"/>
        <v>2050</v>
      </c>
      <c r="AQ288" s="171">
        <f t="shared" ref="AQ288:BE288" si="477">AQ271</f>
        <v>2051</v>
      </c>
      <c r="AR288" s="171">
        <f t="shared" si="477"/>
        <v>2052</v>
      </c>
      <c r="AS288" s="171">
        <f t="shared" si="477"/>
        <v>2053</v>
      </c>
      <c r="AT288" s="171">
        <f t="shared" si="477"/>
        <v>2054</v>
      </c>
      <c r="AU288" s="171">
        <f t="shared" si="477"/>
        <v>2055</v>
      </c>
      <c r="AV288" s="171">
        <f t="shared" si="477"/>
        <v>2056</v>
      </c>
      <c r="AW288" s="171">
        <f t="shared" si="477"/>
        <v>2057</v>
      </c>
      <c r="AX288" s="171">
        <f t="shared" si="477"/>
        <v>2058</v>
      </c>
      <c r="AY288" s="171">
        <f t="shared" si="477"/>
        <v>2059</v>
      </c>
      <c r="AZ288" s="171">
        <f t="shared" si="477"/>
        <v>2060</v>
      </c>
      <c r="BA288" s="171">
        <f t="shared" si="477"/>
        <v>2061</v>
      </c>
      <c r="BB288" s="171">
        <f t="shared" si="477"/>
        <v>2062</v>
      </c>
      <c r="BC288" s="171">
        <f t="shared" si="477"/>
        <v>2063</v>
      </c>
      <c r="BD288" s="171">
        <f t="shared" si="477"/>
        <v>2064</v>
      </c>
      <c r="BE288" s="171">
        <f t="shared" si="477"/>
        <v>2065</v>
      </c>
    </row>
    <row r="289" spans="2:57" ht="15.75" thickTop="1" x14ac:dyDescent="0.25">
      <c r="B289" s="432"/>
      <c r="C289" s="430" t="s">
        <v>931</v>
      </c>
      <c r="D289" s="430" t="s">
        <v>932</v>
      </c>
      <c r="E289" s="325">
        <v>40</v>
      </c>
      <c r="F289" s="313">
        <v>2029</v>
      </c>
      <c r="G289" s="313">
        <v>2049</v>
      </c>
      <c r="H289" s="313">
        <f>G289-F289</f>
        <v>20</v>
      </c>
      <c r="J289" s="433">
        <f>IF(AND($F289&gt;=$J$8,J$8&gt;=$F289),$E289,)</f>
        <v>0</v>
      </c>
      <c r="K289" s="433">
        <f t="shared" ref="K289:Z292" si="478">IF(AND($F289&gt;=$J$8,K$8&gt;=$F289),$E289,)</f>
        <v>0</v>
      </c>
      <c r="L289" s="433">
        <f t="shared" si="478"/>
        <v>0</v>
      </c>
      <c r="M289" s="433">
        <f t="shared" si="478"/>
        <v>0</v>
      </c>
      <c r="N289" s="433">
        <f t="shared" si="478"/>
        <v>0</v>
      </c>
      <c r="O289" s="433">
        <f t="shared" si="478"/>
        <v>0</v>
      </c>
      <c r="P289" s="433">
        <f t="shared" si="478"/>
        <v>0</v>
      </c>
      <c r="Q289" s="433">
        <f t="shared" si="478"/>
        <v>0</v>
      </c>
      <c r="R289" s="433">
        <f t="shared" si="478"/>
        <v>0</v>
      </c>
      <c r="S289" s="433">
        <f t="shared" si="478"/>
        <v>0</v>
      </c>
      <c r="T289" s="433">
        <f t="shared" si="478"/>
        <v>0</v>
      </c>
      <c r="U289" s="433">
        <f t="shared" si="478"/>
        <v>40</v>
      </c>
      <c r="V289" s="433">
        <f t="shared" si="478"/>
        <v>40</v>
      </c>
      <c r="W289" s="433">
        <f t="shared" si="478"/>
        <v>40</v>
      </c>
      <c r="X289" s="433">
        <f t="shared" si="478"/>
        <v>40</v>
      </c>
      <c r="Y289" s="433">
        <f t="shared" si="478"/>
        <v>40</v>
      </c>
      <c r="Z289" s="433">
        <f t="shared" si="478"/>
        <v>40</v>
      </c>
      <c r="AA289" s="433">
        <f t="shared" ref="AA289:AQ292" si="479">IF(AND($F289&gt;=$J$8,AA$8&gt;=$F289),$E289,)</f>
        <v>40</v>
      </c>
      <c r="AB289" s="433">
        <f t="shared" si="479"/>
        <v>40</v>
      </c>
      <c r="AC289" s="433">
        <f t="shared" si="479"/>
        <v>40</v>
      </c>
      <c r="AD289" s="433">
        <f t="shared" si="479"/>
        <v>40</v>
      </c>
      <c r="AE289" s="433">
        <f t="shared" si="479"/>
        <v>40</v>
      </c>
      <c r="AF289" s="433">
        <f t="shared" si="479"/>
        <v>40</v>
      </c>
      <c r="AG289" s="433">
        <f t="shared" si="479"/>
        <v>40</v>
      </c>
      <c r="AH289" s="433">
        <f t="shared" si="479"/>
        <v>40</v>
      </c>
      <c r="AI289" s="433">
        <f t="shared" si="479"/>
        <v>40</v>
      </c>
      <c r="AJ289" s="433">
        <f t="shared" si="479"/>
        <v>40</v>
      </c>
      <c r="AK289" s="433">
        <f t="shared" si="479"/>
        <v>40</v>
      </c>
      <c r="AL289" s="433">
        <f t="shared" si="479"/>
        <v>40</v>
      </c>
      <c r="AM289" s="433">
        <f t="shared" si="479"/>
        <v>40</v>
      </c>
      <c r="AN289" s="433">
        <f t="shared" si="479"/>
        <v>40</v>
      </c>
      <c r="AO289" s="433">
        <f t="shared" si="479"/>
        <v>40</v>
      </c>
      <c r="AP289" s="433">
        <f t="shared" si="479"/>
        <v>40</v>
      </c>
      <c r="AQ289" s="433">
        <f t="shared" si="479"/>
        <v>40</v>
      </c>
      <c r="AR289" s="433">
        <f t="shared" ref="AQ289:BE292" si="480">IF(AND($F289&gt;=$J$8,AR$8&gt;=$F289),$E289,)</f>
        <v>40</v>
      </c>
      <c r="AS289" s="433">
        <f t="shared" si="480"/>
        <v>40</v>
      </c>
      <c r="AT289" s="433">
        <f t="shared" si="480"/>
        <v>40</v>
      </c>
      <c r="AU289" s="433">
        <f t="shared" si="480"/>
        <v>40</v>
      </c>
      <c r="AV289" s="433">
        <f t="shared" si="480"/>
        <v>40</v>
      </c>
      <c r="AW289" s="433">
        <f t="shared" si="480"/>
        <v>40</v>
      </c>
      <c r="AX289" s="433">
        <f t="shared" si="480"/>
        <v>40</v>
      </c>
      <c r="AY289" s="433">
        <f t="shared" si="480"/>
        <v>40</v>
      </c>
      <c r="AZ289" s="433">
        <f t="shared" si="480"/>
        <v>40</v>
      </c>
      <c r="BA289" s="433">
        <f t="shared" si="480"/>
        <v>40</v>
      </c>
      <c r="BB289" s="433">
        <f t="shared" si="480"/>
        <v>40</v>
      </c>
      <c r="BC289" s="433">
        <f t="shared" si="480"/>
        <v>40</v>
      </c>
      <c r="BD289" s="433">
        <f t="shared" si="480"/>
        <v>40</v>
      </c>
      <c r="BE289" s="433">
        <f t="shared" si="480"/>
        <v>40</v>
      </c>
    </row>
    <row r="290" spans="2:57" x14ac:dyDescent="0.25">
      <c r="B290" s="434"/>
      <c r="C290" s="430" t="s">
        <v>933</v>
      </c>
      <c r="D290" s="430" t="s">
        <v>934</v>
      </c>
      <c r="E290" s="325">
        <v>8</v>
      </c>
      <c r="F290" s="313">
        <v>2029</v>
      </c>
      <c r="G290" s="313">
        <v>2049</v>
      </c>
      <c r="H290" s="313">
        <f t="shared" ref="H290:H292" si="481">G290-F290</f>
        <v>20</v>
      </c>
      <c r="J290" s="433">
        <f t="shared" ref="J290:J292" si="482">IF(AND($F290&gt;=$J$8,J$8&gt;=$F290),$E290,)</f>
        <v>0</v>
      </c>
      <c r="K290" s="433">
        <f t="shared" si="478"/>
        <v>0</v>
      </c>
      <c r="L290" s="433">
        <f t="shared" si="478"/>
        <v>0</v>
      </c>
      <c r="M290" s="433">
        <f t="shared" si="478"/>
        <v>0</v>
      </c>
      <c r="N290" s="433">
        <f t="shared" si="478"/>
        <v>0</v>
      </c>
      <c r="O290" s="433">
        <f t="shared" si="478"/>
        <v>0</v>
      </c>
      <c r="P290" s="433">
        <f t="shared" si="478"/>
        <v>0</v>
      </c>
      <c r="Q290" s="433">
        <f t="shared" si="478"/>
        <v>0</v>
      </c>
      <c r="R290" s="433">
        <f t="shared" si="478"/>
        <v>0</v>
      </c>
      <c r="S290" s="433">
        <f t="shared" si="478"/>
        <v>0</v>
      </c>
      <c r="T290" s="433">
        <f t="shared" si="478"/>
        <v>0</v>
      </c>
      <c r="U290" s="433">
        <f t="shared" si="478"/>
        <v>8</v>
      </c>
      <c r="V290" s="433">
        <f t="shared" si="478"/>
        <v>8</v>
      </c>
      <c r="W290" s="433">
        <f t="shared" si="478"/>
        <v>8</v>
      </c>
      <c r="X290" s="433">
        <f t="shared" si="478"/>
        <v>8</v>
      </c>
      <c r="Y290" s="433">
        <f t="shared" si="478"/>
        <v>8</v>
      </c>
      <c r="Z290" s="433">
        <f t="shared" si="478"/>
        <v>8</v>
      </c>
      <c r="AA290" s="433">
        <f t="shared" si="479"/>
        <v>8</v>
      </c>
      <c r="AB290" s="433">
        <f t="shared" si="479"/>
        <v>8</v>
      </c>
      <c r="AC290" s="433">
        <f t="shared" si="479"/>
        <v>8</v>
      </c>
      <c r="AD290" s="433">
        <f t="shared" si="479"/>
        <v>8</v>
      </c>
      <c r="AE290" s="433">
        <f t="shared" si="479"/>
        <v>8</v>
      </c>
      <c r="AF290" s="433">
        <f t="shared" si="479"/>
        <v>8</v>
      </c>
      <c r="AG290" s="433">
        <f t="shared" si="479"/>
        <v>8</v>
      </c>
      <c r="AH290" s="433">
        <f t="shared" si="479"/>
        <v>8</v>
      </c>
      <c r="AI290" s="433">
        <f t="shared" si="479"/>
        <v>8</v>
      </c>
      <c r="AJ290" s="433">
        <f t="shared" si="479"/>
        <v>8</v>
      </c>
      <c r="AK290" s="433">
        <f t="shared" si="479"/>
        <v>8</v>
      </c>
      <c r="AL290" s="433">
        <f t="shared" si="479"/>
        <v>8</v>
      </c>
      <c r="AM290" s="433">
        <f t="shared" si="479"/>
        <v>8</v>
      </c>
      <c r="AN290" s="433">
        <f t="shared" si="479"/>
        <v>8</v>
      </c>
      <c r="AO290" s="433">
        <f t="shared" si="479"/>
        <v>8</v>
      </c>
      <c r="AP290" s="433">
        <f t="shared" si="479"/>
        <v>8</v>
      </c>
      <c r="AQ290" s="433">
        <f t="shared" si="480"/>
        <v>8</v>
      </c>
      <c r="AR290" s="433">
        <f t="shared" si="480"/>
        <v>8</v>
      </c>
      <c r="AS290" s="433">
        <f t="shared" si="480"/>
        <v>8</v>
      </c>
      <c r="AT290" s="433">
        <f t="shared" si="480"/>
        <v>8</v>
      </c>
      <c r="AU290" s="433">
        <f t="shared" si="480"/>
        <v>8</v>
      </c>
      <c r="AV290" s="433">
        <f t="shared" si="480"/>
        <v>8</v>
      </c>
      <c r="AW290" s="433">
        <f t="shared" si="480"/>
        <v>8</v>
      </c>
      <c r="AX290" s="433">
        <f t="shared" si="480"/>
        <v>8</v>
      </c>
      <c r="AY290" s="433">
        <f t="shared" si="480"/>
        <v>8</v>
      </c>
      <c r="AZ290" s="433">
        <f t="shared" si="480"/>
        <v>8</v>
      </c>
      <c r="BA290" s="433">
        <f t="shared" si="480"/>
        <v>8</v>
      </c>
      <c r="BB290" s="433">
        <f t="shared" si="480"/>
        <v>8</v>
      </c>
      <c r="BC290" s="433">
        <f t="shared" si="480"/>
        <v>8</v>
      </c>
      <c r="BD290" s="433">
        <f t="shared" si="480"/>
        <v>8</v>
      </c>
      <c r="BE290" s="433">
        <f t="shared" si="480"/>
        <v>8</v>
      </c>
    </row>
    <row r="291" spans="2:57" x14ac:dyDescent="0.25">
      <c r="B291" s="30"/>
      <c r="C291" s="430" t="s">
        <v>935</v>
      </c>
      <c r="D291" s="430" t="s">
        <v>936</v>
      </c>
      <c r="E291" s="325">
        <v>0</v>
      </c>
      <c r="F291" s="313">
        <v>0</v>
      </c>
      <c r="G291" s="313">
        <v>0</v>
      </c>
      <c r="H291" s="313">
        <f t="shared" si="481"/>
        <v>0</v>
      </c>
      <c r="J291" s="433">
        <f t="shared" si="482"/>
        <v>0</v>
      </c>
      <c r="K291" s="433">
        <f t="shared" si="478"/>
        <v>0</v>
      </c>
      <c r="L291" s="433">
        <f t="shared" si="478"/>
        <v>0</v>
      </c>
      <c r="M291" s="433">
        <f t="shared" si="478"/>
        <v>0</v>
      </c>
      <c r="N291" s="433">
        <f t="shared" si="478"/>
        <v>0</v>
      </c>
      <c r="O291" s="433">
        <f t="shared" si="478"/>
        <v>0</v>
      </c>
      <c r="P291" s="433">
        <f t="shared" si="478"/>
        <v>0</v>
      </c>
      <c r="Q291" s="433">
        <f t="shared" si="478"/>
        <v>0</v>
      </c>
      <c r="R291" s="433">
        <f t="shared" si="478"/>
        <v>0</v>
      </c>
      <c r="S291" s="433">
        <f t="shared" si="478"/>
        <v>0</v>
      </c>
      <c r="T291" s="433">
        <f t="shared" si="478"/>
        <v>0</v>
      </c>
      <c r="U291" s="433">
        <f t="shared" si="478"/>
        <v>0</v>
      </c>
      <c r="V291" s="433">
        <f t="shared" si="478"/>
        <v>0</v>
      </c>
      <c r="W291" s="433">
        <f t="shared" si="478"/>
        <v>0</v>
      </c>
      <c r="X291" s="433">
        <f t="shared" si="478"/>
        <v>0</v>
      </c>
      <c r="Y291" s="433">
        <f t="shared" si="478"/>
        <v>0</v>
      </c>
      <c r="Z291" s="433">
        <f t="shared" si="478"/>
        <v>0</v>
      </c>
      <c r="AA291" s="433">
        <f t="shared" si="479"/>
        <v>0</v>
      </c>
      <c r="AB291" s="433">
        <f t="shared" si="479"/>
        <v>0</v>
      </c>
      <c r="AC291" s="433">
        <f t="shared" si="479"/>
        <v>0</v>
      </c>
      <c r="AD291" s="433">
        <f t="shared" si="479"/>
        <v>0</v>
      </c>
      <c r="AE291" s="433">
        <f t="shared" si="479"/>
        <v>0</v>
      </c>
      <c r="AF291" s="433">
        <f t="shared" si="479"/>
        <v>0</v>
      </c>
      <c r="AG291" s="433">
        <f t="shared" si="479"/>
        <v>0</v>
      </c>
      <c r="AH291" s="433">
        <f t="shared" si="479"/>
        <v>0</v>
      </c>
      <c r="AI291" s="433">
        <f t="shared" si="479"/>
        <v>0</v>
      </c>
      <c r="AJ291" s="433">
        <f t="shared" si="479"/>
        <v>0</v>
      </c>
      <c r="AK291" s="433">
        <f t="shared" si="479"/>
        <v>0</v>
      </c>
      <c r="AL291" s="433">
        <f t="shared" si="479"/>
        <v>0</v>
      </c>
      <c r="AM291" s="433">
        <f t="shared" si="479"/>
        <v>0</v>
      </c>
      <c r="AN291" s="433">
        <f t="shared" si="479"/>
        <v>0</v>
      </c>
      <c r="AO291" s="433">
        <f t="shared" si="479"/>
        <v>0</v>
      </c>
      <c r="AP291" s="433">
        <f t="shared" si="479"/>
        <v>0</v>
      </c>
      <c r="AQ291" s="433">
        <f t="shared" si="480"/>
        <v>0</v>
      </c>
      <c r="AR291" s="433">
        <f t="shared" si="480"/>
        <v>0</v>
      </c>
      <c r="AS291" s="433">
        <f t="shared" si="480"/>
        <v>0</v>
      </c>
      <c r="AT291" s="433">
        <f t="shared" si="480"/>
        <v>0</v>
      </c>
      <c r="AU291" s="433">
        <f t="shared" si="480"/>
        <v>0</v>
      </c>
      <c r="AV291" s="433">
        <f t="shared" si="480"/>
        <v>0</v>
      </c>
      <c r="AW291" s="433">
        <f t="shared" si="480"/>
        <v>0</v>
      </c>
      <c r="AX291" s="433">
        <f t="shared" si="480"/>
        <v>0</v>
      </c>
      <c r="AY291" s="433">
        <f t="shared" si="480"/>
        <v>0</v>
      </c>
      <c r="AZ291" s="433">
        <f t="shared" si="480"/>
        <v>0</v>
      </c>
      <c r="BA291" s="433">
        <f t="shared" si="480"/>
        <v>0</v>
      </c>
      <c r="BB291" s="433">
        <f t="shared" si="480"/>
        <v>0</v>
      </c>
      <c r="BC291" s="433">
        <f t="shared" si="480"/>
        <v>0</v>
      </c>
      <c r="BD291" s="433">
        <f t="shared" si="480"/>
        <v>0</v>
      </c>
      <c r="BE291" s="433">
        <f t="shared" si="480"/>
        <v>0</v>
      </c>
    </row>
    <row r="292" spans="2:57" x14ac:dyDescent="0.25">
      <c r="B292" s="435"/>
      <c r="C292" s="430" t="s">
        <v>937</v>
      </c>
      <c r="D292" s="430" t="s">
        <v>936</v>
      </c>
      <c r="E292" s="325">
        <v>0</v>
      </c>
      <c r="F292" s="313">
        <v>0</v>
      </c>
      <c r="G292" s="313">
        <v>0</v>
      </c>
      <c r="H292" s="313">
        <f t="shared" si="481"/>
        <v>0</v>
      </c>
      <c r="J292" s="433">
        <f t="shared" si="482"/>
        <v>0</v>
      </c>
      <c r="K292" s="433">
        <f t="shared" si="478"/>
        <v>0</v>
      </c>
      <c r="L292" s="433">
        <f t="shared" si="478"/>
        <v>0</v>
      </c>
      <c r="M292" s="433">
        <f t="shared" si="478"/>
        <v>0</v>
      </c>
      <c r="N292" s="433">
        <f t="shared" si="478"/>
        <v>0</v>
      </c>
      <c r="O292" s="433">
        <f t="shared" si="478"/>
        <v>0</v>
      </c>
      <c r="P292" s="433">
        <f t="shared" si="478"/>
        <v>0</v>
      </c>
      <c r="Q292" s="433">
        <f t="shared" si="478"/>
        <v>0</v>
      </c>
      <c r="R292" s="433">
        <f t="shared" si="478"/>
        <v>0</v>
      </c>
      <c r="S292" s="433">
        <f t="shared" si="478"/>
        <v>0</v>
      </c>
      <c r="T292" s="433">
        <f t="shared" si="478"/>
        <v>0</v>
      </c>
      <c r="U292" s="433">
        <f t="shared" si="478"/>
        <v>0</v>
      </c>
      <c r="V292" s="433">
        <f t="shared" si="478"/>
        <v>0</v>
      </c>
      <c r="W292" s="433">
        <f t="shared" si="478"/>
        <v>0</v>
      </c>
      <c r="X292" s="433">
        <f t="shared" si="478"/>
        <v>0</v>
      </c>
      <c r="Y292" s="433">
        <f t="shared" si="478"/>
        <v>0</v>
      </c>
      <c r="Z292" s="433">
        <f t="shared" si="478"/>
        <v>0</v>
      </c>
      <c r="AA292" s="433">
        <f t="shared" si="479"/>
        <v>0</v>
      </c>
      <c r="AB292" s="433">
        <f t="shared" si="479"/>
        <v>0</v>
      </c>
      <c r="AC292" s="433">
        <f t="shared" si="479"/>
        <v>0</v>
      </c>
      <c r="AD292" s="433">
        <f t="shared" si="479"/>
        <v>0</v>
      </c>
      <c r="AE292" s="433">
        <f t="shared" si="479"/>
        <v>0</v>
      </c>
      <c r="AF292" s="433">
        <f t="shared" si="479"/>
        <v>0</v>
      </c>
      <c r="AG292" s="433">
        <f t="shared" si="479"/>
        <v>0</v>
      </c>
      <c r="AH292" s="433">
        <f t="shared" si="479"/>
        <v>0</v>
      </c>
      <c r="AI292" s="433">
        <f t="shared" si="479"/>
        <v>0</v>
      </c>
      <c r="AJ292" s="433">
        <f t="shared" si="479"/>
        <v>0</v>
      </c>
      <c r="AK292" s="433">
        <f t="shared" si="479"/>
        <v>0</v>
      </c>
      <c r="AL292" s="433">
        <f t="shared" si="479"/>
        <v>0</v>
      </c>
      <c r="AM292" s="433">
        <f t="shared" si="479"/>
        <v>0</v>
      </c>
      <c r="AN292" s="433">
        <f t="shared" si="479"/>
        <v>0</v>
      </c>
      <c r="AO292" s="433">
        <f t="shared" si="479"/>
        <v>0</v>
      </c>
      <c r="AP292" s="433">
        <f t="shared" si="479"/>
        <v>0</v>
      </c>
      <c r="AQ292" s="433">
        <f t="shared" si="480"/>
        <v>0</v>
      </c>
      <c r="AR292" s="433">
        <f t="shared" si="480"/>
        <v>0</v>
      </c>
      <c r="AS292" s="433">
        <f t="shared" si="480"/>
        <v>0</v>
      </c>
      <c r="AT292" s="433">
        <f t="shared" si="480"/>
        <v>0</v>
      </c>
      <c r="AU292" s="433">
        <f t="shared" si="480"/>
        <v>0</v>
      </c>
      <c r="AV292" s="433">
        <f t="shared" si="480"/>
        <v>0</v>
      </c>
      <c r="AW292" s="433">
        <f t="shared" si="480"/>
        <v>0</v>
      </c>
      <c r="AX292" s="433">
        <f t="shared" si="480"/>
        <v>0</v>
      </c>
      <c r="AY292" s="433">
        <f t="shared" si="480"/>
        <v>0</v>
      </c>
      <c r="AZ292" s="433">
        <f t="shared" si="480"/>
        <v>0</v>
      </c>
      <c r="BA292" s="433">
        <f t="shared" si="480"/>
        <v>0</v>
      </c>
      <c r="BB292" s="433">
        <f t="shared" si="480"/>
        <v>0</v>
      </c>
      <c r="BC292" s="433">
        <f t="shared" si="480"/>
        <v>0</v>
      </c>
      <c r="BD292" s="433">
        <f t="shared" si="480"/>
        <v>0</v>
      </c>
      <c r="BE292" s="433">
        <f t="shared" si="480"/>
        <v>0</v>
      </c>
    </row>
    <row r="294" spans="2:57" x14ac:dyDescent="0.25">
      <c r="C294" s="431" t="s">
        <v>938</v>
      </c>
    </row>
    <row r="295" spans="2:57" x14ac:dyDescent="0.25">
      <c r="B295" s="171">
        <v>1</v>
      </c>
      <c r="C295" s="325" t="s">
        <v>1428</v>
      </c>
    </row>
    <row r="296" spans="2:57" x14ac:dyDescent="0.25">
      <c r="B296" s="171">
        <v>2</v>
      </c>
      <c r="C296" s="325" t="s">
        <v>1429</v>
      </c>
    </row>
    <row r="297" spans="2:57" x14ac:dyDescent="0.25">
      <c r="B297" s="171">
        <v>3</v>
      </c>
      <c r="C297" s="325" t="s">
        <v>1430</v>
      </c>
    </row>
    <row r="298" spans="2:57" x14ac:dyDescent="0.25">
      <c r="B298" s="171">
        <v>4</v>
      </c>
      <c r="C298" s="325" t="s">
        <v>1431</v>
      </c>
    </row>
    <row r="299" spans="2:57" x14ac:dyDescent="0.25">
      <c r="B299" s="604">
        <v>5</v>
      </c>
      <c r="C299" s="325" t="s">
        <v>1424</v>
      </c>
    </row>
    <row r="300" spans="2:57" x14ac:dyDescent="0.25">
      <c r="B300" s="604"/>
      <c r="C300" s="325"/>
    </row>
  </sheetData>
  <conditionalFormatting sqref="J9:BE22">
    <cfRule type="cellIs" dxfId="178" priority="45" operator="equal">
      <formula>1</formula>
    </cfRule>
  </conditionalFormatting>
  <conditionalFormatting sqref="J26:BE29">
    <cfRule type="cellIs" dxfId="177" priority="44" operator="greaterThan">
      <formula>0</formula>
    </cfRule>
  </conditionalFormatting>
  <conditionalFormatting sqref="J41:BE54">
    <cfRule type="cellIs" dxfId="176" priority="43" operator="equal">
      <formula>1</formula>
    </cfRule>
  </conditionalFormatting>
  <conditionalFormatting sqref="J74:BE87">
    <cfRule type="cellIs" dxfId="175" priority="41" operator="equal">
      <formula>1</formula>
    </cfRule>
  </conditionalFormatting>
  <conditionalFormatting sqref="J106:BE119">
    <cfRule type="cellIs" dxfId="174" priority="39" operator="equal">
      <formula>1</formula>
    </cfRule>
  </conditionalFormatting>
  <conditionalFormatting sqref="J140:BE153">
    <cfRule type="cellIs" dxfId="173" priority="37" operator="equal">
      <formula>1</formula>
    </cfRule>
  </conditionalFormatting>
  <conditionalFormatting sqref="J174:BE187">
    <cfRule type="cellIs" dxfId="172" priority="35" operator="equal">
      <formula>1</formula>
    </cfRule>
  </conditionalFormatting>
  <conditionalFormatting sqref="J206:BE219">
    <cfRule type="cellIs" dxfId="171" priority="33" operator="equal">
      <formula>1</formula>
    </cfRule>
  </conditionalFormatting>
  <conditionalFormatting sqref="J239:BE252">
    <cfRule type="cellIs" dxfId="170" priority="31" operator="equal">
      <formula>1</formula>
    </cfRule>
  </conditionalFormatting>
  <conditionalFormatting sqref="J272:BE285">
    <cfRule type="cellIs" dxfId="169" priority="29" operator="equal">
      <formula>1</formula>
    </cfRule>
  </conditionalFormatting>
  <conditionalFormatting sqref="J58:BE61">
    <cfRule type="cellIs" dxfId="168" priority="8" operator="greaterThan">
      <formula>0</formula>
    </cfRule>
  </conditionalFormatting>
  <conditionalFormatting sqref="J91:BE94">
    <cfRule type="cellIs" dxfId="167" priority="7" operator="greaterThan">
      <formula>0</formula>
    </cfRule>
  </conditionalFormatting>
  <conditionalFormatting sqref="J123:BE126">
    <cfRule type="cellIs" dxfId="166" priority="6" operator="greaterThan">
      <formula>0</formula>
    </cfRule>
  </conditionalFormatting>
  <conditionalFormatting sqref="J157:BE160">
    <cfRule type="cellIs" dxfId="165" priority="5" operator="greaterThan">
      <formula>0</formula>
    </cfRule>
  </conditionalFormatting>
  <conditionalFormatting sqref="J191:BE194">
    <cfRule type="cellIs" dxfId="164" priority="4" operator="greaterThan">
      <formula>0</formula>
    </cfRule>
  </conditionalFormatting>
  <conditionalFormatting sqref="J223:BE226">
    <cfRule type="cellIs" dxfId="163" priority="3" operator="greaterThan">
      <formula>0</formula>
    </cfRule>
  </conditionalFormatting>
  <conditionalFormatting sqref="J256:BE259">
    <cfRule type="cellIs" dxfId="162" priority="2" operator="greaterThan">
      <formula>0</formula>
    </cfRule>
  </conditionalFormatting>
  <conditionalFormatting sqref="J289:BE292">
    <cfRule type="cellIs" dxfId="161" priority="1" operator="greaterThan">
      <formula>0</formula>
    </cfRule>
  </conditionalFormatting>
  <dataValidations count="2">
    <dataValidation type="list" allowBlank="1" showInputMessage="1" showErrorMessage="1" sqref="D9:D22 D41:D54 D74:D87 D106:D119 D140:D153 D174:D187 D206:D219 D239:D252 D272:D285" xr:uid="{00000000-0002-0000-0300-000000000000}">
      <formula1>"Yes, No"</formula1>
    </dataValidation>
    <dataValidation type="whole" allowBlank="1" showInputMessage="1" showErrorMessage="1" sqref="E9:E22 E41:E54 E74:E87 E106:E119 E140:E153 E174:E187 E206:E219 E239:E252 E272:E285" xr:uid="{00000000-0002-0000-0300-000001000000}">
      <formula1>1</formula1>
      <formula2>20</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dimension ref="A2:C101"/>
  <sheetViews>
    <sheetView workbookViewId="0">
      <selection activeCell="A2" sqref="A2"/>
    </sheetView>
  </sheetViews>
  <sheetFormatPr defaultColWidth="9.140625" defaultRowHeight="15" x14ac:dyDescent="0.25"/>
  <cols>
    <col min="1" max="1" width="15.5703125" style="171" bestFit="1" customWidth="1"/>
    <col min="2" max="16384" width="9.140625" style="171"/>
  </cols>
  <sheetData>
    <row r="2" spans="1:3" x14ac:dyDescent="0.25">
      <c r="A2" s="171" t="str">
        <f t="array" ref="A2:A101">TRANSPOSE(Parameters!J9:DG9)</f>
        <v>K14 Scenario 1</v>
      </c>
      <c r="C2" s="171" t="str">
        <f t="array" ref="C2">IFERROR(INDEX($A$2:$A$101,SMALL(IF(ISTEXT($A$2:$A$101),ROW($A$1:$A$100),""),ROW(A1))),"")</f>
        <v>K14 Scenario 1</v>
      </c>
    </row>
    <row r="3" spans="1:3" x14ac:dyDescent="0.25">
      <c r="A3" s="171" t="str">
        <v>K14 Scenario 2</v>
      </c>
      <c r="C3" s="171" t="str">
        <f t="array" ref="C3">IFERROR(INDEX($A$2:$A$101,SMALL(IF(ISTEXT($A$2:$A$101),ROW($A$1:$A$100),""),ROW(A2))),"")</f>
        <v>K14 Scenario 2</v>
      </c>
    </row>
    <row r="4" spans="1:3" x14ac:dyDescent="0.25">
      <c r="A4" s="171" t="str">
        <v>K14 Scenario 3</v>
      </c>
      <c r="C4" s="171" t="str">
        <f t="array" ref="C4">IFERROR(INDEX($A$2:$A$101,SMALL(IF(ISTEXT($A$2:$A$101),ROW($A$1:$A$100),""),ROW(A3))),"")</f>
        <v>K14 Scenario 3</v>
      </c>
    </row>
    <row r="5" spans="1:3" x14ac:dyDescent="0.25">
      <c r="A5" s="171">
        <v>0</v>
      </c>
      <c r="C5" s="171" t="str">
        <f t="array" ref="C5">IFERROR(INDEX($A$2:$A$101,SMALL(IF(ISTEXT($A$2:$A$101),ROW($A$1:$A$100),""),ROW(A4))),"")</f>
        <v>P15 Scenario 1</v>
      </c>
    </row>
    <row r="6" spans="1:3" x14ac:dyDescent="0.25">
      <c r="A6" s="171" t="str">
        <v>P15 Scenario 1</v>
      </c>
      <c r="C6" s="171" t="str">
        <f t="array" ref="C6">IFERROR(INDEX($A$2:$A$101,SMALL(IF(ISTEXT($A$2:$A$101),ROW($A$1:$A$100),""),ROW(A5))),"")</f>
        <v>P15 Scenario 2</v>
      </c>
    </row>
    <row r="7" spans="1:3" x14ac:dyDescent="0.25">
      <c r="A7" s="171" t="str">
        <v>P15 Scenario 2</v>
      </c>
      <c r="C7" s="171" t="str">
        <f t="array" ref="C7">IFERROR(INDEX($A$2:$A$101,SMALL(IF(ISTEXT($A$2:$A$101),ROW($A$1:$A$100),""),ROW(A6))),"")</f>
        <v>K5 Scenario 1</v>
      </c>
    </row>
    <row r="8" spans="1:3" x14ac:dyDescent="0.25">
      <c r="A8" s="171">
        <v>0</v>
      </c>
      <c r="C8" s="171" t="str">
        <f t="array" ref="C8">IFERROR(INDEX($A$2:$A$101,SMALL(IF(ISTEXT($A$2:$A$101),ROW($A$1:$A$100),""),ROW(A7))),"")</f>
        <v>K5 Scenario 2</v>
      </c>
    </row>
    <row r="9" spans="1:3" x14ac:dyDescent="0.25">
      <c r="A9" s="171" t="str">
        <v>K5 Scenario 1</v>
      </c>
      <c r="C9" s="171" t="str">
        <f t="array" ref="C9">IFERROR(INDEX($A$2:$A$101,SMALL(IF(ISTEXT($A$2:$A$101),ROW($A$1:$A$100),""),ROW(A8))),"")</f>
        <v>K5 Scenario 3</v>
      </c>
    </row>
    <row r="10" spans="1:3" x14ac:dyDescent="0.25">
      <c r="A10" s="171" t="str">
        <v>K5 Scenario 2</v>
      </c>
      <c r="C10" s="171" t="str">
        <f t="array" ref="C10">IFERROR(INDEX($A$2:$A$101,SMALL(IF(ISTEXT($A$2:$A$101),ROW($A$1:$A$100),""),ROW(A9))),"")</f>
        <v/>
      </c>
    </row>
    <row r="11" spans="1:3" x14ac:dyDescent="0.25">
      <c r="A11" s="171" t="str">
        <v>K5 Scenario 3</v>
      </c>
      <c r="C11" s="171" t="str">
        <f t="array" ref="C11">IFERROR(INDEX($A$2:$A$101,SMALL(IF(ISTEXT($A$2:$A$101),ROW($A$1:$A$100),""),ROW(A10))),"")</f>
        <v/>
      </c>
    </row>
    <row r="12" spans="1:3" x14ac:dyDescent="0.25">
      <c r="A12" s="171">
        <v>0</v>
      </c>
      <c r="C12" s="171" t="str">
        <f t="array" ref="C12">IFERROR(INDEX($A$2:$A$101,SMALL(IF(ISTEXT($A$2:$A$101),ROW($A$1:$A$100),""),ROW(A11))),"")</f>
        <v/>
      </c>
    </row>
    <row r="13" spans="1:3" x14ac:dyDescent="0.25">
      <c r="A13" s="171">
        <v>0</v>
      </c>
      <c r="C13" s="171" t="str">
        <f t="array" ref="C13">IFERROR(INDEX($A$2:$A$101,SMALL(IF(ISTEXT($A$2:$A$101),ROW($A$1:$A$100),""),ROW(A12))),"")</f>
        <v/>
      </c>
    </row>
    <row r="14" spans="1:3" x14ac:dyDescent="0.25">
      <c r="A14" s="171">
        <v>0</v>
      </c>
      <c r="C14" s="171" t="str">
        <f t="array" ref="C14">IFERROR(INDEX($A$2:$A$101,SMALL(IF(ISTEXT($A$2:$A$101),ROW($A$1:$A$100),""),ROW(A13))),"")</f>
        <v/>
      </c>
    </row>
    <row r="15" spans="1:3" x14ac:dyDescent="0.25">
      <c r="A15" s="171">
        <v>0</v>
      </c>
      <c r="C15" s="171" t="str">
        <f t="array" ref="C15">IFERROR(INDEX($A$2:$A$101,SMALL(IF(ISTEXT($A$2:$A$101),ROW($A$1:$A$100),""),ROW(A14))),"")</f>
        <v/>
      </c>
    </row>
    <row r="16" spans="1:3" x14ac:dyDescent="0.25">
      <c r="A16" s="171">
        <v>0</v>
      </c>
      <c r="C16" s="171" t="str">
        <f t="array" ref="C16">IFERROR(INDEX($A$2:$A$101,SMALL(IF(ISTEXT($A$2:$A$101),ROW($A$1:$A$100),""),ROW(A15))),"")</f>
        <v/>
      </c>
    </row>
    <row r="17" spans="1:3" x14ac:dyDescent="0.25">
      <c r="A17" s="171">
        <v>0</v>
      </c>
      <c r="C17" s="171" t="str">
        <f t="array" ref="C17">IFERROR(INDEX($A$2:$A$101,SMALL(IF(ISTEXT($A$2:$A$101),ROW($A$1:$A$100),""),ROW(A16))),"")</f>
        <v/>
      </c>
    </row>
    <row r="18" spans="1:3" x14ac:dyDescent="0.25">
      <c r="A18" s="171">
        <v>0</v>
      </c>
      <c r="C18" s="171" t="str">
        <f t="array" ref="C18">IFERROR(INDEX($A$2:$A$101,SMALL(IF(ISTEXT($A$2:$A$101),ROW($A$1:$A$100),""),ROW(A17))),"")</f>
        <v/>
      </c>
    </row>
    <row r="19" spans="1:3" x14ac:dyDescent="0.25">
      <c r="A19" s="171">
        <v>0</v>
      </c>
      <c r="C19" s="171" t="str">
        <f t="array" ref="C19">IFERROR(INDEX($A$2:$A$101,SMALL(IF(ISTEXT($A$2:$A$101),ROW($A$1:$A$100),""),ROW(A18))),"")</f>
        <v/>
      </c>
    </row>
    <row r="20" spans="1:3" x14ac:dyDescent="0.25">
      <c r="A20" s="171">
        <v>0</v>
      </c>
      <c r="C20" s="171" t="str">
        <f t="array" ref="C20">IFERROR(INDEX($A$2:$A$101,SMALL(IF(ISTEXT($A$2:$A$101),ROW($A$1:$A$100),""),ROW(A19))),"")</f>
        <v/>
      </c>
    </row>
    <row r="21" spans="1:3" x14ac:dyDescent="0.25">
      <c r="A21" s="171">
        <v>0</v>
      </c>
      <c r="C21" s="171" t="str">
        <f t="array" ref="C21">IFERROR(INDEX($A$2:$A$101,SMALL(IF(ISTEXT($A$2:$A$101),ROW($A$1:$A$100),""),ROW(A20))),"")</f>
        <v/>
      </c>
    </row>
    <row r="22" spans="1:3" x14ac:dyDescent="0.25">
      <c r="A22" s="171">
        <v>0</v>
      </c>
      <c r="C22" s="171" t="str">
        <f t="array" ref="C22">IFERROR(INDEX($A$2:$A$101,SMALL(IF(ISTEXT($A$2:$A$101),ROW($A$1:$A$100),""),ROW(A21))),"")</f>
        <v/>
      </c>
    </row>
    <row r="23" spans="1:3" x14ac:dyDescent="0.25">
      <c r="A23" s="171">
        <v>0</v>
      </c>
      <c r="C23" s="171" t="str">
        <f t="array" ref="C23">IFERROR(INDEX($A$2:$A$101,SMALL(IF(ISTEXT($A$2:$A$101),ROW($A$1:$A$100),""),ROW(A22))),"")</f>
        <v/>
      </c>
    </row>
    <row r="24" spans="1:3" x14ac:dyDescent="0.25">
      <c r="A24" s="171">
        <v>0</v>
      </c>
      <c r="C24" s="171" t="str">
        <f t="array" ref="C24">IFERROR(INDEX($A$2:$A$101,SMALL(IF(ISTEXT($A$2:$A$101),ROW($A$1:$A$100),""),ROW(A23))),"")</f>
        <v/>
      </c>
    </row>
    <row r="25" spans="1:3" x14ac:dyDescent="0.25">
      <c r="A25" s="171">
        <v>0</v>
      </c>
      <c r="C25" s="171" t="str">
        <f t="array" ref="C25">IFERROR(INDEX($A$2:$A$101,SMALL(IF(ISTEXT($A$2:$A$101),ROW($A$1:$A$100),""),ROW(A24))),"")</f>
        <v/>
      </c>
    </row>
    <row r="26" spans="1:3" x14ac:dyDescent="0.25">
      <c r="A26" s="171">
        <v>0</v>
      </c>
      <c r="C26" s="171" t="str">
        <f t="array" ref="C26">IFERROR(INDEX($A$2:$A$101,SMALL(IF(ISTEXT($A$2:$A$101),ROW($A$1:$A$100),""),ROW(A25))),"")</f>
        <v/>
      </c>
    </row>
    <row r="27" spans="1:3" x14ac:dyDescent="0.25">
      <c r="A27" s="171">
        <v>0</v>
      </c>
      <c r="C27" s="171" t="str">
        <f t="array" ref="C27">IFERROR(INDEX($A$2:$A$101,SMALL(IF(ISTEXT($A$2:$A$101),ROW($A$1:$A$100),""),ROW(A26))),"")</f>
        <v/>
      </c>
    </row>
    <row r="28" spans="1:3" x14ac:dyDescent="0.25">
      <c r="A28" s="171">
        <v>0</v>
      </c>
      <c r="C28" s="171" t="str">
        <f t="array" ref="C28">IFERROR(INDEX($A$2:$A$101,SMALL(IF(ISTEXT($A$2:$A$101),ROW($A$1:$A$100),""),ROW(A27))),"")</f>
        <v/>
      </c>
    </row>
    <row r="29" spans="1:3" x14ac:dyDescent="0.25">
      <c r="A29" s="171">
        <v>0</v>
      </c>
      <c r="C29" s="171" t="str">
        <f t="array" ref="C29">IFERROR(INDEX($A$2:$A$101,SMALL(IF(ISTEXT($A$2:$A$101),ROW($A$1:$A$100),""),ROW(A28))),"")</f>
        <v/>
      </c>
    </row>
    <row r="30" spans="1:3" x14ac:dyDescent="0.25">
      <c r="A30" s="171">
        <v>0</v>
      </c>
      <c r="C30" s="171" t="str">
        <f t="array" ref="C30">IFERROR(INDEX($A$2:$A$101,SMALL(IF(ISTEXT($A$2:$A$101),ROW($A$1:$A$100),""),ROW(A29))),"")</f>
        <v/>
      </c>
    </row>
    <row r="31" spans="1:3" x14ac:dyDescent="0.25">
      <c r="A31" s="171">
        <v>0</v>
      </c>
      <c r="C31" s="171" t="str">
        <f t="array" ref="C31">IFERROR(INDEX($A$2:$A$101,SMALL(IF(ISTEXT($A$2:$A$101),ROW($A$1:$A$100),""),ROW(A30))),"")</f>
        <v/>
      </c>
    </row>
    <row r="32" spans="1:3" x14ac:dyDescent="0.25">
      <c r="A32" s="171">
        <v>0</v>
      </c>
      <c r="C32" s="171" t="str">
        <f t="array" ref="C32">IFERROR(INDEX($A$2:$A$101,SMALL(IF(ISTEXT($A$2:$A$101),ROW($A$1:$A$100),""),ROW(A31))),"")</f>
        <v/>
      </c>
    </row>
    <row r="33" spans="1:3" x14ac:dyDescent="0.25">
      <c r="A33" s="171">
        <v>0</v>
      </c>
      <c r="C33" s="171" t="str">
        <f t="array" ref="C33">IFERROR(INDEX($A$2:$A$101,SMALL(IF(ISTEXT($A$2:$A$101),ROW($A$1:$A$100),""),ROW(A32))),"")</f>
        <v/>
      </c>
    </row>
    <row r="34" spans="1:3" x14ac:dyDescent="0.25">
      <c r="A34" s="171">
        <v>0</v>
      </c>
      <c r="C34" s="171" t="str">
        <f t="array" ref="C34">IFERROR(INDEX($A$2:$A$101,SMALL(IF(ISTEXT($A$2:$A$101),ROW($A$1:$A$100),""),ROW(A33))),"")</f>
        <v/>
      </c>
    </row>
    <row r="35" spans="1:3" x14ac:dyDescent="0.25">
      <c r="A35" s="171">
        <v>0</v>
      </c>
      <c r="C35" s="171" t="str">
        <f t="array" ref="C35">IFERROR(INDEX($A$2:$A$101,SMALL(IF(ISTEXT($A$2:$A$101),ROW($A$1:$A$100),""),ROW(A34))),"")</f>
        <v/>
      </c>
    </row>
    <row r="36" spans="1:3" x14ac:dyDescent="0.25">
      <c r="A36" s="171">
        <v>0</v>
      </c>
      <c r="C36" s="171" t="str">
        <f t="array" ref="C36">IFERROR(INDEX($A$2:$A$101,SMALL(IF(ISTEXT($A$2:$A$101),ROW($A$1:$A$100),""),ROW(A35))),"")</f>
        <v/>
      </c>
    </row>
    <row r="37" spans="1:3" x14ac:dyDescent="0.25">
      <c r="A37" s="171">
        <v>0</v>
      </c>
      <c r="C37" s="171" t="str">
        <f t="array" ref="C37">IFERROR(INDEX($A$2:$A$101,SMALL(IF(ISTEXT($A$2:$A$101),ROW($A$1:$A$100),""),ROW(A36))),"")</f>
        <v/>
      </c>
    </row>
    <row r="38" spans="1:3" x14ac:dyDescent="0.25">
      <c r="A38" s="171">
        <v>0</v>
      </c>
      <c r="C38" s="171" t="str">
        <f t="array" ref="C38">IFERROR(INDEX($A$2:$A$101,SMALL(IF(ISTEXT($A$2:$A$101),ROW($A$1:$A$100),""),ROW(A37))),"")</f>
        <v/>
      </c>
    </row>
    <row r="39" spans="1:3" x14ac:dyDescent="0.25">
      <c r="A39" s="171">
        <v>0</v>
      </c>
      <c r="C39" s="171" t="str">
        <f t="array" ref="C39">IFERROR(INDEX($A$2:$A$101,SMALL(IF(ISTEXT($A$2:$A$101),ROW($A$1:$A$100),""),ROW(A38))),"")</f>
        <v/>
      </c>
    </row>
    <row r="40" spans="1:3" x14ac:dyDescent="0.25">
      <c r="A40" s="171">
        <v>0</v>
      </c>
      <c r="C40" s="171" t="str">
        <f t="array" ref="C40">IFERROR(INDEX($A$2:$A$101,SMALL(IF(ISTEXT($A$2:$A$101),ROW($A$1:$A$100),""),ROW(A39))),"")</f>
        <v/>
      </c>
    </row>
    <row r="41" spans="1:3" x14ac:dyDescent="0.25">
      <c r="A41" s="171">
        <v>0</v>
      </c>
      <c r="C41" s="171" t="str">
        <f t="array" ref="C41">IFERROR(INDEX($A$2:$A$101,SMALL(IF(ISTEXT($A$2:$A$101),ROW($A$1:$A$100),""),ROW(A40))),"")</f>
        <v/>
      </c>
    </row>
    <row r="42" spans="1:3" x14ac:dyDescent="0.25">
      <c r="A42" s="171">
        <v>0</v>
      </c>
      <c r="C42" s="171" t="str">
        <f t="array" ref="C42">IFERROR(INDEX($A$2:$A$101,SMALL(IF(ISTEXT($A$2:$A$101),ROW($A$1:$A$100),""),ROW(A41))),"")</f>
        <v/>
      </c>
    </row>
    <row r="43" spans="1:3" x14ac:dyDescent="0.25">
      <c r="A43" s="171">
        <v>0</v>
      </c>
      <c r="C43" s="171" t="str">
        <f t="array" ref="C43">IFERROR(INDEX($A$2:$A$101,SMALL(IF(ISTEXT($A$2:$A$101),ROW($A$1:$A$100),""),ROW(A42))),"")</f>
        <v/>
      </c>
    </row>
    <row r="44" spans="1:3" x14ac:dyDescent="0.25">
      <c r="A44" s="171">
        <v>0</v>
      </c>
      <c r="C44" s="171" t="str">
        <f t="array" ref="C44">IFERROR(INDEX($A$2:$A$101,SMALL(IF(ISTEXT($A$2:$A$101),ROW($A$1:$A$100),""),ROW(A43))),"")</f>
        <v/>
      </c>
    </row>
    <row r="45" spans="1:3" x14ac:dyDescent="0.25">
      <c r="A45" s="171">
        <v>0</v>
      </c>
      <c r="C45" s="171" t="str">
        <f t="array" ref="C45">IFERROR(INDEX($A$2:$A$101,SMALL(IF(ISTEXT($A$2:$A$101),ROW($A$1:$A$100),""),ROW(A44))),"")</f>
        <v/>
      </c>
    </row>
    <row r="46" spans="1:3" x14ac:dyDescent="0.25">
      <c r="A46" s="171">
        <v>0</v>
      </c>
      <c r="C46" s="171" t="str">
        <f t="array" ref="C46">IFERROR(INDEX($A$2:$A$101,SMALL(IF(ISTEXT($A$2:$A$101),ROW($A$1:$A$100),""),ROW(A45))),"")</f>
        <v/>
      </c>
    </row>
    <row r="47" spans="1:3" x14ac:dyDescent="0.25">
      <c r="A47" s="171">
        <v>0</v>
      </c>
      <c r="C47" s="171" t="str">
        <f t="array" ref="C47">IFERROR(INDEX($A$2:$A$101,SMALL(IF(ISTEXT($A$2:$A$101),ROW($A$1:$A$100),""),ROW(A46))),"")</f>
        <v/>
      </c>
    </row>
    <row r="48" spans="1:3" x14ac:dyDescent="0.25">
      <c r="A48" s="171">
        <v>0</v>
      </c>
      <c r="C48" s="171" t="str">
        <f t="array" ref="C48">IFERROR(INDEX($A$2:$A$101,SMALL(IF(ISTEXT($A$2:$A$101),ROW($A$1:$A$100),""),ROW(A47))),"")</f>
        <v/>
      </c>
    </row>
    <row r="49" spans="1:3" x14ac:dyDescent="0.25">
      <c r="A49" s="171">
        <v>0</v>
      </c>
      <c r="C49" s="171" t="str">
        <f t="array" ref="C49">IFERROR(INDEX($A$2:$A$101,SMALL(IF(ISTEXT($A$2:$A$101),ROW($A$1:$A$100),""),ROW(A48))),"")</f>
        <v/>
      </c>
    </row>
    <row r="50" spans="1:3" x14ac:dyDescent="0.25">
      <c r="A50" s="171">
        <v>0</v>
      </c>
      <c r="C50" s="171" t="str">
        <f t="array" ref="C50">IFERROR(INDEX($A$2:$A$101,SMALL(IF(ISTEXT($A$2:$A$101),ROW($A$1:$A$100),""),ROW(A49))),"")</f>
        <v/>
      </c>
    </row>
    <row r="51" spans="1:3" x14ac:dyDescent="0.25">
      <c r="A51" s="171">
        <v>0</v>
      </c>
      <c r="C51" s="171" t="str">
        <f t="array" ref="C51">IFERROR(INDEX($A$2:$A$101,SMALL(IF(ISTEXT($A$2:$A$101),ROW($A$1:$A$100),""),ROW(A50))),"")</f>
        <v/>
      </c>
    </row>
    <row r="52" spans="1:3" x14ac:dyDescent="0.25">
      <c r="A52" s="171">
        <v>0</v>
      </c>
      <c r="C52" s="171" t="str">
        <f t="array" ref="C52">IFERROR(INDEX($A$2:$A$101,SMALL(IF(ISTEXT($A$2:$A$101),ROW($A$1:$A$100),""),ROW(A51))),"")</f>
        <v/>
      </c>
    </row>
    <row r="53" spans="1:3" x14ac:dyDescent="0.25">
      <c r="A53" s="171">
        <v>0</v>
      </c>
      <c r="C53" s="171" t="str">
        <f t="array" ref="C53">IFERROR(INDEX($A$2:$A$101,SMALL(IF(ISTEXT($A$2:$A$101),ROW($A$1:$A$100),""),ROW(A52))),"")</f>
        <v/>
      </c>
    </row>
    <row r="54" spans="1:3" x14ac:dyDescent="0.25">
      <c r="A54" s="171">
        <v>0</v>
      </c>
      <c r="C54" s="171" t="str">
        <f t="array" ref="C54">IFERROR(INDEX($A$2:$A$101,SMALL(IF(ISTEXT($A$2:$A$101),ROW($A$1:$A$100),""),ROW(A53))),"")</f>
        <v/>
      </c>
    </row>
    <row r="55" spans="1:3" x14ac:dyDescent="0.25">
      <c r="A55" s="171">
        <v>0</v>
      </c>
      <c r="C55" s="171" t="str">
        <f t="array" ref="C55">IFERROR(INDEX($A$2:$A$101,SMALL(IF(ISTEXT($A$2:$A$101),ROW($A$1:$A$100),""),ROW(A54))),"")</f>
        <v/>
      </c>
    </row>
    <row r="56" spans="1:3" x14ac:dyDescent="0.25">
      <c r="A56" s="171">
        <v>0</v>
      </c>
      <c r="C56" s="171" t="str">
        <f t="array" ref="C56">IFERROR(INDEX($A$2:$A$101,SMALL(IF(ISTEXT($A$2:$A$101),ROW($A$1:$A$100),""),ROW(A55))),"")</f>
        <v/>
      </c>
    </row>
    <row r="57" spans="1:3" x14ac:dyDescent="0.25">
      <c r="A57" s="171">
        <v>0</v>
      </c>
      <c r="C57" s="171" t="str">
        <f t="array" ref="C57">IFERROR(INDEX($A$2:$A$101,SMALL(IF(ISTEXT($A$2:$A$101),ROW($A$1:$A$100),""),ROW(A56))),"")</f>
        <v/>
      </c>
    </row>
    <row r="58" spans="1:3" x14ac:dyDescent="0.25">
      <c r="A58" s="171">
        <v>0</v>
      </c>
      <c r="C58" s="171" t="str">
        <f t="array" ref="C58">IFERROR(INDEX($A$2:$A$101,SMALL(IF(ISTEXT($A$2:$A$101),ROW($A$1:$A$100),""),ROW(A57))),"")</f>
        <v/>
      </c>
    </row>
    <row r="59" spans="1:3" x14ac:dyDescent="0.25">
      <c r="A59" s="171">
        <v>0</v>
      </c>
      <c r="C59" s="171" t="str">
        <f t="array" ref="C59">IFERROR(INDEX($A$2:$A$101,SMALL(IF(ISTEXT($A$2:$A$101),ROW($A$1:$A$100),""),ROW(A58))),"")</f>
        <v/>
      </c>
    </row>
    <row r="60" spans="1:3" x14ac:dyDescent="0.25">
      <c r="A60" s="171">
        <v>0</v>
      </c>
      <c r="C60" s="171" t="str">
        <f t="array" ref="C60">IFERROR(INDEX($A$2:$A$101,SMALL(IF(ISTEXT($A$2:$A$101),ROW($A$1:$A$100),""),ROW(A59))),"")</f>
        <v/>
      </c>
    </row>
    <row r="61" spans="1:3" x14ac:dyDescent="0.25">
      <c r="A61" s="171">
        <v>0</v>
      </c>
      <c r="C61" s="171" t="str">
        <f t="array" ref="C61">IFERROR(INDEX($A$2:$A$101,SMALL(IF(ISTEXT($A$2:$A$101),ROW($A$1:$A$100),""),ROW(A60))),"")</f>
        <v/>
      </c>
    </row>
    <row r="62" spans="1:3" x14ac:dyDescent="0.25">
      <c r="A62" s="171">
        <v>0</v>
      </c>
      <c r="C62" s="171" t="str">
        <f t="array" ref="C62">IFERROR(INDEX($A$2:$A$101,SMALL(IF(ISTEXT($A$2:$A$101),ROW($A$1:$A$100),""),ROW(A61))),"")</f>
        <v/>
      </c>
    </row>
    <row r="63" spans="1:3" x14ac:dyDescent="0.25">
      <c r="A63" s="171">
        <v>0</v>
      </c>
      <c r="C63" s="171" t="str">
        <f t="array" ref="C63">IFERROR(INDEX($A$2:$A$101,SMALL(IF(ISTEXT($A$2:$A$101),ROW($A$1:$A$100),""),ROW(A62))),"")</f>
        <v/>
      </c>
    </row>
    <row r="64" spans="1:3" x14ac:dyDescent="0.25">
      <c r="A64" s="171">
        <v>0</v>
      </c>
      <c r="C64" s="171" t="str">
        <f t="array" ref="C64">IFERROR(INDEX($A$2:$A$101,SMALL(IF(ISTEXT($A$2:$A$101),ROW($A$1:$A$100),""),ROW(A63))),"")</f>
        <v/>
      </c>
    </row>
    <row r="65" spans="1:3" x14ac:dyDescent="0.25">
      <c r="A65" s="171">
        <v>0</v>
      </c>
      <c r="C65" s="171" t="str">
        <f t="array" ref="C65">IFERROR(INDEX($A$2:$A$101,SMALL(IF(ISTEXT($A$2:$A$101),ROW($A$1:$A$100),""),ROW(A64))),"")</f>
        <v/>
      </c>
    </row>
    <row r="66" spans="1:3" x14ac:dyDescent="0.25">
      <c r="A66" s="171">
        <v>0</v>
      </c>
      <c r="C66" s="171" t="str">
        <f t="array" ref="C66">IFERROR(INDEX($A$2:$A$101,SMALL(IF(ISTEXT($A$2:$A$101),ROW($A$1:$A$100),""),ROW(A65))),"")</f>
        <v/>
      </c>
    </row>
    <row r="67" spans="1:3" x14ac:dyDescent="0.25">
      <c r="A67" s="171">
        <v>0</v>
      </c>
      <c r="C67" s="171" t="str">
        <f t="array" ref="C67">IFERROR(INDEX($A$2:$A$101,SMALL(IF(ISTEXT($A$2:$A$101),ROW($A$1:$A$100),""),ROW(A66))),"")</f>
        <v/>
      </c>
    </row>
    <row r="68" spans="1:3" x14ac:dyDescent="0.25">
      <c r="A68" s="171">
        <v>0</v>
      </c>
      <c r="C68" s="171" t="str">
        <f t="array" ref="C68">IFERROR(INDEX($A$2:$A$101,SMALL(IF(ISTEXT($A$2:$A$101),ROW($A$1:$A$100),""),ROW(A67))),"")</f>
        <v/>
      </c>
    </row>
    <row r="69" spans="1:3" x14ac:dyDescent="0.25">
      <c r="A69" s="171">
        <v>0</v>
      </c>
      <c r="C69" s="171" t="str">
        <f t="array" ref="C69">IFERROR(INDEX($A$2:$A$101,SMALL(IF(ISTEXT($A$2:$A$101),ROW($A$1:$A$100),""),ROW(A68))),"")</f>
        <v/>
      </c>
    </row>
    <row r="70" spans="1:3" x14ac:dyDescent="0.25">
      <c r="A70" s="171">
        <v>0</v>
      </c>
      <c r="C70" s="171" t="str">
        <f t="array" ref="C70">IFERROR(INDEX($A$2:$A$101,SMALL(IF(ISTEXT($A$2:$A$101),ROW($A$1:$A$100),""),ROW(A69))),"")</f>
        <v/>
      </c>
    </row>
    <row r="71" spans="1:3" x14ac:dyDescent="0.25">
      <c r="A71" s="171">
        <v>0</v>
      </c>
      <c r="C71" s="171" t="str">
        <f t="array" ref="C71">IFERROR(INDEX($A$2:$A$101,SMALL(IF(ISTEXT($A$2:$A$101),ROW($A$1:$A$100),""),ROW(A70))),"")</f>
        <v/>
      </c>
    </row>
    <row r="72" spans="1:3" x14ac:dyDescent="0.25">
      <c r="A72" s="171">
        <v>0</v>
      </c>
      <c r="C72" s="171" t="str">
        <f t="array" ref="C72">IFERROR(INDEX($A$2:$A$101,SMALL(IF(ISTEXT($A$2:$A$101),ROW($A$1:$A$100),""),ROW(A71))),"")</f>
        <v/>
      </c>
    </row>
    <row r="73" spans="1:3" x14ac:dyDescent="0.25">
      <c r="A73" s="171">
        <v>0</v>
      </c>
      <c r="C73" s="171" t="str">
        <f t="array" ref="C73">IFERROR(INDEX($A$2:$A$101,SMALL(IF(ISTEXT($A$2:$A$101),ROW($A$1:$A$100),""),ROW(A72))),"")</f>
        <v/>
      </c>
    </row>
    <row r="74" spans="1:3" x14ac:dyDescent="0.25">
      <c r="A74" s="171">
        <v>0</v>
      </c>
      <c r="C74" s="171" t="str">
        <f t="array" ref="C74">IFERROR(INDEX($A$2:$A$101,SMALL(IF(ISTEXT($A$2:$A$101),ROW($A$1:$A$100),""),ROW(A73))),"")</f>
        <v/>
      </c>
    </row>
    <row r="75" spans="1:3" x14ac:dyDescent="0.25">
      <c r="A75" s="171">
        <v>0</v>
      </c>
      <c r="C75" s="171" t="str">
        <f t="array" ref="C75">IFERROR(INDEX($A$2:$A$101,SMALL(IF(ISTEXT($A$2:$A$101),ROW($A$1:$A$100),""),ROW(A74))),"")</f>
        <v/>
      </c>
    </row>
    <row r="76" spans="1:3" x14ac:dyDescent="0.25">
      <c r="A76" s="171">
        <v>0</v>
      </c>
      <c r="C76" s="171" t="str">
        <f t="array" ref="C76">IFERROR(INDEX($A$2:$A$101,SMALL(IF(ISTEXT($A$2:$A$101),ROW($A$1:$A$100),""),ROW(A75))),"")</f>
        <v/>
      </c>
    </row>
    <row r="77" spans="1:3" x14ac:dyDescent="0.25">
      <c r="A77" s="171">
        <v>0</v>
      </c>
      <c r="C77" s="171" t="str">
        <f t="array" ref="C77">IFERROR(INDEX($A$2:$A$101,SMALL(IF(ISTEXT($A$2:$A$101),ROW($A$1:$A$100),""),ROW(A76))),"")</f>
        <v/>
      </c>
    </row>
    <row r="78" spans="1:3" x14ac:dyDescent="0.25">
      <c r="A78" s="171">
        <v>0</v>
      </c>
      <c r="C78" s="171" t="str">
        <f t="array" ref="C78">IFERROR(INDEX($A$2:$A$101,SMALL(IF(ISTEXT($A$2:$A$101),ROW($A$1:$A$100),""),ROW(A77))),"")</f>
        <v/>
      </c>
    </row>
    <row r="79" spans="1:3" x14ac:dyDescent="0.25">
      <c r="A79" s="171">
        <v>0</v>
      </c>
      <c r="C79" s="171" t="str">
        <f t="array" ref="C79">IFERROR(INDEX($A$2:$A$101,SMALL(IF(ISTEXT($A$2:$A$101),ROW($A$1:$A$100),""),ROW(A78))),"")</f>
        <v/>
      </c>
    </row>
    <row r="80" spans="1:3" x14ac:dyDescent="0.25">
      <c r="A80" s="171">
        <v>0</v>
      </c>
      <c r="C80" s="171" t="str">
        <f t="array" ref="C80">IFERROR(INDEX($A$2:$A$101,SMALL(IF(ISTEXT($A$2:$A$101),ROW($A$1:$A$100),""),ROW(A79))),"")</f>
        <v/>
      </c>
    </row>
    <row r="81" spans="1:3" x14ac:dyDescent="0.25">
      <c r="A81" s="171">
        <v>0</v>
      </c>
      <c r="C81" s="171" t="str">
        <f t="array" ref="C81">IFERROR(INDEX($A$2:$A$101,SMALL(IF(ISTEXT($A$2:$A$101),ROW($A$1:$A$100),""),ROW(A80))),"")</f>
        <v/>
      </c>
    </row>
    <row r="82" spans="1:3" x14ac:dyDescent="0.25">
      <c r="A82" s="171">
        <v>0</v>
      </c>
      <c r="C82" s="171" t="str">
        <f t="array" ref="C82">IFERROR(INDEX($A$2:$A$101,SMALL(IF(ISTEXT($A$2:$A$101),ROW($A$1:$A$100),""),ROW(A81))),"")</f>
        <v/>
      </c>
    </row>
    <row r="83" spans="1:3" x14ac:dyDescent="0.25">
      <c r="A83" s="171">
        <v>0</v>
      </c>
      <c r="C83" s="171" t="str">
        <f t="array" ref="C83">IFERROR(INDEX($A$2:$A$101,SMALL(IF(ISTEXT($A$2:$A$101),ROW($A$1:$A$100),""),ROW(A82))),"")</f>
        <v/>
      </c>
    </row>
    <row r="84" spans="1:3" x14ac:dyDescent="0.25">
      <c r="A84" s="171">
        <v>0</v>
      </c>
      <c r="C84" s="171" t="str">
        <f t="array" ref="C84">IFERROR(INDEX($A$2:$A$101,SMALL(IF(ISTEXT($A$2:$A$101),ROW($A$1:$A$100),""),ROW(A83))),"")</f>
        <v/>
      </c>
    </row>
    <row r="85" spans="1:3" x14ac:dyDescent="0.25">
      <c r="A85" s="171">
        <v>0</v>
      </c>
      <c r="C85" s="171" t="str">
        <f t="array" ref="C85">IFERROR(INDEX($A$2:$A$101,SMALL(IF(ISTEXT($A$2:$A$101),ROW($A$1:$A$100),""),ROW(A84))),"")</f>
        <v/>
      </c>
    </row>
    <row r="86" spans="1:3" x14ac:dyDescent="0.25">
      <c r="A86" s="171">
        <v>0</v>
      </c>
      <c r="C86" s="171" t="str">
        <f t="array" ref="C86">IFERROR(INDEX($A$2:$A$101,SMALL(IF(ISTEXT($A$2:$A$101),ROW($A$1:$A$100),""),ROW(A85))),"")</f>
        <v/>
      </c>
    </row>
    <row r="87" spans="1:3" x14ac:dyDescent="0.25">
      <c r="A87" s="171">
        <v>0</v>
      </c>
      <c r="C87" s="171" t="str">
        <f t="array" ref="C87">IFERROR(INDEX($A$2:$A$101,SMALL(IF(ISTEXT($A$2:$A$101),ROW($A$1:$A$100),""),ROW(A86))),"")</f>
        <v/>
      </c>
    </row>
    <row r="88" spans="1:3" x14ac:dyDescent="0.25">
      <c r="A88" s="171">
        <v>0</v>
      </c>
      <c r="C88" s="171" t="str">
        <f t="array" ref="C88">IFERROR(INDEX($A$2:$A$101,SMALL(IF(ISTEXT($A$2:$A$101),ROW($A$1:$A$100),""),ROW(A87))),"")</f>
        <v/>
      </c>
    </row>
    <row r="89" spans="1:3" x14ac:dyDescent="0.25">
      <c r="A89" s="171">
        <v>0</v>
      </c>
      <c r="C89" s="171" t="str">
        <f t="array" ref="C89">IFERROR(INDEX($A$2:$A$101,SMALL(IF(ISTEXT($A$2:$A$101),ROW($A$1:$A$100),""),ROW(A88))),"")</f>
        <v/>
      </c>
    </row>
    <row r="90" spans="1:3" x14ac:dyDescent="0.25">
      <c r="A90" s="171">
        <v>0</v>
      </c>
      <c r="C90" s="171" t="str">
        <f t="array" ref="C90">IFERROR(INDEX($A$2:$A$101,SMALL(IF(ISTEXT($A$2:$A$101),ROW($A$1:$A$100),""),ROW(A89))),"")</f>
        <v/>
      </c>
    </row>
    <row r="91" spans="1:3" x14ac:dyDescent="0.25">
      <c r="A91" s="171">
        <v>0</v>
      </c>
      <c r="C91" s="171" t="str">
        <f t="array" ref="C91">IFERROR(INDEX($A$2:$A$101,SMALL(IF(ISTEXT($A$2:$A$101),ROW($A$1:$A$100),""),ROW(A90))),"")</f>
        <v/>
      </c>
    </row>
    <row r="92" spans="1:3" x14ac:dyDescent="0.25">
      <c r="A92" s="171">
        <v>0</v>
      </c>
      <c r="C92" s="171" t="str">
        <f t="array" ref="C92">IFERROR(INDEX($A$2:$A$101,SMALL(IF(ISTEXT($A$2:$A$101),ROW($A$1:$A$100),""),ROW(A91))),"")</f>
        <v/>
      </c>
    </row>
    <row r="93" spans="1:3" x14ac:dyDescent="0.25">
      <c r="A93" s="171">
        <v>0</v>
      </c>
      <c r="C93" s="171" t="str">
        <f t="array" ref="C93">IFERROR(INDEX($A$2:$A$101,SMALL(IF(ISTEXT($A$2:$A$101),ROW($A$1:$A$100),""),ROW(A92))),"")</f>
        <v/>
      </c>
    </row>
    <row r="94" spans="1:3" x14ac:dyDescent="0.25">
      <c r="A94" s="171">
        <v>0</v>
      </c>
      <c r="C94" s="171" t="str">
        <f t="array" ref="C94">IFERROR(INDEX($A$2:$A$101,SMALL(IF(ISTEXT($A$2:$A$101),ROW($A$1:$A$100),""),ROW(A93))),"")</f>
        <v/>
      </c>
    </row>
    <row r="95" spans="1:3" x14ac:dyDescent="0.25">
      <c r="A95" s="171">
        <v>0</v>
      </c>
      <c r="C95" s="171" t="str">
        <f t="array" ref="C95">IFERROR(INDEX($A$2:$A$101,SMALL(IF(ISTEXT($A$2:$A$101),ROW($A$1:$A$100),""),ROW(A94))),"")</f>
        <v/>
      </c>
    </row>
    <row r="96" spans="1:3" x14ac:dyDescent="0.25">
      <c r="A96" s="171">
        <v>0</v>
      </c>
      <c r="C96" s="171" t="str">
        <f t="array" ref="C96">IFERROR(INDEX($A$2:$A$101,SMALL(IF(ISTEXT($A$2:$A$101),ROW($A$1:$A$100),""),ROW(A95))),"")</f>
        <v/>
      </c>
    </row>
    <row r="97" spans="1:3" x14ac:dyDescent="0.25">
      <c r="A97" s="171">
        <v>0</v>
      </c>
      <c r="C97" s="171" t="str">
        <f t="array" ref="C97">IFERROR(INDEX($A$2:$A$101,SMALL(IF(ISTEXT($A$2:$A$101),ROW($A$1:$A$100),""),ROW(A96))),"")</f>
        <v/>
      </c>
    </row>
    <row r="98" spans="1:3" x14ac:dyDescent="0.25">
      <c r="A98" s="171">
        <v>0</v>
      </c>
      <c r="C98" s="171" t="str">
        <f t="array" ref="C98">IFERROR(INDEX($A$2:$A$101,SMALL(IF(ISTEXT($A$2:$A$101),ROW($A$1:$A$100),""),ROW(A97))),"")</f>
        <v/>
      </c>
    </row>
    <row r="99" spans="1:3" x14ac:dyDescent="0.25">
      <c r="A99" s="171">
        <v>0</v>
      </c>
      <c r="C99" s="171" t="str">
        <f t="array" ref="C99">IFERROR(INDEX($A$2:$A$101,SMALL(IF(ISTEXT($A$2:$A$101),ROW($A$1:$A$100),""),ROW(A98))),"")</f>
        <v/>
      </c>
    </row>
    <row r="100" spans="1:3" x14ac:dyDescent="0.25">
      <c r="A100" s="171">
        <v>0</v>
      </c>
      <c r="C100" s="171" t="str">
        <f t="array" ref="C100">IFERROR(INDEX($A$2:$A$101,SMALL(IF(ISTEXT($A$2:$A$101),ROW($A$1:$A$100),""),ROW(A99))),"")</f>
        <v/>
      </c>
    </row>
    <row r="101" spans="1:3" x14ac:dyDescent="0.25">
      <c r="A101" s="171">
        <v>0</v>
      </c>
      <c r="C101" s="171" t="str">
        <f t="array" ref="C101">IFERROR(INDEX($A$2:$A$101,SMALL(IF(ISTEXT($A$2:$A$101),ROW($A$1:$A$100),""),ROW(A100))),"")</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tabColor theme="4" tint="-0.249977111117893"/>
  </sheetPr>
  <dimension ref="B2:AE501"/>
  <sheetViews>
    <sheetView showGridLines="0" zoomScale="85" zoomScaleNormal="85" workbookViewId="0">
      <pane ySplit="9" topLeftCell="A16" activePane="bottomLeft" state="frozen"/>
      <selection pane="bottomLeft" activeCell="N43" sqref="N43"/>
    </sheetView>
  </sheetViews>
  <sheetFormatPr defaultColWidth="9.140625" defaultRowHeight="15" x14ac:dyDescent="0.25"/>
  <cols>
    <col min="1" max="1" width="4" style="171" customWidth="1"/>
    <col min="2" max="2" width="3.28515625" style="171" customWidth="1"/>
    <col min="3" max="3" width="33.28515625" style="171" bestFit="1" customWidth="1"/>
    <col min="4" max="4" width="18.140625" style="171" customWidth="1"/>
    <col min="5" max="5" width="46" style="171" bestFit="1" customWidth="1"/>
    <col min="6" max="6" width="13.28515625" style="171" customWidth="1"/>
    <col min="7" max="7" width="17.5703125" style="171" customWidth="1"/>
    <col min="8" max="8" width="35.28515625" style="171" customWidth="1"/>
    <col min="9" max="9" width="9.140625" style="171"/>
    <col min="10" max="10" width="16.5703125" style="171" customWidth="1"/>
    <col min="11" max="12" width="16.42578125" style="171" customWidth="1"/>
    <col min="13" max="13" width="5" style="171" customWidth="1"/>
    <col min="14" max="14" width="21.85546875" style="171" customWidth="1"/>
    <col min="15" max="15" width="22.5703125" style="171" bestFit="1" customWidth="1"/>
    <col min="16" max="16" width="3.7109375" style="171" customWidth="1"/>
    <col min="17" max="17" width="19" style="171" customWidth="1"/>
    <col min="18" max="18" width="19.140625" style="171" customWidth="1"/>
    <col min="19" max="19" width="19.42578125" style="171" customWidth="1"/>
    <col min="20" max="16384" width="9.140625" style="171"/>
  </cols>
  <sheetData>
    <row r="2" spans="2:21" x14ac:dyDescent="0.25">
      <c r="C2" s="171" t="s">
        <v>667</v>
      </c>
      <c r="G2" s="171" t="s">
        <v>700</v>
      </c>
    </row>
    <row r="3" spans="2:21" x14ac:dyDescent="0.25">
      <c r="C3" s="310"/>
      <c r="D3" s="171" t="s">
        <v>679</v>
      </c>
      <c r="G3" s="314"/>
      <c r="H3" s="171" t="s">
        <v>673</v>
      </c>
    </row>
    <row r="4" spans="2:21" x14ac:dyDescent="0.25">
      <c r="C4" s="313"/>
      <c r="D4" s="171" t="s">
        <v>669</v>
      </c>
      <c r="G4" s="315"/>
      <c r="H4" s="171" t="s">
        <v>674</v>
      </c>
    </row>
    <row r="5" spans="2:21" ht="15.75" thickBot="1" x14ac:dyDescent="0.3">
      <c r="C5" s="1316"/>
      <c r="D5" s="171" t="s">
        <v>1736</v>
      </c>
      <c r="G5" s="316"/>
      <c r="H5" s="171" t="s">
        <v>675</v>
      </c>
    </row>
    <row r="6" spans="2:21" ht="19.5" thickBot="1" x14ac:dyDescent="0.35">
      <c r="C6" s="719" t="s">
        <v>1139</v>
      </c>
      <c r="D6" s="708" t="s">
        <v>1720</v>
      </c>
      <c r="G6" s="317"/>
      <c r="H6" s="171" t="s">
        <v>676</v>
      </c>
      <c r="J6" s="171" t="str">
        <f t="array" aca="1" ref="J6" ca="1">IFERROR(INDEX($J$9:$R$9,ROW(I6),SMALL(IF(ISTEXT($J$9:$R$9),COLUMN($I$9:$Q$9)), COLUM(I9))),"")</f>
        <v/>
      </c>
      <c r="K6" s="171" t="str">
        <f t="array" aca="1" ref="K6" ca="1">IFERROR(INDEX($J$9:$R$9,ROW(J6),SMALL(IF(ISTEXT($J$9:$R$9),COLUMN($I$9:$Q$9)), COLUM(J9))),"")</f>
        <v/>
      </c>
      <c r="M6" s="171" t="str">
        <f t="array" aca="1" ref="M6" ca="1">IFERROR(INDEX($J$9:$R$9,ROW(K6),SMALL(IF(ISTEXT($J$9:$R$9),COLUMN($I$9:$Q$9)), COLUM(K9))),"")</f>
        <v/>
      </c>
      <c r="N6" s="171" t="str">
        <f t="array" aca="1" ref="N6" ca="1">IFERROR(INDEX($J$9:$R$9,ROW(M6),SMALL(IF(ISTEXT($J$9:$R$9),COLUMN($I$9:$Q$9)), COLUM(M9))),"")</f>
        <v/>
      </c>
      <c r="O6" s="171" t="str">
        <f t="array" aca="1" ref="O6" ca="1">IFERROR(INDEX($J$9:$R$9,ROW(N6),SMALL(IF(ISTEXT($J$9:$R$9),COLUMN($I$9:$Q$9)), COLUM(N9))),"")</f>
        <v/>
      </c>
      <c r="P6" s="171" t="str">
        <f t="array" aca="1" ref="P6" ca="1">IFERROR(INDEX($J$9:$R$9,ROW(O6),SMALL(IF(ISTEXT($J$9:$R$9),COLUMN($I$9:$Q$9)), COLUM(O9))),"")</f>
        <v/>
      </c>
      <c r="Q6" s="171" t="str">
        <f t="array" aca="1" ref="Q6" ca="1">IFERROR(INDEX($J$9:$R$9,ROW(P6),SMALL(IF(ISTEXT($J$9:$R$9),COLUMN($I$9:$Q$9)), COLUM(P9))),"")</f>
        <v/>
      </c>
      <c r="R6" s="171" t="str">
        <f t="array" aca="1" ref="R6" ca="1">IFERROR(INDEX($J$9:$R$9,ROW(Q6),SMALL(IF(ISTEXT($J$9:$R$9),COLUMN($I$9:$Q$9)), COLUM(Q9))),"")</f>
        <v/>
      </c>
    </row>
    <row r="7" spans="2:21" x14ac:dyDescent="0.25">
      <c r="G7" s="318"/>
      <c r="H7" s="171" t="s">
        <v>677</v>
      </c>
      <c r="O7" s="700"/>
      <c r="U7" s="709" t="s">
        <v>1138</v>
      </c>
    </row>
    <row r="9" spans="2:21" x14ac:dyDescent="0.25">
      <c r="B9" s="308" t="s">
        <v>703</v>
      </c>
      <c r="C9" s="308" t="s">
        <v>704</v>
      </c>
      <c r="D9" s="308" t="s">
        <v>705</v>
      </c>
      <c r="E9" s="308" t="s">
        <v>706</v>
      </c>
      <c r="F9" s="308" t="s">
        <v>591</v>
      </c>
      <c r="G9" s="308" t="s">
        <v>592</v>
      </c>
      <c r="H9" s="308" t="s">
        <v>707</v>
      </c>
      <c r="J9" s="308" t="s">
        <v>1717</v>
      </c>
      <c r="K9" s="308" t="s">
        <v>1718</v>
      </c>
      <c r="L9" s="308" t="s">
        <v>1719</v>
      </c>
      <c r="N9" s="308" t="s">
        <v>1720</v>
      </c>
      <c r="O9" s="308" t="s">
        <v>1721</v>
      </c>
      <c r="Q9" s="308" t="s">
        <v>1722</v>
      </c>
      <c r="R9" s="308" t="s">
        <v>1723</v>
      </c>
      <c r="S9" s="308" t="s">
        <v>1724</v>
      </c>
    </row>
    <row r="10" spans="2:21" x14ac:dyDescent="0.25">
      <c r="B10" s="318"/>
      <c r="C10" s="325" t="s">
        <v>708</v>
      </c>
      <c r="D10" s="325" t="s">
        <v>709</v>
      </c>
      <c r="E10" s="1316" t="s">
        <v>1140</v>
      </c>
      <c r="F10" s="325" t="s">
        <v>745</v>
      </c>
      <c r="G10" s="720">
        <f t="shared" ref="G10:G22" si="0">IF(LEN(HLOOKUP($D$6,$J$9:$DG$501,ROW()-ROW($G$9)+1,FALSE))&lt;&gt;0,HLOOKUP($D$6,$J$9:$DG$501,ROW()-ROW($G$9)+1,FALSE),"")</f>
        <v>2018</v>
      </c>
      <c r="H10" s="325"/>
      <c r="J10" s="720">
        <f>Scenarios!$F$9</f>
        <v>2018</v>
      </c>
      <c r="K10" s="720">
        <f>Scenarios!$F$41</f>
        <v>2018</v>
      </c>
      <c r="L10" s="720">
        <f>Scenarios!$F$74</f>
        <v>2018</v>
      </c>
      <c r="M10" s="714"/>
      <c r="N10" s="720">
        <f>Scenarios!$F$106</f>
        <v>2018</v>
      </c>
      <c r="O10" s="720">
        <f>Scenarios!$F$140</f>
        <v>2018</v>
      </c>
      <c r="P10" s="714"/>
      <c r="Q10" s="720">
        <f>Scenarios!$F$206</f>
        <v>2018</v>
      </c>
      <c r="R10" s="720">
        <f>Scenarios!$F$239</f>
        <v>2018</v>
      </c>
      <c r="S10" s="720">
        <f>Scenarios!$F$272</f>
        <v>2018</v>
      </c>
    </row>
    <row r="11" spans="2:21" x14ac:dyDescent="0.25">
      <c r="B11" s="318"/>
      <c r="C11" s="310" t="s">
        <v>708</v>
      </c>
      <c r="D11" s="310" t="s">
        <v>709</v>
      </c>
      <c r="E11" s="1316" t="s">
        <v>710</v>
      </c>
      <c r="F11" s="310" t="s">
        <v>711</v>
      </c>
      <c r="G11" s="678">
        <f t="shared" si="0"/>
        <v>0</v>
      </c>
      <c r="H11" s="310" t="s">
        <v>1125</v>
      </c>
      <c r="J11" s="678">
        <v>0</v>
      </c>
      <c r="K11" s="678">
        <v>0</v>
      </c>
      <c r="L11" s="678">
        <v>0</v>
      </c>
      <c r="M11" s="714"/>
      <c r="N11" s="678">
        <v>0</v>
      </c>
      <c r="O11" s="678">
        <v>0</v>
      </c>
      <c r="P11" s="714"/>
      <c r="Q11" s="678">
        <v>0</v>
      </c>
      <c r="R11" s="678">
        <v>0</v>
      </c>
      <c r="S11" s="678">
        <v>0</v>
      </c>
    </row>
    <row r="12" spans="2:21" x14ac:dyDescent="0.25">
      <c r="B12" s="318"/>
      <c r="C12" s="310" t="s">
        <v>708</v>
      </c>
      <c r="D12" s="310" t="s">
        <v>709</v>
      </c>
      <c r="E12" s="1316" t="s">
        <v>1127</v>
      </c>
      <c r="F12" s="310" t="s">
        <v>711</v>
      </c>
      <c r="G12" s="678">
        <f t="shared" si="0"/>
        <v>0.1</v>
      </c>
      <c r="H12" s="325" t="s">
        <v>1124</v>
      </c>
      <c r="J12" s="678">
        <v>0.1</v>
      </c>
      <c r="K12" s="678">
        <v>0.1</v>
      </c>
      <c r="L12" s="678">
        <v>0.1</v>
      </c>
      <c r="N12" s="678">
        <v>0.1</v>
      </c>
      <c r="O12" s="678">
        <v>0.1</v>
      </c>
      <c r="Q12" s="678">
        <v>0.1</v>
      </c>
      <c r="R12" s="678">
        <v>0.1</v>
      </c>
      <c r="S12" s="678">
        <v>0.1</v>
      </c>
    </row>
    <row r="13" spans="2:21" x14ac:dyDescent="0.25">
      <c r="B13" s="318"/>
      <c r="C13" s="310" t="s">
        <v>708</v>
      </c>
      <c r="D13" s="310" t="s">
        <v>709</v>
      </c>
      <c r="E13" s="1316" t="s">
        <v>600</v>
      </c>
      <c r="F13" s="310" t="s">
        <v>711</v>
      </c>
      <c r="G13" s="678">
        <f t="shared" si="0"/>
        <v>0.02</v>
      </c>
      <c r="H13" s="310"/>
      <c r="J13" s="678">
        <v>0.02</v>
      </c>
      <c r="K13" s="678">
        <v>0.02</v>
      </c>
      <c r="L13" s="678">
        <v>0.02</v>
      </c>
      <c r="N13" s="678">
        <v>0.02</v>
      </c>
      <c r="O13" s="678">
        <v>0.02</v>
      </c>
      <c r="Q13" s="678">
        <v>0.02</v>
      </c>
      <c r="R13" s="678">
        <v>0.02</v>
      </c>
      <c r="S13" s="678">
        <v>0.02</v>
      </c>
    </row>
    <row r="14" spans="2:21" s="962" customFormat="1" x14ac:dyDescent="0.25">
      <c r="B14" s="1317"/>
      <c r="C14" s="901" t="s">
        <v>708</v>
      </c>
      <c r="D14" s="901" t="s">
        <v>709</v>
      </c>
      <c r="E14" s="901" t="s">
        <v>555</v>
      </c>
      <c r="F14" s="901" t="s">
        <v>805</v>
      </c>
      <c r="G14" s="901">
        <f t="shared" si="0"/>
        <v>8760</v>
      </c>
      <c r="H14" s="901" t="s">
        <v>719</v>
      </c>
      <c r="J14" s="901">
        <v>8760</v>
      </c>
      <c r="K14" s="901">
        <v>8760</v>
      </c>
      <c r="L14" s="901">
        <v>8760</v>
      </c>
      <c r="N14" s="901">
        <v>8760</v>
      </c>
      <c r="O14" s="901">
        <v>8760</v>
      </c>
      <c r="Q14" s="901">
        <v>8760</v>
      </c>
      <c r="R14" s="901">
        <v>8760</v>
      </c>
      <c r="S14" s="901">
        <v>8760</v>
      </c>
    </row>
    <row r="15" spans="2:21" x14ac:dyDescent="0.25">
      <c r="B15" s="318"/>
      <c r="C15" s="310" t="s">
        <v>708</v>
      </c>
      <c r="D15" s="310" t="s">
        <v>714</v>
      </c>
      <c r="E15" s="1316" t="s">
        <v>1135</v>
      </c>
      <c r="F15" s="310" t="s">
        <v>1129</v>
      </c>
      <c r="G15" s="325" t="str">
        <f t="shared" si="0"/>
        <v>Frontier Base Case</v>
      </c>
      <c r="H15" s="310"/>
      <c r="J15" s="310" t="s">
        <v>952</v>
      </c>
      <c r="K15" s="1188" t="s">
        <v>952</v>
      </c>
      <c r="L15" s="1188" t="s">
        <v>952</v>
      </c>
      <c r="N15" s="1188" t="s">
        <v>952</v>
      </c>
      <c r="O15" s="1188" t="s">
        <v>952</v>
      </c>
      <c r="Q15" s="1188" t="s">
        <v>952</v>
      </c>
      <c r="R15" s="1188" t="s">
        <v>952</v>
      </c>
      <c r="S15" s="1188" t="s">
        <v>952</v>
      </c>
    </row>
    <row r="16" spans="2:21" x14ac:dyDescent="0.25">
      <c r="B16" s="318"/>
      <c r="C16" s="310" t="s">
        <v>708</v>
      </c>
      <c r="D16" s="325" t="s">
        <v>714</v>
      </c>
      <c r="E16" s="1316" t="s">
        <v>1136</v>
      </c>
      <c r="F16" s="325" t="s">
        <v>1129</v>
      </c>
      <c r="G16" s="712" t="str">
        <f t="shared" si="0"/>
        <v>Frontier Base Case</v>
      </c>
      <c r="H16" s="325"/>
      <c r="J16" s="712" t="str">
        <f>J15</f>
        <v>Frontier Base Case</v>
      </c>
      <c r="K16" s="712" t="str">
        <f>K15</f>
        <v>Frontier Base Case</v>
      </c>
      <c r="L16" s="712" t="str">
        <f>L15</f>
        <v>Frontier Base Case</v>
      </c>
      <c r="N16" s="712" t="str">
        <f>N15</f>
        <v>Frontier Base Case</v>
      </c>
      <c r="O16" s="712" t="str">
        <f>O15</f>
        <v>Frontier Base Case</v>
      </c>
      <c r="Q16" s="712" t="str">
        <f>Q15</f>
        <v>Frontier Base Case</v>
      </c>
      <c r="R16" s="712" t="str">
        <f>R15</f>
        <v>Frontier Base Case</v>
      </c>
      <c r="S16" s="712" t="str">
        <f>S15</f>
        <v>Frontier Base Case</v>
      </c>
    </row>
    <row r="17" spans="2:19" x14ac:dyDescent="0.25">
      <c r="B17" s="318"/>
      <c r="C17" s="310" t="s">
        <v>708</v>
      </c>
      <c r="D17" s="310" t="s">
        <v>714</v>
      </c>
      <c r="E17" s="1316" t="s">
        <v>1137</v>
      </c>
      <c r="F17" s="310" t="s">
        <v>923</v>
      </c>
      <c r="G17" s="712" t="str">
        <f t="shared" si="0"/>
        <v>CO2 price Flat rate</v>
      </c>
      <c r="H17" s="310"/>
      <c r="J17" s="712" t="s">
        <v>1747</v>
      </c>
      <c r="K17" s="712" t="s">
        <v>1747</v>
      </c>
      <c r="L17" s="712" t="s">
        <v>1747</v>
      </c>
      <c r="N17" s="712" t="s">
        <v>1747</v>
      </c>
      <c r="O17" s="712" t="s">
        <v>1747</v>
      </c>
      <c r="Q17" s="712" t="s">
        <v>1747</v>
      </c>
      <c r="R17" s="712" t="s">
        <v>1747</v>
      </c>
      <c r="S17" s="712" t="s">
        <v>1747</v>
      </c>
    </row>
    <row r="18" spans="2:19" x14ac:dyDescent="0.25">
      <c r="B18" s="318"/>
      <c r="C18" s="310" t="s">
        <v>708</v>
      </c>
      <c r="D18" s="325" t="s">
        <v>714</v>
      </c>
      <c r="E18" s="1316" t="s">
        <v>1130</v>
      </c>
      <c r="F18" s="325" t="s">
        <v>1129</v>
      </c>
      <c r="G18" s="464">
        <f t="shared" si="0"/>
        <v>30</v>
      </c>
      <c r="H18" s="325" t="s">
        <v>1735</v>
      </c>
      <c r="J18" s="464">
        <v>30</v>
      </c>
      <c r="K18" s="464">
        <v>30</v>
      </c>
      <c r="L18" s="464">
        <v>30</v>
      </c>
      <c r="N18" s="464">
        <v>30</v>
      </c>
      <c r="O18" s="464">
        <v>30</v>
      </c>
      <c r="Q18" s="464">
        <v>30</v>
      </c>
      <c r="R18" s="464">
        <v>30</v>
      </c>
      <c r="S18" s="464">
        <v>30</v>
      </c>
    </row>
    <row r="19" spans="2:19" x14ac:dyDescent="0.25">
      <c r="B19" s="318"/>
      <c r="C19" s="310" t="s">
        <v>708</v>
      </c>
      <c r="D19" s="325" t="s">
        <v>714</v>
      </c>
      <c r="E19" s="1316" t="s">
        <v>1131</v>
      </c>
      <c r="F19" s="325" t="s">
        <v>1129</v>
      </c>
      <c r="G19" s="464">
        <f t="shared" si="0"/>
        <v>30</v>
      </c>
      <c r="H19" s="1188" t="s">
        <v>1735</v>
      </c>
      <c r="J19" s="464">
        <v>30</v>
      </c>
      <c r="K19" s="464">
        <v>30</v>
      </c>
      <c r="L19" s="464">
        <v>30</v>
      </c>
      <c r="N19" s="464">
        <v>30</v>
      </c>
      <c r="O19" s="464">
        <v>30</v>
      </c>
      <c r="Q19" s="464">
        <v>30</v>
      </c>
      <c r="R19" s="464">
        <v>30</v>
      </c>
      <c r="S19" s="464">
        <v>30</v>
      </c>
    </row>
    <row r="20" spans="2:19" x14ac:dyDescent="0.25">
      <c r="B20" s="318"/>
      <c r="C20" s="310" t="s">
        <v>708</v>
      </c>
      <c r="D20" s="325" t="s">
        <v>714</v>
      </c>
      <c r="E20" s="1316" t="s">
        <v>1132</v>
      </c>
      <c r="F20" s="325" t="s">
        <v>923</v>
      </c>
      <c r="G20" s="715">
        <f t="shared" si="0"/>
        <v>50</v>
      </c>
      <c r="H20" s="1188" t="s">
        <v>1735</v>
      </c>
      <c r="J20" s="715">
        <v>50</v>
      </c>
      <c r="K20" s="715">
        <v>50</v>
      </c>
      <c r="L20" s="715">
        <v>50</v>
      </c>
      <c r="N20" s="715">
        <v>50</v>
      </c>
      <c r="O20" s="715">
        <v>50</v>
      </c>
      <c r="Q20" s="715">
        <v>50</v>
      </c>
      <c r="R20" s="715">
        <v>50</v>
      </c>
      <c r="S20" s="715">
        <v>50</v>
      </c>
    </row>
    <row r="21" spans="2:19" x14ac:dyDescent="0.25">
      <c r="B21" s="318"/>
      <c r="C21" s="310" t="s">
        <v>708</v>
      </c>
      <c r="D21" s="310" t="s">
        <v>714</v>
      </c>
      <c r="E21" s="310" t="s">
        <v>1133</v>
      </c>
      <c r="F21" s="310" t="s">
        <v>924</v>
      </c>
      <c r="G21" s="325" t="str">
        <f t="shared" si="0"/>
        <v/>
      </c>
      <c r="H21" s="310" t="s">
        <v>716</v>
      </c>
      <c r="J21" s="310"/>
      <c r="K21" s="310"/>
      <c r="L21" s="325"/>
      <c r="N21" s="310"/>
      <c r="O21" s="310"/>
      <c r="Q21" s="310">
        <v>0</v>
      </c>
      <c r="R21" s="310">
        <v>0</v>
      </c>
      <c r="S21" s="325"/>
    </row>
    <row r="22" spans="2:19" x14ac:dyDescent="0.25">
      <c r="B22" s="318"/>
      <c r="C22" s="310" t="s">
        <v>708</v>
      </c>
      <c r="D22" s="325" t="s">
        <v>714</v>
      </c>
      <c r="E22" s="310" t="s">
        <v>1134</v>
      </c>
      <c r="F22" s="310" t="s">
        <v>925</v>
      </c>
      <c r="G22" s="715">
        <f t="shared" si="0"/>
        <v>1000</v>
      </c>
      <c r="H22" s="310" t="s">
        <v>973</v>
      </c>
      <c r="J22" s="715">
        <v>0</v>
      </c>
      <c r="K22" s="715">
        <v>0</v>
      </c>
      <c r="L22" s="715">
        <v>0</v>
      </c>
      <c r="N22" s="715">
        <v>1000</v>
      </c>
      <c r="O22" s="715">
        <v>1000</v>
      </c>
      <c r="Q22" s="679">
        <v>0</v>
      </c>
      <c r="R22" s="679">
        <v>0</v>
      </c>
      <c r="S22" s="715">
        <v>0</v>
      </c>
    </row>
    <row r="23" spans="2:19" x14ac:dyDescent="0.25">
      <c r="B23" s="318"/>
      <c r="C23" s="325" t="s">
        <v>708</v>
      </c>
      <c r="D23" s="901" t="s">
        <v>120</v>
      </c>
      <c r="E23" s="901" t="s">
        <v>1397</v>
      </c>
      <c r="F23" s="901" t="s">
        <v>1398</v>
      </c>
      <c r="G23" s="963">
        <f>IF(LEN(HLOOKUP($D$6,$J$9:$DG$485,ROW()-ROW($G$9)+1,FALSE))&lt;&gt;0,HLOOKUP($D$6,$J$9:$DG$485,ROW()-ROW($G$9)+1,FALSE),"")</f>
        <v>4104</v>
      </c>
      <c r="H23" s="1069" t="s">
        <v>1561</v>
      </c>
      <c r="J23" s="957">
        <v>4104</v>
      </c>
      <c r="K23" s="957">
        <v>4104</v>
      </c>
      <c r="L23" s="957">
        <v>4104</v>
      </c>
      <c r="N23" s="957">
        <v>4104</v>
      </c>
      <c r="O23" s="957">
        <v>4104</v>
      </c>
      <c r="Q23" s="957">
        <v>4104</v>
      </c>
      <c r="R23" s="957">
        <v>4104</v>
      </c>
      <c r="S23" s="957">
        <v>4104</v>
      </c>
    </row>
    <row r="24" spans="2:19" x14ac:dyDescent="0.25">
      <c r="B24" s="318"/>
      <c r="C24" s="325" t="s">
        <v>708</v>
      </c>
      <c r="D24" s="901" t="s">
        <v>120</v>
      </c>
      <c r="E24" s="901" t="s">
        <v>1401</v>
      </c>
      <c r="F24" s="901" t="s">
        <v>1403</v>
      </c>
      <c r="G24" s="963">
        <f>IF(LEN(HLOOKUP($D$6,$J$9:$DG$485,ROW()-ROW($G$9)+1,FALSE))&lt;&gt;0,HLOOKUP($D$6,$J$9:$DG$485,ROW()-ROW($G$9)+1,FALSE),"")</f>
        <v>3192000</v>
      </c>
      <c r="H24" s="1069" t="s">
        <v>1561</v>
      </c>
      <c r="J24" s="957">
        <f>3.192*10^6</f>
        <v>3192000</v>
      </c>
      <c r="K24" s="957">
        <f t="shared" ref="K24:L24" si="1">3.192*10^6</f>
        <v>3192000</v>
      </c>
      <c r="L24" s="957">
        <f t="shared" si="1"/>
        <v>3192000</v>
      </c>
      <c r="N24" s="957">
        <f t="shared" ref="N24:O24" si="2">3.192*10^6</f>
        <v>3192000</v>
      </c>
      <c r="O24" s="957">
        <f t="shared" si="2"/>
        <v>3192000</v>
      </c>
      <c r="Q24" s="957">
        <f t="shared" ref="Q24:S24" si="3">3.192*10^6</f>
        <v>3192000</v>
      </c>
      <c r="R24" s="957">
        <f t="shared" si="3"/>
        <v>3192000</v>
      </c>
      <c r="S24" s="957">
        <f t="shared" si="3"/>
        <v>3192000</v>
      </c>
    </row>
    <row r="25" spans="2:19" x14ac:dyDescent="0.25">
      <c r="B25" s="318"/>
      <c r="C25" s="325" t="s">
        <v>708</v>
      </c>
      <c r="D25" s="901" t="s">
        <v>120</v>
      </c>
      <c r="E25" s="901" t="s">
        <v>1402</v>
      </c>
      <c r="F25" s="901" t="s">
        <v>1404</v>
      </c>
      <c r="G25" s="963">
        <f>IF(LEN(HLOOKUP($D$6,$J$9:$DG$485,ROW()-ROW($G$9)+1,FALSE))&lt;&gt;0,HLOOKUP($D$6,$J$9:$DG$485,ROW()-ROW($G$9)+1,FALSE),"")</f>
        <v>180823.863636364</v>
      </c>
      <c r="H25" s="1069" t="s">
        <v>1561</v>
      </c>
      <c r="J25" s="957">
        <f>0.180823863636364*10^6</f>
        <v>180823.863636364</v>
      </c>
      <c r="K25" s="957">
        <f t="shared" ref="K25:L25" si="4">0.180823863636364*10^6</f>
        <v>180823.863636364</v>
      </c>
      <c r="L25" s="957">
        <f t="shared" si="4"/>
        <v>180823.863636364</v>
      </c>
      <c r="N25" s="957">
        <f>0.180823863636364*10^6</f>
        <v>180823.863636364</v>
      </c>
      <c r="O25" s="957">
        <f t="shared" ref="O25" si="5">0.180823863636364*10^6</f>
        <v>180823.863636364</v>
      </c>
      <c r="Q25" s="957">
        <f>0.180823863636364*10^6</f>
        <v>180823.863636364</v>
      </c>
      <c r="R25" s="957">
        <f t="shared" ref="R25:S25" si="6">0.180823863636364*10^6</f>
        <v>180823.863636364</v>
      </c>
      <c r="S25" s="957">
        <f t="shared" si="6"/>
        <v>180823.863636364</v>
      </c>
    </row>
    <row r="26" spans="2:19" x14ac:dyDescent="0.25">
      <c r="B26" s="318"/>
      <c r="C26" s="325" t="s">
        <v>708</v>
      </c>
      <c r="D26" s="901" t="s">
        <v>120</v>
      </c>
      <c r="E26" s="901" t="s">
        <v>1716</v>
      </c>
      <c r="F26" s="901"/>
      <c r="G26" s="901" t="str">
        <f>IF(LEN(HLOOKUP($D$6,$J$9:$DG$501,ROW()-ROW($G$9)+1,FALSE))&lt;&gt;0,HLOOKUP($D$6,$J$9:$DG$501,ROW()-ROW($G$9)+1,FALSE),"")</f>
        <v>P15-D</v>
      </c>
      <c r="H26" s="325"/>
      <c r="J26" s="688" t="s">
        <v>508</v>
      </c>
      <c r="K26" s="688" t="s">
        <v>508</v>
      </c>
      <c r="L26" s="688" t="s">
        <v>508</v>
      </c>
      <c r="N26" s="688" t="s">
        <v>360</v>
      </c>
      <c r="O26" s="688" t="s">
        <v>360</v>
      </c>
      <c r="Q26" s="688" t="s">
        <v>231</v>
      </c>
      <c r="R26" s="688" t="s">
        <v>231</v>
      </c>
      <c r="S26" s="688" t="s">
        <v>231</v>
      </c>
    </row>
    <row r="27" spans="2:19" x14ac:dyDescent="0.25">
      <c r="B27" s="318"/>
      <c r="C27" s="325" t="s">
        <v>708</v>
      </c>
      <c r="D27" s="901" t="s">
        <v>120</v>
      </c>
      <c r="E27" s="901" t="s">
        <v>596</v>
      </c>
      <c r="F27" s="901" t="s">
        <v>112</v>
      </c>
      <c r="G27" s="965">
        <f>IF(LEN(HLOOKUP($D$6,$J$9:$DG$485,ROW()-ROW($G$9)+1,FALSE))&lt;&gt;0,HLOOKUP($D$6,$J$9:$DG$485,ROW()-ROW($G$9)+1,FALSE),"")</f>
        <v>1015</v>
      </c>
      <c r="H27" s="325"/>
      <c r="J27" s="957">
        <f>VLOOKUP(J26,'DATABASE PLATFORMS'!$C$7:$R$135,14,FALSE)</f>
        <v>18200</v>
      </c>
      <c r="K27" s="957">
        <f>VLOOKUP(K26,'DATABASE PLATFORMS'!$C$7:$R$135,14,FALSE)</f>
        <v>18200</v>
      </c>
      <c r="L27" s="957">
        <f>VLOOKUP(L26,'DATABASE PLATFORMS'!$C$7:$R$135,14,FALSE)</f>
        <v>18200</v>
      </c>
      <c r="N27" s="957">
        <f>VLOOKUP(N26,'DATABASE PLATFORMS'!$C$7:$R$135,14,FALSE)</f>
        <v>1015</v>
      </c>
      <c r="O27" s="957">
        <f>VLOOKUP(O26,'DATABASE PLATFORMS'!$C$7:$R$135,14,FALSE)</f>
        <v>1015</v>
      </c>
      <c r="Q27" s="957">
        <f>VLOOKUP(Q26,'DATABASE PLATFORMS'!$C$7:$R$135,14,FALSE)</f>
        <v>456</v>
      </c>
      <c r="R27" s="957">
        <f>VLOOKUP(R26,'DATABASE PLATFORMS'!$C$7:$R$135,14,FALSE)</f>
        <v>456</v>
      </c>
      <c r="S27" s="957">
        <f>VLOOKUP(S26,'DATABASE PLATFORMS'!$C$7:$R$135,14,FALSE)</f>
        <v>456</v>
      </c>
    </row>
    <row r="28" spans="2:19" x14ac:dyDescent="0.25">
      <c r="B28" s="318"/>
      <c r="C28" s="325" t="s">
        <v>708</v>
      </c>
      <c r="D28" s="901" t="s">
        <v>120</v>
      </c>
      <c r="E28" s="901" t="s">
        <v>595</v>
      </c>
      <c r="F28" s="901" t="s">
        <v>112</v>
      </c>
      <c r="G28" s="965">
        <f>IF(LEN(HLOOKUP($D$6,$J$9:$DG$485,ROW()-ROW($G$9)+1,FALSE))&lt;&gt;0,HLOOKUP($D$6,$J$9:$DG$485,ROW()-ROW($G$9)+1,FALSE),"")</f>
        <v>6962</v>
      </c>
      <c r="H28" s="325"/>
      <c r="J28" s="957">
        <f>VLOOKUP(J26,'DATABASE PLATFORMS'!$C$7:$R$135,15,FALSE)</f>
        <v>45197</v>
      </c>
      <c r="K28" s="957">
        <f>VLOOKUP(K26,'DATABASE PLATFORMS'!$C$7:$R$135,15,FALSE)</f>
        <v>45197</v>
      </c>
      <c r="L28" s="957">
        <f>VLOOKUP(L26,'DATABASE PLATFORMS'!$C$7:$R$135,15,FALSE)</f>
        <v>45197</v>
      </c>
      <c r="N28" s="957">
        <f>VLOOKUP(N26,'DATABASE PLATFORMS'!$C$7:$R$135,15,FALSE)</f>
        <v>6962</v>
      </c>
      <c r="O28" s="957">
        <f>VLOOKUP(O26,'DATABASE PLATFORMS'!$C$7:$R$135,15,FALSE)</f>
        <v>6962</v>
      </c>
      <c r="Q28" s="957">
        <f>VLOOKUP(Q26,'DATABASE PLATFORMS'!$C$7:$R$135,15,FALSE)</f>
        <v>2359</v>
      </c>
      <c r="R28" s="957">
        <f>VLOOKUP(R26,'DATABASE PLATFORMS'!$C$7:$R$135,15,FALSE)</f>
        <v>2359</v>
      </c>
      <c r="S28" s="957">
        <f>VLOOKUP(S26,'DATABASE PLATFORMS'!$C$7:$R$135,15,FALSE)</f>
        <v>2359</v>
      </c>
    </row>
    <row r="29" spans="2:19" x14ac:dyDescent="0.25">
      <c r="B29" s="318"/>
      <c r="C29" s="325" t="s">
        <v>708</v>
      </c>
      <c r="D29" s="901" t="s">
        <v>120</v>
      </c>
      <c r="E29" s="901" t="s">
        <v>1399</v>
      </c>
      <c r="F29" s="901" t="s">
        <v>11</v>
      </c>
      <c r="G29" s="965">
        <f t="shared" ref="G29:G34" si="7">IF(LEN(HLOOKUP($D$6,$J$9:$DG$482,ROW()-ROW($G$9)+1,FALSE))&lt;&gt;0,HLOOKUP($D$6,$J$9:$DG$482,ROW()-ROW($G$9)+1,FALSE),"")</f>
        <v>2</v>
      </c>
      <c r="H29" s="1069" t="s">
        <v>1561</v>
      </c>
      <c r="J29" s="957">
        <v>2</v>
      </c>
      <c r="K29" s="957">
        <v>2</v>
      </c>
      <c r="L29" s="957">
        <v>2</v>
      </c>
      <c r="M29" s="700"/>
      <c r="N29" s="957">
        <v>2</v>
      </c>
      <c r="O29" s="957">
        <v>2</v>
      </c>
      <c r="P29" s="700"/>
      <c r="Q29" s="957">
        <v>2</v>
      </c>
      <c r="R29" s="957">
        <v>2</v>
      </c>
      <c r="S29" s="957">
        <v>2</v>
      </c>
    </row>
    <row r="30" spans="2:19" x14ac:dyDescent="0.25">
      <c r="B30" s="318"/>
      <c r="C30" s="325" t="s">
        <v>708</v>
      </c>
      <c r="D30" s="901" t="s">
        <v>120</v>
      </c>
      <c r="E30" s="901" t="s">
        <v>1400</v>
      </c>
      <c r="F30" s="901" t="s">
        <v>11</v>
      </c>
      <c r="G30" s="965">
        <f t="shared" si="7"/>
        <v>16</v>
      </c>
      <c r="H30" s="1069" t="s">
        <v>1561</v>
      </c>
      <c r="J30" s="957">
        <v>16</v>
      </c>
      <c r="K30" s="957">
        <v>16</v>
      </c>
      <c r="L30" s="957">
        <v>16</v>
      </c>
      <c r="M30" s="700"/>
      <c r="N30" s="957">
        <v>16</v>
      </c>
      <c r="O30" s="957">
        <v>16</v>
      </c>
      <c r="P30" s="700"/>
      <c r="Q30" s="957">
        <v>16</v>
      </c>
      <c r="R30" s="957">
        <v>16</v>
      </c>
      <c r="S30" s="957">
        <v>16</v>
      </c>
    </row>
    <row r="31" spans="2:19" x14ac:dyDescent="0.25">
      <c r="B31" s="318"/>
      <c r="C31" s="325" t="s">
        <v>708</v>
      </c>
      <c r="D31" s="901" t="s">
        <v>120</v>
      </c>
      <c r="E31" s="901" t="s">
        <v>1562</v>
      </c>
      <c r="F31" s="901" t="s">
        <v>11</v>
      </c>
      <c r="G31" s="965">
        <f t="shared" si="7"/>
        <v>21</v>
      </c>
      <c r="H31" s="1069" t="s">
        <v>1561</v>
      </c>
      <c r="J31" s="957">
        <v>21</v>
      </c>
      <c r="K31" s="957">
        <v>21</v>
      </c>
      <c r="L31" s="957">
        <v>21</v>
      </c>
      <c r="N31" s="957">
        <v>21</v>
      </c>
      <c r="O31" s="957">
        <v>21</v>
      </c>
      <c r="Q31" s="957">
        <v>21</v>
      </c>
      <c r="R31" s="957">
        <v>21</v>
      </c>
      <c r="S31" s="957">
        <v>21</v>
      </c>
    </row>
    <row r="32" spans="2:19" x14ac:dyDescent="0.25">
      <c r="B32" s="318"/>
      <c r="C32" s="325" t="s">
        <v>708</v>
      </c>
      <c r="D32" s="901" t="s">
        <v>120</v>
      </c>
      <c r="E32" s="901" t="s">
        <v>1563</v>
      </c>
      <c r="F32" s="901" t="s">
        <v>11</v>
      </c>
      <c r="G32" s="965">
        <f t="shared" si="7"/>
        <v>49</v>
      </c>
      <c r="H32" s="1069" t="s">
        <v>1561</v>
      </c>
      <c r="J32" s="957">
        <v>49</v>
      </c>
      <c r="K32" s="957">
        <v>49</v>
      </c>
      <c r="L32" s="957">
        <v>49</v>
      </c>
      <c r="N32" s="957">
        <v>49</v>
      </c>
      <c r="O32" s="957">
        <v>49</v>
      </c>
      <c r="Q32" s="957">
        <v>49</v>
      </c>
      <c r="R32" s="957">
        <v>49</v>
      </c>
      <c r="S32" s="957">
        <v>49</v>
      </c>
    </row>
    <row r="33" spans="2:19" x14ac:dyDescent="0.25">
      <c r="B33" s="318"/>
      <c r="C33" s="325" t="s">
        <v>708</v>
      </c>
      <c r="D33" s="901" t="s">
        <v>120</v>
      </c>
      <c r="E33" s="901" t="s">
        <v>1564</v>
      </c>
      <c r="F33" s="901" t="s">
        <v>11</v>
      </c>
      <c r="G33" s="965">
        <f t="shared" si="7"/>
        <v>12</v>
      </c>
      <c r="H33" s="1069" t="s">
        <v>1561</v>
      </c>
      <c r="J33" s="957">
        <v>12</v>
      </c>
      <c r="K33" s="957">
        <v>12</v>
      </c>
      <c r="L33" s="957">
        <v>12</v>
      </c>
      <c r="N33" s="957">
        <v>12</v>
      </c>
      <c r="O33" s="957">
        <v>12</v>
      </c>
      <c r="Q33" s="957">
        <v>12</v>
      </c>
      <c r="R33" s="957">
        <v>12</v>
      </c>
      <c r="S33" s="957">
        <v>12</v>
      </c>
    </row>
    <row r="34" spans="2:19" x14ac:dyDescent="0.25">
      <c r="B34" s="318"/>
      <c r="C34" s="325" t="s">
        <v>708</v>
      </c>
      <c r="D34" s="901" t="s">
        <v>120</v>
      </c>
      <c r="E34" s="901" t="s">
        <v>1565</v>
      </c>
      <c r="F34" s="901" t="s">
        <v>757</v>
      </c>
      <c r="G34" s="965" t="b">
        <f t="shared" si="7"/>
        <v>0</v>
      </c>
      <c r="H34" s="325"/>
      <c r="J34" s="957" t="b">
        <f>IF(J57&gt;J109,TRUE,FALSE)</f>
        <v>1</v>
      </c>
      <c r="K34" s="957" t="b">
        <f>IF(K57&gt;K109,TRUE,FALSE)</f>
        <v>1</v>
      </c>
      <c r="L34" s="957" t="b">
        <f>IF(L57&gt;L109,TRUE,FALSE)</f>
        <v>1</v>
      </c>
      <c r="N34" s="957" t="b">
        <f>IF(N57&gt;N109,TRUE,FALSE)</f>
        <v>0</v>
      </c>
      <c r="O34" s="957" t="b">
        <f>IF(O57&gt;O109,TRUE,FALSE)</f>
        <v>0</v>
      </c>
      <c r="Q34" s="957" t="b">
        <f>IF(Q57&gt;Q109,TRUE,FALSE)</f>
        <v>1</v>
      </c>
      <c r="R34" s="957" t="b">
        <f>IF(R57&gt;R109,TRUE,FALSE)</f>
        <v>0</v>
      </c>
      <c r="S34" s="957" t="b">
        <f>IF(S57&gt;S109,TRUE,FALSE)</f>
        <v>1</v>
      </c>
    </row>
    <row r="35" spans="2:19" x14ac:dyDescent="0.25">
      <c r="B35" s="318"/>
      <c r="C35" s="325" t="s">
        <v>708</v>
      </c>
      <c r="D35" s="901" t="s">
        <v>120</v>
      </c>
      <c r="E35" s="901" t="s">
        <v>1474</v>
      </c>
      <c r="F35" s="901" t="s">
        <v>562</v>
      </c>
      <c r="G35" s="963">
        <f t="shared" ref="G35:G44" si="8">IF(LEN(HLOOKUP($D$6,$J$9:$DG$501,ROW()-ROW($G$9)+1,FALSE))&lt;&gt;0,HLOOKUP($D$6,$J$9:$DG$501,ROW()-ROW($G$9)+1,FALSE),"")</f>
        <v>0</v>
      </c>
      <c r="H35" s="901" t="s">
        <v>1475</v>
      </c>
      <c r="J35" s="957">
        <v>0</v>
      </c>
      <c r="K35" s="957">
        <v>0</v>
      </c>
      <c r="L35" s="957">
        <v>0</v>
      </c>
      <c r="N35" s="957">
        <v>0</v>
      </c>
      <c r="O35" s="957">
        <v>0</v>
      </c>
      <c r="Q35" s="957">
        <v>0</v>
      </c>
      <c r="R35" s="957">
        <v>0</v>
      </c>
      <c r="S35" s="957">
        <v>0</v>
      </c>
    </row>
    <row r="36" spans="2:19" x14ac:dyDescent="0.25">
      <c r="B36" s="318"/>
      <c r="C36" s="325" t="s">
        <v>708</v>
      </c>
      <c r="D36" s="901" t="s">
        <v>120</v>
      </c>
      <c r="E36" s="901" t="s">
        <v>1478</v>
      </c>
      <c r="F36" s="901" t="s">
        <v>562</v>
      </c>
      <c r="G36" s="963" t="str">
        <f t="shared" si="8"/>
        <v/>
      </c>
      <c r="H36" s="901" t="s">
        <v>1479</v>
      </c>
      <c r="J36" s="678"/>
      <c r="K36" s="678"/>
      <c r="L36" s="678"/>
      <c r="N36" s="678"/>
      <c r="O36" s="678"/>
      <c r="Q36" s="678"/>
      <c r="R36" s="678"/>
      <c r="S36" s="678"/>
    </row>
    <row r="37" spans="2:19" x14ac:dyDescent="0.25">
      <c r="B37" s="318"/>
      <c r="C37" s="325" t="s">
        <v>708</v>
      </c>
      <c r="D37" s="325" t="s">
        <v>742</v>
      </c>
      <c r="E37" s="1318" t="s">
        <v>1476</v>
      </c>
      <c r="F37" s="901" t="s">
        <v>1477</v>
      </c>
      <c r="G37" s="963">
        <f t="shared" si="8"/>
        <v>2</v>
      </c>
      <c r="H37" s="901" t="s">
        <v>1480</v>
      </c>
      <c r="J37" s="957">
        <v>2</v>
      </c>
      <c r="K37" s="957">
        <v>2</v>
      </c>
      <c r="L37" s="957">
        <v>2</v>
      </c>
      <c r="N37" s="957">
        <v>2</v>
      </c>
      <c r="O37" s="957">
        <v>2</v>
      </c>
      <c r="Q37" s="957">
        <v>2</v>
      </c>
      <c r="R37" s="957">
        <v>2</v>
      </c>
      <c r="S37" s="957">
        <v>2</v>
      </c>
    </row>
    <row r="38" spans="2:19" x14ac:dyDescent="0.25">
      <c r="B38" s="318"/>
      <c r="C38" s="325" t="s">
        <v>708</v>
      </c>
      <c r="D38" s="325" t="s">
        <v>742</v>
      </c>
      <c r="E38" s="901" t="s">
        <v>1113</v>
      </c>
      <c r="F38" s="325" t="s">
        <v>562</v>
      </c>
      <c r="G38" s="689">
        <f t="shared" si="8"/>
        <v>7853400</v>
      </c>
      <c r="H38" s="325"/>
      <c r="J38" s="331">
        <f>E_cable_costs!$T$161</f>
        <v>7853400</v>
      </c>
      <c r="K38" s="331">
        <f>E_cable_costs!$T$161</f>
        <v>7853400</v>
      </c>
      <c r="L38" s="331">
        <f>E_cable_costs!$T$161</f>
        <v>7853400</v>
      </c>
      <c r="M38" s="962"/>
      <c r="N38" s="331">
        <f>E_cable_costs!$T$161</f>
        <v>7853400</v>
      </c>
      <c r="O38" s="331">
        <f>E_cable_costs!$T$161</f>
        <v>7853400</v>
      </c>
      <c r="P38" s="962"/>
      <c r="Q38" s="331">
        <f>E_cable_costs!$T$161</f>
        <v>7853400</v>
      </c>
      <c r="R38" s="331">
        <f>E_cable_costs!$T$161</f>
        <v>7853400</v>
      </c>
      <c r="S38" s="331">
        <f>E_cable_costs!$T$161</f>
        <v>7853400</v>
      </c>
    </row>
    <row r="39" spans="2:19" x14ac:dyDescent="0.25">
      <c r="B39" s="318"/>
      <c r="C39" s="325" t="s">
        <v>708</v>
      </c>
      <c r="D39" s="325" t="s">
        <v>742</v>
      </c>
      <c r="E39" s="901" t="s">
        <v>1118</v>
      </c>
      <c r="F39" s="325" t="s">
        <v>1116</v>
      </c>
      <c r="G39" s="689">
        <f t="shared" si="8"/>
        <v>2820</v>
      </c>
      <c r="H39" s="325"/>
      <c r="J39" s="331">
        <f>E_cable_costs!$T$162</f>
        <v>2820</v>
      </c>
      <c r="K39" s="331">
        <f>E_cable_costs!$T$162</f>
        <v>2820</v>
      </c>
      <c r="L39" s="331">
        <f>E_cable_costs!$T$162</f>
        <v>2820</v>
      </c>
      <c r="M39" s="962"/>
      <c r="N39" s="331">
        <f>E_cable_costs!$T$162</f>
        <v>2820</v>
      </c>
      <c r="O39" s="331">
        <f>E_cable_costs!$T$162</f>
        <v>2820</v>
      </c>
      <c r="P39" s="962"/>
      <c r="Q39" s="331">
        <f>E_cable_costs!$T$162</f>
        <v>2820</v>
      </c>
      <c r="R39" s="331">
        <f>E_cable_costs!$T$162</f>
        <v>2820</v>
      </c>
      <c r="S39" s="331">
        <f>E_cable_costs!$T$162</f>
        <v>2820</v>
      </c>
    </row>
    <row r="40" spans="2:19" x14ac:dyDescent="0.25">
      <c r="B40" s="318"/>
      <c r="C40" s="325" t="s">
        <v>708</v>
      </c>
      <c r="D40" s="325" t="s">
        <v>742</v>
      </c>
      <c r="E40" s="901" t="s">
        <v>1117</v>
      </c>
      <c r="F40" s="325" t="s">
        <v>1116</v>
      </c>
      <c r="G40" s="689">
        <f t="shared" si="8"/>
        <v>140000</v>
      </c>
      <c r="H40" s="325"/>
      <c r="J40" s="331">
        <f>E_cable_costs!$T$163</f>
        <v>140000</v>
      </c>
      <c r="K40" s="331">
        <f>E_cable_costs!$T$163</f>
        <v>140000</v>
      </c>
      <c r="L40" s="331">
        <f>E_cable_costs!$T$163</f>
        <v>140000</v>
      </c>
      <c r="M40" s="962"/>
      <c r="N40" s="331">
        <f>E_cable_costs!$T$163</f>
        <v>140000</v>
      </c>
      <c r="O40" s="331">
        <f>E_cable_costs!$T$163</f>
        <v>140000</v>
      </c>
      <c r="P40" s="962"/>
      <c r="Q40" s="331">
        <f>E_cable_costs!$T$163</f>
        <v>140000</v>
      </c>
      <c r="R40" s="331">
        <f>E_cable_costs!$T$163</f>
        <v>140000</v>
      </c>
      <c r="S40" s="331">
        <f>E_cable_costs!$T$163</f>
        <v>140000</v>
      </c>
    </row>
    <row r="41" spans="2:19" x14ac:dyDescent="0.25">
      <c r="B41" s="318"/>
      <c r="C41" s="325" t="s">
        <v>708</v>
      </c>
      <c r="D41" s="325" t="s">
        <v>742</v>
      </c>
      <c r="E41" s="901" t="s">
        <v>1114</v>
      </c>
      <c r="F41" s="325" t="s">
        <v>1115</v>
      </c>
      <c r="G41" s="689">
        <f t="shared" si="8"/>
        <v>121602.13636363637</v>
      </c>
      <c r="H41" s="325"/>
      <c r="J41" s="331">
        <f>E_cable_costs!$T$164</f>
        <v>121602.13636363637</v>
      </c>
      <c r="K41" s="331">
        <f>E_cable_costs!$T$164</f>
        <v>121602.13636363637</v>
      </c>
      <c r="L41" s="331">
        <f>E_cable_costs!$T$164</f>
        <v>121602.13636363637</v>
      </c>
      <c r="M41" s="962"/>
      <c r="N41" s="331">
        <f>E_cable_costs!$T$164</f>
        <v>121602.13636363637</v>
      </c>
      <c r="O41" s="331">
        <f>E_cable_costs!$T$164</f>
        <v>121602.13636363637</v>
      </c>
      <c r="P41" s="962"/>
      <c r="Q41" s="331">
        <f>E_cable_costs!$T$164</f>
        <v>121602.13636363637</v>
      </c>
      <c r="R41" s="331">
        <f>E_cable_costs!$T$164</f>
        <v>121602.13636363637</v>
      </c>
      <c r="S41" s="331">
        <f>E_cable_costs!$T$164</f>
        <v>121602.13636363637</v>
      </c>
    </row>
    <row r="42" spans="2:19" x14ac:dyDescent="0.25">
      <c r="B42" s="318"/>
      <c r="C42" s="325" t="s">
        <v>708</v>
      </c>
      <c r="D42" s="325" t="s">
        <v>742</v>
      </c>
      <c r="E42" s="1318" t="s">
        <v>1258</v>
      </c>
      <c r="F42" s="901" t="s">
        <v>22</v>
      </c>
      <c r="G42" s="689">
        <f t="shared" si="8"/>
        <v>37.799999999999997</v>
      </c>
      <c r="H42" s="326"/>
      <c r="J42" s="963">
        <v>75</v>
      </c>
      <c r="K42" s="963">
        <v>75</v>
      </c>
      <c r="L42" s="963">
        <v>75</v>
      </c>
      <c r="N42" s="957">
        <v>37.799999999999997</v>
      </c>
      <c r="O42" s="957">
        <v>37.799999999999997</v>
      </c>
      <c r="Q42" s="963">
        <v>50</v>
      </c>
      <c r="R42" s="963">
        <v>50</v>
      </c>
      <c r="S42" s="963">
        <v>100</v>
      </c>
    </row>
    <row r="43" spans="2:19" x14ac:dyDescent="0.25">
      <c r="B43" s="318"/>
      <c r="C43" s="325" t="s">
        <v>708</v>
      </c>
      <c r="D43" s="325" t="s">
        <v>742</v>
      </c>
      <c r="E43" s="1318" t="s">
        <v>1725</v>
      </c>
      <c r="F43" s="1208" t="s">
        <v>757</v>
      </c>
      <c r="G43" s="689" t="str">
        <f t="shared" si="8"/>
        <v>Demand driven</v>
      </c>
      <c r="H43" s="1262" t="s">
        <v>1726</v>
      </c>
      <c r="J43" s="957" t="s">
        <v>1672</v>
      </c>
      <c r="K43" s="957" t="s">
        <v>1672</v>
      </c>
      <c r="L43" s="957" t="s">
        <v>1672</v>
      </c>
      <c r="N43" s="957" t="s">
        <v>1600</v>
      </c>
      <c r="O43" s="957" t="s">
        <v>1600</v>
      </c>
      <c r="Q43" s="957" t="s">
        <v>1672</v>
      </c>
      <c r="R43" s="957" t="s">
        <v>1672</v>
      </c>
      <c r="S43" s="957" t="s">
        <v>1600</v>
      </c>
    </row>
    <row r="44" spans="2:19" x14ac:dyDescent="0.25">
      <c r="B44" s="318"/>
      <c r="C44" s="1188" t="s">
        <v>708</v>
      </c>
      <c r="D44" s="1188" t="s">
        <v>742</v>
      </c>
      <c r="E44" s="1188" t="s">
        <v>1715</v>
      </c>
      <c r="F44" s="1188" t="s">
        <v>927</v>
      </c>
      <c r="G44" s="464">
        <f t="shared" si="8"/>
        <v>0</v>
      </c>
      <c r="H44" s="901" t="s">
        <v>1714</v>
      </c>
      <c r="I44" s="1102"/>
      <c r="J44" s="464">
        <v>0</v>
      </c>
      <c r="K44" s="464">
        <v>0</v>
      </c>
      <c r="L44" s="464">
        <v>0</v>
      </c>
      <c r="M44" s="1102"/>
      <c r="N44" s="464">
        <v>0</v>
      </c>
      <c r="O44" s="464">
        <v>0</v>
      </c>
      <c r="P44" s="1102"/>
      <c r="Q44" s="464">
        <v>0</v>
      </c>
      <c r="R44" s="464">
        <v>0</v>
      </c>
      <c r="S44" s="464">
        <v>0</v>
      </c>
    </row>
    <row r="45" spans="2:19" x14ac:dyDescent="0.25">
      <c r="B45" s="318"/>
      <c r="C45" s="325"/>
      <c r="D45" s="901"/>
      <c r="E45" s="326"/>
      <c r="F45" s="326"/>
      <c r="G45" s="958"/>
      <c r="H45" s="326"/>
      <c r="J45" s="957"/>
      <c r="K45" s="957"/>
      <c r="L45" s="957"/>
      <c r="N45" s="957"/>
      <c r="O45" s="957"/>
      <c r="Q45" s="957"/>
      <c r="R45" s="957"/>
      <c r="S45" s="957"/>
    </row>
    <row r="46" spans="2:19" x14ac:dyDescent="0.25">
      <c r="C46" s="310" t="s">
        <v>720</v>
      </c>
      <c r="D46" s="310" t="s">
        <v>732</v>
      </c>
      <c r="E46" s="1316" t="s">
        <v>721</v>
      </c>
      <c r="F46" s="310" t="s">
        <v>722</v>
      </c>
      <c r="G46" s="679">
        <f t="shared" ref="G46:G77" si="9">IF(LEN(HLOOKUP($D$6,$J$9:$DG$501,ROW()-ROW($G$9)+1,FALSE))&lt;&gt;0,HLOOKUP($D$6,$J$9:$DG$501,ROW()-ROW($G$9)+1,FALSE),"")</f>
        <v>33020845.768202711</v>
      </c>
      <c r="H46" s="310" t="s">
        <v>1126</v>
      </c>
      <c r="J46" s="679">
        <f>62*1000000</f>
        <v>62000000</v>
      </c>
      <c r="K46" s="679">
        <f>62*1000000</f>
        <v>62000000</v>
      </c>
      <c r="L46" s="679">
        <f>62*1000000</f>
        <v>62000000</v>
      </c>
      <c r="N46" s="679">
        <v>33020845.768202711</v>
      </c>
      <c r="O46" s="679">
        <v>33020845.768202711</v>
      </c>
      <c r="Q46" s="679">
        <v>55000000</v>
      </c>
      <c r="R46" s="679">
        <v>55000000</v>
      </c>
      <c r="S46" s="679">
        <v>55000000</v>
      </c>
    </row>
    <row r="47" spans="2:19" x14ac:dyDescent="0.25">
      <c r="C47" s="310" t="s">
        <v>720</v>
      </c>
      <c r="D47" s="325" t="s">
        <v>732</v>
      </c>
      <c r="E47" s="1316" t="s">
        <v>723</v>
      </c>
      <c r="F47" s="310" t="s">
        <v>724</v>
      </c>
      <c r="G47" s="325">
        <f t="shared" si="9"/>
        <v>76.732659118856375</v>
      </c>
      <c r="H47" s="310" t="s">
        <v>970</v>
      </c>
      <c r="J47" s="310">
        <v>110</v>
      </c>
      <c r="K47" s="310">
        <v>110</v>
      </c>
      <c r="L47" s="325">
        <v>110</v>
      </c>
      <c r="N47" s="680">
        <v>76.732659118856375</v>
      </c>
      <c r="O47" s="680">
        <v>76.732659118856375</v>
      </c>
      <c r="Q47" s="310">
        <v>106</v>
      </c>
      <c r="R47" s="310">
        <v>106</v>
      </c>
      <c r="S47" s="325">
        <v>106</v>
      </c>
    </row>
    <row r="48" spans="2:19" x14ac:dyDescent="0.25">
      <c r="C48" s="310" t="s">
        <v>720</v>
      </c>
      <c r="D48" s="325" t="s">
        <v>732</v>
      </c>
      <c r="E48" s="1316" t="s">
        <v>725</v>
      </c>
      <c r="F48" s="310" t="s">
        <v>726</v>
      </c>
      <c r="G48" s="325">
        <f t="shared" si="9"/>
        <v>129.6</v>
      </c>
      <c r="H48" s="310" t="s">
        <v>971</v>
      </c>
      <c r="J48" s="310">
        <v>0</v>
      </c>
      <c r="K48" s="310">
        <v>0</v>
      </c>
      <c r="L48" s="325">
        <v>0</v>
      </c>
      <c r="N48" s="310">
        <v>129.6</v>
      </c>
      <c r="O48" s="310">
        <v>129.6</v>
      </c>
      <c r="Q48" s="310">
        <v>0</v>
      </c>
      <c r="R48" s="310">
        <v>0</v>
      </c>
      <c r="S48" s="325">
        <v>0</v>
      </c>
    </row>
    <row r="49" spans="2:19" x14ac:dyDescent="0.25">
      <c r="C49" s="310" t="s">
        <v>720</v>
      </c>
      <c r="D49" s="325" t="s">
        <v>732</v>
      </c>
      <c r="E49" s="310" t="s">
        <v>728</v>
      </c>
      <c r="F49" s="310" t="s">
        <v>711</v>
      </c>
      <c r="G49" s="428">
        <f t="shared" si="9"/>
        <v>1</v>
      </c>
      <c r="H49" s="310" t="s">
        <v>974</v>
      </c>
      <c r="J49" s="428">
        <v>1</v>
      </c>
      <c r="K49" s="428">
        <v>1</v>
      </c>
      <c r="L49" s="428">
        <v>1</v>
      </c>
      <c r="N49" s="428">
        <v>1</v>
      </c>
      <c r="O49" s="428">
        <v>1</v>
      </c>
      <c r="Q49" s="428">
        <v>1</v>
      </c>
      <c r="R49" s="428">
        <v>1</v>
      </c>
      <c r="S49" s="428">
        <v>1</v>
      </c>
    </row>
    <row r="50" spans="2:19" x14ac:dyDescent="0.25">
      <c r="C50" s="310" t="s">
        <v>720</v>
      </c>
      <c r="D50" s="325" t="s">
        <v>732</v>
      </c>
      <c r="E50" s="310" t="s">
        <v>729</v>
      </c>
      <c r="F50" s="310" t="s">
        <v>724</v>
      </c>
      <c r="G50" s="712">
        <f t="shared" si="9"/>
        <v>76.732659118856375</v>
      </c>
      <c r="H50" s="310" t="s">
        <v>975</v>
      </c>
      <c r="J50" s="712">
        <f>J49*J47</f>
        <v>110</v>
      </c>
      <c r="K50" s="712">
        <f>K49*K47</f>
        <v>110</v>
      </c>
      <c r="L50" s="712">
        <f>L49*L47</f>
        <v>110</v>
      </c>
      <c r="M50" s="581"/>
      <c r="N50" s="712">
        <f>N49*N47</f>
        <v>76.732659118856375</v>
      </c>
      <c r="O50" s="712">
        <f>O49*O47</f>
        <v>76.732659118856375</v>
      </c>
      <c r="P50" s="581"/>
      <c r="Q50" s="712">
        <f>Q49*Q47</f>
        <v>106</v>
      </c>
      <c r="R50" s="712">
        <f>R49*R47</f>
        <v>106</v>
      </c>
      <c r="S50" s="712">
        <f>S49*S47</f>
        <v>106</v>
      </c>
    </row>
    <row r="51" spans="2:19" x14ac:dyDescent="0.25">
      <c r="C51" s="310" t="s">
        <v>720</v>
      </c>
      <c r="D51" s="325" t="s">
        <v>732</v>
      </c>
      <c r="E51" s="310" t="s">
        <v>730</v>
      </c>
      <c r="F51" s="310" t="s">
        <v>731</v>
      </c>
      <c r="G51" s="712">
        <f t="shared" si="9"/>
        <v>2.3237641960323674</v>
      </c>
      <c r="H51" s="310"/>
      <c r="J51" s="712">
        <f>J50/J46*1000*1000</f>
        <v>1.774193548387097</v>
      </c>
      <c r="K51" s="712">
        <f>K50/K46*1000*1000</f>
        <v>1.774193548387097</v>
      </c>
      <c r="L51" s="712">
        <f>L50/L46*1000*1000</f>
        <v>1.774193548387097</v>
      </c>
      <c r="N51" s="712">
        <f>N50/N46*1000*1000</f>
        <v>2.3237641960323674</v>
      </c>
      <c r="O51" s="712">
        <f>O50/O46*1000*1000</f>
        <v>2.3237641960323674</v>
      </c>
      <c r="Q51" s="712">
        <f>Q50/Q46*1000*1000</f>
        <v>1.9272727272727272</v>
      </c>
      <c r="R51" s="712">
        <f>R50/R46*1000*1000</f>
        <v>1.9272727272727272</v>
      </c>
      <c r="S51" s="712">
        <f>S50/S46*1000*1000</f>
        <v>1.9272727272727272</v>
      </c>
    </row>
    <row r="52" spans="2:19" x14ac:dyDescent="0.25">
      <c r="C52" s="310" t="s">
        <v>720</v>
      </c>
      <c r="D52" s="310"/>
      <c r="E52" s="310"/>
      <c r="F52" s="310"/>
      <c r="G52" s="325" t="str">
        <f t="shared" si="9"/>
        <v/>
      </c>
      <c r="H52" s="310"/>
      <c r="J52" s="310"/>
      <c r="K52" s="310"/>
      <c r="L52" s="325"/>
      <c r="N52" s="310"/>
      <c r="O52" s="310"/>
      <c r="Q52" s="310"/>
      <c r="R52" s="310"/>
      <c r="S52" s="325"/>
    </row>
    <row r="53" spans="2:19" x14ac:dyDescent="0.25">
      <c r="C53" s="310" t="s">
        <v>720</v>
      </c>
      <c r="D53" s="310"/>
      <c r="E53" s="310"/>
      <c r="F53" s="310"/>
      <c r="G53" s="325" t="str">
        <f t="shared" si="9"/>
        <v/>
      </c>
      <c r="H53" s="310"/>
      <c r="J53" s="710"/>
      <c r="K53" s="710"/>
      <c r="L53" s="710"/>
      <c r="N53" s="310"/>
      <c r="O53" s="310"/>
      <c r="Q53" s="310"/>
      <c r="R53" s="310"/>
      <c r="S53" s="710"/>
    </row>
    <row r="54" spans="2:19" x14ac:dyDescent="0.25">
      <c r="B54" s="314"/>
      <c r="C54" s="325" t="s">
        <v>673</v>
      </c>
      <c r="D54" s="325" t="s">
        <v>812</v>
      </c>
      <c r="E54" s="325" t="s">
        <v>548</v>
      </c>
      <c r="F54" s="310" t="s">
        <v>745</v>
      </c>
      <c r="G54" s="710">
        <f t="shared" si="9"/>
        <v>2021</v>
      </c>
      <c r="H54" s="310"/>
      <c r="J54" s="1319">
        <f>Scenarios!$F$10</f>
        <v>2020</v>
      </c>
      <c r="K54" s="1319">
        <f>Scenarios!$F$42</f>
        <v>2020</v>
      </c>
      <c r="L54" s="1319">
        <f>Scenarios!$F$75</f>
        <v>2020</v>
      </c>
      <c r="M54" s="1320"/>
      <c r="N54" s="1319">
        <f>Scenarios!$F$107</f>
        <v>2021</v>
      </c>
      <c r="O54" s="1319">
        <f>Scenarios!$F$141</f>
        <v>2021</v>
      </c>
      <c r="P54" s="1320"/>
      <c r="Q54" s="1319">
        <f>Scenarios!$F$207</f>
        <v>2023</v>
      </c>
      <c r="R54" s="1319">
        <f>Scenarios!$F$240</f>
        <v>2023</v>
      </c>
      <c r="S54" s="1319">
        <f>Scenarios!$F$273</f>
        <v>2028</v>
      </c>
    </row>
    <row r="55" spans="2:19" s="1143" customFormat="1" x14ac:dyDescent="0.25">
      <c r="B55" s="314"/>
      <c r="C55" s="325" t="s">
        <v>673</v>
      </c>
      <c r="D55" s="325" t="s">
        <v>812</v>
      </c>
      <c r="E55" s="325" t="s">
        <v>1635</v>
      </c>
      <c r="F55" s="325" t="s">
        <v>745</v>
      </c>
      <c r="G55" s="710">
        <f t="shared" si="9"/>
        <v>2022</v>
      </c>
      <c r="H55" s="325"/>
      <c r="J55" s="1319">
        <f>Scenarios!$G$10</f>
        <v>2023</v>
      </c>
      <c r="K55" s="1319">
        <f>Scenarios!$G$42</f>
        <v>2023</v>
      </c>
      <c r="L55" s="1319">
        <f>Scenarios!$G$75</f>
        <v>2023</v>
      </c>
      <c r="M55" s="1320"/>
      <c r="N55" s="1319">
        <f>Scenarios!$G$107</f>
        <v>2022</v>
      </c>
      <c r="O55" s="1319">
        <f>Scenarios!$G$141</f>
        <v>2022</v>
      </c>
      <c r="P55" s="1320"/>
      <c r="Q55" s="1319">
        <f>Scenarios!$G$207</f>
        <v>2024</v>
      </c>
      <c r="R55" s="1319">
        <f>Scenarios!$G$240</f>
        <v>2024</v>
      </c>
      <c r="S55" s="1319">
        <f>Scenarios!$G$273</f>
        <v>2029</v>
      </c>
    </row>
    <row r="56" spans="2:19" x14ac:dyDescent="0.25">
      <c r="B56" s="314"/>
      <c r="C56" s="325" t="s">
        <v>673</v>
      </c>
      <c r="D56" s="325" t="s">
        <v>812</v>
      </c>
      <c r="E56" s="325" t="s">
        <v>549</v>
      </c>
      <c r="F56" s="325" t="s">
        <v>745</v>
      </c>
      <c r="G56" s="710">
        <f t="shared" si="9"/>
        <v>2022</v>
      </c>
      <c r="H56" s="310"/>
      <c r="J56" s="1319">
        <f>Scenarios!$F$11</f>
        <v>2023</v>
      </c>
      <c r="K56" s="1319">
        <f>Scenarios!$F$43</f>
        <v>2023</v>
      </c>
      <c r="L56" s="1319">
        <f>Scenarios!$F$76</f>
        <v>2023</v>
      </c>
      <c r="M56" s="1320"/>
      <c r="N56" s="1319">
        <f>Scenarios!$F$108</f>
        <v>2022</v>
      </c>
      <c r="O56" s="1319">
        <f>Scenarios!$F$142</f>
        <v>2022</v>
      </c>
      <c r="P56" s="1320"/>
      <c r="Q56" s="1319">
        <f>Scenarios!$F$208</f>
        <v>2024</v>
      </c>
      <c r="R56" s="1319">
        <f>Scenarios!$F$241</f>
        <v>2024</v>
      </c>
      <c r="S56" s="1319">
        <f>Scenarios!$F$274</f>
        <v>2029</v>
      </c>
    </row>
    <row r="57" spans="2:19" x14ac:dyDescent="0.25">
      <c r="B57" s="314"/>
      <c r="C57" s="325" t="s">
        <v>673</v>
      </c>
      <c r="D57" s="325" t="s">
        <v>812</v>
      </c>
      <c r="E57" s="325" t="s">
        <v>1309</v>
      </c>
      <c r="F57" s="325" t="s">
        <v>745</v>
      </c>
      <c r="G57" s="710">
        <f t="shared" si="9"/>
        <v>2030</v>
      </c>
      <c r="H57" s="325"/>
      <c r="J57" s="1319">
        <f>Scenarios!$G$11</f>
        <v>2035</v>
      </c>
      <c r="K57" s="1319">
        <f>Scenarios!$G$43</f>
        <v>2048</v>
      </c>
      <c r="L57" s="1319">
        <f>Scenarios!$G$76</f>
        <v>2048</v>
      </c>
      <c r="M57" s="1320"/>
      <c r="N57" s="1319">
        <f>Scenarios!$G$108</f>
        <v>2030</v>
      </c>
      <c r="O57" s="1319">
        <f>Scenarios!$G$142</f>
        <v>2030</v>
      </c>
      <c r="P57" s="1320"/>
      <c r="Q57" s="1319">
        <f>Scenarios!$G$208</f>
        <v>2033</v>
      </c>
      <c r="R57" s="1319">
        <f>Scenarios!$G$241</f>
        <v>2033</v>
      </c>
      <c r="S57" s="1319">
        <f>Scenarios!$G$274</f>
        <v>2033</v>
      </c>
    </row>
    <row r="58" spans="2:19" x14ac:dyDescent="0.25">
      <c r="B58" s="314"/>
      <c r="C58" s="325" t="s">
        <v>673</v>
      </c>
      <c r="D58" s="325" t="s">
        <v>812</v>
      </c>
      <c r="E58" s="325" t="s">
        <v>948</v>
      </c>
      <c r="F58" s="325" t="s">
        <v>745</v>
      </c>
      <c r="G58" s="713">
        <f t="shared" si="9"/>
        <v>9</v>
      </c>
      <c r="H58" s="310"/>
      <c r="J58" s="713">
        <f>$J$57-$J$56+1</f>
        <v>13</v>
      </c>
      <c r="K58" s="713">
        <f>$K$57-$K$56+1</f>
        <v>26</v>
      </c>
      <c r="L58" s="713">
        <f>$L$57-$L$56+1</f>
        <v>26</v>
      </c>
      <c r="M58" s="907"/>
      <c r="N58" s="713">
        <f>$N$57-$N$56+1</f>
        <v>9</v>
      </c>
      <c r="O58" s="713">
        <f>$O$57-$O$56+1</f>
        <v>9</v>
      </c>
      <c r="P58" s="907"/>
      <c r="Q58" s="713">
        <f>$Q$57-$Q$56+1</f>
        <v>10</v>
      </c>
      <c r="R58" s="713">
        <f>$R$57-$R$56+1</f>
        <v>10</v>
      </c>
      <c r="S58" s="713">
        <f>$S$57-$S$56+1</f>
        <v>5</v>
      </c>
    </row>
    <row r="59" spans="2:19" x14ac:dyDescent="0.25">
      <c r="B59" s="314"/>
      <c r="C59" s="310" t="s">
        <v>673</v>
      </c>
      <c r="D59" s="310" t="s">
        <v>732</v>
      </c>
      <c r="E59" s="1316" t="s">
        <v>733</v>
      </c>
      <c r="F59" s="310" t="s">
        <v>734</v>
      </c>
      <c r="G59" s="325">
        <f t="shared" si="9"/>
        <v>131.4</v>
      </c>
      <c r="H59" s="310" t="s">
        <v>959</v>
      </c>
      <c r="J59" s="310">
        <v>250</v>
      </c>
      <c r="K59" s="310">
        <v>250</v>
      </c>
      <c r="L59" s="325">
        <v>250</v>
      </c>
      <c r="N59" s="310">
        <v>131.4</v>
      </c>
      <c r="O59" s="310">
        <v>131.4</v>
      </c>
      <c r="Q59" s="310">
        <v>145</v>
      </c>
      <c r="R59" s="310">
        <v>145</v>
      </c>
      <c r="S59" s="325">
        <v>145</v>
      </c>
    </row>
    <row r="60" spans="2:19" x14ac:dyDescent="0.25">
      <c r="B60" s="314"/>
      <c r="C60" s="310" t="s">
        <v>673</v>
      </c>
      <c r="D60" s="310" t="s">
        <v>732</v>
      </c>
      <c r="E60" s="1316" t="s">
        <v>735</v>
      </c>
      <c r="F60" s="310" t="s">
        <v>711</v>
      </c>
      <c r="G60" s="428">
        <f t="shared" si="9"/>
        <v>1</v>
      </c>
      <c r="H60" s="310"/>
      <c r="J60" s="428">
        <v>0.95</v>
      </c>
      <c r="K60" s="428">
        <v>0.95</v>
      </c>
      <c r="L60" s="428">
        <v>0.95</v>
      </c>
      <c r="N60" s="428">
        <v>1</v>
      </c>
      <c r="O60" s="428">
        <v>1</v>
      </c>
      <c r="Q60" s="428">
        <v>0.95</v>
      </c>
      <c r="R60" s="428">
        <v>0.95</v>
      </c>
      <c r="S60" s="428">
        <v>0.95</v>
      </c>
    </row>
    <row r="61" spans="2:19" x14ac:dyDescent="0.25">
      <c r="B61" s="314"/>
      <c r="C61" s="310" t="s">
        <v>673</v>
      </c>
      <c r="D61" s="310" t="s">
        <v>732</v>
      </c>
      <c r="E61" s="310" t="s">
        <v>736</v>
      </c>
      <c r="F61" s="310" t="s">
        <v>734</v>
      </c>
      <c r="G61" s="712">
        <f t="shared" si="9"/>
        <v>131.4</v>
      </c>
      <c r="H61" s="310" t="s">
        <v>960</v>
      </c>
      <c r="J61" s="712">
        <f>J59/J60</f>
        <v>263.15789473684214</v>
      </c>
      <c r="K61" s="712">
        <f>K59/K60</f>
        <v>263.15789473684214</v>
      </c>
      <c r="L61" s="712">
        <f>L59/L60</f>
        <v>263.15789473684214</v>
      </c>
      <c r="N61" s="712">
        <f>N59/N60</f>
        <v>131.4</v>
      </c>
      <c r="O61" s="712">
        <f>O59/O60</f>
        <v>131.4</v>
      </c>
      <c r="Q61" s="712">
        <f>Q59/Q60</f>
        <v>152.63157894736844</v>
      </c>
      <c r="R61" s="712">
        <f>R59/R60</f>
        <v>152.63157894736844</v>
      </c>
      <c r="S61" s="712">
        <f>S59/S60</f>
        <v>152.63157894736844</v>
      </c>
    </row>
    <row r="62" spans="2:19" s="1186" customFormat="1" x14ac:dyDescent="0.25">
      <c r="B62" s="1189"/>
      <c r="C62" s="1188" t="s">
        <v>673</v>
      </c>
      <c r="D62" s="1188" t="s">
        <v>732</v>
      </c>
      <c r="E62" s="1188" t="s">
        <v>1676</v>
      </c>
      <c r="F62" s="1188" t="s">
        <v>711</v>
      </c>
      <c r="G62" s="1198">
        <f t="shared" si="9"/>
        <v>4.5230039562518705E-2</v>
      </c>
      <c r="H62" s="1188"/>
      <c r="J62" s="1198">
        <f>J61/(J70*35.17/3.6/(1000000))</f>
        <v>2.0499873003286748E-2</v>
      </c>
      <c r="K62" s="1198">
        <f>K61/(K70*35.17/3.6/(1000000))</f>
        <v>2.0499873003286748E-2</v>
      </c>
      <c r="L62" s="1198">
        <f>L61/(L70*35.17/3.6/(1000000))</f>
        <v>2.0499873003286748E-2</v>
      </c>
      <c r="N62" s="1198">
        <f>N61/(N70*35.17/3.6/(1000000))</f>
        <v>4.5230039562518705E-2</v>
      </c>
      <c r="O62" s="1198">
        <f>O61/(O70*35.17/3.6/(1000000))</f>
        <v>4.5230039562518705E-2</v>
      </c>
      <c r="Q62" s="1198">
        <f>Q61/(Q70*35.17/3.6/(1000000))</f>
        <v>4.5024101479149557E-2</v>
      </c>
      <c r="R62" s="1198">
        <f>R61/(R70*35.17/3.6/(1000000))</f>
        <v>4.5024101479149557E-2</v>
      </c>
      <c r="S62" s="1198">
        <f>S61/(S70*35.17/3.6/(1000000))</f>
        <v>4.5024101479149557E-2</v>
      </c>
    </row>
    <row r="63" spans="2:19" x14ac:dyDescent="0.25">
      <c r="B63" s="314"/>
      <c r="C63" s="310" t="s">
        <v>673</v>
      </c>
      <c r="D63" s="310" t="s">
        <v>732</v>
      </c>
      <c r="E63" s="1316" t="s">
        <v>737</v>
      </c>
      <c r="F63" s="310" t="s">
        <v>711</v>
      </c>
      <c r="G63" s="678">
        <f t="shared" si="9"/>
        <v>0.01</v>
      </c>
      <c r="H63" s="310"/>
      <c r="J63" s="678">
        <v>1.4999999999999999E-2</v>
      </c>
      <c r="K63" s="678">
        <v>1.4999999999999999E-2</v>
      </c>
      <c r="L63" s="678">
        <v>1.4999999999999999E-2</v>
      </c>
      <c r="N63" s="678">
        <v>0.01</v>
      </c>
      <c r="O63" s="678">
        <v>0.01</v>
      </c>
      <c r="Q63" s="678">
        <v>1.4999999999999999E-2</v>
      </c>
      <c r="R63" s="678">
        <v>1.4999999999999999E-2</v>
      </c>
      <c r="S63" s="678">
        <v>1.4999999999999999E-2</v>
      </c>
    </row>
    <row r="64" spans="2:19" x14ac:dyDescent="0.25">
      <c r="B64" s="314"/>
      <c r="C64" s="310" t="s">
        <v>673</v>
      </c>
      <c r="D64" s="310" t="s">
        <v>732</v>
      </c>
      <c r="E64" s="1316" t="s">
        <v>738</v>
      </c>
      <c r="F64" s="310" t="s">
        <v>739</v>
      </c>
      <c r="G64" s="325">
        <f t="shared" si="9"/>
        <v>14</v>
      </c>
      <c r="H64" s="310"/>
      <c r="J64" s="310">
        <v>45</v>
      </c>
      <c r="K64" s="310">
        <v>45</v>
      </c>
      <c r="L64" s="325">
        <v>45</v>
      </c>
      <c r="N64" s="310">
        <v>14</v>
      </c>
      <c r="O64" s="310">
        <v>14</v>
      </c>
      <c r="Q64" s="310">
        <v>55</v>
      </c>
      <c r="R64" s="310">
        <v>55</v>
      </c>
      <c r="S64" s="325">
        <v>45</v>
      </c>
    </row>
    <row r="65" spans="2:31" x14ac:dyDescent="0.25">
      <c r="B65" s="314"/>
      <c r="C65" s="310" t="s">
        <v>673</v>
      </c>
      <c r="D65" s="310" t="s">
        <v>732</v>
      </c>
      <c r="E65" s="1316" t="s">
        <v>740</v>
      </c>
      <c r="F65" s="310" t="s">
        <v>926</v>
      </c>
      <c r="G65" s="682">
        <f t="shared" si="9"/>
        <v>1500000</v>
      </c>
      <c r="H65" s="310"/>
      <c r="J65" s="682">
        <v>1000000</v>
      </c>
      <c r="K65" s="682">
        <v>1000000</v>
      </c>
      <c r="L65" s="682">
        <v>1000000</v>
      </c>
      <c r="N65" s="681">
        <v>1500000</v>
      </c>
      <c r="O65" s="681">
        <v>1500000</v>
      </c>
      <c r="Q65" s="682">
        <v>2000000</v>
      </c>
      <c r="R65" s="682">
        <v>2000000</v>
      </c>
      <c r="S65" s="682">
        <v>1000000</v>
      </c>
    </row>
    <row r="66" spans="2:31" x14ac:dyDescent="0.25">
      <c r="B66" s="314"/>
      <c r="C66" s="325" t="s">
        <v>673</v>
      </c>
      <c r="D66" s="325" t="s">
        <v>732</v>
      </c>
      <c r="E66" s="325" t="s">
        <v>1141</v>
      </c>
      <c r="F66" s="325" t="s">
        <v>1143</v>
      </c>
      <c r="G66" s="682">
        <f t="shared" si="9"/>
        <v>0</v>
      </c>
      <c r="H66" s="325"/>
      <c r="J66" s="682">
        <v>0</v>
      </c>
      <c r="K66" s="682">
        <v>0</v>
      </c>
      <c r="L66" s="682">
        <v>0</v>
      </c>
      <c r="N66" s="682">
        <v>0</v>
      </c>
      <c r="O66" s="682">
        <v>0</v>
      </c>
      <c r="Q66" s="682">
        <v>0</v>
      </c>
      <c r="R66" s="682">
        <v>0</v>
      </c>
      <c r="S66" s="682">
        <v>0</v>
      </c>
    </row>
    <row r="67" spans="2:31" x14ac:dyDescent="0.25">
      <c r="B67" s="314"/>
      <c r="C67" s="325" t="s">
        <v>673</v>
      </c>
      <c r="D67" s="325" t="s">
        <v>732</v>
      </c>
      <c r="E67" s="721" t="s">
        <v>1145</v>
      </c>
      <c r="F67" s="325" t="s">
        <v>745</v>
      </c>
      <c r="G67" s="710">
        <f t="shared" si="9"/>
        <v>4</v>
      </c>
      <c r="H67" s="325"/>
      <c r="J67" s="710">
        <v>4</v>
      </c>
      <c r="K67" s="710">
        <v>4</v>
      </c>
      <c r="L67" s="710">
        <v>4</v>
      </c>
      <c r="N67" s="710">
        <v>4</v>
      </c>
      <c r="O67" s="710">
        <v>4</v>
      </c>
      <c r="Q67" s="710">
        <v>4</v>
      </c>
      <c r="R67" s="710">
        <v>4</v>
      </c>
      <c r="S67" s="710">
        <v>4</v>
      </c>
    </row>
    <row r="68" spans="2:31" x14ac:dyDescent="0.25">
      <c r="B68" s="314"/>
      <c r="C68" s="310" t="s">
        <v>673</v>
      </c>
      <c r="D68" s="310" t="s">
        <v>732</v>
      </c>
      <c r="E68" s="310" t="s">
        <v>741</v>
      </c>
      <c r="F68" s="310" t="s">
        <v>926</v>
      </c>
      <c r="G68" s="682">
        <f t="shared" si="9"/>
        <v>0</v>
      </c>
      <c r="H68" s="310"/>
      <c r="J68" s="682">
        <v>0</v>
      </c>
      <c r="K68" s="682">
        <v>0</v>
      </c>
      <c r="L68" s="682">
        <v>0</v>
      </c>
      <c r="N68" s="681">
        <v>0</v>
      </c>
      <c r="O68" s="681">
        <v>0</v>
      </c>
      <c r="Q68" s="682">
        <v>0</v>
      </c>
      <c r="R68" s="682">
        <v>0</v>
      </c>
      <c r="S68" s="682">
        <v>0</v>
      </c>
    </row>
    <row r="69" spans="2:31" x14ac:dyDescent="0.25">
      <c r="B69" s="314"/>
      <c r="C69" s="325" t="s">
        <v>673</v>
      </c>
      <c r="D69" s="325" t="s">
        <v>732</v>
      </c>
      <c r="E69" s="1316" t="s">
        <v>1521</v>
      </c>
      <c r="F69" s="325" t="s">
        <v>1523</v>
      </c>
      <c r="G69" s="682" t="str">
        <f t="shared" si="9"/>
        <v>TAQA Scenario 1</v>
      </c>
      <c r="H69" s="325"/>
      <c r="J69" s="1167" t="s">
        <v>1091</v>
      </c>
      <c r="K69" s="1167" t="s">
        <v>1092</v>
      </c>
      <c r="L69" s="1167" t="s">
        <v>1204</v>
      </c>
      <c r="M69" s="962"/>
      <c r="N69" s="1167" t="s">
        <v>1093</v>
      </c>
      <c r="O69" s="1167" t="s">
        <v>1094</v>
      </c>
      <c r="Q69" s="1167" t="s">
        <v>1095</v>
      </c>
      <c r="R69" s="1167" t="s">
        <v>1096</v>
      </c>
      <c r="S69" s="1167" t="s">
        <v>1203</v>
      </c>
    </row>
    <row r="70" spans="2:31" x14ac:dyDescent="0.25">
      <c r="B70" s="314"/>
      <c r="C70" s="310" t="s">
        <v>673</v>
      </c>
      <c r="D70" s="310" t="s">
        <v>732</v>
      </c>
      <c r="E70" s="310" t="s">
        <v>1522</v>
      </c>
      <c r="F70" s="310" t="s">
        <v>718</v>
      </c>
      <c r="G70" s="1060">
        <f t="shared" si="9"/>
        <v>297370943</v>
      </c>
      <c r="H70" s="310"/>
      <c r="I70" s="1183"/>
      <c r="J70" s="1060">
        <f>(4000000*365)*0.9</f>
        <v>1314000000</v>
      </c>
      <c r="K70" s="1060">
        <f>(4000000*365)*0.9</f>
        <v>1314000000</v>
      </c>
      <c r="L70" s="1060">
        <f>(4000000*365)*0.9</f>
        <v>1314000000</v>
      </c>
      <c r="N70" s="1060">
        <v>297370943</v>
      </c>
      <c r="O70" s="1060">
        <v>297370943</v>
      </c>
      <c r="Q70" s="1060">
        <v>347000000</v>
      </c>
      <c r="R70" s="1060">
        <v>347000000</v>
      </c>
      <c r="S70" s="1060">
        <v>347000000</v>
      </c>
    </row>
    <row r="71" spans="2:31" x14ac:dyDescent="0.25">
      <c r="B71" s="314"/>
      <c r="C71" s="325" t="s">
        <v>673</v>
      </c>
      <c r="D71" s="1188" t="s">
        <v>742</v>
      </c>
      <c r="E71" s="1188" t="s">
        <v>1619</v>
      </c>
      <c r="F71" s="1188" t="s">
        <v>743</v>
      </c>
      <c r="G71" s="1188">
        <f t="shared" si="9"/>
        <v>20</v>
      </c>
      <c r="H71" s="325"/>
      <c r="J71" s="1101">
        <f>Scenarios!$E$26</f>
        <v>32</v>
      </c>
      <c r="K71" s="1101">
        <f>Scenarios!$E$58</f>
        <v>32</v>
      </c>
      <c r="L71" s="1101">
        <f>Scenarios!$E$91</f>
        <v>32</v>
      </c>
      <c r="M71" s="1102"/>
      <c r="N71" s="1101">
        <f>Scenarios!$E$123</f>
        <v>20</v>
      </c>
      <c r="O71" s="1101">
        <f>Scenarios!$E$157</f>
        <v>20</v>
      </c>
      <c r="P71" s="1102"/>
      <c r="Q71" s="1101">
        <f>Scenarios!$E$223</f>
        <v>40</v>
      </c>
      <c r="R71" s="1101">
        <f>Scenarios!$E$256</f>
        <v>40</v>
      </c>
      <c r="S71" s="1101">
        <f>Scenarios!$E$289</f>
        <v>40</v>
      </c>
    </row>
    <row r="72" spans="2:31" x14ac:dyDescent="0.25">
      <c r="B72" s="314"/>
      <c r="C72" s="325" t="s">
        <v>673</v>
      </c>
      <c r="D72" s="1188" t="s">
        <v>742</v>
      </c>
      <c r="E72" s="1188" t="s">
        <v>1599</v>
      </c>
      <c r="F72" s="1188" t="s">
        <v>743</v>
      </c>
      <c r="G72" s="1188" t="str">
        <f t="shared" si="9"/>
        <v/>
      </c>
      <c r="H72" s="901" t="s">
        <v>1601</v>
      </c>
      <c r="I72" s="1102"/>
      <c r="J72" s="1101">
        <f>IF(LOWER(J43)="one-off",SUM(Q73,Q228),Q73)</f>
        <v>40</v>
      </c>
      <c r="K72" s="1101">
        <f>IF(LOWER(K43)="one-off",SUM(R73,R228),R73)</f>
        <v>40</v>
      </c>
      <c r="L72" s="1101"/>
      <c r="M72" s="1102"/>
      <c r="N72" s="1101"/>
      <c r="O72" s="1101"/>
      <c r="P72" s="1102"/>
      <c r="Q72" s="1101"/>
      <c r="R72" s="1101"/>
      <c r="S72" s="1101"/>
    </row>
    <row r="73" spans="2:31" x14ac:dyDescent="0.25">
      <c r="B73" s="314"/>
      <c r="C73" s="310" t="s">
        <v>673</v>
      </c>
      <c r="D73" s="1188" t="s">
        <v>742</v>
      </c>
      <c r="E73" s="1188" t="s">
        <v>1620</v>
      </c>
      <c r="F73" s="1188" t="s">
        <v>743</v>
      </c>
      <c r="G73" s="1188">
        <f t="shared" si="9"/>
        <v>20</v>
      </c>
      <c r="H73" s="901" t="s">
        <v>744</v>
      </c>
      <c r="I73" s="1102"/>
      <c r="J73" s="1101">
        <f>J71+J72</f>
        <v>72</v>
      </c>
      <c r="K73" s="1101">
        <f>K71+K72</f>
        <v>72</v>
      </c>
      <c r="L73" s="1101">
        <f>L71+L72</f>
        <v>32</v>
      </c>
      <c r="M73" s="1102"/>
      <c r="N73" s="1101">
        <f>N71+N72</f>
        <v>20</v>
      </c>
      <c r="O73" s="1101">
        <f>O71+O72</f>
        <v>20</v>
      </c>
      <c r="P73" s="1102"/>
      <c r="Q73" s="1101">
        <f>Q71+Q72</f>
        <v>40</v>
      </c>
      <c r="R73" s="1101">
        <f>R71+R72</f>
        <v>40</v>
      </c>
      <c r="S73" s="1101">
        <f>S71+S72</f>
        <v>40</v>
      </c>
    </row>
    <row r="74" spans="2:31" x14ac:dyDescent="0.25">
      <c r="B74" s="314"/>
      <c r="C74" s="325" t="s">
        <v>673</v>
      </c>
      <c r="D74" s="1188" t="s">
        <v>742</v>
      </c>
      <c r="E74" s="1188" t="s">
        <v>1603</v>
      </c>
      <c r="F74" s="1188" t="s">
        <v>711</v>
      </c>
      <c r="G74" s="428" t="str">
        <f t="shared" si="9"/>
        <v/>
      </c>
      <c r="H74" s="901" t="s">
        <v>1701</v>
      </c>
      <c r="J74" s="1103">
        <f>1-(143.38/(143.38+40))</f>
        <v>0.21812629512487736</v>
      </c>
      <c r="K74" s="1103">
        <f>1-(42.12/(42.12+40))</f>
        <v>0.48709206039941555</v>
      </c>
      <c r="L74" s="1103"/>
      <c r="M74" s="1102"/>
      <c r="N74" s="1103"/>
      <c r="O74" s="1103"/>
      <c r="P74" s="1211"/>
      <c r="Q74" s="1103">
        <v>0</v>
      </c>
      <c r="R74" s="1103">
        <v>0</v>
      </c>
      <c r="S74" s="1103"/>
    </row>
    <row r="75" spans="2:31" x14ac:dyDescent="0.25">
      <c r="B75" s="314"/>
      <c r="C75" s="325" t="s">
        <v>673</v>
      </c>
      <c r="D75" s="1188" t="s">
        <v>742</v>
      </c>
      <c r="E75" s="1188" t="s">
        <v>1604</v>
      </c>
      <c r="F75" s="1188" t="s">
        <v>927</v>
      </c>
      <c r="G75" s="679">
        <f t="shared" si="9"/>
        <v>0</v>
      </c>
      <c r="H75" s="1262" t="s">
        <v>1743</v>
      </c>
      <c r="I75" s="1102"/>
      <c r="J75" s="1315">
        <f>(97+3+3)*10^6*J74</f>
        <v>22467008.397862367</v>
      </c>
      <c r="K75" s="1331">
        <f>(53445934)*K74</f>
        <v>26033090.112031177</v>
      </c>
      <c r="L75" s="1104">
        <f>-'Output E'!$D$26*1000*L74</f>
        <v>0</v>
      </c>
      <c r="M75" s="1102"/>
      <c r="N75" s="1104">
        <v>0</v>
      </c>
      <c r="O75" s="1104">
        <v>0</v>
      </c>
      <c r="P75" s="1211"/>
      <c r="Q75" s="1315">
        <f>-K75</f>
        <v>-26033090.112031177</v>
      </c>
      <c r="R75" s="1315">
        <f>-K75</f>
        <v>-26033090.112031177</v>
      </c>
      <c r="S75" s="1315">
        <v>0</v>
      </c>
    </row>
    <row r="76" spans="2:31" x14ac:dyDescent="0.25">
      <c r="B76" s="314"/>
      <c r="C76" s="325" t="s">
        <v>673</v>
      </c>
      <c r="D76" s="325" t="s">
        <v>742</v>
      </c>
      <c r="E76" s="325" t="s">
        <v>1516</v>
      </c>
      <c r="F76" s="325" t="s">
        <v>743</v>
      </c>
      <c r="G76" s="713">
        <f t="shared" si="9"/>
        <v>72</v>
      </c>
      <c r="H76" s="325"/>
      <c r="J76" s="713">
        <f>IF(LOWER(J43)="one-off",MAX(Output!J334:BE334),Parameters!$J$73)</f>
        <v>121.25807521071114</v>
      </c>
      <c r="K76" s="713">
        <f>IF(LOWER(K43)="one-off",MAX(Output!K334:BF334),Parameters!$J$73)</f>
        <v>121.25807521071114</v>
      </c>
      <c r="L76" s="713">
        <f>IF(LOWER(L43)="one-off",MAX(Output!L334:BG334),Parameters!$J$73)</f>
        <v>121.25807521071114</v>
      </c>
      <c r="N76" s="713">
        <f>IF(LOWER(N43)="one-off",MAX(Output!N334:BI334),Parameters!$J$73)</f>
        <v>72</v>
      </c>
      <c r="O76" s="713">
        <f>IF(LOWER(O43)="one-off",MAX(Output!O334:BJ334),Parameters!$J$73)</f>
        <v>72</v>
      </c>
      <c r="Q76" s="713">
        <f>IF(LOWER(Q43)="one-off",MAX(Output!R334:BM334),Parameters!$J$73)</f>
        <v>121.25807521071114</v>
      </c>
      <c r="R76" s="713">
        <f>IF(LOWER(R43)="one-off",MAX(Output!S334:BN334),Parameters!$J$73)</f>
        <v>121.25807521071114</v>
      </c>
      <c r="S76" s="713">
        <f>IF(LOWER(S43)="one-off",MAX(Output!T334:BO334),Parameters!$J$73)</f>
        <v>72</v>
      </c>
    </row>
    <row r="77" spans="2:31" x14ac:dyDescent="0.25">
      <c r="B77" s="314"/>
      <c r="C77" s="1188" t="s">
        <v>673</v>
      </c>
      <c r="D77" s="1188" t="s">
        <v>742</v>
      </c>
      <c r="E77" s="1188" t="s">
        <v>1120</v>
      </c>
      <c r="F77" s="1188" t="s">
        <v>745</v>
      </c>
      <c r="G77" s="1188">
        <f t="shared" si="9"/>
        <v>2021</v>
      </c>
      <c r="H77" s="326"/>
      <c r="I77" s="959"/>
      <c r="J77" s="713">
        <f>$J$54</f>
        <v>2020</v>
      </c>
      <c r="K77" s="713">
        <f>$K$54</f>
        <v>2020</v>
      </c>
      <c r="L77" s="713">
        <f>$L$54</f>
        <v>2020</v>
      </c>
      <c r="M77" s="959"/>
      <c r="N77" s="713">
        <f>$N$54</f>
        <v>2021</v>
      </c>
      <c r="O77" s="713">
        <f>$O$54</f>
        <v>2021</v>
      </c>
      <c r="P77" s="959"/>
      <c r="Q77" s="713">
        <f>$Q$54</f>
        <v>2023</v>
      </c>
      <c r="R77" s="713">
        <f>$R$54</f>
        <v>2023</v>
      </c>
      <c r="S77" s="713">
        <f>$S$54</f>
        <v>2028</v>
      </c>
    </row>
    <row r="78" spans="2:31" x14ac:dyDescent="0.25">
      <c r="B78" s="314"/>
      <c r="C78" s="1188" t="s">
        <v>673</v>
      </c>
      <c r="D78" s="1188" t="s">
        <v>742</v>
      </c>
      <c r="E78" s="1188" t="s">
        <v>1258</v>
      </c>
      <c r="F78" s="1188" t="s">
        <v>1271</v>
      </c>
      <c r="G78" s="1188">
        <f t="shared" ref="G78:G97" si="10">IF(LEN(HLOOKUP($D$6,$J$9:$DG$501,ROW()-ROW($G$9)+1,FALSE))&lt;&gt;0,HLOOKUP($D$6,$J$9:$DG$501,ROW()-ROW($G$9)+1,FALSE),"")</f>
        <v>37.799999999999997</v>
      </c>
      <c r="H78" s="325"/>
      <c r="J78" s="713">
        <f>J42</f>
        <v>75</v>
      </c>
      <c r="K78" s="713">
        <f>K42</f>
        <v>75</v>
      </c>
      <c r="L78" s="713">
        <f>L42</f>
        <v>75</v>
      </c>
      <c r="N78" s="713">
        <f>N42</f>
        <v>37.799999999999997</v>
      </c>
      <c r="O78" s="713">
        <f>O42</f>
        <v>37.799999999999997</v>
      </c>
      <c r="Q78" s="713">
        <f>Q42</f>
        <v>50</v>
      </c>
      <c r="R78" s="713">
        <f>R42</f>
        <v>50</v>
      </c>
      <c r="S78" s="713">
        <f>S42</f>
        <v>100</v>
      </c>
      <c r="U78" s="171">
        <v>17302000</v>
      </c>
      <c r="V78" s="171">
        <v>25895000</v>
      </c>
      <c r="W78" s="171">
        <v>25895000</v>
      </c>
      <c r="Y78" s="171">
        <v>13820000</v>
      </c>
      <c r="Z78" s="171">
        <v>18083000</v>
      </c>
      <c r="AA78" s="171">
        <v>25895000</v>
      </c>
      <c r="AC78" s="171">
        <v>30113549.545454543</v>
      </c>
      <c r="AD78" s="171">
        <v>36473592.272727273</v>
      </c>
      <c r="AE78" s="171">
        <v>25895000</v>
      </c>
    </row>
    <row r="79" spans="2:31" x14ac:dyDescent="0.25">
      <c r="B79" s="314"/>
      <c r="C79" s="1188" t="s">
        <v>673</v>
      </c>
      <c r="D79" s="1188" t="s">
        <v>742</v>
      </c>
      <c r="E79" s="1188" t="s">
        <v>1519</v>
      </c>
      <c r="F79" s="1188" t="s">
        <v>711</v>
      </c>
      <c r="G79" s="1188">
        <f t="shared" si="10"/>
        <v>0</v>
      </c>
      <c r="H79" s="325"/>
      <c r="J79" s="429">
        <v>0</v>
      </c>
      <c r="K79" s="429">
        <v>0</v>
      </c>
      <c r="L79" s="429">
        <v>0</v>
      </c>
      <c r="M79" s="911"/>
      <c r="N79" s="429">
        <v>0</v>
      </c>
      <c r="O79" s="429">
        <v>0</v>
      </c>
      <c r="P79" s="911"/>
      <c r="Q79" s="429">
        <v>0</v>
      </c>
      <c r="R79" s="429">
        <v>0</v>
      </c>
      <c r="S79" s="429">
        <v>0</v>
      </c>
    </row>
    <row r="80" spans="2:31" x14ac:dyDescent="0.25">
      <c r="B80" s="314"/>
      <c r="C80" s="1188" t="s">
        <v>673</v>
      </c>
      <c r="D80" s="1188" t="s">
        <v>742</v>
      </c>
      <c r="E80" s="1188" t="s">
        <v>747</v>
      </c>
      <c r="F80" s="1188" t="s">
        <v>745</v>
      </c>
      <c r="G80" s="1188">
        <f t="shared" si="10"/>
        <v>2021</v>
      </c>
      <c r="H80" s="326"/>
      <c r="I80" s="959"/>
      <c r="J80" s="713">
        <f>$J$56-1</f>
        <v>2022</v>
      </c>
      <c r="K80" s="713">
        <f>$K$56-1</f>
        <v>2022</v>
      </c>
      <c r="L80" s="713">
        <f>$L$56-1</f>
        <v>2022</v>
      </c>
      <c r="M80" s="959"/>
      <c r="N80" s="713">
        <f>$N$56-1</f>
        <v>2021</v>
      </c>
      <c r="O80" s="713">
        <f>$O$56-1</f>
        <v>2021</v>
      </c>
      <c r="P80" s="959"/>
      <c r="Q80" s="713">
        <f>$Q$56-1</f>
        <v>2023</v>
      </c>
      <c r="R80" s="713">
        <f>$R$56-1</f>
        <v>2023</v>
      </c>
      <c r="S80" s="713">
        <f>$S$56-1</f>
        <v>2028</v>
      </c>
    </row>
    <row r="81" spans="2:19" x14ac:dyDescent="0.25">
      <c r="B81" s="314"/>
      <c r="C81" s="1188" t="s">
        <v>673</v>
      </c>
      <c r="D81" s="1188" t="s">
        <v>120</v>
      </c>
      <c r="E81" s="1188" t="s">
        <v>748</v>
      </c>
      <c r="F81" s="1188" t="s">
        <v>745</v>
      </c>
      <c r="G81" s="1188">
        <f t="shared" si="10"/>
        <v>2021</v>
      </c>
      <c r="H81" s="326"/>
      <c r="I81" s="959"/>
      <c r="J81" s="713">
        <f>$J$54</f>
        <v>2020</v>
      </c>
      <c r="K81" s="713">
        <f>$K$54</f>
        <v>2020</v>
      </c>
      <c r="L81" s="713">
        <f>$L$54</f>
        <v>2020</v>
      </c>
      <c r="M81" s="959"/>
      <c r="N81" s="713">
        <f>$N$54</f>
        <v>2021</v>
      </c>
      <c r="O81" s="713">
        <f>$O$54</f>
        <v>2021</v>
      </c>
      <c r="P81" s="959"/>
      <c r="Q81" s="713">
        <f>$Q$54</f>
        <v>2023</v>
      </c>
      <c r="R81" s="713">
        <f>$R$54</f>
        <v>2023</v>
      </c>
      <c r="S81" s="713">
        <f>$S$54</f>
        <v>2028</v>
      </c>
    </row>
    <row r="82" spans="2:19" x14ac:dyDescent="0.25">
      <c r="B82" s="314"/>
      <c r="C82" s="310" t="s">
        <v>673</v>
      </c>
      <c r="D82" s="310" t="s">
        <v>120</v>
      </c>
      <c r="E82" s="1316" t="s">
        <v>749</v>
      </c>
      <c r="F82" s="310" t="s">
        <v>927</v>
      </c>
      <c r="G82" s="682">
        <f t="shared" si="10"/>
        <v>14100000</v>
      </c>
      <c r="H82" s="310"/>
      <c r="J82" s="682">
        <v>100000000</v>
      </c>
      <c r="K82" s="682">
        <v>100000000</v>
      </c>
      <c r="L82" s="682">
        <v>100000000</v>
      </c>
      <c r="N82" s="681">
        <v>14100000</v>
      </c>
      <c r="O82" s="681">
        <v>14100000</v>
      </c>
      <c r="Q82" s="681">
        <v>21020000</v>
      </c>
      <c r="R82" s="682">
        <v>21020000</v>
      </c>
      <c r="S82" s="682">
        <v>21020000</v>
      </c>
    </row>
    <row r="83" spans="2:19" x14ac:dyDescent="0.25">
      <c r="B83" s="314"/>
      <c r="C83" s="1188" t="s">
        <v>673</v>
      </c>
      <c r="D83" s="1188" t="s">
        <v>120</v>
      </c>
      <c r="E83" s="1188" t="s">
        <v>750</v>
      </c>
      <c r="F83" s="1188" t="s">
        <v>745</v>
      </c>
      <c r="G83" s="1188">
        <f t="shared" si="10"/>
        <v>2021</v>
      </c>
      <c r="H83" s="326"/>
      <c r="I83" s="959"/>
      <c r="J83" s="713">
        <f>$J$56-1</f>
        <v>2022</v>
      </c>
      <c r="K83" s="713">
        <f>$K$56-1</f>
        <v>2022</v>
      </c>
      <c r="L83" s="713">
        <f>$L$56-1</f>
        <v>2022</v>
      </c>
      <c r="M83" s="959"/>
      <c r="N83" s="713">
        <f>$N$56-1</f>
        <v>2021</v>
      </c>
      <c r="O83" s="713">
        <f>$O$56-1</f>
        <v>2021</v>
      </c>
      <c r="P83" s="959"/>
      <c r="Q83" s="713">
        <f>$Q$56-1</f>
        <v>2023</v>
      </c>
      <c r="R83" s="713">
        <f>$R$56-1</f>
        <v>2023</v>
      </c>
      <c r="S83" s="713">
        <f>$S$56-1</f>
        <v>2028</v>
      </c>
    </row>
    <row r="84" spans="2:19" x14ac:dyDescent="0.25">
      <c r="B84" s="314"/>
      <c r="C84" s="310" t="s">
        <v>673</v>
      </c>
      <c r="D84" s="310" t="s">
        <v>120</v>
      </c>
      <c r="E84" s="310" t="s">
        <v>751</v>
      </c>
      <c r="F84" s="310" t="s">
        <v>927</v>
      </c>
      <c r="G84" s="681">
        <f t="shared" si="10"/>
        <v>3228296.9772372423</v>
      </c>
      <c r="H84" s="310"/>
      <c r="J84" s="717">
        <f>J$64/365*J$70*HLOOKUP(J83,'Gas price scenarios'!$C$22:$Z$23,2,FALSE)</f>
        <v>47489189.693877555</v>
      </c>
      <c r="K84" s="717">
        <f>K$64/365*K$70*HLOOKUP(K83,'Gas price scenarios'!$C$22:$Z$23,2,FALSE)</f>
        <v>47489189.693877555</v>
      </c>
      <c r="L84" s="717">
        <f>L$64/365*L$70*HLOOKUP(L83,'Gas price scenarios'!$C$22:$Z$23,2,FALSE)</f>
        <v>47489189.693877555</v>
      </c>
      <c r="N84" s="717">
        <f>N$64/365*N$70*HLOOKUP(N83,'Gas price scenarios'!$C$22:$Z$23,2,FALSE)</f>
        <v>3228296.9772372423</v>
      </c>
      <c r="O84" s="717">
        <f>O$64/365*O$70*HLOOKUP(O83,'Gas price scenarios'!$C$22:$Z$23,2,FALSE)</f>
        <v>3228296.9772372423</v>
      </c>
      <c r="Q84" s="717">
        <f>Q$64/365*Q$70*HLOOKUP(Q83,'Gas price scenarios'!$C$22:$Z$23,2,FALSE)</f>
        <v>15856316.333519707</v>
      </c>
      <c r="R84" s="717">
        <f>R$64/365*R$70*HLOOKUP(R83,'Gas price scenarios'!$C$22:$Z$23,2,FALSE)</f>
        <v>15856316.333519707</v>
      </c>
      <c r="S84" s="717">
        <f>S$64/365*S$70*HLOOKUP(S83,'Gas price scenarios'!$C$22:$Z$23,2,FALSE)</f>
        <v>13591128.285874035</v>
      </c>
    </row>
    <row r="85" spans="2:19" x14ac:dyDescent="0.25">
      <c r="B85" s="314"/>
      <c r="C85" s="310" t="s">
        <v>673</v>
      </c>
      <c r="D85" s="325" t="s">
        <v>120</v>
      </c>
      <c r="E85" s="1316" t="s">
        <v>4</v>
      </c>
      <c r="F85" s="325" t="s">
        <v>926</v>
      </c>
      <c r="G85" s="681">
        <f t="shared" si="10"/>
        <v>17800000</v>
      </c>
      <c r="H85" s="326"/>
      <c r="I85" s="1102"/>
      <c r="J85" s="957">
        <v>0</v>
      </c>
      <c r="K85" s="957">
        <v>0</v>
      </c>
      <c r="L85" s="957">
        <v>0</v>
      </c>
      <c r="M85" s="1102"/>
      <c r="N85" s="679">
        <v>17800000</v>
      </c>
      <c r="O85" s="679">
        <v>17800000</v>
      </c>
      <c r="P85" s="1102"/>
      <c r="Q85" s="679">
        <v>17800000</v>
      </c>
      <c r="R85" s="679">
        <v>17800000</v>
      </c>
      <c r="S85" s="679">
        <v>17800000</v>
      </c>
    </row>
    <row r="86" spans="2:19" x14ac:dyDescent="0.25">
      <c r="B86" s="314"/>
      <c r="C86" s="325" t="s">
        <v>673</v>
      </c>
      <c r="D86" s="325" t="s">
        <v>120</v>
      </c>
      <c r="E86" s="325" t="s">
        <v>1582</v>
      </c>
      <c r="F86" s="325" t="s">
        <v>1528</v>
      </c>
      <c r="G86" s="957">
        <f t="shared" si="10"/>
        <v>1.9655400000000001</v>
      </c>
      <c r="H86" s="325"/>
      <c r="J86" s="957">
        <v>1.9655400000000001</v>
      </c>
      <c r="K86" s="957">
        <v>1.9655400000000001</v>
      </c>
      <c r="L86" s="957">
        <v>1.9655400000000001</v>
      </c>
      <c r="M86" s="1100"/>
      <c r="N86" s="957">
        <v>1.9655400000000001</v>
      </c>
      <c r="O86" s="957">
        <v>1.9655400000000001</v>
      </c>
      <c r="P86" s="1100"/>
      <c r="Q86" s="957">
        <v>1.9655400000000001</v>
      </c>
      <c r="R86" s="957">
        <v>1.9655400000000001</v>
      </c>
      <c r="S86" s="957">
        <v>1.9655400000000001</v>
      </c>
    </row>
    <row r="87" spans="2:19" x14ac:dyDescent="0.25">
      <c r="B87" s="314"/>
      <c r="C87" s="325" t="s">
        <v>673</v>
      </c>
      <c r="D87" s="325" t="s">
        <v>120</v>
      </c>
      <c r="E87" s="325" t="s">
        <v>1583</v>
      </c>
      <c r="F87" s="325" t="s">
        <v>1617</v>
      </c>
      <c r="G87" s="957">
        <f t="shared" si="10"/>
        <v>4.4000000000000004</v>
      </c>
      <c r="H87" s="325"/>
      <c r="J87" s="957">
        <v>4.4000000000000004</v>
      </c>
      <c r="K87" s="957">
        <v>4.4000000000000004</v>
      </c>
      <c r="L87" s="957">
        <v>4.4000000000000004</v>
      </c>
      <c r="M87" s="1100"/>
      <c r="N87" s="957">
        <v>4.4000000000000004</v>
      </c>
      <c r="O87" s="957">
        <v>4.4000000000000004</v>
      </c>
      <c r="P87" s="1100"/>
      <c r="Q87" s="957">
        <v>4.4000000000000004</v>
      </c>
      <c r="R87" s="957">
        <v>4.4000000000000004</v>
      </c>
      <c r="S87" s="957">
        <v>4.4000000000000004</v>
      </c>
    </row>
    <row r="88" spans="2:19" x14ac:dyDescent="0.25">
      <c r="B88" s="314"/>
      <c r="C88" s="325" t="s">
        <v>673</v>
      </c>
      <c r="D88" s="325" t="s">
        <v>120</v>
      </c>
      <c r="E88" s="325" t="s">
        <v>1584</v>
      </c>
      <c r="F88" s="325" t="s">
        <v>810</v>
      </c>
      <c r="G88" s="957">
        <f t="shared" si="10"/>
        <v>39.3108</v>
      </c>
      <c r="H88" s="325"/>
      <c r="J88" s="957">
        <f>J86*(J73-J72)</f>
        <v>62.897280000000002</v>
      </c>
      <c r="K88" s="957">
        <f>K86*(K73-K72)</f>
        <v>62.897280000000002</v>
      </c>
      <c r="L88" s="957">
        <f>L86*(L73-L72)</f>
        <v>62.897280000000002</v>
      </c>
      <c r="M88" s="1070"/>
      <c r="N88" s="957">
        <f>N86*(N73-N72)</f>
        <v>39.3108</v>
      </c>
      <c r="O88" s="957">
        <f>O86*(O73-O72)</f>
        <v>39.3108</v>
      </c>
      <c r="P88" s="1070"/>
      <c r="Q88" s="957">
        <f>Q86*(Q73-Q72)</f>
        <v>78.621600000000001</v>
      </c>
      <c r="R88" s="957">
        <f>R86*(R73-R72)</f>
        <v>78.621600000000001</v>
      </c>
      <c r="S88" s="957">
        <f>S86*(S73-S72)</f>
        <v>78.621600000000001</v>
      </c>
    </row>
    <row r="89" spans="2:19" x14ac:dyDescent="0.25">
      <c r="B89" s="314"/>
      <c r="C89" s="325" t="s">
        <v>673</v>
      </c>
      <c r="D89" s="325" t="s">
        <v>120</v>
      </c>
      <c r="E89" s="325" t="s">
        <v>1585</v>
      </c>
      <c r="F89" s="325" t="s">
        <v>112</v>
      </c>
      <c r="G89" s="957">
        <f t="shared" si="10"/>
        <v>88</v>
      </c>
      <c r="H89" s="325"/>
      <c r="J89" s="325">
        <f>J87*(J73-J72)</f>
        <v>140.80000000000001</v>
      </c>
      <c r="K89" s="325">
        <f>K87*(K73-K72)</f>
        <v>140.80000000000001</v>
      </c>
      <c r="L89" s="325">
        <f>L87*(L73-L72)</f>
        <v>140.80000000000001</v>
      </c>
      <c r="M89" s="1070"/>
      <c r="N89" s="325">
        <f>N87*(N73-N72)</f>
        <v>88</v>
      </c>
      <c r="O89" s="325">
        <f>O87*(O73-O72)</f>
        <v>88</v>
      </c>
      <c r="P89" s="1070"/>
      <c r="Q89" s="325">
        <f>Q87*(Q73-Q72)</f>
        <v>176</v>
      </c>
      <c r="R89" s="325">
        <f>R87*(R73-R72)</f>
        <v>176</v>
      </c>
      <c r="S89" s="325">
        <f>S87*(S73-S72)</f>
        <v>176</v>
      </c>
    </row>
    <row r="90" spans="2:19" x14ac:dyDescent="0.25">
      <c r="B90" s="314"/>
      <c r="C90" s="325" t="s">
        <v>673</v>
      </c>
      <c r="D90" s="325" t="s">
        <v>120</v>
      </c>
      <c r="E90" s="325" t="s">
        <v>1586</v>
      </c>
      <c r="F90" s="325" t="s">
        <v>1528</v>
      </c>
      <c r="G90" s="957">
        <f t="shared" si="10"/>
        <v>86.527784718772807</v>
      </c>
      <c r="H90" s="325"/>
      <c r="J90" s="957">
        <v>86.527784718772807</v>
      </c>
      <c r="K90" s="957">
        <v>86.527784718772807</v>
      </c>
      <c r="L90" s="957">
        <v>86.527784718772807</v>
      </c>
      <c r="M90" s="1070"/>
      <c r="N90" s="957">
        <v>86.527784718772807</v>
      </c>
      <c r="O90" s="957">
        <v>86.527784718772807</v>
      </c>
      <c r="P90" s="1070"/>
      <c r="Q90" s="957">
        <v>86.527784718772807</v>
      </c>
      <c r="R90" s="957">
        <v>86.527784718772807</v>
      </c>
      <c r="S90" s="957">
        <v>86.527784718772807</v>
      </c>
    </row>
    <row r="91" spans="2:19" x14ac:dyDescent="0.25">
      <c r="B91" s="314"/>
      <c r="C91" s="325" t="s">
        <v>673</v>
      </c>
      <c r="D91" s="325" t="s">
        <v>120</v>
      </c>
      <c r="E91" s="325" t="s">
        <v>1587</v>
      </c>
      <c r="F91" s="325" t="s">
        <v>1617</v>
      </c>
      <c r="G91" s="957">
        <f t="shared" si="10"/>
        <v>49.63963963963964</v>
      </c>
      <c r="H91" s="325"/>
      <c r="J91" s="957">
        <v>49.63963963963964</v>
      </c>
      <c r="K91" s="957">
        <v>49.63963963963964</v>
      </c>
      <c r="L91" s="957">
        <v>49.63963963963964</v>
      </c>
      <c r="M91" s="1070"/>
      <c r="N91" s="957">
        <v>49.63963963963964</v>
      </c>
      <c r="O91" s="957">
        <v>49.63963963963964</v>
      </c>
      <c r="P91" s="1070"/>
      <c r="Q91" s="957">
        <v>49.63963963963964</v>
      </c>
      <c r="R91" s="957">
        <v>49.63963963963964</v>
      </c>
      <c r="S91" s="957">
        <v>49.63963963963964</v>
      </c>
    </row>
    <row r="92" spans="2:19" x14ac:dyDescent="0.25">
      <c r="B92" s="314"/>
      <c r="C92" s="325" t="s">
        <v>673</v>
      </c>
      <c r="D92" s="325" t="s">
        <v>120</v>
      </c>
      <c r="E92" s="325" t="s">
        <v>1542</v>
      </c>
      <c r="F92" s="325" t="s">
        <v>1528</v>
      </c>
      <c r="G92" s="689">
        <f t="shared" si="10"/>
        <v>9.2831095406360422</v>
      </c>
      <c r="H92" s="325" t="s">
        <v>1544</v>
      </c>
      <c r="J92" s="689">
        <v>9.2831095406360422</v>
      </c>
      <c r="K92" s="689">
        <v>9.2831095406360422</v>
      </c>
      <c r="L92" s="689">
        <v>9.2831095406360422</v>
      </c>
      <c r="N92" s="689">
        <v>9.2831095406360422</v>
      </c>
      <c r="O92" s="689">
        <v>9.2831095406360422</v>
      </c>
      <c r="Q92" s="689">
        <v>9.2831095406360422</v>
      </c>
      <c r="R92" s="689">
        <v>9.2831095406360422</v>
      </c>
      <c r="S92" s="689">
        <v>9.2831095406360422</v>
      </c>
    </row>
    <row r="93" spans="2:19" x14ac:dyDescent="0.25">
      <c r="B93" s="314"/>
      <c r="C93" s="325" t="s">
        <v>673</v>
      </c>
      <c r="D93" s="325" t="s">
        <v>120</v>
      </c>
      <c r="E93" s="325" t="s">
        <v>1543</v>
      </c>
      <c r="F93" s="325" t="s">
        <v>886</v>
      </c>
      <c r="G93" s="689">
        <f t="shared" si="10"/>
        <v>0.65073059234615382</v>
      </c>
      <c r="H93" s="325" t="s">
        <v>1545</v>
      </c>
      <c r="J93" s="689">
        <v>0.65073059234615382</v>
      </c>
      <c r="K93" s="689">
        <v>0.65073059234615382</v>
      </c>
      <c r="L93" s="689">
        <v>0.65073059234615382</v>
      </c>
      <c r="N93" s="689">
        <v>0.65073059234615382</v>
      </c>
      <c r="O93" s="689">
        <v>0.65073059234615382</v>
      </c>
      <c r="Q93" s="689">
        <v>0.65073059234615382</v>
      </c>
      <c r="R93" s="689">
        <v>0.65073059234615382</v>
      </c>
      <c r="S93" s="689">
        <v>0.65073059234615382</v>
      </c>
    </row>
    <row r="94" spans="2:19" x14ac:dyDescent="0.25">
      <c r="B94" s="314"/>
      <c r="C94" s="325" t="s">
        <v>673</v>
      </c>
      <c r="D94" s="325" t="s">
        <v>120</v>
      </c>
      <c r="E94" s="325" t="s">
        <v>1546</v>
      </c>
      <c r="F94" s="325" t="s">
        <v>810</v>
      </c>
      <c r="G94" s="689">
        <f t="shared" si="10"/>
        <v>185.66219081272084</v>
      </c>
      <c r="H94" s="325"/>
      <c r="J94" s="957">
        <f>J92*(J73-J72)</f>
        <v>297.05950530035335</v>
      </c>
      <c r="K94" s="957">
        <f>K92*(K73-K72)</f>
        <v>297.05950530035335</v>
      </c>
      <c r="L94" s="957">
        <f>L92*(L73-L72)</f>
        <v>297.05950530035335</v>
      </c>
      <c r="M94" s="1100"/>
      <c r="N94" s="957">
        <f>N92*(N73-N72)</f>
        <v>185.66219081272084</v>
      </c>
      <c r="O94" s="957">
        <f>O92*(O73-O72)</f>
        <v>185.66219081272084</v>
      </c>
      <c r="P94" s="1100"/>
      <c r="Q94" s="957">
        <f>Q92*(Q73-Q72)</f>
        <v>371.32438162544167</v>
      </c>
      <c r="R94" s="957">
        <f>R92*(R73-R72)</f>
        <v>371.32438162544167</v>
      </c>
      <c r="S94" s="957">
        <f>S92*(S73-S72)</f>
        <v>371.32438162544167</v>
      </c>
    </row>
    <row r="95" spans="2:19" x14ac:dyDescent="0.25">
      <c r="B95" s="314"/>
      <c r="C95" s="325" t="s">
        <v>673</v>
      </c>
      <c r="D95" s="325" t="s">
        <v>120</v>
      </c>
      <c r="E95" s="325" t="s">
        <v>1547</v>
      </c>
      <c r="F95" s="325" t="s">
        <v>112</v>
      </c>
      <c r="G95" s="689">
        <f t="shared" si="10"/>
        <v>13.014611846923076</v>
      </c>
      <c r="H95" s="325"/>
      <c r="J95" s="957">
        <f>J93*(J73-J72)</f>
        <v>20.823378955076922</v>
      </c>
      <c r="K95" s="957">
        <f>K93*(K73-K72)</f>
        <v>20.823378955076922</v>
      </c>
      <c r="L95" s="957">
        <f>L93*(L73-L72)</f>
        <v>20.823378955076922</v>
      </c>
      <c r="M95" s="1100"/>
      <c r="N95" s="957">
        <f>N93*(N73-N72)</f>
        <v>13.014611846923076</v>
      </c>
      <c r="O95" s="957">
        <f>O93*(O73-O72)</f>
        <v>13.014611846923076</v>
      </c>
      <c r="P95" s="1100"/>
      <c r="Q95" s="957">
        <f>Q93*(Q73-Q72)</f>
        <v>26.029223693846152</v>
      </c>
      <c r="R95" s="957">
        <f>R93*(R73-R72)</f>
        <v>26.029223693846152</v>
      </c>
      <c r="S95" s="957">
        <f>S93*(S73-S72)</f>
        <v>26.029223693846152</v>
      </c>
    </row>
    <row r="96" spans="2:19" s="959" customFormat="1" x14ac:dyDescent="0.25">
      <c r="B96" s="1206"/>
      <c r="C96" s="1188" t="s">
        <v>673</v>
      </c>
      <c r="D96" s="1188" t="s">
        <v>543</v>
      </c>
      <c r="E96" s="1316" t="s">
        <v>1698</v>
      </c>
      <c r="F96" s="1188" t="s">
        <v>562</v>
      </c>
      <c r="G96" s="1188">
        <f t="shared" si="10"/>
        <v>0</v>
      </c>
      <c r="H96" s="326"/>
      <c r="J96" s="963">
        <v>0</v>
      </c>
      <c r="K96" s="963">
        <v>0</v>
      </c>
      <c r="L96" s="963">
        <v>0</v>
      </c>
      <c r="M96" s="1293"/>
      <c r="N96" s="963">
        <v>0</v>
      </c>
      <c r="O96" s="963">
        <v>0</v>
      </c>
      <c r="P96" s="1293"/>
      <c r="Q96" s="963">
        <v>0</v>
      </c>
      <c r="R96" s="963">
        <v>0</v>
      </c>
      <c r="S96" s="1294">
        <v>30000000</v>
      </c>
    </row>
    <row r="97" spans="2:19" x14ac:dyDescent="0.25">
      <c r="B97" s="314"/>
      <c r="C97" s="325" t="s">
        <v>673</v>
      </c>
      <c r="D97" s="325" t="s">
        <v>543</v>
      </c>
      <c r="E97" s="325" t="s">
        <v>4</v>
      </c>
      <c r="F97" s="325" t="s">
        <v>1624</v>
      </c>
      <c r="G97" s="689">
        <f t="shared" si="10"/>
        <v>0</v>
      </c>
      <c r="H97" s="325"/>
      <c r="J97" s="1114">
        <v>0</v>
      </c>
      <c r="K97" s="1114">
        <v>0</v>
      </c>
      <c r="L97" s="1114">
        <v>0</v>
      </c>
      <c r="M97" s="1115"/>
      <c r="N97" s="1114">
        <v>0</v>
      </c>
      <c r="O97" s="1114">
        <v>0</v>
      </c>
      <c r="P97" s="1115"/>
      <c r="Q97" s="1114">
        <v>1.6E-2</v>
      </c>
      <c r="R97" s="1114">
        <v>1.6E-2</v>
      </c>
      <c r="S97" s="1114">
        <v>1.6E-2</v>
      </c>
    </row>
    <row r="98" spans="2:19" x14ac:dyDescent="0.25">
      <c r="B98" s="314"/>
      <c r="C98" s="325" t="s">
        <v>673</v>
      </c>
      <c r="D98" s="325" t="s">
        <v>1432</v>
      </c>
      <c r="E98" s="325" t="s">
        <v>1433</v>
      </c>
      <c r="F98" s="325" t="s">
        <v>1437</v>
      </c>
      <c r="G98" s="681" t="b">
        <f>IF(LEN(HLOOKUP($D$6,$J$9:$DG$485,ROW()-ROW($G$9)+1,FALSE))&lt;&gt;0,HLOOKUP($D$6,$J$9:$DG$485,ROW()-ROW($G$9)+1,FALSE),"")</f>
        <v>1</v>
      </c>
      <c r="H98" s="325"/>
      <c r="J98" s="325" t="b">
        <f>TRUE</f>
        <v>1</v>
      </c>
      <c r="K98" s="325" t="b">
        <f>TRUE</f>
        <v>1</v>
      </c>
      <c r="L98" s="325" t="b">
        <f>TRUE</f>
        <v>1</v>
      </c>
      <c r="M98" s="1070"/>
      <c r="N98" s="325" t="b">
        <f>TRUE</f>
        <v>1</v>
      </c>
      <c r="O98" s="325" t="b">
        <f>TRUE</f>
        <v>1</v>
      </c>
      <c r="P98" s="1070"/>
      <c r="Q98" s="325" t="b">
        <f>TRUE</f>
        <v>1</v>
      </c>
      <c r="R98" s="325" t="b">
        <f>TRUE</f>
        <v>1</v>
      </c>
      <c r="S98" s="325" t="b">
        <f>TRUE</f>
        <v>1</v>
      </c>
    </row>
    <row r="99" spans="2:19" x14ac:dyDescent="0.25">
      <c r="B99" s="314"/>
      <c r="C99" s="325" t="s">
        <v>673</v>
      </c>
      <c r="D99" s="325" t="s">
        <v>1432</v>
      </c>
      <c r="E99" s="325" t="s">
        <v>1434</v>
      </c>
      <c r="F99" s="325" t="s">
        <v>1437</v>
      </c>
      <c r="G99" s="982" t="b">
        <f t="shared" ref="G99:G106" si="11">IF(LEN(HLOOKUP($D$6,$J$9:$DG$474,ROW()-ROW($G$9)+1,FALSE))&lt;&gt;0,HLOOKUP($D$6,$J$9:$DG$474,ROW()-ROW($G$9)+1,FALSE),"")</f>
        <v>0</v>
      </c>
      <c r="H99" s="325"/>
      <c r="J99" s="325" t="b">
        <f>IF(J$57&lt;MAX(J$109,J$258,J$379),FALSE,TRUE)</f>
        <v>0</v>
      </c>
      <c r="K99" s="325" t="b">
        <f>IF(K$57&lt;MAX(K$109,K$258,K$379),FALSE,TRUE)</f>
        <v>0</v>
      </c>
      <c r="L99" s="325" t="b">
        <f>IF(L$57&lt;MAX(L$109,L$258,L$379),FALSE,TRUE)</f>
        <v>0</v>
      </c>
      <c r="M99" s="1070"/>
      <c r="N99" s="325" t="b">
        <f>IF(N$57&lt;MAX(N$109,N$258,N$379),FALSE,TRUE)</f>
        <v>0</v>
      </c>
      <c r="O99" s="325" t="b">
        <f>IF(O$57&lt;MAX(O$109,O$258,O$379),FALSE,TRUE)</f>
        <v>0</v>
      </c>
      <c r="P99" s="1070"/>
      <c r="Q99" s="325" t="b">
        <f>IF(Q$57&lt;MAX(Q$109,Q$258,Q$379),FALSE,TRUE)</f>
        <v>1</v>
      </c>
      <c r="R99" s="325" t="b">
        <f>IF(R$57&lt;MAX(R$109,R$258,R$379),FALSE,TRUE)</f>
        <v>1</v>
      </c>
      <c r="S99" s="325" t="b">
        <f>IF(S$57&lt;MAX(S$109,S$258,S$379),FALSE,TRUE)</f>
        <v>1</v>
      </c>
    </row>
    <row r="100" spans="2:19" x14ac:dyDescent="0.25">
      <c r="B100" s="314"/>
      <c r="C100" s="325" t="s">
        <v>673</v>
      </c>
      <c r="D100" s="325" t="s">
        <v>1432</v>
      </c>
      <c r="E100" s="325" t="s">
        <v>1435</v>
      </c>
      <c r="F100" s="325" t="s">
        <v>1437</v>
      </c>
      <c r="G100" s="687" t="b">
        <f t="shared" si="11"/>
        <v>0</v>
      </c>
      <c r="H100" s="325"/>
      <c r="J100" s="325" t="b">
        <f>IF(J105&gt;0,TRUE,FALSE)</f>
        <v>0</v>
      </c>
      <c r="K100" s="325" t="b">
        <f t="shared" ref="K100:L100" si="12">IF(K105&gt;0,TRUE,FALSE)</f>
        <v>0</v>
      </c>
      <c r="L100" s="325" t="b">
        <f t="shared" si="12"/>
        <v>0</v>
      </c>
      <c r="M100" s="1070"/>
      <c r="N100" s="325" t="b">
        <f>IF(N105&gt;0,TRUE,FALSE)</f>
        <v>0</v>
      </c>
      <c r="O100" s="325" t="b">
        <f t="shared" ref="O100" si="13">IF(O105&gt;0,TRUE,FALSE)</f>
        <v>0</v>
      </c>
      <c r="P100" s="1070"/>
      <c r="Q100" s="325" t="b">
        <f>IF(Q105&gt;0,TRUE,FALSE)</f>
        <v>0</v>
      </c>
      <c r="R100" s="325" t="b">
        <f t="shared" ref="R100:S100" si="14">IF(R105&gt;0,TRUE,FALSE)</f>
        <v>0</v>
      </c>
      <c r="S100" s="325" t="b">
        <f t="shared" si="14"/>
        <v>0</v>
      </c>
    </row>
    <row r="101" spans="2:19" x14ac:dyDescent="0.25">
      <c r="B101" s="314"/>
      <c r="C101" s="325" t="s">
        <v>673</v>
      </c>
      <c r="D101" s="325" t="s">
        <v>1432</v>
      </c>
      <c r="E101" s="325" t="s">
        <v>1436</v>
      </c>
      <c r="F101" s="325" t="s">
        <v>1437</v>
      </c>
      <c r="G101" s="687" t="b">
        <f t="shared" si="11"/>
        <v>0</v>
      </c>
      <c r="H101" s="325"/>
      <c r="J101" s="325" t="b">
        <f>IF(J102,IF(J57&gt;MAX(J110,J258,J379),TRUE,FALSE),IF(J106&gt;0,TRUE,FALSE))</f>
        <v>0</v>
      </c>
      <c r="K101" s="325" t="b">
        <f>IF(K102,IF(K57&gt;MAX(K110,K258,K379),TRUE,FALSE),IF(K106&gt;0,TRUE,FALSE))</f>
        <v>0</v>
      </c>
      <c r="L101" s="325" t="b">
        <f>IF(L102,IF(L57&gt;MAX(L110,L258,L379),TRUE,FALSE),IF(L106&gt;0,TRUE,FALSE))</f>
        <v>0</v>
      </c>
      <c r="M101" s="1070"/>
      <c r="N101" s="325" t="b">
        <f>IF(N102,IF(N57&gt;MAX(N110,N258,N379),TRUE,FALSE),IF(N106&gt;0,TRUE,FALSE))</f>
        <v>0</v>
      </c>
      <c r="O101" s="325" t="b">
        <f>IF(O102,IF(O57&gt;MAX(O110,O258,O379),TRUE,FALSE),IF(O106&gt;0,TRUE,FALSE))</f>
        <v>0</v>
      </c>
      <c r="P101" s="1070"/>
      <c r="Q101" s="325" t="b">
        <f>IF(Q102,IF(Q57&gt;MAX(Q110,Q258,Q379),TRUE,FALSE),IF(Q106&gt;0,TRUE,FALSE))</f>
        <v>0</v>
      </c>
      <c r="R101" s="325" t="b">
        <f>IF(R102,IF(R57&gt;MAX(R110,R258,R379),TRUE,FALSE),IF(R106&gt;0,TRUE,FALSE))</f>
        <v>0</v>
      </c>
      <c r="S101" s="325" t="b">
        <f>IF(S102,IF(S57&gt;MAX(S110,S258,S379),TRUE,FALSE),IF(S106&gt;0,TRUE,FALSE))</f>
        <v>0</v>
      </c>
    </row>
    <row r="102" spans="2:19" x14ac:dyDescent="0.25">
      <c r="B102" s="314"/>
      <c r="C102" s="325" t="s">
        <v>673</v>
      </c>
      <c r="D102" s="325" t="s">
        <v>1432</v>
      </c>
      <c r="E102" s="325" t="s">
        <v>1438</v>
      </c>
      <c r="F102" s="325" t="s">
        <v>1437</v>
      </c>
      <c r="G102" s="687" t="b">
        <f t="shared" si="11"/>
        <v>1</v>
      </c>
      <c r="H102" s="325"/>
      <c r="J102" s="325" t="b">
        <v>1</v>
      </c>
      <c r="K102" s="325" t="b">
        <v>1</v>
      </c>
      <c r="L102" s="325" t="b">
        <v>1</v>
      </c>
      <c r="M102" s="1070"/>
      <c r="N102" s="325" t="b">
        <v>1</v>
      </c>
      <c r="O102" s="325" t="b">
        <v>1</v>
      </c>
      <c r="P102" s="1070"/>
      <c r="Q102" s="325" t="b">
        <v>1</v>
      </c>
      <c r="R102" s="325" t="b">
        <v>1</v>
      </c>
      <c r="S102" s="325" t="b">
        <v>1</v>
      </c>
    </row>
    <row r="103" spans="2:19" x14ac:dyDescent="0.25">
      <c r="B103" s="314"/>
      <c r="C103" s="325" t="s">
        <v>673</v>
      </c>
      <c r="D103" s="325" t="s">
        <v>1432</v>
      </c>
      <c r="E103" s="325" t="s">
        <v>1566</v>
      </c>
      <c r="F103" s="325" t="s">
        <v>757</v>
      </c>
      <c r="G103" s="687">
        <f t="shared" si="11"/>
        <v>10</v>
      </c>
      <c r="H103" s="325"/>
      <c r="J103" s="331">
        <f>VLOOKUP(J26,'DATABASE CO2 STORAGE'!$C$3:$U$6,MATCH($E$103,'DATABASE CO2 STORAGE'!$C$3:$U$3,0),FALSE)</f>
        <v>10</v>
      </c>
      <c r="K103" s="331">
        <f>VLOOKUP(K26,'DATABASE CO2 STORAGE'!$C$3:$U$6,MATCH($E$103,'DATABASE CO2 STORAGE'!$C$3:$U$3,0),FALSE)</f>
        <v>10</v>
      </c>
      <c r="L103" s="331">
        <f>VLOOKUP(L26,'DATABASE CO2 STORAGE'!$C$3:$U$6,MATCH($E$103,'DATABASE CO2 STORAGE'!$C$3:$U$3,0),FALSE)</f>
        <v>10</v>
      </c>
      <c r="M103" s="1071"/>
      <c r="N103" s="331">
        <f>VLOOKUP(N26,'DATABASE CO2 STORAGE'!$C$3:$U$6,MATCH($E$103,'DATABASE CO2 STORAGE'!$C$3:$U$3,0),FALSE)</f>
        <v>10</v>
      </c>
      <c r="O103" s="331">
        <f>VLOOKUP(O26,'DATABASE CO2 STORAGE'!$C$3:$U$6,MATCH($E$103,'DATABASE CO2 STORAGE'!$C$3:$U$3,0),FALSE)</f>
        <v>10</v>
      </c>
      <c r="P103" s="1071"/>
      <c r="Q103" s="331">
        <f>VLOOKUP(Q26,'DATABASE CO2 STORAGE'!$C$3:$U$6,MATCH($E$103,'DATABASE CO2 STORAGE'!$C$3:$U$3,0),FALSE)</f>
        <v>8</v>
      </c>
      <c r="R103" s="331">
        <f>VLOOKUP(R26,'DATABASE CO2 STORAGE'!$C$3:$U$6,MATCH($E$103,'DATABASE CO2 STORAGE'!$C$3:$U$3,0),FALSE)</f>
        <v>8</v>
      </c>
      <c r="S103" s="331">
        <f>VLOOKUP(S26,'DATABASE CO2 STORAGE'!$C$3:$U$6,MATCH($E$103,'DATABASE CO2 STORAGE'!$C$3:$U$3,0),FALSE)</f>
        <v>8</v>
      </c>
    </row>
    <row r="104" spans="2:19" x14ac:dyDescent="0.25">
      <c r="B104" s="314"/>
      <c r="C104" s="325" t="s">
        <v>673</v>
      </c>
      <c r="D104" s="325" t="s">
        <v>1432</v>
      </c>
      <c r="E104" s="325" t="s">
        <v>1440</v>
      </c>
      <c r="F104" s="325" t="s">
        <v>757</v>
      </c>
      <c r="G104" s="687">
        <f t="shared" si="11"/>
        <v>10</v>
      </c>
      <c r="H104" s="325"/>
      <c r="J104" s="331">
        <f>J103</f>
        <v>10</v>
      </c>
      <c r="K104" s="331">
        <f t="shared" ref="K104:L104" si="15">K103</f>
        <v>10</v>
      </c>
      <c r="L104" s="331">
        <f t="shared" si="15"/>
        <v>10</v>
      </c>
      <c r="M104" s="1071"/>
      <c r="N104" s="331">
        <f>N103</f>
        <v>10</v>
      </c>
      <c r="O104" s="331">
        <f t="shared" ref="O104" si="16">O103</f>
        <v>10</v>
      </c>
      <c r="P104" s="1071"/>
      <c r="Q104" s="331">
        <f>Q103</f>
        <v>8</v>
      </c>
      <c r="R104" s="331">
        <f t="shared" ref="R104:S104" si="17">R103</f>
        <v>8</v>
      </c>
      <c r="S104" s="331">
        <f t="shared" si="17"/>
        <v>8</v>
      </c>
    </row>
    <row r="105" spans="2:19" x14ac:dyDescent="0.25">
      <c r="B105" s="314"/>
      <c r="C105" s="325" t="s">
        <v>673</v>
      </c>
      <c r="D105" s="325" t="s">
        <v>1432</v>
      </c>
      <c r="E105" s="325" t="s">
        <v>1441</v>
      </c>
      <c r="F105" s="325" t="s">
        <v>757</v>
      </c>
      <c r="G105" s="687">
        <f t="shared" si="11"/>
        <v>0</v>
      </c>
      <c r="H105" s="325"/>
      <c r="J105" s="983">
        <f>IF(AND(J208&gt;0,J104-J207&lt;0),IF(J34,J104,0),J104-J207+J208)</f>
        <v>0</v>
      </c>
      <c r="K105" s="983">
        <f>IF(AND(K208&gt;0,K104-K207&lt;0),IF(K34,K104,0),K104-K207+K208)</f>
        <v>0</v>
      </c>
      <c r="L105" s="983">
        <f>IF(AND(L208&gt;0,L104-L207&lt;0),IF(L34,L104,0),L104-L207+L208)</f>
        <v>0</v>
      </c>
      <c r="M105" s="1072"/>
      <c r="N105" s="983">
        <f>IF(AND(N208&gt;0,N104-N207&lt;0),IF(N34,N104,0),N104-N207+N208)</f>
        <v>0</v>
      </c>
      <c r="O105" s="983">
        <f>IF(AND(O208&gt;0,O104-O207&lt;0),IF(O34,O104,0),O104-O207+O208)</f>
        <v>0</v>
      </c>
      <c r="P105" s="1072"/>
      <c r="Q105" s="983">
        <f>IF(AND(Q208&gt;0,Q104-Q207&lt;0),IF(Q34,Q104,0),Q104-Q207+Q208)</f>
        <v>-2</v>
      </c>
      <c r="R105" s="983">
        <f>IF(AND(R208&gt;0,R104-R207&lt;0),IF(R34,R104,0),R104-R207+R208)</f>
        <v>-2</v>
      </c>
      <c r="S105" s="983">
        <f>IF(AND(S208&gt;0,S104-S207&lt;0),IF(S34,S104,0),S104-S207+S208)</f>
        <v>-2</v>
      </c>
    </row>
    <row r="106" spans="2:19" x14ac:dyDescent="0.25">
      <c r="B106" s="314"/>
      <c r="C106" s="325" t="s">
        <v>673</v>
      </c>
      <c r="D106" s="325" t="s">
        <v>1432</v>
      </c>
      <c r="E106" s="325" t="s">
        <v>1439</v>
      </c>
      <c r="F106" s="325" t="s">
        <v>1271</v>
      </c>
      <c r="G106" s="960">
        <f t="shared" si="11"/>
        <v>0</v>
      </c>
      <c r="H106" s="901" t="s">
        <v>1618</v>
      </c>
      <c r="I106" s="962"/>
      <c r="J106" s="901">
        <v>0</v>
      </c>
      <c r="K106" s="901">
        <v>0</v>
      </c>
      <c r="L106" s="901">
        <v>0</v>
      </c>
      <c r="M106" s="1295"/>
      <c r="N106" s="901">
        <v>0</v>
      </c>
      <c r="O106" s="901">
        <v>0</v>
      </c>
      <c r="P106" s="1295"/>
      <c r="Q106" s="901">
        <v>0</v>
      </c>
      <c r="R106" s="901">
        <v>0</v>
      </c>
      <c r="S106" s="901">
        <v>0</v>
      </c>
    </row>
    <row r="107" spans="2:19" x14ac:dyDescent="0.25">
      <c r="B107" s="314"/>
      <c r="C107" s="310" t="s">
        <v>673</v>
      </c>
      <c r="D107" s="310" t="s">
        <v>1432</v>
      </c>
      <c r="E107" s="310"/>
      <c r="F107" s="310"/>
      <c r="G107" s="687" t="str">
        <f t="shared" ref="G107:G138" si="18">IF(LEN(HLOOKUP($D$6,$J$9:$DG$501,ROW()-ROW($G$9)+1,FALSE))&lt;&gt;0,HLOOKUP($D$6,$J$9:$DG$501,ROW()-ROW($G$9)+1,FALSE),"")</f>
        <v/>
      </c>
      <c r="H107" s="310"/>
      <c r="J107" s="310"/>
      <c r="K107" s="310"/>
      <c r="L107" s="325"/>
      <c r="N107" s="310"/>
      <c r="O107" s="310"/>
      <c r="Q107" s="310"/>
      <c r="R107" s="310"/>
      <c r="S107" s="325"/>
    </row>
    <row r="108" spans="2:19" x14ac:dyDescent="0.25">
      <c r="B108" s="315"/>
      <c r="C108" s="310" t="s">
        <v>674</v>
      </c>
      <c r="D108" s="310" t="s">
        <v>812</v>
      </c>
      <c r="E108" s="310" t="s">
        <v>548</v>
      </c>
      <c r="F108" s="310" t="s">
        <v>757</v>
      </c>
      <c r="G108" s="349">
        <f t="shared" si="18"/>
        <v>2031</v>
      </c>
      <c r="H108" s="310"/>
      <c r="J108" s="1319">
        <f>Scenarios!F13</f>
        <v>2024</v>
      </c>
      <c r="K108" s="1319">
        <f>Scenarios!F45</f>
        <v>2024</v>
      </c>
      <c r="L108" s="1319">
        <f>Scenarios!F78</f>
        <v>0</v>
      </c>
      <c r="M108" s="962"/>
      <c r="N108" s="1319">
        <f>Scenarios!F110</f>
        <v>2031</v>
      </c>
      <c r="O108" s="1319">
        <f>Scenarios!F144</f>
        <v>2030</v>
      </c>
      <c r="P108" s="962"/>
      <c r="Q108" s="1319">
        <f>Scenarios!$F$210</f>
        <v>2028</v>
      </c>
      <c r="R108" s="1319">
        <f>Scenarios!$F$243</f>
        <v>2032</v>
      </c>
      <c r="S108" s="1319">
        <f>Scenarios!$F$276</f>
        <v>2028</v>
      </c>
    </row>
    <row r="109" spans="2:19" x14ac:dyDescent="0.25">
      <c r="B109" s="315"/>
      <c r="C109" s="310" t="s">
        <v>674</v>
      </c>
      <c r="D109" s="310" t="s">
        <v>812</v>
      </c>
      <c r="E109" s="310" t="s">
        <v>549</v>
      </c>
      <c r="F109" s="310" t="s">
        <v>757</v>
      </c>
      <c r="G109" s="349">
        <f t="shared" si="18"/>
        <v>2033</v>
      </c>
      <c r="H109" s="310"/>
      <c r="J109" s="1319">
        <f>Scenarios!F14</f>
        <v>2028</v>
      </c>
      <c r="K109" s="1319">
        <f>Scenarios!F46</f>
        <v>2028</v>
      </c>
      <c r="L109" s="1319">
        <f>Scenarios!F79</f>
        <v>0</v>
      </c>
      <c r="M109" s="962"/>
      <c r="N109" s="1319">
        <f>Scenarios!F111</f>
        <v>2033</v>
      </c>
      <c r="O109" s="1319">
        <f>Scenarios!F145</f>
        <v>2031</v>
      </c>
      <c r="P109" s="962"/>
      <c r="Q109" s="1319">
        <f>Scenarios!$F$211</f>
        <v>2029</v>
      </c>
      <c r="R109" s="1319">
        <f>Scenarios!$F$244</f>
        <v>2033</v>
      </c>
      <c r="S109" s="1319">
        <f>Scenarios!$F$277</f>
        <v>2029</v>
      </c>
    </row>
    <row r="110" spans="2:19" x14ac:dyDescent="0.25">
      <c r="B110" s="315"/>
      <c r="C110" s="310" t="s">
        <v>674</v>
      </c>
      <c r="D110" s="310" t="s">
        <v>812</v>
      </c>
      <c r="E110" s="310" t="s">
        <v>1386</v>
      </c>
      <c r="F110" s="310" t="s">
        <v>757</v>
      </c>
      <c r="G110" s="349">
        <f t="shared" si="18"/>
        <v>2048</v>
      </c>
      <c r="H110" s="310"/>
      <c r="J110" s="1319">
        <f>Scenarios!F15</f>
        <v>2053</v>
      </c>
      <c r="K110" s="1319">
        <f>Scenarios!F47</f>
        <v>2060</v>
      </c>
      <c r="L110" s="1319">
        <f>Scenarios!F80</f>
        <v>0</v>
      </c>
      <c r="M110" s="962"/>
      <c r="N110" s="1319">
        <f>Scenarios!F112</f>
        <v>2048</v>
      </c>
      <c r="O110" s="1319">
        <f>Scenarios!F146</f>
        <v>2050</v>
      </c>
      <c r="P110" s="962"/>
      <c r="Q110" s="1319">
        <f>Scenarios!F212</f>
        <v>2049</v>
      </c>
      <c r="R110" s="1319">
        <f>Scenarios!F245</f>
        <v>2053</v>
      </c>
      <c r="S110" s="1319">
        <f>Scenarios!F278</f>
        <v>2049</v>
      </c>
    </row>
    <row r="111" spans="2:19" x14ac:dyDescent="0.25">
      <c r="B111" s="315"/>
      <c r="C111" s="310" t="s">
        <v>674</v>
      </c>
      <c r="D111" s="310" t="s">
        <v>812</v>
      </c>
      <c r="E111" s="310" t="s">
        <v>616</v>
      </c>
      <c r="F111" s="310" t="s">
        <v>615</v>
      </c>
      <c r="G111" s="328">
        <f t="shared" si="18"/>
        <v>50</v>
      </c>
      <c r="H111" s="310"/>
      <c r="J111" s="328">
        <v>50</v>
      </c>
      <c r="K111" s="328">
        <v>50</v>
      </c>
      <c r="L111" s="328">
        <v>50</v>
      </c>
      <c r="N111" s="328">
        <v>50</v>
      </c>
      <c r="O111" s="328">
        <v>50</v>
      </c>
      <c r="Q111" s="328">
        <v>50</v>
      </c>
      <c r="R111" s="328">
        <v>50</v>
      </c>
      <c r="S111" s="328">
        <v>50</v>
      </c>
    </row>
    <row r="112" spans="2:19" x14ac:dyDescent="0.25">
      <c r="B112" s="315"/>
      <c r="C112" s="310" t="s">
        <v>674</v>
      </c>
      <c r="D112" s="310" t="s">
        <v>812</v>
      </c>
      <c r="E112" s="310" t="s">
        <v>617</v>
      </c>
      <c r="F112" s="310" t="s">
        <v>615</v>
      </c>
      <c r="G112" s="328">
        <f t="shared" si="18"/>
        <v>55.5</v>
      </c>
      <c r="H112" s="310"/>
      <c r="J112" s="328">
        <v>55.5</v>
      </c>
      <c r="K112" s="328">
        <v>55.5</v>
      </c>
      <c r="L112" s="328">
        <v>55.5</v>
      </c>
      <c r="N112" s="328">
        <v>55.5</v>
      </c>
      <c r="O112" s="328">
        <v>55.5</v>
      </c>
      <c r="Q112" s="328">
        <v>55.5</v>
      </c>
      <c r="R112" s="328">
        <v>55.5</v>
      </c>
      <c r="S112" s="328">
        <v>55.5</v>
      </c>
    </row>
    <row r="113" spans="2:19" x14ac:dyDescent="0.25">
      <c r="B113" s="315"/>
      <c r="C113" s="310" t="s">
        <v>674</v>
      </c>
      <c r="D113" s="310" t="s">
        <v>812</v>
      </c>
      <c r="E113" s="310" t="s">
        <v>618</v>
      </c>
      <c r="F113" s="310" t="s">
        <v>779</v>
      </c>
      <c r="G113" s="328">
        <f t="shared" si="18"/>
        <v>16.042000000000002</v>
      </c>
      <c r="H113" s="310"/>
      <c r="J113" s="328">
        <f>12.01+4*1.008</f>
        <v>16.042000000000002</v>
      </c>
      <c r="K113" s="328">
        <f>12.01+4*1.008</f>
        <v>16.042000000000002</v>
      </c>
      <c r="L113" s="328">
        <f>12.01+4*1.008</f>
        <v>16.042000000000002</v>
      </c>
      <c r="N113" s="328">
        <f>12.01+4*1.008</f>
        <v>16.042000000000002</v>
      </c>
      <c r="O113" s="328">
        <f>12.01+4*1.008</f>
        <v>16.042000000000002</v>
      </c>
      <c r="Q113" s="328">
        <f>12.01+4*1.008</f>
        <v>16.042000000000002</v>
      </c>
      <c r="R113" s="328">
        <f>12.01+4*1.008</f>
        <v>16.042000000000002</v>
      </c>
      <c r="S113" s="328">
        <f>12.01+4*1.008</f>
        <v>16.042000000000002</v>
      </c>
    </row>
    <row r="114" spans="2:19" x14ac:dyDescent="0.25">
      <c r="B114" s="315"/>
      <c r="C114" s="310" t="s">
        <v>674</v>
      </c>
      <c r="D114" s="310" t="s">
        <v>812</v>
      </c>
      <c r="E114" s="310" t="s">
        <v>866</v>
      </c>
      <c r="F114" s="310" t="s">
        <v>784</v>
      </c>
      <c r="G114" s="328">
        <f t="shared" si="18"/>
        <v>0.65600000000000003</v>
      </c>
      <c r="H114" s="310"/>
      <c r="J114" s="328">
        <v>0.65600000000000003</v>
      </c>
      <c r="K114" s="328">
        <v>0.65600000000000003</v>
      </c>
      <c r="L114" s="328">
        <v>0.65600000000000003</v>
      </c>
      <c r="N114" s="328">
        <v>0.65600000000000003</v>
      </c>
      <c r="O114" s="328">
        <v>0.65600000000000003</v>
      </c>
      <c r="Q114" s="328">
        <v>0.65600000000000003</v>
      </c>
      <c r="R114" s="328">
        <v>0.65600000000000003</v>
      </c>
      <c r="S114" s="328">
        <v>0.65600000000000003</v>
      </c>
    </row>
    <row r="115" spans="2:19" x14ac:dyDescent="0.25">
      <c r="B115" s="315"/>
      <c r="C115" s="310" t="s">
        <v>674</v>
      </c>
      <c r="D115" s="310" t="s">
        <v>812</v>
      </c>
      <c r="E115" s="310" t="s">
        <v>630</v>
      </c>
      <c r="F115" s="310" t="s">
        <v>1616</v>
      </c>
      <c r="G115" s="328">
        <f t="shared" si="18"/>
        <v>5</v>
      </c>
      <c r="H115" s="310" t="s">
        <v>760</v>
      </c>
      <c r="J115" s="331">
        <f>Scenarios!E27</f>
        <v>10</v>
      </c>
      <c r="K115" s="331">
        <f>Scenarios!E59</f>
        <v>10</v>
      </c>
      <c r="L115" s="331">
        <f>Scenarios!E92</f>
        <v>10</v>
      </c>
      <c r="N115" s="331">
        <f>Scenarios!E124</f>
        <v>5</v>
      </c>
      <c r="O115" s="331">
        <f>Scenarios!E158</f>
        <v>5</v>
      </c>
      <c r="Q115" s="331">
        <f>Scenarios!E224</f>
        <v>8</v>
      </c>
      <c r="R115" s="331">
        <f>Scenarios!E257</f>
        <v>8</v>
      </c>
      <c r="S115" s="331">
        <f>Scenarios!E290</f>
        <v>8</v>
      </c>
    </row>
    <row r="116" spans="2:19" x14ac:dyDescent="0.25">
      <c r="B116" s="315"/>
      <c r="C116" s="325" t="s">
        <v>674</v>
      </c>
      <c r="D116" s="325" t="s">
        <v>812</v>
      </c>
      <c r="E116" s="1316" t="s">
        <v>1748</v>
      </c>
      <c r="F116" s="325" t="s">
        <v>757</v>
      </c>
      <c r="G116" s="689" t="str">
        <f>IF(LEN(HLOOKUP($D$6,$J$9:$DG$501,ROW()-ROW($G$9)+1,FALSE))&lt;&gt;0,HLOOKUP($D$6,$J$9:$DG$501,ROW()-ROW($G$9)+1,FALSE),"")</f>
        <v>CCS fee Flat rate transport &amp; storage</v>
      </c>
      <c r="H116" s="742"/>
      <c r="J116" s="741" t="s">
        <v>1745</v>
      </c>
      <c r="K116" s="741" t="s">
        <v>1745</v>
      </c>
      <c r="L116" s="741" t="s">
        <v>1745</v>
      </c>
      <c r="N116" s="741" t="s">
        <v>1745</v>
      </c>
      <c r="O116" s="741" t="s">
        <v>1746</v>
      </c>
      <c r="Q116" s="741" t="s">
        <v>1745</v>
      </c>
      <c r="R116" s="741" t="s">
        <v>1745</v>
      </c>
      <c r="S116" s="741" t="s">
        <v>1745</v>
      </c>
    </row>
    <row r="117" spans="2:19" x14ac:dyDescent="0.25">
      <c r="B117" s="315"/>
      <c r="C117" s="310" t="s">
        <v>674</v>
      </c>
      <c r="D117" s="310" t="s">
        <v>812</v>
      </c>
      <c r="E117" s="1316" t="s">
        <v>1749</v>
      </c>
      <c r="F117" s="310" t="s">
        <v>1104</v>
      </c>
      <c r="G117" s="331">
        <f t="shared" si="18"/>
        <v>20</v>
      </c>
      <c r="H117" s="310" t="s">
        <v>802</v>
      </c>
      <c r="J117" s="331">
        <f>INDEX('CO2 price scenarios'!$B$3:$BB$13,MATCH(J116,'CO2 price scenarios'!$B$3:$B$13,0),MATCH($G$109,'CO2 price scenarios'!$B$3:$BB$3,0))</f>
        <v>20</v>
      </c>
      <c r="K117" s="331">
        <f>INDEX('CO2 price scenarios'!$B$3:$BB$13,MATCH(K116,'CO2 price scenarios'!$B$3:$B$13,0),MATCH($G$109,'CO2 price scenarios'!$B$3:$BB$3,0))</f>
        <v>20</v>
      </c>
      <c r="L117" s="331">
        <f>INDEX('CO2 price scenarios'!$B$3:$BB$13,MATCH(L116,'CO2 price scenarios'!$B$3:$B$13,0),MATCH($G$109,'CO2 price scenarios'!$B$3:$BB$3,0))</f>
        <v>20</v>
      </c>
      <c r="M117" s="1186"/>
      <c r="N117" s="331">
        <f>INDEX('CO2 price scenarios'!$B$3:$BB$13,MATCH(N116,'CO2 price scenarios'!$B$3:$B$13,0),MATCH($G$109,'CO2 price scenarios'!$B$3:$BB$3,0))</f>
        <v>20</v>
      </c>
      <c r="O117" s="331">
        <f>INDEX('CO2 price scenarios'!$B$3:$BB$13,MATCH(O116,'CO2 price scenarios'!$B$3:$B$13,0),MATCH($G$109,'CO2 price scenarios'!$B$3:$BB$3,0))</f>
        <v>10</v>
      </c>
      <c r="P117" s="1186"/>
      <c r="Q117" s="331">
        <f>INDEX('CO2 price scenarios'!$B$3:$BB$13,MATCH(Q116,'CO2 price scenarios'!$B$3:$B$13,0),MATCH($G$109,'CO2 price scenarios'!$B$3:$BB$3,0))</f>
        <v>20</v>
      </c>
      <c r="R117" s="331">
        <f>INDEX('CO2 price scenarios'!$B$3:$BB$13,MATCH(R116,'CO2 price scenarios'!$B$3:$B$13,0),MATCH($G$109,'CO2 price scenarios'!$B$3:$BB$3,0))</f>
        <v>20</v>
      </c>
      <c r="S117" s="331">
        <f>INDEX('CO2 price scenarios'!$B$3:$BB$13,MATCH(S116,'CO2 price scenarios'!$B$3:$B$13,0),MATCH($G$109,'CO2 price scenarios'!$B$3:$BB$3,0))</f>
        <v>20</v>
      </c>
    </row>
    <row r="118" spans="2:19" x14ac:dyDescent="0.25">
      <c r="B118" s="315"/>
      <c r="C118" s="325" t="s">
        <v>674</v>
      </c>
      <c r="D118" s="325" t="s">
        <v>812</v>
      </c>
      <c r="E118" s="325" t="s">
        <v>1217</v>
      </c>
      <c r="F118" s="325" t="s">
        <v>769</v>
      </c>
      <c r="G118" s="331">
        <f t="shared" si="18"/>
        <v>5</v>
      </c>
      <c r="H118" s="325"/>
      <c r="J118" s="331">
        <f>'CO2 INJECTION'!$P$37</f>
        <v>5</v>
      </c>
      <c r="K118" s="331">
        <f>'CO2 INJECTION'!$P$37</f>
        <v>5</v>
      </c>
      <c r="L118" s="331">
        <f>'CO2 INJECTION'!$P$37</f>
        <v>5</v>
      </c>
      <c r="N118" s="331">
        <f>'CO2 INJECTION'!$P$37</f>
        <v>5</v>
      </c>
      <c r="O118" s="331">
        <f>'CO2 INJECTION'!$P$37</f>
        <v>5</v>
      </c>
      <c r="Q118" s="331">
        <f>'CO2 INJECTION'!$P$37</f>
        <v>5</v>
      </c>
      <c r="R118" s="331">
        <f>'CO2 INJECTION'!$P$37</f>
        <v>5</v>
      </c>
      <c r="S118" s="331">
        <f>'CO2 INJECTION'!$P$37</f>
        <v>5</v>
      </c>
    </row>
    <row r="119" spans="2:19" x14ac:dyDescent="0.25">
      <c r="B119" s="315"/>
      <c r="C119" s="310" t="s">
        <v>674</v>
      </c>
      <c r="D119" s="310" t="s">
        <v>804</v>
      </c>
      <c r="E119" s="310" t="s">
        <v>803</v>
      </c>
      <c r="F119" s="310" t="s">
        <v>557</v>
      </c>
      <c r="G119" s="328">
        <f t="shared" si="18"/>
        <v>346</v>
      </c>
      <c r="H119" s="310" t="s">
        <v>755</v>
      </c>
      <c r="J119" s="328">
        <f>73+273</f>
        <v>346</v>
      </c>
      <c r="K119" s="328">
        <f>73+273</f>
        <v>346</v>
      </c>
      <c r="L119" s="328">
        <f>73+273</f>
        <v>346</v>
      </c>
      <c r="N119" s="328">
        <f>73+273</f>
        <v>346</v>
      </c>
      <c r="O119" s="328">
        <f>73+273</f>
        <v>346</v>
      </c>
      <c r="Q119" s="328">
        <f>73+273</f>
        <v>346</v>
      </c>
      <c r="R119" s="328">
        <f>73+273</f>
        <v>346</v>
      </c>
      <c r="S119" s="328">
        <f>73+273</f>
        <v>346</v>
      </c>
    </row>
    <row r="120" spans="2:19" x14ac:dyDescent="0.25">
      <c r="B120" s="315"/>
      <c r="C120" s="310" t="s">
        <v>674</v>
      </c>
      <c r="D120" s="310" t="s">
        <v>804</v>
      </c>
      <c r="E120" s="310" t="s">
        <v>820</v>
      </c>
      <c r="F120" s="310" t="s">
        <v>29</v>
      </c>
      <c r="G120" s="328">
        <f t="shared" si="18"/>
        <v>0.11000000000000001</v>
      </c>
      <c r="H120" s="310"/>
      <c r="J120" s="328">
        <v>0.11000000000000001</v>
      </c>
      <c r="K120" s="328">
        <v>0.11000000000000001</v>
      </c>
      <c r="L120" s="328">
        <v>0.11000000000000001</v>
      </c>
      <c r="N120" s="328">
        <v>0.11000000000000001</v>
      </c>
      <c r="O120" s="328">
        <v>0.11000000000000001</v>
      </c>
      <c r="Q120" s="328">
        <v>0.11000000000000001</v>
      </c>
      <c r="R120" s="328">
        <v>0.11000000000000001</v>
      </c>
      <c r="S120" s="328">
        <v>0.11000000000000001</v>
      </c>
    </row>
    <row r="121" spans="2:19" x14ac:dyDescent="0.25">
      <c r="B121" s="315"/>
      <c r="C121" s="310" t="s">
        <v>674</v>
      </c>
      <c r="D121" s="310" t="s">
        <v>18</v>
      </c>
      <c r="E121" s="310" t="s">
        <v>38</v>
      </c>
      <c r="F121" s="310" t="s">
        <v>124</v>
      </c>
      <c r="G121" s="688">
        <f t="shared" si="18"/>
        <v>10</v>
      </c>
      <c r="H121" s="310" t="s">
        <v>1233</v>
      </c>
      <c r="J121" s="688">
        <v>10</v>
      </c>
      <c r="K121" s="688">
        <v>10</v>
      </c>
      <c r="L121" s="688">
        <v>10</v>
      </c>
      <c r="N121" s="688">
        <v>10</v>
      </c>
      <c r="O121" s="688">
        <v>10</v>
      </c>
      <c r="Q121" s="688">
        <v>10</v>
      </c>
      <c r="R121" s="688">
        <v>10</v>
      </c>
      <c r="S121" s="688">
        <v>10</v>
      </c>
    </row>
    <row r="122" spans="2:19" x14ac:dyDescent="0.25">
      <c r="B122" s="315"/>
      <c r="C122" s="310" t="s">
        <v>674</v>
      </c>
      <c r="D122" s="310" t="s">
        <v>18</v>
      </c>
      <c r="E122" s="310" t="s">
        <v>756</v>
      </c>
      <c r="F122" s="310" t="s">
        <v>757</v>
      </c>
      <c r="G122" s="332">
        <f t="shared" si="18"/>
        <v>2.04</v>
      </c>
      <c r="H122" s="310" t="s">
        <v>822</v>
      </c>
      <c r="J122" s="332">
        <v>2.04</v>
      </c>
      <c r="K122" s="332">
        <v>2.04</v>
      </c>
      <c r="L122" s="332">
        <v>2.04</v>
      </c>
      <c r="N122" s="332">
        <v>2.04</v>
      </c>
      <c r="O122" s="332">
        <v>2.04</v>
      </c>
      <c r="Q122" s="332">
        <v>2.04</v>
      </c>
      <c r="R122" s="332">
        <v>2.04</v>
      </c>
      <c r="S122" s="332">
        <v>2.04</v>
      </c>
    </row>
    <row r="123" spans="2:19" x14ac:dyDescent="0.25">
      <c r="B123" s="315"/>
      <c r="C123" s="310" t="s">
        <v>674</v>
      </c>
      <c r="D123" s="310" t="s">
        <v>18</v>
      </c>
      <c r="E123" s="310" t="s">
        <v>781</v>
      </c>
      <c r="F123" s="310" t="s">
        <v>782</v>
      </c>
      <c r="G123" s="328">
        <f t="shared" si="18"/>
        <v>8.3144597999999998</v>
      </c>
      <c r="H123" s="337"/>
      <c r="J123" s="328">
        <v>8.3144597999999998</v>
      </c>
      <c r="K123" s="328">
        <v>8.3144597999999998</v>
      </c>
      <c r="L123" s="328">
        <v>8.3144597999999998</v>
      </c>
      <c r="N123" s="328">
        <v>8.3144597999999998</v>
      </c>
      <c r="O123" s="328">
        <v>8.3144597999999998</v>
      </c>
      <c r="Q123" s="328">
        <v>8.3144597999999998</v>
      </c>
      <c r="R123" s="328">
        <v>8.3144597999999998</v>
      </c>
      <c r="S123" s="328">
        <v>8.3144597999999998</v>
      </c>
    </row>
    <row r="124" spans="2:19" x14ac:dyDescent="0.25">
      <c r="B124" s="315"/>
      <c r="C124" s="310" t="s">
        <v>674</v>
      </c>
      <c r="D124" s="310" t="s">
        <v>18</v>
      </c>
      <c r="E124" s="310" t="s">
        <v>618</v>
      </c>
      <c r="F124" s="310" t="s">
        <v>779</v>
      </c>
      <c r="G124" s="332">
        <f t="shared" si="18"/>
        <v>44.01</v>
      </c>
      <c r="H124" s="337"/>
      <c r="J124" s="332">
        <f>12.01+16+16</f>
        <v>44.01</v>
      </c>
      <c r="K124" s="332">
        <f>12.01+16+16</f>
        <v>44.01</v>
      </c>
      <c r="L124" s="332">
        <f>12.01+16+16</f>
        <v>44.01</v>
      </c>
      <c r="N124" s="332">
        <f>12.01+16+16</f>
        <v>44.01</v>
      </c>
      <c r="O124" s="332">
        <f>12.01+16+16</f>
        <v>44.01</v>
      </c>
      <c r="Q124" s="332">
        <f>12.01+16+16</f>
        <v>44.01</v>
      </c>
      <c r="R124" s="332">
        <f>12.01+16+16</f>
        <v>44.01</v>
      </c>
      <c r="S124" s="332">
        <f>12.01+16+16</f>
        <v>44.01</v>
      </c>
    </row>
    <row r="125" spans="2:19" x14ac:dyDescent="0.25">
      <c r="B125" s="315"/>
      <c r="C125" s="310" t="s">
        <v>674</v>
      </c>
      <c r="D125" s="310" t="s">
        <v>18</v>
      </c>
      <c r="E125" s="310" t="s">
        <v>758</v>
      </c>
      <c r="F125" s="310" t="s">
        <v>757</v>
      </c>
      <c r="G125" s="329">
        <f t="shared" si="18"/>
        <v>0.8</v>
      </c>
      <c r="H125" s="310"/>
      <c r="J125" s="329">
        <v>0.8</v>
      </c>
      <c r="K125" s="329">
        <v>0.8</v>
      </c>
      <c r="L125" s="329">
        <v>0.8</v>
      </c>
      <c r="N125" s="329">
        <v>0.8</v>
      </c>
      <c r="O125" s="329">
        <v>0.8</v>
      </c>
      <c r="Q125" s="329">
        <v>0.8</v>
      </c>
      <c r="R125" s="329">
        <v>0.8</v>
      </c>
      <c r="S125" s="329">
        <v>0.8</v>
      </c>
    </row>
    <row r="126" spans="2:19" x14ac:dyDescent="0.25">
      <c r="B126" s="315"/>
      <c r="C126" s="310" t="s">
        <v>674</v>
      </c>
      <c r="D126" s="310" t="s">
        <v>18</v>
      </c>
      <c r="E126" s="310" t="s">
        <v>759</v>
      </c>
      <c r="F126" s="310" t="s">
        <v>757</v>
      </c>
      <c r="G126" s="329">
        <f t="shared" si="18"/>
        <v>0.99</v>
      </c>
      <c r="H126" s="310"/>
      <c r="J126" s="329">
        <v>0.99</v>
      </c>
      <c r="K126" s="329">
        <v>0.99</v>
      </c>
      <c r="L126" s="329">
        <v>0.99</v>
      </c>
      <c r="N126" s="329">
        <v>0.99</v>
      </c>
      <c r="O126" s="329">
        <v>0.99</v>
      </c>
      <c r="Q126" s="329">
        <v>0.99</v>
      </c>
      <c r="R126" s="329">
        <v>0.99</v>
      </c>
      <c r="S126" s="329">
        <v>0.99</v>
      </c>
    </row>
    <row r="127" spans="2:19" ht="15.6" customHeight="1" x14ac:dyDescent="0.25">
      <c r="B127" s="315"/>
      <c r="C127" s="325" t="s">
        <v>674</v>
      </c>
      <c r="D127" s="325" t="s">
        <v>18</v>
      </c>
      <c r="E127" s="325" t="s">
        <v>1536</v>
      </c>
      <c r="F127" s="325" t="s">
        <v>1528</v>
      </c>
      <c r="G127" s="328">
        <f t="shared" si="18"/>
        <v>86.527784718772807</v>
      </c>
      <c r="H127" s="325" t="s">
        <v>1529</v>
      </c>
      <c r="J127" s="328">
        <v>86.527784718772807</v>
      </c>
      <c r="K127" s="328">
        <v>86.527784718772807</v>
      </c>
      <c r="L127" s="328">
        <v>86.527784718772807</v>
      </c>
      <c r="N127" s="328">
        <v>86.527784718772807</v>
      </c>
      <c r="O127" s="328">
        <v>86.527784718772807</v>
      </c>
      <c r="Q127" s="328">
        <v>86.527784718772807</v>
      </c>
      <c r="R127" s="328">
        <v>86.527784718772807</v>
      </c>
      <c r="S127" s="328">
        <v>86.527784718772807</v>
      </c>
    </row>
    <row r="128" spans="2:19" x14ac:dyDescent="0.25">
      <c r="B128" s="315"/>
      <c r="C128" s="310" t="s">
        <v>674</v>
      </c>
      <c r="D128" s="310" t="s">
        <v>18</v>
      </c>
      <c r="E128" s="310" t="s">
        <v>1537</v>
      </c>
      <c r="F128" s="310" t="s">
        <v>886</v>
      </c>
      <c r="G128" s="338">
        <f t="shared" si="18"/>
        <v>22.275000000000002</v>
      </c>
      <c r="H128" s="310" t="s">
        <v>830</v>
      </c>
      <c r="J128" s="338">
        <v>22.275000000000002</v>
      </c>
      <c r="K128" s="338">
        <v>22.275000000000002</v>
      </c>
      <c r="L128" s="338">
        <v>22.275000000000002</v>
      </c>
      <c r="N128" s="338">
        <v>22.275000000000002</v>
      </c>
      <c r="O128" s="338">
        <v>22.275000000000002</v>
      </c>
      <c r="Q128" s="338">
        <v>22.275000000000002</v>
      </c>
      <c r="R128" s="338">
        <v>22.275000000000002</v>
      </c>
      <c r="S128" s="338">
        <v>22.275000000000002</v>
      </c>
    </row>
    <row r="129" spans="2:19" ht="15.6" customHeight="1" x14ac:dyDescent="0.25">
      <c r="B129" s="315"/>
      <c r="C129" s="310" t="s">
        <v>674</v>
      </c>
      <c r="D129" s="310" t="s">
        <v>18</v>
      </c>
      <c r="E129" s="310" t="s">
        <v>821</v>
      </c>
      <c r="F129" s="310" t="s">
        <v>11</v>
      </c>
      <c r="G129" s="329">
        <f t="shared" si="18"/>
        <v>0</v>
      </c>
      <c r="H129" s="310"/>
      <c r="J129" s="329">
        <v>0</v>
      </c>
      <c r="K129" s="329">
        <v>0</v>
      </c>
      <c r="L129" s="329">
        <v>0</v>
      </c>
      <c r="N129" s="329">
        <v>0</v>
      </c>
      <c r="O129" s="329">
        <v>0</v>
      </c>
      <c r="Q129" s="329">
        <v>0</v>
      </c>
      <c r="R129" s="329">
        <v>0</v>
      </c>
      <c r="S129" s="329">
        <v>0</v>
      </c>
    </row>
    <row r="130" spans="2:19" ht="15.6" customHeight="1" x14ac:dyDescent="0.25">
      <c r="B130" s="315"/>
      <c r="C130" s="310" t="s">
        <v>674</v>
      </c>
      <c r="D130" s="310" t="s">
        <v>18</v>
      </c>
      <c r="E130" s="310" t="str">
        <f>'CO2 COMPRESSION'!S43</f>
        <v>Compressor capacity</v>
      </c>
      <c r="F130" s="310" t="str">
        <f>'CO2 COMPRESSION'!U43</f>
        <v>MW</v>
      </c>
      <c r="G130" s="338">
        <f t="shared" si="18"/>
        <v>46.999202105455126</v>
      </c>
      <c r="H130" s="310"/>
      <c r="J130" s="338">
        <f>'CO2 COMPRESSION'!$T$43</f>
        <v>46.999202105455126</v>
      </c>
      <c r="K130" s="338">
        <f>'CO2 COMPRESSION'!$T$43</f>
        <v>46.999202105455126</v>
      </c>
      <c r="L130" s="338">
        <f>'CO2 COMPRESSION'!$T$43</f>
        <v>46.999202105455126</v>
      </c>
      <c r="N130" s="338">
        <f>'CO2 COMPRESSION'!$T$43</f>
        <v>46.999202105455126</v>
      </c>
      <c r="O130" s="338">
        <f>'CO2 COMPRESSION'!$T$43</f>
        <v>46.999202105455126</v>
      </c>
      <c r="Q130" s="338">
        <f>'CO2 COMPRESSION'!$T$43</f>
        <v>46.999202105455126</v>
      </c>
      <c r="R130" s="338">
        <f>'CO2 COMPRESSION'!$T$43</f>
        <v>46.999202105455126</v>
      </c>
      <c r="S130" s="338">
        <f>'CO2 COMPRESSION'!$T$43</f>
        <v>46.999202105455126</v>
      </c>
    </row>
    <row r="131" spans="2:19" ht="15.6" customHeight="1" x14ac:dyDescent="0.25">
      <c r="B131" s="315"/>
      <c r="C131" s="310" t="s">
        <v>674</v>
      </c>
      <c r="D131" s="310" t="s">
        <v>18</v>
      </c>
      <c r="E131" s="310" t="s">
        <v>30</v>
      </c>
      <c r="F131" s="310" t="s">
        <v>11</v>
      </c>
      <c r="G131" s="329">
        <f t="shared" si="18"/>
        <v>0.75</v>
      </c>
      <c r="H131" s="310"/>
      <c r="J131" s="329">
        <v>0.75</v>
      </c>
      <c r="K131" s="329">
        <v>0.75</v>
      </c>
      <c r="L131" s="329">
        <v>0.75</v>
      </c>
      <c r="N131" s="329">
        <v>0.75</v>
      </c>
      <c r="O131" s="329">
        <v>0.75</v>
      </c>
      <c r="Q131" s="329">
        <v>0.75</v>
      </c>
      <c r="R131" s="329">
        <v>0.75</v>
      </c>
      <c r="S131" s="329">
        <v>0.75</v>
      </c>
    </row>
    <row r="132" spans="2:19" ht="15.6" customHeight="1" x14ac:dyDescent="0.25">
      <c r="B132" s="315"/>
      <c r="C132" s="310" t="s">
        <v>674</v>
      </c>
      <c r="D132" s="310" t="s">
        <v>18</v>
      </c>
      <c r="E132" s="310" t="s">
        <v>827</v>
      </c>
      <c r="F132" s="310" t="s">
        <v>11</v>
      </c>
      <c r="G132" s="329">
        <f t="shared" si="18"/>
        <v>0</v>
      </c>
      <c r="H132" s="310"/>
      <c r="J132" s="329">
        <v>0</v>
      </c>
      <c r="K132" s="329">
        <v>0</v>
      </c>
      <c r="L132" s="329">
        <v>0</v>
      </c>
      <c r="N132" s="329">
        <v>0</v>
      </c>
      <c r="O132" s="329">
        <v>0</v>
      </c>
      <c r="Q132" s="329">
        <v>0</v>
      </c>
      <c r="R132" s="329">
        <v>0</v>
      </c>
      <c r="S132" s="329">
        <v>0</v>
      </c>
    </row>
    <row r="133" spans="2:19" ht="15.6" customHeight="1" x14ac:dyDescent="0.25">
      <c r="B133" s="315"/>
      <c r="C133" s="310" t="s">
        <v>674</v>
      </c>
      <c r="D133" s="310" t="s">
        <v>18</v>
      </c>
      <c r="E133" s="310" t="str">
        <f>'CO2 COMPRESSION'!S45</f>
        <v>Pump capacity</v>
      </c>
      <c r="F133" s="310" t="str">
        <f>'CO2 COMPRESSION'!U45</f>
        <v>MW</v>
      </c>
      <c r="G133" s="338">
        <f t="shared" si="18"/>
        <v>0.65409072492923515</v>
      </c>
      <c r="H133" s="310"/>
      <c r="J133" s="338">
        <f>'CO2 COMPRESSION'!$T$45</f>
        <v>0.65409072492923515</v>
      </c>
      <c r="K133" s="338">
        <f>'CO2 COMPRESSION'!$T$45</f>
        <v>0.65409072492923515</v>
      </c>
      <c r="L133" s="338">
        <f>'CO2 COMPRESSION'!$T$45</f>
        <v>0.65409072492923515</v>
      </c>
      <c r="N133" s="338">
        <f>'CO2 COMPRESSION'!$T$45</f>
        <v>0.65409072492923515</v>
      </c>
      <c r="O133" s="338">
        <f>'CO2 COMPRESSION'!$T$45</f>
        <v>0.65409072492923515</v>
      </c>
      <c r="Q133" s="338">
        <f>'CO2 COMPRESSION'!$T$45</f>
        <v>0.65409072492923515</v>
      </c>
      <c r="R133" s="338">
        <f>'CO2 COMPRESSION'!$T$45</f>
        <v>0.65409072492923515</v>
      </c>
      <c r="S133" s="338">
        <f>'CO2 COMPRESSION'!$T$45</f>
        <v>0.65409072492923515</v>
      </c>
    </row>
    <row r="134" spans="2:19" ht="15.6" customHeight="1" x14ac:dyDescent="0.25">
      <c r="B134" s="315"/>
      <c r="C134" s="325" t="s">
        <v>674</v>
      </c>
      <c r="D134" s="325" t="s">
        <v>18</v>
      </c>
      <c r="E134" s="325" t="s">
        <v>1538</v>
      </c>
      <c r="F134" s="325" t="s">
        <v>1528</v>
      </c>
      <c r="G134" s="338">
        <f t="shared" si="18"/>
        <v>8.2710833333333316</v>
      </c>
      <c r="H134" s="325" t="s">
        <v>1541</v>
      </c>
      <c r="J134" s="338">
        <v>8.2710833333333316</v>
      </c>
      <c r="K134" s="338">
        <v>8.2710833333333316</v>
      </c>
      <c r="L134" s="338">
        <v>8.2710833333333316</v>
      </c>
      <c r="N134" s="338">
        <v>8.2710833333333316</v>
      </c>
      <c r="O134" s="338">
        <v>8.2710833333333316</v>
      </c>
      <c r="Q134" s="338">
        <v>8.2710833333333316</v>
      </c>
      <c r="R134" s="338">
        <v>8.2710833333333316</v>
      </c>
      <c r="S134" s="338">
        <v>8.2710833333333316</v>
      </c>
    </row>
    <row r="135" spans="2:19" ht="15.6" customHeight="1" x14ac:dyDescent="0.25">
      <c r="B135" s="315"/>
      <c r="C135" s="325" t="s">
        <v>674</v>
      </c>
      <c r="D135" s="325" t="s">
        <v>18</v>
      </c>
      <c r="E135" s="325" t="s">
        <v>1539</v>
      </c>
      <c r="F135" s="325" t="s">
        <v>886</v>
      </c>
      <c r="G135" s="338">
        <f t="shared" si="18"/>
        <v>2.7666666666666666</v>
      </c>
      <c r="H135" s="325" t="s">
        <v>1541</v>
      </c>
      <c r="J135" s="338">
        <v>2.7666666666666666</v>
      </c>
      <c r="K135" s="338">
        <v>2.7666666666666666</v>
      </c>
      <c r="L135" s="338">
        <v>2.7666666666666666</v>
      </c>
      <c r="N135" s="338">
        <v>2.7666666666666666</v>
      </c>
      <c r="O135" s="338">
        <v>2.7666666666666666</v>
      </c>
      <c r="Q135" s="338">
        <v>2.7666666666666666</v>
      </c>
      <c r="R135" s="338">
        <v>2.7666666666666666</v>
      </c>
      <c r="S135" s="338">
        <v>2.7666666666666666</v>
      </c>
    </row>
    <row r="136" spans="2:19" x14ac:dyDescent="0.25">
      <c r="B136" s="315"/>
      <c r="C136" s="310" t="s">
        <v>674</v>
      </c>
      <c r="D136" s="310" t="s">
        <v>18</v>
      </c>
      <c r="E136" s="1316" t="s">
        <v>913</v>
      </c>
      <c r="F136" s="310" t="s">
        <v>11</v>
      </c>
      <c r="G136" s="330">
        <f t="shared" si="18"/>
        <v>0.02</v>
      </c>
      <c r="H136" s="310"/>
      <c r="J136" s="330">
        <v>0.02</v>
      </c>
      <c r="K136" s="330">
        <v>0.02</v>
      </c>
      <c r="L136" s="330">
        <v>0.02</v>
      </c>
      <c r="N136" s="330">
        <v>0.02</v>
      </c>
      <c r="O136" s="330">
        <v>0.02</v>
      </c>
      <c r="Q136" s="330">
        <v>0.02</v>
      </c>
      <c r="R136" s="330">
        <v>0.02</v>
      </c>
      <c r="S136" s="330">
        <v>0.02</v>
      </c>
    </row>
    <row r="137" spans="2:19" x14ac:dyDescent="0.25">
      <c r="B137" s="315"/>
      <c r="C137" s="310" t="s">
        <v>674</v>
      </c>
      <c r="D137" s="310" t="s">
        <v>18</v>
      </c>
      <c r="E137" s="310" t="s">
        <v>631</v>
      </c>
      <c r="F137" s="310" t="s">
        <v>557</v>
      </c>
      <c r="G137" s="333">
        <f t="shared" si="18"/>
        <v>303.14999999999998</v>
      </c>
      <c r="H137" s="310" t="s">
        <v>822</v>
      </c>
      <c r="J137" s="333">
        <f>273+30.15</f>
        <v>303.14999999999998</v>
      </c>
      <c r="K137" s="333">
        <f>273+30.15</f>
        <v>303.14999999999998</v>
      </c>
      <c r="L137" s="333">
        <f>273+30.15</f>
        <v>303.14999999999998</v>
      </c>
      <c r="N137" s="333">
        <f>273+30.15</f>
        <v>303.14999999999998</v>
      </c>
      <c r="O137" s="333">
        <f>273+30.15</f>
        <v>303.14999999999998</v>
      </c>
      <c r="Q137" s="333">
        <f>273+30.15</f>
        <v>303.14999999999998</v>
      </c>
      <c r="R137" s="333">
        <f>273+30.15</f>
        <v>303.14999999999998</v>
      </c>
      <c r="S137" s="333">
        <f>273+30.15</f>
        <v>303.14999999999998</v>
      </c>
    </row>
    <row r="138" spans="2:19" x14ac:dyDescent="0.25">
      <c r="B138" s="315"/>
      <c r="C138" s="310" t="s">
        <v>674</v>
      </c>
      <c r="D138" s="310" t="s">
        <v>18</v>
      </c>
      <c r="E138" s="310" t="s">
        <v>753</v>
      </c>
      <c r="F138" s="310" t="s">
        <v>124</v>
      </c>
      <c r="G138" s="333">
        <f t="shared" si="18"/>
        <v>0.11000000000000001</v>
      </c>
      <c r="H138" s="310" t="s">
        <v>754</v>
      </c>
      <c r="J138" s="333">
        <f>J120</f>
        <v>0.11000000000000001</v>
      </c>
      <c r="K138" s="333">
        <f>K120</f>
        <v>0.11000000000000001</v>
      </c>
      <c r="L138" s="333">
        <f>L120</f>
        <v>0.11000000000000001</v>
      </c>
      <c r="N138" s="333">
        <f>N120</f>
        <v>0.11000000000000001</v>
      </c>
      <c r="O138" s="333">
        <f>O120</f>
        <v>0.11000000000000001</v>
      </c>
      <c r="Q138" s="333">
        <f>Q120</f>
        <v>0.11000000000000001</v>
      </c>
      <c r="R138" s="333">
        <f>R120</f>
        <v>0.11000000000000001</v>
      </c>
      <c r="S138" s="333">
        <f>S120</f>
        <v>0.11000000000000001</v>
      </c>
    </row>
    <row r="139" spans="2:19" x14ac:dyDescent="0.25">
      <c r="B139" s="315"/>
      <c r="C139" s="310" t="s">
        <v>674</v>
      </c>
      <c r="D139" s="310" t="s">
        <v>18</v>
      </c>
      <c r="E139" s="310" t="s">
        <v>1206</v>
      </c>
      <c r="F139" s="310" t="s">
        <v>914</v>
      </c>
      <c r="G139" s="331">
        <f t="shared" ref="G139:G170" si="19">IF(LEN(HLOOKUP($D$6,$J$9:$DG$501,ROW()-ROW($G$9)+1,FALSE))&lt;&gt;0,HLOOKUP($D$6,$J$9:$DG$501,ROW()-ROW($G$9)+1,FALSE),"")</f>
        <v>52290683.942985684</v>
      </c>
      <c r="H139" s="310"/>
      <c r="J139" s="331">
        <f>'CO2 COMPRESSION'!$D$64</f>
        <v>52290683.942985684</v>
      </c>
      <c r="K139" s="331">
        <f>'CO2 COMPRESSION'!$D$64</f>
        <v>52290683.942985684</v>
      </c>
      <c r="L139" s="331">
        <f>'CO2 COMPRESSION'!$D$64</f>
        <v>52290683.942985684</v>
      </c>
      <c r="N139" s="331">
        <f>'CO2 COMPRESSION'!$D$64</f>
        <v>52290683.942985684</v>
      </c>
      <c r="O139" s="331">
        <f>'CO2 COMPRESSION'!$D$64</f>
        <v>52290683.942985684</v>
      </c>
      <c r="Q139" s="331">
        <f>'CO2 COMPRESSION'!$D$64</f>
        <v>52290683.942985684</v>
      </c>
      <c r="R139" s="331">
        <f>'CO2 COMPRESSION'!$D$64</f>
        <v>52290683.942985684</v>
      </c>
      <c r="S139" s="331">
        <f>'CO2 COMPRESSION'!$D$64</f>
        <v>52290683.942985684</v>
      </c>
    </row>
    <row r="140" spans="2:19" x14ac:dyDescent="0.25">
      <c r="B140" s="315"/>
      <c r="C140" s="310" t="s">
        <v>674</v>
      </c>
      <c r="D140" s="310" t="s">
        <v>18</v>
      </c>
      <c r="E140" s="310" t="s">
        <v>1207</v>
      </c>
      <c r="F140" s="310" t="s">
        <v>914</v>
      </c>
      <c r="G140" s="331">
        <f t="shared" si="19"/>
        <v>1045813.6788597137</v>
      </c>
      <c r="H140" s="310"/>
      <c r="J140" s="331">
        <f>'CO2 COMPRESSION'!$H$6</f>
        <v>1045813.6788597137</v>
      </c>
      <c r="K140" s="331">
        <f>'CO2 COMPRESSION'!$H$6</f>
        <v>1045813.6788597137</v>
      </c>
      <c r="L140" s="331">
        <f>'CO2 COMPRESSION'!$H$6</f>
        <v>1045813.6788597137</v>
      </c>
      <c r="N140" s="331">
        <f>'CO2 COMPRESSION'!$H$6</f>
        <v>1045813.6788597137</v>
      </c>
      <c r="O140" s="331">
        <f>'CO2 COMPRESSION'!$H$6</f>
        <v>1045813.6788597137</v>
      </c>
      <c r="Q140" s="331">
        <f>'CO2 COMPRESSION'!$H$6</f>
        <v>1045813.6788597137</v>
      </c>
      <c r="R140" s="331">
        <f>'CO2 COMPRESSION'!$H$6</f>
        <v>1045813.6788597137</v>
      </c>
      <c r="S140" s="331">
        <f>'CO2 COMPRESSION'!$H$6</f>
        <v>1045813.6788597137</v>
      </c>
    </row>
    <row r="141" spans="2:19" x14ac:dyDescent="0.25">
      <c r="B141" s="315"/>
      <c r="C141" s="310" t="s">
        <v>674</v>
      </c>
      <c r="D141" s="310" t="s">
        <v>18</v>
      </c>
      <c r="E141" s="310" t="str">
        <f>'CO2 COMPRESSION'!G9</f>
        <v>Electricity used combined onshore</v>
      </c>
      <c r="F141" s="310" t="s">
        <v>885</v>
      </c>
      <c r="G141" s="345">
        <f t="shared" si="19"/>
        <v>417442.84519416699</v>
      </c>
      <c r="H141" s="310" t="s">
        <v>915</v>
      </c>
      <c r="J141" s="345">
        <f>'CO2 COMPRESSION'!$H$9</f>
        <v>417442.84519416699</v>
      </c>
      <c r="K141" s="345">
        <f>'CO2 COMPRESSION'!$H$9</f>
        <v>417442.84519416699</v>
      </c>
      <c r="L141" s="345">
        <f>'CO2 COMPRESSION'!$H$9</f>
        <v>417442.84519416699</v>
      </c>
      <c r="N141" s="345">
        <f>'CO2 COMPRESSION'!$H$9</f>
        <v>417442.84519416699</v>
      </c>
      <c r="O141" s="345">
        <f>'CO2 COMPRESSION'!$H$9</f>
        <v>417442.84519416699</v>
      </c>
      <c r="Q141" s="345">
        <f>'CO2 COMPRESSION'!$H$9</f>
        <v>417442.84519416699</v>
      </c>
      <c r="R141" s="345">
        <f>'CO2 COMPRESSION'!$H$9</f>
        <v>417442.84519416699</v>
      </c>
      <c r="S141" s="345">
        <f>'CO2 COMPRESSION'!$H$9</f>
        <v>417442.84519416699</v>
      </c>
    </row>
    <row r="142" spans="2:19" x14ac:dyDescent="0.25">
      <c r="B142" s="315"/>
      <c r="C142" s="325" t="s">
        <v>674</v>
      </c>
      <c r="D142" s="325" t="s">
        <v>18</v>
      </c>
      <c r="E142" s="325" t="str">
        <f>'CO2 COMPRESSION'!O66</f>
        <v>Total pump area</v>
      </c>
      <c r="F142" s="325" t="str">
        <f>'CO2 COMPRESSION'!Q66</f>
        <v>m²</v>
      </c>
      <c r="G142" s="331">
        <f t="shared" si="19"/>
        <v>5.4100388934501131</v>
      </c>
      <c r="H142" s="325"/>
      <c r="J142" s="345">
        <f>'CO2 COMPRESSION'!$L$7</f>
        <v>5.4100388934501131</v>
      </c>
      <c r="K142" s="345">
        <f>'CO2 COMPRESSION'!$L$7</f>
        <v>5.4100388934501131</v>
      </c>
      <c r="L142" s="345">
        <f>'CO2 COMPRESSION'!$L$7</f>
        <v>5.4100388934501131</v>
      </c>
      <c r="N142" s="345">
        <f>'CO2 COMPRESSION'!$L$7</f>
        <v>5.4100388934501131</v>
      </c>
      <c r="O142" s="345">
        <f>'CO2 COMPRESSION'!$L$7</f>
        <v>5.4100388934501131</v>
      </c>
      <c r="Q142" s="345">
        <f>'CO2 COMPRESSION'!$L$7</f>
        <v>5.4100388934501131</v>
      </c>
      <c r="R142" s="345">
        <f>'CO2 COMPRESSION'!$L$7</f>
        <v>5.4100388934501131</v>
      </c>
      <c r="S142" s="345">
        <f>'CO2 COMPRESSION'!$L$7</f>
        <v>5.4100388934501131</v>
      </c>
    </row>
    <row r="143" spans="2:19" x14ac:dyDescent="0.25">
      <c r="B143" s="315"/>
      <c r="C143" s="325" t="s">
        <v>674</v>
      </c>
      <c r="D143" s="325" t="s">
        <v>18</v>
      </c>
      <c r="E143" s="325" t="str">
        <f>'CO2 COMPRESSION'!O67</f>
        <v>Total pump weight</v>
      </c>
      <c r="F143" s="325" t="s">
        <v>112</v>
      </c>
      <c r="G143" s="331">
        <f t="shared" si="19"/>
        <v>1.8096510056375505</v>
      </c>
      <c r="H143" s="325"/>
      <c r="J143" s="345">
        <f>'CO2 COMPRESSION'!$L$8</f>
        <v>1.8096510056375505</v>
      </c>
      <c r="K143" s="345">
        <f>'CO2 COMPRESSION'!$L$8</f>
        <v>1.8096510056375505</v>
      </c>
      <c r="L143" s="345">
        <f>'CO2 COMPRESSION'!$L$8</f>
        <v>1.8096510056375505</v>
      </c>
      <c r="N143" s="345">
        <f>'CO2 COMPRESSION'!$L$8</f>
        <v>1.8096510056375505</v>
      </c>
      <c r="O143" s="345">
        <f>'CO2 COMPRESSION'!$L$8</f>
        <v>1.8096510056375505</v>
      </c>
      <c r="Q143" s="345">
        <f>'CO2 COMPRESSION'!$L$8</f>
        <v>1.8096510056375505</v>
      </c>
      <c r="R143" s="345">
        <f>'CO2 COMPRESSION'!$L$8</f>
        <v>1.8096510056375505</v>
      </c>
      <c r="S143" s="345">
        <f>'CO2 COMPRESSION'!$L$8</f>
        <v>1.8096510056375505</v>
      </c>
    </row>
    <row r="144" spans="2:19" x14ac:dyDescent="0.25">
      <c r="B144" s="315"/>
      <c r="C144" s="325" t="s">
        <v>674</v>
      </c>
      <c r="D144" s="325" t="s">
        <v>18</v>
      </c>
      <c r="E144" s="325" t="str">
        <f>'CO2 COMPRESSION'!K66</f>
        <v>Total compressor area</v>
      </c>
      <c r="F144" s="325" t="str">
        <f>'CO2 COMPRESSION'!M66</f>
        <v>m²</v>
      </c>
      <c r="G144" s="331">
        <f t="shared" si="19"/>
        <v>4066.7368417349148</v>
      </c>
      <c r="H144" s="325"/>
      <c r="J144" s="345">
        <f>'CO2 COMPRESSION'!$L$5</f>
        <v>4066.7368417349148</v>
      </c>
      <c r="K144" s="345">
        <f>'CO2 COMPRESSION'!$L$5</f>
        <v>4066.7368417349148</v>
      </c>
      <c r="L144" s="345">
        <f>'CO2 COMPRESSION'!$L$5</f>
        <v>4066.7368417349148</v>
      </c>
      <c r="N144" s="345">
        <f>'CO2 COMPRESSION'!$L$5</f>
        <v>4066.7368417349148</v>
      </c>
      <c r="O144" s="345">
        <f>'CO2 COMPRESSION'!$L$5</f>
        <v>4066.7368417349148</v>
      </c>
      <c r="Q144" s="345">
        <f>'CO2 COMPRESSION'!$L$5</f>
        <v>4066.7368417349148</v>
      </c>
      <c r="R144" s="345">
        <f>'CO2 COMPRESSION'!$L$5</f>
        <v>4066.7368417349148</v>
      </c>
      <c r="S144" s="345">
        <f>'CO2 COMPRESSION'!$L$5</f>
        <v>4066.7368417349148</v>
      </c>
    </row>
    <row r="145" spans="2:19" x14ac:dyDescent="0.25">
      <c r="B145" s="315"/>
      <c r="C145" s="325" t="s">
        <v>674</v>
      </c>
      <c r="D145" s="325" t="s">
        <v>18</v>
      </c>
      <c r="E145" s="325" t="str">
        <f>'CO2 COMPRESSION'!K67</f>
        <v>Total compressor weight</v>
      </c>
      <c r="F145" s="325" t="s">
        <v>112</v>
      </c>
      <c r="G145" s="331">
        <f t="shared" si="19"/>
        <v>1046.907226899013</v>
      </c>
      <c r="H145" s="325"/>
      <c r="J145" s="345">
        <f>'CO2 COMPRESSION'!$L$6</f>
        <v>1046.907226899013</v>
      </c>
      <c r="K145" s="345">
        <f>'CO2 COMPRESSION'!$L$6</f>
        <v>1046.907226899013</v>
      </c>
      <c r="L145" s="345">
        <f>'CO2 COMPRESSION'!$L$6</f>
        <v>1046.907226899013</v>
      </c>
      <c r="N145" s="345">
        <f>'CO2 COMPRESSION'!$L$6</f>
        <v>1046.907226899013</v>
      </c>
      <c r="O145" s="345">
        <f>'CO2 COMPRESSION'!$L$6</f>
        <v>1046.907226899013</v>
      </c>
      <c r="Q145" s="345">
        <f>'CO2 COMPRESSION'!$L$6</f>
        <v>1046.907226899013</v>
      </c>
      <c r="R145" s="345">
        <f>'CO2 COMPRESSION'!$L$6</f>
        <v>1046.907226899013</v>
      </c>
      <c r="S145" s="345">
        <f>'CO2 COMPRESSION'!$L$6</f>
        <v>1046.907226899013</v>
      </c>
    </row>
    <row r="146" spans="2:19" x14ac:dyDescent="0.25">
      <c r="B146" s="315"/>
      <c r="C146" s="310" t="s">
        <v>674</v>
      </c>
      <c r="D146" s="310" t="s">
        <v>543</v>
      </c>
      <c r="E146" s="310" t="s">
        <v>761</v>
      </c>
      <c r="F146" s="310" t="s">
        <v>887</v>
      </c>
      <c r="G146" s="345">
        <f t="shared" si="19"/>
        <v>5</v>
      </c>
      <c r="H146" s="310" t="s">
        <v>762</v>
      </c>
      <c r="J146" s="345">
        <f>J115</f>
        <v>10</v>
      </c>
      <c r="K146" s="345">
        <f>K115</f>
        <v>10</v>
      </c>
      <c r="L146" s="345">
        <f>L115</f>
        <v>10</v>
      </c>
      <c r="N146" s="345">
        <f>N115</f>
        <v>5</v>
      </c>
      <c r="O146" s="345">
        <f>O115</f>
        <v>5</v>
      </c>
      <c r="Q146" s="345">
        <f>Q115</f>
        <v>8</v>
      </c>
      <c r="R146" s="345">
        <f>R115</f>
        <v>8</v>
      </c>
      <c r="S146" s="345">
        <f>S115</f>
        <v>8</v>
      </c>
    </row>
    <row r="147" spans="2:19" x14ac:dyDescent="0.25">
      <c r="B147" s="315"/>
      <c r="C147" s="310" t="s">
        <v>674</v>
      </c>
      <c r="D147" s="310" t="s">
        <v>543</v>
      </c>
      <c r="E147" s="1316" t="s">
        <v>763</v>
      </c>
      <c r="F147" s="310" t="s">
        <v>757</v>
      </c>
      <c r="G147" s="683" t="str">
        <f t="shared" si="19"/>
        <v>new</v>
      </c>
      <c r="H147" s="310" t="s">
        <v>764</v>
      </c>
      <c r="J147" s="691" t="s">
        <v>1483</v>
      </c>
      <c r="K147" s="691" t="s">
        <v>1483</v>
      </c>
      <c r="L147" s="691" t="s">
        <v>879</v>
      </c>
      <c r="N147" s="691" t="s">
        <v>879</v>
      </c>
      <c r="O147" s="691" t="s">
        <v>1483</v>
      </c>
      <c r="Q147" s="691" t="s">
        <v>879</v>
      </c>
      <c r="R147" s="691" t="s">
        <v>1483</v>
      </c>
      <c r="S147" s="691" t="s">
        <v>1483</v>
      </c>
    </row>
    <row r="148" spans="2:19" x14ac:dyDescent="0.25">
      <c r="B148" s="315"/>
      <c r="C148" s="310" t="s">
        <v>674</v>
      </c>
      <c r="D148" s="310" t="s">
        <v>543</v>
      </c>
      <c r="E148" s="310" t="s">
        <v>78</v>
      </c>
      <c r="F148" s="310" t="s">
        <v>11</v>
      </c>
      <c r="G148" s="685">
        <f t="shared" si="19"/>
        <v>0</v>
      </c>
      <c r="H148" s="310"/>
      <c r="J148" s="685">
        <v>0</v>
      </c>
      <c r="K148" s="685">
        <v>0</v>
      </c>
      <c r="L148" s="685">
        <v>0</v>
      </c>
      <c r="N148" s="685">
        <v>0</v>
      </c>
      <c r="O148" s="685">
        <v>0</v>
      </c>
      <c r="Q148" s="685">
        <v>0</v>
      </c>
      <c r="R148" s="685">
        <v>0</v>
      </c>
      <c r="S148" s="685">
        <v>0</v>
      </c>
    </row>
    <row r="149" spans="2:19" x14ac:dyDescent="0.25">
      <c r="B149" s="315"/>
      <c r="C149" s="325" t="s">
        <v>674</v>
      </c>
      <c r="D149" s="325" t="s">
        <v>543</v>
      </c>
      <c r="E149" s="1316" t="s">
        <v>1609</v>
      </c>
      <c r="F149" s="325" t="s">
        <v>11</v>
      </c>
      <c r="G149" s="1165">
        <f t="shared" si="19"/>
        <v>0.02</v>
      </c>
      <c r="H149" s="325"/>
      <c r="J149" s="1035">
        <v>0.02</v>
      </c>
      <c r="K149" s="1035">
        <v>0.02</v>
      </c>
      <c r="L149" s="1035">
        <v>0.02</v>
      </c>
      <c r="N149" s="1035">
        <v>0.02</v>
      </c>
      <c r="O149" s="1035">
        <v>0.02</v>
      </c>
      <c r="Q149" s="1035">
        <v>0.02</v>
      </c>
      <c r="R149" s="1035">
        <v>0.02</v>
      </c>
      <c r="S149" s="1035">
        <v>0.02</v>
      </c>
    </row>
    <row r="150" spans="2:19" x14ac:dyDescent="0.25">
      <c r="B150" s="315"/>
      <c r="C150" s="310" t="s">
        <v>674</v>
      </c>
      <c r="D150" s="310" t="s">
        <v>543</v>
      </c>
      <c r="E150" s="1316" t="s">
        <v>1737</v>
      </c>
      <c r="F150" s="310" t="s">
        <v>22</v>
      </c>
      <c r="G150" s="689">
        <f t="shared" si="19"/>
        <v>40</v>
      </c>
      <c r="H150" s="310"/>
      <c r="J150" s="689">
        <f>17+74</f>
        <v>91</v>
      </c>
      <c r="K150" s="689">
        <f>17+74</f>
        <v>91</v>
      </c>
      <c r="L150" s="689">
        <v>0</v>
      </c>
      <c r="N150" s="689">
        <v>40</v>
      </c>
      <c r="O150" s="689">
        <v>40</v>
      </c>
      <c r="Q150" s="689">
        <v>165</v>
      </c>
      <c r="R150" s="689">
        <v>165</v>
      </c>
      <c r="S150" s="689">
        <v>165</v>
      </c>
    </row>
    <row r="151" spans="2:19" x14ac:dyDescent="0.25">
      <c r="B151" s="315"/>
      <c r="C151" s="310" t="s">
        <v>674</v>
      </c>
      <c r="D151" s="310" t="s">
        <v>543</v>
      </c>
      <c r="E151" s="310" t="s">
        <v>31</v>
      </c>
      <c r="F151" s="310" t="s">
        <v>124</v>
      </c>
      <c r="G151" s="689">
        <f t="shared" si="19"/>
        <v>8.5</v>
      </c>
      <c r="H151" s="310"/>
      <c r="J151" s="689">
        <v>8.5</v>
      </c>
      <c r="K151" s="689">
        <v>8.5</v>
      </c>
      <c r="L151" s="689">
        <v>8.5</v>
      </c>
      <c r="N151" s="689">
        <v>8.5</v>
      </c>
      <c r="O151" s="689">
        <v>8.5</v>
      </c>
      <c r="Q151" s="689">
        <v>8.5</v>
      </c>
      <c r="R151" s="689">
        <v>8.5</v>
      </c>
      <c r="S151" s="689">
        <v>8.5</v>
      </c>
    </row>
    <row r="152" spans="2:19" x14ac:dyDescent="0.25">
      <c r="B152" s="315"/>
      <c r="C152" s="310" t="s">
        <v>674</v>
      </c>
      <c r="D152" s="310" t="s">
        <v>543</v>
      </c>
      <c r="E152" s="310" t="s">
        <v>807</v>
      </c>
      <c r="F152" s="310" t="s">
        <v>808</v>
      </c>
      <c r="G152" s="328">
        <f t="shared" si="19"/>
        <v>0.03</v>
      </c>
      <c r="H152" s="310" t="s">
        <v>765</v>
      </c>
      <c r="J152" s="328">
        <f>30000/10^6</f>
        <v>0.03</v>
      </c>
      <c r="K152" s="328">
        <f>30000/10^6</f>
        <v>0.03</v>
      </c>
      <c r="L152" s="328">
        <f>30000/10^6</f>
        <v>0.03</v>
      </c>
      <c r="N152" s="328">
        <f>30000/10^6</f>
        <v>0.03</v>
      </c>
      <c r="O152" s="328">
        <f>30000/10^6</f>
        <v>0.03</v>
      </c>
      <c r="Q152" s="328">
        <f>30000/10^6</f>
        <v>0.03</v>
      </c>
      <c r="R152" s="328">
        <f>30000/10^6</f>
        <v>0.03</v>
      </c>
      <c r="S152" s="328">
        <f>30000/10^6</f>
        <v>0.03</v>
      </c>
    </row>
    <row r="153" spans="2:19" x14ac:dyDescent="0.25">
      <c r="B153" s="315"/>
      <c r="C153" s="310" t="s">
        <v>674</v>
      </c>
      <c r="D153" s="310" t="s">
        <v>543</v>
      </c>
      <c r="E153" s="310" t="s">
        <v>93</v>
      </c>
      <c r="F153" s="310" t="s">
        <v>757</v>
      </c>
      <c r="G153" s="690">
        <f t="shared" si="19"/>
        <v>1</v>
      </c>
      <c r="H153" s="1047" t="s">
        <v>1503</v>
      </c>
      <c r="J153" s="690">
        <v>1</v>
      </c>
      <c r="K153" s="690">
        <v>1</v>
      </c>
      <c r="L153" s="690">
        <v>1</v>
      </c>
      <c r="N153" s="690">
        <v>1</v>
      </c>
      <c r="O153" s="690">
        <v>1</v>
      </c>
      <c r="Q153" s="690">
        <v>1</v>
      </c>
      <c r="R153" s="690">
        <v>1</v>
      </c>
      <c r="S153" s="690">
        <v>1</v>
      </c>
    </row>
    <row r="154" spans="2:19" x14ac:dyDescent="0.25">
      <c r="B154" s="315"/>
      <c r="C154" s="310" t="s">
        <v>674</v>
      </c>
      <c r="D154" s="310" t="s">
        <v>543</v>
      </c>
      <c r="E154" s="310" t="s">
        <v>94</v>
      </c>
      <c r="F154" s="310" t="s">
        <v>757</v>
      </c>
      <c r="G154" s="690">
        <f t="shared" si="19"/>
        <v>0</v>
      </c>
      <c r="H154" s="310"/>
      <c r="J154" s="690">
        <v>0</v>
      </c>
      <c r="K154" s="690">
        <v>0</v>
      </c>
      <c r="L154" s="690">
        <v>0</v>
      </c>
      <c r="N154" s="690">
        <v>0</v>
      </c>
      <c r="O154" s="690">
        <v>0</v>
      </c>
      <c r="Q154" s="690">
        <v>0</v>
      </c>
      <c r="R154" s="690">
        <v>0</v>
      </c>
      <c r="S154" s="690">
        <v>0</v>
      </c>
    </row>
    <row r="155" spans="2:19" x14ac:dyDescent="0.25">
      <c r="B155" s="315"/>
      <c r="C155" s="310" t="s">
        <v>674</v>
      </c>
      <c r="D155" s="310" t="s">
        <v>543</v>
      </c>
      <c r="E155" s="310" t="s">
        <v>95</v>
      </c>
      <c r="F155" s="310" t="s">
        <v>757</v>
      </c>
      <c r="G155" s="690">
        <f t="shared" si="19"/>
        <v>0</v>
      </c>
      <c r="H155" s="310"/>
      <c r="J155" s="690">
        <v>0</v>
      </c>
      <c r="K155" s="690">
        <v>0</v>
      </c>
      <c r="L155" s="690">
        <v>0</v>
      </c>
      <c r="N155" s="690">
        <v>0</v>
      </c>
      <c r="O155" s="690">
        <v>0</v>
      </c>
      <c r="Q155" s="690">
        <v>0</v>
      </c>
      <c r="R155" s="690">
        <v>0</v>
      </c>
      <c r="S155" s="690">
        <v>0</v>
      </c>
    </row>
    <row r="156" spans="2:19" x14ac:dyDescent="0.25">
      <c r="B156" s="315"/>
      <c r="C156" s="310" t="s">
        <v>674</v>
      </c>
      <c r="D156" s="310" t="s">
        <v>543</v>
      </c>
      <c r="E156" s="310" t="s">
        <v>96</v>
      </c>
      <c r="F156" s="310" t="s">
        <v>757</v>
      </c>
      <c r="G156" s="690">
        <f t="shared" si="19"/>
        <v>0</v>
      </c>
      <c r="H156" s="310"/>
      <c r="J156" s="690">
        <v>0</v>
      </c>
      <c r="K156" s="690">
        <v>0</v>
      </c>
      <c r="L156" s="690">
        <v>0</v>
      </c>
      <c r="N156" s="690">
        <v>0</v>
      </c>
      <c r="O156" s="690">
        <v>0</v>
      </c>
      <c r="Q156" s="690">
        <v>0</v>
      </c>
      <c r="R156" s="690">
        <v>0</v>
      </c>
      <c r="S156" s="690">
        <v>0</v>
      </c>
    </row>
    <row r="157" spans="2:19" x14ac:dyDescent="0.25">
      <c r="B157" s="315"/>
      <c r="C157" s="310" t="s">
        <v>674</v>
      </c>
      <c r="D157" s="310" t="s">
        <v>543</v>
      </c>
      <c r="E157" s="310" t="s">
        <v>97</v>
      </c>
      <c r="F157" s="310" t="s">
        <v>757</v>
      </c>
      <c r="G157" s="690">
        <f t="shared" si="19"/>
        <v>1</v>
      </c>
      <c r="H157" s="310"/>
      <c r="J157" s="690">
        <v>3</v>
      </c>
      <c r="K157" s="690">
        <v>3</v>
      </c>
      <c r="L157" s="690">
        <v>3</v>
      </c>
      <c r="N157" s="690">
        <v>1</v>
      </c>
      <c r="O157" s="690">
        <v>1</v>
      </c>
      <c r="Q157" s="690">
        <v>5</v>
      </c>
      <c r="R157" s="690">
        <v>5</v>
      </c>
      <c r="S157" s="690">
        <v>5</v>
      </c>
    </row>
    <row r="158" spans="2:19" x14ac:dyDescent="0.25">
      <c r="B158" s="315"/>
      <c r="C158" s="310" t="s">
        <v>674</v>
      </c>
      <c r="D158" s="310" t="s">
        <v>543</v>
      </c>
      <c r="E158" s="310" t="s">
        <v>553</v>
      </c>
      <c r="F158" s="310" t="s">
        <v>757</v>
      </c>
      <c r="G158" s="690">
        <f t="shared" si="19"/>
        <v>3</v>
      </c>
      <c r="H158" s="325"/>
      <c r="J158" s="690">
        <v>4</v>
      </c>
      <c r="K158" s="690">
        <v>4</v>
      </c>
      <c r="L158" s="690">
        <v>4</v>
      </c>
      <c r="N158" s="690">
        <v>3</v>
      </c>
      <c r="O158" s="690">
        <v>3</v>
      </c>
      <c r="Q158" s="690">
        <v>11</v>
      </c>
      <c r="R158" s="690">
        <v>11</v>
      </c>
      <c r="S158" s="690">
        <v>11</v>
      </c>
    </row>
    <row r="159" spans="2:19" x14ac:dyDescent="0.25">
      <c r="B159" s="315"/>
      <c r="C159" s="310" t="s">
        <v>674</v>
      </c>
      <c r="D159" s="310" t="s">
        <v>543</v>
      </c>
      <c r="E159" s="310" t="s">
        <v>98</v>
      </c>
      <c r="F159" s="310" t="s">
        <v>757</v>
      </c>
      <c r="G159" s="690">
        <f t="shared" si="19"/>
        <v>1</v>
      </c>
      <c r="H159" s="325"/>
      <c r="J159" s="690">
        <v>2</v>
      </c>
      <c r="K159" s="690">
        <v>2</v>
      </c>
      <c r="L159" s="690">
        <v>2</v>
      </c>
      <c r="N159" s="690">
        <v>1</v>
      </c>
      <c r="O159" s="690">
        <v>1</v>
      </c>
      <c r="Q159" s="690">
        <v>3</v>
      </c>
      <c r="R159" s="690">
        <v>3</v>
      </c>
      <c r="S159" s="690">
        <v>3</v>
      </c>
    </row>
    <row r="160" spans="2:19" x14ac:dyDescent="0.25">
      <c r="B160" s="315"/>
      <c r="C160" s="310" t="s">
        <v>674</v>
      </c>
      <c r="D160" s="310" t="s">
        <v>543</v>
      </c>
      <c r="E160" s="310" t="s">
        <v>916</v>
      </c>
      <c r="F160" s="310" t="s">
        <v>884</v>
      </c>
      <c r="G160" s="346">
        <f t="shared" si="19"/>
        <v>7000000</v>
      </c>
      <c r="H160" s="310"/>
      <c r="J160" s="346">
        <v>7000000</v>
      </c>
      <c r="K160" s="346">
        <v>7000000</v>
      </c>
      <c r="L160" s="346">
        <v>7000000</v>
      </c>
      <c r="N160" s="346">
        <v>7000000</v>
      </c>
      <c r="O160" s="346">
        <v>7000000</v>
      </c>
      <c r="Q160" s="346">
        <v>7000000</v>
      </c>
      <c r="R160" s="346">
        <v>7000000</v>
      </c>
      <c r="S160" s="346">
        <v>7000000</v>
      </c>
    </row>
    <row r="161" spans="2:19" x14ac:dyDescent="0.25">
      <c r="B161" s="315"/>
      <c r="C161" s="310" t="s">
        <v>674</v>
      </c>
      <c r="D161" s="310" t="s">
        <v>543</v>
      </c>
      <c r="E161" s="310" t="s">
        <v>917</v>
      </c>
      <c r="F161" s="310" t="s">
        <v>884</v>
      </c>
      <c r="G161" s="346">
        <f t="shared" si="19"/>
        <v>4000000</v>
      </c>
      <c r="H161" s="310"/>
      <c r="J161" s="346">
        <v>4000000</v>
      </c>
      <c r="K161" s="346">
        <v>4000000</v>
      </c>
      <c r="L161" s="346">
        <v>4000000</v>
      </c>
      <c r="N161" s="346">
        <v>4000000</v>
      </c>
      <c r="O161" s="346">
        <v>4000000</v>
      </c>
      <c r="Q161" s="346">
        <v>4000000</v>
      </c>
      <c r="R161" s="346">
        <v>4000000</v>
      </c>
      <c r="S161" s="346">
        <v>4000000</v>
      </c>
    </row>
    <row r="162" spans="2:19" x14ac:dyDescent="0.25">
      <c r="B162" s="315"/>
      <c r="C162" s="310" t="s">
        <v>674</v>
      </c>
      <c r="D162" s="310" t="s">
        <v>543</v>
      </c>
      <c r="E162" s="310" t="s">
        <v>918</v>
      </c>
      <c r="F162" s="310" t="s">
        <v>884</v>
      </c>
      <c r="G162" s="346">
        <f t="shared" si="19"/>
        <v>4000000</v>
      </c>
      <c r="H162" s="310"/>
      <c r="J162" s="346">
        <v>4000000</v>
      </c>
      <c r="K162" s="346">
        <v>4000000</v>
      </c>
      <c r="L162" s="346">
        <v>4000000</v>
      </c>
      <c r="N162" s="346">
        <v>4000000</v>
      </c>
      <c r="O162" s="346">
        <v>4000000</v>
      </c>
      <c r="Q162" s="346">
        <v>4000000</v>
      </c>
      <c r="R162" s="346">
        <v>4000000</v>
      </c>
      <c r="S162" s="346">
        <v>4000000</v>
      </c>
    </row>
    <row r="163" spans="2:19" x14ac:dyDescent="0.25">
      <c r="B163" s="315"/>
      <c r="C163" s="310" t="s">
        <v>674</v>
      </c>
      <c r="D163" s="310" t="s">
        <v>543</v>
      </c>
      <c r="E163" s="310" t="s">
        <v>919</v>
      </c>
      <c r="F163" s="310" t="s">
        <v>884</v>
      </c>
      <c r="G163" s="346">
        <f t="shared" si="19"/>
        <v>4000000</v>
      </c>
      <c r="H163" s="310"/>
      <c r="J163" s="346">
        <v>4000000</v>
      </c>
      <c r="K163" s="346">
        <v>4000000</v>
      </c>
      <c r="L163" s="346">
        <v>4000000</v>
      </c>
      <c r="N163" s="346">
        <v>4000000</v>
      </c>
      <c r="O163" s="346">
        <v>4000000</v>
      </c>
      <c r="Q163" s="346">
        <v>4000000</v>
      </c>
      <c r="R163" s="346">
        <v>4000000</v>
      </c>
      <c r="S163" s="346">
        <v>4000000</v>
      </c>
    </row>
    <row r="164" spans="2:19" x14ac:dyDescent="0.25">
      <c r="B164" s="315"/>
      <c r="C164" s="310" t="s">
        <v>674</v>
      </c>
      <c r="D164" s="310" t="s">
        <v>543</v>
      </c>
      <c r="E164" s="310" t="s">
        <v>920</v>
      </c>
      <c r="F164" s="310" t="s">
        <v>884</v>
      </c>
      <c r="G164" s="346">
        <f t="shared" si="19"/>
        <v>6000000</v>
      </c>
      <c r="H164" s="310"/>
      <c r="J164" s="346">
        <v>6000000</v>
      </c>
      <c r="K164" s="346">
        <v>6000000</v>
      </c>
      <c r="L164" s="346">
        <v>6000000</v>
      </c>
      <c r="N164" s="346">
        <v>6000000</v>
      </c>
      <c r="O164" s="346">
        <v>6000000</v>
      </c>
      <c r="Q164" s="346">
        <v>6000000</v>
      </c>
      <c r="R164" s="346">
        <v>6000000</v>
      </c>
      <c r="S164" s="346">
        <v>6000000</v>
      </c>
    </row>
    <row r="165" spans="2:19" x14ac:dyDescent="0.25">
      <c r="B165" s="315"/>
      <c r="C165" s="310" t="s">
        <v>674</v>
      </c>
      <c r="D165" s="310" t="s">
        <v>543</v>
      </c>
      <c r="E165" s="310" t="s">
        <v>921</v>
      </c>
      <c r="F165" s="310" t="s">
        <v>884</v>
      </c>
      <c r="G165" s="346">
        <f t="shared" si="19"/>
        <v>6000000</v>
      </c>
      <c r="H165" s="310"/>
      <c r="J165" s="346">
        <v>6000000</v>
      </c>
      <c r="K165" s="346">
        <v>6000000</v>
      </c>
      <c r="L165" s="346">
        <v>6000000</v>
      </c>
      <c r="N165" s="346">
        <v>6000000</v>
      </c>
      <c r="O165" s="346">
        <v>6000000</v>
      </c>
      <c r="Q165" s="346">
        <v>6000000</v>
      </c>
      <c r="R165" s="346">
        <v>6000000</v>
      </c>
      <c r="S165" s="346">
        <v>6000000</v>
      </c>
    </row>
    <row r="166" spans="2:19" x14ac:dyDescent="0.25">
      <c r="B166" s="315"/>
      <c r="C166" s="310" t="s">
        <v>674</v>
      </c>
      <c r="D166" s="310" t="s">
        <v>543</v>
      </c>
      <c r="E166" s="310" t="s">
        <v>922</v>
      </c>
      <c r="F166" s="310" t="s">
        <v>884</v>
      </c>
      <c r="G166" s="346">
        <f t="shared" si="19"/>
        <v>11000000</v>
      </c>
      <c r="H166" s="310"/>
      <c r="J166" s="346">
        <v>11000000</v>
      </c>
      <c r="K166" s="346">
        <v>11000000</v>
      </c>
      <c r="L166" s="346">
        <v>11000000</v>
      </c>
      <c r="N166" s="346">
        <v>11000000</v>
      </c>
      <c r="O166" s="346">
        <v>11000000</v>
      </c>
      <c r="Q166" s="346">
        <v>11000000</v>
      </c>
      <c r="R166" s="346">
        <v>11000000</v>
      </c>
      <c r="S166" s="346">
        <v>11000000</v>
      </c>
    </row>
    <row r="167" spans="2:19" x14ac:dyDescent="0.25">
      <c r="B167" s="315"/>
      <c r="C167" s="310" t="s">
        <v>674</v>
      </c>
      <c r="D167" s="310" t="s">
        <v>543</v>
      </c>
      <c r="E167" s="310" t="s">
        <v>876</v>
      </c>
      <c r="F167" s="310" t="s">
        <v>557</v>
      </c>
      <c r="G167" s="328">
        <f t="shared" si="19"/>
        <v>277.39999999999998</v>
      </c>
      <c r="H167" s="310"/>
      <c r="J167" s="328">
        <v>277.39999999999998</v>
      </c>
      <c r="K167" s="328">
        <v>277.39999999999998</v>
      </c>
      <c r="L167" s="328">
        <v>277.39999999999998</v>
      </c>
      <c r="N167" s="328">
        <v>277.39999999999998</v>
      </c>
      <c r="O167" s="328">
        <v>277.39999999999998</v>
      </c>
      <c r="Q167" s="328">
        <v>277.39999999999998</v>
      </c>
      <c r="R167" s="328">
        <v>277.39999999999998</v>
      </c>
      <c r="S167" s="328">
        <v>277.39999999999998</v>
      </c>
    </row>
    <row r="168" spans="2:19" x14ac:dyDescent="0.25">
      <c r="B168" s="315"/>
      <c r="C168" s="310" t="s">
        <v>674</v>
      </c>
      <c r="D168" s="310" t="s">
        <v>543</v>
      </c>
      <c r="E168" s="310" t="s">
        <v>831</v>
      </c>
      <c r="F168" s="310" t="s">
        <v>757</v>
      </c>
      <c r="G168" s="328">
        <f t="shared" si="19"/>
        <v>0.23200000000000001</v>
      </c>
      <c r="H168" s="310" t="s">
        <v>833</v>
      </c>
      <c r="J168" s="328">
        <v>0.23200000000000001</v>
      </c>
      <c r="K168" s="328">
        <v>0.23200000000000001</v>
      </c>
      <c r="L168" s="328">
        <v>0.23200000000000001</v>
      </c>
      <c r="N168" s="328">
        <v>0.23200000000000001</v>
      </c>
      <c r="O168" s="328">
        <v>0.23200000000000001</v>
      </c>
      <c r="Q168" s="328">
        <v>0.23200000000000001</v>
      </c>
      <c r="R168" s="328">
        <v>0.23200000000000001</v>
      </c>
      <c r="S168" s="328">
        <v>0.23200000000000001</v>
      </c>
    </row>
    <row r="169" spans="2:19" x14ac:dyDescent="0.25">
      <c r="B169" s="315"/>
      <c r="C169" s="310" t="s">
        <v>674</v>
      </c>
      <c r="D169" s="310" t="s">
        <v>543</v>
      </c>
      <c r="E169" s="310" t="s">
        <v>832</v>
      </c>
      <c r="F169" s="310" t="s">
        <v>757</v>
      </c>
      <c r="G169" s="328">
        <f t="shared" si="19"/>
        <v>0.3886</v>
      </c>
      <c r="H169" s="310" t="s">
        <v>833</v>
      </c>
      <c r="J169" s="328">
        <v>0.3886</v>
      </c>
      <c r="K169" s="328">
        <v>0.3886</v>
      </c>
      <c r="L169" s="328">
        <v>0.3886</v>
      </c>
      <c r="N169" s="328">
        <v>0.3886</v>
      </c>
      <c r="O169" s="328">
        <v>0.3886</v>
      </c>
      <c r="Q169" s="328">
        <v>0.3886</v>
      </c>
      <c r="R169" s="328">
        <v>0.3886</v>
      </c>
      <c r="S169" s="328">
        <v>0.3886</v>
      </c>
    </row>
    <row r="170" spans="2:19" x14ac:dyDescent="0.25">
      <c r="B170" s="315"/>
      <c r="C170" s="310" t="s">
        <v>674</v>
      </c>
      <c r="D170" s="310" t="s">
        <v>543</v>
      </c>
      <c r="E170" s="310" t="s">
        <v>806</v>
      </c>
      <c r="F170" s="310" t="s">
        <v>124</v>
      </c>
      <c r="G170" s="345">
        <f t="shared" si="19"/>
        <v>10</v>
      </c>
      <c r="H170" s="310"/>
      <c r="J170" s="345">
        <f>J121</f>
        <v>10</v>
      </c>
      <c r="K170" s="345">
        <f>K121</f>
        <v>10</v>
      </c>
      <c r="L170" s="345">
        <f>L121</f>
        <v>10</v>
      </c>
      <c r="N170" s="345">
        <f>N121</f>
        <v>10</v>
      </c>
      <c r="O170" s="345">
        <f>O121</f>
        <v>10</v>
      </c>
      <c r="Q170" s="345">
        <f>Q121</f>
        <v>10</v>
      </c>
      <c r="R170" s="345">
        <f>R121</f>
        <v>10</v>
      </c>
      <c r="S170" s="345">
        <f>S121</f>
        <v>10</v>
      </c>
    </row>
    <row r="171" spans="2:19" x14ac:dyDescent="0.25">
      <c r="B171" s="315"/>
      <c r="C171" s="310" t="s">
        <v>674</v>
      </c>
      <c r="D171" s="310" t="s">
        <v>543</v>
      </c>
      <c r="E171" s="310" t="s">
        <v>21</v>
      </c>
      <c r="F171" s="310" t="s">
        <v>757</v>
      </c>
      <c r="G171" s="331">
        <f t="shared" ref="G171:G202" si="20">IF(LEN(HLOOKUP($D$6,$J$9:$DG$501,ROW()-ROW($G$9)+1,FALSE))&lt;&gt;0,HLOOKUP($D$6,$J$9:$DG$501,ROW()-ROW($G$9)+1,FALSE),"")</f>
        <v>0</v>
      </c>
      <c r="H171" s="310"/>
      <c r="J171" s="331">
        <f>IF('CO2 PIPELINE'!$L$34&lt;Parameters!J151,1,0)</f>
        <v>0</v>
      </c>
      <c r="K171" s="331">
        <f>IF('CO2 PIPELINE'!$L$34&lt;Parameters!K151,1,0)</f>
        <v>0</v>
      </c>
      <c r="L171" s="331">
        <f>IF('CO2 PIPELINE'!$L$34&lt;Parameters!L151,1,0)</f>
        <v>0</v>
      </c>
      <c r="N171" s="331">
        <f>IF('CO2 PIPELINE'!$L$34&lt;Parameters!N151,1,0)</f>
        <v>0</v>
      </c>
      <c r="O171" s="331">
        <f>IF('CO2 PIPELINE'!$L$34&lt;Parameters!O151,1,0)</f>
        <v>0</v>
      </c>
      <c r="Q171" s="331">
        <f>IF('CO2 PIPELINE'!$L$34&lt;Parameters!Q151,1,0)</f>
        <v>0</v>
      </c>
      <c r="R171" s="331">
        <f>IF('CO2 PIPELINE'!$L$34&lt;Parameters!R151,1,0)</f>
        <v>0</v>
      </c>
      <c r="S171" s="331">
        <f>IF('CO2 PIPELINE'!$L$34&lt;Parameters!S151,1,0)</f>
        <v>0</v>
      </c>
    </row>
    <row r="172" spans="2:19" x14ac:dyDescent="0.25">
      <c r="B172" s="315"/>
      <c r="C172" s="310" t="s">
        <v>674</v>
      </c>
      <c r="D172" s="310" t="s">
        <v>543</v>
      </c>
      <c r="E172" s="310" t="str">
        <f>E136</f>
        <v>Relative opex compressor &amp; pump</v>
      </c>
      <c r="F172" s="310" t="str">
        <f>F136</f>
        <v>%</v>
      </c>
      <c r="G172" s="429">
        <f t="shared" si="20"/>
        <v>0.02</v>
      </c>
      <c r="H172" s="310"/>
      <c r="J172" s="429">
        <f>J136</f>
        <v>0.02</v>
      </c>
      <c r="K172" s="429">
        <f>K136</f>
        <v>0.02</v>
      </c>
      <c r="L172" s="429">
        <f>L136</f>
        <v>0.02</v>
      </c>
      <c r="N172" s="429">
        <f>N136</f>
        <v>0.02</v>
      </c>
      <c r="O172" s="429">
        <f>O136</f>
        <v>0.02</v>
      </c>
      <c r="Q172" s="429">
        <f>Q136</f>
        <v>0.02</v>
      </c>
      <c r="R172" s="429">
        <f>R136</f>
        <v>0.02</v>
      </c>
      <c r="S172" s="429">
        <f>S136</f>
        <v>0.02</v>
      </c>
    </row>
    <row r="173" spans="2:19" x14ac:dyDescent="0.25">
      <c r="B173" s="315"/>
      <c r="C173" s="310" t="s">
        <v>674</v>
      </c>
      <c r="D173" s="310" t="s">
        <v>543</v>
      </c>
      <c r="E173" s="310" t="str">
        <f>E131</f>
        <v>Pump efficiency</v>
      </c>
      <c r="F173" s="310" t="str">
        <f>F131</f>
        <v>%</v>
      </c>
      <c r="G173" s="429">
        <f t="shared" si="20"/>
        <v>0.75</v>
      </c>
      <c r="H173" s="310"/>
      <c r="J173" s="429">
        <f>J131</f>
        <v>0.75</v>
      </c>
      <c r="K173" s="429">
        <f>K131</f>
        <v>0.75</v>
      </c>
      <c r="L173" s="429">
        <f>L131</f>
        <v>0.75</v>
      </c>
      <c r="N173" s="429">
        <f>N131</f>
        <v>0.75</v>
      </c>
      <c r="O173" s="429">
        <f>O131</f>
        <v>0.75</v>
      </c>
      <c r="Q173" s="429">
        <f>Q131</f>
        <v>0.75</v>
      </c>
      <c r="R173" s="429">
        <f>R131</f>
        <v>0.75</v>
      </c>
      <c r="S173" s="429">
        <f>S131</f>
        <v>0.75</v>
      </c>
    </row>
    <row r="174" spans="2:19" x14ac:dyDescent="0.25">
      <c r="B174" s="315"/>
      <c r="C174" s="310" t="s">
        <v>674</v>
      </c>
      <c r="D174" s="310" t="s">
        <v>543</v>
      </c>
      <c r="E174" s="310" t="s">
        <v>797</v>
      </c>
      <c r="F174" s="310" t="s">
        <v>52</v>
      </c>
      <c r="G174" s="345">
        <f t="shared" si="20"/>
        <v>0.43361842592551059</v>
      </c>
      <c r="H174" s="310"/>
      <c r="J174" s="345">
        <f>'CO2 PIPELINE'!$D$8</f>
        <v>0.43361842592551059</v>
      </c>
      <c r="K174" s="345">
        <f>'CO2 PIPELINE'!$D$8</f>
        <v>0.43361842592551059</v>
      </c>
      <c r="L174" s="345">
        <f>'CO2 PIPELINE'!$D$8</f>
        <v>0.43361842592551059</v>
      </c>
      <c r="N174" s="345">
        <f>'CO2 PIPELINE'!$D$8</f>
        <v>0.43361842592551059</v>
      </c>
      <c r="O174" s="345">
        <f>'CO2 PIPELINE'!$D$8</f>
        <v>0.43361842592551059</v>
      </c>
      <c r="Q174" s="345">
        <f>'CO2 PIPELINE'!$D$8</f>
        <v>0.43361842592551059</v>
      </c>
      <c r="R174" s="345">
        <f>'CO2 PIPELINE'!$D$8</f>
        <v>0.43361842592551059</v>
      </c>
      <c r="S174" s="345">
        <f>'CO2 PIPELINE'!$D$8</f>
        <v>0.43361842592551059</v>
      </c>
    </row>
    <row r="175" spans="2:19" x14ac:dyDescent="0.25">
      <c r="B175" s="315"/>
      <c r="C175" s="310" t="s">
        <v>674</v>
      </c>
      <c r="D175" s="310" t="s">
        <v>543</v>
      </c>
      <c r="E175" s="310" t="s">
        <v>799</v>
      </c>
      <c r="F175" s="310" t="s">
        <v>562</v>
      </c>
      <c r="G175" s="331">
        <f t="shared" si="20"/>
        <v>34501791.52449213</v>
      </c>
      <c r="H175" s="310"/>
      <c r="J175" s="331">
        <f>'CO2 PIPELINE'!$H$5</f>
        <v>34501791.52449213</v>
      </c>
      <c r="K175" s="331">
        <f>'CO2 PIPELINE'!$H$5</f>
        <v>34501791.52449213</v>
      </c>
      <c r="L175" s="331">
        <f>'CO2 PIPELINE'!$H$5</f>
        <v>34501791.52449213</v>
      </c>
      <c r="N175" s="331">
        <f>'CO2 PIPELINE'!$H$5</f>
        <v>34501791.52449213</v>
      </c>
      <c r="O175" s="331">
        <f>'CO2 PIPELINE'!$H$5</f>
        <v>34501791.52449213</v>
      </c>
      <c r="Q175" s="331">
        <f>'CO2 PIPELINE'!$H$5</f>
        <v>34501791.52449213</v>
      </c>
      <c r="R175" s="331">
        <f>'CO2 PIPELINE'!$H$5</f>
        <v>34501791.52449213</v>
      </c>
      <c r="S175" s="331">
        <f>'CO2 PIPELINE'!$H$5</f>
        <v>34501791.52449213</v>
      </c>
    </row>
    <row r="176" spans="2:19" x14ac:dyDescent="0.25">
      <c r="B176" s="315"/>
      <c r="C176" s="310" t="s">
        <v>674</v>
      </c>
      <c r="D176" s="310" t="s">
        <v>543</v>
      </c>
      <c r="E176" s="310" t="s">
        <v>800</v>
      </c>
      <c r="F176" s="310" t="s">
        <v>914</v>
      </c>
      <c r="G176" s="331">
        <f t="shared" si="20"/>
        <v>690035.83048984257</v>
      </c>
      <c r="H176" s="310"/>
      <c r="J176" s="331">
        <f>'CO2 PIPELINE'!$H$6</f>
        <v>690035.83048984257</v>
      </c>
      <c r="K176" s="331">
        <f>'CO2 PIPELINE'!$H$6</f>
        <v>690035.83048984257</v>
      </c>
      <c r="L176" s="331">
        <f>'CO2 PIPELINE'!$H$6</f>
        <v>690035.83048984257</v>
      </c>
      <c r="N176" s="331">
        <f>'CO2 PIPELINE'!$H$6</f>
        <v>690035.83048984257</v>
      </c>
      <c r="O176" s="331">
        <f>'CO2 PIPELINE'!$H$6</f>
        <v>690035.83048984257</v>
      </c>
      <c r="Q176" s="331">
        <f>'CO2 PIPELINE'!$H$6</f>
        <v>690035.83048984257</v>
      </c>
      <c r="R176" s="331">
        <f>'CO2 PIPELINE'!$H$6</f>
        <v>690035.83048984257</v>
      </c>
      <c r="S176" s="331">
        <f>'CO2 PIPELINE'!$H$6</f>
        <v>690035.83048984257</v>
      </c>
    </row>
    <row r="177" spans="2:19" x14ac:dyDescent="0.25">
      <c r="B177" s="315"/>
      <c r="C177" s="310" t="s">
        <v>674</v>
      </c>
      <c r="D177" s="310" t="s">
        <v>543</v>
      </c>
      <c r="E177" s="310" t="s">
        <v>834</v>
      </c>
      <c r="F177" s="310" t="s">
        <v>562</v>
      </c>
      <c r="G177" s="331">
        <f t="shared" si="20"/>
        <v>35000000</v>
      </c>
      <c r="H177" s="310" t="s">
        <v>1234</v>
      </c>
      <c r="J177" s="331">
        <f>'CO2 PIPELINE'!$H$7</f>
        <v>35000000</v>
      </c>
      <c r="K177" s="331">
        <f>'CO2 PIPELINE'!$H$7</f>
        <v>35000000</v>
      </c>
      <c r="L177" s="331">
        <f>'CO2 PIPELINE'!$H$7</f>
        <v>35000000</v>
      </c>
      <c r="N177" s="331">
        <f>'CO2 PIPELINE'!$H$7</f>
        <v>35000000</v>
      </c>
      <c r="O177" s="331">
        <f>'CO2 PIPELINE'!$H$7</f>
        <v>35000000</v>
      </c>
      <c r="Q177" s="331">
        <f>'CO2 PIPELINE'!$H$7</f>
        <v>35000000</v>
      </c>
      <c r="R177" s="331">
        <f>'CO2 PIPELINE'!$H$7</f>
        <v>35000000</v>
      </c>
      <c r="S177" s="331">
        <f>'CO2 PIPELINE'!$H$7</f>
        <v>35000000</v>
      </c>
    </row>
    <row r="178" spans="2:19" x14ac:dyDescent="0.25">
      <c r="B178" s="315"/>
      <c r="C178" s="310" t="s">
        <v>674</v>
      </c>
      <c r="D178" s="310" t="s">
        <v>543</v>
      </c>
      <c r="E178" s="310" t="s">
        <v>1121</v>
      </c>
      <c r="F178" s="310" t="s">
        <v>562</v>
      </c>
      <c r="G178" s="331">
        <f t="shared" si="20"/>
        <v>0</v>
      </c>
      <c r="H178" s="310"/>
      <c r="J178" s="331">
        <f>'CO2 PIPELINE'!$H$9</f>
        <v>0</v>
      </c>
      <c r="K178" s="331">
        <f>'CO2 PIPELINE'!$H$9</f>
        <v>0</v>
      </c>
      <c r="L178" s="331">
        <f>'CO2 PIPELINE'!$H$9</f>
        <v>0</v>
      </c>
      <c r="N178" s="331">
        <f>'CO2 PIPELINE'!$H$9</f>
        <v>0</v>
      </c>
      <c r="O178" s="331">
        <f>'CO2 PIPELINE'!$H$9</f>
        <v>0</v>
      </c>
      <c r="Q178" s="331">
        <f>'CO2 PIPELINE'!$H$9</f>
        <v>0</v>
      </c>
      <c r="R178" s="331">
        <f>'CO2 PIPELINE'!$H$9</f>
        <v>0</v>
      </c>
      <c r="S178" s="331">
        <f>'CO2 PIPELINE'!$H$9</f>
        <v>0</v>
      </c>
    </row>
    <row r="179" spans="2:19" x14ac:dyDescent="0.25">
      <c r="B179" s="315"/>
      <c r="C179" s="310" t="s">
        <v>674</v>
      </c>
      <c r="D179" s="310" t="s">
        <v>543</v>
      </c>
      <c r="E179" s="310" t="s">
        <v>49</v>
      </c>
      <c r="F179" s="310" t="s">
        <v>914</v>
      </c>
      <c r="G179" s="331">
        <f t="shared" si="20"/>
        <v>0</v>
      </c>
      <c r="H179" s="310" t="s">
        <v>792</v>
      </c>
      <c r="J179" s="331">
        <f>'CO2 PIPELINE'!$H$10</f>
        <v>0</v>
      </c>
      <c r="K179" s="331">
        <f>'CO2 PIPELINE'!$H$10</f>
        <v>0</v>
      </c>
      <c r="L179" s="331">
        <f>'CO2 PIPELINE'!$H$10</f>
        <v>0</v>
      </c>
      <c r="N179" s="331">
        <f>'CO2 PIPELINE'!$H$10</f>
        <v>0</v>
      </c>
      <c r="O179" s="331">
        <f>'CO2 PIPELINE'!$H$10</f>
        <v>0</v>
      </c>
      <c r="Q179" s="331">
        <f>'CO2 PIPELINE'!$H$10</f>
        <v>0</v>
      </c>
      <c r="R179" s="331">
        <f>'CO2 PIPELINE'!$H$10</f>
        <v>0</v>
      </c>
      <c r="S179" s="331">
        <f>'CO2 PIPELINE'!$H$10</f>
        <v>0</v>
      </c>
    </row>
    <row r="180" spans="2:19" x14ac:dyDescent="0.25">
      <c r="B180" s="315"/>
      <c r="C180" s="310" t="s">
        <v>674</v>
      </c>
      <c r="D180" s="310" t="s">
        <v>543</v>
      </c>
      <c r="E180" s="310" t="s">
        <v>835</v>
      </c>
      <c r="F180" s="310" t="s">
        <v>836</v>
      </c>
      <c r="G180" s="331">
        <f t="shared" si="20"/>
        <v>0</v>
      </c>
      <c r="H180" s="310"/>
      <c r="J180" s="331">
        <f>'CO2 PIPELINE'!$H$11</f>
        <v>0</v>
      </c>
      <c r="K180" s="331">
        <f>'CO2 PIPELINE'!$H$11</f>
        <v>0</v>
      </c>
      <c r="L180" s="331">
        <f>'CO2 PIPELINE'!$H$11</f>
        <v>0</v>
      </c>
      <c r="N180" s="331">
        <f>'CO2 PIPELINE'!$H$11</f>
        <v>0</v>
      </c>
      <c r="O180" s="331">
        <f>'CO2 PIPELINE'!$H$11</f>
        <v>0</v>
      </c>
      <c r="Q180" s="331">
        <f>'CO2 PIPELINE'!$H$11</f>
        <v>0</v>
      </c>
      <c r="R180" s="331">
        <f>'CO2 PIPELINE'!$H$11</f>
        <v>0</v>
      </c>
      <c r="S180" s="331">
        <f>'CO2 PIPELINE'!$H$11</f>
        <v>0</v>
      </c>
    </row>
    <row r="181" spans="2:19" x14ac:dyDescent="0.25">
      <c r="B181" s="315"/>
      <c r="C181" s="310" t="s">
        <v>674</v>
      </c>
      <c r="D181" s="325" t="s">
        <v>766</v>
      </c>
      <c r="E181" s="310" t="s">
        <v>840</v>
      </c>
      <c r="F181" s="310" t="s">
        <v>826</v>
      </c>
      <c r="G181" s="328">
        <f t="shared" si="20"/>
        <v>0</v>
      </c>
      <c r="H181" s="310">
        <v>240</v>
      </c>
      <c r="J181" s="328">
        <v>0</v>
      </c>
      <c r="K181" s="328">
        <v>0</v>
      </c>
      <c r="L181" s="328">
        <v>0</v>
      </c>
      <c r="N181" s="328">
        <v>0</v>
      </c>
      <c r="O181" s="328">
        <v>0</v>
      </c>
      <c r="Q181" s="328">
        <v>0</v>
      </c>
      <c r="R181" s="328">
        <v>0</v>
      </c>
      <c r="S181" s="328">
        <v>0</v>
      </c>
    </row>
    <row r="182" spans="2:19" x14ac:dyDescent="0.25">
      <c r="B182" s="315"/>
      <c r="C182" s="310" t="s">
        <v>674</v>
      </c>
      <c r="D182" s="325" t="s">
        <v>766</v>
      </c>
      <c r="E182" s="310" t="s">
        <v>841</v>
      </c>
      <c r="F182" s="310" t="s">
        <v>29</v>
      </c>
      <c r="G182" s="328">
        <f t="shared" si="20"/>
        <v>3.5</v>
      </c>
      <c r="H182" s="310"/>
      <c r="J182" s="328">
        <v>3.5</v>
      </c>
      <c r="K182" s="328">
        <v>3.5</v>
      </c>
      <c r="L182" s="328">
        <v>3.5</v>
      </c>
      <c r="N182" s="328">
        <v>3.5</v>
      </c>
      <c r="O182" s="328">
        <v>3.5</v>
      </c>
      <c r="Q182" s="328">
        <v>3.5</v>
      </c>
      <c r="R182" s="328">
        <v>3.5</v>
      </c>
      <c r="S182" s="328">
        <v>3.5</v>
      </c>
    </row>
    <row r="183" spans="2:19" x14ac:dyDescent="0.25">
      <c r="B183" s="315"/>
      <c r="C183" s="310" t="s">
        <v>674</v>
      </c>
      <c r="D183" s="310" t="s">
        <v>766</v>
      </c>
      <c r="E183" s="310" t="s">
        <v>842</v>
      </c>
      <c r="F183" s="310" t="s">
        <v>29</v>
      </c>
      <c r="G183" s="328">
        <f t="shared" si="20"/>
        <v>8.3000000000000007</v>
      </c>
      <c r="H183" s="310"/>
      <c r="J183" s="328">
        <v>8.3000000000000007</v>
      </c>
      <c r="K183" s="328">
        <v>8.3000000000000007</v>
      </c>
      <c r="L183" s="328">
        <v>8.3000000000000007</v>
      </c>
      <c r="N183" s="328">
        <v>8.3000000000000007</v>
      </c>
      <c r="O183" s="328">
        <v>8.3000000000000007</v>
      </c>
      <c r="Q183" s="328">
        <v>8.3000000000000007</v>
      </c>
      <c r="R183" s="328">
        <v>8.3000000000000007</v>
      </c>
      <c r="S183" s="328">
        <v>8.3000000000000007</v>
      </c>
    </row>
    <row r="184" spans="2:19" x14ac:dyDescent="0.25">
      <c r="B184" s="315"/>
      <c r="C184" s="325" t="s">
        <v>674</v>
      </c>
      <c r="D184" s="325" t="s">
        <v>766</v>
      </c>
      <c r="E184" s="325" t="s">
        <v>1597</v>
      </c>
      <c r="F184" s="325" t="s">
        <v>11</v>
      </c>
      <c r="G184" s="1035">
        <f t="shared" si="20"/>
        <v>0.8</v>
      </c>
      <c r="H184" s="325"/>
      <c r="J184" s="329">
        <v>0.8</v>
      </c>
      <c r="K184" s="329">
        <v>0.8</v>
      </c>
      <c r="L184" s="329">
        <v>0.8</v>
      </c>
      <c r="N184" s="329">
        <v>0.8</v>
      </c>
      <c r="O184" s="329">
        <v>0.8</v>
      </c>
      <c r="Q184" s="329">
        <v>0.8</v>
      </c>
      <c r="R184" s="329">
        <v>0.8</v>
      </c>
      <c r="S184" s="329">
        <v>0.8</v>
      </c>
    </row>
    <row r="185" spans="2:19" x14ac:dyDescent="0.25">
      <c r="B185" s="315"/>
      <c r="C185" s="325" t="s">
        <v>674</v>
      </c>
      <c r="D185" s="325" t="s">
        <v>766</v>
      </c>
      <c r="E185" s="325" t="s">
        <v>1538</v>
      </c>
      <c r="F185" s="325" t="s">
        <v>1528</v>
      </c>
      <c r="G185" s="328">
        <f t="shared" si="20"/>
        <v>8.2710833333333316</v>
      </c>
      <c r="H185" s="325" t="str">
        <f>H134</f>
        <v>Dimensions spreadsheet, scaled dimensions Speck plunger pump</v>
      </c>
      <c r="J185" s="338">
        <v>8.2710833333333316</v>
      </c>
      <c r="K185" s="338">
        <v>8.2710833333333316</v>
      </c>
      <c r="L185" s="338">
        <v>8.2710833333333316</v>
      </c>
      <c r="N185" s="338">
        <v>8.2710833333333316</v>
      </c>
      <c r="O185" s="338">
        <v>8.2710833333333316</v>
      </c>
      <c r="Q185" s="338">
        <v>8.2710833333333316</v>
      </c>
      <c r="R185" s="338">
        <v>8.2710833333333316</v>
      </c>
      <c r="S185" s="338">
        <v>8.2710833333333316</v>
      </c>
    </row>
    <row r="186" spans="2:19" x14ac:dyDescent="0.25">
      <c r="B186" s="315"/>
      <c r="C186" s="325" t="s">
        <v>674</v>
      </c>
      <c r="D186" s="325" t="s">
        <v>766</v>
      </c>
      <c r="E186" s="325" t="s">
        <v>1539</v>
      </c>
      <c r="F186" s="325" t="s">
        <v>886</v>
      </c>
      <c r="G186" s="328">
        <f t="shared" si="20"/>
        <v>2.7666666666666666</v>
      </c>
      <c r="H186" s="325" t="str">
        <f>H135</f>
        <v>Dimensions spreadsheet, scaled dimensions Speck plunger pump</v>
      </c>
      <c r="J186" s="338">
        <v>2.7666666666666666</v>
      </c>
      <c r="K186" s="338">
        <v>2.7666666666666666</v>
      </c>
      <c r="L186" s="338">
        <v>2.7666666666666666</v>
      </c>
      <c r="N186" s="338">
        <v>2.7666666666666666</v>
      </c>
      <c r="O186" s="338">
        <v>2.7666666666666666</v>
      </c>
      <c r="Q186" s="338">
        <v>2.7666666666666666</v>
      </c>
      <c r="R186" s="338">
        <v>2.7666666666666666</v>
      </c>
      <c r="S186" s="338">
        <v>2.7666666666666666</v>
      </c>
    </row>
    <row r="187" spans="2:19" x14ac:dyDescent="0.25">
      <c r="B187" s="315"/>
      <c r="C187" s="310" t="s">
        <v>674</v>
      </c>
      <c r="D187" s="310" t="s">
        <v>766</v>
      </c>
      <c r="E187" s="1316" t="s">
        <v>1108</v>
      </c>
      <c r="F187" s="310" t="s">
        <v>757</v>
      </c>
      <c r="G187" s="328" t="str">
        <f t="shared" si="20"/>
        <v>workover</v>
      </c>
      <c r="H187" s="310"/>
      <c r="J187" s="328" t="s">
        <v>1232</v>
      </c>
      <c r="K187" s="328" t="s">
        <v>1232</v>
      </c>
      <c r="L187" s="328" t="s">
        <v>1232</v>
      </c>
      <c r="N187" s="328" t="s">
        <v>1232</v>
      </c>
      <c r="O187" s="328" t="s">
        <v>1232</v>
      </c>
      <c r="Q187" s="328" t="s">
        <v>1232</v>
      </c>
      <c r="R187" s="328" t="s">
        <v>1232</v>
      </c>
      <c r="S187" s="328" t="s">
        <v>1232</v>
      </c>
    </row>
    <row r="188" spans="2:19" ht="18" x14ac:dyDescent="0.35">
      <c r="B188" s="315"/>
      <c r="C188" s="310" t="s">
        <v>674</v>
      </c>
      <c r="D188" s="310" t="s">
        <v>766</v>
      </c>
      <c r="E188" s="310" t="s">
        <v>1106</v>
      </c>
      <c r="F188" s="310" t="s">
        <v>1101</v>
      </c>
      <c r="G188" s="328">
        <f t="shared" si="20"/>
        <v>30000000</v>
      </c>
      <c r="H188" s="310" t="s">
        <v>1105</v>
      </c>
      <c r="J188" s="328">
        <f>30*10^6</f>
        <v>30000000</v>
      </c>
      <c r="K188" s="328">
        <f>30*10^6</f>
        <v>30000000</v>
      </c>
      <c r="L188" s="328">
        <f>30*10^6</f>
        <v>30000000</v>
      </c>
      <c r="N188" s="328">
        <f>30*10^6</f>
        <v>30000000</v>
      </c>
      <c r="O188" s="328">
        <f>30*10^6</f>
        <v>30000000</v>
      </c>
      <c r="Q188" s="328">
        <f>30*10^6</f>
        <v>30000000</v>
      </c>
      <c r="R188" s="328">
        <f>30*10^6</f>
        <v>30000000</v>
      </c>
      <c r="S188" s="328">
        <f>30*10^6</f>
        <v>30000000</v>
      </c>
    </row>
    <row r="189" spans="2:19" ht="18" x14ac:dyDescent="0.35">
      <c r="B189" s="315"/>
      <c r="C189" s="310" t="s">
        <v>674</v>
      </c>
      <c r="D189" s="310" t="s">
        <v>766</v>
      </c>
      <c r="E189" s="310" t="s">
        <v>1100</v>
      </c>
      <c r="F189" s="310" t="s">
        <v>1101</v>
      </c>
      <c r="G189" s="328">
        <f t="shared" si="20"/>
        <v>7000000</v>
      </c>
      <c r="H189" s="353" t="s">
        <v>1668</v>
      </c>
      <c r="J189" s="328">
        <f>7*10^6</f>
        <v>7000000</v>
      </c>
      <c r="K189" s="328">
        <f t="shared" ref="K189:L189" si="21">7*10^6</f>
        <v>7000000</v>
      </c>
      <c r="L189" s="328">
        <f t="shared" si="21"/>
        <v>7000000</v>
      </c>
      <c r="N189" s="328">
        <f t="shared" ref="N189:O189" si="22">7*10^6</f>
        <v>7000000</v>
      </c>
      <c r="O189" s="328">
        <f t="shared" si="22"/>
        <v>7000000</v>
      </c>
      <c r="Q189" s="328">
        <f t="shared" ref="Q189:S189" si="23">7*10^6</f>
        <v>7000000</v>
      </c>
      <c r="R189" s="328">
        <f t="shared" si="23"/>
        <v>7000000</v>
      </c>
      <c r="S189" s="328">
        <f t="shared" si="23"/>
        <v>7000000</v>
      </c>
    </row>
    <row r="190" spans="2:19" x14ac:dyDescent="0.25">
      <c r="B190" s="315"/>
      <c r="C190" s="310" t="s">
        <v>674</v>
      </c>
      <c r="D190" s="310" t="s">
        <v>766</v>
      </c>
      <c r="E190" s="310" t="s">
        <v>1733</v>
      </c>
      <c r="F190" s="310" t="s">
        <v>914</v>
      </c>
      <c r="G190" s="328">
        <f t="shared" si="20"/>
        <v>166666.66666666666</v>
      </c>
      <c r="H190" s="353" t="s">
        <v>851</v>
      </c>
      <c r="J190" s="328">
        <f>1*10^6/6</f>
        <v>166666.66666666666</v>
      </c>
      <c r="K190" s="328">
        <f>1*10^6/6</f>
        <v>166666.66666666666</v>
      </c>
      <c r="L190" s="328">
        <f>1*10^6/6</f>
        <v>166666.66666666666</v>
      </c>
      <c r="N190" s="328">
        <f>1*10^6/6</f>
        <v>166666.66666666666</v>
      </c>
      <c r="O190" s="328">
        <f>1*10^6/6</f>
        <v>166666.66666666666</v>
      </c>
      <c r="Q190" s="328">
        <f>1*10^6/6</f>
        <v>166666.66666666666</v>
      </c>
      <c r="R190" s="328">
        <f>1*10^6/6</f>
        <v>166666.66666666666</v>
      </c>
      <c r="S190" s="328">
        <f>1*10^6/6</f>
        <v>166666.66666666666</v>
      </c>
    </row>
    <row r="191" spans="2:19" s="1186" customFormat="1" x14ac:dyDescent="0.25">
      <c r="B191" s="315"/>
      <c r="C191" s="1188" t="s">
        <v>674</v>
      </c>
      <c r="D191" s="1188" t="s">
        <v>766</v>
      </c>
      <c r="E191" s="1188" t="s">
        <v>1732</v>
      </c>
      <c r="F191" s="1188" t="s">
        <v>1682</v>
      </c>
      <c r="G191" s="328">
        <f t="shared" si="20"/>
        <v>10</v>
      </c>
      <c r="H191" s="353" t="s">
        <v>1734</v>
      </c>
      <c r="J191" s="328">
        <v>10</v>
      </c>
      <c r="K191" s="328">
        <v>10</v>
      </c>
      <c r="L191" s="328">
        <v>10</v>
      </c>
      <c r="N191" s="328">
        <v>10</v>
      </c>
      <c r="O191" s="328">
        <v>10</v>
      </c>
      <c r="Q191" s="328">
        <v>10</v>
      </c>
      <c r="R191" s="328">
        <v>10</v>
      </c>
      <c r="S191" s="328">
        <v>10</v>
      </c>
    </row>
    <row r="192" spans="2:19" s="1143" customFormat="1" x14ac:dyDescent="0.25">
      <c r="B192" s="315"/>
      <c r="C192" s="325" t="s">
        <v>674</v>
      </c>
      <c r="D192" s="325" t="s">
        <v>766</v>
      </c>
      <c r="E192" s="1316" t="s">
        <v>1665</v>
      </c>
      <c r="F192" s="325" t="s">
        <v>11</v>
      </c>
      <c r="G192" s="1035">
        <f t="shared" si="20"/>
        <v>0.02</v>
      </c>
      <c r="H192" s="353"/>
      <c r="J192" s="1169">
        <v>0.02</v>
      </c>
      <c r="K192" s="1169">
        <v>0.02</v>
      </c>
      <c r="L192" s="1169">
        <v>0.02</v>
      </c>
      <c r="N192" s="1169">
        <v>0.02</v>
      </c>
      <c r="O192" s="1169">
        <v>0.02</v>
      </c>
      <c r="Q192" s="1169">
        <v>0.02</v>
      </c>
      <c r="R192" s="1169">
        <v>0.02</v>
      </c>
      <c r="S192" s="1169">
        <v>0.02</v>
      </c>
    </row>
    <row r="193" spans="2:19" ht="18" x14ac:dyDescent="0.35">
      <c r="B193" s="315"/>
      <c r="C193" s="310" t="s">
        <v>674</v>
      </c>
      <c r="D193" s="310" t="s">
        <v>766</v>
      </c>
      <c r="E193" s="310" t="s">
        <v>1098</v>
      </c>
      <c r="F193" s="310" t="s">
        <v>588</v>
      </c>
      <c r="G193" s="328">
        <f t="shared" si="20"/>
        <v>4444444.444444445</v>
      </c>
      <c r="H193" s="353"/>
      <c r="J193" s="328">
        <f t="shared" ref="J193:L194" si="24">120/27*10^6</f>
        <v>4444444.444444445</v>
      </c>
      <c r="K193" s="328">
        <f t="shared" si="24"/>
        <v>4444444.444444445</v>
      </c>
      <c r="L193" s="328">
        <f t="shared" si="24"/>
        <v>4444444.444444445</v>
      </c>
      <c r="N193" s="328">
        <f t="shared" ref="N193:O194" si="25">120/27*10^6</f>
        <v>4444444.444444445</v>
      </c>
      <c r="O193" s="328">
        <f t="shared" si="25"/>
        <v>4444444.444444445</v>
      </c>
      <c r="Q193" s="328">
        <f t="shared" ref="Q193:S194" si="26">120/27*10^6</f>
        <v>4444444.444444445</v>
      </c>
      <c r="R193" s="328">
        <f t="shared" si="26"/>
        <v>4444444.444444445</v>
      </c>
      <c r="S193" s="328">
        <f t="shared" si="26"/>
        <v>4444444.444444445</v>
      </c>
    </row>
    <row r="194" spans="2:19" ht="18" x14ac:dyDescent="0.35">
      <c r="B194" s="315"/>
      <c r="C194" s="310" t="s">
        <v>674</v>
      </c>
      <c r="D194" s="310" t="s">
        <v>766</v>
      </c>
      <c r="E194" s="310" t="s">
        <v>1097</v>
      </c>
      <c r="F194" s="310" t="s">
        <v>588</v>
      </c>
      <c r="G194" s="328">
        <f t="shared" si="20"/>
        <v>4444444.444444445</v>
      </c>
      <c r="H194" s="353"/>
      <c r="J194" s="328">
        <f t="shared" si="24"/>
        <v>4444444.444444445</v>
      </c>
      <c r="K194" s="328">
        <f t="shared" si="24"/>
        <v>4444444.444444445</v>
      </c>
      <c r="L194" s="328">
        <f t="shared" si="24"/>
        <v>4444444.444444445</v>
      </c>
      <c r="N194" s="328">
        <f t="shared" si="25"/>
        <v>4444444.444444445</v>
      </c>
      <c r="O194" s="328">
        <f t="shared" si="25"/>
        <v>4444444.444444445</v>
      </c>
      <c r="Q194" s="328">
        <f t="shared" si="26"/>
        <v>4444444.444444445</v>
      </c>
      <c r="R194" s="328">
        <f t="shared" si="26"/>
        <v>4444444.444444445</v>
      </c>
      <c r="S194" s="328">
        <f t="shared" si="26"/>
        <v>4444444.444444445</v>
      </c>
    </row>
    <row r="195" spans="2:19" ht="18" x14ac:dyDescent="0.35">
      <c r="B195" s="315"/>
      <c r="C195" s="310" t="s">
        <v>674</v>
      </c>
      <c r="D195" s="310" t="s">
        <v>766</v>
      </c>
      <c r="E195" s="310" t="s">
        <v>550</v>
      </c>
      <c r="F195" s="310" t="s">
        <v>619</v>
      </c>
      <c r="G195" s="328">
        <f t="shared" si="20"/>
        <v>0</v>
      </c>
      <c r="H195" s="310" t="s">
        <v>1473</v>
      </c>
      <c r="J195" s="328">
        <v>0</v>
      </c>
      <c r="K195" s="328">
        <v>0</v>
      </c>
      <c r="L195" s="328">
        <v>0</v>
      </c>
      <c r="N195" s="328">
        <v>0</v>
      </c>
      <c r="O195" s="328">
        <v>0</v>
      </c>
      <c r="Q195" s="328">
        <v>0</v>
      </c>
      <c r="R195" s="328">
        <v>0</v>
      </c>
      <c r="S195" s="328">
        <v>0</v>
      </c>
    </row>
    <row r="196" spans="2:19" x14ac:dyDescent="0.25">
      <c r="B196" s="315"/>
      <c r="C196" s="310" t="s">
        <v>674</v>
      </c>
      <c r="D196" s="310" t="s">
        <v>766</v>
      </c>
      <c r="E196" s="310" t="s">
        <v>811</v>
      </c>
      <c r="F196" s="310" t="s">
        <v>757</v>
      </c>
      <c r="G196" s="333" t="str">
        <f t="shared" si="20"/>
        <v>Surrounding fields P15</v>
      </c>
      <c r="H196" s="310"/>
      <c r="J196" s="333" t="str">
        <f>VLOOKUP(J219,'DATABASE CO2 STORAGE'!$C$4:$O$6,2,FALSE)</f>
        <v>Surrounding fields K14</v>
      </c>
      <c r="K196" s="333" t="str">
        <f>VLOOKUP(K219,'DATABASE CO2 STORAGE'!$C$4:$O$6,2,FALSE)</f>
        <v>Surrounding fields K14</v>
      </c>
      <c r="L196" s="333" t="str">
        <f>VLOOKUP(L219,'DATABASE CO2 STORAGE'!$C$4:$O$6,2,FALSE)</f>
        <v>Surrounding fields K14</v>
      </c>
      <c r="N196" s="333" t="str">
        <f>VLOOKUP(N219,'DATABASE CO2 STORAGE'!$C$4:$O$6,2,FALSE)</f>
        <v>Surrounding fields P15</v>
      </c>
      <c r="O196" s="333" t="str">
        <f>VLOOKUP(O219,'DATABASE CO2 STORAGE'!$C$4:$O$6,2,FALSE)</f>
        <v>Surrounding fields P15</v>
      </c>
      <c r="Q196" s="333" t="str">
        <f>VLOOKUP(Parameters!Q219,'DATABASE CO2 STORAGE'!$C$4:$O$6,2,FALSE)</f>
        <v>Surrounding fields K5</v>
      </c>
      <c r="R196" s="333" t="str">
        <f>VLOOKUP(Parameters!R219,'DATABASE CO2 STORAGE'!$C$4:$O$6,2,FALSE)</f>
        <v>Surrounding fields K5</v>
      </c>
      <c r="S196" s="333" t="str">
        <f>VLOOKUP(Parameters!S219,'DATABASE CO2 STORAGE'!$C$4:$O$6,2,FALSE)</f>
        <v>Surrounding fields K5</v>
      </c>
    </row>
    <row r="197" spans="2:19" x14ac:dyDescent="0.25">
      <c r="B197" s="315"/>
      <c r="C197" s="310" t="s">
        <v>674</v>
      </c>
      <c r="D197" s="310" t="s">
        <v>766</v>
      </c>
      <c r="E197" s="310" t="s">
        <v>122</v>
      </c>
      <c r="F197" s="310" t="s">
        <v>768</v>
      </c>
      <c r="G197" s="331">
        <f t="shared" si="20"/>
        <v>120</v>
      </c>
      <c r="H197" s="310" t="s">
        <v>767</v>
      </c>
      <c r="J197" s="331">
        <f>'CO2 INJECTION'!$D$7</f>
        <v>120</v>
      </c>
      <c r="K197" s="331">
        <f>'CO2 INJECTION'!$D$7</f>
        <v>120</v>
      </c>
      <c r="L197" s="331">
        <f>'CO2 INJECTION'!$D$7</f>
        <v>120</v>
      </c>
      <c r="N197" s="331">
        <f>'CO2 INJECTION'!$D$7</f>
        <v>120</v>
      </c>
      <c r="O197" s="331">
        <f>'CO2 INJECTION'!$D$7</f>
        <v>120</v>
      </c>
      <c r="Q197" s="331">
        <f>'CO2 INJECTION'!$D$7</f>
        <v>120</v>
      </c>
      <c r="R197" s="331">
        <f>'CO2 INJECTION'!$D$7</f>
        <v>120</v>
      </c>
      <c r="S197" s="331">
        <f>'CO2 INJECTION'!$D$7</f>
        <v>120</v>
      </c>
    </row>
    <row r="198" spans="2:19" x14ac:dyDescent="0.25">
      <c r="B198" s="315"/>
      <c r="C198" s="988" t="s">
        <v>674</v>
      </c>
      <c r="D198" s="988" t="s">
        <v>766</v>
      </c>
      <c r="E198" s="988" t="str">
        <f>'DATABASE CO2 STORAGE'!K3</f>
        <v>Number of available wells at start of business case</v>
      </c>
      <c r="F198" s="988" t="s">
        <v>757</v>
      </c>
      <c r="G198" s="989">
        <f t="shared" si="20"/>
        <v>10</v>
      </c>
      <c r="H198" s="310"/>
      <c r="J198" s="331">
        <f>INDEX('DATABASE CO2 STORAGE'!$D$3:$U$6,MATCH(J196,'DATABASE CO2 STORAGE'!$D$3:$D$6,0),MATCH($E$198,'DATABASE CO2 STORAGE'!$D$3:$U$3,0))</f>
        <v>10</v>
      </c>
      <c r="K198" s="331">
        <f>INDEX('DATABASE CO2 STORAGE'!$D$3:$U$6,MATCH(K196,'DATABASE CO2 STORAGE'!$D$3:$D$6,0),MATCH($E$198,'DATABASE CO2 STORAGE'!$D$3:$U$3,0))</f>
        <v>10</v>
      </c>
      <c r="L198" s="331">
        <f>INDEX('DATABASE CO2 STORAGE'!$D$3:$U$6,MATCH(L196,'DATABASE CO2 STORAGE'!$D$3:$D$6,0),MATCH($E$198,'DATABASE CO2 STORAGE'!$D$3:$U$3,0))</f>
        <v>10</v>
      </c>
      <c r="N198" s="331">
        <f>INDEX('DATABASE CO2 STORAGE'!$D$3:$U$6,MATCH(N196,'DATABASE CO2 STORAGE'!$D$3:$D$6,0),MATCH($E$198,'DATABASE CO2 STORAGE'!$D$3:$U$3,0))</f>
        <v>10</v>
      </c>
      <c r="O198" s="331">
        <f>INDEX('DATABASE CO2 STORAGE'!$D$3:$U$6,MATCH(O196,'DATABASE CO2 STORAGE'!$D$3:$D$6,0),MATCH($E$198,'DATABASE CO2 STORAGE'!$D$3:$U$3,0))</f>
        <v>10</v>
      </c>
      <c r="Q198" s="331">
        <f>INDEX('DATABASE CO2 STORAGE'!$D$3:$U$6,MATCH(Q196,'DATABASE CO2 STORAGE'!$D$3:$D$6,0),MATCH($E$198,'DATABASE CO2 STORAGE'!$D$3:$U$3,0))</f>
        <v>8</v>
      </c>
      <c r="R198" s="331">
        <f>INDEX('DATABASE CO2 STORAGE'!$D$3:$U$6,MATCH(R196,'DATABASE CO2 STORAGE'!$D$3:$D$6,0),MATCH($E$198,'DATABASE CO2 STORAGE'!$D$3:$U$3,0))</f>
        <v>8</v>
      </c>
      <c r="S198" s="331">
        <f>INDEX('DATABASE CO2 STORAGE'!$D$3:$U$6,MATCH(S196,'DATABASE CO2 STORAGE'!$D$3:$D$6,0),MATCH($E$198,'DATABASE CO2 STORAGE'!$D$3:$U$3,0))</f>
        <v>8</v>
      </c>
    </row>
    <row r="199" spans="2:19" x14ac:dyDescent="0.25">
      <c r="B199" s="315"/>
      <c r="C199" s="988" t="s">
        <v>674</v>
      </c>
      <c r="D199" s="988" t="s">
        <v>766</v>
      </c>
      <c r="E199" s="988" t="str">
        <f>'DATABASE CO2 STORAGE'!L3</f>
        <v>Available wells for workover (CCS)</v>
      </c>
      <c r="F199" s="988" t="s">
        <v>757</v>
      </c>
      <c r="G199" s="989">
        <f t="shared" si="20"/>
        <v>10</v>
      </c>
      <c r="H199" s="325"/>
      <c r="J199" s="331">
        <f>INDEX('DATABASE CO2 STORAGE'!$D$3:$U$6,MATCH(J196,'DATABASE CO2 STORAGE'!$D$3:$D$6,0),MATCH($E$199,'DATABASE CO2 STORAGE'!$D$3:$U$3,0))</f>
        <v>10</v>
      </c>
      <c r="K199" s="331">
        <f>INDEX('DATABASE CO2 STORAGE'!$D$3:$U$6,MATCH(K196,'DATABASE CO2 STORAGE'!$D$3:$D$6,0),MATCH($E$199,'DATABASE CO2 STORAGE'!$D$3:$U$3,0))</f>
        <v>10</v>
      </c>
      <c r="L199" s="331">
        <f>INDEX('DATABASE CO2 STORAGE'!$D$3:$U$6,MATCH(L196,'DATABASE CO2 STORAGE'!$D$3:$D$6,0),MATCH($E$199,'DATABASE CO2 STORAGE'!$D$3:$U$3,0))</f>
        <v>10</v>
      </c>
      <c r="N199" s="331">
        <f>INDEX('DATABASE CO2 STORAGE'!$D$3:$U$6,MATCH(N196,'DATABASE CO2 STORAGE'!$D$3:$D$6,0),MATCH($E$199,'DATABASE CO2 STORAGE'!$D$3:$U$3,0))</f>
        <v>10</v>
      </c>
      <c r="O199" s="331">
        <f>INDEX('DATABASE CO2 STORAGE'!$D$3:$U$6,MATCH(O196,'DATABASE CO2 STORAGE'!$D$3:$D$6,0),MATCH($E$199,'DATABASE CO2 STORAGE'!$D$3:$U$3,0))</f>
        <v>10</v>
      </c>
      <c r="Q199" s="331">
        <f>INDEX('DATABASE CO2 STORAGE'!$D$3:$U$6,MATCH(Q196,'DATABASE CO2 STORAGE'!$D$3:$D$6,0),MATCH($E$199,'DATABASE CO2 STORAGE'!$D$3:$U$3,0))</f>
        <v>8</v>
      </c>
      <c r="R199" s="331">
        <f>INDEX('DATABASE CO2 STORAGE'!$D$3:$U$6,MATCH(R196,'DATABASE CO2 STORAGE'!$D$3:$D$6,0),MATCH($E$199,'DATABASE CO2 STORAGE'!$D$3:$U$3,0))</f>
        <v>8</v>
      </c>
      <c r="S199" s="331">
        <f>INDEX('DATABASE CO2 STORAGE'!$D$3:$U$6,MATCH(S196,'DATABASE CO2 STORAGE'!$D$3:$D$6,0),MATCH($E$199,'DATABASE CO2 STORAGE'!$D$3:$U$3,0))</f>
        <v>8</v>
      </c>
    </row>
    <row r="200" spans="2:19" x14ac:dyDescent="0.25">
      <c r="B200" s="315"/>
      <c r="C200" s="310" t="s">
        <v>674</v>
      </c>
      <c r="D200" s="310" t="s">
        <v>766</v>
      </c>
      <c r="E200" s="310" t="str">
        <f>'DATABASE CO2 STORAGE'!I3</f>
        <v>Avg. Injectivity per well [Mton CO2/a]</v>
      </c>
      <c r="F200" s="310" t="s">
        <v>769</v>
      </c>
      <c r="G200" s="331">
        <f t="shared" si="20"/>
        <v>1</v>
      </c>
      <c r="H200" s="310"/>
      <c r="J200" s="331">
        <f>INDEX('DATABASE CO2 STORAGE'!$D$3:$U$6,MATCH(J196,'DATABASE CO2 STORAGE'!$D$3:$D$6,0),MATCH($E$200,'DATABASE CO2 STORAGE'!$D$3:$U$3,0))</f>
        <v>1</v>
      </c>
      <c r="K200" s="331">
        <f>INDEX('DATABASE CO2 STORAGE'!$D$3:$U$6,MATCH(K196,'DATABASE CO2 STORAGE'!$D$3:$D$6,0),MATCH($E$200,'DATABASE CO2 STORAGE'!$D$3:$U$3,0))</f>
        <v>1</v>
      </c>
      <c r="L200" s="331">
        <f>INDEX('DATABASE CO2 STORAGE'!$D$3:$U$6,MATCH(L196,'DATABASE CO2 STORAGE'!$D$3:$D$6,0),MATCH($E$200,'DATABASE CO2 STORAGE'!$D$3:$U$3,0))</f>
        <v>1</v>
      </c>
      <c r="N200" s="331">
        <f>INDEX('DATABASE CO2 STORAGE'!$D$3:$U$6,MATCH(N196,'DATABASE CO2 STORAGE'!$D$3:$D$6,0),MATCH($E$200,'DATABASE CO2 STORAGE'!$D$3:$U$3,0))</f>
        <v>1</v>
      </c>
      <c r="O200" s="331">
        <f>INDEX('DATABASE CO2 STORAGE'!$D$3:$U$6,MATCH(O196,'DATABASE CO2 STORAGE'!$D$3:$D$6,0),MATCH($E$200,'DATABASE CO2 STORAGE'!$D$3:$U$3,0))</f>
        <v>1</v>
      </c>
      <c r="Q200" s="331">
        <f>INDEX('DATABASE CO2 STORAGE'!$D$3:$U$6,MATCH(Q196,'DATABASE CO2 STORAGE'!$D$3:$D$6,0),MATCH($E$200,'DATABASE CO2 STORAGE'!$D$3:$U$3,0))</f>
        <v>1</v>
      </c>
      <c r="R200" s="331">
        <f>INDEX('DATABASE CO2 STORAGE'!$D$3:$U$6,MATCH(R196,'DATABASE CO2 STORAGE'!$D$3:$D$6,0),MATCH($E$200,'DATABASE CO2 STORAGE'!$D$3:$U$3,0))</f>
        <v>1</v>
      </c>
      <c r="S200" s="331">
        <f>INDEX('DATABASE CO2 STORAGE'!$D$3:$U$6,MATCH(S196,'DATABASE CO2 STORAGE'!$D$3:$D$6,0),MATCH($E$200,'DATABASE CO2 STORAGE'!$D$3:$U$3,0))</f>
        <v>1</v>
      </c>
    </row>
    <row r="201" spans="2:19" x14ac:dyDescent="0.25">
      <c r="B201" s="315"/>
      <c r="C201" s="310" t="s">
        <v>674</v>
      </c>
      <c r="D201" s="310" t="s">
        <v>766</v>
      </c>
      <c r="E201" s="310" t="str">
        <f>'DATABASE CO2 STORAGE'!M3</f>
        <v>Initial well pressure [MPa]</v>
      </c>
      <c r="F201" s="310" t="s">
        <v>124</v>
      </c>
      <c r="G201" s="331">
        <f t="shared" si="20"/>
        <v>2.5</v>
      </c>
      <c r="H201" s="310"/>
      <c r="J201" s="331">
        <f>'CO2 INJECTION'!$D$12</f>
        <v>2.5</v>
      </c>
      <c r="K201" s="331">
        <f>'CO2 INJECTION'!$D$12</f>
        <v>2.5</v>
      </c>
      <c r="L201" s="331">
        <f>'CO2 INJECTION'!$D$12</f>
        <v>2.5</v>
      </c>
      <c r="N201" s="331">
        <f>'CO2 INJECTION'!$D$12</f>
        <v>2.5</v>
      </c>
      <c r="O201" s="331">
        <f>'CO2 INJECTION'!$D$12</f>
        <v>2.5</v>
      </c>
      <c r="Q201" s="331">
        <f>'CO2 INJECTION'!$D$12</f>
        <v>2.5</v>
      </c>
      <c r="R201" s="331">
        <f>'CO2 INJECTION'!$D$12</f>
        <v>2.5</v>
      </c>
      <c r="S201" s="331">
        <f>'CO2 INJECTION'!$D$12</f>
        <v>2.5</v>
      </c>
    </row>
    <row r="202" spans="2:19" x14ac:dyDescent="0.25">
      <c r="B202" s="315"/>
      <c r="C202" s="310" t="s">
        <v>674</v>
      </c>
      <c r="D202" s="310" t="s">
        <v>766</v>
      </c>
      <c r="E202" s="310" t="str">
        <f>'DATABASE CO2 STORAGE'!N3</f>
        <v>Technical maximum reservoir end state [MPa]</v>
      </c>
      <c r="F202" s="310" t="s">
        <v>124</v>
      </c>
      <c r="G202" s="331">
        <f t="shared" si="20"/>
        <v>40</v>
      </c>
      <c r="H202" s="310"/>
      <c r="J202" s="331">
        <f>'CO2 INJECTION'!$D$13</f>
        <v>40</v>
      </c>
      <c r="K202" s="331">
        <f>'CO2 INJECTION'!$D$13</f>
        <v>40</v>
      </c>
      <c r="L202" s="331">
        <f>'CO2 INJECTION'!$D$13</f>
        <v>40</v>
      </c>
      <c r="N202" s="331">
        <f>'CO2 INJECTION'!$D$13</f>
        <v>40</v>
      </c>
      <c r="O202" s="331">
        <f>'CO2 INJECTION'!$D$13</f>
        <v>40</v>
      </c>
      <c r="Q202" s="331">
        <f>'CO2 INJECTION'!$D$13</f>
        <v>40</v>
      </c>
      <c r="R202" s="331">
        <f>'CO2 INJECTION'!$D$13</f>
        <v>40</v>
      </c>
      <c r="S202" s="331">
        <f>'CO2 INJECTION'!$D$13</f>
        <v>40</v>
      </c>
    </row>
    <row r="203" spans="2:19" x14ac:dyDescent="0.25">
      <c r="B203" s="315"/>
      <c r="C203" s="310" t="s">
        <v>674</v>
      </c>
      <c r="D203" s="310" t="s">
        <v>766</v>
      </c>
      <c r="E203" s="310" t="str">
        <f>'DATABASE CO2 STORAGE'!O3</f>
        <v>Static pressure added by collum [MPa]</v>
      </c>
      <c r="F203" s="310" t="s">
        <v>124</v>
      </c>
      <c r="G203" s="331">
        <f t="shared" ref="G203:G234" si="27">IF(LEN(HLOOKUP($D$6,$J$9:$DG$501,ROW()-ROW($G$9)+1,FALSE))&lt;&gt;0,HLOOKUP($D$6,$J$9:$DG$501,ROW()-ROW($G$9)+1,FALSE),"")</f>
        <v>33.103448275862071</v>
      </c>
      <c r="H203" s="310"/>
      <c r="J203" s="331">
        <f>'CO2 INJECTION'!$D$14</f>
        <v>33.103448275862071</v>
      </c>
      <c r="K203" s="331">
        <f>'CO2 INJECTION'!$D$14</f>
        <v>33.103448275862071</v>
      </c>
      <c r="L203" s="331">
        <f>'CO2 INJECTION'!$D$14</f>
        <v>33.103448275862071</v>
      </c>
      <c r="N203" s="331">
        <f>'CO2 INJECTION'!$D$14</f>
        <v>33.103448275862071</v>
      </c>
      <c r="O203" s="331">
        <f>'CO2 INJECTION'!$D$14</f>
        <v>33.103448275862071</v>
      </c>
      <c r="Q203" s="331">
        <f>'CO2 INJECTION'!$D$14</f>
        <v>33.103448275862071</v>
      </c>
      <c r="R203" s="331">
        <f>'CO2 INJECTION'!$D$14</f>
        <v>33.103448275862071</v>
      </c>
      <c r="S203" s="331">
        <f>'CO2 INJECTION'!$D$14</f>
        <v>33.103448275862071</v>
      </c>
    </row>
    <row r="204" spans="2:19" ht="15" customHeight="1" x14ac:dyDescent="0.25">
      <c r="B204" s="315"/>
      <c r="C204" s="310" t="s">
        <v>674</v>
      </c>
      <c r="D204" s="310" t="s">
        <v>766</v>
      </c>
      <c r="E204" s="310" t="s">
        <v>135</v>
      </c>
      <c r="F204" s="310"/>
      <c r="G204" s="349">
        <f t="shared" si="27"/>
        <v>0</v>
      </c>
      <c r="H204" s="337" t="s">
        <v>1449</v>
      </c>
      <c r="J204" s="349">
        <f>'CO2 INJECTION'!$D$16</f>
        <v>0</v>
      </c>
      <c r="K204" s="349">
        <f>'CO2 INJECTION'!$D$16</f>
        <v>0</v>
      </c>
      <c r="L204" s="349">
        <f>'CO2 INJECTION'!$D$16</f>
        <v>0</v>
      </c>
      <c r="N204" s="349">
        <f>'CO2 INJECTION'!$D$16</f>
        <v>0</v>
      </c>
      <c r="O204" s="349">
        <f>'CO2 INJECTION'!$D$16</f>
        <v>0</v>
      </c>
      <c r="Q204" s="349">
        <f>'CO2 INJECTION'!$D$16</f>
        <v>0</v>
      </c>
      <c r="R204" s="349">
        <f>'CO2 INJECTION'!$D$16</f>
        <v>0</v>
      </c>
      <c r="S204" s="349">
        <f>'CO2 INJECTION'!$D$16</f>
        <v>0</v>
      </c>
    </row>
    <row r="205" spans="2:19" x14ac:dyDescent="0.25">
      <c r="B205" s="315"/>
      <c r="C205" s="325" t="s">
        <v>674</v>
      </c>
      <c r="D205" s="325" t="s">
        <v>766</v>
      </c>
      <c r="E205" s="325" t="s">
        <v>1448</v>
      </c>
      <c r="F205" s="325" t="s">
        <v>46</v>
      </c>
      <c r="G205" s="350">
        <f t="shared" si="27"/>
        <v>0</v>
      </c>
      <c r="H205" s="325"/>
      <c r="J205" s="350">
        <f>'CO2 INJECTION'!$H$8</f>
        <v>0</v>
      </c>
      <c r="K205" s="350">
        <f>'CO2 INJECTION'!$H$8</f>
        <v>0</v>
      </c>
      <c r="L205" s="350">
        <f>'CO2 INJECTION'!$H$8</f>
        <v>0</v>
      </c>
      <c r="N205" s="350">
        <f>'CO2 INJECTION'!$H$8</f>
        <v>0</v>
      </c>
      <c r="O205" s="350">
        <f>'CO2 INJECTION'!$H$8</f>
        <v>0</v>
      </c>
      <c r="Q205" s="350">
        <f>'CO2 INJECTION'!$H$8</f>
        <v>0</v>
      </c>
      <c r="R205" s="350">
        <f>'CO2 INJECTION'!$H$8</f>
        <v>0</v>
      </c>
      <c r="S205" s="350">
        <f>'CO2 INJECTION'!$H$8</f>
        <v>0</v>
      </c>
    </row>
    <row r="206" spans="2:19" x14ac:dyDescent="0.25">
      <c r="B206" s="315"/>
      <c r="C206" s="310" t="s">
        <v>674</v>
      </c>
      <c r="D206" s="310" t="s">
        <v>766</v>
      </c>
      <c r="E206" s="310" t="s">
        <v>126</v>
      </c>
      <c r="F206" s="310" t="s">
        <v>838</v>
      </c>
      <c r="G206" s="350">
        <f t="shared" si="27"/>
        <v>1.5625</v>
      </c>
      <c r="H206" s="310" t="s">
        <v>839</v>
      </c>
      <c r="J206" s="350">
        <f>'CO2 INJECTION'!$D$19</f>
        <v>1.5625</v>
      </c>
      <c r="K206" s="350">
        <f>'CO2 INJECTION'!$D$19</f>
        <v>1.5625</v>
      </c>
      <c r="L206" s="350">
        <f>'CO2 INJECTION'!$D$19</f>
        <v>1.5625</v>
      </c>
      <c r="N206" s="350">
        <f>'CO2 INJECTION'!$D$19</f>
        <v>1.5625</v>
      </c>
      <c r="O206" s="350">
        <f>'CO2 INJECTION'!$D$19</f>
        <v>1.5625</v>
      </c>
      <c r="Q206" s="350">
        <f>'CO2 INJECTION'!$D$19</f>
        <v>1.5625</v>
      </c>
      <c r="R206" s="350">
        <f>'CO2 INJECTION'!$D$19</f>
        <v>1.5625</v>
      </c>
      <c r="S206" s="350">
        <f>'CO2 INJECTION'!$D$19</f>
        <v>1.5625</v>
      </c>
    </row>
    <row r="207" spans="2:19" x14ac:dyDescent="0.25">
      <c r="B207" s="315"/>
      <c r="C207" s="310" t="s">
        <v>674</v>
      </c>
      <c r="D207" s="310" t="s">
        <v>766</v>
      </c>
      <c r="E207" s="310" t="s">
        <v>1110</v>
      </c>
      <c r="F207" s="310" t="s">
        <v>757</v>
      </c>
      <c r="G207" s="696">
        <f t="shared" si="27"/>
        <v>5</v>
      </c>
      <c r="H207" s="310"/>
      <c r="J207" s="696">
        <f>'CO2 INJECTION'!$D$88</f>
        <v>5</v>
      </c>
      <c r="K207" s="696">
        <f>'CO2 INJECTION'!$D$88</f>
        <v>5</v>
      </c>
      <c r="L207" s="696">
        <f>'CO2 INJECTION'!$D$88</f>
        <v>5</v>
      </c>
      <c r="N207" s="696">
        <f>'CO2 INJECTION'!$D$88</f>
        <v>5</v>
      </c>
      <c r="O207" s="696">
        <f>'CO2 INJECTION'!$D$88</f>
        <v>5</v>
      </c>
      <c r="Q207" s="696">
        <f>'CO2 INJECTION'!$D$88</f>
        <v>5</v>
      </c>
      <c r="R207" s="696">
        <f>'CO2 INJECTION'!$D$88</f>
        <v>5</v>
      </c>
      <c r="S207" s="696">
        <f>'CO2 INJECTION'!$D$88</f>
        <v>5</v>
      </c>
    </row>
    <row r="208" spans="2:19" x14ac:dyDescent="0.25">
      <c r="B208" s="315"/>
      <c r="C208" s="325" t="s">
        <v>674</v>
      </c>
      <c r="D208" s="325" t="s">
        <v>766</v>
      </c>
      <c r="E208" s="325" t="str">
        <f>'CO2 INJECTION'!C89</f>
        <v>New CO2 wells required</v>
      </c>
      <c r="F208" s="325" t="s">
        <v>757</v>
      </c>
      <c r="G208" s="696">
        <f t="shared" si="27"/>
        <v>-5</v>
      </c>
      <c r="H208" s="325"/>
      <c r="J208" s="696">
        <f>'CO2 INJECTION'!$D$89</f>
        <v>-5</v>
      </c>
      <c r="K208" s="696">
        <f>'CO2 INJECTION'!$D$89</f>
        <v>-5</v>
      </c>
      <c r="L208" s="696">
        <f>'CO2 INJECTION'!$D$89</f>
        <v>-5</v>
      </c>
      <c r="N208" s="696">
        <f>'CO2 INJECTION'!$D$89</f>
        <v>-5</v>
      </c>
      <c r="O208" s="696">
        <f>'CO2 INJECTION'!$D$89</f>
        <v>-5</v>
      </c>
      <c r="Q208" s="696">
        <f>'CO2 INJECTION'!$D$89</f>
        <v>-5</v>
      </c>
      <c r="R208" s="696">
        <f>'CO2 INJECTION'!$D$89</f>
        <v>-5</v>
      </c>
      <c r="S208" s="696">
        <f>'CO2 INJECTION'!$D$89</f>
        <v>-5</v>
      </c>
    </row>
    <row r="209" spans="2:20" x14ac:dyDescent="0.25">
      <c r="B209" s="315"/>
      <c r="C209" s="310" t="s">
        <v>674</v>
      </c>
      <c r="D209" s="310" t="s">
        <v>766</v>
      </c>
      <c r="E209" s="310" t="s">
        <v>1107</v>
      </c>
      <c r="F209" s="310" t="s">
        <v>562</v>
      </c>
      <c r="G209" s="350">
        <f t="shared" si="27"/>
        <v>0</v>
      </c>
      <c r="H209" s="310"/>
      <c r="J209" s="350">
        <f>'CO2 INJECTION'!$H$12</f>
        <v>0</v>
      </c>
      <c r="K209" s="350">
        <f>'CO2 INJECTION'!$H$12</f>
        <v>0</v>
      </c>
      <c r="L209" s="350">
        <f>'CO2 INJECTION'!$H$12</f>
        <v>0</v>
      </c>
      <c r="N209" s="350">
        <f>'CO2 INJECTION'!$H$12</f>
        <v>0</v>
      </c>
      <c r="O209" s="350">
        <f>'CO2 INJECTION'!$H$12</f>
        <v>0</v>
      </c>
      <c r="Q209" s="350">
        <f>'CO2 INJECTION'!$H$12</f>
        <v>0</v>
      </c>
      <c r="R209" s="350">
        <f>'CO2 INJECTION'!$H$12</f>
        <v>0</v>
      </c>
      <c r="S209" s="350">
        <f>'CO2 INJECTION'!$H$12</f>
        <v>0</v>
      </c>
    </row>
    <row r="210" spans="2:20" x14ac:dyDescent="0.25">
      <c r="B210" s="315"/>
      <c r="C210" s="310" t="s">
        <v>674</v>
      </c>
      <c r="D210" s="310" t="s">
        <v>766</v>
      </c>
      <c r="E210" s="310" t="s">
        <v>1102</v>
      </c>
      <c r="F210" s="310" t="s">
        <v>562</v>
      </c>
      <c r="G210" s="350">
        <f t="shared" si="27"/>
        <v>35000000</v>
      </c>
      <c r="H210" s="310"/>
      <c r="J210" s="350">
        <f>'CO2 INJECTION'!$H$9</f>
        <v>35000000</v>
      </c>
      <c r="K210" s="350">
        <f>'CO2 INJECTION'!$H$9</f>
        <v>35000000</v>
      </c>
      <c r="L210" s="350">
        <f>'CO2 INJECTION'!$H$9</f>
        <v>35000000</v>
      </c>
      <c r="N210" s="350">
        <f>'CO2 INJECTION'!$H$9</f>
        <v>35000000</v>
      </c>
      <c r="O210" s="350">
        <f>'CO2 INJECTION'!$H$9</f>
        <v>35000000</v>
      </c>
      <c r="Q210" s="350">
        <f>'CO2 INJECTION'!$H$9</f>
        <v>35000000</v>
      </c>
      <c r="R210" s="350">
        <f>'CO2 INJECTION'!$H$9</f>
        <v>35000000</v>
      </c>
      <c r="S210" s="350">
        <f>'CO2 INJECTION'!$H$9</f>
        <v>35000000</v>
      </c>
    </row>
    <row r="211" spans="2:20" s="1143" customFormat="1" x14ac:dyDescent="0.25">
      <c r="B211" s="315"/>
      <c r="C211" s="325" t="s">
        <v>674</v>
      </c>
      <c r="D211" s="325" t="s">
        <v>766</v>
      </c>
      <c r="E211" s="1171" t="str">
        <f>'CO2 INJECTION'!G13</f>
        <v>Total Opex wells</v>
      </c>
      <c r="F211" s="325" t="str">
        <f>'CO2 INJECTION'!I13</f>
        <v>EUR/a</v>
      </c>
      <c r="G211" s="350">
        <f t="shared" si="27"/>
        <v>700000</v>
      </c>
      <c r="H211" s="325"/>
      <c r="J211" s="350">
        <f>'CO2 INJECTION'!$H$13</f>
        <v>700000</v>
      </c>
      <c r="K211" s="350">
        <f>'CO2 INJECTION'!$H$13</f>
        <v>700000</v>
      </c>
      <c r="L211" s="350">
        <f>'CO2 INJECTION'!$H$13</f>
        <v>700000</v>
      </c>
      <c r="N211" s="350">
        <f>'CO2 INJECTION'!$H$13</f>
        <v>700000</v>
      </c>
      <c r="O211" s="350">
        <f>'CO2 INJECTION'!$H$13</f>
        <v>700000</v>
      </c>
      <c r="Q211" s="350">
        <f>'CO2 INJECTION'!$H$13</f>
        <v>700000</v>
      </c>
      <c r="R211" s="350">
        <f>'CO2 INJECTION'!$H$13</f>
        <v>700000</v>
      </c>
      <c r="S211" s="350">
        <f>'CO2 INJECTION'!$H$13</f>
        <v>700000</v>
      </c>
    </row>
    <row r="212" spans="2:20" x14ac:dyDescent="0.25">
      <c r="B212" s="315"/>
      <c r="C212" s="310" t="s">
        <v>674</v>
      </c>
      <c r="D212" s="310" t="s">
        <v>766</v>
      </c>
      <c r="E212" s="310" t="s">
        <v>1667</v>
      </c>
      <c r="F212" s="310" t="s">
        <v>914</v>
      </c>
      <c r="G212" s="331">
        <f t="shared" si="27"/>
        <v>833333.33333333326</v>
      </c>
      <c r="H212" s="353" t="s">
        <v>1103</v>
      </c>
      <c r="J212" s="331">
        <f>'CO2 INJECTION'!$H$14</f>
        <v>833333.33333333326</v>
      </c>
      <c r="K212" s="331">
        <f>'CO2 INJECTION'!$H$14</f>
        <v>833333.33333333326</v>
      </c>
      <c r="L212" s="331">
        <f>'CO2 INJECTION'!$H$14</f>
        <v>833333.33333333326</v>
      </c>
      <c r="N212" s="331">
        <f>'CO2 INJECTION'!$H$14</f>
        <v>833333.33333333326</v>
      </c>
      <c r="O212" s="331">
        <f>'CO2 INJECTION'!$H$14</f>
        <v>833333.33333333326</v>
      </c>
      <c r="Q212" s="331">
        <f>'CO2 INJECTION'!$H$14</f>
        <v>833333.33333333326</v>
      </c>
      <c r="R212" s="331">
        <f>'CO2 INJECTION'!$H$14</f>
        <v>833333.33333333326</v>
      </c>
      <c r="S212" s="331">
        <f>'CO2 INJECTION'!$H$14</f>
        <v>833333.33333333326</v>
      </c>
    </row>
    <row r="213" spans="2:20" ht="18" x14ac:dyDescent="0.35">
      <c r="B213" s="315"/>
      <c r="C213" s="310" t="s">
        <v>674</v>
      </c>
      <c r="D213" s="310" t="s">
        <v>766</v>
      </c>
      <c r="E213" s="310" t="s">
        <v>1208</v>
      </c>
      <c r="F213" s="310" t="s">
        <v>588</v>
      </c>
      <c r="G213" s="331">
        <f t="shared" si="27"/>
        <v>22222222.222222224</v>
      </c>
      <c r="H213" s="353"/>
      <c r="J213" s="331">
        <f>'CO2 INJECTION'!$H$10</f>
        <v>22222222.222222224</v>
      </c>
      <c r="K213" s="331">
        <f>'CO2 INJECTION'!$H$10</f>
        <v>22222222.222222224</v>
      </c>
      <c r="L213" s="331">
        <f>'CO2 INJECTION'!$H$10</f>
        <v>22222222.222222224</v>
      </c>
      <c r="N213" s="331">
        <f>'CO2 INJECTION'!$H$10</f>
        <v>22222222.222222224</v>
      </c>
      <c r="O213" s="331">
        <f>'CO2 INJECTION'!$H$10</f>
        <v>22222222.222222224</v>
      </c>
      <c r="Q213" s="331">
        <f>'CO2 INJECTION'!$H$10</f>
        <v>22222222.222222224</v>
      </c>
      <c r="R213" s="331">
        <f>'CO2 INJECTION'!$H$10</f>
        <v>22222222.222222224</v>
      </c>
      <c r="S213" s="331">
        <f>'CO2 INJECTION'!$H$10</f>
        <v>22222222.222222224</v>
      </c>
    </row>
    <row r="214" spans="2:20" ht="18" x14ac:dyDescent="0.35">
      <c r="B214" s="315"/>
      <c r="C214" s="310" t="s">
        <v>674</v>
      </c>
      <c r="D214" s="310" t="s">
        <v>766</v>
      </c>
      <c r="E214" s="310" t="s">
        <v>1209</v>
      </c>
      <c r="F214" s="310" t="s">
        <v>588</v>
      </c>
      <c r="G214" s="331">
        <f t="shared" si="27"/>
        <v>22222222.222222224</v>
      </c>
      <c r="H214" s="353"/>
      <c r="J214" s="331">
        <f>'CO2 INJECTION'!$H$11</f>
        <v>22222222.222222224</v>
      </c>
      <c r="K214" s="331">
        <f>'CO2 INJECTION'!$H$11</f>
        <v>22222222.222222224</v>
      </c>
      <c r="L214" s="331">
        <f>'CO2 INJECTION'!$H$11</f>
        <v>22222222.222222224</v>
      </c>
      <c r="N214" s="331">
        <f>'CO2 INJECTION'!$H$11</f>
        <v>22222222.222222224</v>
      </c>
      <c r="O214" s="331">
        <f>'CO2 INJECTION'!$H$11</f>
        <v>22222222.222222224</v>
      </c>
      <c r="Q214" s="331">
        <f>'CO2 INJECTION'!$H$11</f>
        <v>22222222.222222224</v>
      </c>
      <c r="R214" s="331">
        <f>'CO2 INJECTION'!$H$11</f>
        <v>22222222.222222224</v>
      </c>
      <c r="S214" s="331">
        <f>'CO2 INJECTION'!$H$11</f>
        <v>22222222.222222224</v>
      </c>
    </row>
    <row r="215" spans="2:20" x14ac:dyDescent="0.25">
      <c r="B215" s="315"/>
      <c r="C215" s="325" t="s">
        <v>674</v>
      </c>
      <c r="D215" s="325" t="s">
        <v>766</v>
      </c>
      <c r="E215" s="325" t="str">
        <f>'CO2 INJECTION'!K6</f>
        <v>Total pump area</v>
      </c>
      <c r="F215" s="325" t="str">
        <f>'CO2 INJECTION'!M6</f>
        <v>m²</v>
      </c>
      <c r="G215" s="331">
        <f t="shared" si="27"/>
        <v>0</v>
      </c>
      <c r="H215" s="353"/>
      <c r="J215" s="331">
        <f>'CO2 INJECTION'!$L$6</f>
        <v>0</v>
      </c>
      <c r="K215" s="331">
        <f>'CO2 INJECTION'!$L$6</f>
        <v>0</v>
      </c>
      <c r="L215" s="331">
        <f>'CO2 INJECTION'!$L$6</f>
        <v>0</v>
      </c>
      <c r="N215" s="331">
        <f>'CO2 INJECTION'!$L$6</f>
        <v>0</v>
      </c>
      <c r="O215" s="331">
        <f>'CO2 INJECTION'!$L$6</f>
        <v>0</v>
      </c>
      <c r="Q215" s="331">
        <f>'CO2 INJECTION'!$L$6</f>
        <v>0</v>
      </c>
      <c r="R215" s="331">
        <f>'CO2 INJECTION'!$L$6</f>
        <v>0</v>
      </c>
      <c r="S215" s="331">
        <f>'CO2 INJECTION'!$L$6</f>
        <v>0</v>
      </c>
    </row>
    <row r="216" spans="2:20" x14ac:dyDescent="0.25">
      <c r="B216" s="315"/>
      <c r="C216" s="325" t="s">
        <v>674</v>
      </c>
      <c r="D216" s="325" t="s">
        <v>766</v>
      </c>
      <c r="E216" s="325" t="str">
        <f>'CO2 INJECTION'!K7</f>
        <v>Total pump weight</v>
      </c>
      <c r="F216" s="325" t="s">
        <v>112</v>
      </c>
      <c r="G216" s="331">
        <f t="shared" si="27"/>
        <v>0</v>
      </c>
      <c r="H216" s="353"/>
      <c r="J216" s="331">
        <f>'CO2 INJECTION'!$L$7</f>
        <v>0</v>
      </c>
      <c r="K216" s="331">
        <f>'CO2 INJECTION'!$L$7</f>
        <v>0</v>
      </c>
      <c r="L216" s="331">
        <f>'CO2 INJECTION'!$L$7</f>
        <v>0</v>
      </c>
      <c r="N216" s="331">
        <f>'CO2 INJECTION'!$L$7</f>
        <v>0</v>
      </c>
      <c r="O216" s="331">
        <f>'CO2 INJECTION'!$L$7</f>
        <v>0</v>
      </c>
      <c r="Q216" s="331">
        <f>'CO2 INJECTION'!$L$7</f>
        <v>0</v>
      </c>
      <c r="R216" s="331">
        <f>'CO2 INJECTION'!$L$7</f>
        <v>0</v>
      </c>
      <c r="S216" s="331">
        <f>'CO2 INJECTION'!$L$7</f>
        <v>0</v>
      </c>
    </row>
    <row r="217" spans="2:20" x14ac:dyDescent="0.25">
      <c r="B217" s="315"/>
      <c r="C217" s="310" t="s">
        <v>674</v>
      </c>
      <c r="D217" s="310" t="s">
        <v>766</v>
      </c>
      <c r="E217" s="310" t="s">
        <v>542</v>
      </c>
      <c r="F217" s="310" t="s">
        <v>849</v>
      </c>
      <c r="G217" s="331">
        <f t="shared" si="27"/>
        <v>0</v>
      </c>
      <c r="H217" s="310" t="s">
        <v>853</v>
      </c>
      <c r="J217" s="331">
        <f>'CO2 INJECTION'!$H$15</f>
        <v>0</v>
      </c>
      <c r="K217" s="331">
        <f>'CO2 INJECTION'!$H$15</f>
        <v>0</v>
      </c>
      <c r="L217" s="331">
        <f>'CO2 INJECTION'!$H$15</f>
        <v>0</v>
      </c>
      <c r="N217" s="331">
        <f>'CO2 INJECTION'!$H$15</f>
        <v>0</v>
      </c>
      <c r="O217" s="331">
        <f>'CO2 INJECTION'!$H$15</f>
        <v>0</v>
      </c>
      <c r="Q217" s="331">
        <f>'CO2 INJECTION'!$H$15</f>
        <v>0</v>
      </c>
      <c r="R217" s="331">
        <f>'CO2 INJECTION'!$H$15</f>
        <v>0</v>
      </c>
      <c r="S217" s="331">
        <f>'CO2 INJECTION'!$H$15</f>
        <v>0</v>
      </c>
    </row>
    <row r="218" spans="2:20" x14ac:dyDescent="0.25">
      <c r="B218" s="315"/>
      <c r="C218" s="310" t="s">
        <v>674</v>
      </c>
      <c r="D218" s="310" t="s">
        <v>766</v>
      </c>
      <c r="E218" s="310" t="s">
        <v>852</v>
      </c>
      <c r="F218" s="310" t="s">
        <v>769</v>
      </c>
      <c r="G218" s="331">
        <f t="shared" si="27"/>
        <v>0</v>
      </c>
      <c r="H218" s="310" t="s">
        <v>853</v>
      </c>
      <c r="J218" s="331">
        <f>'CO2 INJECTION'!$W$66</f>
        <v>0</v>
      </c>
      <c r="K218" s="331">
        <f>'CO2 INJECTION'!$W$66</f>
        <v>0</v>
      </c>
      <c r="L218" s="331">
        <f>'CO2 INJECTION'!$W$66</f>
        <v>0</v>
      </c>
      <c r="N218" s="331">
        <f>'CO2 INJECTION'!$W$66</f>
        <v>0</v>
      </c>
      <c r="O218" s="331">
        <f>'CO2 INJECTION'!$W$66</f>
        <v>0</v>
      </c>
      <c r="Q218" s="331">
        <f>'CO2 INJECTION'!$W$66</f>
        <v>0</v>
      </c>
      <c r="R218" s="331">
        <f>'CO2 INJECTION'!$W$66</f>
        <v>0</v>
      </c>
      <c r="S218" s="331">
        <f>'CO2 INJECTION'!$W$66</f>
        <v>0</v>
      </c>
    </row>
    <row r="219" spans="2:20" x14ac:dyDescent="0.25">
      <c r="B219" s="315"/>
      <c r="C219" s="310" t="s">
        <v>674</v>
      </c>
      <c r="D219" s="310" t="s">
        <v>120</v>
      </c>
      <c r="E219" s="310" t="s">
        <v>809</v>
      </c>
      <c r="F219" s="310" t="s">
        <v>757</v>
      </c>
      <c r="G219" s="688" t="str">
        <f t="shared" si="27"/>
        <v>P15-D</v>
      </c>
      <c r="H219" s="310"/>
      <c r="J219" s="967" t="s">
        <v>508</v>
      </c>
      <c r="K219" s="967" t="s">
        <v>508</v>
      </c>
      <c r="L219" s="967" t="s">
        <v>508</v>
      </c>
      <c r="M219" s="962"/>
      <c r="N219" s="967" t="s">
        <v>360</v>
      </c>
      <c r="O219" s="967" t="s">
        <v>360</v>
      </c>
      <c r="P219" s="962"/>
      <c r="Q219" s="967" t="s">
        <v>231</v>
      </c>
      <c r="R219" s="967" t="s">
        <v>231</v>
      </c>
      <c r="S219" s="967" t="s">
        <v>231</v>
      </c>
    </row>
    <row r="220" spans="2:20" s="1186" customFormat="1" x14ac:dyDescent="0.25">
      <c r="B220" s="315"/>
      <c r="C220" s="1188" t="s">
        <v>674</v>
      </c>
      <c r="D220" s="1188" t="s">
        <v>120</v>
      </c>
      <c r="E220" s="1188" t="s">
        <v>1690</v>
      </c>
      <c r="F220" s="1188" t="s">
        <v>757</v>
      </c>
      <c r="G220" s="688">
        <f t="shared" si="27"/>
        <v>0</v>
      </c>
      <c r="H220" s="1188"/>
      <c r="J220" s="689">
        <v>0</v>
      </c>
      <c r="K220" s="689">
        <v>0</v>
      </c>
      <c r="L220" s="689">
        <v>0</v>
      </c>
      <c r="M220" s="962"/>
      <c r="N220" s="689">
        <v>0</v>
      </c>
      <c r="O220" s="689">
        <v>0</v>
      </c>
      <c r="P220" s="962"/>
      <c r="Q220" s="689">
        <v>0</v>
      </c>
      <c r="R220" s="689">
        <v>0</v>
      </c>
      <c r="S220" s="689">
        <v>0</v>
      </c>
      <c r="T220" s="962"/>
    </row>
    <row r="221" spans="2:20" s="1186" customFormat="1" x14ac:dyDescent="0.25">
      <c r="B221" s="315"/>
      <c r="C221" s="1188" t="s">
        <v>674</v>
      </c>
      <c r="D221" s="1188" t="s">
        <v>120</v>
      </c>
      <c r="E221" s="1316" t="s">
        <v>1692</v>
      </c>
      <c r="F221" s="1188" t="s">
        <v>1691</v>
      </c>
      <c r="G221" s="688">
        <f t="shared" si="27"/>
        <v>40000000</v>
      </c>
      <c r="H221" s="1188"/>
      <c r="J221" s="689">
        <v>40000000</v>
      </c>
      <c r="K221" s="689">
        <v>40000000</v>
      </c>
      <c r="L221" s="689">
        <v>40000000</v>
      </c>
      <c r="M221" s="962"/>
      <c r="N221" s="689">
        <v>40000000</v>
      </c>
      <c r="O221" s="689">
        <v>40000000</v>
      </c>
      <c r="P221" s="962"/>
      <c r="Q221" s="689">
        <v>40000000</v>
      </c>
      <c r="R221" s="689">
        <v>40000000</v>
      </c>
      <c r="S221" s="689">
        <v>40000000</v>
      </c>
      <c r="T221" s="962"/>
    </row>
    <row r="222" spans="2:20" s="1143" customFormat="1" x14ac:dyDescent="0.25">
      <c r="B222" s="315"/>
      <c r="C222" s="325" t="s">
        <v>674</v>
      </c>
      <c r="D222" s="325" t="s">
        <v>120</v>
      </c>
      <c r="E222" s="325" t="s">
        <v>1637</v>
      </c>
      <c r="F222" s="325" t="s">
        <v>29</v>
      </c>
      <c r="G222" s="688">
        <f t="shared" si="27"/>
        <v>0</v>
      </c>
      <c r="H222" s="325" t="s">
        <v>1638</v>
      </c>
      <c r="J222" s="689">
        <v>0</v>
      </c>
      <c r="K222" s="689">
        <v>0</v>
      </c>
      <c r="L222" s="689">
        <v>0</v>
      </c>
      <c r="N222" s="689">
        <v>0</v>
      </c>
      <c r="O222" s="689">
        <v>15</v>
      </c>
      <c r="Q222" s="689">
        <v>0</v>
      </c>
      <c r="R222" s="689">
        <v>0</v>
      </c>
      <c r="S222" s="689">
        <v>0</v>
      </c>
    </row>
    <row r="223" spans="2:20" s="1143" customFormat="1" x14ac:dyDescent="0.25">
      <c r="B223" s="315"/>
      <c r="C223" s="325" t="s">
        <v>674</v>
      </c>
      <c r="D223" s="325" t="s">
        <v>120</v>
      </c>
      <c r="E223" s="742" t="str">
        <f>'CO2 PLATFORM'!K25</f>
        <v>Booster capacity</v>
      </c>
      <c r="F223" s="325" t="str">
        <f>'CO2 PLATFORM'!M25</f>
        <v>MW</v>
      </c>
      <c r="G223" s="350">
        <f t="shared" si="27"/>
        <v>0</v>
      </c>
      <c r="H223" s="325"/>
      <c r="J223" s="350">
        <f>'CO2 PLATFORM'!$L$25</f>
        <v>0</v>
      </c>
      <c r="K223" s="350">
        <f>'CO2 PLATFORM'!$L$25</f>
        <v>0</v>
      </c>
      <c r="L223" s="350">
        <f>'CO2 PLATFORM'!$L$25</f>
        <v>0</v>
      </c>
      <c r="N223" s="350">
        <f>'CO2 PLATFORM'!$L$25</f>
        <v>0</v>
      </c>
      <c r="O223" s="350">
        <f>'CO2 PLATFORM'!$L$25</f>
        <v>0</v>
      </c>
      <c r="Q223" s="350">
        <f>'CO2 PLATFORM'!$L$25</f>
        <v>0</v>
      </c>
      <c r="R223" s="350">
        <f>'CO2 PLATFORM'!$L$25</f>
        <v>0</v>
      </c>
      <c r="S223" s="350">
        <f>'CO2 PLATFORM'!$L$25</f>
        <v>0</v>
      </c>
    </row>
    <row r="224" spans="2:20" s="1143" customFormat="1" x14ac:dyDescent="0.25">
      <c r="B224" s="315"/>
      <c r="C224" s="325" t="s">
        <v>674</v>
      </c>
      <c r="D224" s="325" t="s">
        <v>120</v>
      </c>
      <c r="E224" s="325" t="str">
        <f>'CO2 PLATFORM'!G14</f>
        <v>Energy consumption booster</v>
      </c>
      <c r="F224" s="325" t="str">
        <f>'CO2 PLATFORM'!I14</f>
        <v>MWh/a</v>
      </c>
      <c r="G224" s="350">
        <f t="shared" si="27"/>
        <v>0</v>
      </c>
      <c r="H224" s="325"/>
      <c r="J224" s="350">
        <f>'CO2 PLATFORM'!$H$14</f>
        <v>0</v>
      </c>
      <c r="K224" s="350">
        <f>'CO2 PLATFORM'!$H$14</f>
        <v>0</v>
      </c>
      <c r="L224" s="350">
        <f>'CO2 PLATFORM'!$H$14</f>
        <v>0</v>
      </c>
      <c r="N224" s="350">
        <f>'CO2 PLATFORM'!$H$14</f>
        <v>0</v>
      </c>
      <c r="O224" s="350">
        <f>'CO2 PLATFORM'!$H$14</f>
        <v>0</v>
      </c>
      <c r="Q224" s="350">
        <f>'CO2 PLATFORM'!$H$14</f>
        <v>0</v>
      </c>
      <c r="R224" s="350">
        <f>'CO2 PLATFORM'!$H$14</f>
        <v>0</v>
      </c>
      <c r="S224" s="350">
        <f>'CO2 PLATFORM'!$H$14</f>
        <v>0</v>
      </c>
    </row>
    <row r="225" spans="2:19" s="1143" customFormat="1" x14ac:dyDescent="0.25">
      <c r="B225" s="315"/>
      <c r="C225" s="325" t="s">
        <v>674</v>
      </c>
      <c r="D225" s="325" t="s">
        <v>120</v>
      </c>
      <c r="E225" s="325" t="s">
        <v>1647</v>
      </c>
      <c r="F225" s="325" t="s">
        <v>1122</v>
      </c>
      <c r="G225" s="1161">
        <f t="shared" si="27"/>
        <v>0.02</v>
      </c>
      <c r="H225" s="325"/>
      <c r="J225" s="1160">
        <v>0.02</v>
      </c>
      <c r="K225" s="1160">
        <v>0.02</v>
      </c>
      <c r="L225" s="1160">
        <v>0.02</v>
      </c>
      <c r="N225" s="1160">
        <v>0.02</v>
      </c>
      <c r="O225" s="1160">
        <v>0.02</v>
      </c>
      <c r="Q225" s="1160">
        <v>0.02</v>
      </c>
      <c r="R225" s="1160">
        <v>0.02</v>
      </c>
      <c r="S225" s="1160">
        <v>0.02</v>
      </c>
    </row>
    <row r="226" spans="2:19" x14ac:dyDescent="0.25">
      <c r="B226" s="315"/>
      <c r="C226" s="310" t="s">
        <v>674</v>
      </c>
      <c r="D226" s="310" t="s">
        <v>120</v>
      </c>
      <c r="E226" s="310" t="s">
        <v>1111</v>
      </c>
      <c r="F226" s="310" t="s">
        <v>46</v>
      </c>
      <c r="G226" s="350">
        <f t="shared" si="27"/>
        <v>121.25807521071114</v>
      </c>
      <c r="H226" s="310"/>
      <c r="J226" s="350">
        <f>IFERROR(HLOOKUP(J$109-1,Output!$E$320:$BL$334,MATCH(Output!$E$330,Output!$E$320:$E$334,0)),0)</f>
        <v>30.11971706980685</v>
      </c>
      <c r="K226" s="350">
        <f>IFERROR(HLOOKUP(K$109-1,Output!$E$320:$BL$334,MATCH(Output!$E$330,Output!$E$320:$E$334,0)),0)</f>
        <v>30.11971706980685</v>
      </c>
      <c r="L226" s="350">
        <f>IFERROR(HLOOKUP(L$109-1,Output!$E$320:$BL$334,MATCH(Output!$E$330,Output!$E$320:$E$334,0)),0)</f>
        <v>0</v>
      </c>
      <c r="N226" s="350">
        <f>IFERROR(HLOOKUP(N$109-1,Output!$E$320:$BL$334,MATCH(Output!$E$330,Output!$E$320:$E$334,0)),0)</f>
        <v>121.25807521071114</v>
      </c>
      <c r="O226" s="350">
        <f>IFERROR(HLOOKUP(O$109-1,Output!$E$320:$BL$334,MATCH(Output!$E$330,Output!$E$320:$E$334,0)),0)</f>
        <v>30.11971706980685</v>
      </c>
      <c r="Q226" s="350">
        <f>IFERROR(HLOOKUP(Q$109-1,Output!$E$320:$BL$334,MATCH(Output!$E$330,Output!$E$320:$E$334,0)),0)</f>
        <v>30.11971706980685</v>
      </c>
      <c r="R226" s="350">
        <f>IFERROR(HLOOKUP(R$109-1,Output!$E$320:$BL$334,MATCH(Output!$E$330,Output!$E$320:$E$334,0)),0)</f>
        <v>121.25807521071114</v>
      </c>
      <c r="S226" s="350">
        <f>IFERROR(HLOOKUP(S$109-1,Output!$E$320:$BL$334,MATCH(Output!$E$330,Output!$E$320:$E$334,0)),0)</f>
        <v>30.11971706980685</v>
      </c>
    </row>
    <row r="227" spans="2:19" x14ac:dyDescent="0.25">
      <c r="B227" s="315"/>
      <c r="C227" s="310" t="s">
        <v>674</v>
      </c>
      <c r="D227" s="310" t="s">
        <v>120</v>
      </c>
      <c r="E227" s="310" t="s">
        <v>1112</v>
      </c>
      <c r="F227" s="310" t="s">
        <v>46</v>
      </c>
      <c r="G227" s="350">
        <f t="shared" si="27"/>
        <v>0</v>
      </c>
      <c r="H227" s="310"/>
      <c r="J227" s="331">
        <f>IFERROR(HLOOKUP(J$109,Output!$E$320:$BL$334,MATCH(Output!$E$333,Output!$E$320:$E$334,0)),0)</f>
        <v>0</v>
      </c>
      <c r="K227" s="331">
        <f>IFERROR(HLOOKUP(K$109,Output!$E$320:$BL$334,MATCH(Output!$E$333,Output!$E$320:$E$334,0)),0)</f>
        <v>0</v>
      </c>
      <c r="L227" s="331">
        <f>IFERROR(HLOOKUP(L$109,Output!$E$320:$BL$334,MATCH(Output!$E$333,Output!$E$320:$E$334,0)),0)</f>
        <v>0</v>
      </c>
      <c r="N227" s="331">
        <f>IFERROR(HLOOKUP(N$109,Output!$E$320:$BL$334,MATCH(Output!$E$333,Output!$E$320:$E$334,0)),0)</f>
        <v>0</v>
      </c>
      <c r="O227" s="331">
        <f>IFERROR(HLOOKUP(O$109,Output!$E$320:$BL$334,MATCH(Output!$E$333,Output!$E$320:$E$334,0)),0)</f>
        <v>0</v>
      </c>
      <c r="Q227" s="331">
        <f>IFERROR(HLOOKUP(Q$109,Output!$E$320:$BL$334,MATCH(Output!$E$333,Output!$E$320:$E$334,0)),0)</f>
        <v>0</v>
      </c>
      <c r="R227" s="331">
        <f>IFERROR(HLOOKUP(R$109,Output!$E$320:$BL$334,MATCH(Output!$E$333,Output!$E$320:$E$334,0)),0)</f>
        <v>0</v>
      </c>
      <c r="S227" s="331">
        <f>IFERROR(HLOOKUP(S$109,Output!$E$320:$BL$334,MATCH(Output!$E$333,Output!$E$320:$E$334,0)),0)</f>
        <v>0</v>
      </c>
    </row>
    <row r="228" spans="2:19" x14ac:dyDescent="0.25">
      <c r="B228" s="315"/>
      <c r="C228" s="325" t="s">
        <v>674</v>
      </c>
      <c r="D228" s="325" t="s">
        <v>120</v>
      </c>
      <c r="E228" s="325" t="s">
        <v>1599</v>
      </c>
      <c r="F228" s="325" t="s">
        <v>46</v>
      </c>
      <c r="G228" s="689" t="str">
        <f t="shared" si="27"/>
        <v/>
      </c>
      <c r="H228" s="326" t="s">
        <v>1601</v>
      </c>
      <c r="J228" s="689">
        <v>0</v>
      </c>
      <c r="K228" s="689">
        <v>0</v>
      </c>
      <c r="L228" s="689">
        <v>0</v>
      </c>
      <c r="N228" s="689"/>
      <c r="O228" s="689"/>
      <c r="Q228" s="689"/>
      <c r="R228" s="689"/>
      <c r="S228" s="689"/>
    </row>
    <row r="229" spans="2:19" x14ac:dyDescent="0.25">
      <c r="B229" s="315"/>
      <c r="C229" s="310" t="s">
        <v>674</v>
      </c>
      <c r="D229" s="310" t="s">
        <v>120</v>
      </c>
      <c r="E229" s="901" t="s">
        <v>1113</v>
      </c>
      <c r="F229" s="310" t="s">
        <v>562</v>
      </c>
      <c r="G229" s="689">
        <f t="shared" si="27"/>
        <v>7853400</v>
      </c>
      <c r="H229" s="310"/>
      <c r="J229" s="689">
        <v>7853400</v>
      </c>
      <c r="K229" s="689">
        <v>7853400</v>
      </c>
      <c r="L229" s="689">
        <v>7853400</v>
      </c>
      <c r="N229" s="689">
        <v>7853400</v>
      </c>
      <c r="O229" s="689">
        <v>7853400</v>
      </c>
      <c r="Q229" s="689">
        <v>7853400</v>
      </c>
      <c r="R229" s="689">
        <v>7853400</v>
      </c>
      <c r="S229" s="689">
        <v>7853400</v>
      </c>
    </row>
    <row r="230" spans="2:19" x14ac:dyDescent="0.25">
      <c r="B230" s="315"/>
      <c r="C230" s="310" t="s">
        <v>674</v>
      </c>
      <c r="D230" s="310" t="s">
        <v>120</v>
      </c>
      <c r="E230" s="901" t="s">
        <v>1118</v>
      </c>
      <c r="F230" s="310" t="s">
        <v>1116</v>
      </c>
      <c r="G230" s="689">
        <f t="shared" si="27"/>
        <v>2820</v>
      </c>
      <c r="H230" s="310"/>
      <c r="J230" s="689">
        <v>2820</v>
      </c>
      <c r="K230" s="689">
        <v>2820</v>
      </c>
      <c r="L230" s="689">
        <v>2820</v>
      </c>
      <c r="N230" s="689">
        <v>2820</v>
      </c>
      <c r="O230" s="689">
        <v>2820</v>
      </c>
      <c r="Q230" s="689">
        <v>2820</v>
      </c>
      <c r="R230" s="689">
        <v>2820</v>
      </c>
      <c r="S230" s="689">
        <v>2820</v>
      </c>
    </row>
    <row r="231" spans="2:19" x14ac:dyDescent="0.25">
      <c r="B231" s="315"/>
      <c r="C231" s="310" t="s">
        <v>674</v>
      </c>
      <c r="D231" s="310" t="s">
        <v>120</v>
      </c>
      <c r="E231" s="901" t="s">
        <v>1117</v>
      </c>
      <c r="F231" s="310" t="s">
        <v>1116</v>
      </c>
      <c r="G231" s="689">
        <f t="shared" si="27"/>
        <v>140000</v>
      </c>
      <c r="H231" s="310"/>
      <c r="J231" s="689">
        <v>140000</v>
      </c>
      <c r="K231" s="689">
        <v>140000</v>
      </c>
      <c r="L231" s="689">
        <v>140000</v>
      </c>
      <c r="N231" s="689">
        <v>140000</v>
      </c>
      <c r="O231" s="689">
        <v>140000</v>
      </c>
      <c r="Q231" s="689">
        <v>140000</v>
      </c>
      <c r="R231" s="689">
        <v>140000</v>
      </c>
      <c r="S231" s="689">
        <v>140000</v>
      </c>
    </row>
    <row r="232" spans="2:19" x14ac:dyDescent="0.25">
      <c r="B232" s="315"/>
      <c r="C232" s="310" t="s">
        <v>674</v>
      </c>
      <c r="D232" s="310" t="s">
        <v>120</v>
      </c>
      <c r="E232" s="901" t="s">
        <v>1114</v>
      </c>
      <c r="F232" s="310" t="s">
        <v>1115</v>
      </c>
      <c r="G232" s="689">
        <f t="shared" si="27"/>
        <v>121602.13636363637</v>
      </c>
      <c r="H232" s="310"/>
      <c r="J232" s="689">
        <v>121602.13636363637</v>
      </c>
      <c r="K232" s="689">
        <v>121602.13636363637</v>
      </c>
      <c r="L232" s="689">
        <v>121602.13636363637</v>
      </c>
      <c r="N232" s="689">
        <v>121602.13636363637</v>
      </c>
      <c r="O232" s="689">
        <v>121602.13636363637</v>
      </c>
      <c r="Q232" s="689">
        <v>121602.13636363637</v>
      </c>
      <c r="R232" s="689">
        <v>121602.13636363637</v>
      </c>
      <c r="S232" s="689">
        <v>121602.13636363637</v>
      </c>
    </row>
    <row r="233" spans="2:19" x14ac:dyDescent="0.25">
      <c r="B233" s="315"/>
      <c r="C233" s="310" t="s">
        <v>674</v>
      </c>
      <c r="D233" s="310" t="s">
        <v>120</v>
      </c>
      <c r="E233" s="901" t="s">
        <v>1119</v>
      </c>
      <c r="F233" s="310" t="s">
        <v>1122</v>
      </c>
      <c r="G233" s="689">
        <f t="shared" si="27"/>
        <v>0</v>
      </c>
      <c r="H233" s="310" t="s">
        <v>1611</v>
      </c>
      <c r="J233" s="707">
        <v>0</v>
      </c>
      <c r="K233" s="707">
        <v>0</v>
      </c>
      <c r="L233" s="707">
        <v>0</v>
      </c>
      <c r="N233" s="707">
        <v>0</v>
      </c>
      <c r="O233" s="707">
        <v>0</v>
      </c>
      <c r="Q233" s="707">
        <v>0</v>
      </c>
      <c r="R233" s="707">
        <v>0</v>
      </c>
      <c r="S233" s="707">
        <v>0</v>
      </c>
    </row>
    <row r="234" spans="2:19" x14ac:dyDescent="0.25">
      <c r="B234" s="315"/>
      <c r="C234" s="325" t="s">
        <v>674</v>
      </c>
      <c r="D234" s="310" t="s">
        <v>120</v>
      </c>
      <c r="E234" s="310" t="s">
        <v>1542</v>
      </c>
      <c r="F234" s="325" t="s">
        <v>1528</v>
      </c>
      <c r="G234" s="689">
        <f t="shared" si="27"/>
        <v>9.2831095406360422</v>
      </c>
      <c r="H234" s="325" t="s">
        <v>1544</v>
      </c>
      <c r="J234" s="689">
        <v>9.2831095406360422</v>
      </c>
      <c r="K234" s="689">
        <v>9.2831095406360422</v>
      </c>
      <c r="L234" s="689">
        <v>9.2831095406360422</v>
      </c>
      <c r="N234" s="689">
        <v>9.2831095406360422</v>
      </c>
      <c r="O234" s="689">
        <v>9.2831095406360422</v>
      </c>
      <c r="Q234" s="689">
        <v>9.2831095406360422</v>
      </c>
      <c r="R234" s="689">
        <v>9.2831095406360422</v>
      </c>
      <c r="S234" s="689">
        <v>9.2831095406360422</v>
      </c>
    </row>
    <row r="235" spans="2:19" x14ac:dyDescent="0.25">
      <c r="B235" s="315"/>
      <c r="C235" s="325" t="s">
        <v>674</v>
      </c>
      <c r="D235" s="325" t="s">
        <v>120</v>
      </c>
      <c r="E235" s="325" t="s">
        <v>1543</v>
      </c>
      <c r="F235" s="325" t="s">
        <v>886</v>
      </c>
      <c r="G235" s="689">
        <f t="shared" ref="G235:G246" si="28">IF(LEN(HLOOKUP($D$6,$J$9:$DG$501,ROW()-ROW($G$9)+1,FALSE))&lt;&gt;0,HLOOKUP($D$6,$J$9:$DG$501,ROW()-ROW($G$9)+1,FALSE),"")</f>
        <v>0.65073059234615382</v>
      </c>
      <c r="H235" s="325" t="s">
        <v>1545</v>
      </c>
      <c r="J235" s="689">
        <v>0.65073059234615382</v>
      </c>
      <c r="K235" s="689">
        <v>0.65073059234615382</v>
      </c>
      <c r="L235" s="689">
        <v>0.65073059234615382</v>
      </c>
      <c r="N235" s="689">
        <v>0.65073059234615382</v>
      </c>
      <c r="O235" s="689">
        <v>0.65073059234615382</v>
      </c>
      <c r="Q235" s="689">
        <v>0.65073059234615382</v>
      </c>
      <c r="R235" s="689">
        <v>0.65073059234615382</v>
      </c>
      <c r="S235" s="689">
        <v>0.65073059234615382</v>
      </c>
    </row>
    <row r="236" spans="2:19" x14ac:dyDescent="0.25">
      <c r="B236" s="315"/>
      <c r="C236" s="310" t="s">
        <v>674</v>
      </c>
      <c r="D236" s="310" t="s">
        <v>120</v>
      </c>
      <c r="E236" s="1318" t="s">
        <v>1210</v>
      </c>
      <c r="F236" s="310" t="s">
        <v>562</v>
      </c>
      <c r="G236" s="689">
        <f t="shared" si="28"/>
        <v>0</v>
      </c>
      <c r="H236" s="310"/>
      <c r="J236" s="1111">
        <v>0</v>
      </c>
      <c r="K236" s="1111">
        <v>0</v>
      </c>
      <c r="L236" s="1111">
        <v>0</v>
      </c>
      <c r="M236" s="959"/>
      <c r="N236" s="1111">
        <v>0</v>
      </c>
      <c r="O236" s="1111">
        <v>0</v>
      </c>
      <c r="P236" s="959"/>
      <c r="Q236" s="1111">
        <v>0</v>
      </c>
      <c r="R236" s="1111">
        <v>0</v>
      </c>
      <c r="S236" s="1111">
        <v>0</v>
      </c>
    </row>
    <row r="237" spans="2:19" s="1186" customFormat="1" x14ac:dyDescent="0.25">
      <c r="B237" s="315"/>
      <c r="C237" s="1188" t="s">
        <v>674</v>
      </c>
      <c r="D237" s="1188" t="s">
        <v>120</v>
      </c>
      <c r="E237" s="901" t="str">
        <f>'CO2 PLATFORM'!G56</f>
        <v>Total capex new platforms (CCS)</v>
      </c>
      <c r="F237" s="901" t="s">
        <v>562</v>
      </c>
      <c r="G237" s="331">
        <f t="shared" si="28"/>
        <v>0</v>
      </c>
      <c r="H237" s="901"/>
      <c r="I237" s="962"/>
      <c r="J237" s="331">
        <f>'CO2 PLATFORM'!$H$6</f>
        <v>0</v>
      </c>
      <c r="K237" s="331">
        <f>'CO2 PLATFORM'!$H$6</f>
        <v>0</v>
      </c>
      <c r="L237" s="331">
        <f>'CO2 PLATFORM'!$H$6</f>
        <v>0</v>
      </c>
      <c r="M237" s="962"/>
      <c r="N237" s="331">
        <f>'CO2 PLATFORM'!$H$6</f>
        <v>0</v>
      </c>
      <c r="O237" s="331">
        <f>'CO2 PLATFORM'!$H$6</f>
        <v>0</v>
      </c>
      <c r="P237" s="962"/>
      <c r="Q237" s="331">
        <f>'CO2 PLATFORM'!$H$6</f>
        <v>0</v>
      </c>
      <c r="R237" s="331">
        <f>'CO2 PLATFORM'!$H$6</f>
        <v>0</v>
      </c>
      <c r="S237" s="331">
        <f>'CO2 PLATFORM'!$H$6</f>
        <v>0</v>
      </c>
    </row>
    <row r="238" spans="2:19" x14ac:dyDescent="0.25">
      <c r="B238" s="315"/>
      <c r="C238" s="310" t="s">
        <v>674</v>
      </c>
      <c r="D238" s="310" t="s">
        <v>120</v>
      </c>
      <c r="E238" s="1318" t="s">
        <v>1607</v>
      </c>
      <c r="F238" s="310" t="s">
        <v>862</v>
      </c>
      <c r="G238" s="689">
        <f t="shared" si="28"/>
        <v>7936805.8527467251</v>
      </c>
      <c r="H238" s="310"/>
      <c r="J238" s="957">
        <v>0</v>
      </c>
      <c r="K238" s="957">
        <v>0</v>
      </c>
      <c r="L238" s="957">
        <v>0</v>
      </c>
      <c r="N238" s="957">
        <f>50%*(20*10^6-(N472+N448+N439+N422+N411+N211+N176))</f>
        <v>7936805.8527467251</v>
      </c>
      <c r="O238" s="957">
        <f>50%*(20*10^6-(O472+O448+O439+O422+O411+O211+O176))</f>
        <v>8209801.6665169792</v>
      </c>
      <c r="Q238" s="689">
        <v>10800000</v>
      </c>
      <c r="R238" s="689">
        <v>10800000</v>
      </c>
      <c r="S238" s="689">
        <v>10800000</v>
      </c>
    </row>
    <row r="239" spans="2:19" x14ac:dyDescent="0.25">
      <c r="B239" s="315"/>
      <c r="C239" s="310" t="s">
        <v>674</v>
      </c>
      <c r="D239" s="310" t="s">
        <v>120</v>
      </c>
      <c r="E239" s="901" t="s">
        <v>1212</v>
      </c>
      <c r="F239" s="310" t="s">
        <v>562</v>
      </c>
      <c r="G239" s="331">
        <f t="shared" si="28"/>
        <v>0</v>
      </c>
      <c r="H239" s="310"/>
      <c r="J239" s="331">
        <f>'CO2 PLATFORM'!$H$11</f>
        <v>0</v>
      </c>
      <c r="K239" s="331">
        <f>'CO2 PLATFORM'!$H$11</f>
        <v>0</v>
      </c>
      <c r="L239" s="331">
        <f>'CO2 PLATFORM'!$H$11</f>
        <v>0</v>
      </c>
      <c r="N239" s="331">
        <f>'CO2 PLATFORM'!$H$11</f>
        <v>0</v>
      </c>
      <c r="O239" s="331">
        <f>'CO2 PLATFORM'!$H$11</f>
        <v>0</v>
      </c>
      <c r="Q239" s="331">
        <f>'CO2 PLATFORM'!$H$11</f>
        <v>0</v>
      </c>
      <c r="R239" s="331">
        <f>'CO2 PLATFORM'!$H$11</f>
        <v>0</v>
      </c>
      <c r="S239" s="331">
        <f>'CO2 PLATFORM'!$H$11</f>
        <v>0</v>
      </c>
    </row>
    <row r="240" spans="2:19" x14ac:dyDescent="0.25">
      <c r="B240" s="315"/>
      <c r="C240" s="310" t="s">
        <v>674</v>
      </c>
      <c r="D240" s="310" t="s">
        <v>120</v>
      </c>
      <c r="E240" s="901" t="s">
        <v>1213</v>
      </c>
      <c r="F240" s="310" t="s">
        <v>914</v>
      </c>
      <c r="G240" s="331">
        <f t="shared" si="28"/>
        <v>0</v>
      </c>
      <c r="H240" s="310"/>
      <c r="J240" s="331">
        <f>'CO2 PLATFORM'!$H$12</f>
        <v>0</v>
      </c>
      <c r="K240" s="331">
        <f>'CO2 PLATFORM'!$H$12</f>
        <v>0</v>
      </c>
      <c r="L240" s="331">
        <f>'CO2 PLATFORM'!$H$12</f>
        <v>0</v>
      </c>
      <c r="N240" s="331">
        <f>'CO2 PLATFORM'!$H$12</f>
        <v>0</v>
      </c>
      <c r="O240" s="331">
        <f>'CO2 PLATFORM'!$H$12</f>
        <v>0</v>
      </c>
      <c r="Q240" s="331">
        <f>'CO2 PLATFORM'!$H$12</f>
        <v>0</v>
      </c>
      <c r="R240" s="331">
        <f>'CO2 PLATFORM'!$H$12</f>
        <v>0</v>
      </c>
      <c r="S240" s="331">
        <f>'CO2 PLATFORM'!$H$12</f>
        <v>0</v>
      </c>
    </row>
    <row r="241" spans="2:19" s="1143" customFormat="1" x14ac:dyDescent="0.25">
      <c r="B241" s="315"/>
      <c r="C241" s="325" t="s">
        <v>674</v>
      </c>
      <c r="D241" s="325" t="s">
        <v>120</v>
      </c>
      <c r="E241" s="1162" t="str">
        <f>'CO2 PLATFORM'!G9</f>
        <v>Capex booster</v>
      </c>
      <c r="F241" s="325" t="str">
        <f>'CO2 PLATFORM'!I9</f>
        <v>EUR</v>
      </c>
      <c r="G241" s="331">
        <f t="shared" si="28"/>
        <v>0</v>
      </c>
      <c r="H241" s="325"/>
      <c r="J241" s="331">
        <f>'CO2 PLATFORM'!$H$9</f>
        <v>0</v>
      </c>
      <c r="K241" s="331">
        <f>'CO2 PLATFORM'!$H$9</f>
        <v>0</v>
      </c>
      <c r="L241" s="331">
        <f>'CO2 PLATFORM'!$H$9</f>
        <v>0</v>
      </c>
      <c r="N241" s="331">
        <f>'CO2 PLATFORM'!$H$9</f>
        <v>0</v>
      </c>
      <c r="O241" s="331">
        <f>'CO2 PLATFORM'!$H$9</f>
        <v>0</v>
      </c>
      <c r="Q241" s="331">
        <f>'CO2 PLATFORM'!$H$9</f>
        <v>0</v>
      </c>
      <c r="R241" s="331">
        <f>'CO2 PLATFORM'!$H$9</f>
        <v>0</v>
      </c>
      <c r="S241" s="331">
        <f>'CO2 PLATFORM'!$H$9</f>
        <v>0</v>
      </c>
    </row>
    <row r="242" spans="2:19" s="1143" customFormat="1" x14ac:dyDescent="0.25">
      <c r="B242" s="315"/>
      <c r="C242" s="325" t="s">
        <v>674</v>
      </c>
      <c r="D242" s="325" t="s">
        <v>120</v>
      </c>
      <c r="E242" s="1162" t="str">
        <f>'CO2 PLATFORM'!G10</f>
        <v>Opex booster</v>
      </c>
      <c r="F242" s="710" t="str">
        <f>'CO2 PLATFORM'!I10</f>
        <v>EUR/a</v>
      </c>
      <c r="G242" s="331">
        <f t="shared" si="28"/>
        <v>0</v>
      </c>
      <c r="H242" s="325"/>
      <c r="J242" s="331">
        <f>'CO2 PLATFORM'!$H$10</f>
        <v>0</v>
      </c>
      <c r="K242" s="331">
        <f>'CO2 PLATFORM'!$H$10</f>
        <v>0</v>
      </c>
      <c r="L242" s="331">
        <f>'CO2 PLATFORM'!$H$10</f>
        <v>0</v>
      </c>
      <c r="N242" s="331">
        <f>'CO2 PLATFORM'!$H$10</f>
        <v>0</v>
      </c>
      <c r="O242" s="331">
        <f>'CO2 PLATFORM'!$H$10</f>
        <v>0</v>
      </c>
      <c r="Q242" s="331">
        <f>'CO2 PLATFORM'!$H$10</f>
        <v>0</v>
      </c>
      <c r="R242" s="331">
        <f>'CO2 PLATFORM'!$H$10</f>
        <v>0</v>
      </c>
      <c r="S242" s="331">
        <f>'CO2 PLATFORM'!$H$10</f>
        <v>0</v>
      </c>
    </row>
    <row r="243" spans="2:19" x14ac:dyDescent="0.25">
      <c r="B243" s="315"/>
      <c r="C243" s="325" t="s">
        <v>674</v>
      </c>
      <c r="D243" s="325" t="s">
        <v>120</v>
      </c>
      <c r="E243" s="325" t="str">
        <f>'CO2 PLATFORM'!K52</f>
        <v>Total area electrical equipment</v>
      </c>
      <c r="F243" s="325" t="str">
        <f>'CO2 PLATFORM'!M52</f>
        <v>m²</v>
      </c>
      <c r="G243" s="331">
        <f t="shared" si="28"/>
        <v>0</v>
      </c>
      <c r="H243" s="325"/>
      <c r="J243" s="331">
        <f>'CO2 PLATFORM'!$L$52</f>
        <v>0</v>
      </c>
      <c r="K243" s="331">
        <f>'CO2 PLATFORM'!$L$52</f>
        <v>0</v>
      </c>
      <c r="L243" s="331">
        <f>'CO2 PLATFORM'!$L$52</f>
        <v>0</v>
      </c>
      <c r="N243" s="331">
        <f>'CO2 PLATFORM'!$L$52</f>
        <v>0</v>
      </c>
      <c r="O243" s="331">
        <f>'CO2 PLATFORM'!$L$52</f>
        <v>0</v>
      </c>
      <c r="Q243" s="331">
        <f>'CO2 PLATFORM'!$L$52</f>
        <v>0</v>
      </c>
      <c r="R243" s="331">
        <f>'CO2 PLATFORM'!$L$52</f>
        <v>0</v>
      </c>
      <c r="S243" s="331">
        <f>'CO2 PLATFORM'!$L$52</f>
        <v>0</v>
      </c>
    </row>
    <row r="244" spans="2:19" x14ac:dyDescent="0.25">
      <c r="B244" s="315"/>
      <c r="C244" s="325" t="s">
        <v>674</v>
      </c>
      <c r="D244" s="325" t="s">
        <v>120</v>
      </c>
      <c r="E244" s="325" t="str">
        <f>'CO2 PLATFORM'!K53</f>
        <v>Total weight electrical equipment</v>
      </c>
      <c r="F244" s="325" t="str">
        <f>'CO2 PLATFORM'!M53</f>
        <v>t</v>
      </c>
      <c r="G244" s="331">
        <f t="shared" si="28"/>
        <v>0</v>
      </c>
      <c r="H244" s="325"/>
      <c r="J244" s="331">
        <f>'CO2 PLATFORM'!$L$53</f>
        <v>0</v>
      </c>
      <c r="K244" s="331">
        <f>'CO2 PLATFORM'!$L$53</f>
        <v>0</v>
      </c>
      <c r="L244" s="331">
        <f>'CO2 PLATFORM'!$L$53</f>
        <v>0</v>
      </c>
      <c r="N244" s="331">
        <f>'CO2 PLATFORM'!$L$53</f>
        <v>0</v>
      </c>
      <c r="O244" s="331">
        <f>'CO2 PLATFORM'!$L$53</f>
        <v>0</v>
      </c>
      <c r="Q244" s="331">
        <f>'CO2 PLATFORM'!$L$53</f>
        <v>0</v>
      </c>
      <c r="R244" s="331">
        <f>'CO2 PLATFORM'!$L$53</f>
        <v>0</v>
      </c>
      <c r="S244" s="331">
        <f>'CO2 PLATFORM'!$L$53</f>
        <v>0</v>
      </c>
    </row>
    <row r="245" spans="2:19" s="1143" customFormat="1" x14ac:dyDescent="0.25">
      <c r="B245" s="315"/>
      <c r="C245" s="325" t="s">
        <v>674</v>
      </c>
      <c r="D245" s="325" t="s">
        <v>120</v>
      </c>
      <c r="E245" s="325" t="str">
        <f>'CO2 PLATFORM'!G17</f>
        <v>Total area booster</v>
      </c>
      <c r="F245" s="325" t="str">
        <f>'CO2 PLATFORM'!I17</f>
        <v>m²</v>
      </c>
      <c r="G245" s="1159">
        <f t="shared" si="28"/>
        <v>0</v>
      </c>
      <c r="H245" s="325"/>
      <c r="J245" s="331">
        <f>'CO2 PLATFORM'!$H$17</f>
        <v>0</v>
      </c>
      <c r="K245" s="331">
        <f>'CO2 PLATFORM'!$H$17</f>
        <v>0</v>
      </c>
      <c r="L245" s="331">
        <f>'CO2 PLATFORM'!$H$17</f>
        <v>0</v>
      </c>
      <c r="N245" s="331">
        <f>'CO2 PLATFORM'!$H$17</f>
        <v>0</v>
      </c>
      <c r="O245" s="331">
        <f>'CO2 PLATFORM'!$H$17</f>
        <v>0</v>
      </c>
      <c r="Q245" s="331">
        <f>'CO2 PLATFORM'!$H$17</f>
        <v>0</v>
      </c>
      <c r="R245" s="331">
        <f>'CO2 PLATFORM'!$H$17</f>
        <v>0</v>
      </c>
      <c r="S245" s="331">
        <f>'CO2 PLATFORM'!$H$17</f>
        <v>0</v>
      </c>
    </row>
    <row r="246" spans="2:19" s="1143" customFormat="1" x14ac:dyDescent="0.25">
      <c r="B246" s="315"/>
      <c r="C246" s="325" t="s">
        <v>674</v>
      </c>
      <c r="D246" s="325" t="s">
        <v>120</v>
      </c>
      <c r="E246" s="325" t="str">
        <f>'CO2 PLATFORM'!G18</f>
        <v>Total weight booster</v>
      </c>
      <c r="F246" s="325" t="str">
        <f>'CO2 PLATFORM'!I18</f>
        <v>t</v>
      </c>
      <c r="G246" s="1159">
        <f t="shared" si="28"/>
        <v>0</v>
      </c>
      <c r="H246" s="325"/>
      <c r="J246" s="331">
        <f>'CO2 PLATFORM'!$H$18</f>
        <v>0</v>
      </c>
      <c r="K246" s="331">
        <f>'CO2 PLATFORM'!$H$18</f>
        <v>0</v>
      </c>
      <c r="L246" s="331">
        <f>'CO2 PLATFORM'!$H$18</f>
        <v>0</v>
      </c>
      <c r="N246" s="331">
        <f>'CO2 PLATFORM'!$H$18</f>
        <v>0</v>
      </c>
      <c r="O246" s="331">
        <f>'CO2 PLATFORM'!$H$18</f>
        <v>0</v>
      </c>
      <c r="Q246" s="331">
        <f>'CO2 PLATFORM'!$H$18</f>
        <v>0</v>
      </c>
      <c r="R246" s="331">
        <f>'CO2 PLATFORM'!$H$18</f>
        <v>0</v>
      </c>
      <c r="S246" s="331">
        <f>'CO2 PLATFORM'!$H$18</f>
        <v>0</v>
      </c>
    </row>
    <row r="247" spans="2:19" x14ac:dyDescent="0.25">
      <c r="B247" s="315"/>
      <c r="C247" s="325" t="s">
        <v>674</v>
      </c>
      <c r="D247" s="901" t="s">
        <v>1432</v>
      </c>
      <c r="E247" s="988" t="s">
        <v>1433</v>
      </c>
      <c r="F247" s="988"/>
      <c r="G247" s="988" t="b">
        <f t="shared" ref="G247:G254" si="29">IF(LEN(HLOOKUP($D$6,$J$9:$DG$474,ROW()-ROW($G$9)+1,FALSE))&lt;&gt;0,HLOOKUP($D$6,$J$9:$DG$474,ROW()-ROW($G$9)+1,FALSE),"")</f>
        <v>1</v>
      </c>
      <c r="H247" s="325"/>
      <c r="J247" s="325" t="b">
        <f>TRUE</f>
        <v>1</v>
      </c>
      <c r="K247" s="325" t="b">
        <f>TRUE</f>
        <v>1</v>
      </c>
      <c r="L247" s="325" t="b">
        <f>TRUE</f>
        <v>1</v>
      </c>
      <c r="M247" s="1"/>
      <c r="N247" s="325" t="b">
        <f>TRUE</f>
        <v>1</v>
      </c>
      <c r="O247" s="325" t="b">
        <f>TRUE</f>
        <v>1</v>
      </c>
      <c r="P247" s="1"/>
      <c r="Q247" s="325" t="b">
        <f>TRUE</f>
        <v>1</v>
      </c>
      <c r="R247" s="325" t="b">
        <f>TRUE</f>
        <v>1</v>
      </c>
      <c r="S247" s="325" t="b">
        <f>TRUE</f>
        <v>1</v>
      </c>
    </row>
    <row r="248" spans="2:19" x14ac:dyDescent="0.25">
      <c r="B248" s="315"/>
      <c r="C248" s="325" t="s">
        <v>674</v>
      </c>
      <c r="D248" s="901" t="s">
        <v>1432</v>
      </c>
      <c r="E248" s="988" t="s">
        <v>1434</v>
      </c>
      <c r="F248" s="988" t="s">
        <v>1437</v>
      </c>
      <c r="G248" s="982" t="b">
        <f t="shared" si="29"/>
        <v>0</v>
      </c>
      <c r="H248" s="325"/>
      <c r="J248" s="325" t="b">
        <f>IF(J$110&lt;MAX(J$57,J$258,J$379),FALSE,TRUE)</f>
        <v>0</v>
      </c>
      <c r="K248" s="325" t="b">
        <f>IF(K$110&lt;MAX(K$57,K$258,K$379),FALSE,TRUE)</f>
        <v>1</v>
      </c>
      <c r="L248" s="325" t="b">
        <f>IF(L$110&lt;MAX(L$57,L$258,L$379),FALSE,TRUE)</f>
        <v>0</v>
      </c>
      <c r="M248" s="1089"/>
      <c r="N248" s="325" t="b">
        <f>IF(N$110&lt;MAX(N$57,N$258,N$379),FALSE,TRUE)</f>
        <v>0</v>
      </c>
      <c r="O248" s="325" t="b">
        <f>IF(O$110&lt;MAX(O$57,O$258,O$379),FALSE,TRUE)</f>
        <v>1</v>
      </c>
      <c r="P248" s="1089"/>
      <c r="Q248" s="325" t="b">
        <f>IF(Q$110&lt;MAX(Q$57,Q$258,Q$379),FALSE,TRUE)</f>
        <v>1</v>
      </c>
      <c r="R248" s="325" t="b">
        <f>IF(R$110&lt;MAX(R$57,R$258,R$379),FALSE,TRUE)</f>
        <v>1</v>
      </c>
      <c r="S248" s="325" t="b">
        <f>IF(S$110&lt;MAX(S$57,S$258,S$379),FALSE,TRUE)</f>
        <v>1</v>
      </c>
    </row>
    <row r="249" spans="2:19" x14ac:dyDescent="0.25">
      <c r="B249" s="315"/>
      <c r="C249" s="325" t="s">
        <v>674</v>
      </c>
      <c r="D249" s="901" t="s">
        <v>1432</v>
      </c>
      <c r="E249" s="988" t="s">
        <v>1435</v>
      </c>
      <c r="F249" s="988" t="s">
        <v>1437</v>
      </c>
      <c r="G249" s="982" t="b">
        <f t="shared" si="29"/>
        <v>1</v>
      </c>
      <c r="H249" s="325"/>
      <c r="J249" s="325" t="b">
        <f>IF(J253&gt;0,TRUE,FALSE)</f>
        <v>1</v>
      </c>
      <c r="K249" s="325" t="b">
        <f t="shared" ref="K249:L249" si="30">IF(K253&gt;0,TRUE,FALSE)</f>
        <v>1</v>
      </c>
      <c r="L249" s="325" t="b">
        <f t="shared" si="30"/>
        <v>1</v>
      </c>
      <c r="M249" s="1089"/>
      <c r="N249" s="325" t="b">
        <f t="shared" ref="N249:O249" si="31">IF(N253&gt;0,TRUE,FALSE)</f>
        <v>1</v>
      </c>
      <c r="O249" s="325" t="b">
        <f t="shared" si="31"/>
        <v>1</v>
      </c>
      <c r="P249" s="1089"/>
      <c r="Q249" s="325" t="b">
        <f t="shared" ref="Q249:S249" si="32">IF(Q253&gt;0,TRUE,FALSE)</f>
        <v>1</v>
      </c>
      <c r="R249" s="325" t="b">
        <f t="shared" si="32"/>
        <v>1</v>
      </c>
      <c r="S249" s="325" t="b">
        <f t="shared" si="32"/>
        <v>1</v>
      </c>
    </row>
    <row r="250" spans="2:19" x14ac:dyDescent="0.25">
      <c r="B250" s="315"/>
      <c r="C250" s="325" t="s">
        <v>674</v>
      </c>
      <c r="D250" s="901" t="s">
        <v>1432</v>
      </c>
      <c r="E250" s="988" t="s">
        <v>1436</v>
      </c>
      <c r="F250" s="988" t="s">
        <v>1437</v>
      </c>
      <c r="G250" s="982" t="b">
        <f t="shared" si="29"/>
        <v>0</v>
      </c>
      <c r="H250" s="325"/>
      <c r="J250" s="325" t="b">
        <f>IF(J251,IF(J110&gt;MAX(J57,J258,J379),TRUE,FALSE),IF(J254&gt;0,TRUE,FALSE))</f>
        <v>0</v>
      </c>
      <c r="K250" s="325" t="b">
        <f>IF(K251,IF(K110&gt;MAX(K57,K258,K379),TRUE,FALSE),IF(K254&gt;0,TRUE,FALSE))</f>
        <v>1</v>
      </c>
      <c r="L250" s="325" t="b">
        <f>IF(L251,IF(L110&gt;MAX(L57,L258,L379),TRUE,FALSE),IF(L254&gt;0,TRUE,FALSE))</f>
        <v>0</v>
      </c>
      <c r="M250" s="1089"/>
      <c r="N250" s="325" t="b">
        <f>IF(N251,IF(N110&gt;MAX(N57,N258,N379),TRUE,FALSE),IF(N254&gt;0,TRUE,FALSE))</f>
        <v>0</v>
      </c>
      <c r="O250" s="325" t="b">
        <f>IF(O251,IF(O110&gt;MAX(O57,O258,O379),TRUE,FALSE),IF(O254&gt;0,TRUE,FALSE))</f>
        <v>0</v>
      </c>
      <c r="P250" s="1089"/>
      <c r="Q250" s="325" t="b">
        <f>IF(Q251,IF(Q110&gt;MAX(Q57,Q258,Q379),TRUE,FALSE),IF(Q254&gt;0,TRUE,FALSE))</f>
        <v>1</v>
      </c>
      <c r="R250" s="325" t="b">
        <f>IF(R251,IF(R110&gt;MAX(R57,R258,R379),TRUE,FALSE),IF(R254&gt;0,TRUE,FALSE))</f>
        <v>1</v>
      </c>
      <c r="S250" s="325" t="b">
        <f>IF(S251,IF(S110&gt;MAX(S57,S258,S379),TRUE,FALSE),IF(S254&gt;0,TRUE,FALSE))</f>
        <v>1</v>
      </c>
    </row>
    <row r="251" spans="2:19" x14ac:dyDescent="0.25">
      <c r="B251" s="315"/>
      <c r="C251" s="325" t="s">
        <v>674</v>
      </c>
      <c r="D251" s="901" t="s">
        <v>1432</v>
      </c>
      <c r="E251" s="988" t="s">
        <v>1438</v>
      </c>
      <c r="F251" s="988" t="s">
        <v>1437</v>
      </c>
      <c r="G251" s="982" t="b">
        <f t="shared" si="29"/>
        <v>1</v>
      </c>
      <c r="H251" s="325"/>
      <c r="J251" s="325" t="b">
        <v>1</v>
      </c>
      <c r="K251" s="325" t="b">
        <v>1</v>
      </c>
      <c r="L251" s="325" t="b">
        <v>1</v>
      </c>
      <c r="M251" s="1089"/>
      <c r="N251" s="325" t="b">
        <v>1</v>
      </c>
      <c r="O251" s="325" t="b">
        <v>1</v>
      </c>
      <c r="P251" s="1089"/>
      <c r="Q251" s="325" t="b">
        <v>1</v>
      </c>
      <c r="R251" s="325" t="b">
        <v>1</v>
      </c>
      <c r="S251" s="325" t="b">
        <v>1</v>
      </c>
    </row>
    <row r="252" spans="2:19" x14ac:dyDescent="0.25">
      <c r="B252" s="315"/>
      <c r="C252" s="325" t="s">
        <v>674</v>
      </c>
      <c r="D252" s="901" t="s">
        <v>1432</v>
      </c>
      <c r="E252" s="988" t="s">
        <v>1444</v>
      </c>
      <c r="F252" s="988" t="s">
        <v>757</v>
      </c>
      <c r="G252" s="982">
        <f t="shared" si="29"/>
        <v>10</v>
      </c>
      <c r="H252" s="325"/>
      <c r="J252" s="331">
        <f>IF(J34,J103-J104,J103-J105)</f>
        <v>0</v>
      </c>
      <c r="K252" s="331">
        <f>IF(K34,K103-K104,K103-K105)</f>
        <v>0</v>
      </c>
      <c r="L252" s="331">
        <f>IF(L34,L103-L104,L103-L105)</f>
        <v>0</v>
      </c>
      <c r="M252" s="1089"/>
      <c r="N252" s="331">
        <f>IF(N34,N103-N104,N103-N105)</f>
        <v>10</v>
      </c>
      <c r="O252" s="331">
        <f>IF(O34,O103-O104,O103-O105)</f>
        <v>10</v>
      </c>
      <c r="P252" s="1089"/>
      <c r="Q252" s="331">
        <f>IF(Q34,Q103-Q104,Q103-Q105)</f>
        <v>0</v>
      </c>
      <c r="R252" s="331">
        <f>IF(R34,R103-R104,R103-R105)</f>
        <v>10</v>
      </c>
      <c r="S252" s="331">
        <f>IF(S34,S103-S104,S103-S105)</f>
        <v>0</v>
      </c>
    </row>
    <row r="253" spans="2:19" x14ac:dyDescent="0.25">
      <c r="B253" s="315"/>
      <c r="C253" s="325" t="s">
        <v>674</v>
      </c>
      <c r="D253" s="901" t="s">
        <v>1432</v>
      </c>
      <c r="E253" s="1321" t="s">
        <v>1441</v>
      </c>
      <c r="F253" s="988" t="s">
        <v>757</v>
      </c>
      <c r="G253" s="982">
        <f t="shared" si="29"/>
        <v>5</v>
      </c>
      <c r="H253" s="325"/>
      <c r="J253" s="983">
        <f>J103+J208-J105</f>
        <v>5</v>
      </c>
      <c r="K253" s="983">
        <f>K103+K208-K105</f>
        <v>5</v>
      </c>
      <c r="L253" s="983">
        <f>L103+L208-L105</f>
        <v>5</v>
      </c>
      <c r="M253" s="1090"/>
      <c r="N253" s="983">
        <f>N103+N208-N105</f>
        <v>5</v>
      </c>
      <c r="O253" s="983">
        <f>O103+O208-O105</f>
        <v>5</v>
      </c>
      <c r="P253" s="1090"/>
      <c r="Q253" s="983">
        <f>Q103+Q208-Q105</f>
        <v>5</v>
      </c>
      <c r="R253" s="983">
        <f>R103+R208-R105</f>
        <v>5</v>
      </c>
      <c r="S253" s="983">
        <f>S103+S208-S105</f>
        <v>5</v>
      </c>
    </row>
    <row r="254" spans="2:19" x14ac:dyDescent="0.25">
      <c r="B254" s="315"/>
      <c r="C254" s="325" t="s">
        <v>674</v>
      </c>
      <c r="D254" s="901" t="s">
        <v>1432</v>
      </c>
      <c r="E254" s="901" t="s">
        <v>1439</v>
      </c>
      <c r="F254" s="901" t="s">
        <v>1271</v>
      </c>
      <c r="G254" s="960">
        <f t="shared" si="29"/>
        <v>40</v>
      </c>
      <c r="H254" s="325"/>
      <c r="J254" s="331">
        <f>J150</f>
        <v>91</v>
      </c>
      <c r="K254" s="331">
        <f>K150</f>
        <v>91</v>
      </c>
      <c r="L254" s="331">
        <f>L150</f>
        <v>0</v>
      </c>
      <c r="M254" s="1089"/>
      <c r="N254" s="331">
        <f>N150</f>
        <v>40</v>
      </c>
      <c r="O254" s="331">
        <f>O150</f>
        <v>40</v>
      </c>
      <c r="P254" s="1089"/>
      <c r="Q254" s="331">
        <f>Q150</f>
        <v>165</v>
      </c>
      <c r="R254" s="331">
        <f>R150</f>
        <v>165</v>
      </c>
      <c r="S254" s="331">
        <f>S150</f>
        <v>165</v>
      </c>
    </row>
    <row r="255" spans="2:19" x14ac:dyDescent="0.25">
      <c r="B255" s="315"/>
      <c r="C255" s="325" t="s">
        <v>674</v>
      </c>
      <c r="D255" s="901" t="s">
        <v>1432</v>
      </c>
      <c r="E255" s="326"/>
      <c r="F255" s="326"/>
      <c r="G255" s="987" t="str">
        <f t="shared" ref="G255:G286" si="33">IF(LEN(HLOOKUP($D$6,$J$9:$DG$501,ROW()-ROW($G$9)+1,FALSE))&lt;&gt;0,HLOOKUP($D$6,$J$9:$DG$501,ROW()-ROW($G$9)+1,FALSE),"")</f>
        <v/>
      </c>
      <c r="H255" s="325"/>
      <c r="J255" s="325"/>
      <c r="K255" s="325"/>
      <c r="L255" s="325"/>
      <c r="N255" s="325"/>
      <c r="O255" s="325"/>
      <c r="Q255" s="325"/>
      <c r="R255" s="325"/>
      <c r="S255" s="325"/>
    </row>
    <row r="256" spans="2:19" x14ac:dyDescent="0.25">
      <c r="B256" s="908"/>
      <c r="C256" s="325" t="s">
        <v>1406</v>
      </c>
      <c r="D256" s="325" t="s">
        <v>812</v>
      </c>
      <c r="E256" s="325" t="s">
        <v>548</v>
      </c>
      <c r="F256" s="325" t="s">
        <v>757</v>
      </c>
      <c r="G256" s="349">
        <f t="shared" si="33"/>
        <v>2025</v>
      </c>
      <c r="H256" s="1188"/>
      <c r="I256" s="1186"/>
      <c r="J256" s="1319">
        <f>Scenarios!F16</f>
        <v>2023</v>
      </c>
      <c r="K256" s="1319">
        <f>Scenarios!F48</f>
        <v>2025</v>
      </c>
      <c r="L256" s="1319">
        <f>Scenarios!F81</f>
        <v>2022</v>
      </c>
      <c r="M256" s="962"/>
      <c r="N256" s="1319">
        <f>Scenarios!F113</f>
        <v>2025</v>
      </c>
      <c r="O256" s="1319">
        <f>Scenarios!F147</f>
        <v>2025</v>
      </c>
      <c r="P256" s="962"/>
      <c r="Q256" s="1319">
        <f>Scenarios!F213</f>
        <v>0</v>
      </c>
      <c r="R256" s="1319">
        <f>Scenarios!F246</f>
        <v>0</v>
      </c>
      <c r="S256" s="1319">
        <f>Scenarios!F279</f>
        <v>0</v>
      </c>
    </row>
    <row r="257" spans="2:20" x14ac:dyDescent="0.25">
      <c r="B257" s="908"/>
      <c r="C257" s="325" t="s">
        <v>1406</v>
      </c>
      <c r="D257" s="325" t="s">
        <v>812</v>
      </c>
      <c r="E257" s="325" t="s">
        <v>549</v>
      </c>
      <c r="F257" s="325" t="s">
        <v>757</v>
      </c>
      <c r="G257" s="349">
        <f t="shared" si="33"/>
        <v>2026</v>
      </c>
      <c r="H257" s="1188"/>
      <c r="I257" s="1186"/>
      <c r="J257" s="1319">
        <f>Scenarios!F17</f>
        <v>2024</v>
      </c>
      <c r="K257" s="1319">
        <f>Scenarios!F49</f>
        <v>2026</v>
      </c>
      <c r="L257" s="1319">
        <f>Scenarios!F82</f>
        <v>2023</v>
      </c>
      <c r="M257" s="962"/>
      <c r="N257" s="1319">
        <f>Scenarios!F114</f>
        <v>2026</v>
      </c>
      <c r="O257" s="1319">
        <f>Scenarios!F148</f>
        <v>2026</v>
      </c>
      <c r="P257" s="962"/>
      <c r="Q257" s="1319">
        <f>Scenarios!F214</f>
        <v>0</v>
      </c>
      <c r="R257" s="1319">
        <f>Scenarios!F247</f>
        <v>0</v>
      </c>
      <c r="S257" s="1319">
        <f>Scenarios!F280</f>
        <v>0</v>
      </c>
    </row>
    <row r="258" spans="2:20" x14ac:dyDescent="0.25">
      <c r="B258" s="908"/>
      <c r="C258" s="325" t="s">
        <v>1406</v>
      </c>
      <c r="D258" s="325" t="s">
        <v>812</v>
      </c>
      <c r="E258" s="325" t="s">
        <v>1387</v>
      </c>
      <c r="F258" s="325" t="s">
        <v>837</v>
      </c>
      <c r="G258" s="349">
        <f t="shared" si="33"/>
        <v>2030</v>
      </c>
      <c r="H258" s="1188"/>
      <c r="I258" s="1186"/>
      <c r="J258" s="1319">
        <f>Scenarios!F18</f>
        <v>2049</v>
      </c>
      <c r="K258" s="1319">
        <f>Scenarios!F50</f>
        <v>2051</v>
      </c>
      <c r="L258" s="1319">
        <f>Scenarios!F83</f>
        <v>2048</v>
      </c>
      <c r="M258" s="962"/>
      <c r="N258" s="1319">
        <f>Scenarios!F115</f>
        <v>2030</v>
      </c>
      <c r="O258" s="1319">
        <f>Scenarios!F149</f>
        <v>2030</v>
      </c>
      <c r="P258" s="962"/>
      <c r="Q258" s="1319">
        <f>Scenarios!F215</f>
        <v>0</v>
      </c>
      <c r="R258" s="1319">
        <f>Scenarios!F248</f>
        <v>0</v>
      </c>
      <c r="S258" s="1319">
        <f>Scenarios!F281</f>
        <v>0</v>
      </c>
    </row>
    <row r="259" spans="2:20" x14ac:dyDescent="0.25">
      <c r="B259" s="908"/>
      <c r="C259" s="325" t="s">
        <v>1406</v>
      </c>
      <c r="D259" s="325" t="s">
        <v>812</v>
      </c>
      <c r="E259" s="1316" t="s">
        <v>1511</v>
      </c>
      <c r="F259" s="325" t="s">
        <v>757</v>
      </c>
      <c r="G259" s="1323" t="str">
        <f t="shared" si="33"/>
        <v>Admix</v>
      </c>
      <c r="H259" s="325"/>
      <c r="J259" s="687" t="s">
        <v>1512</v>
      </c>
      <c r="K259" s="687" t="s">
        <v>1512</v>
      </c>
      <c r="L259" s="687" t="s">
        <v>1512</v>
      </c>
      <c r="M259" s="959"/>
      <c r="N259" s="687" t="s">
        <v>1512</v>
      </c>
      <c r="O259" s="687" t="s">
        <v>1512</v>
      </c>
      <c r="P259" s="959"/>
      <c r="Q259" s="987" t="s">
        <v>757</v>
      </c>
      <c r="R259" s="987" t="s">
        <v>757</v>
      </c>
      <c r="S259" s="987" t="s">
        <v>757</v>
      </c>
      <c r="T259" s="959"/>
    </row>
    <row r="260" spans="2:20" x14ac:dyDescent="0.25">
      <c r="B260" s="908"/>
      <c r="C260" s="325" t="s">
        <v>1406</v>
      </c>
      <c r="D260" s="325" t="s">
        <v>812</v>
      </c>
      <c r="E260" s="1316" t="s">
        <v>1245</v>
      </c>
      <c r="F260" s="325" t="s">
        <v>1244</v>
      </c>
      <c r="G260" s="1323">
        <f t="shared" si="33"/>
        <v>2</v>
      </c>
      <c r="H260" s="325" t="s">
        <v>802</v>
      </c>
      <c r="J260" s="961">
        <v>2</v>
      </c>
      <c r="K260" s="961">
        <v>2</v>
      </c>
      <c r="L260" s="961">
        <v>2</v>
      </c>
      <c r="M260" s="962"/>
      <c r="N260" s="961">
        <v>2</v>
      </c>
      <c r="O260" s="961">
        <v>2</v>
      </c>
      <c r="P260" s="962"/>
      <c r="Q260" s="961">
        <v>2</v>
      </c>
      <c r="R260" s="961">
        <v>2</v>
      </c>
      <c r="S260" s="961">
        <v>2</v>
      </c>
    </row>
    <row r="261" spans="2:20" x14ac:dyDescent="0.25">
      <c r="B261" s="908"/>
      <c r="C261" s="325" t="s">
        <v>1406</v>
      </c>
      <c r="D261" s="325" t="s">
        <v>812</v>
      </c>
      <c r="E261" s="1316" t="s">
        <v>1509</v>
      </c>
      <c r="F261" s="325" t="s">
        <v>1510</v>
      </c>
      <c r="G261" s="1324">
        <f t="shared" si="33"/>
        <v>0.1589304829704154</v>
      </c>
      <c r="H261" s="325" t="s">
        <v>1513</v>
      </c>
      <c r="J261" s="961">
        <f>'NEV Tabel 3a Prijzen V'!$J$6</f>
        <v>0.1589304829704154</v>
      </c>
      <c r="K261" s="961">
        <f>'NEV Tabel 3a Prijzen V'!$J$6</f>
        <v>0.1589304829704154</v>
      </c>
      <c r="L261" s="961">
        <f>'NEV Tabel 3a Prijzen V'!$J$6</f>
        <v>0.1589304829704154</v>
      </c>
      <c r="M261" s="962"/>
      <c r="N261" s="961">
        <f>'NEV Tabel 3a Prijzen V'!$J$6</f>
        <v>0.1589304829704154</v>
      </c>
      <c r="O261" s="961">
        <f>'NEV Tabel 3a Prijzen V'!$J$6</f>
        <v>0.1589304829704154</v>
      </c>
      <c r="P261" s="962"/>
      <c r="Q261" s="961">
        <f>'NEV Tabel 3a Prijzen V'!$J$6</f>
        <v>0.1589304829704154</v>
      </c>
      <c r="R261" s="961">
        <f>'NEV Tabel 3a Prijzen V'!$J$6</f>
        <v>0.1589304829704154</v>
      </c>
      <c r="S261" s="961">
        <f>'NEV Tabel 3a Prijzen V'!$J$6</f>
        <v>0.1589304829704154</v>
      </c>
    </row>
    <row r="262" spans="2:20" x14ac:dyDescent="0.25">
      <c r="B262" s="908"/>
      <c r="C262" s="325" t="s">
        <v>1406</v>
      </c>
      <c r="D262" s="325" t="s">
        <v>812</v>
      </c>
      <c r="E262" s="325" t="s">
        <v>868</v>
      </c>
      <c r="F262" s="325" t="s">
        <v>590</v>
      </c>
      <c r="G262" s="332">
        <f t="shared" si="33"/>
        <v>33.33</v>
      </c>
      <c r="H262" s="325"/>
      <c r="J262" s="901">
        <v>33.33</v>
      </c>
      <c r="K262" s="901">
        <v>33.33</v>
      </c>
      <c r="L262" s="901">
        <v>33.33</v>
      </c>
      <c r="M262" s="962"/>
      <c r="N262" s="901">
        <v>33.33</v>
      </c>
      <c r="O262" s="901">
        <v>33.33</v>
      </c>
      <c r="P262" s="962"/>
      <c r="Q262" s="901">
        <v>33.33</v>
      </c>
      <c r="R262" s="901">
        <v>33.33</v>
      </c>
      <c r="S262" s="901">
        <v>33.33</v>
      </c>
    </row>
    <row r="263" spans="2:20" x14ac:dyDescent="0.25">
      <c r="B263" s="908"/>
      <c r="C263" s="325" t="s">
        <v>1406</v>
      </c>
      <c r="D263" s="325" t="s">
        <v>812</v>
      </c>
      <c r="E263" s="325" t="s">
        <v>787</v>
      </c>
      <c r="F263" s="325" t="s">
        <v>757</v>
      </c>
      <c r="G263" s="328">
        <f t="shared" si="33"/>
        <v>6.9522852060938833E-2</v>
      </c>
      <c r="H263" s="325"/>
      <c r="J263" s="963">
        <f>J264/1.2931</f>
        <v>6.9522852060938833E-2</v>
      </c>
      <c r="K263" s="963">
        <f>K264/1.2931</f>
        <v>6.9522852060938833E-2</v>
      </c>
      <c r="L263" s="963">
        <f>L264/1.2931</f>
        <v>6.9522852060938833E-2</v>
      </c>
      <c r="M263" s="962"/>
      <c r="N263" s="963">
        <f>N264/1.2931</f>
        <v>6.9522852060938833E-2</v>
      </c>
      <c r="O263" s="963">
        <f>O264/1.2931</f>
        <v>6.9522852060938833E-2</v>
      </c>
      <c r="P263" s="962"/>
      <c r="Q263" s="963">
        <f>Q264/1.2931</f>
        <v>6.9522852060938833E-2</v>
      </c>
      <c r="R263" s="963">
        <f>R264/1.2931</f>
        <v>6.9522852060938833E-2</v>
      </c>
      <c r="S263" s="963">
        <f>S264/1.2931</f>
        <v>6.9522852060938833E-2</v>
      </c>
    </row>
    <row r="264" spans="2:20" x14ac:dyDescent="0.25">
      <c r="B264" s="908"/>
      <c r="C264" s="325" t="s">
        <v>1406</v>
      </c>
      <c r="D264" s="325" t="s">
        <v>812</v>
      </c>
      <c r="E264" s="325" t="s">
        <v>867</v>
      </c>
      <c r="F264" s="325" t="s">
        <v>784</v>
      </c>
      <c r="G264" s="328">
        <f t="shared" si="33"/>
        <v>8.9899999999999994E-2</v>
      </c>
      <c r="H264" s="325"/>
      <c r="J264" s="963">
        <v>8.9899999999999994E-2</v>
      </c>
      <c r="K264" s="963">
        <v>8.9899999999999994E-2</v>
      </c>
      <c r="L264" s="963">
        <v>8.9899999999999994E-2</v>
      </c>
      <c r="M264" s="962"/>
      <c r="N264" s="963">
        <v>8.9899999999999994E-2</v>
      </c>
      <c r="O264" s="963">
        <v>8.9899999999999994E-2</v>
      </c>
      <c r="P264" s="962"/>
      <c r="Q264" s="963">
        <v>8.9899999999999994E-2</v>
      </c>
      <c r="R264" s="963">
        <v>8.9899999999999994E-2</v>
      </c>
      <c r="S264" s="963">
        <v>8.9899999999999994E-2</v>
      </c>
    </row>
    <row r="265" spans="2:20" x14ac:dyDescent="0.25">
      <c r="B265" s="908"/>
      <c r="C265" s="325" t="s">
        <v>1406</v>
      </c>
      <c r="D265" s="325" t="s">
        <v>812</v>
      </c>
      <c r="E265" s="325" t="s">
        <v>777</v>
      </c>
      <c r="F265" s="325" t="s">
        <v>757</v>
      </c>
      <c r="G265" s="332">
        <f t="shared" si="33"/>
        <v>1.4</v>
      </c>
      <c r="H265" s="325"/>
      <c r="J265" s="901">
        <v>1.4</v>
      </c>
      <c r="K265" s="901">
        <v>1.4</v>
      </c>
      <c r="L265" s="901">
        <v>1.4</v>
      </c>
      <c r="M265" s="962"/>
      <c r="N265" s="901">
        <v>1.4</v>
      </c>
      <c r="O265" s="901">
        <v>1.4</v>
      </c>
      <c r="P265" s="962"/>
      <c r="Q265" s="901">
        <v>1.4</v>
      </c>
      <c r="R265" s="901">
        <v>1.4</v>
      </c>
      <c r="S265" s="901">
        <v>1.4</v>
      </c>
    </row>
    <row r="266" spans="2:20" x14ac:dyDescent="0.25">
      <c r="B266" s="908"/>
      <c r="C266" s="325" t="s">
        <v>1406</v>
      </c>
      <c r="D266" s="325" t="s">
        <v>812</v>
      </c>
      <c r="E266" s="325" t="s">
        <v>778</v>
      </c>
      <c r="F266" s="325" t="s">
        <v>779</v>
      </c>
      <c r="G266" s="332">
        <f t="shared" si="33"/>
        <v>2.0158</v>
      </c>
      <c r="H266" s="325"/>
      <c r="J266" s="901">
        <v>2.0158</v>
      </c>
      <c r="K266" s="901">
        <v>2.0158</v>
      </c>
      <c r="L266" s="901">
        <v>2.0158</v>
      </c>
      <c r="M266" s="962"/>
      <c r="N266" s="901">
        <v>2.0158</v>
      </c>
      <c r="O266" s="901">
        <v>2.0158</v>
      </c>
      <c r="P266" s="962"/>
      <c r="Q266" s="901">
        <v>2.0158</v>
      </c>
      <c r="R266" s="901">
        <v>2.0158</v>
      </c>
      <c r="S266" s="901">
        <v>2.0158</v>
      </c>
    </row>
    <row r="267" spans="2:20" x14ac:dyDescent="0.25">
      <c r="B267" s="908"/>
      <c r="C267" s="325" t="s">
        <v>1406</v>
      </c>
      <c r="D267" s="325" t="s">
        <v>812</v>
      </c>
      <c r="E267" s="325" t="s">
        <v>781</v>
      </c>
      <c r="F267" s="325" t="s">
        <v>782</v>
      </c>
      <c r="G267" s="328">
        <f t="shared" si="33"/>
        <v>8.3144597999999998</v>
      </c>
      <c r="H267" s="325"/>
      <c r="J267" s="965">
        <f>J123</f>
        <v>8.3144597999999998</v>
      </c>
      <c r="K267" s="965">
        <f>K123</f>
        <v>8.3144597999999998</v>
      </c>
      <c r="L267" s="965">
        <f>L123</f>
        <v>8.3144597999999998</v>
      </c>
      <c r="M267" s="962"/>
      <c r="N267" s="965">
        <f>N123</f>
        <v>8.3144597999999998</v>
      </c>
      <c r="O267" s="965">
        <f>O123</f>
        <v>8.3144597999999998</v>
      </c>
      <c r="P267" s="962"/>
      <c r="Q267" s="965">
        <f>Q123</f>
        <v>8.3144597999999998</v>
      </c>
      <c r="R267" s="965">
        <f>R123</f>
        <v>8.3144597999999998</v>
      </c>
      <c r="S267" s="965">
        <f>S123</f>
        <v>8.3144597999999998</v>
      </c>
      <c r="T267" s="959"/>
    </row>
    <row r="268" spans="2:20" x14ac:dyDescent="0.25">
      <c r="B268" s="908"/>
      <c r="C268" s="325" t="s">
        <v>1406</v>
      </c>
      <c r="D268" s="325" t="s">
        <v>812</v>
      </c>
      <c r="E268" s="325" t="s">
        <v>786</v>
      </c>
      <c r="F268" s="325" t="s">
        <v>757</v>
      </c>
      <c r="G268" s="332">
        <f t="shared" si="33"/>
        <v>1.01</v>
      </c>
      <c r="H268" s="325"/>
      <c r="J268" s="901">
        <v>1.01</v>
      </c>
      <c r="K268" s="901">
        <v>1.01</v>
      </c>
      <c r="L268" s="901">
        <v>1.01</v>
      </c>
      <c r="M268" s="962"/>
      <c r="N268" s="901">
        <v>1.01</v>
      </c>
      <c r="O268" s="901">
        <v>1.01</v>
      </c>
      <c r="P268" s="962"/>
      <c r="Q268" s="901">
        <v>1.01</v>
      </c>
      <c r="R268" s="901">
        <v>1.01</v>
      </c>
      <c r="S268" s="901">
        <v>1.01</v>
      </c>
    </row>
    <row r="269" spans="2:20" x14ac:dyDescent="0.25">
      <c r="B269" s="908"/>
      <c r="C269" s="325" t="s">
        <v>1406</v>
      </c>
      <c r="D269" s="325" t="s">
        <v>812</v>
      </c>
      <c r="E269" s="325" t="s">
        <v>911</v>
      </c>
      <c r="F269" s="325" t="s">
        <v>914</v>
      </c>
      <c r="G269" s="345">
        <f t="shared" si="33"/>
        <v>996236.16397857328</v>
      </c>
      <c r="H269" s="325"/>
      <c r="J269" s="345">
        <f>IF(J259="Admix",J352/J264*J261,IF(J259="Separated",J260*J352,0))</f>
        <v>996236.16397857328</v>
      </c>
      <c r="K269" s="345">
        <f>IF(K259="Admix",K352/K264*K261,IF(K259="Separated",K260*K352,0))</f>
        <v>996236.16397857328</v>
      </c>
      <c r="L269" s="345">
        <f>IF(L259="Admix",L352/L264*L261,IF(L259="Separated",L260*L352,0))</f>
        <v>996236.16397857328</v>
      </c>
      <c r="M269" s="966"/>
      <c r="N269" s="345">
        <f>IF(N259="Admix",N352/N264*N261,IF(N259="Separated",N260*N352,0))</f>
        <v>996236.16397857328</v>
      </c>
      <c r="O269" s="345">
        <f>IF(O259="Admix",O352/O264*O261,IF(O259="Separated",O260*O352,0))</f>
        <v>996236.16397857328</v>
      </c>
      <c r="P269" s="966"/>
      <c r="Q269" s="345">
        <f>IF(Q259="Admix",Q352/Q264*Q261,IF(Q259="Separated",Q260*Q352,0))</f>
        <v>0</v>
      </c>
      <c r="R269" s="345">
        <f>IF(R259="Admix",R352/R264*R261,IF(R259="Separated",R260*R352,0))</f>
        <v>0</v>
      </c>
      <c r="S269" s="345">
        <f>IF(S259="Admix",S352/S264*S261,IF(S259="Separated",S260*S352,0))</f>
        <v>0</v>
      </c>
    </row>
    <row r="270" spans="2:20" x14ac:dyDescent="0.25">
      <c r="B270" s="908"/>
      <c r="C270" s="325" t="s">
        <v>1406</v>
      </c>
      <c r="D270" s="325" t="s">
        <v>563</v>
      </c>
      <c r="E270" s="325" t="s">
        <v>1452</v>
      </c>
      <c r="F270" s="325" t="s">
        <v>46</v>
      </c>
      <c r="G270" s="331">
        <f t="shared" si="33"/>
        <v>10</v>
      </c>
      <c r="H270" s="325"/>
      <c r="J270" s="331">
        <f>Scenarios!E28</f>
        <v>10</v>
      </c>
      <c r="K270" s="331">
        <f>Scenarios!E60</f>
        <v>10</v>
      </c>
      <c r="L270" s="331">
        <f>Scenarios!E93</f>
        <v>10</v>
      </c>
      <c r="M270" s="959"/>
      <c r="N270" s="331">
        <f>Scenarios!E125</f>
        <v>10</v>
      </c>
      <c r="O270" s="331">
        <f>Scenarios!E159</f>
        <v>10</v>
      </c>
      <c r="P270" s="966"/>
      <c r="Q270" s="331">
        <f>Scenarios!E225</f>
        <v>0</v>
      </c>
      <c r="R270" s="331">
        <f>Scenarios!E258</f>
        <v>0</v>
      </c>
      <c r="S270" s="331">
        <f>Scenarios!E291</f>
        <v>0</v>
      </c>
    </row>
    <row r="271" spans="2:20" x14ac:dyDescent="0.25">
      <c r="B271" s="908"/>
      <c r="C271" s="325" t="s">
        <v>1406</v>
      </c>
      <c r="D271" s="325" t="s">
        <v>563</v>
      </c>
      <c r="E271" s="325" t="s">
        <v>1236</v>
      </c>
      <c r="F271" s="325" t="s">
        <v>1045</v>
      </c>
      <c r="G271" s="688">
        <f t="shared" si="33"/>
        <v>40</v>
      </c>
      <c r="H271" s="325" t="s">
        <v>1237</v>
      </c>
      <c r="J271" s="967">
        <f>IFERROR(J260/J272*1000,0)</f>
        <v>41.666666666666664</v>
      </c>
      <c r="K271" s="967">
        <f>IFERROR(K260/K272*1000,0)</f>
        <v>41.666666666666664</v>
      </c>
      <c r="L271" s="967">
        <f>IFERROR(L260/L272*1000,0)</f>
        <v>41.666666666666664</v>
      </c>
      <c r="M271" s="962"/>
      <c r="N271" s="967">
        <f>IFERROR(N260/N272*1000,0)</f>
        <v>40</v>
      </c>
      <c r="O271" s="967">
        <f>IFERROR(O260/O272*1000,0)</f>
        <v>40</v>
      </c>
      <c r="P271" s="962"/>
      <c r="Q271" s="967">
        <f>IFERROR(Q260/Q272*1000,0)</f>
        <v>40</v>
      </c>
      <c r="R271" s="967">
        <f>IFERROR(R260/R272*1000,0)</f>
        <v>40</v>
      </c>
      <c r="S271" s="967">
        <f>IFERROR(S260/S272*1000,0)</f>
        <v>40</v>
      </c>
    </row>
    <row r="272" spans="2:20" ht="18" x14ac:dyDescent="0.35">
      <c r="B272" s="908"/>
      <c r="C272" s="325" t="s">
        <v>1406</v>
      </c>
      <c r="D272" s="325" t="s">
        <v>563</v>
      </c>
      <c r="E272" s="325" t="s">
        <v>770</v>
      </c>
      <c r="F272" s="325" t="s">
        <v>566</v>
      </c>
      <c r="G272" s="331">
        <f t="shared" si="33"/>
        <v>50</v>
      </c>
      <c r="H272" s="1188" t="s">
        <v>854</v>
      </c>
      <c r="I272" s="1186"/>
      <c r="J272" s="331">
        <f>IFERROR(INDEX(Prices!$D$3:$BD$19,MATCH(Prices!$D$18,Prices!$D$3:$D$19,0),MATCH($G$256,Prices!$D$3:$BD$3,0)),0)</f>
        <v>48</v>
      </c>
      <c r="K272" s="331">
        <f>IFERROR(INDEX(Prices!$D$3:$BD$19,MATCH(Prices!$D$18,Prices!$D$3:$D$19,0),MATCH($G$256,Prices!$D$3:$BD$3,0)),0)</f>
        <v>48</v>
      </c>
      <c r="L272" s="331">
        <f>IFERROR(INDEX(Prices!$D$3:$BD$19,MATCH(Prices!$D$18,Prices!$D$3:$D$19,0),MATCH($G$256,Prices!$D$3:$BD$3,0)),0)</f>
        <v>48</v>
      </c>
      <c r="M272" s="959"/>
      <c r="N272" s="331">
        <f>IFERROR((INDEX(Prices!$D$3:$BD$19,MATCH(Prices!$D$18,Prices!$D$3:$D$19,0),MATCH($G$256,Prices!$D$3:$BD$3,0))+INDEX(Prices!$D$3:$BD$19,MATCH(Prices!$D$19,Prices!$D$3:$D$19,0),MATCH($G$256,Prices!$D$3:$BD$3,0)))/2,0)</f>
        <v>50</v>
      </c>
      <c r="O272" s="331">
        <f>IFERROR((INDEX(Prices!$D$3:$BD$19,MATCH(Prices!$D$18,Prices!$D$3:$D$19,0),MATCH($G$256,Prices!$D$3:$BD$3,0))+INDEX(Prices!$D$3:$BD$19,MATCH(Prices!$D$19,Prices!$D$3:$D$19,0),MATCH($G$256,Prices!$D$3:$BD$3,0)))/2,0)</f>
        <v>50</v>
      </c>
      <c r="P272" s="966"/>
      <c r="Q272" s="331">
        <f>IFERROR((INDEX(Prices!$D$3:$BD$19,MATCH(Prices!$D$18,Prices!$D$3:$D$19,0),MATCH($G$256,Prices!$D$3:$BD$3,0))+INDEX(Prices!$D$3:$BD$19,MATCH(Prices!$D$19,Prices!$D$3:$D$19,0),MATCH($G$256,Prices!$D$3:$BD$3,0)))/2,0)</f>
        <v>50</v>
      </c>
      <c r="R272" s="331">
        <f>IFERROR((INDEX(Prices!$D$3:$BD$19,MATCH(Prices!$D$18,Prices!$D$3:$D$19,0),MATCH($G$256,Prices!$D$3:$BD$3,0))+INDEX(Prices!$D$3:$BD$19,MATCH(Prices!$D$19,Prices!$D$3:$D$19,0),MATCH($G$256,Prices!$D$3:$BD$3,0)))/2,0)</f>
        <v>50</v>
      </c>
      <c r="S272" s="331">
        <f>IFERROR((INDEX(Prices!$D$3:$BD$19,MATCH(Prices!$D$18,Prices!$D$3:$D$19,0),MATCH($G$256,Prices!$D$3:$BD$3,0))+INDEX(Prices!$D$3:$BD$19,MATCH(Prices!$D$19,Prices!$D$3:$D$19,0),MATCH($G$256,Prices!$D$3:$BD$3,0)))/2,0)</f>
        <v>50</v>
      </c>
    </row>
    <row r="273" spans="2:19" x14ac:dyDescent="0.25">
      <c r="B273" s="908"/>
      <c r="C273" s="325" t="s">
        <v>1406</v>
      </c>
      <c r="D273" s="325" t="s">
        <v>563</v>
      </c>
      <c r="E273" s="325" t="s">
        <v>771</v>
      </c>
      <c r="F273" s="325" t="s">
        <v>558</v>
      </c>
      <c r="G273" s="688">
        <f t="shared" si="33"/>
        <v>35</v>
      </c>
      <c r="H273" s="325" t="s">
        <v>772</v>
      </c>
      <c r="J273" s="967">
        <v>35</v>
      </c>
      <c r="K273" s="967">
        <v>35</v>
      </c>
      <c r="L273" s="967">
        <v>35</v>
      </c>
      <c r="M273" s="962"/>
      <c r="N273" s="967">
        <v>35</v>
      </c>
      <c r="O273" s="967">
        <v>35</v>
      </c>
      <c r="P273" s="962"/>
      <c r="Q273" s="967">
        <v>35</v>
      </c>
      <c r="R273" s="967">
        <v>35</v>
      </c>
      <c r="S273" s="967">
        <v>35</v>
      </c>
    </row>
    <row r="274" spans="2:19" x14ac:dyDescent="0.25">
      <c r="B274" s="908"/>
      <c r="C274" s="325" t="s">
        <v>1406</v>
      </c>
      <c r="D274" s="325" t="s">
        <v>563</v>
      </c>
      <c r="E274" s="325" t="s">
        <v>857</v>
      </c>
      <c r="F274" s="325" t="s">
        <v>1453</v>
      </c>
      <c r="G274" s="332">
        <f t="shared" si="33"/>
        <v>270</v>
      </c>
      <c r="H274" s="325" t="s">
        <v>1456</v>
      </c>
      <c r="J274" s="901">
        <f>1.5*1800/10000*1000</f>
        <v>270</v>
      </c>
      <c r="K274" s="901">
        <f t="shared" ref="K274:L274" si="34">1.5*1800/10000*1000</f>
        <v>270</v>
      </c>
      <c r="L274" s="901">
        <f t="shared" si="34"/>
        <v>270</v>
      </c>
      <c r="M274" s="962"/>
      <c r="N274" s="901">
        <f t="shared" ref="N274:O274" si="35">1.5*1800/10000*1000</f>
        <v>270</v>
      </c>
      <c r="O274" s="901">
        <f t="shared" si="35"/>
        <v>270</v>
      </c>
      <c r="P274" s="962"/>
      <c r="Q274" s="901">
        <f t="shared" ref="Q274:S274" si="36">1.5*1800/10000*1000</f>
        <v>270</v>
      </c>
      <c r="R274" s="901">
        <f t="shared" si="36"/>
        <v>270</v>
      </c>
      <c r="S274" s="901">
        <f t="shared" si="36"/>
        <v>270</v>
      </c>
    </row>
    <row r="275" spans="2:19" s="962" customFormat="1" x14ac:dyDescent="0.25">
      <c r="B275" s="1326"/>
      <c r="C275" s="901" t="s">
        <v>1406</v>
      </c>
      <c r="D275" s="901" t="s">
        <v>563</v>
      </c>
      <c r="E275" s="901" t="s">
        <v>1738</v>
      </c>
      <c r="F275" s="901" t="s">
        <v>837</v>
      </c>
      <c r="G275" s="901">
        <f t="shared" si="33"/>
        <v>20</v>
      </c>
      <c r="H275" s="901"/>
      <c r="J275" s="901">
        <v>20</v>
      </c>
      <c r="K275" s="901">
        <v>20</v>
      </c>
      <c r="L275" s="901">
        <v>20</v>
      </c>
      <c r="N275" s="901">
        <v>20</v>
      </c>
      <c r="O275" s="901">
        <v>20</v>
      </c>
      <c r="Q275" s="901">
        <v>20</v>
      </c>
      <c r="R275" s="901">
        <v>20</v>
      </c>
      <c r="S275" s="901">
        <v>20</v>
      </c>
    </row>
    <row r="276" spans="2:19" s="962" customFormat="1" x14ac:dyDescent="0.25">
      <c r="B276" s="1326"/>
      <c r="C276" s="901" t="s">
        <v>1406</v>
      </c>
      <c r="D276" s="901" t="s">
        <v>563</v>
      </c>
      <c r="E276" s="901" t="s">
        <v>1739</v>
      </c>
      <c r="F276" s="901" t="s">
        <v>837</v>
      </c>
      <c r="G276" s="901">
        <f t="shared" si="33"/>
        <v>10</v>
      </c>
      <c r="H276" s="901"/>
      <c r="J276" s="901">
        <v>10</v>
      </c>
      <c r="K276" s="901">
        <v>10</v>
      </c>
      <c r="L276" s="901">
        <v>10</v>
      </c>
      <c r="N276" s="901">
        <v>10</v>
      </c>
      <c r="O276" s="901">
        <v>10</v>
      </c>
      <c r="Q276" s="901">
        <v>10</v>
      </c>
      <c r="R276" s="901">
        <v>10</v>
      </c>
      <c r="S276" s="901">
        <v>10</v>
      </c>
    </row>
    <row r="277" spans="2:19" s="1186" customFormat="1" x14ac:dyDescent="0.25">
      <c r="B277" s="908"/>
      <c r="C277" s="1188" t="s">
        <v>1406</v>
      </c>
      <c r="D277" s="1188" t="s">
        <v>563</v>
      </c>
      <c r="E277" s="1188" t="s">
        <v>1740</v>
      </c>
      <c r="F277" s="1188" t="s">
        <v>11</v>
      </c>
      <c r="G277" s="329">
        <f t="shared" si="33"/>
        <v>0.5</v>
      </c>
      <c r="H277" s="1188" t="s">
        <v>1741</v>
      </c>
      <c r="J277" s="968">
        <v>0.5</v>
      </c>
      <c r="K277" s="968">
        <v>0.5</v>
      </c>
      <c r="L277" s="968">
        <v>0.5</v>
      </c>
      <c r="M277" s="962"/>
      <c r="N277" s="968">
        <v>0.5</v>
      </c>
      <c r="O277" s="968">
        <v>0.5</v>
      </c>
      <c r="P277" s="962"/>
      <c r="Q277" s="968">
        <v>0.5</v>
      </c>
      <c r="R277" s="968">
        <v>0.5</v>
      </c>
      <c r="S277" s="968">
        <v>0.5</v>
      </c>
    </row>
    <row r="278" spans="2:19" x14ac:dyDescent="0.25">
      <c r="B278" s="908"/>
      <c r="C278" s="325" t="s">
        <v>1406</v>
      </c>
      <c r="D278" s="325" t="s">
        <v>563</v>
      </c>
      <c r="E278" s="325" t="s">
        <v>575</v>
      </c>
      <c r="F278" s="325" t="s">
        <v>11</v>
      </c>
      <c r="G278" s="329">
        <f t="shared" si="33"/>
        <v>0.99</v>
      </c>
      <c r="H278" s="325"/>
      <c r="J278" s="968">
        <v>0.99</v>
      </c>
      <c r="K278" s="968">
        <v>0.99</v>
      </c>
      <c r="L278" s="968">
        <v>0.99</v>
      </c>
      <c r="M278" s="962"/>
      <c r="N278" s="968">
        <v>0.99</v>
      </c>
      <c r="O278" s="968">
        <v>0.99</v>
      </c>
      <c r="P278" s="962"/>
      <c r="Q278" s="968">
        <v>0.99</v>
      </c>
      <c r="R278" s="968">
        <v>0.99</v>
      </c>
      <c r="S278" s="968">
        <v>0.99</v>
      </c>
    </row>
    <row r="279" spans="2:19" x14ac:dyDescent="0.25">
      <c r="B279" s="908"/>
      <c r="C279" s="325" t="s">
        <v>1406</v>
      </c>
      <c r="D279" s="325" t="s">
        <v>563</v>
      </c>
      <c r="E279" s="325" t="s">
        <v>573</v>
      </c>
      <c r="F279" s="325" t="s">
        <v>11</v>
      </c>
      <c r="G279" s="329">
        <f t="shared" si="33"/>
        <v>0.96</v>
      </c>
      <c r="H279" s="325"/>
      <c r="J279" s="968">
        <v>0.96</v>
      </c>
      <c r="K279" s="968">
        <v>0.96</v>
      </c>
      <c r="L279" s="968">
        <v>0.96</v>
      </c>
      <c r="M279" s="962"/>
      <c r="N279" s="968">
        <v>0.96</v>
      </c>
      <c r="O279" s="968">
        <v>0.96</v>
      </c>
      <c r="P279" s="962"/>
      <c r="Q279" s="968">
        <v>0.96</v>
      </c>
      <c r="R279" s="968">
        <v>0.96</v>
      </c>
      <c r="S279" s="968">
        <v>0.96</v>
      </c>
    </row>
    <row r="280" spans="2:19" x14ac:dyDescent="0.25">
      <c r="B280" s="908"/>
      <c r="C280" s="325" t="s">
        <v>1406</v>
      </c>
      <c r="D280" s="325" t="s">
        <v>563</v>
      </c>
      <c r="E280" s="325" t="s">
        <v>1560</v>
      </c>
      <c r="F280" s="325" t="s">
        <v>886</v>
      </c>
      <c r="G280" s="328">
        <f t="shared" si="33"/>
        <v>10.199999999999999</v>
      </c>
      <c r="H280" s="325" t="s">
        <v>1240</v>
      </c>
      <c r="J280" s="963">
        <f>102/10</f>
        <v>10.199999999999999</v>
      </c>
      <c r="K280" s="963">
        <f t="shared" ref="K280:L280" si="37">102/10</f>
        <v>10.199999999999999</v>
      </c>
      <c r="L280" s="963">
        <f t="shared" si="37"/>
        <v>10.199999999999999</v>
      </c>
      <c r="M280" s="962"/>
      <c r="N280" s="963">
        <f>102/10</f>
        <v>10.199999999999999</v>
      </c>
      <c r="O280" s="963">
        <f t="shared" ref="O280" si="38">102/10</f>
        <v>10.199999999999999</v>
      </c>
      <c r="P280" s="962"/>
      <c r="Q280" s="963">
        <f>102/10</f>
        <v>10.199999999999999</v>
      </c>
      <c r="R280" s="963">
        <f t="shared" ref="R280:S280" si="39">102/10</f>
        <v>10.199999999999999</v>
      </c>
      <c r="S280" s="963">
        <f t="shared" si="39"/>
        <v>10.199999999999999</v>
      </c>
    </row>
    <row r="281" spans="2:19" x14ac:dyDescent="0.25">
      <c r="B281" s="908"/>
      <c r="C281" s="325" t="s">
        <v>1406</v>
      </c>
      <c r="D281" s="325" t="s">
        <v>563</v>
      </c>
      <c r="E281" s="325" t="s">
        <v>1548</v>
      </c>
      <c r="F281" s="325" t="s">
        <v>1241</v>
      </c>
      <c r="G281" s="328">
        <f t="shared" si="33"/>
        <v>14.85472</v>
      </c>
      <c r="H281" s="325" t="s">
        <v>1549</v>
      </c>
      <c r="J281" s="963">
        <v>14.85472</v>
      </c>
      <c r="K281" s="963">
        <v>14.85472</v>
      </c>
      <c r="L281" s="963">
        <v>14.85472</v>
      </c>
      <c r="M281" s="962"/>
      <c r="N281" s="963">
        <v>14.85472</v>
      </c>
      <c r="O281" s="963">
        <v>14.85472</v>
      </c>
      <c r="P281" s="962"/>
      <c r="Q281" s="963">
        <v>14.85472</v>
      </c>
      <c r="R281" s="963">
        <v>14.85472</v>
      </c>
      <c r="S281" s="963">
        <v>14.85472</v>
      </c>
    </row>
    <row r="282" spans="2:19" x14ac:dyDescent="0.25">
      <c r="B282" s="908"/>
      <c r="C282" s="325" t="s">
        <v>1406</v>
      </c>
      <c r="D282" s="325" t="s">
        <v>563</v>
      </c>
      <c r="E282" s="325" t="s">
        <v>890</v>
      </c>
      <c r="F282" s="325" t="s">
        <v>1612</v>
      </c>
      <c r="G282" s="328">
        <f t="shared" si="33"/>
        <v>785</v>
      </c>
      <c r="H282" s="742" t="s">
        <v>1660</v>
      </c>
      <c r="J282" s="963">
        <f>IFERROR((INDEX(Prices!$D$3:$BD$17,MATCH(Prices!$D$16,Prices!$D$3:$D$17,0),MATCH($G$256,Prices!$D$3:$BD$3,0))+INDEX(Prices!$D$3:$BD$17,MATCH(Prices!$D$17,Prices!$D$3:$D$17,0),MATCH($G$256,Prices!$D$3:$BD$3,0)))/2,0)</f>
        <v>785</v>
      </c>
      <c r="K282" s="963">
        <f>IFERROR((INDEX(Prices!$D$3:$BD$17,MATCH(Prices!$D$16,Prices!$D$3:$D$17,0),MATCH($G$256,Prices!$D$3:$BD$3,0))+INDEX(Prices!$D$3:$BD$17,MATCH(Prices!$D$17,Prices!$D$3:$D$17,0),MATCH($G$256,Prices!$D$3:$BD$3,0)))/2,0)</f>
        <v>785</v>
      </c>
      <c r="L282" s="963">
        <f>IFERROR((INDEX(Prices!$D$3:$BD$17,MATCH(Prices!$D$16,Prices!$D$3:$D$17,0),MATCH($G$256,Prices!$D$3:$BD$3,0))+INDEX(Prices!$D$3:$BD$17,MATCH(Prices!$D$17,Prices!$D$3:$D$17,0),MATCH($G$256,Prices!$D$3:$BD$3,0)))/2,0)</f>
        <v>785</v>
      </c>
      <c r="M282" s="962"/>
      <c r="N282" s="963">
        <f>IFERROR((INDEX(Prices!$D$3:$BD$17,MATCH(Prices!$D$16,Prices!$D$3:$D$17,0),MATCH($G$256,Prices!$D$3:$BD$3,0))+INDEX(Prices!$D$3:$BD$17,MATCH(Prices!$D$17,Prices!$D$3:$D$17,0),MATCH($G$256,Prices!$D$3:$BD$3,0)))/2,0)</f>
        <v>785</v>
      </c>
      <c r="O282" s="963">
        <f>IFERROR((INDEX(Prices!$D$3:$BD$17,MATCH(Prices!$D$16,Prices!$D$3:$D$17,0),MATCH($G$256,Prices!$D$3:$BD$3,0))+INDEX(Prices!$D$3:$BD$17,MATCH(Prices!$D$17,Prices!$D$3:$D$17,0),MATCH($G$256,Prices!$D$3:$BD$3,0)))/2,0)</f>
        <v>785</v>
      </c>
      <c r="P282" s="962"/>
      <c r="Q282" s="963">
        <f>IFERROR((INDEX(Prices!$D$3:$BD$17,MATCH(Prices!$D$16,Prices!$D$3:$D$17,0),MATCH($G$256,Prices!$D$3:$BD$3,0))+INDEX(Prices!$D$3:$BD$17,MATCH(Prices!$D$17,Prices!$D$3:$D$17,0),MATCH($G$256,Prices!$D$3:$BD$3,0)))/2,0)</f>
        <v>785</v>
      </c>
      <c r="R282" s="963">
        <f>IFERROR((INDEX(Prices!$D$3:$BD$17,MATCH(Prices!$D$16,Prices!$D$3:$D$17,0),MATCH($G$256,Prices!$D$3:$BD$3,0))+INDEX(Prices!$D$3:$BD$17,MATCH(Prices!$D$17,Prices!$D$3:$D$17,0),MATCH($G$256,Prices!$D$3:$BD$3,0)))/2,0)</f>
        <v>785</v>
      </c>
      <c r="S282" s="963">
        <f>IFERROR((INDEX(Prices!$D$3:$BD$17,MATCH(Prices!$D$16,Prices!$D$3:$D$17,0),MATCH($G$256,Prices!$D$3:$BD$3,0))+INDEX(Prices!$D$3:$BD$17,MATCH(Prices!$D$17,Prices!$D$3:$D$17,0),MATCH($G$256,Prices!$D$3:$BD$3,0)))/2,0)</f>
        <v>785</v>
      </c>
    </row>
    <row r="283" spans="2:19" x14ac:dyDescent="0.25">
      <c r="B283" s="908"/>
      <c r="C283" s="325" t="s">
        <v>1406</v>
      </c>
      <c r="D283" s="325" t="s">
        <v>563</v>
      </c>
      <c r="E283" s="1316" t="s">
        <v>891</v>
      </c>
      <c r="F283" s="325" t="s">
        <v>1122</v>
      </c>
      <c r="G283" s="330">
        <f t="shared" si="33"/>
        <v>2.5000000000000001E-2</v>
      </c>
      <c r="H283" s="325" t="s">
        <v>792</v>
      </c>
      <c r="J283" s="969">
        <v>2.5000000000000001E-2</v>
      </c>
      <c r="K283" s="969">
        <v>2.5000000000000001E-2</v>
      </c>
      <c r="L283" s="969">
        <v>2.5000000000000001E-2</v>
      </c>
      <c r="M283" s="962"/>
      <c r="N283" s="969">
        <v>2.5000000000000001E-2</v>
      </c>
      <c r="O283" s="969">
        <v>2.5000000000000001E-2</v>
      </c>
      <c r="P283" s="962"/>
      <c r="Q283" s="969">
        <v>2.5000000000000001E-2</v>
      </c>
      <c r="R283" s="969">
        <v>2.5000000000000001E-2</v>
      </c>
      <c r="S283" s="969">
        <v>2.5000000000000001E-2</v>
      </c>
    </row>
    <row r="284" spans="2:19" x14ac:dyDescent="0.25">
      <c r="B284" s="908"/>
      <c r="C284" s="325" t="s">
        <v>1406</v>
      </c>
      <c r="D284" s="325" t="s">
        <v>563</v>
      </c>
      <c r="E284" s="901" t="s">
        <v>1306</v>
      </c>
      <c r="F284" s="325" t="s">
        <v>11</v>
      </c>
      <c r="G284" s="429">
        <f t="shared" si="33"/>
        <v>0.42894592162422679</v>
      </c>
      <c r="H284" s="325"/>
      <c r="J284" s="974">
        <f>'APX Input'!$AL$15</f>
        <v>0.42894592162422679</v>
      </c>
      <c r="K284" s="974">
        <f>'APX Input'!$AL$15</f>
        <v>0.42894592162422679</v>
      </c>
      <c r="L284" s="974">
        <f>'APX Input'!$AL$15</f>
        <v>0.42894592162422679</v>
      </c>
      <c r="M284" s="966"/>
      <c r="N284" s="974">
        <f>'APX Input'!$AL$15</f>
        <v>0.42894592162422679</v>
      </c>
      <c r="O284" s="974">
        <f>'APX Input'!$AL$15</f>
        <v>0.42894592162422679</v>
      </c>
      <c r="P284" s="966"/>
      <c r="Q284" s="974">
        <f>'APX Input'!$AL$15</f>
        <v>0.42894592162422679</v>
      </c>
      <c r="R284" s="974">
        <f>'APX Input'!$AL$15</f>
        <v>0.42894592162422679</v>
      </c>
      <c r="S284" s="974">
        <f>'APX Input'!$AL$15</f>
        <v>0.42894592162422679</v>
      </c>
    </row>
    <row r="285" spans="2:19" x14ac:dyDescent="0.25">
      <c r="B285" s="908"/>
      <c r="C285" s="325" t="s">
        <v>1406</v>
      </c>
      <c r="D285" s="325" t="s">
        <v>563</v>
      </c>
      <c r="E285" s="901" t="s">
        <v>1307</v>
      </c>
      <c r="F285" s="325" t="s">
        <v>1045</v>
      </c>
      <c r="G285" s="331">
        <f t="shared" si="33"/>
        <v>30.291688346263779</v>
      </c>
      <c r="H285" s="325"/>
      <c r="J285" s="975">
        <f>'APX Input'!$AO$15</f>
        <v>30.291688346263779</v>
      </c>
      <c r="K285" s="975">
        <f>'APX Input'!$AO$15</f>
        <v>30.291688346263779</v>
      </c>
      <c r="L285" s="975">
        <f>'APX Input'!$AO$15</f>
        <v>30.291688346263779</v>
      </c>
      <c r="M285" s="966"/>
      <c r="N285" s="975">
        <f>'APX Input'!$AO$15</f>
        <v>30.291688346263779</v>
      </c>
      <c r="O285" s="975">
        <f>'APX Input'!$AO$15</f>
        <v>30.291688346263779</v>
      </c>
      <c r="P285" s="966"/>
      <c r="Q285" s="975">
        <f>'APX Input'!$AO$15</f>
        <v>30.291688346263779</v>
      </c>
      <c r="R285" s="975">
        <f>'APX Input'!$AO$15</f>
        <v>30.291688346263779</v>
      </c>
      <c r="S285" s="975">
        <f>'APX Input'!$AO$15</f>
        <v>30.291688346263779</v>
      </c>
    </row>
    <row r="286" spans="2:19" x14ac:dyDescent="0.25">
      <c r="B286" s="908"/>
      <c r="C286" s="325" t="s">
        <v>1406</v>
      </c>
      <c r="D286" s="325" t="s">
        <v>563</v>
      </c>
      <c r="E286" s="901" t="s">
        <v>1201</v>
      </c>
      <c r="F286" s="325" t="s">
        <v>836</v>
      </c>
      <c r="G286" s="331">
        <f t="shared" si="33"/>
        <v>37575.662734282269</v>
      </c>
      <c r="H286" s="325" t="s">
        <v>894</v>
      </c>
      <c r="J286" s="975">
        <f>'ELECTROLYSIS S'!$N$29</f>
        <v>37575.662734282269</v>
      </c>
      <c r="K286" s="975">
        <f>'ELECTROLYSIS S'!$N$29</f>
        <v>37575.662734282269</v>
      </c>
      <c r="L286" s="975">
        <f>'ELECTROLYSIS S'!$N$29</f>
        <v>37575.662734282269</v>
      </c>
      <c r="M286" s="966"/>
      <c r="N286" s="975">
        <f>'ELECTROLYSIS S'!$N$29</f>
        <v>37575.662734282269</v>
      </c>
      <c r="O286" s="975">
        <f>'ELECTROLYSIS S'!$N$29</f>
        <v>37575.662734282269</v>
      </c>
      <c r="P286" s="966"/>
      <c r="Q286" s="975">
        <f>'ELECTROLYSIS S'!$N$29</f>
        <v>37575.662734282269</v>
      </c>
      <c r="R286" s="975">
        <f>'ELECTROLYSIS S'!$N$29</f>
        <v>37575.662734282269</v>
      </c>
      <c r="S286" s="975">
        <f>'ELECTROLYSIS S'!$N$29</f>
        <v>37575.662734282269</v>
      </c>
    </row>
    <row r="287" spans="2:19" x14ac:dyDescent="0.25">
      <c r="B287" s="908"/>
      <c r="C287" s="325" t="s">
        <v>1406</v>
      </c>
      <c r="D287" s="325" t="s">
        <v>563</v>
      </c>
      <c r="E287" s="325" t="s">
        <v>576</v>
      </c>
      <c r="F287" s="325" t="s">
        <v>858</v>
      </c>
      <c r="G287" s="331">
        <f t="shared" ref="G287:G318" si="40">IF(LEN(HLOOKUP($D$6,$J$9:$DG$501,ROW()-ROW($G$9)+1,FALSE))&lt;&gt;0,HLOOKUP($D$6,$J$9:$DG$501,ROW()-ROW($G$9)+1,FALSE),"")</f>
        <v>2700</v>
      </c>
      <c r="H287" s="325"/>
      <c r="J287" s="975">
        <f>'ELECTROLYSIS S'!$N$45</f>
        <v>2700</v>
      </c>
      <c r="K287" s="975">
        <f>'ELECTROLYSIS S'!$N$45</f>
        <v>2700</v>
      </c>
      <c r="L287" s="975">
        <f>'ELECTROLYSIS S'!$N$45</f>
        <v>2700</v>
      </c>
      <c r="M287" s="966"/>
      <c r="N287" s="975">
        <f>'ELECTROLYSIS S'!$N$45</f>
        <v>2700</v>
      </c>
      <c r="O287" s="975">
        <f>'ELECTROLYSIS S'!$N$45</f>
        <v>2700</v>
      </c>
      <c r="P287" s="966"/>
      <c r="Q287" s="975">
        <f>'ELECTROLYSIS S'!$N$45</f>
        <v>2700</v>
      </c>
      <c r="R287" s="975">
        <f>'ELECTROLYSIS S'!$N$45</f>
        <v>2700</v>
      </c>
      <c r="S287" s="975">
        <f>'ELECTROLYSIS S'!$N$45</f>
        <v>2700</v>
      </c>
    </row>
    <row r="288" spans="2:19" x14ac:dyDescent="0.25">
      <c r="B288" s="908"/>
      <c r="C288" s="325" t="s">
        <v>1406</v>
      </c>
      <c r="D288" s="325" t="s">
        <v>563</v>
      </c>
      <c r="E288" s="325" t="s">
        <v>864</v>
      </c>
      <c r="F288" s="325" t="s">
        <v>562</v>
      </c>
      <c r="G288" s="331">
        <f t="shared" si="40"/>
        <v>7850000</v>
      </c>
      <c r="H288" s="325"/>
      <c r="J288" s="975">
        <f>'ELECTROLYSIS S'!$T$13</f>
        <v>7850000</v>
      </c>
      <c r="K288" s="975">
        <f>'ELECTROLYSIS S'!$T$13</f>
        <v>7850000</v>
      </c>
      <c r="L288" s="975">
        <f>'ELECTROLYSIS S'!$T$13</f>
        <v>7850000</v>
      </c>
      <c r="M288" s="966"/>
      <c r="N288" s="975">
        <f>'ELECTROLYSIS S'!$T$13</f>
        <v>7850000</v>
      </c>
      <c r="O288" s="975">
        <f>'ELECTROLYSIS S'!$T$13</f>
        <v>7850000</v>
      </c>
      <c r="P288" s="966"/>
      <c r="Q288" s="975">
        <f>'ELECTROLYSIS S'!$T$13</f>
        <v>7850000</v>
      </c>
      <c r="R288" s="975">
        <f>'ELECTROLYSIS S'!$T$13</f>
        <v>7850000</v>
      </c>
      <c r="S288" s="975">
        <f>'ELECTROLYSIS S'!$T$13</f>
        <v>7850000</v>
      </c>
    </row>
    <row r="289" spans="2:20" s="962" customFormat="1" x14ac:dyDescent="0.25">
      <c r="B289" s="1326"/>
      <c r="C289" s="901" t="s">
        <v>1406</v>
      </c>
      <c r="D289" s="901" t="s">
        <v>563</v>
      </c>
      <c r="E289" s="901" t="s">
        <v>1742</v>
      </c>
      <c r="F289" s="901" t="s">
        <v>562</v>
      </c>
      <c r="G289" s="965">
        <f t="shared" si="40"/>
        <v>3925000</v>
      </c>
      <c r="H289" s="901"/>
      <c r="J289" s="1327">
        <f>'ELECTROLYSIS S'!$T$15</f>
        <v>3925000</v>
      </c>
      <c r="K289" s="1327">
        <f>'ELECTROLYSIS S'!$T$15</f>
        <v>3925000</v>
      </c>
      <c r="L289" s="1327">
        <f>'ELECTROLYSIS S'!$T$15</f>
        <v>3925000</v>
      </c>
      <c r="N289" s="1327">
        <f>'ELECTROLYSIS S'!$T$15</f>
        <v>3925000</v>
      </c>
      <c r="O289" s="1327">
        <f>'ELECTROLYSIS S'!$T$15</f>
        <v>3925000</v>
      </c>
      <c r="Q289" s="1327">
        <f>'ELECTROLYSIS S'!$T$15</f>
        <v>3925000</v>
      </c>
      <c r="R289" s="1327">
        <f>'ELECTROLYSIS S'!$T$15</f>
        <v>3925000</v>
      </c>
      <c r="S289" s="1327">
        <f>'ELECTROLYSIS S'!$T$15</f>
        <v>3925000</v>
      </c>
    </row>
    <row r="290" spans="2:20" x14ac:dyDescent="0.25">
      <c r="B290" s="908"/>
      <c r="C290" s="325" t="s">
        <v>1406</v>
      </c>
      <c r="D290" s="325" t="s">
        <v>563</v>
      </c>
      <c r="E290" s="325" t="s">
        <v>865</v>
      </c>
      <c r="F290" s="325" t="s">
        <v>914</v>
      </c>
      <c r="G290" s="331">
        <f t="shared" si="40"/>
        <v>196250</v>
      </c>
      <c r="H290" s="325"/>
      <c r="J290" s="975">
        <f>'ELECTROLYSIS S'!$T$14</f>
        <v>196250</v>
      </c>
      <c r="K290" s="975">
        <f>'ELECTROLYSIS S'!$T$14</f>
        <v>196250</v>
      </c>
      <c r="L290" s="975">
        <f>'ELECTROLYSIS S'!$T$14</f>
        <v>196250</v>
      </c>
      <c r="M290" s="959"/>
      <c r="N290" s="975">
        <f>'ELECTROLYSIS S'!$T$14</f>
        <v>196250</v>
      </c>
      <c r="O290" s="975">
        <f>'ELECTROLYSIS S'!$T$14</f>
        <v>196250</v>
      </c>
      <c r="P290" s="959"/>
      <c r="Q290" s="975">
        <f>'ELECTROLYSIS S'!$T$14</f>
        <v>196250</v>
      </c>
      <c r="R290" s="975">
        <f>'ELECTROLYSIS S'!$T$14</f>
        <v>196250</v>
      </c>
      <c r="S290" s="975">
        <f>'ELECTROLYSIS S'!$T$14</f>
        <v>196250</v>
      </c>
    </row>
    <row r="291" spans="2:20" x14ac:dyDescent="0.25">
      <c r="B291" s="908"/>
      <c r="C291" s="325" t="s">
        <v>1406</v>
      </c>
      <c r="D291" s="325" t="s">
        <v>563</v>
      </c>
      <c r="E291" s="327" t="s">
        <v>1242</v>
      </c>
      <c r="F291" s="742" t="s">
        <v>914</v>
      </c>
      <c r="G291" s="331">
        <f t="shared" si="40"/>
        <v>1138230.2649511963</v>
      </c>
      <c r="H291" s="325"/>
      <c r="J291" s="975">
        <f>'ELECTROLYSIS S'!$T$16</f>
        <v>1138230.2649511963</v>
      </c>
      <c r="K291" s="975">
        <f>'ELECTROLYSIS S'!$T$16</f>
        <v>1138230.2649511963</v>
      </c>
      <c r="L291" s="975">
        <f>'ELECTROLYSIS S'!$T$16</f>
        <v>1138230.2649511963</v>
      </c>
      <c r="M291" s="959"/>
      <c r="N291" s="975">
        <f>'ELECTROLYSIS S'!$T$16</f>
        <v>1138230.2649511963</v>
      </c>
      <c r="O291" s="975">
        <f>'ELECTROLYSIS S'!$T$16</f>
        <v>1138230.2649511963</v>
      </c>
      <c r="P291" s="959"/>
      <c r="Q291" s="975">
        <f>'ELECTROLYSIS S'!$T$16</f>
        <v>1138230.2649511963</v>
      </c>
      <c r="R291" s="975">
        <f>'ELECTROLYSIS S'!$T$16</f>
        <v>1138230.2649511963</v>
      </c>
      <c r="S291" s="975">
        <f>'ELECTROLYSIS S'!$T$16</f>
        <v>1138230.2649511963</v>
      </c>
    </row>
    <row r="292" spans="2:20" x14ac:dyDescent="0.25">
      <c r="B292" s="908"/>
      <c r="C292" s="325" t="s">
        <v>1406</v>
      </c>
      <c r="D292" s="325" t="s">
        <v>563</v>
      </c>
      <c r="E292" s="327" t="str">
        <f>'ELECTROLYSIS S'!S18</f>
        <v>Total electrolyser weigth</v>
      </c>
      <c r="F292" s="742" t="str">
        <f>'ELECTROLYSIS S'!U18</f>
        <v>ton</v>
      </c>
      <c r="G292" s="331">
        <f t="shared" si="40"/>
        <v>102</v>
      </c>
      <c r="H292" s="325"/>
      <c r="J292" s="975">
        <f>'ELECTROLYSIS S'!$T$18</f>
        <v>102</v>
      </c>
      <c r="K292" s="975">
        <f>'ELECTROLYSIS S'!$T$18</f>
        <v>102</v>
      </c>
      <c r="L292" s="975">
        <f>'ELECTROLYSIS S'!$T$18</f>
        <v>102</v>
      </c>
      <c r="M292" s="959"/>
      <c r="N292" s="975">
        <f>'ELECTROLYSIS S'!$T$18</f>
        <v>102</v>
      </c>
      <c r="O292" s="975">
        <f>'ELECTROLYSIS S'!$T$18</f>
        <v>102</v>
      </c>
      <c r="P292" s="959"/>
      <c r="Q292" s="975">
        <f>'ELECTROLYSIS S'!$T$18</f>
        <v>102</v>
      </c>
      <c r="R292" s="975">
        <f>'ELECTROLYSIS S'!$T$18</f>
        <v>102</v>
      </c>
      <c r="S292" s="975">
        <f>'ELECTROLYSIS S'!$T$18</f>
        <v>102</v>
      </c>
    </row>
    <row r="293" spans="2:20" x14ac:dyDescent="0.25">
      <c r="B293" s="908"/>
      <c r="C293" s="325" t="s">
        <v>1406</v>
      </c>
      <c r="D293" s="325" t="s">
        <v>563</v>
      </c>
      <c r="E293" s="327" t="str">
        <f>'ELECTROLYSIS S'!S19</f>
        <v>Total electrolyser area</v>
      </c>
      <c r="F293" s="742" t="str">
        <f>'ELECTROLYSIS S'!U19</f>
        <v>m²</v>
      </c>
      <c r="G293" s="331">
        <f t="shared" si="40"/>
        <v>148.5472</v>
      </c>
      <c r="H293" s="325"/>
      <c r="J293" s="975">
        <f>'ELECTROLYSIS S'!$T$19</f>
        <v>148.5472</v>
      </c>
      <c r="K293" s="975">
        <f>'ELECTROLYSIS S'!$T$19</f>
        <v>148.5472</v>
      </c>
      <c r="L293" s="975">
        <f>'ELECTROLYSIS S'!$T$19</f>
        <v>148.5472</v>
      </c>
      <c r="M293" s="959"/>
      <c r="N293" s="975">
        <f>'ELECTROLYSIS S'!$T$19</f>
        <v>148.5472</v>
      </c>
      <c r="O293" s="975">
        <f>'ELECTROLYSIS S'!$T$19</f>
        <v>148.5472</v>
      </c>
      <c r="P293" s="959"/>
      <c r="Q293" s="975">
        <f>'ELECTROLYSIS S'!$T$19</f>
        <v>148.5472</v>
      </c>
      <c r="R293" s="975">
        <f>'ELECTROLYSIS S'!$T$19</f>
        <v>148.5472</v>
      </c>
      <c r="S293" s="975">
        <f>'ELECTROLYSIS S'!$T$19</f>
        <v>148.5472</v>
      </c>
    </row>
    <row r="294" spans="2:20" x14ac:dyDescent="0.25">
      <c r="B294" s="908"/>
      <c r="C294" s="325" t="s">
        <v>1406</v>
      </c>
      <c r="D294" s="325" t="s">
        <v>563</v>
      </c>
      <c r="E294" s="325" t="s">
        <v>773</v>
      </c>
      <c r="F294" s="325" t="s">
        <v>653</v>
      </c>
      <c r="G294" s="332">
        <f t="shared" si="40"/>
        <v>8.9999999999999993E-3</v>
      </c>
      <c r="H294" s="325" t="s">
        <v>855</v>
      </c>
      <c r="J294" s="901">
        <f>18/2000</f>
        <v>8.9999999999999993E-3</v>
      </c>
      <c r="K294" s="901">
        <f>18/2000</f>
        <v>8.9999999999999993E-3</v>
      </c>
      <c r="L294" s="901">
        <f>18/2000</f>
        <v>8.9999999999999993E-3</v>
      </c>
      <c r="M294" s="962"/>
      <c r="N294" s="901">
        <f>18/2000</f>
        <v>8.9999999999999993E-3</v>
      </c>
      <c r="O294" s="901">
        <f>18/2000</f>
        <v>8.9999999999999993E-3</v>
      </c>
      <c r="P294" s="962"/>
      <c r="Q294" s="901">
        <f>18/2000</f>
        <v>8.9999999999999993E-3</v>
      </c>
      <c r="R294" s="901">
        <f>18/2000</f>
        <v>8.9999999999999993E-3</v>
      </c>
      <c r="S294" s="901">
        <f>18/2000</f>
        <v>8.9999999999999993E-3</v>
      </c>
    </row>
    <row r="295" spans="2:20" x14ac:dyDescent="0.25">
      <c r="B295" s="908"/>
      <c r="C295" s="325" t="s">
        <v>1406</v>
      </c>
      <c r="D295" s="325" t="s">
        <v>563</v>
      </c>
      <c r="E295" s="325" t="s">
        <v>1249</v>
      </c>
      <c r="F295" s="325" t="s">
        <v>1250</v>
      </c>
      <c r="G295" s="1110">
        <f t="shared" si="40"/>
        <v>1.4184761827336497E-3</v>
      </c>
      <c r="H295" s="325" t="s">
        <v>1251</v>
      </c>
      <c r="J295" s="970">
        <f>(PI()*((0.927/2)^2+(1.226/2)^2)+2.4*1)/3000</f>
        <v>1.4184761827336497E-3</v>
      </c>
      <c r="K295" s="970">
        <f>(PI()*((0.927/2)^2+(1.226/2)^2)+2.4*1)/3000</f>
        <v>1.4184761827336497E-3</v>
      </c>
      <c r="L295" s="970">
        <f>(PI()*((0.927/2)^2+(1.226/2)^2)+2.4*1)/3000</f>
        <v>1.4184761827336497E-3</v>
      </c>
      <c r="M295" s="971"/>
      <c r="N295" s="970">
        <f>(PI()*((0.927/2)^2+(1.226/2)^2)+2.4*1)/3000</f>
        <v>1.4184761827336497E-3</v>
      </c>
      <c r="O295" s="970">
        <f>(PI()*((0.927/2)^2+(1.226/2)^2)+2.4*1)/3000</f>
        <v>1.4184761827336497E-3</v>
      </c>
      <c r="P295" s="971"/>
      <c r="Q295" s="970">
        <f>(PI()*((0.927/2)^2+(1.226/2)^2)+2.4*1)/3000</f>
        <v>1.4184761827336497E-3</v>
      </c>
      <c r="R295" s="970">
        <f>(PI()*((0.927/2)^2+(1.226/2)^2)+2.4*1)/3000</f>
        <v>1.4184761827336497E-3</v>
      </c>
      <c r="S295" s="970">
        <f>(PI()*((0.927/2)^2+(1.226/2)^2)+2.4*1)/3000</f>
        <v>1.4184761827336497E-3</v>
      </c>
    </row>
    <row r="296" spans="2:20" x14ac:dyDescent="0.25">
      <c r="B296" s="908"/>
      <c r="C296" s="325" t="s">
        <v>1406</v>
      </c>
      <c r="D296" s="325" t="s">
        <v>563</v>
      </c>
      <c r="E296" s="325" t="s">
        <v>892</v>
      </c>
      <c r="F296" s="325" t="s">
        <v>1454</v>
      </c>
      <c r="G296" s="332">
        <f t="shared" si="40"/>
        <v>31.200000000000003</v>
      </c>
      <c r="H296" s="325" t="s">
        <v>1455</v>
      </c>
      <c r="J296" s="901">
        <f>48000/2000*1.3</f>
        <v>31.200000000000003</v>
      </c>
      <c r="K296" s="901">
        <f>48000/2000*1.3</f>
        <v>31.200000000000003</v>
      </c>
      <c r="L296" s="901">
        <f>48000/2000*1.3</f>
        <v>31.200000000000003</v>
      </c>
      <c r="M296" s="962"/>
      <c r="N296" s="901">
        <f>48000/2000*1.3</f>
        <v>31.200000000000003</v>
      </c>
      <c r="O296" s="901">
        <f>48000/2000*1.3</f>
        <v>31.200000000000003</v>
      </c>
      <c r="P296" s="962"/>
      <c r="Q296" s="901">
        <f>48000/2000*1.3</f>
        <v>31.200000000000003</v>
      </c>
      <c r="R296" s="901">
        <f>48000/2000*1.3</f>
        <v>31.200000000000003</v>
      </c>
      <c r="S296" s="901">
        <f>48000/2000*1.3</f>
        <v>31.200000000000003</v>
      </c>
    </row>
    <row r="297" spans="2:20" x14ac:dyDescent="0.25">
      <c r="B297" s="908"/>
      <c r="C297" s="325" t="s">
        <v>1406</v>
      </c>
      <c r="D297" s="325" t="s">
        <v>563</v>
      </c>
      <c r="E297" s="325" t="s">
        <v>893</v>
      </c>
      <c r="F297" s="325" t="s">
        <v>1122</v>
      </c>
      <c r="G297" s="330">
        <f t="shared" si="40"/>
        <v>2.5000000000000001E-2</v>
      </c>
      <c r="H297" s="325"/>
      <c r="J297" s="969">
        <v>2.5000000000000001E-2</v>
      </c>
      <c r="K297" s="969">
        <v>2.5000000000000001E-2</v>
      </c>
      <c r="L297" s="969">
        <v>2.5000000000000001E-2</v>
      </c>
      <c r="M297" s="962"/>
      <c r="N297" s="969">
        <v>2.5000000000000001E-2</v>
      </c>
      <c r="O297" s="969">
        <v>2.5000000000000001E-2</v>
      </c>
      <c r="P297" s="962"/>
      <c r="Q297" s="969">
        <v>2.5000000000000001E-2</v>
      </c>
      <c r="R297" s="969">
        <v>2.5000000000000001E-2</v>
      </c>
      <c r="S297" s="969">
        <v>2.5000000000000001E-2</v>
      </c>
    </row>
    <row r="298" spans="2:20" x14ac:dyDescent="0.25">
      <c r="B298" s="908"/>
      <c r="C298" s="325" t="s">
        <v>1406</v>
      </c>
      <c r="D298" s="325" t="s">
        <v>563</v>
      </c>
      <c r="E298" s="327" t="s">
        <v>773</v>
      </c>
      <c r="F298" s="325" t="s">
        <v>46</v>
      </c>
      <c r="G298" s="331">
        <f t="shared" si="40"/>
        <v>2.4299999999999999E-2</v>
      </c>
      <c r="H298" s="325"/>
      <c r="J298" s="975">
        <f>'ELECTROLYSIS S'!$R$44</f>
        <v>2.4299999999999999E-2</v>
      </c>
      <c r="K298" s="975">
        <f>'ELECTROLYSIS S'!$R$44</f>
        <v>2.4299999999999999E-2</v>
      </c>
      <c r="L298" s="975">
        <f>'ELECTROLYSIS S'!$R$44</f>
        <v>2.4299999999999999E-2</v>
      </c>
      <c r="M298" s="959"/>
      <c r="N298" s="975">
        <f>'ELECTROLYSIS S'!$R$44</f>
        <v>2.4299999999999999E-2</v>
      </c>
      <c r="O298" s="975">
        <f>'ELECTROLYSIS S'!$R$44</f>
        <v>2.4299999999999999E-2</v>
      </c>
      <c r="P298" s="959"/>
      <c r="Q298" s="975">
        <f>'ELECTROLYSIS S'!$R$44</f>
        <v>2.4299999999999999E-2</v>
      </c>
      <c r="R298" s="975">
        <f>'ELECTROLYSIS S'!$R$44</f>
        <v>2.4299999999999999E-2</v>
      </c>
      <c r="S298" s="975">
        <f>'ELECTROLYSIS S'!$R$44</f>
        <v>2.4299999999999999E-2</v>
      </c>
    </row>
    <row r="299" spans="2:20" x14ac:dyDescent="0.25">
      <c r="B299" s="908"/>
      <c r="C299" s="325" t="s">
        <v>1406</v>
      </c>
      <c r="D299" s="325" t="s">
        <v>563</v>
      </c>
      <c r="E299" s="325" t="s">
        <v>863</v>
      </c>
      <c r="F299" s="325" t="s">
        <v>836</v>
      </c>
      <c r="G299" s="331">
        <f t="shared" si="40"/>
        <v>91.308860444305907</v>
      </c>
      <c r="H299" s="325"/>
      <c r="J299" s="975">
        <f>'ELECTROLYSIS S'!$T$10</f>
        <v>91.308860444305907</v>
      </c>
      <c r="K299" s="975">
        <f>'ELECTROLYSIS S'!$T$10</f>
        <v>91.308860444305907</v>
      </c>
      <c r="L299" s="975">
        <f>'ELECTROLYSIS S'!$T$10</f>
        <v>91.308860444305907</v>
      </c>
      <c r="M299" s="959"/>
      <c r="N299" s="975">
        <f>'ELECTROLYSIS S'!$T$10</f>
        <v>91.308860444305907</v>
      </c>
      <c r="O299" s="975">
        <f>'ELECTROLYSIS S'!$T$10</f>
        <v>91.308860444305907</v>
      </c>
      <c r="P299" s="959"/>
      <c r="Q299" s="975">
        <f>'ELECTROLYSIS S'!$T$10</f>
        <v>91.308860444305907</v>
      </c>
      <c r="R299" s="975">
        <f>'ELECTROLYSIS S'!$T$10</f>
        <v>91.308860444305907</v>
      </c>
      <c r="S299" s="975">
        <f>'ELECTROLYSIS S'!$T$10</f>
        <v>91.308860444305907</v>
      </c>
    </row>
    <row r="300" spans="2:20" x14ac:dyDescent="0.25">
      <c r="B300" s="908"/>
      <c r="C300" s="325" t="s">
        <v>1406</v>
      </c>
      <c r="D300" s="325" t="s">
        <v>563</v>
      </c>
      <c r="E300" s="325" t="s">
        <v>1123</v>
      </c>
      <c r="F300" s="325" t="s">
        <v>928</v>
      </c>
      <c r="G300" s="331">
        <f t="shared" si="40"/>
        <v>84240.000000000015</v>
      </c>
      <c r="H300" s="325"/>
      <c r="J300" s="975">
        <f>'ELECTROLYSIS S'!$T$8</f>
        <v>84240.000000000015</v>
      </c>
      <c r="K300" s="975">
        <f>'ELECTROLYSIS S'!$T$8</f>
        <v>84240.000000000015</v>
      </c>
      <c r="L300" s="975">
        <f>'ELECTROLYSIS S'!$T$8</f>
        <v>84240.000000000015</v>
      </c>
      <c r="M300" s="959"/>
      <c r="N300" s="975">
        <f>'ELECTROLYSIS S'!$T$8</f>
        <v>84240.000000000015</v>
      </c>
      <c r="O300" s="975">
        <f>'ELECTROLYSIS S'!$T$8</f>
        <v>84240.000000000015</v>
      </c>
      <c r="P300" s="959"/>
      <c r="Q300" s="975">
        <f>'ELECTROLYSIS S'!$T$8</f>
        <v>84240.000000000015</v>
      </c>
      <c r="R300" s="975">
        <f>'ELECTROLYSIS S'!$T$8</f>
        <v>84240.000000000015</v>
      </c>
      <c r="S300" s="975">
        <f>'ELECTROLYSIS S'!$T$8</f>
        <v>84240.000000000015</v>
      </c>
    </row>
    <row r="301" spans="2:20" x14ac:dyDescent="0.25">
      <c r="B301" s="908"/>
      <c r="C301" s="325" t="s">
        <v>1406</v>
      </c>
      <c r="D301" s="325" t="s">
        <v>563</v>
      </c>
      <c r="E301" s="325" t="s">
        <v>861</v>
      </c>
      <c r="F301" s="325" t="s">
        <v>914</v>
      </c>
      <c r="G301" s="331">
        <f t="shared" si="40"/>
        <v>2106.0000000000005</v>
      </c>
      <c r="H301" s="325" t="s">
        <v>792</v>
      </c>
      <c r="J301" s="975">
        <f>'ELECTROLYSIS S'!$T$9</f>
        <v>2106.0000000000005</v>
      </c>
      <c r="K301" s="975">
        <f>'ELECTROLYSIS S'!$T$9</f>
        <v>2106.0000000000005</v>
      </c>
      <c r="L301" s="975">
        <f>'ELECTROLYSIS S'!$T$9</f>
        <v>2106.0000000000005</v>
      </c>
      <c r="M301" s="959"/>
      <c r="N301" s="975">
        <f>'ELECTROLYSIS S'!$T$9</f>
        <v>2106.0000000000005</v>
      </c>
      <c r="O301" s="975">
        <f>'ELECTROLYSIS S'!$T$9</f>
        <v>2106.0000000000005</v>
      </c>
      <c r="P301" s="959"/>
      <c r="Q301" s="975">
        <f>'ELECTROLYSIS S'!$T$9</f>
        <v>2106.0000000000005</v>
      </c>
      <c r="R301" s="975">
        <f>'ELECTROLYSIS S'!$T$9</f>
        <v>2106.0000000000005</v>
      </c>
      <c r="S301" s="975">
        <f>'ELECTROLYSIS S'!$T$9</f>
        <v>2106.0000000000005</v>
      </c>
    </row>
    <row r="302" spans="2:20" x14ac:dyDescent="0.25">
      <c r="B302" s="908"/>
      <c r="C302" s="325" t="s">
        <v>1406</v>
      </c>
      <c r="D302" s="325" t="s">
        <v>563</v>
      </c>
      <c r="E302" s="327" t="str">
        <f>'ELECTROLYSIS S'!S20</f>
        <v>Total desalination unit area</v>
      </c>
      <c r="F302" s="327" t="str">
        <f>'ELECTROLYSIS S'!U20</f>
        <v>m²</v>
      </c>
      <c r="G302" s="331">
        <f t="shared" si="40"/>
        <v>3.8298856933808541</v>
      </c>
      <c r="H302" s="325"/>
      <c r="J302" s="331">
        <f>'ELECTROLYSIS S'!$T$20</f>
        <v>3.8298856933808541</v>
      </c>
      <c r="K302" s="331">
        <f>'ELECTROLYSIS S'!$T$20</f>
        <v>3.8298856933808541</v>
      </c>
      <c r="L302" s="331">
        <f>'ELECTROLYSIS S'!$T$20</f>
        <v>3.8298856933808541</v>
      </c>
      <c r="M302" s="1098"/>
      <c r="N302" s="331">
        <f>'ELECTROLYSIS S'!$T$20</f>
        <v>3.8298856933808541</v>
      </c>
      <c r="O302" s="331">
        <f>'ELECTROLYSIS S'!$T$20</f>
        <v>3.8298856933808541</v>
      </c>
      <c r="P302" s="1098"/>
      <c r="Q302" s="331">
        <f>'ELECTROLYSIS S'!$T$20</f>
        <v>3.8298856933808541</v>
      </c>
      <c r="R302" s="331">
        <f>'ELECTROLYSIS S'!$T$20</f>
        <v>3.8298856933808541</v>
      </c>
      <c r="S302" s="331">
        <f>'ELECTROLYSIS S'!$T$20</f>
        <v>3.8298856933808541</v>
      </c>
    </row>
    <row r="303" spans="2:20" x14ac:dyDescent="0.25">
      <c r="B303" s="908"/>
      <c r="C303" s="325" t="s">
        <v>1406</v>
      </c>
      <c r="D303" s="325" t="s">
        <v>563</v>
      </c>
      <c r="E303" s="327" t="str">
        <f>'ELECTROLYSIS S'!S21</f>
        <v>Total desalination unit weight</v>
      </c>
      <c r="F303" s="327" t="str">
        <f>'ELECTROLYSIS S'!U21</f>
        <v>ton</v>
      </c>
      <c r="G303" s="331">
        <f t="shared" si="40"/>
        <v>2.62979269030212</v>
      </c>
      <c r="H303" s="325"/>
      <c r="J303" s="331">
        <f>'ELECTROLYSIS S'!$T$21</f>
        <v>2.62979269030212</v>
      </c>
      <c r="K303" s="331">
        <f>'ELECTROLYSIS S'!$T$21</f>
        <v>2.62979269030212</v>
      </c>
      <c r="L303" s="331">
        <f>'ELECTROLYSIS S'!$T$21</f>
        <v>2.62979269030212</v>
      </c>
      <c r="M303" s="966"/>
      <c r="N303" s="331">
        <f>'ELECTROLYSIS S'!$T$21</f>
        <v>2.62979269030212</v>
      </c>
      <c r="O303" s="331">
        <f>'ELECTROLYSIS S'!$T$21</f>
        <v>2.62979269030212</v>
      </c>
      <c r="P303" s="966"/>
      <c r="Q303" s="331">
        <f>'ELECTROLYSIS S'!$T$21</f>
        <v>2.62979269030212</v>
      </c>
      <c r="R303" s="331">
        <f>'ELECTROLYSIS S'!$T$21</f>
        <v>2.62979269030212</v>
      </c>
      <c r="S303" s="331">
        <f>'ELECTROLYSIS S'!$T$21</f>
        <v>2.62979269030212</v>
      </c>
    </row>
    <row r="304" spans="2:20" x14ac:dyDescent="0.25">
      <c r="B304" s="908"/>
      <c r="C304" s="325" t="s">
        <v>1406</v>
      </c>
      <c r="D304" s="325" t="s">
        <v>18</v>
      </c>
      <c r="E304" s="325" t="s">
        <v>775</v>
      </c>
      <c r="F304" s="325" t="s">
        <v>558</v>
      </c>
      <c r="G304" s="331">
        <f t="shared" si="40"/>
        <v>35</v>
      </c>
      <c r="H304" s="325" t="s">
        <v>776</v>
      </c>
      <c r="J304" s="331">
        <f>J273</f>
        <v>35</v>
      </c>
      <c r="K304" s="331">
        <f>K273</f>
        <v>35</v>
      </c>
      <c r="L304" s="331">
        <f>L273</f>
        <v>35</v>
      </c>
      <c r="M304" s="966"/>
      <c r="N304" s="331">
        <f>N273</f>
        <v>35</v>
      </c>
      <c r="O304" s="331">
        <f>O273</f>
        <v>35</v>
      </c>
      <c r="P304" s="966"/>
      <c r="Q304" s="331">
        <f>Q273</f>
        <v>35</v>
      </c>
      <c r="R304" s="331">
        <f>R273</f>
        <v>35</v>
      </c>
      <c r="S304" s="331">
        <f>S273</f>
        <v>35</v>
      </c>
      <c r="T304" s="959"/>
    </row>
    <row r="305" spans="2:19" x14ac:dyDescent="0.25">
      <c r="B305" s="908"/>
      <c r="C305" s="325" t="s">
        <v>1406</v>
      </c>
      <c r="D305" s="325" t="s">
        <v>18</v>
      </c>
      <c r="E305" s="1322" t="s">
        <v>813</v>
      </c>
      <c r="F305" s="325" t="s">
        <v>558</v>
      </c>
      <c r="G305" s="688">
        <f t="shared" si="40"/>
        <v>100</v>
      </c>
      <c r="H305" s="325" t="s">
        <v>814</v>
      </c>
      <c r="J305" s="688">
        <v>100</v>
      </c>
      <c r="K305" s="688">
        <v>100</v>
      </c>
      <c r="L305" s="688">
        <v>100</v>
      </c>
      <c r="M305" s="966"/>
      <c r="N305" s="688">
        <v>100</v>
      </c>
      <c r="O305" s="688">
        <v>100</v>
      </c>
      <c r="P305" s="966"/>
      <c r="Q305" s="688">
        <v>100</v>
      </c>
      <c r="R305" s="688">
        <v>100</v>
      </c>
      <c r="S305" s="688">
        <v>100</v>
      </c>
    </row>
    <row r="306" spans="2:19" x14ac:dyDescent="0.25">
      <c r="B306" s="908"/>
      <c r="C306" s="325" t="s">
        <v>1406</v>
      </c>
      <c r="D306" s="325" t="s">
        <v>18</v>
      </c>
      <c r="E306" s="334" t="s">
        <v>815</v>
      </c>
      <c r="F306" s="325" t="s">
        <v>757</v>
      </c>
      <c r="G306" s="332">
        <f t="shared" si="40"/>
        <v>2</v>
      </c>
      <c r="H306" s="325"/>
      <c r="J306" s="332">
        <v>2</v>
      </c>
      <c r="K306" s="332">
        <v>2</v>
      </c>
      <c r="L306" s="332">
        <v>2</v>
      </c>
      <c r="M306" s="966"/>
      <c r="N306" s="332">
        <v>2</v>
      </c>
      <c r="O306" s="332">
        <v>2</v>
      </c>
      <c r="P306" s="966"/>
      <c r="Q306" s="332">
        <v>2</v>
      </c>
      <c r="R306" s="332">
        <v>2</v>
      </c>
      <c r="S306" s="332">
        <v>2</v>
      </c>
    </row>
    <row r="307" spans="2:19" x14ac:dyDescent="0.25">
      <c r="B307" s="908"/>
      <c r="C307" s="325" t="s">
        <v>1406</v>
      </c>
      <c r="D307" s="325" t="s">
        <v>18</v>
      </c>
      <c r="E307" s="334" t="s">
        <v>816</v>
      </c>
      <c r="F307" s="325" t="s">
        <v>557</v>
      </c>
      <c r="G307" s="332">
        <f t="shared" si="40"/>
        <v>273</v>
      </c>
      <c r="H307" s="325"/>
      <c r="J307" s="332">
        <v>273</v>
      </c>
      <c r="K307" s="332">
        <v>273</v>
      </c>
      <c r="L307" s="332">
        <v>273</v>
      </c>
      <c r="M307" s="966"/>
      <c r="N307" s="332">
        <v>273</v>
      </c>
      <c r="O307" s="332">
        <v>273</v>
      </c>
      <c r="P307" s="966"/>
      <c r="Q307" s="332">
        <v>273</v>
      </c>
      <c r="R307" s="332">
        <v>273</v>
      </c>
      <c r="S307" s="332">
        <v>273</v>
      </c>
    </row>
    <row r="308" spans="2:19" x14ac:dyDescent="0.25">
      <c r="B308" s="908"/>
      <c r="C308" s="325" t="s">
        <v>1406</v>
      </c>
      <c r="D308" s="325" t="s">
        <v>18</v>
      </c>
      <c r="E308" s="325" t="s">
        <v>780</v>
      </c>
      <c r="F308" s="325" t="s">
        <v>11</v>
      </c>
      <c r="G308" s="329">
        <f t="shared" si="40"/>
        <v>0.75</v>
      </c>
      <c r="H308" s="325"/>
      <c r="J308" s="329">
        <v>0.75</v>
      </c>
      <c r="K308" s="329">
        <v>0.75</v>
      </c>
      <c r="L308" s="329">
        <v>0.75</v>
      </c>
      <c r="M308" s="966"/>
      <c r="N308" s="329">
        <v>0.75</v>
      </c>
      <c r="O308" s="329">
        <v>0.75</v>
      </c>
      <c r="P308" s="966"/>
      <c r="Q308" s="329">
        <v>0.75</v>
      </c>
      <c r="R308" s="329">
        <v>0.75</v>
      </c>
      <c r="S308" s="329">
        <v>0.75</v>
      </c>
    </row>
    <row r="309" spans="2:19" x14ac:dyDescent="0.25">
      <c r="B309" s="908"/>
      <c r="C309" s="325" t="s">
        <v>1406</v>
      </c>
      <c r="D309" s="325" t="s">
        <v>18</v>
      </c>
      <c r="E309" s="325" t="s">
        <v>783</v>
      </c>
      <c r="F309" s="325" t="s">
        <v>11</v>
      </c>
      <c r="G309" s="329">
        <f t="shared" si="40"/>
        <v>0.9</v>
      </c>
      <c r="H309" s="325"/>
      <c r="J309" s="329">
        <v>0.9</v>
      </c>
      <c r="K309" s="329">
        <v>0.9</v>
      </c>
      <c r="L309" s="329">
        <v>0.9</v>
      </c>
      <c r="M309" s="966"/>
      <c r="N309" s="329">
        <v>0.9</v>
      </c>
      <c r="O309" s="329">
        <v>0.9</v>
      </c>
      <c r="P309" s="966"/>
      <c r="Q309" s="329">
        <v>0.9</v>
      </c>
      <c r="R309" s="329">
        <v>0.9</v>
      </c>
      <c r="S309" s="329">
        <v>0.9</v>
      </c>
    </row>
    <row r="310" spans="2:19" x14ac:dyDescent="0.25">
      <c r="B310" s="908"/>
      <c r="C310" s="325" t="s">
        <v>1406</v>
      </c>
      <c r="D310" s="325" t="s">
        <v>18</v>
      </c>
      <c r="E310" s="325" t="s">
        <v>581</v>
      </c>
      <c r="F310" s="325" t="s">
        <v>11</v>
      </c>
      <c r="G310" s="417">
        <f t="shared" si="40"/>
        <v>3.8E-3</v>
      </c>
      <c r="H310" s="325" t="s">
        <v>785</v>
      </c>
      <c r="J310" s="417">
        <v>3.8E-3</v>
      </c>
      <c r="K310" s="417">
        <v>3.8E-3</v>
      </c>
      <c r="L310" s="417">
        <v>3.8E-3</v>
      </c>
      <c r="M310" s="966"/>
      <c r="N310" s="417">
        <v>3.8E-3</v>
      </c>
      <c r="O310" s="417">
        <v>3.8E-3</v>
      </c>
      <c r="P310" s="966"/>
      <c r="Q310" s="417">
        <v>3.8E-3</v>
      </c>
      <c r="R310" s="417">
        <v>3.8E-3</v>
      </c>
      <c r="S310" s="417">
        <v>3.8E-3</v>
      </c>
    </row>
    <row r="311" spans="2:19" ht="18" x14ac:dyDescent="0.35">
      <c r="B311" s="908"/>
      <c r="C311" s="325" t="s">
        <v>1406</v>
      </c>
      <c r="D311" s="325" t="s">
        <v>18</v>
      </c>
      <c r="E311" s="325" t="s">
        <v>888</v>
      </c>
      <c r="F311" s="325" t="s">
        <v>869</v>
      </c>
      <c r="G311" s="328">
        <f t="shared" si="40"/>
        <v>1913.5338345864661</v>
      </c>
      <c r="H311" s="325"/>
      <c r="J311" s="328">
        <f>2545/1.33</f>
        <v>1913.5338345864661</v>
      </c>
      <c r="K311" s="328">
        <f>2545/1.33</f>
        <v>1913.5338345864661</v>
      </c>
      <c r="L311" s="328">
        <f>2545/1.33</f>
        <v>1913.5338345864661</v>
      </c>
      <c r="M311" s="966"/>
      <c r="N311" s="328">
        <f>2545/1.33</f>
        <v>1913.5338345864661</v>
      </c>
      <c r="O311" s="328">
        <f>2545/1.33</f>
        <v>1913.5338345864661</v>
      </c>
      <c r="P311" s="966"/>
      <c r="Q311" s="328">
        <f>2545/1.33</f>
        <v>1913.5338345864661</v>
      </c>
      <c r="R311" s="328">
        <f>2545/1.33</f>
        <v>1913.5338345864661</v>
      </c>
      <c r="S311" s="328">
        <f>2545/1.33</f>
        <v>1913.5338345864661</v>
      </c>
    </row>
    <row r="312" spans="2:19" x14ac:dyDescent="0.25">
      <c r="B312" s="908"/>
      <c r="C312" s="325" t="s">
        <v>1406</v>
      </c>
      <c r="D312" s="325" t="s">
        <v>18</v>
      </c>
      <c r="E312" s="1316" t="s">
        <v>889</v>
      </c>
      <c r="F312" s="325" t="s">
        <v>11</v>
      </c>
      <c r="G312" s="420">
        <f t="shared" si="40"/>
        <v>2.5000000000000001E-2</v>
      </c>
      <c r="H312" s="325"/>
      <c r="J312" s="420">
        <v>2.5000000000000001E-2</v>
      </c>
      <c r="K312" s="420">
        <v>2.5000000000000001E-2</v>
      </c>
      <c r="L312" s="420">
        <v>2.5000000000000001E-2</v>
      </c>
      <c r="M312" s="966"/>
      <c r="N312" s="420">
        <v>2.5000000000000001E-2</v>
      </c>
      <c r="O312" s="420">
        <v>2.5000000000000001E-2</v>
      </c>
      <c r="P312" s="966"/>
      <c r="Q312" s="420">
        <v>2.5000000000000001E-2</v>
      </c>
      <c r="R312" s="420">
        <v>2.5000000000000001E-2</v>
      </c>
      <c r="S312" s="420">
        <v>2.5000000000000001E-2</v>
      </c>
    </row>
    <row r="313" spans="2:19" x14ac:dyDescent="0.25">
      <c r="B313" s="908"/>
      <c r="C313" s="325" t="s">
        <v>1406</v>
      </c>
      <c r="D313" s="325" t="s">
        <v>18</v>
      </c>
      <c r="E313" s="325" t="s">
        <v>1554</v>
      </c>
      <c r="F313" s="325" t="s">
        <v>1528</v>
      </c>
      <c r="G313" s="328">
        <f t="shared" si="40"/>
        <v>79.775518480642788</v>
      </c>
      <c r="H313" s="325" t="s">
        <v>1557</v>
      </c>
      <c r="J313" s="328">
        <v>79.775518480642788</v>
      </c>
      <c r="K313" s="328">
        <v>79.775518480642788</v>
      </c>
      <c r="L313" s="328">
        <v>79.775518480642788</v>
      </c>
      <c r="M313" s="966"/>
      <c r="N313" s="328">
        <v>79.775518480642788</v>
      </c>
      <c r="O313" s="328">
        <v>79.775518480642788</v>
      </c>
      <c r="P313" s="966"/>
      <c r="Q313" s="328">
        <v>79.775518480642788</v>
      </c>
      <c r="R313" s="328">
        <v>79.775518480642788</v>
      </c>
      <c r="S313" s="328">
        <v>79.775518480642788</v>
      </c>
    </row>
    <row r="314" spans="2:19" x14ac:dyDescent="0.25">
      <c r="B314" s="908"/>
      <c r="C314" s="325" t="s">
        <v>1406</v>
      </c>
      <c r="D314" s="325" t="s">
        <v>18</v>
      </c>
      <c r="E314" s="325" t="s">
        <v>1555</v>
      </c>
      <c r="F314" s="325" t="s">
        <v>1617</v>
      </c>
      <c r="G314" s="328">
        <f t="shared" si="40"/>
        <v>9.4736842105263168</v>
      </c>
      <c r="H314" s="325" t="s">
        <v>1556</v>
      </c>
      <c r="J314" s="328">
        <v>9.4736842105263168</v>
      </c>
      <c r="K314" s="328">
        <v>9.4736842105263168</v>
      </c>
      <c r="L314" s="328">
        <v>9.4736842105263168</v>
      </c>
      <c r="M314" s="966"/>
      <c r="N314" s="328">
        <v>9.4736842105263168</v>
      </c>
      <c r="O314" s="328">
        <v>9.4736842105263168</v>
      </c>
      <c r="P314" s="966"/>
      <c r="Q314" s="328">
        <v>9.4736842105263168</v>
      </c>
      <c r="R314" s="328">
        <v>9.4736842105263168</v>
      </c>
      <c r="S314" s="328">
        <v>9.4736842105263168</v>
      </c>
    </row>
    <row r="315" spans="2:19" x14ac:dyDescent="0.25">
      <c r="B315" s="908"/>
      <c r="C315" s="325" t="s">
        <v>1406</v>
      </c>
      <c r="D315" s="325" t="s">
        <v>18</v>
      </c>
      <c r="E315" s="325" t="s">
        <v>788</v>
      </c>
      <c r="F315" s="325" t="s">
        <v>46</v>
      </c>
      <c r="G315" s="331">
        <f t="shared" si="40"/>
        <v>9.5417069806848193E-2</v>
      </c>
      <c r="H315" s="325" t="s">
        <v>789</v>
      </c>
      <c r="J315" s="331">
        <f>'H2 COMPRESSION S'!$D$7</f>
        <v>9.5417069806848193E-2</v>
      </c>
      <c r="K315" s="331">
        <f>'H2 COMPRESSION S'!$D$7</f>
        <v>9.5417069806848193E-2</v>
      </c>
      <c r="L315" s="331">
        <f>'H2 COMPRESSION S'!$D$7</f>
        <v>9.5417069806848193E-2</v>
      </c>
      <c r="M315" s="966"/>
      <c r="N315" s="331">
        <f>'H2 COMPRESSION S'!$D$7</f>
        <v>9.5417069806848193E-2</v>
      </c>
      <c r="O315" s="331">
        <f>'H2 COMPRESSION S'!$D$7</f>
        <v>9.5417069806848193E-2</v>
      </c>
      <c r="P315" s="966"/>
      <c r="Q315" s="331">
        <f>'H2 COMPRESSION S'!$D$7</f>
        <v>9.5417069806848193E-2</v>
      </c>
      <c r="R315" s="331">
        <f>'H2 COMPRESSION S'!$D$7</f>
        <v>9.5417069806848193E-2</v>
      </c>
      <c r="S315" s="331">
        <f>'H2 COMPRESSION S'!$D$7</f>
        <v>9.5417069806848193E-2</v>
      </c>
    </row>
    <row r="316" spans="2:19" x14ac:dyDescent="0.25">
      <c r="B316" s="908"/>
      <c r="C316" s="325" t="s">
        <v>1406</v>
      </c>
      <c r="D316" s="325" t="s">
        <v>18</v>
      </c>
      <c r="E316" s="325" t="s">
        <v>1243</v>
      </c>
      <c r="F316" s="325" t="s">
        <v>836</v>
      </c>
      <c r="G316" s="331">
        <f t="shared" si="40"/>
        <v>358.53596341555954</v>
      </c>
      <c r="H316" s="325" t="s">
        <v>870</v>
      </c>
      <c r="J316" s="331">
        <f>'H2 COMPRESSION S'!$Q$7</f>
        <v>358.53596341555954</v>
      </c>
      <c r="K316" s="331">
        <f>'H2 COMPRESSION S'!$Q$7</f>
        <v>358.53596341555954</v>
      </c>
      <c r="L316" s="331">
        <f>'H2 COMPRESSION S'!$Q$7</f>
        <v>358.53596341555954</v>
      </c>
      <c r="M316" s="966"/>
      <c r="N316" s="331">
        <f>'H2 COMPRESSION S'!$Q$7</f>
        <v>358.53596341555954</v>
      </c>
      <c r="O316" s="331">
        <f>'H2 COMPRESSION S'!$Q$7</f>
        <v>358.53596341555954</v>
      </c>
      <c r="P316" s="966"/>
      <c r="Q316" s="331">
        <f>'H2 COMPRESSION S'!$Q$7</f>
        <v>358.53596341555954</v>
      </c>
      <c r="R316" s="331">
        <f>'H2 COMPRESSION S'!$Q$7</f>
        <v>358.53596341555954</v>
      </c>
      <c r="S316" s="331">
        <f>'H2 COMPRESSION S'!$Q$7</f>
        <v>358.53596341555954</v>
      </c>
    </row>
    <row r="317" spans="2:19" x14ac:dyDescent="0.25">
      <c r="B317" s="908"/>
      <c r="C317" s="325" t="s">
        <v>1406</v>
      </c>
      <c r="D317" s="325" t="s">
        <v>18</v>
      </c>
      <c r="E317" s="325" t="s">
        <v>790</v>
      </c>
      <c r="F317" s="325" t="s">
        <v>562</v>
      </c>
      <c r="G317" s="331">
        <f t="shared" si="40"/>
        <v>182583.79147250275</v>
      </c>
      <c r="H317" s="325"/>
      <c r="J317" s="331">
        <f>'H2 COMPRESSION S'!$Q$5</f>
        <v>182583.79147250275</v>
      </c>
      <c r="K317" s="331">
        <f>'H2 COMPRESSION S'!$Q$5</f>
        <v>182583.79147250275</v>
      </c>
      <c r="L317" s="331">
        <f>'H2 COMPRESSION S'!$Q$5</f>
        <v>182583.79147250275</v>
      </c>
      <c r="M317" s="966"/>
      <c r="N317" s="331">
        <f>'H2 COMPRESSION S'!$Q$5</f>
        <v>182583.79147250275</v>
      </c>
      <c r="O317" s="331">
        <f>'H2 COMPRESSION S'!$Q$5</f>
        <v>182583.79147250275</v>
      </c>
      <c r="P317" s="966"/>
      <c r="Q317" s="331">
        <f>'H2 COMPRESSION S'!$Q$5</f>
        <v>182583.79147250275</v>
      </c>
      <c r="R317" s="331">
        <f>'H2 COMPRESSION S'!$Q$5</f>
        <v>182583.79147250275</v>
      </c>
      <c r="S317" s="331">
        <f>'H2 COMPRESSION S'!$Q$5</f>
        <v>182583.79147250275</v>
      </c>
    </row>
    <row r="318" spans="2:19" x14ac:dyDescent="0.25">
      <c r="B318" s="908"/>
      <c r="C318" s="325" t="s">
        <v>1406</v>
      </c>
      <c r="D318" s="325" t="s">
        <v>18</v>
      </c>
      <c r="E318" s="325" t="s">
        <v>791</v>
      </c>
      <c r="F318" s="325" t="s">
        <v>914</v>
      </c>
      <c r="G318" s="331">
        <f t="shared" si="40"/>
        <v>4564.5947868125686</v>
      </c>
      <c r="H318" s="325" t="s">
        <v>792</v>
      </c>
      <c r="J318" s="331">
        <f>'H2 COMPRESSION S'!$Q$6</f>
        <v>4564.5947868125686</v>
      </c>
      <c r="K318" s="331">
        <f>'H2 COMPRESSION S'!$Q$6</f>
        <v>4564.5947868125686</v>
      </c>
      <c r="L318" s="331">
        <f>'H2 COMPRESSION S'!$Q$6</f>
        <v>4564.5947868125686</v>
      </c>
      <c r="M318" s="966"/>
      <c r="N318" s="331">
        <f>'H2 COMPRESSION S'!$Q$6</f>
        <v>4564.5947868125686</v>
      </c>
      <c r="O318" s="331">
        <f>'H2 COMPRESSION S'!$Q$6</f>
        <v>4564.5947868125686</v>
      </c>
      <c r="P318" s="966"/>
      <c r="Q318" s="331">
        <f>'H2 COMPRESSION S'!$Q$6</f>
        <v>4564.5947868125686</v>
      </c>
      <c r="R318" s="331">
        <f>'H2 COMPRESSION S'!$Q$6</f>
        <v>4564.5947868125686</v>
      </c>
      <c r="S318" s="331">
        <f>'H2 COMPRESSION S'!$Q$6</f>
        <v>4564.5947868125686</v>
      </c>
    </row>
    <row r="319" spans="2:19" x14ac:dyDescent="0.25">
      <c r="B319" s="908"/>
      <c r="C319" s="325" t="s">
        <v>1406</v>
      </c>
      <c r="D319" s="325" t="s">
        <v>18</v>
      </c>
      <c r="E319" s="327" t="str">
        <f>'H2 COMPRESSION S'!P9</f>
        <v>Total area compressor</v>
      </c>
      <c r="F319" s="327" t="str">
        <f>'H2 COMPRESSION S'!R9</f>
        <v>m²</v>
      </c>
      <c r="G319" s="331">
        <f t="shared" ref="G319:G350" si="41">IF(LEN(HLOOKUP($D$6,$J$9:$DG$501,ROW()-ROW($G$9)+1,FALSE))&lt;&gt;0,HLOOKUP($D$6,$J$9:$DG$501,ROW()-ROW($G$9)+1,FALSE),"")</f>
        <v>7.6119462157450011</v>
      </c>
      <c r="H319" s="325"/>
      <c r="J319" s="331">
        <f>'H2 COMPRESSION S'!$Q$9</f>
        <v>7.6119462157450011</v>
      </c>
      <c r="K319" s="331">
        <f>'H2 COMPRESSION S'!$Q$9</f>
        <v>7.6119462157450011</v>
      </c>
      <c r="L319" s="331">
        <f>'H2 COMPRESSION S'!$Q$9</f>
        <v>7.6119462157450011</v>
      </c>
      <c r="M319" s="966"/>
      <c r="N319" s="331">
        <f>'H2 COMPRESSION S'!$Q$9</f>
        <v>7.6119462157450011</v>
      </c>
      <c r="O319" s="331">
        <f>'H2 COMPRESSION S'!$Q$9</f>
        <v>7.6119462157450011</v>
      </c>
      <c r="P319" s="966"/>
      <c r="Q319" s="331">
        <f>'H2 COMPRESSION S'!$Q$9</f>
        <v>7.6119462157450011</v>
      </c>
      <c r="R319" s="331">
        <f>'H2 COMPRESSION S'!$Q$9</f>
        <v>7.6119462157450011</v>
      </c>
      <c r="S319" s="331">
        <f>'H2 COMPRESSION S'!$Q$9</f>
        <v>7.6119462157450011</v>
      </c>
    </row>
    <row r="320" spans="2:19" x14ac:dyDescent="0.25">
      <c r="B320" s="908"/>
      <c r="C320" s="325" t="s">
        <v>1406</v>
      </c>
      <c r="D320" s="325" t="s">
        <v>18</v>
      </c>
      <c r="E320" s="327" t="str">
        <f>'H2 COMPRESSION S'!P10</f>
        <v>Total weight compressor</v>
      </c>
      <c r="F320" s="327" t="str">
        <f>'H2 COMPRESSION S'!R10</f>
        <v>t</v>
      </c>
      <c r="G320" s="331">
        <f t="shared" si="41"/>
        <v>0.90395118764382509</v>
      </c>
      <c r="H320" s="325"/>
      <c r="J320" s="331">
        <f>'H2 COMPRESSION S'!$Q$10</f>
        <v>0.90395118764382509</v>
      </c>
      <c r="K320" s="331">
        <f>'H2 COMPRESSION S'!$Q$10</f>
        <v>0.90395118764382509</v>
      </c>
      <c r="L320" s="331">
        <f>'H2 COMPRESSION S'!$Q$10</f>
        <v>0.90395118764382509</v>
      </c>
      <c r="M320" s="966"/>
      <c r="N320" s="331">
        <f>'H2 COMPRESSION S'!$Q$10</f>
        <v>0.90395118764382509</v>
      </c>
      <c r="O320" s="331">
        <f>'H2 COMPRESSION S'!$Q$10</f>
        <v>0.90395118764382509</v>
      </c>
      <c r="P320" s="966"/>
      <c r="Q320" s="331">
        <f>'H2 COMPRESSION S'!$Q$10</f>
        <v>0.90395118764382509</v>
      </c>
      <c r="R320" s="331">
        <f>'H2 COMPRESSION S'!$Q$10</f>
        <v>0.90395118764382509</v>
      </c>
      <c r="S320" s="331">
        <f>'H2 COMPRESSION S'!$Q$10</f>
        <v>0.90395118764382509</v>
      </c>
    </row>
    <row r="321" spans="2:19" x14ac:dyDescent="0.25">
      <c r="B321" s="908"/>
      <c r="C321" s="325" t="s">
        <v>1406</v>
      </c>
      <c r="D321" s="325" t="s">
        <v>543</v>
      </c>
      <c r="E321" s="1316" t="s">
        <v>564</v>
      </c>
      <c r="F321" s="325" t="s">
        <v>757</v>
      </c>
      <c r="G321" s="691" t="str">
        <f t="shared" si="41"/>
        <v>existing</v>
      </c>
      <c r="H321" s="325"/>
      <c r="J321" s="691" t="s">
        <v>1483</v>
      </c>
      <c r="K321" s="691" t="s">
        <v>1483</v>
      </c>
      <c r="L321" s="691" t="s">
        <v>1483</v>
      </c>
      <c r="M321" s="966"/>
      <c r="N321" s="691" t="s">
        <v>1483</v>
      </c>
      <c r="O321" s="691" t="s">
        <v>1483</v>
      </c>
      <c r="P321" s="966"/>
      <c r="Q321" s="691" t="s">
        <v>879</v>
      </c>
      <c r="R321" s="691" t="s">
        <v>879</v>
      </c>
      <c r="S321" s="691" t="s">
        <v>879</v>
      </c>
    </row>
    <row r="322" spans="2:19" x14ac:dyDescent="0.25">
      <c r="B322" s="908"/>
      <c r="C322" s="325" t="s">
        <v>1406</v>
      </c>
      <c r="D322" s="325" t="s">
        <v>543</v>
      </c>
      <c r="E322" s="325" t="s">
        <v>801</v>
      </c>
      <c r="F322" s="325" t="s">
        <v>22</v>
      </c>
      <c r="G322" s="688">
        <f t="shared" si="41"/>
        <v>40</v>
      </c>
      <c r="H322" s="325"/>
      <c r="J322" s="688">
        <v>93</v>
      </c>
      <c r="K322" s="688">
        <v>93</v>
      </c>
      <c r="L322" s="688">
        <v>93</v>
      </c>
      <c r="M322" s="966"/>
      <c r="N322" s="688">
        <v>40</v>
      </c>
      <c r="O322" s="688">
        <v>40</v>
      </c>
      <c r="P322" s="966"/>
      <c r="Q322" s="688">
        <v>0</v>
      </c>
      <c r="R322" s="688">
        <v>0</v>
      </c>
      <c r="S322" s="688">
        <v>0</v>
      </c>
    </row>
    <row r="323" spans="2:19" x14ac:dyDescent="0.25">
      <c r="B323" s="908"/>
      <c r="C323" s="325" t="s">
        <v>1406</v>
      </c>
      <c r="D323" s="325" t="s">
        <v>543</v>
      </c>
      <c r="E323" s="325" t="s">
        <v>796</v>
      </c>
      <c r="F323" s="325" t="s">
        <v>558</v>
      </c>
      <c r="G323" s="332">
        <f t="shared" si="41"/>
        <v>80</v>
      </c>
      <c r="H323" s="325" t="s">
        <v>874</v>
      </c>
      <c r="J323" s="332">
        <v>80</v>
      </c>
      <c r="K323" s="332">
        <v>80</v>
      </c>
      <c r="L323" s="332">
        <v>80</v>
      </c>
      <c r="M323" s="966"/>
      <c r="N323" s="332">
        <v>80</v>
      </c>
      <c r="O323" s="332">
        <v>80</v>
      </c>
      <c r="P323" s="966"/>
      <c r="Q323" s="332">
        <v>80</v>
      </c>
      <c r="R323" s="332">
        <v>80</v>
      </c>
      <c r="S323" s="332">
        <v>80</v>
      </c>
    </row>
    <row r="324" spans="2:19" x14ac:dyDescent="0.25">
      <c r="B324" s="908"/>
      <c r="C324" s="325" t="s">
        <v>1406</v>
      </c>
      <c r="D324" s="325" t="s">
        <v>543</v>
      </c>
      <c r="E324" s="325" t="s">
        <v>871</v>
      </c>
      <c r="F324" s="325" t="s">
        <v>11</v>
      </c>
      <c r="G324" s="329">
        <f t="shared" si="41"/>
        <v>0.01</v>
      </c>
      <c r="H324" s="325" t="s">
        <v>785</v>
      </c>
      <c r="J324" s="329">
        <v>0.01</v>
      </c>
      <c r="K324" s="329">
        <v>0.01</v>
      </c>
      <c r="L324" s="329">
        <v>0.01</v>
      </c>
      <c r="M324" s="966"/>
      <c r="N324" s="329">
        <v>0.01</v>
      </c>
      <c r="O324" s="329">
        <v>0.01</v>
      </c>
      <c r="P324" s="966"/>
      <c r="Q324" s="329">
        <v>0.01</v>
      </c>
      <c r="R324" s="329">
        <v>0.01</v>
      </c>
      <c r="S324" s="329">
        <v>0.01</v>
      </c>
    </row>
    <row r="325" spans="2:19" x14ac:dyDescent="0.25">
      <c r="B325" s="908"/>
      <c r="C325" s="325" t="s">
        <v>1406</v>
      </c>
      <c r="D325" s="325" t="s">
        <v>543</v>
      </c>
      <c r="E325" s="325" t="s">
        <v>872</v>
      </c>
      <c r="F325" s="325" t="s">
        <v>11</v>
      </c>
      <c r="G325" s="329">
        <f t="shared" si="41"/>
        <v>0</v>
      </c>
      <c r="H325" s="325" t="s">
        <v>785</v>
      </c>
      <c r="J325" s="329">
        <v>0</v>
      </c>
      <c r="K325" s="329">
        <v>0</v>
      </c>
      <c r="L325" s="329">
        <v>0</v>
      </c>
      <c r="M325" s="966"/>
      <c r="N325" s="329">
        <v>0</v>
      </c>
      <c r="O325" s="329">
        <v>0</v>
      </c>
      <c r="P325" s="966"/>
      <c r="Q325" s="329">
        <v>0</v>
      </c>
      <c r="R325" s="329">
        <v>0</v>
      </c>
      <c r="S325" s="329">
        <v>0</v>
      </c>
    </row>
    <row r="326" spans="2:19" x14ac:dyDescent="0.25">
      <c r="B326" s="908"/>
      <c r="C326" s="325" t="s">
        <v>1406</v>
      </c>
      <c r="D326" s="325" t="s">
        <v>543</v>
      </c>
      <c r="E326" s="325" t="s">
        <v>1252</v>
      </c>
      <c r="F326" s="325" t="s">
        <v>1115</v>
      </c>
      <c r="G326" s="328">
        <f t="shared" si="41"/>
        <v>594890.53682785435</v>
      </c>
      <c r="H326" s="325"/>
      <c r="J326" s="338">
        <f>1.75*(418869+762.8*'H2 PIPELINE S'!$E$10+2.306*('H2 PIPELINE S'!$E$10^2))/1.33</f>
        <v>594890.53682785435</v>
      </c>
      <c r="K326" s="338">
        <f>1.75*(418869+762.8*'H2 PIPELINE S'!$E$10+2.306*('H2 PIPELINE S'!$E$10^2))/1.33</f>
        <v>594890.53682785435</v>
      </c>
      <c r="L326" s="338">
        <f>1.75*(418869+762.8*'H2 PIPELINE S'!$E$10+2.306*('H2 PIPELINE S'!$E$10^2))/1.33</f>
        <v>594890.53682785435</v>
      </c>
      <c r="M326" s="966"/>
      <c r="N326" s="338">
        <f>1.75*(418869+762.8*'H2 PIPELINE S'!$E$10+2.306*('H2 PIPELINE S'!$E$10^2))/1.33</f>
        <v>594890.53682785435</v>
      </c>
      <c r="O326" s="338">
        <f>1.75*(418869+762.8*'H2 PIPELINE S'!$E$10+2.306*('H2 PIPELINE S'!$E$10^2))/1.33</f>
        <v>594890.53682785435</v>
      </c>
      <c r="P326" s="966"/>
      <c r="Q326" s="338">
        <f>1.75*(418869+762.8*'H2 PIPELINE S'!$E$10+2.306*('H2 PIPELINE S'!$E$10^2))/1.33</f>
        <v>594890.53682785435</v>
      </c>
      <c r="R326" s="338">
        <f>1.75*(418869+762.8*'H2 PIPELINE S'!$E$10+2.306*('H2 PIPELINE S'!$E$10^2))/1.33</f>
        <v>594890.53682785435</v>
      </c>
      <c r="S326" s="338">
        <f>1.75*(418869+762.8*'H2 PIPELINE S'!$E$10+2.306*('H2 PIPELINE S'!$E$10^2))/1.33</f>
        <v>594890.53682785435</v>
      </c>
    </row>
    <row r="327" spans="2:19" x14ac:dyDescent="0.25">
      <c r="B327" s="908"/>
      <c r="C327" s="325" t="s">
        <v>1406</v>
      </c>
      <c r="D327" s="325" t="s">
        <v>543</v>
      </c>
      <c r="E327" s="325" t="s">
        <v>881</v>
      </c>
      <c r="F327" s="325" t="s">
        <v>914</v>
      </c>
      <c r="G327" s="328">
        <f t="shared" si="41"/>
        <v>475912.4294622835</v>
      </c>
      <c r="H327" s="901" t="s">
        <v>1253</v>
      </c>
      <c r="J327" s="328">
        <f>J326*J328*J322</f>
        <v>1106496.398499809</v>
      </c>
      <c r="K327" s="328">
        <f t="shared" ref="K327:L327" si="42">K326*K328*K322</f>
        <v>1106496.398499809</v>
      </c>
      <c r="L327" s="328">
        <f t="shared" si="42"/>
        <v>1106496.398499809</v>
      </c>
      <c r="M327" s="966"/>
      <c r="N327" s="328">
        <f t="shared" ref="N327:O327" si="43">N326*N328*N322</f>
        <v>475912.4294622835</v>
      </c>
      <c r="O327" s="328">
        <f t="shared" si="43"/>
        <v>475912.4294622835</v>
      </c>
      <c r="P327" s="966"/>
      <c r="Q327" s="328">
        <f>Q326*Q328*Q322</f>
        <v>0</v>
      </c>
      <c r="R327" s="328">
        <f>R326*R328*R322</f>
        <v>0</v>
      </c>
      <c r="S327" s="328">
        <f>S326*S328*S322</f>
        <v>0</v>
      </c>
    </row>
    <row r="328" spans="2:19" x14ac:dyDescent="0.25">
      <c r="B328" s="908"/>
      <c r="C328" s="325" t="s">
        <v>1406</v>
      </c>
      <c r="D328" s="325" t="s">
        <v>543</v>
      </c>
      <c r="E328" s="325" t="s">
        <v>912</v>
      </c>
      <c r="F328" s="325" t="s">
        <v>1122</v>
      </c>
      <c r="G328" s="329">
        <f t="shared" si="41"/>
        <v>0.02</v>
      </c>
      <c r="H328" s="325"/>
      <c r="J328" s="329">
        <v>0.02</v>
      </c>
      <c r="K328" s="329">
        <v>0.02</v>
      </c>
      <c r="L328" s="329">
        <v>0.02</v>
      </c>
      <c r="M328" s="966"/>
      <c r="N328" s="329">
        <v>0.02</v>
      </c>
      <c r="O328" s="329">
        <v>0.02</v>
      </c>
      <c r="P328" s="966"/>
      <c r="Q328" s="329">
        <v>0.02</v>
      </c>
      <c r="R328" s="329">
        <v>0.02</v>
      </c>
      <c r="S328" s="329">
        <v>0.02</v>
      </c>
    </row>
    <row r="329" spans="2:19" x14ac:dyDescent="0.25">
      <c r="B329" s="908"/>
      <c r="C329" s="325" t="s">
        <v>1406</v>
      </c>
      <c r="D329" s="325" t="s">
        <v>543</v>
      </c>
      <c r="E329" s="325" t="s">
        <v>93</v>
      </c>
      <c r="F329" s="325" t="s">
        <v>757</v>
      </c>
      <c r="G329" s="690">
        <f t="shared" si="41"/>
        <v>0</v>
      </c>
      <c r="H329" s="325"/>
      <c r="J329" s="690">
        <v>0</v>
      </c>
      <c r="K329" s="690">
        <v>0</v>
      </c>
      <c r="L329" s="690">
        <v>0</v>
      </c>
      <c r="M329" s="966"/>
      <c r="N329" s="690">
        <v>0</v>
      </c>
      <c r="O329" s="690">
        <v>0</v>
      </c>
      <c r="P329" s="966"/>
      <c r="Q329" s="690">
        <v>0</v>
      </c>
      <c r="R329" s="690">
        <v>0</v>
      </c>
      <c r="S329" s="690">
        <v>0</v>
      </c>
    </row>
    <row r="330" spans="2:19" x14ac:dyDescent="0.25">
      <c r="B330" s="908"/>
      <c r="C330" s="325" t="s">
        <v>1406</v>
      </c>
      <c r="D330" s="325" t="s">
        <v>543</v>
      </c>
      <c r="E330" s="325" t="s">
        <v>94</v>
      </c>
      <c r="F330" s="325" t="s">
        <v>757</v>
      </c>
      <c r="G330" s="690">
        <f t="shared" si="41"/>
        <v>0</v>
      </c>
      <c r="H330" s="325"/>
      <c r="J330" s="690">
        <v>0</v>
      </c>
      <c r="K330" s="690">
        <v>0</v>
      </c>
      <c r="L330" s="690">
        <v>0</v>
      </c>
      <c r="M330" s="966"/>
      <c r="N330" s="690">
        <v>0</v>
      </c>
      <c r="O330" s="690">
        <v>0</v>
      </c>
      <c r="P330" s="966"/>
      <c r="Q330" s="690">
        <v>0</v>
      </c>
      <c r="R330" s="690">
        <v>0</v>
      </c>
      <c r="S330" s="690">
        <v>0</v>
      </c>
    </row>
    <row r="331" spans="2:19" x14ac:dyDescent="0.25">
      <c r="B331" s="908"/>
      <c r="C331" s="325" t="s">
        <v>1406</v>
      </c>
      <c r="D331" s="325" t="s">
        <v>543</v>
      </c>
      <c r="E331" s="325" t="s">
        <v>95</v>
      </c>
      <c r="F331" s="325" t="s">
        <v>757</v>
      </c>
      <c r="G331" s="690">
        <f t="shared" si="41"/>
        <v>0</v>
      </c>
      <c r="H331" s="325"/>
      <c r="J331" s="690">
        <v>0</v>
      </c>
      <c r="K331" s="690">
        <v>0</v>
      </c>
      <c r="L331" s="690">
        <v>0</v>
      </c>
      <c r="M331" s="966"/>
      <c r="N331" s="690">
        <v>0</v>
      </c>
      <c r="O331" s="690">
        <v>0</v>
      </c>
      <c r="P331" s="966"/>
      <c r="Q331" s="690">
        <v>0</v>
      </c>
      <c r="R331" s="690">
        <v>0</v>
      </c>
      <c r="S331" s="690">
        <v>0</v>
      </c>
    </row>
    <row r="332" spans="2:19" x14ac:dyDescent="0.25">
      <c r="B332" s="908"/>
      <c r="C332" s="325" t="s">
        <v>1406</v>
      </c>
      <c r="D332" s="325" t="s">
        <v>543</v>
      </c>
      <c r="E332" s="325" t="s">
        <v>96</v>
      </c>
      <c r="F332" s="325" t="s">
        <v>757</v>
      </c>
      <c r="G332" s="690">
        <f t="shared" si="41"/>
        <v>0</v>
      </c>
      <c r="H332" s="325"/>
      <c r="J332" s="690">
        <v>0</v>
      </c>
      <c r="K332" s="690">
        <v>0</v>
      </c>
      <c r="L332" s="690">
        <v>0</v>
      </c>
      <c r="M332" s="966"/>
      <c r="N332" s="690">
        <v>0</v>
      </c>
      <c r="O332" s="690">
        <v>0</v>
      </c>
      <c r="P332" s="966"/>
      <c r="Q332" s="690">
        <v>0</v>
      </c>
      <c r="R332" s="690">
        <v>0</v>
      </c>
      <c r="S332" s="690">
        <v>0</v>
      </c>
    </row>
    <row r="333" spans="2:19" x14ac:dyDescent="0.25">
      <c r="B333" s="908"/>
      <c r="C333" s="325" t="s">
        <v>1406</v>
      </c>
      <c r="D333" s="325" t="s">
        <v>543</v>
      </c>
      <c r="E333" s="325" t="s">
        <v>97</v>
      </c>
      <c r="F333" s="325" t="s">
        <v>757</v>
      </c>
      <c r="G333" s="690">
        <f t="shared" si="41"/>
        <v>0</v>
      </c>
      <c r="H333" s="325"/>
      <c r="J333" s="690">
        <v>0</v>
      </c>
      <c r="K333" s="690">
        <v>0</v>
      </c>
      <c r="L333" s="690">
        <v>0</v>
      </c>
      <c r="M333" s="966"/>
      <c r="N333" s="690">
        <v>0</v>
      </c>
      <c r="O333" s="690">
        <v>0</v>
      </c>
      <c r="P333" s="966"/>
      <c r="Q333" s="690">
        <v>0</v>
      </c>
      <c r="R333" s="690">
        <v>0</v>
      </c>
      <c r="S333" s="690">
        <v>0</v>
      </c>
    </row>
    <row r="334" spans="2:19" x14ac:dyDescent="0.25">
      <c r="B334" s="908"/>
      <c r="C334" s="325" t="s">
        <v>1406</v>
      </c>
      <c r="D334" s="325" t="s">
        <v>543</v>
      </c>
      <c r="E334" s="325" t="s">
        <v>553</v>
      </c>
      <c r="F334" s="325" t="s">
        <v>757</v>
      </c>
      <c r="G334" s="690">
        <f t="shared" si="41"/>
        <v>0</v>
      </c>
      <c r="H334" s="325"/>
      <c r="J334" s="690">
        <v>0</v>
      </c>
      <c r="K334" s="690">
        <v>0</v>
      </c>
      <c r="L334" s="690">
        <v>0</v>
      </c>
      <c r="M334" s="966"/>
      <c r="N334" s="690">
        <v>0</v>
      </c>
      <c r="O334" s="690">
        <v>0</v>
      </c>
      <c r="P334" s="966"/>
      <c r="Q334" s="690">
        <v>0</v>
      </c>
      <c r="R334" s="690">
        <v>0</v>
      </c>
      <c r="S334" s="690">
        <v>0</v>
      </c>
    </row>
    <row r="335" spans="2:19" x14ac:dyDescent="0.25">
      <c r="B335" s="908"/>
      <c r="C335" s="325" t="s">
        <v>1406</v>
      </c>
      <c r="D335" s="325" t="s">
        <v>543</v>
      </c>
      <c r="E335" s="325" t="s">
        <v>98</v>
      </c>
      <c r="F335" s="325" t="s">
        <v>757</v>
      </c>
      <c r="G335" s="690">
        <f t="shared" si="41"/>
        <v>0</v>
      </c>
      <c r="H335" s="325"/>
      <c r="J335" s="690">
        <v>0</v>
      </c>
      <c r="K335" s="690">
        <v>0</v>
      </c>
      <c r="L335" s="690">
        <v>0</v>
      </c>
      <c r="M335" s="966"/>
      <c r="N335" s="690">
        <v>0</v>
      </c>
      <c r="O335" s="690">
        <v>0</v>
      </c>
      <c r="P335" s="966"/>
      <c r="Q335" s="690">
        <v>0</v>
      </c>
      <c r="R335" s="690">
        <v>0</v>
      </c>
      <c r="S335" s="690">
        <v>0</v>
      </c>
    </row>
    <row r="336" spans="2:19" x14ac:dyDescent="0.25">
      <c r="B336" s="908"/>
      <c r="C336" s="325" t="s">
        <v>1406</v>
      </c>
      <c r="D336" s="325" t="s">
        <v>543</v>
      </c>
      <c r="E336" s="325" t="s">
        <v>916</v>
      </c>
      <c r="F336" s="325" t="s">
        <v>884</v>
      </c>
      <c r="G336" s="346">
        <f t="shared" si="41"/>
        <v>7000000</v>
      </c>
      <c r="H336" s="325"/>
      <c r="J336" s="346">
        <v>7000000</v>
      </c>
      <c r="K336" s="346">
        <v>7000000</v>
      </c>
      <c r="L336" s="346">
        <v>7000000</v>
      </c>
      <c r="M336" s="966"/>
      <c r="N336" s="346">
        <v>7000000</v>
      </c>
      <c r="O336" s="346">
        <v>7000000</v>
      </c>
      <c r="P336" s="966"/>
      <c r="Q336" s="346">
        <v>7000000</v>
      </c>
      <c r="R336" s="346">
        <v>7000000</v>
      </c>
      <c r="S336" s="346">
        <v>7000000</v>
      </c>
    </row>
    <row r="337" spans="2:20" x14ac:dyDescent="0.25">
      <c r="B337" s="908"/>
      <c r="C337" s="325" t="s">
        <v>1406</v>
      </c>
      <c r="D337" s="325" t="s">
        <v>543</v>
      </c>
      <c r="E337" s="325" t="s">
        <v>917</v>
      </c>
      <c r="F337" s="325" t="s">
        <v>884</v>
      </c>
      <c r="G337" s="346">
        <f t="shared" si="41"/>
        <v>4000000</v>
      </c>
      <c r="H337" s="325"/>
      <c r="J337" s="346">
        <v>4000000</v>
      </c>
      <c r="K337" s="346">
        <v>4000000</v>
      </c>
      <c r="L337" s="346">
        <v>4000000</v>
      </c>
      <c r="M337" s="966"/>
      <c r="N337" s="346">
        <v>4000000</v>
      </c>
      <c r="O337" s="346">
        <v>4000000</v>
      </c>
      <c r="P337" s="966"/>
      <c r="Q337" s="346">
        <v>4000000</v>
      </c>
      <c r="R337" s="346">
        <v>4000000</v>
      </c>
      <c r="S337" s="346">
        <v>4000000</v>
      </c>
    </row>
    <row r="338" spans="2:20" x14ac:dyDescent="0.25">
      <c r="B338" s="908"/>
      <c r="C338" s="325" t="s">
        <v>1406</v>
      </c>
      <c r="D338" s="325" t="s">
        <v>543</v>
      </c>
      <c r="E338" s="325" t="s">
        <v>918</v>
      </c>
      <c r="F338" s="325" t="s">
        <v>884</v>
      </c>
      <c r="G338" s="346">
        <f t="shared" si="41"/>
        <v>4000000</v>
      </c>
      <c r="H338" s="325"/>
      <c r="J338" s="346">
        <v>4000000</v>
      </c>
      <c r="K338" s="346">
        <v>4000000</v>
      </c>
      <c r="L338" s="346">
        <v>4000000</v>
      </c>
      <c r="M338" s="966"/>
      <c r="N338" s="346">
        <v>4000000</v>
      </c>
      <c r="O338" s="346">
        <v>4000000</v>
      </c>
      <c r="P338" s="966"/>
      <c r="Q338" s="346">
        <v>4000000</v>
      </c>
      <c r="R338" s="346">
        <v>4000000</v>
      </c>
      <c r="S338" s="346">
        <v>4000000</v>
      </c>
    </row>
    <row r="339" spans="2:20" x14ac:dyDescent="0.25">
      <c r="B339" s="908"/>
      <c r="C339" s="325" t="s">
        <v>1406</v>
      </c>
      <c r="D339" s="325" t="s">
        <v>543</v>
      </c>
      <c r="E339" s="325" t="s">
        <v>919</v>
      </c>
      <c r="F339" s="325" t="s">
        <v>884</v>
      </c>
      <c r="G339" s="346">
        <f t="shared" si="41"/>
        <v>4000000</v>
      </c>
      <c r="H339" s="325"/>
      <c r="J339" s="346">
        <v>4000000</v>
      </c>
      <c r="K339" s="346">
        <v>4000000</v>
      </c>
      <c r="L339" s="346">
        <v>4000000</v>
      </c>
      <c r="M339" s="966"/>
      <c r="N339" s="346">
        <v>4000000</v>
      </c>
      <c r="O339" s="346">
        <v>4000000</v>
      </c>
      <c r="P339" s="966"/>
      <c r="Q339" s="346">
        <v>4000000</v>
      </c>
      <c r="R339" s="346">
        <v>4000000</v>
      </c>
      <c r="S339" s="346">
        <v>4000000</v>
      </c>
    </row>
    <row r="340" spans="2:20" x14ac:dyDescent="0.25">
      <c r="B340" s="908"/>
      <c r="C340" s="325" t="s">
        <v>1406</v>
      </c>
      <c r="D340" s="325" t="s">
        <v>543</v>
      </c>
      <c r="E340" s="325" t="s">
        <v>920</v>
      </c>
      <c r="F340" s="325" t="s">
        <v>884</v>
      </c>
      <c r="G340" s="346">
        <f t="shared" si="41"/>
        <v>6000000</v>
      </c>
      <c r="H340" s="325"/>
      <c r="J340" s="346">
        <v>6000000</v>
      </c>
      <c r="K340" s="346">
        <v>6000000</v>
      </c>
      <c r="L340" s="346">
        <v>6000000</v>
      </c>
      <c r="M340" s="966"/>
      <c r="N340" s="346">
        <v>6000000</v>
      </c>
      <c r="O340" s="346">
        <v>6000000</v>
      </c>
      <c r="P340" s="966"/>
      <c r="Q340" s="346">
        <v>6000000</v>
      </c>
      <c r="R340" s="346">
        <v>6000000</v>
      </c>
      <c r="S340" s="346">
        <v>6000000</v>
      </c>
    </row>
    <row r="341" spans="2:20" x14ac:dyDescent="0.25">
      <c r="B341" s="908"/>
      <c r="C341" s="325" t="s">
        <v>1406</v>
      </c>
      <c r="D341" s="325" t="s">
        <v>543</v>
      </c>
      <c r="E341" s="325" t="s">
        <v>921</v>
      </c>
      <c r="F341" s="325" t="s">
        <v>884</v>
      </c>
      <c r="G341" s="346">
        <f t="shared" si="41"/>
        <v>6000000</v>
      </c>
      <c r="H341" s="325"/>
      <c r="J341" s="346">
        <v>6000000</v>
      </c>
      <c r="K341" s="346">
        <v>6000000</v>
      </c>
      <c r="L341" s="346">
        <v>6000000</v>
      </c>
      <c r="M341" s="966"/>
      <c r="N341" s="346">
        <v>6000000</v>
      </c>
      <c r="O341" s="346">
        <v>6000000</v>
      </c>
      <c r="P341" s="966"/>
      <c r="Q341" s="346">
        <v>6000000</v>
      </c>
      <c r="R341" s="346">
        <v>6000000</v>
      </c>
      <c r="S341" s="346">
        <v>6000000</v>
      </c>
    </row>
    <row r="342" spans="2:20" x14ac:dyDescent="0.25">
      <c r="B342" s="908"/>
      <c r="C342" s="325" t="s">
        <v>1406</v>
      </c>
      <c r="D342" s="325" t="s">
        <v>543</v>
      </c>
      <c r="E342" s="325" t="s">
        <v>922</v>
      </c>
      <c r="F342" s="325" t="s">
        <v>884</v>
      </c>
      <c r="G342" s="346">
        <f t="shared" si="41"/>
        <v>11000000</v>
      </c>
      <c r="H342" s="325"/>
      <c r="J342" s="346">
        <v>11000000</v>
      </c>
      <c r="K342" s="346">
        <v>11000000</v>
      </c>
      <c r="L342" s="346">
        <v>11000000</v>
      </c>
      <c r="M342" s="966"/>
      <c r="N342" s="346">
        <v>11000000</v>
      </c>
      <c r="O342" s="346">
        <v>11000000</v>
      </c>
      <c r="P342" s="966"/>
      <c r="Q342" s="346">
        <v>11000000</v>
      </c>
      <c r="R342" s="346">
        <v>11000000</v>
      </c>
      <c r="S342" s="346">
        <v>11000000</v>
      </c>
    </row>
    <row r="343" spans="2:20" ht="18" x14ac:dyDescent="0.35">
      <c r="B343" s="908"/>
      <c r="C343" s="325" t="s">
        <v>1406</v>
      </c>
      <c r="D343" s="325" t="s">
        <v>543</v>
      </c>
      <c r="E343" s="901" t="s">
        <v>1489</v>
      </c>
      <c r="F343" s="325" t="s">
        <v>1484</v>
      </c>
      <c r="G343" s="1033">
        <f t="shared" si="41"/>
        <v>0.24179369590079999</v>
      </c>
      <c r="H343" s="325" t="s">
        <v>1486</v>
      </c>
      <c r="J343" s="1032">
        <f>0.3*0.73*(1+$G$13)^(2018-2013)</f>
        <v>0.24179369590079999</v>
      </c>
      <c r="K343" s="1032">
        <f t="shared" ref="K343:L343" si="44">0.3*0.73*(1+$G$13)^(2018-2013)</f>
        <v>0.24179369590079999</v>
      </c>
      <c r="L343" s="1032">
        <f t="shared" si="44"/>
        <v>0.24179369590079999</v>
      </c>
      <c r="M343" s="962"/>
      <c r="N343" s="1032">
        <f t="shared" ref="N343:O343" si="45">0.3*0.73*(1+$G$13)^(2018-2013)</f>
        <v>0.24179369590079999</v>
      </c>
      <c r="O343" s="1032">
        <f t="shared" si="45"/>
        <v>0.24179369590079999</v>
      </c>
      <c r="P343" s="962"/>
      <c r="Q343" s="1032">
        <f t="shared" ref="Q343:S343" si="46">0.3*0.73*(1+$G$13)^(2018-2013)</f>
        <v>0.24179369590079999</v>
      </c>
      <c r="R343" s="1032">
        <f t="shared" si="46"/>
        <v>0.24179369590079999</v>
      </c>
      <c r="S343" s="1032">
        <f t="shared" si="46"/>
        <v>0.24179369590079999</v>
      </c>
      <c r="T343" s="962"/>
    </row>
    <row r="344" spans="2:20" x14ac:dyDescent="0.25">
      <c r="B344" s="908"/>
      <c r="C344" s="325" t="s">
        <v>1406</v>
      </c>
      <c r="D344" s="325" t="s">
        <v>543</v>
      </c>
      <c r="E344" s="901" t="s">
        <v>1490</v>
      </c>
      <c r="F344" s="325" t="s">
        <v>11</v>
      </c>
      <c r="G344" s="1035">
        <f t="shared" si="41"/>
        <v>0.8</v>
      </c>
      <c r="H344" s="325"/>
      <c r="J344" s="1034">
        <v>0.8</v>
      </c>
      <c r="K344" s="1034">
        <v>0.8</v>
      </c>
      <c r="L344" s="1034">
        <v>0.8</v>
      </c>
      <c r="M344" s="962"/>
      <c r="N344" s="1034">
        <v>0.8</v>
      </c>
      <c r="O344" s="1034">
        <v>0.8</v>
      </c>
      <c r="P344" s="962"/>
      <c r="Q344" s="1034">
        <v>0.8</v>
      </c>
      <c r="R344" s="1034">
        <v>0.8</v>
      </c>
      <c r="S344" s="1034">
        <v>0.8</v>
      </c>
      <c r="T344" s="962"/>
    </row>
    <row r="345" spans="2:20" x14ac:dyDescent="0.25">
      <c r="B345" s="908"/>
      <c r="C345" s="325" t="s">
        <v>1406</v>
      </c>
      <c r="D345" s="325" t="s">
        <v>543</v>
      </c>
      <c r="E345" s="325" t="s">
        <v>793</v>
      </c>
      <c r="F345" s="325" t="s">
        <v>574</v>
      </c>
      <c r="G345" s="345">
        <f t="shared" si="41"/>
        <v>200</v>
      </c>
      <c r="H345" s="325" t="s">
        <v>794</v>
      </c>
      <c r="J345" s="965">
        <f>'H2 PIPELINE S'!$O$16</f>
        <v>200</v>
      </c>
      <c r="K345" s="965">
        <f>'H2 PIPELINE S'!$O$16</f>
        <v>200</v>
      </c>
      <c r="L345" s="965">
        <f>'H2 PIPELINE S'!$O$16</f>
        <v>200</v>
      </c>
      <c r="M345" s="959"/>
      <c r="N345" s="965">
        <f>'H2 PIPELINE S'!$O$16</f>
        <v>200</v>
      </c>
      <c r="O345" s="965">
        <f>'H2 PIPELINE S'!$O$16</f>
        <v>200</v>
      </c>
      <c r="P345" s="959"/>
      <c r="Q345" s="965">
        <f>'H2 PIPELINE S'!$O$16</f>
        <v>200</v>
      </c>
      <c r="R345" s="965">
        <f>'H2 PIPELINE S'!$O$16</f>
        <v>200</v>
      </c>
      <c r="S345" s="965">
        <f>'H2 PIPELINE S'!$O$16</f>
        <v>200</v>
      </c>
    </row>
    <row r="346" spans="2:20" x14ac:dyDescent="0.25">
      <c r="B346" s="908"/>
      <c r="C346" s="325" t="s">
        <v>1406</v>
      </c>
      <c r="D346" s="325" t="s">
        <v>543</v>
      </c>
      <c r="E346" s="325" t="s">
        <v>795</v>
      </c>
      <c r="F346" s="325" t="s">
        <v>558</v>
      </c>
      <c r="G346" s="331">
        <f t="shared" si="41"/>
        <v>100</v>
      </c>
      <c r="H346" s="325" t="s">
        <v>873</v>
      </c>
      <c r="J346" s="965">
        <f>J305</f>
        <v>100</v>
      </c>
      <c r="K346" s="965">
        <f>K305</f>
        <v>100</v>
      </c>
      <c r="L346" s="965">
        <f>L305</f>
        <v>100</v>
      </c>
      <c r="M346" s="962"/>
      <c r="N346" s="965">
        <f>N305</f>
        <v>100</v>
      </c>
      <c r="O346" s="965">
        <f>O305</f>
        <v>100</v>
      </c>
      <c r="P346" s="962"/>
      <c r="Q346" s="965">
        <f>Q305</f>
        <v>100</v>
      </c>
      <c r="R346" s="965">
        <f>R305</f>
        <v>100</v>
      </c>
      <c r="S346" s="965">
        <f>S305</f>
        <v>100</v>
      </c>
    </row>
    <row r="347" spans="2:20" x14ac:dyDescent="0.25">
      <c r="B347" s="908"/>
      <c r="C347" s="325" t="s">
        <v>1406</v>
      </c>
      <c r="D347" s="325" t="s">
        <v>543</v>
      </c>
      <c r="E347" s="325" t="s">
        <v>876</v>
      </c>
      <c r="F347" s="325" t="s">
        <v>557</v>
      </c>
      <c r="G347" s="331">
        <f t="shared" si="41"/>
        <v>277.39999999999998</v>
      </c>
      <c r="H347" s="325"/>
      <c r="J347" s="965">
        <f>J167</f>
        <v>277.39999999999998</v>
      </c>
      <c r="K347" s="965">
        <f>K167</f>
        <v>277.39999999999998</v>
      </c>
      <c r="L347" s="965">
        <f>L167</f>
        <v>277.39999999999998</v>
      </c>
      <c r="M347" s="962"/>
      <c r="N347" s="965">
        <f>N167</f>
        <v>277.39999999999998</v>
      </c>
      <c r="O347" s="965">
        <f>O167</f>
        <v>277.39999999999998</v>
      </c>
      <c r="P347" s="962"/>
      <c r="Q347" s="965">
        <f>Q167</f>
        <v>277.39999999999998</v>
      </c>
      <c r="R347" s="965">
        <f>R167</f>
        <v>277.39999999999998</v>
      </c>
      <c r="S347" s="965">
        <f>S167</f>
        <v>277.39999999999998</v>
      </c>
    </row>
    <row r="348" spans="2:20" x14ac:dyDescent="0.25">
      <c r="B348" s="908"/>
      <c r="C348" s="325" t="s">
        <v>1406</v>
      </c>
      <c r="D348" s="325" t="s">
        <v>543</v>
      </c>
      <c r="E348" s="325" t="s">
        <v>797</v>
      </c>
      <c r="F348" s="325" t="s">
        <v>585</v>
      </c>
      <c r="G348" s="345">
        <f t="shared" si="41"/>
        <v>100.39435257214974</v>
      </c>
      <c r="H348" s="325"/>
      <c r="J348" s="965">
        <f>'H2 PIPELINE S'!$E$10</f>
        <v>38.990645473674547</v>
      </c>
      <c r="K348" s="965">
        <f>'H2 PIPELINE S'!$E$10</f>
        <v>38.990645473674547</v>
      </c>
      <c r="L348" s="965">
        <f>'H2 PIPELINE S'!$E$10</f>
        <v>38.990645473674547</v>
      </c>
      <c r="M348" s="959"/>
      <c r="N348" s="965">
        <f>'H2 PIPELINE'!$E$10</f>
        <v>100.39435257214974</v>
      </c>
      <c r="O348" s="965">
        <f>'H2 PIPELINE'!$E$10</f>
        <v>100.39435257214974</v>
      </c>
      <c r="P348" s="959"/>
      <c r="Q348" s="965">
        <f>'H2 PIPELINE'!$E$10</f>
        <v>100.39435257214974</v>
      </c>
      <c r="R348" s="965">
        <f>'H2 PIPELINE'!$E$10</f>
        <v>100.39435257214974</v>
      </c>
      <c r="S348" s="965">
        <f>'H2 PIPELINE'!$E$10</f>
        <v>100.39435257214974</v>
      </c>
    </row>
    <row r="349" spans="2:20" x14ac:dyDescent="0.25">
      <c r="B349" s="908"/>
      <c r="C349" s="325" t="s">
        <v>1406</v>
      </c>
      <c r="D349" s="325" t="s">
        <v>543</v>
      </c>
      <c r="E349" s="325" t="s">
        <v>635</v>
      </c>
      <c r="F349" s="325" t="s">
        <v>757</v>
      </c>
      <c r="G349" s="698">
        <f t="shared" si="41"/>
        <v>1.4E-2</v>
      </c>
      <c r="H349" s="325" t="s">
        <v>798</v>
      </c>
      <c r="J349" s="972">
        <v>1.4E-2</v>
      </c>
      <c r="K349" s="972">
        <v>1.4E-2</v>
      </c>
      <c r="L349" s="972">
        <v>1.4E-2</v>
      </c>
      <c r="M349" s="962"/>
      <c r="N349" s="972">
        <v>1.4E-2</v>
      </c>
      <c r="O349" s="972">
        <v>1.4E-2</v>
      </c>
      <c r="P349" s="962"/>
      <c r="Q349" s="972">
        <v>1.4E-2</v>
      </c>
      <c r="R349" s="972">
        <v>1.4E-2</v>
      </c>
      <c r="S349" s="972">
        <v>1.4E-2</v>
      </c>
    </row>
    <row r="350" spans="2:20" x14ac:dyDescent="0.25">
      <c r="B350" s="908"/>
      <c r="C350" s="325" t="s">
        <v>1406</v>
      </c>
      <c r="D350" s="325" t="s">
        <v>543</v>
      </c>
      <c r="E350" s="325" t="str">
        <f>"Capex "&amp;G321&amp;" pipeline"</f>
        <v>Capex existing pipeline</v>
      </c>
      <c r="F350" s="325" t="s">
        <v>562</v>
      </c>
      <c r="G350" s="345">
        <f t="shared" si="41"/>
        <v>0</v>
      </c>
      <c r="H350" s="325"/>
      <c r="J350" s="972">
        <f>'H2 PIPELINE S'!$O$7</f>
        <v>0</v>
      </c>
      <c r="K350" s="972">
        <f>'H2 PIPELINE S'!$O$7</f>
        <v>0</v>
      </c>
      <c r="L350" s="972">
        <f>'H2 PIPELINE S'!$O$7</f>
        <v>0</v>
      </c>
      <c r="M350" s="959"/>
      <c r="N350" s="972">
        <f>'H2 PIPELINE S'!$O$7</f>
        <v>0</v>
      </c>
      <c r="O350" s="972">
        <f>'H2 PIPELINE S'!$O$7</f>
        <v>0</v>
      </c>
      <c r="P350" s="959"/>
      <c r="Q350" s="972">
        <f>'H2 PIPELINE S'!$O$7</f>
        <v>0</v>
      </c>
      <c r="R350" s="972">
        <f>'H2 PIPELINE S'!$O$7</f>
        <v>0</v>
      </c>
      <c r="S350" s="972">
        <f>'H2 PIPELINE S'!$O$7</f>
        <v>0</v>
      </c>
    </row>
    <row r="351" spans="2:20" x14ac:dyDescent="0.25">
      <c r="B351" s="908"/>
      <c r="C351" s="325" t="s">
        <v>1406</v>
      </c>
      <c r="D351" s="325" t="s">
        <v>543</v>
      </c>
      <c r="E351" s="325" t="str">
        <f>"Opex "&amp;G321&amp;" pipeline"</f>
        <v>Opex existing pipeline</v>
      </c>
      <c r="F351" s="325" t="s">
        <v>914</v>
      </c>
      <c r="G351" s="345">
        <f t="shared" ref="G351:G361" si="47">IF(LEN(HLOOKUP($D$6,$J$9:$DG$501,ROW()-ROW($G$9)+1,FALSE))&lt;&gt;0,HLOOKUP($D$6,$J$9:$DG$501,ROW()-ROW($G$9)+1,FALSE),"")</f>
        <v>475912.4294622835</v>
      </c>
      <c r="H351" s="325"/>
      <c r="J351" s="972">
        <f>IF(J321="new",'H2 PIPELINE S'!$O$8,'H2 PIPELINE S'!$O$9)</f>
        <v>475912.4294622835</v>
      </c>
      <c r="K351" s="972">
        <f>IF(K321="new",'H2 PIPELINE S'!$O$8,'H2 PIPELINE S'!$O$9)</f>
        <v>475912.4294622835</v>
      </c>
      <c r="L351" s="972">
        <f>IF(L321="new",'H2 PIPELINE S'!$O$8,'H2 PIPELINE S'!$O$9)</f>
        <v>475912.4294622835</v>
      </c>
      <c r="M351" s="959"/>
      <c r="N351" s="972">
        <f>IF(N321="new",'H2 PIPELINE S'!$O$8,'H2 PIPELINE S'!$O$9)</f>
        <v>475912.4294622835</v>
      </c>
      <c r="O351" s="972">
        <f>IF(O321="new",'H2 PIPELINE S'!$O$8,'H2 PIPELINE S'!$O$9)</f>
        <v>475912.4294622835</v>
      </c>
      <c r="P351" s="959"/>
      <c r="Q351" s="972">
        <f>IF(Q321="new",'H2 PIPELINE S'!$O$8,'H2 PIPELINE S'!$O$9)</f>
        <v>0</v>
      </c>
      <c r="R351" s="972">
        <f>IF(R321="new",'H2 PIPELINE S'!$O$8,'H2 PIPELINE S'!$O$9)</f>
        <v>0</v>
      </c>
      <c r="S351" s="972">
        <f>IF(S321="new",'H2 PIPELINE S'!$O$8,'H2 PIPELINE S'!$O$9)</f>
        <v>0</v>
      </c>
    </row>
    <row r="352" spans="2:20" x14ac:dyDescent="0.25">
      <c r="B352" s="908"/>
      <c r="C352" s="325" t="s">
        <v>1406</v>
      </c>
      <c r="D352" s="325" t="s">
        <v>543</v>
      </c>
      <c r="E352" s="325" t="s">
        <v>882</v>
      </c>
      <c r="F352" s="325" t="s">
        <v>883</v>
      </c>
      <c r="G352" s="345">
        <f t="shared" si="47"/>
        <v>563527.08094611054</v>
      </c>
      <c r="H352" s="325"/>
      <c r="J352" s="972">
        <f>'H2 PIPELINE S'!$Y$29</f>
        <v>563527.08094611054</v>
      </c>
      <c r="K352" s="972">
        <f>'H2 PIPELINE S'!$Y$29</f>
        <v>563527.08094611054</v>
      </c>
      <c r="L352" s="972">
        <f>'H2 PIPELINE S'!$Y$29</f>
        <v>563527.08094611054</v>
      </c>
      <c r="M352" s="959"/>
      <c r="N352" s="972">
        <f>'H2 PIPELINE S'!$Y$29</f>
        <v>563527.08094611054</v>
      </c>
      <c r="O352" s="972">
        <f>'H2 PIPELINE S'!$Y$29</f>
        <v>563527.08094611054</v>
      </c>
      <c r="P352" s="959"/>
      <c r="Q352" s="972">
        <f>'H2 PIPELINE S'!$Y$29</f>
        <v>563527.08094611054</v>
      </c>
      <c r="R352" s="972">
        <f>'H2 PIPELINE S'!$Y$29</f>
        <v>563527.08094611054</v>
      </c>
      <c r="S352" s="972">
        <f>'H2 PIPELINE S'!$Y$29</f>
        <v>563527.08094611054</v>
      </c>
    </row>
    <row r="353" spans="2:19" x14ac:dyDescent="0.25">
      <c r="B353" s="908"/>
      <c r="C353" s="325" t="s">
        <v>1406</v>
      </c>
      <c r="D353" s="325" t="s">
        <v>543</v>
      </c>
      <c r="E353" s="901" t="s">
        <v>1485</v>
      </c>
      <c r="F353" s="325" t="s">
        <v>914</v>
      </c>
      <c r="G353" s="345">
        <f t="shared" si="47"/>
        <v>136257.29564214934</v>
      </c>
      <c r="H353" s="325"/>
      <c r="J353" s="972">
        <f>'H2 PIPELINE S'!$O$10</f>
        <v>136257.29564214934</v>
      </c>
      <c r="K353" s="972">
        <f>'H2 PIPELINE S'!$O$10</f>
        <v>136257.29564214934</v>
      </c>
      <c r="L353" s="972">
        <f>'H2 PIPELINE S'!$O$10</f>
        <v>136257.29564214934</v>
      </c>
      <c r="M353" s="959"/>
      <c r="N353" s="972">
        <f>'H2 PIPELINE S'!$O$10</f>
        <v>136257.29564214934</v>
      </c>
      <c r="O353" s="972">
        <f>'H2 PIPELINE S'!$O$10</f>
        <v>136257.29564214934</v>
      </c>
      <c r="P353" s="959"/>
      <c r="Q353" s="972">
        <f>'H2 PIPELINE S'!$O$10</f>
        <v>136257.29564214934</v>
      </c>
      <c r="R353" s="972">
        <f>'H2 PIPELINE S'!$O$10</f>
        <v>136257.29564214934</v>
      </c>
      <c r="S353" s="972">
        <f>'H2 PIPELINE S'!$O$10</f>
        <v>136257.29564214934</v>
      </c>
    </row>
    <row r="354" spans="2:19" x14ac:dyDescent="0.25">
      <c r="B354" s="908"/>
      <c r="C354" s="325" t="s">
        <v>1406</v>
      </c>
      <c r="D354" s="325" t="s">
        <v>543</v>
      </c>
      <c r="E354" s="325" t="s">
        <v>1202</v>
      </c>
      <c r="F354" s="325" t="s">
        <v>562</v>
      </c>
      <c r="G354" s="331">
        <f t="shared" si="47"/>
        <v>0</v>
      </c>
      <c r="H354" s="325"/>
      <c r="J354" s="993">
        <f>'H2 PIPELINE S'!$O$12</f>
        <v>0</v>
      </c>
      <c r="K354" s="993">
        <f>'H2 PIPELINE S'!$O$12</f>
        <v>0</v>
      </c>
      <c r="L354" s="993">
        <f>'H2 PIPELINE S'!$O$12</f>
        <v>0</v>
      </c>
      <c r="M354" s="959"/>
      <c r="N354" s="993">
        <f>'H2 PIPELINE S'!$O$12</f>
        <v>0</v>
      </c>
      <c r="O354" s="993">
        <f>'H2 PIPELINE S'!$O$12</f>
        <v>0</v>
      </c>
      <c r="P354" s="959"/>
      <c r="Q354" s="993">
        <f>'H2 PIPELINE S'!$O$12</f>
        <v>0</v>
      </c>
      <c r="R354" s="993">
        <f>'H2 PIPELINE S'!$O$12</f>
        <v>0</v>
      </c>
      <c r="S354" s="993">
        <f>'H2 PIPELINE S'!$O$12</f>
        <v>0</v>
      </c>
    </row>
    <row r="355" spans="2:19" x14ac:dyDescent="0.25">
      <c r="B355" s="908"/>
      <c r="C355" s="325" t="s">
        <v>1406</v>
      </c>
      <c r="D355" s="325" t="s">
        <v>120</v>
      </c>
      <c r="E355" s="325" t="s">
        <v>809</v>
      </c>
      <c r="F355" s="325" t="s">
        <v>757</v>
      </c>
      <c r="G355" s="688" t="str">
        <f t="shared" si="47"/>
        <v>P15-D</v>
      </c>
      <c r="H355" s="325"/>
      <c r="J355" s="967" t="s">
        <v>508</v>
      </c>
      <c r="K355" s="967" t="s">
        <v>508</v>
      </c>
      <c r="L355" s="967" t="s">
        <v>508</v>
      </c>
      <c r="M355" s="962"/>
      <c r="N355" s="967" t="s">
        <v>360</v>
      </c>
      <c r="O355" s="967" t="s">
        <v>360</v>
      </c>
      <c r="P355" s="962"/>
      <c r="Q355" s="967" t="s">
        <v>231</v>
      </c>
      <c r="R355" s="967" t="s">
        <v>231</v>
      </c>
      <c r="S355" s="967" t="s">
        <v>231</v>
      </c>
    </row>
    <row r="356" spans="2:19" s="1186" customFormat="1" x14ac:dyDescent="0.25">
      <c r="B356" s="908"/>
      <c r="C356" s="1188" t="s">
        <v>1406</v>
      </c>
      <c r="D356" s="1188" t="s">
        <v>120</v>
      </c>
      <c r="E356" s="1316" t="s">
        <v>1690</v>
      </c>
      <c r="F356" s="1188" t="s">
        <v>757</v>
      </c>
      <c r="G356" s="688">
        <f t="shared" si="47"/>
        <v>0</v>
      </c>
      <c r="H356" s="1188"/>
      <c r="J356" s="689">
        <v>0</v>
      </c>
      <c r="K356" s="689">
        <v>0</v>
      </c>
      <c r="L356" s="689">
        <v>0</v>
      </c>
      <c r="M356" s="962"/>
      <c r="N356" s="689">
        <v>0</v>
      </c>
      <c r="O356" s="689">
        <v>0</v>
      </c>
      <c r="P356" s="962"/>
      <c r="Q356" s="689">
        <v>0</v>
      </c>
      <c r="R356" s="689">
        <v>0</v>
      </c>
      <c r="S356" s="689">
        <v>0</v>
      </c>
    </row>
    <row r="357" spans="2:19" s="1186" customFormat="1" x14ac:dyDescent="0.25">
      <c r="B357" s="908"/>
      <c r="C357" s="1188" t="s">
        <v>1406</v>
      </c>
      <c r="D357" s="1188" t="s">
        <v>120</v>
      </c>
      <c r="E357" s="1316" t="s">
        <v>1692</v>
      </c>
      <c r="F357" s="1188" t="s">
        <v>1691</v>
      </c>
      <c r="G357" s="688">
        <f t="shared" si="47"/>
        <v>40000000</v>
      </c>
      <c r="H357" s="1188"/>
      <c r="J357" s="689">
        <v>40000000</v>
      </c>
      <c r="K357" s="689">
        <v>40000000</v>
      </c>
      <c r="L357" s="689">
        <v>40000000</v>
      </c>
      <c r="M357" s="962"/>
      <c r="N357" s="689">
        <v>40000000</v>
      </c>
      <c r="O357" s="689">
        <v>40000000</v>
      </c>
      <c r="P357" s="962"/>
      <c r="Q357" s="689">
        <v>40000000</v>
      </c>
      <c r="R357" s="689">
        <v>40000000</v>
      </c>
      <c r="S357" s="689">
        <v>40000000</v>
      </c>
    </row>
    <row r="358" spans="2:19" x14ac:dyDescent="0.25">
      <c r="B358" s="908"/>
      <c r="C358" s="325" t="s">
        <v>1406</v>
      </c>
      <c r="D358" s="325" t="s">
        <v>120</v>
      </c>
      <c r="E358" s="325" t="s">
        <v>1111</v>
      </c>
      <c r="F358" s="325" t="s">
        <v>46</v>
      </c>
      <c r="G358" s="350">
        <f t="shared" si="47"/>
        <v>20</v>
      </c>
      <c r="H358" s="325"/>
      <c r="J358" s="350">
        <f>IFERROR(HLOOKUP(J$257-1,Output!$E$320:$BL$334,MATCH(Output!$E$330,Output!$E$320:$E$334,0)),0)</f>
        <v>20</v>
      </c>
      <c r="K358" s="350">
        <f>IFERROR(HLOOKUP(K$257-1,Output!$E$320:$BL$334,MATCH(Output!$E$330,Output!$E$320:$E$334,0)),0)</f>
        <v>20</v>
      </c>
      <c r="L358" s="350">
        <f>IFERROR(HLOOKUP(L$257-1,Output!$E$320:$BL$334,MATCH(Output!$E$330,Output!$E$320:$E$334,0)),0)</f>
        <v>20</v>
      </c>
      <c r="M358" s="962"/>
      <c r="N358" s="350">
        <f>IFERROR(HLOOKUP(N$257-1,Output!$E$320:$BL$334,MATCH(Output!$E$330,Output!$E$320:$E$334,0)),0)</f>
        <v>20</v>
      </c>
      <c r="O358" s="350">
        <f>IFERROR(HLOOKUP(O$257-1,Output!$E$320:$BL$334,MATCH(Output!$E$330,Output!$E$320:$E$334,0)),0)</f>
        <v>20</v>
      </c>
      <c r="P358" s="962"/>
      <c r="Q358" s="350">
        <f>IFERROR(HLOOKUP(Q$257-1,Output!$E$320:$BL$334,MATCH(Output!$E$330,Output!$E$320:$E$334,0)),0)</f>
        <v>0</v>
      </c>
      <c r="R358" s="350">
        <f>IFERROR(HLOOKUP(R$257-1,Output!$E$320:$BL$334,MATCH(Output!$E$330,Output!$E$320:$E$334,0)),0)</f>
        <v>0</v>
      </c>
      <c r="S358" s="350">
        <f>IFERROR(HLOOKUP(S$257-1,Output!$E$320:$BL$334,MATCH(Output!$E$330,Output!$E$320:$E$334,0)),0)</f>
        <v>0</v>
      </c>
    </row>
    <row r="359" spans="2:19" x14ac:dyDescent="0.25">
      <c r="B359" s="908"/>
      <c r="C359" s="325" t="s">
        <v>1406</v>
      </c>
      <c r="D359" s="325" t="s">
        <v>120</v>
      </c>
      <c r="E359" s="325" t="s">
        <v>1112</v>
      </c>
      <c r="F359" s="325" t="s">
        <v>46</v>
      </c>
      <c r="G359" s="331">
        <f t="shared" si="47"/>
        <v>10.11971706980685</v>
      </c>
      <c r="H359" s="325"/>
      <c r="J359" s="331">
        <f>IFERROR(HLOOKUP(J$257,Output!$E$320:$BL$334,MATCH(Output!$E$331,Output!$E$320:$E$334,0)),0)</f>
        <v>0</v>
      </c>
      <c r="K359" s="331">
        <f>IFERROR(HLOOKUP(K$257,Output!$E$320:$BL$334,MATCH(Output!$E$331,Output!$E$320:$E$334,0)),0)</f>
        <v>10.11971706980685</v>
      </c>
      <c r="L359" s="331">
        <f>IFERROR(HLOOKUP(L$257,Output!$E$320:$BL$334,MATCH(Output!$E$331,Output!$E$320:$E$334,0)),0)</f>
        <v>0</v>
      </c>
      <c r="M359" s="962"/>
      <c r="N359" s="331">
        <f>IFERROR(HLOOKUP(N$257,Output!$E$320:$BL$334,MATCH(Output!$E$331,Output!$E$320:$E$334,0)),0)</f>
        <v>10.11971706980685</v>
      </c>
      <c r="O359" s="331">
        <f>IFERROR(HLOOKUP(O$257,Output!$E$320:$BL$334,MATCH(Output!$E$331,Output!$E$320:$E$334,0)),0)</f>
        <v>10.11971706980685</v>
      </c>
      <c r="P359" s="962"/>
      <c r="Q359" s="331">
        <f>IFERROR(HLOOKUP(Q$257,Output!$E$320:$BL$334,MATCH(Output!$E$331,Output!$E$320:$E$334,0)),0)</f>
        <v>0</v>
      </c>
      <c r="R359" s="331">
        <f>IFERROR(HLOOKUP(R$257,Output!$E$320:$BL$334,MATCH(Output!$E$331,Output!$E$320:$E$334,0)),0)</f>
        <v>0</v>
      </c>
      <c r="S359" s="331">
        <f>IFERROR(HLOOKUP(S$257,Output!$E$320:$BL$334,MATCH(Output!$E$331,Output!$E$320:$E$334,0)),0)</f>
        <v>0</v>
      </c>
    </row>
    <row r="360" spans="2:19" x14ac:dyDescent="0.25">
      <c r="B360" s="908"/>
      <c r="C360" s="325" t="s">
        <v>1406</v>
      </c>
      <c r="D360" s="325" t="s">
        <v>120</v>
      </c>
      <c r="E360" s="325" t="s">
        <v>1542</v>
      </c>
      <c r="F360" s="325" t="s">
        <v>1528</v>
      </c>
      <c r="G360" s="957">
        <f t="shared" si="47"/>
        <v>9.2831095406360422</v>
      </c>
      <c r="H360" s="325" t="s">
        <v>1544</v>
      </c>
      <c r="J360" s="689">
        <v>9.2831095406360422</v>
      </c>
      <c r="K360" s="689">
        <v>9.2831095406360422</v>
      </c>
      <c r="L360" s="689">
        <v>9.2831095406360422</v>
      </c>
      <c r="N360" s="689">
        <v>9.2831095406360422</v>
      </c>
      <c r="O360" s="689">
        <v>9.2831095406360422</v>
      </c>
      <c r="Q360" s="689">
        <v>9.2831095406360422</v>
      </c>
      <c r="R360" s="689">
        <v>9.2831095406360422</v>
      </c>
      <c r="S360" s="689">
        <v>9.2831095406360422</v>
      </c>
    </row>
    <row r="361" spans="2:19" x14ac:dyDescent="0.25">
      <c r="B361" s="908"/>
      <c r="C361" s="325" t="s">
        <v>1406</v>
      </c>
      <c r="D361" s="325" t="s">
        <v>120</v>
      </c>
      <c r="E361" s="325" t="s">
        <v>1543</v>
      </c>
      <c r="F361" s="325" t="s">
        <v>886</v>
      </c>
      <c r="G361" s="957">
        <f t="shared" si="47"/>
        <v>0.65073059234615382</v>
      </c>
      <c r="H361" s="325" t="s">
        <v>1545</v>
      </c>
      <c r="J361" s="689">
        <v>0.65073059234615382</v>
      </c>
      <c r="K361" s="689">
        <v>0.65073059234615382</v>
      </c>
      <c r="L361" s="689">
        <v>0.65073059234615382</v>
      </c>
      <c r="N361" s="689">
        <v>0.65073059234615382</v>
      </c>
      <c r="O361" s="689">
        <v>0.65073059234615382</v>
      </c>
      <c r="Q361" s="689">
        <v>0.65073059234615382</v>
      </c>
      <c r="R361" s="689">
        <v>0.65073059234615382</v>
      </c>
      <c r="S361" s="689">
        <v>0.65073059234615382</v>
      </c>
    </row>
    <row r="362" spans="2:19" x14ac:dyDescent="0.25">
      <c r="B362" s="908"/>
      <c r="C362" s="325" t="s">
        <v>1406</v>
      </c>
      <c r="D362" s="325" t="s">
        <v>120</v>
      </c>
      <c r="E362" s="901" t="s">
        <v>1119</v>
      </c>
      <c r="F362" s="325" t="s">
        <v>1122</v>
      </c>
      <c r="G362" s="707">
        <v>0</v>
      </c>
      <c r="H362" s="325" t="s">
        <v>1611</v>
      </c>
      <c r="J362" s="973">
        <v>2.5000000000000001E-2</v>
      </c>
      <c r="K362" s="973">
        <v>2.5000000000000001E-2</v>
      </c>
      <c r="L362" s="973">
        <v>2.5000000000000001E-2</v>
      </c>
      <c r="M362" s="962"/>
      <c r="N362" s="973">
        <v>2.5000000000000001E-2</v>
      </c>
      <c r="O362" s="973">
        <v>2.5000000000000001E-2</v>
      </c>
      <c r="P362" s="962"/>
      <c r="Q362" s="973">
        <v>2.5000000000000001E-2</v>
      </c>
      <c r="R362" s="973">
        <v>2.5000000000000001E-2</v>
      </c>
      <c r="S362" s="973">
        <v>2.5000000000000001E-2</v>
      </c>
    </row>
    <row r="363" spans="2:19" x14ac:dyDescent="0.25">
      <c r="B363" s="908"/>
      <c r="C363" s="325" t="s">
        <v>1406</v>
      </c>
      <c r="D363" s="325" t="s">
        <v>120</v>
      </c>
      <c r="E363" s="901" t="s">
        <v>1214</v>
      </c>
      <c r="F363" s="325" t="s">
        <v>562</v>
      </c>
      <c r="G363" s="331">
        <f t="shared" ref="G363:G369" si="48">IF(LEN(HLOOKUP($D$6,$J$9:$DG$501,ROW()-ROW($G$9)+1,FALSE))&lt;&gt;0,HLOOKUP($D$6,$J$9:$DG$501,ROW()-ROW($G$9)+1,FALSE),"")</f>
        <v>18820682.115318585</v>
      </c>
      <c r="H363" s="325"/>
      <c r="J363" s="965">
        <f>'H2 PLATFORM S'!$H$9</f>
        <v>18820682.115318585</v>
      </c>
      <c r="K363" s="965">
        <f>'H2 PLATFORM S'!$H$9</f>
        <v>18820682.115318585</v>
      </c>
      <c r="L363" s="965">
        <f>'H2 PLATFORM S'!$H$9</f>
        <v>18820682.115318585</v>
      </c>
      <c r="M363" s="959"/>
      <c r="N363" s="965">
        <f>'H2 PLATFORM S'!$H$9</f>
        <v>18820682.115318585</v>
      </c>
      <c r="O363" s="965">
        <f>'H2 PLATFORM S'!$H$9</f>
        <v>18820682.115318585</v>
      </c>
      <c r="P363" s="959"/>
      <c r="Q363" s="965">
        <f>'H2 PLATFORM S'!$H$9</f>
        <v>18820682.115318585</v>
      </c>
      <c r="R363" s="965">
        <f>'H2 PLATFORM S'!$H$9</f>
        <v>18820682.115318585</v>
      </c>
      <c r="S363" s="965">
        <f>'H2 PLATFORM S'!$H$9</f>
        <v>18820682.115318585</v>
      </c>
    </row>
    <row r="364" spans="2:19" x14ac:dyDescent="0.25">
      <c r="B364" s="908"/>
      <c r="C364" s="325" t="s">
        <v>1406</v>
      </c>
      <c r="D364" s="325" t="s">
        <v>120</v>
      </c>
      <c r="E364" s="901" t="s">
        <v>1215</v>
      </c>
      <c r="F364" s="325" t="s">
        <v>914</v>
      </c>
      <c r="G364" s="331">
        <f t="shared" si="48"/>
        <v>0</v>
      </c>
      <c r="H364" s="325"/>
      <c r="J364" s="965">
        <f>'H2 PLATFORM S'!$H$10</f>
        <v>0</v>
      </c>
      <c r="K364" s="965">
        <f>'H2 PLATFORM S'!$H$10</f>
        <v>0</v>
      </c>
      <c r="L364" s="965">
        <f>'H2 PLATFORM S'!$H$10</f>
        <v>0</v>
      </c>
      <c r="M364" s="959"/>
      <c r="N364" s="965">
        <f>'H2 PLATFORM S'!$H$10</f>
        <v>0</v>
      </c>
      <c r="O364" s="965">
        <f>'H2 PLATFORM S'!$H$10</f>
        <v>0</v>
      </c>
      <c r="P364" s="959"/>
      <c r="Q364" s="965">
        <f>'H2 PLATFORM S'!$H$10</f>
        <v>0</v>
      </c>
      <c r="R364" s="965">
        <f>'H2 PLATFORM S'!$H$10</f>
        <v>0</v>
      </c>
      <c r="S364" s="965">
        <f>'H2 PLATFORM S'!$H$10</f>
        <v>0</v>
      </c>
    </row>
    <row r="365" spans="2:19" x14ac:dyDescent="0.25">
      <c r="B365" s="908"/>
      <c r="C365" s="325" t="s">
        <v>1406</v>
      </c>
      <c r="D365" s="325" t="s">
        <v>120</v>
      </c>
      <c r="E365" s="1318" t="s">
        <v>1211</v>
      </c>
      <c r="F365" s="325" t="s">
        <v>562</v>
      </c>
      <c r="G365" s="689">
        <f t="shared" si="48"/>
        <v>0</v>
      </c>
      <c r="H365" s="325"/>
      <c r="J365" s="1111">
        <v>0</v>
      </c>
      <c r="K365" s="1111">
        <v>0</v>
      </c>
      <c r="L365" s="1111">
        <v>0</v>
      </c>
      <c r="M365" s="959"/>
      <c r="N365" s="1111">
        <v>0</v>
      </c>
      <c r="O365" s="1111">
        <v>0</v>
      </c>
      <c r="P365" s="959"/>
      <c r="Q365" s="1111">
        <v>0</v>
      </c>
      <c r="R365" s="1111">
        <v>0</v>
      </c>
      <c r="S365" s="1111">
        <v>0</v>
      </c>
    </row>
    <row r="366" spans="2:19" s="1186" customFormat="1" x14ac:dyDescent="0.25">
      <c r="B366" s="908"/>
      <c r="C366" s="1188" t="s">
        <v>1406</v>
      </c>
      <c r="D366" s="1188" t="s">
        <v>120</v>
      </c>
      <c r="E366" s="961" t="str">
        <f>'H2 PLATFORM S'!G7</f>
        <v>Total capex new platforms (SH2)</v>
      </c>
      <c r="F366" s="901" t="s">
        <v>562</v>
      </c>
      <c r="G366" s="331">
        <f t="shared" si="48"/>
        <v>0</v>
      </c>
      <c r="H366" s="901"/>
      <c r="I366" s="962"/>
      <c r="J366" s="331">
        <f>'H2 PLATFORM S'!$H$7</f>
        <v>0</v>
      </c>
      <c r="K366" s="331">
        <f>'H2 PLATFORM S'!$H$7</f>
        <v>0</v>
      </c>
      <c r="L366" s="331">
        <f>'H2 PLATFORM S'!$H$7</f>
        <v>0</v>
      </c>
      <c r="M366" s="962"/>
      <c r="N366" s="331">
        <f>'H2 PLATFORM S'!$H$7</f>
        <v>0</v>
      </c>
      <c r="O366" s="331">
        <f>'H2 PLATFORM S'!$H$7</f>
        <v>0</v>
      </c>
      <c r="P366" s="962"/>
      <c r="Q366" s="331">
        <f>'H2 PLATFORM S'!$H$7</f>
        <v>0</v>
      </c>
      <c r="R366" s="331">
        <f>'H2 PLATFORM S'!$H$7</f>
        <v>0</v>
      </c>
      <c r="S366" s="331">
        <f>'H2 PLATFORM S'!$H$7</f>
        <v>0</v>
      </c>
    </row>
    <row r="367" spans="2:19" x14ac:dyDescent="0.25">
      <c r="B367" s="908"/>
      <c r="C367" s="325" t="s">
        <v>1406</v>
      </c>
      <c r="D367" s="325" t="s">
        <v>120</v>
      </c>
      <c r="E367" s="1318" t="s">
        <v>1607</v>
      </c>
      <c r="F367" s="325" t="s">
        <v>862</v>
      </c>
      <c r="G367" s="689">
        <f t="shared" si="48"/>
        <v>0</v>
      </c>
      <c r="H367" s="325"/>
      <c r="J367" s="957">
        <v>0</v>
      </c>
      <c r="K367" s="957">
        <v>0</v>
      </c>
      <c r="L367" s="957">
        <v>0</v>
      </c>
      <c r="N367" s="957">
        <v>0</v>
      </c>
      <c r="O367" s="957">
        <v>0</v>
      </c>
      <c r="Q367" s="689">
        <v>0</v>
      </c>
      <c r="R367" s="689">
        <v>0</v>
      </c>
      <c r="S367" s="689">
        <v>0</v>
      </c>
    </row>
    <row r="368" spans="2:19" x14ac:dyDescent="0.25">
      <c r="B368" s="908"/>
      <c r="C368" s="325" t="s">
        <v>1406</v>
      </c>
      <c r="D368" s="325" t="s">
        <v>120</v>
      </c>
      <c r="E368" s="325" t="str">
        <f>'H2 PLATFORM S'!G12</f>
        <v>Total area electrical equipment</v>
      </c>
      <c r="F368" s="325" t="str">
        <f>'H2 PLATFORM S'!I12</f>
        <v>m²</v>
      </c>
      <c r="G368" s="331">
        <f t="shared" si="48"/>
        <v>93.942442079261383</v>
      </c>
      <c r="H368" s="325"/>
      <c r="J368" s="331">
        <f>'H2 PLATFORM S'!$H$12</f>
        <v>93.942442079261383</v>
      </c>
      <c r="K368" s="331">
        <f>'H2 PLATFORM S'!$H$12</f>
        <v>93.942442079261383</v>
      </c>
      <c r="L368" s="331">
        <f>'H2 PLATFORM S'!$H$12</f>
        <v>93.942442079261383</v>
      </c>
      <c r="N368" s="331">
        <f>'H2 PLATFORM S'!$H$12</f>
        <v>93.942442079261383</v>
      </c>
      <c r="O368" s="331">
        <f>'H2 PLATFORM S'!$H$12</f>
        <v>93.942442079261383</v>
      </c>
      <c r="Q368" s="331">
        <f>'H2 PLATFORM S'!$H$12</f>
        <v>93.942442079261383</v>
      </c>
      <c r="R368" s="331">
        <f>'H2 PLATFORM S'!$H$12</f>
        <v>93.942442079261383</v>
      </c>
      <c r="S368" s="331">
        <f>'H2 PLATFORM S'!$H$12</f>
        <v>93.942442079261383</v>
      </c>
    </row>
    <row r="369" spans="2:20" x14ac:dyDescent="0.25">
      <c r="B369" s="908"/>
      <c r="C369" s="325" t="s">
        <v>1406</v>
      </c>
      <c r="D369" s="325" t="s">
        <v>120</v>
      </c>
      <c r="E369" s="325" t="str">
        <f>'H2 PLATFORM S'!G13</f>
        <v>Total weight electrical equipment</v>
      </c>
      <c r="F369" s="325" t="str">
        <f>'H2 PLATFORM S'!I13</f>
        <v>t</v>
      </c>
      <c r="G369" s="331">
        <f t="shared" si="48"/>
        <v>6.5852094832108952</v>
      </c>
      <c r="H369" s="325"/>
      <c r="J369" s="331">
        <f>'H2 PLATFORM S'!$H$13</f>
        <v>6.5852094832108952</v>
      </c>
      <c r="K369" s="331">
        <f>'H2 PLATFORM S'!$H$13</f>
        <v>6.5852094832108952</v>
      </c>
      <c r="L369" s="331">
        <f>'H2 PLATFORM S'!$H$13</f>
        <v>6.5852094832108952</v>
      </c>
      <c r="N369" s="331">
        <f>'H2 PLATFORM S'!$H$13</f>
        <v>6.5852094832108952</v>
      </c>
      <c r="O369" s="331">
        <f>'H2 PLATFORM S'!$H$13</f>
        <v>6.5852094832108952</v>
      </c>
      <c r="Q369" s="331">
        <f>'H2 PLATFORM S'!$H$13</f>
        <v>6.5852094832108952</v>
      </c>
      <c r="R369" s="331">
        <f>'H2 PLATFORM S'!$H$13</f>
        <v>6.5852094832108952</v>
      </c>
      <c r="S369" s="331">
        <f>'H2 PLATFORM S'!$H$13</f>
        <v>6.5852094832108952</v>
      </c>
    </row>
    <row r="370" spans="2:20" x14ac:dyDescent="0.25">
      <c r="B370" s="908"/>
      <c r="C370" s="325" t="s">
        <v>1406</v>
      </c>
      <c r="D370" s="901" t="s">
        <v>1432</v>
      </c>
      <c r="E370" s="901" t="s">
        <v>1433</v>
      </c>
      <c r="F370" s="901" t="s">
        <v>1437</v>
      </c>
      <c r="G370" s="901" t="b">
        <f t="shared" ref="G370:G375" si="49">IF(LEN(HLOOKUP($D$6,$J$9:$DG$476,ROW()-ROW($G$9)+1,FALSE))&lt;&gt;0,HLOOKUP($D$6,$J$9:$DG$476,ROW()-ROW($G$9)+1,FALSE),"")</f>
        <v>1</v>
      </c>
      <c r="H370" s="901"/>
      <c r="I370" s="962"/>
      <c r="J370" s="901" t="b">
        <f>TRUE</f>
        <v>1</v>
      </c>
      <c r="K370" s="901" t="b">
        <f>TRUE</f>
        <v>1</v>
      </c>
      <c r="L370" s="901" t="b">
        <f>TRUE</f>
        <v>1</v>
      </c>
      <c r="N370" s="901" t="b">
        <f>TRUE</f>
        <v>1</v>
      </c>
      <c r="O370" s="901" t="b">
        <f>TRUE</f>
        <v>1</v>
      </c>
      <c r="Q370" s="901" t="b">
        <f>TRUE</f>
        <v>1</v>
      </c>
      <c r="R370" s="901" t="b">
        <f>TRUE</f>
        <v>1</v>
      </c>
      <c r="S370" s="901" t="b">
        <f>TRUE</f>
        <v>1</v>
      </c>
    </row>
    <row r="371" spans="2:20" x14ac:dyDescent="0.25">
      <c r="B371" s="908"/>
      <c r="C371" s="325" t="s">
        <v>1406</v>
      </c>
      <c r="D371" s="901" t="s">
        <v>1432</v>
      </c>
      <c r="E371" s="901" t="s">
        <v>1434</v>
      </c>
      <c r="F371" s="901" t="s">
        <v>1437</v>
      </c>
      <c r="G371" s="960" t="b">
        <f t="shared" si="49"/>
        <v>0</v>
      </c>
      <c r="H371" s="901"/>
      <c r="I371" s="962"/>
      <c r="J371" s="901" t="b">
        <f>IF(OR(J$258&lt;MAX(J$57,J$110,J$379),J248,J99),FALSE,TRUE)</f>
        <v>0</v>
      </c>
      <c r="K371" s="901" t="b">
        <f>IF(OR(K$258&lt;MAX(K$57,K$110,K$379),K248,K99),FALSE,TRUE)</f>
        <v>0</v>
      </c>
      <c r="L371" s="901" t="b">
        <f>IF(OR(L$258&lt;MAX(L$57,L$110,L$379),L248,L99),FALSE,TRUE)</f>
        <v>0</v>
      </c>
      <c r="N371" s="901" t="b">
        <f>IF(OR(N$258&lt;MAX(N$57,N$110,N$379),N248,N99),FALSE,TRUE)</f>
        <v>0</v>
      </c>
      <c r="O371" s="901" t="b">
        <f>IF(OR(O$258&lt;MAX(O$57,O$110,O$379),O248,O99),FALSE,TRUE)</f>
        <v>0</v>
      </c>
      <c r="Q371" s="901" t="b">
        <f>IF(OR(Q$258&lt;MAX(Q$57,Q$110,Q$379),Q248,Q99),FALSE,TRUE)</f>
        <v>0</v>
      </c>
      <c r="R371" s="901" t="b">
        <f>IF(OR(R$258&lt;MAX(R$57,R$110,R$379),R248,R99),FALSE,TRUE)</f>
        <v>0</v>
      </c>
      <c r="S371" s="901" t="b">
        <f>IF(OR(S$258&lt;MAX(S$57,S$110,S$379),S248,S99),FALSE,TRUE)</f>
        <v>0</v>
      </c>
    </row>
    <row r="372" spans="2:20" x14ac:dyDescent="0.25">
      <c r="B372" s="908"/>
      <c r="C372" s="325" t="s">
        <v>1406</v>
      </c>
      <c r="D372" s="901" t="s">
        <v>1432</v>
      </c>
      <c r="E372" s="901" t="s">
        <v>1435</v>
      </c>
      <c r="F372" s="901" t="s">
        <v>1437</v>
      </c>
      <c r="G372" s="960" t="b">
        <f t="shared" si="49"/>
        <v>0</v>
      </c>
      <c r="H372" s="901"/>
      <c r="I372" s="962"/>
      <c r="J372" s="901" t="b">
        <f>FALSE</f>
        <v>0</v>
      </c>
      <c r="K372" s="901" t="b">
        <f>FALSE</f>
        <v>0</v>
      </c>
      <c r="L372" s="901" t="b">
        <f>FALSE</f>
        <v>0</v>
      </c>
      <c r="N372" s="901" t="b">
        <f>FALSE</f>
        <v>0</v>
      </c>
      <c r="O372" s="901" t="b">
        <f>FALSE</f>
        <v>0</v>
      </c>
      <c r="Q372" s="901" t="b">
        <f>FALSE</f>
        <v>0</v>
      </c>
      <c r="R372" s="901" t="b">
        <f>FALSE</f>
        <v>0</v>
      </c>
      <c r="S372" s="901" t="b">
        <f>FALSE</f>
        <v>0</v>
      </c>
    </row>
    <row r="373" spans="2:20" x14ac:dyDescent="0.25">
      <c r="B373" s="908"/>
      <c r="C373" s="325" t="s">
        <v>1406</v>
      </c>
      <c r="D373" s="901" t="s">
        <v>1432</v>
      </c>
      <c r="E373" s="901" t="s">
        <v>1436</v>
      </c>
      <c r="F373" s="901" t="s">
        <v>1437</v>
      </c>
      <c r="G373" s="960" t="b">
        <f t="shared" si="49"/>
        <v>0</v>
      </c>
      <c r="H373" s="901"/>
      <c r="I373" s="962"/>
      <c r="J373" s="901" t="b">
        <f>FALSE</f>
        <v>0</v>
      </c>
      <c r="K373" s="901" t="b">
        <f>FALSE</f>
        <v>0</v>
      </c>
      <c r="L373" s="901" t="b">
        <f>FALSE</f>
        <v>0</v>
      </c>
      <c r="N373" s="901" t="b">
        <f>FALSE</f>
        <v>0</v>
      </c>
      <c r="O373" s="901" t="b">
        <f>FALSE</f>
        <v>0</v>
      </c>
      <c r="Q373" s="901" t="b">
        <f>FALSE</f>
        <v>0</v>
      </c>
      <c r="R373" s="901" t="b">
        <f>FALSE</f>
        <v>0</v>
      </c>
      <c r="S373" s="901" t="b">
        <f>FALSE</f>
        <v>0</v>
      </c>
    </row>
    <row r="374" spans="2:20" x14ac:dyDescent="0.25">
      <c r="B374" s="908"/>
      <c r="C374" s="325" t="s">
        <v>1406</v>
      </c>
      <c r="D374" s="901" t="s">
        <v>1432</v>
      </c>
      <c r="E374" s="901" t="s">
        <v>1438</v>
      </c>
      <c r="F374" s="901" t="s">
        <v>1437</v>
      </c>
      <c r="G374" s="960" t="b">
        <f t="shared" si="49"/>
        <v>1</v>
      </c>
      <c r="H374" s="901"/>
      <c r="I374" s="962"/>
      <c r="J374" s="901" t="b">
        <v>1</v>
      </c>
      <c r="K374" s="901" t="b">
        <v>1</v>
      </c>
      <c r="L374" s="901" t="b">
        <v>1</v>
      </c>
      <c r="N374" s="901" t="b">
        <v>1</v>
      </c>
      <c r="O374" s="901" t="b">
        <v>1</v>
      </c>
      <c r="Q374" s="901" t="b">
        <v>1</v>
      </c>
      <c r="R374" s="901" t="b">
        <v>1</v>
      </c>
      <c r="S374" s="901" t="b">
        <v>1</v>
      </c>
    </row>
    <row r="375" spans="2:20" x14ac:dyDescent="0.25">
      <c r="B375" s="908"/>
      <c r="C375" s="325" t="s">
        <v>1406</v>
      </c>
      <c r="D375" s="901" t="s">
        <v>1432</v>
      </c>
      <c r="E375" s="901" t="s">
        <v>1439</v>
      </c>
      <c r="F375" s="901" t="s">
        <v>1271</v>
      </c>
      <c r="G375" s="960">
        <f t="shared" si="49"/>
        <v>40</v>
      </c>
      <c r="H375" s="326"/>
      <c r="I375" s="959"/>
      <c r="J375" s="961">
        <f>J322</f>
        <v>93</v>
      </c>
      <c r="K375" s="961">
        <f>K322</f>
        <v>93</v>
      </c>
      <c r="L375" s="961">
        <f>L322</f>
        <v>93</v>
      </c>
      <c r="M375" s="962"/>
      <c r="N375" s="961">
        <f>N322</f>
        <v>40</v>
      </c>
      <c r="O375" s="961">
        <f>O322</f>
        <v>40</v>
      </c>
      <c r="P375" s="962"/>
      <c r="Q375" s="961">
        <f>Q322</f>
        <v>0</v>
      </c>
      <c r="R375" s="961">
        <f>R322</f>
        <v>0</v>
      </c>
      <c r="S375" s="961">
        <f>S322</f>
        <v>0</v>
      </c>
    </row>
    <row r="376" spans="2:20" x14ac:dyDescent="0.25">
      <c r="B376" s="908"/>
      <c r="C376" s="325" t="s">
        <v>1406</v>
      </c>
      <c r="D376" s="901" t="s">
        <v>1432</v>
      </c>
      <c r="E376" s="326"/>
      <c r="F376" s="326"/>
      <c r="G376" s="958" t="str">
        <f t="shared" ref="G376:G407" si="50">IF(LEN(HLOOKUP($D$6,$J$9:$DG$501,ROW()-ROW($G$9)+1,FALSE))&lt;&gt;0,HLOOKUP($D$6,$J$9:$DG$501,ROW()-ROW($G$9)+1,FALSE),"")</f>
        <v/>
      </c>
      <c r="H376" s="325"/>
      <c r="J376" s="328"/>
      <c r="K376" s="328"/>
      <c r="L376" s="328"/>
      <c r="N376" s="328"/>
      <c r="O376" s="328"/>
      <c r="Q376" s="328"/>
      <c r="R376" s="328"/>
      <c r="S376" s="328"/>
    </row>
    <row r="377" spans="2:20" ht="15.75" customHeight="1" x14ac:dyDescent="0.25">
      <c r="B377" s="316"/>
      <c r="C377" s="310" t="s">
        <v>1405</v>
      </c>
      <c r="D377" s="310" t="s">
        <v>812</v>
      </c>
      <c r="E377" s="310" t="s">
        <v>548</v>
      </c>
      <c r="F377" s="310" t="s">
        <v>757</v>
      </c>
      <c r="G377" s="1319">
        <f t="shared" si="50"/>
        <v>2030</v>
      </c>
      <c r="H377" s="310"/>
      <c r="J377" s="1319">
        <f>Scenarios!F19</f>
        <v>2035</v>
      </c>
      <c r="K377" s="1319">
        <f>Scenarios!F51</f>
        <v>0</v>
      </c>
      <c r="L377" s="1319">
        <f>Scenarios!F84</f>
        <v>2027</v>
      </c>
      <c r="M377" s="962"/>
      <c r="N377" s="1319">
        <f>Scenarios!F116</f>
        <v>2030</v>
      </c>
      <c r="O377" s="1319">
        <f>Scenarios!F150</f>
        <v>2030</v>
      </c>
      <c r="P377" s="962"/>
      <c r="Q377" s="1319">
        <f>Scenarios!F216</f>
        <v>0</v>
      </c>
      <c r="R377" s="1319">
        <f>Scenarios!F246</f>
        <v>0</v>
      </c>
      <c r="S377" s="1319">
        <f>Scenarios!F279</f>
        <v>0</v>
      </c>
    </row>
    <row r="378" spans="2:20" ht="15.75" customHeight="1" x14ac:dyDescent="0.25">
      <c r="B378" s="316"/>
      <c r="C378" s="325" t="s">
        <v>1405</v>
      </c>
      <c r="D378" s="310" t="s">
        <v>812</v>
      </c>
      <c r="E378" s="310" t="s">
        <v>549</v>
      </c>
      <c r="F378" s="310" t="s">
        <v>757</v>
      </c>
      <c r="G378" s="1319">
        <f t="shared" si="50"/>
        <v>2031</v>
      </c>
      <c r="H378" s="310"/>
      <c r="J378" s="1319">
        <f>Scenarios!F20</f>
        <v>2036</v>
      </c>
      <c r="K378" s="1319">
        <f>Scenarios!F52</f>
        <v>0</v>
      </c>
      <c r="L378" s="1319">
        <f>Scenarios!F85</f>
        <v>2028</v>
      </c>
      <c r="M378" s="962"/>
      <c r="N378" s="1319">
        <f>Scenarios!F117</f>
        <v>2031</v>
      </c>
      <c r="O378" s="1319">
        <f>Scenarios!F151</f>
        <v>2031</v>
      </c>
      <c r="P378" s="962"/>
      <c r="Q378" s="1319">
        <f>Scenarios!F214</f>
        <v>0</v>
      </c>
      <c r="R378" s="1319">
        <f>Scenarios!F247</f>
        <v>0</v>
      </c>
      <c r="S378" s="1319">
        <f>Scenarios!F280</f>
        <v>0</v>
      </c>
    </row>
    <row r="379" spans="2:20" ht="15.75" customHeight="1" x14ac:dyDescent="0.25">
      <c r="B379" s="316"/>
      <c r="C379" s="325" t="s">
        <v>1405</v>
      </c>
      <c r="D379" s="310" t="s">
        <v>812</v>
      </c>
      <c r="E379" s="310" t="s">
        <v>1387</v>
      </c>
      <c r="F379" s="325" t="s">
        <v>757</v>
      </c>
      <c r="G379" s="1319">
        <f t="shared" si="50"/>
        <v>2050</v>
      </c>
      <c r="H379" s="310"/>
      <c r="J379" s="1319">
        <f>Scenarios!F21</f>
        <v>2061</v>
      </c>
      <c r="K379" s="1319">
        <f>Scenarios!F53</f>
        <v>0</v>
      </c>
      <c r="L379" s="1319">
        <f>Scenarios!F86</f>
        <v>2053</v>
      </c>
      <c r="M379" s="962"/>
      <c r="N379" s="1319">
        <f>Scenarios!G126</f>
        <v>2050</v>
      </c>
      <c r="O379" s="1319">
        <f>Scenarios!F152</f>
        <v>2050</v>
      </c>
      <c r="P379" s="962"/>
      <c r="Q379" s="1319">
        <f>Scenarios!F218</f>
        <v>0</v>
      </c>
      <c r="R379" s="1319">
        <f>Scenarios!F251</f>
        <v>0</v>
      </c>
      <c r="S379" s="1319">
        <f>Scenarios!F284</f>
        <v>0</v>
      </c>
    </row>
    <row r="380" spans="2:20" x14ac:dyDescent="0.25">
      <c r="B380" s="316"/>
      <c r="C380" s="325" t="s">
        <v>1405</v>
      </c>
      <c r="D380" s="325" t="s">
        <v>812</v>
      </c>
      <c r="E380" s="1316" t="s">
        <v>1511</v>
      </c>
      <c r="F380" s="325" t="s">
        <v>757</v>
      </c>
      <c r="G380" s="687" t="str">
        <f t="shared" si="50"/>
        <v>Separated</v>
      </c>
      <c r="H380" s="325"/>
      <c r="J380" s="960" t="s">
        <v>1514</v>
      </c>
      <c r="K380" s="960" t="s">
        <v>1514</v>
      </c>
      <c r="L380" s="960" t="s">
        <v>1514</v>
      </c>
      <c r="M380" s="962"/>
      <c r="N380" s="960" t="s">
        <v>1514</v>
      </c>
      <c r="O380" s="960" t="s">
        <v>1514</v>
      </c>
      <c r="P380" s="962"/>
      <c r="Q380" s="960" t="s">
        <v>757</v>
      </c>
      <c r="R380" s="960" t="s">
        <v>757</v>
      </c>
      <c r="S380" s="960" t="s">
        <v>757</v>
      </c>
      <c r="T380" s="959"/>
    </row>
    <row r="381" spans="2:20" ht="15.75" customHeight="1" x14ac:dyDescent="0.25">
      <c r="B381" s="316"/>
      <c r="C381" s="325" t="s">
        <v>1405</v>
      </c>
      <c r="D381" s="310" t="s">
        <v>812</v>
      </c>
      <c r="E381" s="1316" t="s">
        <v>1245</v>
      </c>
      <c r="F381" s="310" t="s">
        <v>1244</v>
      </c>
      <c r="G381" s="687">
        <f t="shared" si="50"/>
        <v>2</v>
      </c>
      <c r="H381" s="310" t="s">
        <v>802</v>
      </c>
      <c r="J381" s="338">
        <v>2</v>
      </c>
      <c r="K381" s="338">
        <v>2</v>
      </c>
      <c r="L381" s="338">
        <v>2</v>
      </c>
      <c r="N381" s="338">
        <v>2</v>
      </c>
      <c r="O381" s="338">
        <v>2</v>
      </c>
      <c r="Q381" s="338">
        <v>2</v>
      </c>
      <c r="R381" s="338">
        <v>2</v>
      </c>
      <c r="S381" s="338">
        <v>2</v>
      </c>
    </row>
    <row r="382" spans="2:20" x14ac:dyDescent="0.25">
      <c r="B382" s="316"/>
      <c r="C382" s="325" t="s">
        <v>1405</v>
      </c>
      <c r="D382" s="325" t="s">
        <v>812</v>
      </c>
      <c r="E382" s="325" t="s">
        <v>1509</v>
      </c>
      <c r="F382" s="325" t="s">
        <v>1510</v>
      </c>
      <c r="G382" s="338">
        <f t="shared" si="50"/>
        <v>0.1589304829704154</v>
      </c>
      <c r="H382" s="325" t="s">
        <v>1513</v>
      </c>
      <c r="J382" s="961">
        <f>'NEV Tabel 3a Prijzen V'!$J$6</f>
        <v>0.1589304829704154</v>
      </c>
      <c r="K382" s="961">
        <f>'NEV Tabel 3a Prijzen V'!$J$6</f>
        <v>0.1589304829704154</v>
      </c>
      <c r="L382" s="961">
        <f>'NEV Tabel 3a Prijzen V'!$J$6</f>
        <v>0.1589304829704154</v>
      </c>
      <c r="M382" s="962"/>
      <c r="N382" s="961">
        <f>'NEV Tabel 3a Prijzen V'!$J$6</f>
        <v>0.1589304829704154</v>
      </c>
      <c r="O382" s="961">
        <f>'NEV Tabel 3a Prijzen V'!$J$6</f>
        <v>0.1589304829704154</v>
      </c>
      <c r="P382" s="962"/>
      <c r="Q382" s="961">
        <f>'NEV Tabel 3a Prijzen V'!$J$6</f>
        <v>0.1589304829704154</v>
      </c>
      <c r="R382" s="961">
        <f>'NEV Tabel 3a Prijzen V'!$J$6</f>
        <v>0.1589304829704154</v>
      </c>
      <c r="S382" s="961">
        <f>'NEV Tabel 3a Prijzen V'!$J$6</f>
        <v>0.1589304829704154</v>
      </c>
    </row>
    <row r="383" spans="2:20" ht="15.75" customHeight="1" x14ac:dyDescent="0.25">
      <c r="B383" s="316"/>
      <c r="C383" s="325" t="s">
        <v>1405</v>
      </c>
      <c r="D383" s="310" t="s">
        <v>812</v>
      </c>
      <c r="E383" s="310" t="s">
        <v>868</v>
      </c>
      <c r="F383" s="310" t="s">
        <v>590</v>
      </c>
      <c r="G383" s="332">
        <f t="shared" si="50"/>
        <v>33.33</v>
      </c>
      <c r="H383" s="310"/>
      <c r="J383" s="332">
        <v>33.33</v>
      </c>
      <c r="K383" s="332">
        <v>33.33</v>
      </c>
      <c r="L383" s="332">
        <v>33.33</v>
      </c>
      <c r="N383" s="332">
        <v>33.33</v>
      </c>
      <c r="O383" s="332">
        <v>33.33</v>
      </c>
      <c r="Q383" s="332">
        <v>33.33</v>
      </c>
      <c r="R383" s="332">
        <v>33.33</v>
      </c>
      <c r="S383" s="332">
        <v>33.33</v>
      </c>
    </row>
    <row r="384" spans="2:20" x14ac:dyDescent="0.25">
      <c r="B384" s="316"/>
      <c r="C384" s="325" t="s">
        <v>1405</v>
      </c>
      <c r="D384" s="310" t="s">
        <v>812</v>
      </c>
      <c r="E384" s="310" t="s">
        <v>787</v>
      </c>
      <c r="F384" s="310" t="s">
        <v>757</v>
      </c>
      <c r="G384" s="328">
        <f t="shared" si="50"/>
        <v>6.9522852060938833E-2</v>
      </c>
      <c r="H384" s="310"/>
      <c r="J384" s="328">
        <f>J385/1.2931</f>
        <v>6.9522852060938833E-2</v>
      </c>
      <c r="K384" s="328">
        <f>K385/1.2931</f>
        <v>6.9522852060938833E-2</v>
      </c>
      <c r="L384" s="328">
        <f>L385/1.2931</f>
        <v>6.9522852060938833E-2</v>
      </c>
      <c r="N384" s="328">
        <f>N385/1.2931</f>
        <v>6.9522852060938833E-2</v>
      </c>
      <c r="O384" s="328">
        <f>O385/1.2931</f>
        <v>6.9522852060938833E-2</v>
      </c>
      <c r="Q384" s="328">
        <f>Q385/1.2931</f>
        <v>6.9522852060938833E-2</v>
      </c>
      <c r="R384" s="328">
        <f>R385/1.2931</f>
        <v>6.9522852060938833E-2</v>
      </c>
      <c r="S384" s="328">
        <f>S385/1.2931</f>
        <v>6.9522852060938833E-2</v>
      </c>
    </row>
    <row r="385" spans="2:19" x14ac:dyDescent="0.25">
      <c r="B385" s="316"/>
      <c r="C385" s="325" t="s">
        <v>1405</v>
      </c>
      <c r="D385" s="310" t="s">
        <v>812</v>
      </c>
      <c r="E385" s="310" t="s">
        <v>867</v>
      </c>
      <c r="F385" s="310" t="s">
        <v>784</v>
      </c>
      <c r="G385" s="328">
        <f t="shared" si="50"/>
        <v>8.9899999999999994E-2</v>
      </c>
      <c r="H385" s="310"/>
      <c r="J385" s="328">
        <v>8.9899999999999994E-2</v>
      </c>
      <c r="K385" s="328">
        <v>8.9899999999999994E-2</v>
      </c>
      <c r="L385" s="328">
        <v>8.9899999999999994E-2</v>
      </c>
      <c r="N385" s="328">
        <v>8.9899999999999994E-2</v>
      </c>
      <c r="O385" s="328">
        <v>8.9899999999999994E-2</v>
      </c>
      <c r="Q385" s="328">
        <v>8.9899999999999994E-2</v>
      </c>
      <c r="R385" s="328">
        <v>8.9899999999999994E-2</v>
      </c>
      <c r="S385" s="328">
        <v>8.9899999999999994E-2</v>
      </c>
    </row>
    <row r="386" spans="2:19" x14ac:dyDescent="0.25">
      <c r="B386" s="316"/>
      <c r="C386" s="325" t="s">
        <v>1405</v>
      </c>
      <c r="D386" s="310" t="s">
        <v>812</v>
      </c>
      <c r="E386" s="310" t="s">
        <v>777</v>
      </c>
      <c r="F386" s="310" t="s">
        <v>757</v>
      </c>
      <c r="G386" s="332">
        <f t="shared" si="50"/>
        <v>1.4</v>
      </c>
      <c r="H386" s="310"/>
      <c r="J386" s="332">
        <v>1.4</v>
      </c>
      <c r="K386" s="332">
        <v>1.4</v>
      </c>
      <c r="L386" s="332">
        <v>1.4</v>
      </c>
      <c r="N386" s="332">
        <v>1.4</v>
      </c>
      <c r="O386" s="332">
        <v>1.4</v>
      </c>
      <c r="Q386" s="332">
        <v>1.4</v>
      </c>
      <c r="R386" s="332">
        <v>1.4</v>
      </c>
      <c r="S386" s="332">
        <v>1.4</v>
      </c>
    </row>
    <row r="387" spans="2:19" x14ac:dyDescent="0.25">
      <c r="B387" s="316"/>
      <c r="C387" s="325" t="s">
        <v>1405</v>
      </c>
      <c r="D387" s="310" t="s">
        <v>812</v>
      </c>
      <c r="E387" s="310" t="s">
        <v>778</v>
      </c>
      <c r="F387" s="310" t="s">
        <v>779</v>
      </c>
      <c r="G387" s="332">
        <f t="shared" si="50"/>
        <v>2.0158</v>
      </c>
      <c r="H387" s="310"/>
      <c r="J387" s="332">
        <v>2.0158</v>
      </c>
      <c r="K387" s="332">
        <v>2.0158</v>
      </c>
      <c r="L387" s="332">
        <v>2.0158</v>
      </c>
      <c r="N387" s="332">
        <v>2.0158</v>
      </c>
      <c r="O387" s="332">
        <v>2.0158</v>
      </c>
      <c r="Q387" s="332">
        <v>2.0158</v>
      </c>
      <c r="R387" s="332">
        <v>2.0158</v>
      </c>
      <c r="S387" s="332">
        <v>2.0158</v>
      </c>
    </row>
    <row r="388" spans="2:19" x14ac:dyDescent="0.25">
      <c r="B388" s="316"/>
      <c r="C388" s="325" t="s">
        <v>1405</v>
      </c>
      <c r="D388" s="310" t="s">
        <v>812</v>
      </c>
      <c r="E388" s="310" t="s">
        <v>781</v>
      </c>
      <c r="F388" s="310" t="s">
        <v>782</v>
      </c>
      <c r="G388" s="328">
        <f t="shared" si="50"/>
        <v>8.3144597999999998</v>
      </c>
      <c r="H388" s="310"/>
      <c r="J388" s="345">
        <f>J123</f>
        <v>8.3144597999999998</v>
      </c>
      <c r="K388" s="345">
        <f>K123</f>
        <v>8.3144597999999998</v>
      </c>
      <c r="L388" s="345">
        <f>L123</f>
        <v>8.3144597999999998</v>
      </c>
      <c r="N388" s="345">
        <f>N123</f>
        <v>8.3144597999999998</v>
      </c>
      <c r="O388" s="345">
        <f>O123</f>
        <v>8.3144597999999998</v>
      </c>
      <c r="Q388" s="345">
        <f>Q123</f>
        <v>8.3144597999999998</v>
      </c>
      <c r="R388" s="345">
        <f>R123</f>
        <v>8.3144597999999998</v>
      </c>
      <c r="S388" s="345">
        <f>S123</f>
        <v>8.3144597999999998</v>
      </c>
    </row>
    <row r="389" spans="2:19" x14ac:dyDescent="0.25">
      <c r="B389" s="316"/>
      <c r="C389" s="325" t="s">
        <v>1405</v>
      </c>
      <c r="D389" s="310" t="s">
        <v>812</v>
      </c>
      <c r="E389" s="310" t="s">
        <v>786</v>
      </c>
      <c r="F389" s="310" t="s">
        <v>757</v>
      </c>
      <c r="G389" s="332">
        <f t="shared" si="50"/>
        <v>1.01</v>
      </c>
      <c r="H389" s="310"/>
      <c r="J389" s="332">
        <v>1.01</v>
      </c>
      <c r="K389" s="332">
        <v>1.01</v>
      </c>
      <c r="L389" s="332">
        <v>1.01</v>
      </c>
      <c r="N389" s="332">
        <v>1.01</v>
      </c>
      <c r="O389" s="332">
        <v>1.01</v>
      </c>
      <c r="Q389" s="332">
        <v>1.01</v>
      </c>
      <c r="R389" s="332">
        <v>1.01</v>
      </c>
      <c r="S389" s="332">
        <v>1.01</v>
      </c>
    </row>
    <row r="390" spans="2:19" ht="15.75" customHeight="1" x14ac:dyDescent="0.25">
      <c r="B390" s="316"/>
      <c r="C390" s="325" t="s">
        <v>1405</v>
      </c>
      <c r="D390" s="310" t="s">
        <v>812</v>
      </c>
      <c r="E390" s="310" t="s">
        <v>911</v>
      </c>
      <c r="F390" s="310" t="s">
        <v>914</v>
      </c>
      <c r="G390" s="345">
        <f t="shared" si="50"/>
        <v>14987422.365588048</v>
      </c>
      <c r="H390" s="310"/>
      <c r="J390" s="345">
        <f>IF(J380="Admix",J474/J385*J382,IF(J380="Separated",J474*J381,0))</f>
        <v>14987422.365588048</v>
      </c>
      <c r="K390" s="345">
        <f>IF(K380="Admix",K474/K385*K382,IF(K380="Separated",K474*K381,0))</f>
        <v>14987422.365588048</v>
      </c>
      <c r="L390" s="345">
        <f>IF(L380="Admix",L474/L385*L382,IF(L380="Separated",L474*L381,0))</f>
        <v>14987422.365588048</v>
      </c>
      <c r="N390" s="345">
        <f>IF(N380="Admix",N474/N385*N382,IF(N380="Separated",N474*N381,0))</f>
        <v>14987422.365588048</v>
      </c>
      <c r="O390" s="345">
        <f>IF(O380="Admix",O474/O385*O382,IF(O380="Separated",O474*O381,0))</f>
        <v>14987422.365588048</v>
      </c>
      <c r="Q390" s="345">
        <f>IF(Q380="Admix",Q474/Q385*Q382,IF(Q380="Separated",Q474*Q381,0))</f>
        <v>0</v>
      </c>
      <c r="R390" s="345">
        <f>IF(R380="Admix",R474/R385*R382,IF(R380="Separated",R474*R381,0))</f>
        <v>0</v>
      </c>
      <c r="S390" s="345">
        <f>IF(S380="Admix",S474/S385*S382,IF(S380="Separated",S474*S381,0))</f>
        <v>0</v>
      </c>
    </row>
    <row r="391" spans="2:19" x14ac:dyDescent="0.25">
      <c r="B391" s="316"/>
      <c r="C391" s="325" t="s">
        <v>1405</v>
      </c>
      <c r="D391" s="310" t="s">
        <v>563</v>
      </c>
      <c r="E391" s="325" t="s">
        <v>1452</v>
      </c>
      <c r="F391" s="325" t="s">
        <v>46</v>
      </c>
      <c r="G391" s="331">
        <f t="shared" si="50"/>
        <v>100</v>
      </c>
      <c r="H391" s="310"/>
      <c r="J391" s="331">
        <f>Scenarios!E29</f>
        <v>100</v>
      </c>
      <c r="K391" s="331">
        <f>Scenarios!E61</f>
        <v>0</v>
      </c>
      <c r="L391" s="331">
        <f>Scenarios!E94</f>
        <v>100</v>
      </c>
      <c r="N391" s="331">
        <f>Scenarios!E126</f>
        <v>100</v>
      </c>
      <c r="O391" s="331">
        <f>Scenarios!E160</f>
        <v>100</v>
      </c>
      <c r="Q391" s="331">
        <f>Scenarios!E226</f>
        <v>0</v>
      </c>
      <c r="R391" s="331">
        <f>Scenarios!E259</f>
        <v>0</v>
      </c>
      <c r="S391" s="331">
        <f>Scenarios!E292</f>
        <v>0</v>
      </c>
    </row>
    <row r="392" spans="2:19" ht="15.75" customHeight="1" x14ac:dyDescent="0.25">
      <c r="B392" s="316"/>
      <c r="C392" s="325" t="s">
        <v>1405</v>
      </c>
      <c r="D392" s="325" t="s">
        <v>563</v>
      </c>
      <c r="E392" s="325" t="s">
        <v>1236</v>
      </c>
      <c r="F392" s="325" t="s">
        <v>1045</v>
      </c>
      <c r="G392" s="689">
        <f t="shared" si="50"/>
        <v>42.553191489361701</v>
      </c>
      <c r="H392" s="325" t="s">
        <v>1237</v>
      </c>
      <c r="J392" s="689">
        <f>IFERROR(J381/J393*1000,0)</f>
        <v>42.553191489361701</v>
      </c>
      <c r="K392" s="689">
        <f>IFERROR(K381/K393*1000,0)</f>
        <v>42.553191489361701</v>
      </c>
      <c r="L392" s="689">
        <f>IFERROR(L381/L393*1000,0)</f>
        <v>42.553191489361701</v>
      </c>
      <c r="M392" s="1143"/>
      <c r="N392" s="689">
        <f>IFERROR(N381/N393*1000,0)</f>
        <v>42.553191489361701</v>
      </c>
      <c r="O392" s="689">
        <f>IFERROR(O381/O393*1000,0)</f>
        <v>42.553191489361701</v>
      </c>
      <c r="P392" s="1143"/>
      <c r="Q392" s="689">
        <f>IFERROR(Q381/Q393*1000,0)</f>
        <v>42.553191489361701</v>
      </c>
      <c r="R392" s="689">
        <f>IFERROR(R381/R393*1000,0)</f>
        <v>42.553191489361701</v>
      </c>
      <c r="S392" s="689">
        <f>IFERROR(S381/S393*1000,0)</f>
        <v>42.553191489361701</v>
      </c>
    </row>
    <row r="393" spans="2:19" ht="18" x14ac:dyDescent="0.35">
      <c r="B393" s="316"/>
      <c r="C393" s="325" t="s">
        <v>1405</v>
      </c>
      <c r="D393" s="310" t="s">
        <v>563</v>
      </c>
      <c r="E393" s="310" t="s">
        <v>770</v>
      </c>
      <c r="F393" s="310" t="s">
        <v>566</v>
      </c>
      <c r="G393" s="689">
        <f t="shared" si="50"/>
        <v>47</v>
      </c>
      <c r="H393" s="310" t="s">
        <v>854</v>
      </c>
      <c r="J393" s="689">
        <f>IFERROR(INDEX(Prices!$D$3:$BD$19,MATCH(Prices!$D$18,Prices!$D$3:$D$19,0),MATCH($G$377,Prices!$D$3:$BD$3,0)),0)</f>
        <v>47</v>
      </c>
      <c r="K393" s="689">
        <f>IFERROR(INDEX(Prices!$D$3:$BD$19,MATCH(Prices!$D$18,Prices!$D$3:$D$19,0),MATCH($G$377,Prices!$D$3:$BD$3,0)),0)</f>
        <v>47</v>
      </c>
      <c r="L393" s="689">
        <f>IFERROR(INDEX(Prices!$D$3:$BD$19,MATCH(Prices!$D$18,Prices!$D$3:$D$19,0),MATCH($G$377,Prices!$D$3:$BD$3,0)),0)</f>
        <v>47</v>
      </c>
      <c r="N393" s="689">
        <f>IFERROR(INDEX(Prices!$D$3:$BD$19,MATCH(Prices!$D$18,Prices!$D$3:$D$19,0),MATCH($G$377,Prices!$D$3:$BD$3,0)),0)</f>
        <v>47</v>
      </c>
      <c r="O393" s="689">
        <f>IFERROR(INDEX(Prices!$D$3:$BD$19,MATCH(Prices!$D$18,Prices!$D$3:$D$19,0),MATCH($G$377,Prices!$D$3:$BD$3,0)),0)</f>
        <v>47</v>
      </c>
      <c r="Q393" s="689">
        <f>IFERROR(INDEX(Prices!$D$3:$BD$19,MATCH(Prices!$D$18,Prices!$D$3:$D$19,0),MATCH($G$377,Prices!$D$3:$BD$3,0)),0)</f>
        <v>47</v>
      </c>
      <c r="R393" s="689">
        <f>IFERROR(INDEX(Prices!$D$3:$BD$19,MATCH(Prices!$D$18,Prices!$D$3:$D$19,0),MATCH($G$377,Prices!$D$3:$BD$3,0)),0)</f>
        <v>47</v>
      </c>
      <c r="S393" s="689">
        <f>IFERROR(INDEX(Prices!$D$3:$BD$19,MATCH(Prices!$D$18,Prices!$D$3:$D$19,0),MATCH($G$377,Prices!$D$3:$BD$3,0)),0)</f>
        <v>47</v>
      </c>
    </row>
    <row r="394" spans="2:19" x14ac:dyDescent="0.25">
      <c r="B394" s="316"/>
      <c r="C394" s="325" t="s">
        <v>1405</v>
      </c>
      <c r="D394" s="310" t="s">
        <v>563</v>
      </c>
      <c r="E394" s="310" t="s">
        <v>771</v>
      </c>
      <c r="F394" s="310" t="s">
        <v>558</v>
      </c>
      <c r="G394" s="688">
        <f t="shared" si="50"/>
        <v>35</v>
      </c>
      <c r="H394" s="310" t="s">
        <v>772</v>
      </c>
      <c r="J394" s="688">
        <v>35</v>
      </c>
      <c r="K394" s="688">
        <v>35</v>
      </c>
      <c r="L394" s="688">
        <v>35</v>
      </c>
      <c r="N394" s="688">
        <v>35</v>
      </c>
      <c r="O394" s="688">
        <v>35</v>
      </c>
      <c r="Q394" s="688">
        <v>35</v>
      </c>
      <c r="R394" s="688">
        <v>35</v>
      </c>
      <c r="S394" s="688">
        <v>35</v>
      </c>
    </row>
    <row r="395" spans="2:19" x14ac:dyDescent="0.25">
      <c r="B395" s="316"/>
      <c r="C395" s="325" t="s">
        <v>1405</v>
      </c>
      <c r="D395" s="310" t="s">
        <v>563</v>
      </c>
      <c r="E395" s="310" t="s">
        <v>857</v>
      </c>
      <c r="F395" s="310" t="s">
        <v>1453</v>
      </c>
      <c r="G395" s="332">
        <f t="shared" si="50"/>
        <v>270</v>
      </c>
      <c r="H395" s="310" t="s">
        <v>856</v>
      </c>
      <c r="J395" s="332">
        <f>1.5*1800/10000*1000</f>
        <v>270</v>
      </c>
      <c r="K395" s="332">
        <f t="shared" ref="K395:L395" si="51">1.5*1800/10000*1000</f>
        <v>270</v>
      </c>
      <c r="L395" s="332">
        <f t="shared" si="51"/>
        <v>270</v>
      </c>
      <c r="N395" s="332">
        <f t="shared" ref="N395:O395" si="52">1.5*1800/10000*1000</f>
        <v>270</v>
      </c>
      <c r="O395" s="332">
        <f t="shared" si="52"/>
        <v>270</v>
      </c>
      <c r="Q395" s="332">
        <f t="shared" ref="Q395:S395" si="53">1.5*1800/10000*1000</f>
        <v>270</v>
      </c>
      <c r="R395" s="332">
        <f t="shared" si="53"/>
        <v>270</v>
      </c>
      <c r="S395" s="332">
        <f t="shared" si="53"/>
        <v>270</v>
      </c>
    </row>
    <row r="396" spans="2:19" s="962" customFormat="1" x14ac:dyDescent="0.25">
      <c r="B396" s="1328"/>
      <c r="C396" s="901" t="s">
        <v>1405</v>
      </c>
      <c r="D396" s="901" t="s">
        <v>563</v>
      </c>
      <c r="E396" s="901" t="s">
        <v>1738</v>
      </c>
      <c r="F396" s="901" t="s">
        <v>837</v>
      </c>
      <c r="G396" s="901">
        <f t="shared" si="50"/>
        <v>20</v>
      </c>
      <c r="H396" s="901"/>
      <c r="J396" s="901">
        <v>20</v>
      </c>
      <c r="K396" s="901">
        <v>20</v>
      </c>
      <c r="L396" s="901">
        <v>20</v>
      </c>
      <c r="N396" s="901">
        <v>20</v>
      </c>
      <c r="O396" s="901">
        <v>20</v>
      </c>
      <c r="Q396" s="901">
        <v>20</v>
      </c>
      <c r="R396" s="901">
        <v>20</v>
      </c>
      <c r="S396" s="901">
        <v>20</v>
      </c>
    </row>
    <row r="397" spans="2:19" s="962" customFormat="1" x14ac:dyDescent="0.25">
      <c r="B397" s="1328"/>
      <c r="C397" s="901" t="s">
        <v>1405</v>
      </c>
      <c r="D397" s="901" t="s">
        <v>563</v>
      </c>
      <c r="E397" s="901" t="s">
        <v>1739</v>
      </c>
      <c r="F397" s="901" t="s">
        <v>837</v>
      </c>
      <c r="G397" s="901">
        <f t="shared" si="50"/>
        <v>10</v>
      </c>
      <c r="H397" s="901"/>
      <c r="J397" s="901">
        <v>10</v>
      </c>
      <c r="K397" s="901">
        <v>10</v>
      </c>
      <c r="L397" s="901">
        <v>10</v>
      </c>
      <c r="N397" s="901">
        <v>10</v>
      </c>
      <c r="O397" s="901">
        <v>10</v>
      </c>
      <c r="Q397" s="901">
        <v>10</v>
      </c>
      <c r="R397" s="901">
        <v>10</v>
      </c>
      <c r="S397" s="901">
        <v>10</v>
      </c>
    </row>
    <row r="398" spans="2:19" s="962" customFormat="1" x14ac:dyDescent="0.25">
      <c r="B398" s="1328"/>
      <c r="C398" s="901" t="s">
        <v>1405</v>
      </c>
      <c r="D398" s="901" t="s">
        <v>563</v>
      </c>
      <c r="E398" s="901" t="s">
        <v>1740</v>
      </c>
      <c r="F398" s="901" t="s">
        <v>11</v>
      </c>
      <c r="G398" s="968">
        <f t="shared" si="50"/>
        <v>0.5</v>
      </c>
      <c r="H398" s="901" t="s">
        <v>1741</v>
      </c>
      <c r="J398" s="968">
        <v>0.5</v>
      </c>
      <c r="K398" s="968">
        <v>0.5</v>
      </c>
      <c r="L398" s="968">
        <v>0.5</v>
      </c>
      <c r="N398" s="968">
        <v>0.5</v>
      </c>
      <c r="O398" s="968">
        <v>0.5</v>
      </c>
      <c r="Q398" s="968">
        <v>0.5</v>
      </c>
      <c r="R398" s="968">
        <v>0.5</v>
      </c>
      <c r="S398" s="968">
        <v>0.5</v>
      </c>
    </row>
    <row r="399" spans="2:19" x14ac:dyDescent="0.25">
      <c r="B399" s="316"/>
      <c r="C399" s="325" t="s">
        <v>1405</v>
      </c>
      <c r="D399" s="310" t="s">
        <v>563</v>
      </c>
      <c r="E399" s="310" t="s">
        <v>575</v>
      </c>
      <c r="F399" s="310" t="s">
        <v>11</v>
      </c>
      <c r="G399" s="329">
        <f t="shared" si="50"/>
        <v>0.99</v>
      </c>
      <c r="H399" s="310"/>
      <c r="J399" s="329">
        <v>0.99</v>
      </c>
      <c r="K399" s="329">
        <v>0.99</v>
      </c>
      <c r="L399" s="329">
        <v>0.99</v>
      </c>
      <c r="N399" s="329">
        <v>0.99</v>
      </c>
      <c r="O399" s="329">
        <v>0.99</v>
      </c>
      <c r="Q399" s="329">
        <v>0.99</v>
      </c>
      <c r="R399" s="329">
        <v>0.99</v>
      </c>
      <c r="S399" s="329">
        <v>0.99</v>
      </c>
    </row>
    <row r="400" spans="2:19" x14ac:dyDescent="0.25">
      <c r="B400" s="316"/>
      <c r="C400" s="325" t="s">
        <v>1405</v>
      </c>
      <c r="D400" s="310" t="s">
        <v>563</v>
      </c>
      <c r="E400" s="310" t="s">
        <v>573</v>
      </c>
      <c r="F400" s="310" t="s">
        <v>11</v>
      </c>
      <c r="G400" s="329">
        <f t="shared" si="50"/>
        <v>0.96</v>
      </c>
      <c r="H400" s="310"/>
      <c r="J400" s="329">
        <v>0.96</v>
      </c>
      <c r="K400" s="329">
        <v>0.96</v>
      </c>
      <c r="L400" s="329">
        <v>0.96</v>
      </c>
      <c r="N400" s="329">
        <v>0.96</v>
      </c>
      <c r="O400" s="329">
        <v>0.96</v>
      </c>
      <c r="Q400" s="329">
        <v>0.96</v>
      </c>
      <c r="R400" s="329">
        <v>0.96</v>
      </c>
      <c r="S400" s="329">
        <v>0.96</v>
      </c>
    </row>
    <row r="401" spans="2:19" x14ac:dyDescent="0.25">
      <c r="B401" s="316"/>
      <c r="C401" s="325" t="s">
        <v>1405</v>
      </c>
      <c r="D401" s="325" t="s">
        <v>563</v>
      </c>
      <c r="E401" s="325" t="s">
        <v>1560</v>
      </c>
      <c r="F401" s="325" t="s">
        <v>886</v>
      </c>
      <c r="G401" s="328">
        <f t="shared" si="50"/>
        <v>10.199999999999999</v>
      </c>
      <c r="H401" s="325" t="s">
        <v>1240</v>
      </c>
      <c r="J401" s="963">
        <f>102/10</f>
        <v>10.199999999999999</v>
      </c>
      <c r="K401" s="963">
        <f t="shared" ref="K401:L401" si="54">102/10</f>
        <v>10.199999999999999</v>
      </c>
      <c r="L401" s="963">
        <f t="shared" si="54"/>
        <v>10.199999999999999</v>
      </c>
      <c r="M401" s="962"/>
      <c r="N401" s="963">
        <f>102/10</f>
        <v>10.199999999999999</v>
      </c>
      <c r="O401" s="963">
        <f t="shared" ref="O401" si="55">102/10</f>
        <v>10.199999999999999</v>
      </c>
      <c r="P401" s="962"/>
      <c r="Q401" s="963">
        <f>102/10</f>
        <v>10.199999999999999</v>
      </c>
      <c r="R401" s="963">
        <f t="shared" ref="R401:S401" si="56">102/10</f>
        <v>10.199999999999999</v>
      </c>
      <c r="S401" s="963">
        <f t="shared" si="56"/>
        <v>10.199999999999999</v>
      </c>
    </row>
    <row r="402" spans="2:19" x14ac:dyDescent="0.25">
      <c r="B402" s="316"/>
      <c r="C402" s="325" t="s">
        <v>1405</v>
      </c>
      <c r="D402" s="325" t="s">
        <v>563</v>
      </c>
      <c r="E402" s="325" t="s">
        <v>1548</v>
      </c>
      <c r="F402" s="325" t="s">
        <v>1241</v>
      </c>
      <c r="G402" s="328">
        <f t="shared" si="50"/>
        <v>14.85472</v>
      </c>
      <c r="H402" s="325" t="s">
        <v>1549</v>
      </c>
      <c r="J402" s="963">
        <v>14.85472</v>
      </c>
      <c r="K402" s="963">
        <v>14.85472</v>
      </c>
      <c r="L402" s="963">
        <v>14.85472</v>
      </c>
      <c r="M402" s="962"/>
      <c r="N402" s="963">
        <v>14.85472</v>
      </c>
      <c r="O402" s="963">
        <v>14.85472</v>
      </c>
      <c r="P402" s="962"/>
      <c r="Q402" s="963">
        <v>14.85472</v>
      </c>
      <c r="R402" s="963">
        <v>14.85472</v>
      </c>
      <c r="S402" s="963">
        <v>14.85472</v>
      </c>
    </row>
    <row r="403" spans="2:19" x14ac:dyDescent="0.25">
      <c r="B403" s="316"/>
      <c r="C403" s="325" t="s">
        <v>1405</v>
      </c>
      <c r="D403" s="310" t="s">
        <v>563</v>
      </c>
      <c r="E403" s="310" t="s">
        <v>890</v>
      </c>
      <c r="F403" s="310" t="s">
        <v>1612</v>
      </c>
      <c r="G403" s="328">
        <f t="shared" si="50"/>
        <v>629.89987597081836</v>
      </c>
      <c r="H403" s="742" t="s">
        <v>1660</v>
      </c>
      <c r="J403" s="328">
        <f>IFERROR((INDEX(Prices!$D$3:$BD$17,MATCH(Prices!$D$16,Prices!$D$3:$D$17,0),MATCH(Parameters!$G$377,Prices!$D$3:$BD$3,0))+INDEX(Prices!$D$3:$BD$17,MATCH(Prices!$D$17,Prices!$D$3:$D$17,0),MATCH(Parameters!$G$377,Prices!$D$3:$BD$3,0)))/2,0)</f>
        <v>629.89987597081836</v>
      </c>
      <c r="K403" s="328">
        <f>IFERROR((INDEX(Prices!$D$3:$BD$17,MATCH(Prices!$D$16,Prices!$D$3:$D$17,0),MATCH(Parameters!$G$377,Prices!$D$3:$BD$3,0))+INDEX(Prices!$D$3:$BD$17,MATCH(Prices!$D$17,Prices!$D$3:$D$17,0),MATCH(Parameters!$G$377,Prices!$D$3:$BD$3,0)))/2,0)</f>
        <v>629.89987597081836</v>
      </c>
      <c r="L403" s="328">
        <f>IFERROR((INDEX(Prices!$D$3:$BD$17,MATCH(Prices!$D$16,Prices!$D$3:$D$17,0),MATCH(Parameters!$G$377,Prices!$D$3:$BD$3,0))+INDEX(Prices!$D$3:$BD$17,MATCH(Prices!$D$17,Prices!$D$3:$D$17,0),MATCH(Parameters!$G$377,Prices!$D$3:$BD$3,0)))/2,0)</f>
        <v>629.89987597081836</v>
      </c>
      <c r="N403" s="328">
        <f>IFERROR((INDEX(Prices!$D$3:$BD$17,MATCH(Prices!$D$16,Prices!$D$3:$D$17,0),MATCH(Parameters!$G$377,Prices!$D$3:$BD$3,0))+INDEX(Prices!$D$3:$BD$17,MATCH(Prices!$D$17,Prices!$D$3:$D$17,0),MATCH(Parameters!$G$377,Prices!$D$3:$BD$3,0)))/2,0)</f>
        <v>629.89987597081836</v>
      </c>
      <c r="O403" s="328">
        <f>IFERROR((INDEX(Prices!$D$3:$BD$17,MATCH(Prices!$D$16,Prices!$D$3:$D$17,0),MATCH(Parameters!$G$377,Prices!$D$3:$BD$3,0))+INDEX(Prices!$D$3:$BD$17,MATCH(Prices!$D$17,Prices!$D$3:$D$17,0),MATCH(Parameters!$G$377,Prices!$D$3:$BD$3,0)))/2,0)</f>
        <v>629.89987597081836</v>
      </c>
      <c r="Q403" s="328">
        <f>IFERROR((INDEX(Prices!$D$3:$BD$17,MATCH(Prices!$D$16,Prices!$D$3:$D$17,0),MATCH(Parameters!$G$377,Prices!$D$3:$BD$3,0))+INDEX(Prices!$D$3:$BD$17,MATCH(Prices!$D$17,Prices!$D$3:$D$17,0),MATCH(Parameters!$G$377,Prices!$D$3:$BD$3,0)))/2,0)</f>
        <v>629.89987597081836</v>
      </c>
      <c r="R403" s="328">
        <f>IFERROR((INDEX(Prices!$D$3:$BD$17,MATCH(Prices!$D$16,Prices!$D$3:$D$17,0),MATCH(Parameters!$G$377,Prices!$D$3:$BD$3,0))+INDEX(Prices!$D$3:$BD$17,MATCH(Prices!$D$17,Prices!$D$3:$D$17,0),MATCH(Parameters!$G$377,Prices!$D$3:$BD$3,0)))/2,0)</f>
        <v>629.89987597081836</v>
      </c>
      <c r="S403" s="328">
        <f>IFERROR((INDEX(Prices!$D$3:$BD$17,MATCH(Prices!$D$16,Prices!$D$3:$D$17,0),MATCH(Parameters!$G$377,Prices!$D$3:$BD$3,0))+INDEX(Prices!$D$3:$BD$17,MATCH(Prices!$D$17,Prices!$D$3:$D$17,0),MATCH(Parameters!$G$377,Prices!$D$3:$BD$3,0)))/2,0)</f>
        <v>629.89987597081836</v>
      </c>
    </row>
    <row r="404" spans="2:19" x14ac:dyDescent="0.25">
      <c r="B404" s="316"/>
      <c r="C404" s="325" t="s">
        <v>1405</v>
      </c>
      <c r="D404" s="310" t="s">
        <v>563</v>
      </c>
      <c r="E404" s="1316" t="s">
        <v>891</v>
      </c>
      <c r="F404" s="310" t="s">
        <v>1122</v>
      </c>
      <c r="G404" s="330">
        <f t="shared" si="50"/>
        <v>2.5000000000000001E-2</v>
      </c>
      <c r="H404" s="310" t="s">
        <v>792</v>
      </c>
      <c r="J404" s="330">
        <v>2.5000000000000001E-2</v>
      </c>
      <c r="K404" s="330">
        <v>2.5000000000000001E-2</v>
      </c>
      <c r="L404" s="330">
        <v>2.5000000000000001E-2</v>
      </c>
      <c r="N404" s="330">
        <v>2.5000000000000001E-2</v>
      </c>
      <c r="O404" s="330">
        <v>2.5000000000000001E-2</v>
      </c>
      <c r="Q404" s="330">
        <v>2.5000000000000001E-2</v>
      </c>
      <c r="R404" s="330">
        <v>2.5000000000000001E-2</v>
      </c>
      <c r="S404" s="330">
        <v>2.5000000000000001E-2</v>
      </c>
    </row>
    <row r="405" spans="2:19" x14ac:dyDescent="0.25">
      <c r="B405" s="316"/>
      <c r="C405" s="325" t="s">
        <v>1405</v>
      </c>
      <c r="D405" s="325" t="s">
        <v>563</v>
      </c>
      <c r="E405" s="901" t="s">
        <v>1306</v>
      </c>
      <c r="F405" s="325" t="s">
        <v>11</v>
      </c>
      <c r="G405" s="429">
        <f t="shared" si="50"/>
        <v>0.42894592162422679</v>
      </c>
      <c r="H405" s="325"/>
      <c r="J405" s="974">
        <f>'APX Input'!$AL$15</f>
        <v>0.42894592162422679</v>
      </c>
      <c r="K405" s="974">
        <f>'APX Input'!$AL$15</f>
        <v>0.42894592162422679</v>
      </c>
      <c r="L405" s="974">
        <f>'APX Input'!$AL$15</f>
        <v>0.42894592162422679</v>
      </c>
      <c r="M405" s="966"/>
      <c r="N405" s="974">
        <f>'APX Input'!$AL$15</f>
        <v>0.42894592162422679</v>
      </c>
      <c r="O405" s="974">
        <f>'APX Input'!$AL$15</f>
        <v>0.42894592162422679</v>
      </c>
      <c r="P405" s="966"/>
      <c r="Q405" s="974">
        <f>'APX Input'!$AL$15</f>
        <v>0.42894592162422679</v>
      </c>
      <c r="R405" s="974">
        <f>'APX Input'!$AL$15</f>
        <v>0.42894592162422679</v>
      </c>
      <c r="S405" s="974">
        <f>'APX Input'!$AL$15</f>
        <v>0.42894592162422679</v>
      </c>
    </row>
    <row r="406" spans="2:19" x14ac:dyDescent="0.25">
      <c r="B406" s="316"/>
      <c r="C406" s="325" t="s">
        <v>1405</v>
      </c>
      <c r="D406" s="325" t="s">
        <v>563</v>
      </c>
      <c r="E406" s="901" t="s">
        <v>1307</v>
      </c>
      <c r="F406" s="325" t="s">
        <v>1045</v>
      </c>
      <c r="G406" s="331">
        <f t="shared" si="50"/>
        <v>30.291688346263779</v>
      </c>
      <c r="H406" s="325"/>
      <c r="J406" s="975">
        <f>'APX Input'!$AO$15</f>
        <v>30.291688346263779</v>
      </c>
      <c r="K406" s="975">
        <f>'APX Input'!$AO$15</f>
        <v>30.291688346263779</v>
      </c>
      <c r="L406" s="975">
        <f>'APX Input'!$AO$15</f>
        <v>30.291688346263779</v>
      </c>
      <c r="M406" s="966"/>
      <c r="N406" s="975">
        <f>'APX Input'!$AO$15</f>
        <v>30.291688346263779</v>
      </c>
      <c r="O406" s="975">
        <f>'APX Input'!$AO$15</f>
        <v>30.291688346263779</v>
      </c>
      <c r="P406" s="966"/>
      <c r="Q406" s="975">
        <f>'APX Input'!$AO$15</f>
        <v>30.291688346263779</v>
      </c>
      <c r="R406" s="975">
        <f>'APX Input'!$AO$15</f>
        <v>30.291688346263779</v>
      </c>
      <c r="S406" s="975">
        <f>'APX Input'!$AO$15</f>
        <v>30.291688346263779</v>
      </c>
    </row>
    <row r="407" spans="2:19" x14ac:dyDescent="0.25">
      <c r="B407" s="316"/>
      <c r="C407" s="325" t="s">
        <v>1405</v>
      </c>
      <c r="D407" s="310" t="s">
        <v>563</v>
      </c>
      <c r="E407" s="901" t="s">
        <v>1201</v>
      </c>
      <c r="F407" s="310" t="s">
        <v>647</v>
      </c>
      <c r="G407" s="331">
        <f t="shared" si="50"/>
        <v>375756.62734282267</v>
      </c>
      <c r="H407" s="310" t="s">
        <v>894</v>
      </c>
      <c r="J407" s="331">
        <f>ELECTROLYSIS!$N$28</f>
        <v>375756.62734282267</v>
      </c>
      <c r="K407" s="331">
        <f>ELECTROLYSIS!$N$28</f>
        <v>375756.62734282267</v>
      </c>
      <c r="L407" s="331">
        <f>ELECTROLYSIS!$N$28</f>
        <v>375756.62734282267</v>
      </c>
      <c r="N407" s="331">
        <f>ELECTROLYSIS!$N$28</f>
        <v>375756.62734282267</v>
      </c>
      <c r="O407" s="331">
        <f>ELECTROLYSIS!$N$28</f>
        <v>375756.62734282267</v>
      </c>
      <c r="Q407" s="331">
        <f>ELECTROLYSIS!$N$28</f>
        <v>375756.62734282267</v>
      </c>
      <c r="R407" s="331">
        <f>ELECTROLYSIS!$N$28</f>
        <v>375756.62734282267</v>
      </c>
      <c r="S407" s="331">
        <f>ELECTROLYSIS!$N$28</f>
        <v>375756.62734282267</v>
      </c>
    </row>
    <row r="408" spans="2:19" x14ac:dyDescent="0.25">
      <c r="B408" s="316"/>
      <c r="C408" s="325" t="s">
        <v>1405</v>
      </c>
      <c r="D408" s="310" t="s">
        <v>563</v>
      </c>
      <c r="E408" s="310" t="s">
        <v>576</v>
      </c>
      <c r="F408" s="310" t="s">
        <v>858</v>
      </c>
      <c r="G408" s="331">
        <f t="shared" ref="G408:G439" si="57">IF(LEN(HLOOKUP($D$6,$J$9:$DG$501,ROW()-ROW($G$9)+1,FALSE))&lt;&gt;0,HLOOKUP($D$6,$J$9:$DG$501,ROW()-ROW($G$9)+1,FALSE),"")</f>
        <v>27000</v>
      </c>
      <c r="H408" s="310"/>
      <c r="J408" s="331">
        <f>ELECTROLYSIS!$N$44</f>
        <v>27000</v>
      </c>
      <c r="K408" s="331">
        <f>ELECTROLYSIS!$N$44</f>
        <v>27000</v>
      </c>
      <c r="L408" s="331">
        <f>ELECTROLYSIS!$N$44</f>
        <v>27000</v>
      </c>
      <c r="N408" s="331">
        <f>ELECTROLYSIS!$N$44</f>
        <v>27000</v>
      </c>
      <c r="O408" s="331">
        <f>ELECTROLYSIS!$N$44</f>
        <v>27000</v>
      </c>
      <c r="Q408" s="331">
        <f>ELECTROLYSIS!$N$44</f>
        <v>27000</v>
      </c>
      <c r="R408" s="331">
        <f>ELECTROLYSIS!$N$44</f>
        <v>27000</v>
      </c>
      <c r="S408" s="331">
        <f>ELECTROLYSIS!$N$44</f>
        <v>27000</v>
      </c>
    </row>
    <row r="409" spans="2:19" x14ac:dyDescent="0.25">
      <c r="B409" s="316"/>
      <c r="C409" s="325" t="s">
        <v>1405</v>
      </c>
      <c r="D409" s="310" t="s">
        <v>563</v>
      </c>
      <c r="E409" s="310" t="s">
        <v>864</v>
      </c>
      <c r="F409" s="310" t="s">
        <v>562</v>
      </c>
      <c r="G409" s="331">
        <f t="shared" si="57"/>
        <v>62989987.597081833</v>
      </c>
      <c r="H409" s="310"/>
      <c r="J409" s="331">
        <f>ELECTROLYSIS!$T$13</f>
        <v>62989987.597081833</v>
      </c>
      <c r="K409" s="331">
        <f>ELECTROLYSIS!$T$13</f>
        <v>62989987.597081833</v>
      </c>
      <c r="L409" s="331">
        <f>ELECTROLYSIS!$T$13</f>
        <v>62989987.597081833</v>
      </c>
      <c r="N409" s="331">
        <f>ELECTROLYSIS!$T$13</f>
        <v>62989987.597081833</v>
      </c>
      <c r="O409" s="331">
        <f>ELECTROLYSIS!$T$13</f>
        <v>62989987.597081833</v>
      </c>
      <c r="Q409" s="331">
        <f>ELECTROLYSIS!$T$13</f>
        <v>62989987.597081833</v>
      </c>
      <c r="R409" s="331">
        <f>ELECTROLYSIS!$T$13</f>
        <v>62989987.597081833</v>
      </c>
      <c r="S409" s="331">
        <f>ELECTROLYSIS!$T$13</f>
        <v>62989987.597081833</v>
      </c>
    </row>
    <row r="410" spans="2:19" s="962" customFormat="1" x14ac:dyDescent="0.25">
      <c r="B410" s="1328"/>
      <c r="C410" s="901" t="s">
        <v>1405</v>
      </c>
      <c r="D410" s="901" t="s">
        <v>563</v>
      </c>
      <c r="E410" s="901" t="s">
        <v>1742</v>
      </c>
      <c r="F410" s="901" t="s">
        <v>562</v>
      </c>
      <c r="G410" s="965">
        <f t="shared" si="57"/>
        <v>12133815.904197609</v>
      </c>
      <c r="H410" s="901"/>
      <c r="J410" s="1327">
        <f>ELECTROLYSIS!$T$15</f>
        <v>12133815.904197609</v>
      </c>
      <c r="K410" s="1327">
        <f>ELECTROLYSIS!$T$15</f>
        <v>12133815.904197609</v>
      </c>
      <c r="L410" s="1327">
        <f>ELECTROLYSIS!$T$15</f>
        <v>12133815.904197609</v>
      </c>
      <c r="N410" s="1327">
        <f>ELECTROLYSIS!$T$15</f>
        <v>12133815.904197609</v>
      </c>
      <c r="O410" s="1327">
        <f>ELECTROLYSIS!$T$15</f>
        <v>12133815.904197609</v>
      </c>
      <c r="Q410" s="1327">
        <f>ELECTROLYSIS!$T$15</f>
        <v>12133815.904197609</v>
      </c>
      <c r="R410" s="1327">
        <f>ELECTROLYSIS!$T$15</f>
        <v>12133815.904197609</v>
      </c>
      <c r="S410" s="1327">
        <f>ELECTROLYSIS!$T$15</f>
        <v>12133815.904197609</v>
      </c>
    </row>
    <row r="411" spans="2:19" x14ac:dyDescent="0.25">
      <c r="B411" s="316"/>
      <c r="C411" s="325" t="s">
        <v>1405</v>
      </c>
      <c r="D411" s="310" t="s">
        <v>563</v>
      </c>
      <c r="E411" s="310" t="s">
        <v>865</v>
      </c>
      <c r="F411" s="310" t="s">
        <v>914</v>
      </c>
      <c r="G411" s="331">
        <f t="shared" si="57"/>
        <v>1574749.689927046</v>
      </c>
      <c r="H411" s="310"/>
      <c r="J411" s="331">
        <f>ELECTROLYSIS!$T$14</f>
        <v>1574749.689927046</v>
      </c>
      <c r="K411" s="331">
        <f>ELECTROLYSIS!$T$14</f>
        <v>1574749.689927046</v>
      </c>
      <c r="L411" s="331">
        <f>ELECTROLYSIS!$T$14</f>
        <v>1574749.689927046</v>
      </c>
      <c r="N411" s="331">
        <f>ELECTROLYSIS!$T$14</f>
        <v>1574749.689927046</v>
      </c>
      <c r="O411" s="331">
        <f>ELECTROLYSIS!$T$14</f>
        <v>1574749.689927046</v>
      </c>
      <c r="Q411" s="331">
        <f>ELECTROLYSIS!$T$14</f>
        <v>1574749.689927046</v>
      </c>
      <c r="R411" s="331">
        <f>ELECTROLYSIS!$T$14</f>
        <v>1574749.689927046</v>
      </c>
      <c r="S411" s="331">
        <f>ELECTROLYSIS!$T$14</f>
        <v>1574749.689927046</v>
      </c>
    </row>
    <row r="412" spans="2:19" x14ac:dyDescent="0.25">
      <c r="B412" s="316"/>
      <c r="C412" s="325" t="s">
        <v>1405</v>
      </c>
      <c r="D412" s="325" t="s">
        <v>563</v>
      </c>
      <c r="E412" s="327" t="s">
        <v>1242</v>
      </c>
      <c r="F412" s="742" t="s">
        <v>914</v>
      </c>
      <c r="G412" s="331">
        <f t="shared" si="57"/>
        <v>12133815.904197609</v>
      </c>
      <c r="H412" s="325"/>
      <c r="J412" s="331">
        <f>ELECTROLYSIS!$T$15</f>
        <v>12133815.904197609</v>
      </c>
      <c r="K412" s="331">
        <f>ELECTROLYSIS!$T$15</f>
        <v>12133815.904197609</v>
      </c>
      <c r="L412" s="331">
        <f>ELECTROLYSIS!$T$15</f>
        <v>12133815.904197609</v>
      </c>
      <c r="N412" s="331">
        <f>ELECTROLYSIS!$T$15</f>
        <v>12133815.904197609</v>
      </c>
      <c r="O412" s="331">
        <f>ELECTROLYSIS!$T$15</f>
        <v>12133815.904197609</v>
      </c>
      <c r="Q412" s="331">
        <f>ELECTROLYSIS!$T$15</f>
        <v>12133815.904197609</v>
      </c>
      <c r="R412" s="331">
        <f>ELECTROLYSIS!$T$15</f>
        <v>12133815.904197609</v>
      </c>
      <c r="S412" s="331">
        <f>ELECTROLYSIS!$T$15</f>
        <v>12133815.904197609</v>
      </c>
    </row>
    <row r="413" spans="2:19" x14ac:dyDescent="0.25">
      <c r="B413" s="316"/>
      <c r="C413" s="325" t="s">
        <v>1405</v>
      </c>
      <c r="D413" s="325" t="s">
        <v>563</v>
      </c>
      <c r="E413" s="327" t="str">
        <f>ELECTROLYSIS!S17</f>
        <v>Total electrolyser weigth</v>
      </c>
      <c r="F413" s="742" t="str">
        <f>ELECTROLYSIS!U17</f>
        <v>ton</v>
      </c>
      <c r="G413" s="331">
        <f t="shared" si="57"/>
        <v>1485.472</v>
      </c>
      <c r="H413" s="325"/>
      <c r="J413" s="975">
        <f>ELECTROLYSIS!$T$17</f>
        <v>1485.472</v>
      </c>
      <c r="K413" s="975">
        <f>ELECTROLYSIS!$T$17</f>
        <v>1485.472</v>
      </c>
      <c r="L413" s="975">
        <f>ELECTROLYSIS!$T$17</f>
        <v>1485.472</v>
      </c>
      <c r="M413" s="959"/>
      <c r="N413" s="975">
        <f>ELECTROLYSIS!$T$17</f>
        <v>1485.472</v>
      </c>
      <c r="O413" s="975">
        <f>ELECTROLYSIS!$T$17</f>
        <v>1485.472</v>
      </c>
      <c r="P413" s="959"/>
      <c r="Q413" s="975">
        <f>ELECTROLYSIS!$T$17</f>
        <v>1485.472</v>
      </c>
      <c r="R413" s="975">
        <f>ELECTROLYSIS!$T$17</f>
        <v>1485.472</v>
      </c>
      <c r="S413" s="975">
        <f>ELECTROLYSIS!$T$17</f>
        <v>1485.472</v>
      </c>
    </row>
    <row r="414" spans="2:19" x14ac:dyDescent="0.25">
      <c r="B414" s="316"/>
      <c r="C414" s="325" t="s">
        <v>1405</v>
      </c>
      <c r="D414" s="325" t="s">
        <v>563</v>
      </c>
      <c r="E414" s="327" t="str">
        <f>ELECTROLYSIS!S18</f>
        <v>Total electrolyser area</v>
      </c>
      <c r="F414" s="742" t="str">
        <f>ELECTROLYSIS!U18</f>
        <v>m²</v>
      </c>
      <c r="G414" s="331">
        <f t="shared" si="57"/>
        <v>1019.9999999999999</v>
      </c>
      <c r="H414" s="325"/>
      <c r="J414" s="975">
        <f>ELECTROLYSIS!$T$18</f>
        <v>1019.9999999999999</v>
      </c>
      <c r="K414" s="975">
        <f>ELECTROLYSIS!$T$18</f>
        <v>1019.9999999999999</v>
      </c>
      <c r="L414" s="975">
        <f>ELECTROLYSIS!$T$18</f>
        <v>1019.9999999999999</v>
      </c>
      <c r="M414" s="959"/>
      <c r="N414" s="975">
        <f>ELECTROLYSIS!$T$18</f>
        <v>1019.9999999999999</v>
      </c>
      <c r="O414" s="975">
        <f>ELECTROLYSIS!$T$18</f>
        <v>1019.9999999999999</v>
      </c>
      <c r="P414" s="959"/>
      <c r="Q414" s="975">
        <f>ELECTROLYSIS!$T$18</f>
        <v>1019.9999999999999</v>
      </c>
      <c r="R414" s="975">
        <f>ELECTROLYSIS!$T$18</f>
        <v>1019.9999999999999</v>
      </c>
      <c r="S414" s="975">
        <f>ELECTROLYSIS!$T$18</f>
        <v>1019.9999999999999</v>
      </c>
    </row>
    <row r="415" spans="2:19" x14ac:dyDescent="0.25">
      <c r="B415" s="316"/>
      <c r="C415" s="325" t="s">
        <v>1405</v>
      </c>
      <c r="D415" s="310" t="s">
        <v>563</v>
      </c>
      <c r="E415" s="310" t="s">
        <v>773</v>
      </c>
      <c r="F415" s="310" t="s">
        <v>653</v>
      </c>
      <c r="G415" s="332">
        <f t="shared" si="57"/>
        <v>8.9999999999999993E-3</v>
      </c>
      <c r="H415" s="310" t="s">
        <v>855</v>
      </c>
      <c r="J415" s="332">
        <f>18/2000</f>
        <v>8.9999999999999993E-3</v>
      </c>
      <c r="K415" s="332">
        <f>18/2000</f>
        <v>8.9999999999999993E-3</v>
      </c>
      <c r="L415" s="332">
        <f>18/2000</f>
        <v>8.9999999999999993E-3</v>
      </c>
      <c r="N415" s="332">
        <f>18/2000</f>
        <v>8.9999999999999993E-3</v>
      </c>
      <c r="O415" s="332">
        <f>18/2000</f>
        <v>8.9999999999999993E-3</v>
      </c>
      <c r="Q415" s="332">
        <f>18/2000</f>
        <v>8.9999999999999993E-3</v>
      </c>
      <c r="R415" s="332">
        <f>18/2000</f>
        <v>8.9999999999999993E-3</v>
      </c>
      <c r="S415" s="332">
        <f>18/2000</f>
        <v>8.9999999999999993E-3</v>
      </c>
    </row>
    <row r="416" spans="2:19" x14ac:dyDescent="0.25">
      <c r="B416" s="316"/>
      <c r="C416" s="325" t="s">
        <v>1405</v>
      </c>
      <c r="D416" s="325" t="s">
        <v>563</v>
      </c>
      <c r="E416" s="325" t="s">
        <v>1249</v>
      </c>
      <c r="F416" s="325" t="s">
        <v>1250</v>
      </c>
      <c r="G416" s="1065">
        <f t="shared" si="57"/>
        <v>1.4184761827336497E-3</v>
      </c>
      <c r="H416" s="325" t="s">
        <v>1251</v>
      </c>
      <c r="J416" s="970">
        <f>(PI()*((0.927/2)^2+(1.226/2)^2)+2.4*1)/3000</f>
        <v>1.4184761827336497E-3</v>
      </c>
      <c r="K416" s="970">
        <f>(PI()*((0.927/2)^2+(1.226/2)^2)+2.4*1)/3000</f>
        <v>1.4184761827336497E-3</v>
      </c>
      <c r="L416" s="970">
        <f>(PI()*((0.927/2)^2+(1.226/2)^2)+2.4*1)/3000</f>
        <v>1.4184761827336497E-3</v>
      </c>
      <c r="M416" s="1066"/>
      <c r="N416" s="970">
        <f>(PI()*((0.927/2)^2+(1.226/2)^2)+2.4*1)/3000</f>
        <v>1.4184761827336497E-3</v>
      </c>
      <c r="O416" s="970">
        <f>(PI()*((0.927/2)^2+(1.226/2)^2)+2.4*1)/3000</f>
        <v>1.4184761827336497E-3</v>
      </c>
      <c r="P416" s="1066"/>
      <c r="Q416" s="970">
        <f>(PI()*((0.927/2)^2+(1.226/2)^2)+2.4*1)/3000</f>
        <v>1.4184761827336497E-3</v>
      </c>
      <c r="R416" s="970">
        <f>(PI()*((0.927/2)^2+(1.226/2)^2)+2.4*1)/3000</f>
        <v>1.4184761827336497E-3</v>
      </c>
      <c r="S416" s="970">
        <f>(PI()*((0.927/2)^2+(1.226/2)^2)+2.4*1)/3000</f>
        <v>1.4184761827336497E-3</v>
      </c>
    </row>
    <row r="417" spans="2:19" x14ac:dyDescent="0.25">
      <c r="B417" s="316"/>
      <c r="C417" s="325" t="s">
        <v>1405</v>
      </c>
      <c r="D417" s="310" t="s">
        <v>563</v>
      </c>
      <c r="E417" s="310" t="s">
        <v>892</v>
      </c>
      <c r="F417" s="310" t="s">
        <v>1454</v>
      </c>
      <c r="G417" s="332">
        <f t="shared" si="57"/>
        <v>31.200000000000003</v>
      </c>
      <c r="H417" s="325" t="s">
        <v>1455</v>
      </c>
      <c r="J417" s="332">
        <f>48000/2000*1.3</f>
        <v>31.200000000000003</v>
      </c>
      <c r="K417" s="332">
        <f>48000/2000*1.3</f>
        <v>31.200000000000003</v>
      </c>
      <c r="L417" s="332">
        <f>48000/2000*1.3</f>
        <v>31.200000000000003</v>
      </c>
      <c r="N417" s="332">
        <f>48000/2000*1.3</f>
        <v>31.200000000000003</v>
      </c>
      <c r="O417" s="332">
        <f>48000/2000*1.3</f>
        <v>31.200000000000003</v>
      </c>
      <c r="Q417" s="332">
        <f>48000/2000*1.3</f>
        <v>31.200000000000003</v>
      </c>
      <c r="R417" s="332">
        <f>48000/2000*1.3</f>
        <v>31.200000000000003</v>
      </c>
      <c r="S417" s="332">
        <f>48000/2000*1.3</f>
        <v>31.200000000000003</v>
      </c>
    </row>
    <row r="418" spans="2:19" x14ac:dyDescent="0.25">
      <c r="B418" s="316"/>
      <c r="C418" s="325" t="s">
        <v>1405</v>
      </c>
      <c r="D418" s="310" t="s">
        <v>563</v>
      </c>
      <c r="E418" s="310" t="s">
        <v>893</v>
      </c>
      <c r="F418" s="310" t="s">
        <v>1122</v>
      </c>
      <c r="G418" s="330">
        <f t="shared" si="57"/>
        <v>2.5000000000000001E-2</v>
      </c>
      <c r="H418" s="310"/>
      <c r="J418" s="330">
        <v>2.5000000000000001E-2</v>
      </c>
      <c r="K418" s="330">
        <v>2.5000000000000001E-2</v>
      </c>
      <c r="L418" s="330">
        <v>2.5000000000000001E-2</v>
      </c>
      <c r="N418" s="330">
        <v>2.5000000000000001E-2</v>
      </c>
      <c r="O418" s="330">
        <v>2.5000000000000001E-2</v>
      </c>
      <c r="Q418" s="330">
        <v>2.5000000000000001E-2</v>
      </c>
      <c r="R418" s="330">
        <v>2.5000000000000001E-2</v>
      </c>
      <c r="S418" s="330">
        <v>2.5000000000000001E-2</v>
      </c>
    </row>
    <row r="419" spans="2:19" x14ac:dyDescent="0.25">
      <c r="B419" s="316"/>
      <c r="C419" s="325" t="s">
        <v>1405</v>
      </c>
      <c r="D419" s="310" t="s">
        <v>563</v>
      </c>
      <c r="E419" s="327" t="str">
        <f>ELECTROLYSIS!Q43</f>
        <v>Power requirement desalination unit</v>
      </c>
      <c r="F419" s="310" t="str">
        <f>ELECTROLYSIS!S43</f>
        <v>MW</v>
      </c>
      <c r="G419" s="331">
        <f t="shared" si="57"/>
        <v>0.24299999999999997</v>
      </c>
      <c r="H419" s="310"/>
      <c r="J419" s="331">
        <f>ELECTROLYSIS!$R$43</f>
        <v>0.24299999999999997</v>
      </c>
      <c r="K419" s="331">
        <f>ELECTROLYSIS!$R$43</f>
        <v>0.24299999999999997</v>
      </c>
      <c r="L419" s="331">
        <f>ELECTROLYSIS!$R$43</f>
        <v>0.24299999999999997</v>
      </c>
      <c r="N419" s="331">
        <f>ELECTROLYSIS!$R$43</f>
        <v>0.24299999999999997</v>
      </c>
      <c r="O419" s="331">
        <f>ELECTROLYSIS!$R$43</f>
        <v>0.24299999999999997</v>
      </c>
      <c r="Q419" s="331">
        <f>ELECTROLYSIS!$R$43</f>
        <v>0.24299999999999997</v>
      </c>
      <c r="R419" s="331">
        <f>ELECTROLYSIS!$R$43</f>
        <v>0.24299999999999997</v>
      </c>
      <c r="S419" s="331">
        <f>ELECTROLYSIS!$R$43</f>
        <v>0.24299999999999997</v>
      </c>
    </row>
    <row r="420" spans="2:19" x14ac:dyDescent="0.25">
      <c r="B420" s="316"/>
      <c r="C420" s="325" t="s">
        <v>1405</v>
      </c>
      <c r="D420" s="310" t="s">
        <v>563</v>
      </c>
      <c r="E420" s="310" t="s">
        <v>863</v>
      </c>
      <c r="F420" s="310" t="s">
        <v>836</v>
      </c>
      <c r="G420" s="331">
        <f t="shared" si="57"/>
        <v>913.08860444305901</v>
      </c>
      <c r="H420" s="310"/>
      <c r="J420" s="331">
        <f>ELECTROLYSIS!$T$10</f>
        <v>913.08860444305901</v>
      </c>
      <c r="K420" s="331">
        <f>ELECTROLYSIS!$T$10</f>
        <v>913.08860444305901</v>
      </c>
      <c r="L420" s="331">
        <f>ELECTROLYSIS!$T$10</f>
        <v>913.08860444305901</v>
      </c>
      <c r="N420" s="331">
        <f>ELECTROLYSIS!$T$10</f>
        <v>913.08860444305901</v>
      </c>
      <c r="O420" s="331">
        <f>ELECTROLYSIS!$T$10</f>
        <v>913.08860444305901</v>
      </c>
      <c r="Q420" s="331">
        <f>ELECTROLYSIS!$T$10</f>
        <v>913.08860444305901</v>
      </c>
      <c r="R420" s="331">
        <f>ELECTROLYSIS!$T$10</f>
        <v>913.08860444305901</v>
      </c>
      <c r="S420" s="331">
        <f>ELECTROLYSIS!$T$10</f>
        <v>913.08860444305901</v>
      </c>
    </row>
    <row r="421" spans="2:19" x14ac:dyDescent="0.25">
      <c r="B421" s="316"/>
      <c r="C421" s="325" t="s">
        <v>1405</v>
      </c>
      <c r="D421" s="310" t="s">
        <v>563</v>
      </c>
      <c r="E421" s="310" t="s">
        <v>1123</v>
      </c>
      <c r="F421" s="310" t="s">
        <v>928</v>
      </c>
      <c r="G421" s="331">
        <f t="shared" si="57"/>
        <v>842400.00000000012</v>
      </c>
      <c r="H421" s="310"/>
      <c r="J421" s="331">
        <f>ELECTROLYSIS!$T$8</f>
        <v>842400.00000000012</v>
      </c>
      <c r="K421" s="331">
        <f>ELECTROLYSIS!$T$8</f>
        <v>842400.00000000012</v>
      </c>
      <c r="L421" s="331">
        <f>ELECTROLYSIS!$T$8</f>
        <v>842400.00000000012</v>
      </c>
      <c r="N421" s="331">
        <f>ELECTROLYSIS!$T$8</f>
        <v>842400.00000000012</v>
      </c>
      <c r="O421" s="331">
        <f>ELECTROLYSIS!$T$8</f>
        <v>842400.00000000012</v>
      </c>
      <c r="Q421" s="331">
        <f>ELECTROLYSIS!$T$8</f>
        <v>842400.00000000012</v>
      </c>
      <c r="R421" s="331">
        <f>ELECTROLYSIS!$T$8</f>
        <v>842400.00000000012</v>
      </c>
      <c r="S421" s="331">
        <f>ELECTROLYSIS!$T$8</f>
        <v>842400.00000000012</v>
      </c>
    </row>
    <row r="422" spans="2:19" x14ac:dyDescent="0.25">
      <c r="B422" s="316"/>
      <c r="C422" s="325" t="s">
        <v>1405</v>
      </c>
      <c r="D422" s="310" t="s">
        <v>563</v>
      </c>
      <c r="E422" s="310" t="s">
        <v>861</v>
      </c>
      <c r="F422" s="310" t="s">
        <v>914</v>
      </c>
      <c r="G422" s="331">
        <f t="shared" si="57"/>
        <v>21060.000000000004</v>
      </c>
      <c r="H422" s="310" t="s">
        <v>792</v>
      </c>
      <c r="J422" s="331">
        <f>ELECTROLYSIS!$T$9</f>
        <v>21060.000000000004</v>
      </c>
      <c r="K422" s="331">
        <f>ELECTROLYSIS!$T$9</f>
        <v>21060.000000000004</v>
      </c>
      <c r="L422" s="331">
        <f>ELECTROLYSIS!$T$9</f>
        <v>21060.000000000004</v>
      </c>
      <c r="N422" s="331">
        <f>ELECTROLYSIS!$T$9</f>
        <v>21060.000000000004</v>
      </c>
      <c r="O422" s="331">
        <f>ELECTROLYSIS!$T$9</f>
        <v>21060.000000000004</v>
      </c>
      <c r="Q422" s="331">
        <f>ELECTROLYSIS!$T$9</f>
        <v>21060.000000000004</v>
      </c>
      <c r="R422" s="331">
        <f>ELECTROLYSIS!$T$9</f>
        <v>21060.000000000004</v>
      </c>
      <c r="S422" s="331">
        <f>ELECTROLYSIS!$T$9</f>
        <v>21060.000000000004</v>
      </c>
    </row>
    <row r="423" spans="2:19" x14ac:dyDescent="0.25">
      <c r="B423" s="316"/>
      <c r="C423" s="325" t="s">
        <v>1405</v>
      </c>
      <c r="D423" s="325" t="s">
        <v>563</v>
      </c>
      <c r="E423" s="327" t="str">
        <f>ELECTROLYSIS!S19</f>
        <v>Total desalination unit area</v>
      </c>
      <c r="F423" s="327" t="str">
        <f>ELECTROLYSIS!U19</f>
        <v>m²</v>
      </c>
      <c r="G423" s="331">
        <f t="shared" si="57"/>
        <v>38.298856933808544</v>
      </c>
      <c r="H423" s="325"/>
      <c r="J423" s="350">
        <f>ELECTROLYSIS!$T$19</f>
        <v>38.298856933808544</v>
      </c>
      <c r="K423" s="350">
        <f>ELECTROLYSIS!$T$19</f>
        <v>38.298856933808544</v>
      </c>
      <c r="L423" s="350">
        <f>ELECTROLYSIS!$T$19</f>
        <v>38.298856933808544</v>
      </c>
      <c r="M423" s="959"/>
      <c r="N423" s="350">
        <f>ELECTROLYSIS!$T$19</f>
        <v>38.298856933808544</v>
      </c>
      <c r="O423" s="350">
        <f>ELECTROLYSIS!$T$19</f>
        <v>38.298856933808544</v>
      </c>
      <c r="P423" s="959"/>
      <c r="Q423" s="350">
        <f>ELECTROLYSIS!$T$19</f>
        <v>38.298856933808544</v>
      </c>
      <c r="R423" s="350">
        <f>ELECTROLYSIS!$T$19</f>
        <v>38.298856933808544</v>
      </c>
      <c r="S423" s="350">
        <f>ELECTROLYSIS!$T$19</f>
        <v>38.298856933808544</v>
      </c>
    </row>
    <row r="424" spans="2:19" x14ac:dyDescent="0.25">
      <c r="B424" s="316"/>
      <c r="C424" s="325" t="s">
        <v>1405</v>
      </c>
      <c r="D424" s="325" t="s">
        <v>563</v>
      </c>
      <c r="E424" s="327" t="str">
        <f>ELECTROLYSIS!S20</f>
        <v>Total desalination unit weight</v>
      </c>
      <c r="F424" s="327" t="str">
        <f>ELECTROLYSIS!U20</f>
        <v>ton</v>
      </c>
      <c r="G424" s="331">
        <f t="shared" si="57"/>
        <v>55.776352556057304</v>
      </c>
      <c r="H424" s="325"/>
      <c r="J424" s="350">
        <f>ELECTROLYSIS!$T$20</f>
        <v>55.776352556057304</v>
      </c>
      <c r="K424" s="350">
        <f>ELECTROLYSIS!$T$20</f>
        <v>55.776352556057304</v>
      </c>
      <c r="L424" s="350">
        <f>ELECTROLYSIS!$T$20</f>
        <v>55.776352556057304</v>
      </c>
      <c r="M424" s="966"/>
      <c r="N424" s="350">
        <f>ELECTROLYSIS!$T$20</f>
        <v>55.776352556057304</v>
      </c>
      <c r="O424" s="350">
        <f>ELECTROLYSIS!$T$20</f>
        <v>55.776352556057304</v>
      </c>
      <c r="P424" s="966"/>
      <c r="Q424" s="350">
        <f>ELECTROLYSIS!$T$20</f>
        <v>55.776352556057304</v>
      </c>
      <c r="R424" s="350">
        <f>ELECTROLYSIS!$T$20</f>
        <v>55.776352556057304</v>
      </c>
      <c r="S424" s="350">
        <f>ELECTROLYSIS!$T$20</f>
        <v>55.776352556057304</v>
      </c>
    </row>
    <row r="425" spans="2:19" x14ac:dyDescent="0.25">
      <c r="B425" s="316"/>
      <c r="C425" s="325" t="s">
        <v>1405</v>
      </c>
      <c r="D425" s="310" t="s">
        <v>18</v>
      </c>
      <c r="E425" s="310" t="s">
        <v>775</v>
      </c>
      <c r="F425" s="310" t="s">
        <v>558</v>
      </c>
      <c r="G425" s="331">
        <f t="shared" si="57"/>
        <v>35</v>
      </c>
      <c r="H425" s="310" t="s">
        <v>776</v>
      </c>
      <c r="J425" s="331">
        <f>J394</f>
        <v>35</v>
      </c>
      <c r="K425" s="331">
        <f>K394</f>
        <v>35</v>
      </c>
      <c r="L425" s="331">
        <f>L394</f>
        <v>35</v>
      </c>
      <c r="N425" s="331">
        <f>N394</f>
        <v>35</v>
      </c>
      <c r="O425" s="331">
        <f>O394</f>
        <v>35</v>
      </c>
      <c r="Q425" s="331">
        <f>Q394</f>
        <v>35</v>
      </c>
      <c r="R425" s="331">
        <f>R394</f>
        <v>35</v>
      </c>
      <c r="S425" s="331">
        <f>S394</f>
        <v>35</v>
      </c>
    </row>
    <row r="426" spans="2:19" x14ac:dyDescent="0.25">
      <c r="B426" s="316"/>
      <c r="C426" s="325" t="s">
        <v>1405</v>
      </c>
      <c r="D426" s="310" t="s">
        <v>18</v>
      </c>
      <c r="E426" s="1322" t="s">
        <v>813</v>
      </c>
      <c r="F426" s="310" t="s">
        <v>558</v>
      </c>
      <c r="G426" s="688">
        <f t="shared" si="57"/>
        <v>100</v>
      </c>
      <c r="H426" s="310" t="s">
        <v>814</v>
      </c>
      <c r="J426" s="688">
        <v>100</v>
      </c>
      <c r="K426" s="688">
        <v>100</v>
      </c>
      <c r="L426" s="688">
        <v>100</v>
      </c>
      <c r="N426" s="688">
        <v>100</v>
      </c>
      <c r="O426" s="688">
        <v>100</v>
      </c>
      <c r="Q426" s="688">
        <v>100</v>
      </c>
      <c r="R426" s="688">
        <v>100</v>
      </c>
      <c r="S426" s="688">
        <v>100</v>
      </c>
    </row>
    <row r="427" spans="2:19" x14ac:dyDescent="0.25">
      <c r="B427" s="316"/>
      <c r="C427" s="325" t="s">
        <v>1405</v>
      </c>
      <c r="D427" s="310" t="s">
        <v>18</v>
      </c>
      <c r="E427" s="334" t="s">
        <v>815</v>
      </c>
      <c r="F427" s="310" t="s">
        <v>757</v>
      </c>
      <c r="G427" s="332">
        <f t="shared" si="57"/>
        <v>2</v>
      </c>
      <c r="H427" s="310"/>
      <c r="J427" s="332">
        <v>2</v>
      </c>
      <c r="K427" s="332">
        <v>2</v>
      </c>
      <c r="L427" s="332">
        <v>2</v>
      </c>
      <c r="N427" s="332">
        <v>2</v>
      </c>
      <c r="O427" s="332">
        <v>2</v>
      </c>
      <c r="Q427" s="332">
        <v>2</v>
      </c>
      <c r="R427" s="332">
        <v>2</v>
      </c>
      <c r="S427" s="332">
        <v>2</v>
      </c>
    </row>
    <row r="428" spans="2:19" x14ac:dyDescent="0.25">
      <c r="B428" s="316"/>
      <c r="C428" s="325" t="s">
        <v>1405</v>
      </c>
      <c r="D428" s="310" t="s">
        <v>18</v>
      </c>
      <c r="E428" s="334" t="s">
        <v>816</v>
      </c>
      <c r="F428" s="310" t="s">
        <v>557</v>
      </c>
      <c r="G428" s="332">
        <f t="shared" si="57"/>
        <v>273</v>
      </c>
      <c r="H428" s="310"/>
      <c r="J428" s="332">
        <v>273</v>
      </c>
      <c r="K428" s="332">
        <v>273</v>
      </c>
      <c r="L428" s="332">
        <v>273</v>
      </c>
      <c r="N428" s="332">
        <v>273</v>
      </c>
      <c r="O428" s="332">
        <v>273</v>
      </c>
      <c r="Q428" s="332">
        <v>273</v>
      </c>
      <c r="R428" s="332">
        <v>273</v>
      </c>
      <c r="S428" s="332">
        <v>273</v>
      </c>
    </row>
    <row r="429" spans="2:19" x14ac:dyDescent="0.25">
      <c r="B429" s="316"/>
      <c r="C429" s="325" t="s">
        <v>1405</v>
      </c>
      <c r="D429" s="310" t="s">
        <v>18</v>
      </c>
      <c r="E429" s="310" t="s">
        <v>780</v>
      </c>
      <c r="F429" s="310" t="s">
        <v>11</v>
      </c>
      <c r="G429" s="329">
        <f t="shared" si="57"/>
        <v>0.75</v>
      </c>
      <c r="H429" s="310"/>
      <c r="J429" s="329">
        <v>0.75</v>
      </c>
      <c r="K429" s="329">
        <v>0.75</v>
      </c>
      <c r="L429" s="329">
        <v>0.75</v>
      </c>
      <c r="N429" s="329">
        <v>0.75</v>
      </c>
      <c r="O429" s="329">
        <v>0.75</v>
      </c>
      <c r="Q429" s="329">
        <v>0.75</v>
      </c>
      <c r="R429" s="329">
        <v>0.75</v>
      </c>
      <c r="S429" s="329">
        <v>0.75</v>
      </c>
    </row>
    <row r="430" spans="2:19" x14ac:dyDescent="0.25">
      <c r="B430" s="316"/>
      <c r="C430" s="325" t="s">
        <v>1405</v>
      </c>
      <c r="D430" s="310" t="s">
        <v>18</v>
      </c>
      <c r="E430" s="310" t="s">
        <v>783</v>
      </c>
      <c r="F430" s="310" t="s">
        <v>11</v>
      </c>
      <c r="G430" s="329">
        <f t="shared" si="57"/>
        <v>0.9</v>
      </c>
      <c r="H430" s="310"/>
      <c r="J430" s="329">
        <v>0.9</v>
      </c>
      <c r="K430" s="329">
        <v>0.9</v>
      </c>
      <c r="L430" s="329">
        <v>0.9</v>
      </c>
      <c r="N430" s="329">
        <v>0.9</v>
      </c>
      <c r="O430" s="329">
        <v>0.9</v>
      </c>
      <c r="Q430" s="329">
        <v>0.9</v>
      </c>
      <c r="R430" s="329">
        <v>0.9</v>
      </c>
      <c r="S430" s="329">
        <v>0.9</v>
      </c>
    </row>
    <row r="431" spans="2:19" x14ac:dyDescent="0.25">
      <c r="B431" s="316"/>
      <c r="C431" s="325" t="s">
        <v>1405</v>
      </c>
      <c r="D431" s="310" t="s">
        <v>18</v>
      </c>
      <c r="E431" s="310" t="s">
        <v>581</v>
      </c>
      <c r="F431" s="310" t="s">
        <v>11</v>
      </c>
      <c r="G431" s="417">
        <f t="shared" si="57"/>
        <v>3.8E-3</v>
      </c>
      <c r="H431" s="310" t="s">
        <v>785</v>
      </c>
      <c r="J431" s="417">
        <v>3.8E-3</v>
      </c>
      <c r="K431" s="417">
        <v>3.8E-3</v>
      </c>
      <c r="L431" s="417">
        <v>3.8E-3</v>
      </c>
      <c r="N431" s="417">
        <v>3.8E-3</v>
      </c>
      <c r="O431" s="417">
        <v>3.8E-3</v>
      </c>
      <c r="Q431" s="417">
        <v>3.8E-3</v>
      </c>
      <c r="R431" s="417">
        <v>3.8E-3</v>
      </c>
      <c r="S431" s="417">
        <v>3.8E-3</v>
      </c>
    </row>
    <row r="432" spans="2:19" ht="18" x14ac:dyDescent="0.35">
      <c r="B432" s="316"/>
      <c r="C432" s="325" t="s">
        <v>1405</v>
      </c>
      <c r="D432" s="310" t="s">
        <v>18</v>
      </c>
      <c r="E432" s="310" t="s">
        <v>888</v>
      </c>
      <c r="F432" s="310" t="s">
        <v>869</v>
      </c>
      <c r="G432" s="328">
        <f t="shared" si="57"/>
        <v>1913.5338345864661</v>
      </c>
      <c r="H432" s="310"/>
      <c r="J432" s="328">
        <f>2545/1.33</f>
        <v>1913.5338345864661</v>
      </c>
      <c r="K432" s="328">
        <f>2545/1.33</f>
        <v>1913.5338345864661</v>
      </c>
      <c r="L432" s="328">
        <f>2545/1.33</f>
        <v>1913.5338345864661</v>
      </c>
      <c r="N432" s="328">
        <f>2545/1.33</f>
        <v>1913.5338345864661</v>
      </c>
      <c r="O432" s="328">
        <f>2545/1.33</f>
        <v>1913.5338345864661</v>
      </c>
      <c r="Q432" s="328">
        <f>2545/1.33</f>
        <v>1913.5338345864661</v>
      </c>
      <c r="R432" s="328">
        <f>2545/1.33</f>
        <v>1913.5338345864661</v>
      </c>
      <c r="S432" s="328">
        <f>2545/1.33</f>
        <v>1913.5338345864661</v>
      </c>
    </row>
    <row r="433" spans="2:19" x14ac:dyDescent="0.25">
      <c r="B433" s="316"/>
      <c r="C433" s="325" t="s">
        <v>1405</v>
      </c>
      <c r="D433" s="310" t="s">
        <v>18</v>
      </c>
      <c r="E433" s="1316" t="s">
        <v>889</v>
      </c>
      <c r="F433" s="310" t="s">
        <v>11</v>
      </c>
      <c r="G433" s="420">
        <f t="shared" si="57"/>
        <v>2.5000000000000001E-2</v>
      </c>
      <c r="H433" s="310"/>
      <c r="J433" s="420">
        <v>2.5000000000000001E-2</v>
      </c>
      <c r="K433" s="420">
        <v>2.5000000000000001E-2</v>
      </c>
      <c r="L433" s="420">
        <v>2.5000000000000001E-2</v>
      </c>
      <c r="N433" s="420">
        <v>2.5000000000000001E-2</v>
      </c>
      <c r="O433" s="420">
        <v>2.5000000000000001E-2</v>
      </c>
      <c r="Q433" s="420">
        <v>2.5000000000000001E-2</v>
      </c>
      <c r="R433" s="420">
        <v>2.5000000000000001E-2</v>
      </c>
      <c r="S433" s="420">
        <v>2.5000000000000001E-2</v>
      </c>
    </row>
    <row r="434" spans="2:19" x14ac:dyDescent="0.25">
      <c r="B434" s="316"/>
      <c r="C434" s="325" t="s">
        <v>1405</v>
      </c>
      <c r="D434" s="325" t="s">
        <v>18</v>
      </c>
      <c r="E434" s="325" t="s">
        <v>1554</v>
      </c>
      <c r="F434" s="325" t="s">
        <v>1528</v>
      </c>
      <c r="G434" s="328">
        <f t="shared" si="57"/>
        <v>79.775518480642788</v>
      </c>
      <c r="H434" s="325" t="s">
        <v>1557</v>
      </c>
      <c r="J434" s="328">
        <v>79.775518480642788</v>
      </c>
      <c r="K434" s="328">
        <v>79.775518480642788</v>
      </c>
      <c r="L434" s="328">
        <v>79.775518480642788</v>
      </c>
      <c r="M434" s="966"/>
      <c r="N434" s="328">
        <v>79.775518480642788</v>
      </c>
      <c r="O434" s="328">
        <v>79.775518480642788</v>
      </c>
      <c r="P434" s="966"/>
      <c r="Q434" s="328">
        <v>79.775518480642788</v>
      </c>
      <c r="R434" s="328">
        <v>79.775518480642788</v>
      </c>
      <c r="S434" s="328">
        <v>79.775518480642788</v>
      </c>
    </row>
    <row r="435" spans="2:19" x14ac:dyDescent="0.25">
      <c r="B435" s="316"/>
      <c r="C435" s="325" t="s">
        <v>1405</v>
      </c>
      <c r="D435" s="325" t="s">
        <v>18</v>
      </c>
      <c r="E435" s="325" t="s">
        <v>1555</v>
      </c>
      <c r="F435" s="325" t="s">
        <v>1617</v>
      </c>
      <c r="G435" s="328">
        <f t="shared" si="57"/>
        <v>9.4736842105263168</v>
      </c>
      <c r="H435" s="325" t="s">
        <v>1556</v>
      </c>
      <c r="J435" s="328">
        <v>9.4736842105263168</v>
      </c>
      <c r="K435" s="328">
        <v>9.4736842105263168</v>
      </c>
      <c r="L435" s="328">
        <v>9.4736842105263168</v>
      </c>
      <c r="M435" s="966"/>
      <c r="N435" s="328">
        <v>9.4736842105263168</v>
      </c>
      <c r="O435" s="328">
        <v>9.4736842105263168</v>
      </c>
      <c r="P435" s="966"/>
      <c r="Q435" s="328">
        <v>9.4736842105263168</v>
      </c>
      <c r="R435" s="328">
        <v>9.4736842105263168</v>
      </c>
      <c r="S435" s="328">
        <v>9.4736842105263168</v>
      </c>
    </row>
    <row r="436" spans="2:19" x14ac:dyDescent="0.25">
      <c r="B436" s="316"/>
      <c r="C436" s="325" t="s">
        <v>1405</v>
      </c>
      <c r="D436" s="310" t="s">
        <v>18</v>
      </c>
      <c r="E436" s="310" t="s">
        <v>788</v>
      </c>
      <c r="F436" s="310" t="s">
        <v>46</v>
      </c>
      <c r="G436" s="331">
        <f t="shared" si="57"/>
        <v>1.0150752107111509</v>
      </c>
      <c r="H436" s="310" t="s">
        <v>789</v>
      </c>
      <c r="J436" s="331">
        <f>'H2 COMPRESSION'!$D$7</f>
        <v>1.0150752107111509</v>
      </c>
      <c r="K436" s="331">
        <f>'H2 COMPRESSION'!$D$7</f>
        <v>1.0150752107111509</v>
      </c>
      <c r="L436" s="331">
        <f>'H2 COMPRESSION'!$D$7</f>
        <v>1.0150752107111509</v>
      </c>
      <c r="N436" s="331">
        <f>'H2 COMPRESSION'!$D$7</f>
        <v>1.0150752107111509</v>
      </c>
      <c r="O436" s="331">
        <f>'H2 COMPRESSION'!$D$7</f>
        <v>1.0150752107111509</v>
      </c>
      <c r="Q436" s="331">
        <f>'H2 COMPRESSION'!$D$7</f>
        <v>1.0150752107111509</v>
      </c>
      <c r="R436" s="331">
        <f>'H2 COMPRESSION'!$D$7</f>
        <v>1.0150752107111509</v>
      </c>
      <c r="S436" s="331">
        <f>'H2 COMPRESSION'!$D$7</f>
        <v>1.0150752107111509</v>
      </c>
    </row>
    <row r="437" spans="2:19" x14ac:dyDescent="0.25">
      <c r="B437" s="316"/>
      <c r="C437" s="325" t="s">
        <v>1405</v>
      </c>
      <c r="D437" s="310" t="s">
        <v>18</v>
      </c>
      <c r="E437" s="310" t="s">
        <v>1243</v>
      </c>
      <c r="F437" s="310" t="s">
        <v>836</v>
      </c>
      <c r="G437" s="331">
        <f t="shared" si="57"/>
        <v>3814.2123767612716</v>
      </c>
      <c r="H437" s="310"/>
      <c r="J437" s="331">
        <f>'H2 COMPRESSION'!$Q$7</f>
        <v>3814.2123767612716</v>
      </c>
      <c r="K437" s="331">
        <f>'H2 COMPRESSION'!$Q$7</f>
        <v>3814.2123767612716</v>
      </c>
      <c r="L437" s="331">
        <f>'H2 COMPRESSION'!$Q$7</f>
        <v>3814.2123767612716</v>
      </c>
      <c r="N437" s="331">
        <f>'H2 COMPRESSION'!$Q$7</f>
        <v>3814.2123767612716</v>
      </c>
      <c r="O437" s="331">
        <f>'H2 COMPRESSION'!$Q$7</f>
        <v>3814.2123767612716</v>
      </c>
      <c r="Q437" s="331">
        <f>'H2 COMPRESSION'!$Q$7</f>
        <v>3814.2123767612716</v>
      </c>
      <c r="R437" s="331">
        <f>'H2 COMPRESSION'!$Q$7</f>
        <v>3814.2123767612716</v>
      </c>
      <c r="S437" s="331">
        <f>'H2 COMPRESSION'!$Q$7</f>
        <v>3814.2123767612716</v>
      </c>
    </row>
    <row r="438" spans="2:19" x14ac:dyDescent="0.25">
      <c r="B438" s="316"/>
      <c r="C438" s="325" t="s">
        <v>1405</v>
      </c>
      <c r="D438" s="310" t="s">
        <v>18</v>
      </c>
      <c r="E438" s="310" t="s">
        <v>790</v>
      </c>
      <c r="F438" s="310" t="s">
        <v>562</v>
      </c>
      <c r="G438" s="331">
        <f t="shared" si="57"/>
        <v>1942380.7603457738</v>
      </c>
      <c r="H438" s="310"/>
      <c r="J438" s="331">
        <f>'H2 COMPRESSION'!$Q$5</f>
        <v>1942380.7603457738</v>
      </c>
      <c r="K438" s="331">
        <f>'H2 COMPRESSION'!$Q$5</f>
        <v>1942380.7603457738</v>
      </c>
      <c r="L438" s="331">
        <f>'H2 COMPRESSION'!$Q$5</f>
        <v>1942380.7603457738</v>
      </c>
      <c r="N438" s="331">
        <f>'H2 COMPRESSION'!$Q$5</f>
        <v>1942380.7603457738</v>
      </c>
      <c r="O438" s="331">
        <f>'H2 COMPRESSION'!$Q$5</f>
        <v>1942380.7603457738</v>
      </c>
      <c r="Q438" s="331">
        <f>'H2 COMPRESSION'!$Q$5</f>
        <v>1942380.7603457738</v>
      </c>
      <c r="R438" s="331">
        <f>'H2 COMPRESSION'!$Q$5</f>
        <v>1942380.7603457738</v>
      </c>
      <c r="S438" s="331">
        <f>'H2 COMPRESSION'!$Q$5</f>
        <v>1942380.7603457738</v>
      </c>
    </row>
    <row r="439" spans="2:19" x14ac:dyDescent="0.25">
      <c r="B439" s="316"/>
      <c r="C439" s="325" t="s">
        <v>1405</v>
      </c>
      <c r="D439" s="310" t="s">
        <v>18</v>
      </c>
      <c r="E439" s="310" t="s">
        <v>791</v>
      </c>
      <c r="F439" s="310" t="s">
        <v>914</v>
      </c>
      <c r="G439" s="331">
        <f t="shared" si="57"/>
        <v>48559.519008644347</v>
      </c>
      <c r="H439" s="310" t="s">
        <v>792</v>
      </c>
      <c r="J439" s="331">
        <f>'H2 COMPRESSION'!$Q$6</f>
        <v>48559.519008644347</v>
      </c>
      <c r="K439" s="331">
        <f>'H2 COMPRESSION'!$Q$6</f>
        <v>48559.519008644347</v>
      </c>
      <c r="L439" s="331">
        <f>'H2 COMPRESSION'!$Q$6</f>
        <v>48559.519008644347</v>
      </c>
      <c r="N439" s="331">
        <f>'H2 COMPRESSION'!$Q$6</f>
        <v>48559.519008644347</v>
      </c>
      <c r="O439" s="331">
        <f>'H2 COMPRESSION'!$Q$6</f>
        <v>48559.519008644347</v>
      </c>
      <c r="Q439" s="331">
        <f>'H2 COMPRESSION'!$Q$6</f>
        <v>48559.519008644347</v>
      </c>
      <c r="R439" s="331">
        <f>'H2 COMPRESSION'!$Q$6</f>
        <v>48559.519008644347</v>
      </c>
      <c r="S439" s="331">
        <f>'H2 COMPRESSION'!$Q$6</f>
        <v>48559.519008644347</v>
      </c>
    </row>
    <row r="440" spans="2:19" x14ac:dyDescent="0.25">
      <c r="B440" s="316"/>
      <c r="C440" s="325" t="s">
        <v>1405</v>
      </c>
      <c r="D440" s="325" t="s">
        <v>18</v>
      </c>
      <c r="E440" s="325" t="str">
        <f>'H2 COMPRESSION'!P13</f>
        <v>Total area compressor</v>
      </c>
      <c r="F440" s="325" t="str">
        <f>'H2 COMPRESSION'!R13</f>
        <v>m²</v>
      </c>
      <c r="G440" s="331">
        <f t="shared" ref="G440:G471" si="58">IF(LEN(HLOOKUP($D$6,$J$9:$DG$501,ROW()-ROW($G$9)+1,FALSE))&lt;&gt;0,HLOOKUP($D$6,$J$9:$DG$501,ROW()-ROW($G$9)+1,FALSE),"")</f>
        <v>80.97815123132979</v>
      </c>
      <c r="H440" s="325"/>
      <c r="J440" s="331">
        <f>'H2 COMPRESSION'!$Q$13</f>
        <v>80.97815123132979</v>
      </c>
      <c r="K440" s="331">
        <f>'H2 COMPRESSION'!$Q$13</f>
        <v>80.97815123132979</v>
      </c>
      <c r="L440" s="331">
        <f>'H2 COMPRESSION'!$Q$13</f>
        <v>80.97815123132979</v>
      </c>
      <c r="N440" s="331">
        <f>'H2 COMPRESSION'!$Q$13</f>
        <v>80.97815123132979</v>
      </c>
      <c r="O440" s="331">
        <f>'H2 COMPRESSION'!$Q$13</f>
        <v>80.97815123132979</v>
      </c>
      <c r="Q440" s="331">
        <f>'H2 COMPRESSION'!$Q$13</f>
        <v>80.97815123132979</v>
      </c>
      <c r="R440" s="331">
        <f>'H2 COMPRESSION'!$Q$13</f>
        <v>80.97815123132979</v>
      </c>
      <c r="S440" s="331">
        <f>'H2 COMPRESSION'!$Q$13</f>
        <v>80.97815123132979</v>
      </c>
    </row>
    <row r="441" spans="2:19" x14ac:dyDescent="0.25">
      <c r="B441" s="316"/>
      <c r="C441" s="325" t="s">
        <v>1405</v>
      </c>
      <c r="D441" s="325" t="s">
        <v>18</v>
      </c>
      <c r="E441" s="325" t="str">
        <f>'H2 COMPRESSION'!P14</f>
        <v>Total weight compressor</v>
      </c>
      <c r="F441" s="325" t="str">
        <f>'H2 COMPRESSION'!R14</f>
        <v>t</v>
      </c>
      <c r="G441" s="331">
        <f t="shared" si="58"/>
        <v>9.6165019962109053</v>
      </c>
      <c r="H441" s="325"/>
      <c r="J441" s="331">
        <f>'H2 COMPRESSION'!$Q$14</f>
        <v>9.6165019962109053</v>
      </c>
      <c r="K441" s="331">
        <f>'H2 COMPRESSION'!$Q$14</f>
        <v>9.6165019962109053</v>
      </c>
      <c r="L441" s="331">
        <f>'H2 COMPRESSION'!$Q$14</f>
        <v>9.6165019962109053</v>
      </c>
      <c r="N441" s="331">
        <f>'H2 COMPRESSION'!$Q$14</f>
        <v>9.6165019962109053</v>
      </c>
      <c r="O441" s="331">
        <f>'H2 COMPRESSION'!$Q$14</f>
        <v>9.6165019962109053</v>
      </c>
      <c r="Q441" s="331">
        <f>'H2 COMPRESSION'!$Q$14</f>
        <v>9.6165019962109053</v>
      </c>
      <c r="R441" s="331">
        <f>'H2 COMPRESSION'!$Q$14</f>
        <v>9.6165019962109053</v>
      </c>
      <c r="S441" s="331">
        <f>'H2 COMPRESSION'!$Q$14</f>
        <v>9.6165019962109053</v>
      </c>
    </row>
    <row r="442" spans="2:19" x14ac:dyDescent="0.25">
      <c r="B442" s="316"/>
      <c r="C442" s="325" t="s">
        <v>1405</v>
      </c>
      <c r="D442" s="310" t="s">
        <v>543</v>
      </c>
      <c r="E442" s="1316" t="s">
        <v>564</v>
      </c>
      <c r="F442" s="310" t="s">
        <v>757</v>
      </c>
      <c r="G442" s="691" t="str">
        <f t="shared" si="58"/>
        <v>existing</v>
      </c>
      <c r="H442" s="310"/>
      <c r="J442" s="691" t="s">
        <v>1483</v>
      </c>
      <c r="K442" s="691" t="s">
        <v>1483</v>
      </c>
      <c r="L442" s="691" t="s">
        <v>1483</v>
      </c>
      <c r="N442" s="691" t="s">
        <v>1483</v>
      </c>
      <c r="O442" s="691" t="s">
        <v>879</v>
      </c>
      <c r="Q442" s="691" t="s">
        <v>879</v>
      </c>
      <c r="R442" s="691" t="s">
        <v>879</v>
      </c>
      <c r="S442" s="691" t="s">
        <v>879</v>
      </c>
    </row>
    <row r="443" spans="2:19" x14ac:dyDescent="0.25">
      <c r="B443" s="316"/>
      <c r="C443" s="325" t="s">
        <v>1405</v>
      </c>
      <c r="D443" s="310" t="s">
        <v>543</v>
      </c>
      <c r="E443" s="1316" t="s">
        <v>1737</v>
      </c>
      <c r="F443" s="310" t="s">
        <v>22</v>
      </c>
      <c r="G443" s="688">
        <f t="shared" si="58"/>
        <v>40</v>
      </c>
      <c r="H443" s="310"/>
      <c r="J443" s="688">
        <v>93</v>
      </c>
      <c r="K443" s="688">
        <v>93</v>
      </c>
      <c r="L443" s="688">
        <v>93</v>
      </c>
      <c r="N443" s="688">
        <v>40</v>
      </c>
      <c r="O443" s="688">
        <v>40</v>
      </c>
      <c r="Q443" s="688">
        <v>0</v>
      </c>
      <c r="R443" s="688">
        <v>0</v>
      </c>
      <c r="S443" s="688">
        <v>0</v>
      </c>
    </row>
    <row r="444" spans="2:19" x14ac:dyDescent="0.25">
      <c r="B444" s="316"/>
      <c r="C444" s="325" t="s">
        <v>1405</v>
      </c>
      <c r="D444" s="310" t="s">
        <v>543</v>
      </c>
      <c r="E444" s="310" t="s">
        <v>796</v>
      </c>
      <c r="F444" s="310" t="s">
        <v>558</v>
      </c>
      <c r="G444" s="332">
        <f t="shared" si="58"/>
        <v>80</v>
      </c>
      <c r="H444" s="310" t="s">
        <v>874</v>
      </c>
      <c r="J444" s="332">
        <v>80</v>
      </c>
      <c r="K444" s="332">
        <v>80</v>
      </c>
      <c r="L444" s="332">
        <v>80</v>
      </c>
      <c r="N444" s="332">
        <v>80</v>
      </c>
      <c r="O444" s="332">
        <v>80</v>
      </c>
      <c r="Q444" s="332">
        <v>80</v>
      </c>
      <c r="R444" s="332">
        <v>80</v>
      </c>
      <c r="S444" s="332">
        <v>80</v>
      </c>
    </row>
    <row r="445" spans="2:19" x14ac:dyDescent="0.25">
      <c r="B445" s="316"/>
      <c r="C445" s="325" t="s">
        <v>1405</v>
      </c>
      <c r="D445" s="310" t="s">
        <v>543</v>
      </c>
      <c r="E445" s="310" t="s">
        <v>871</v>
      </c>
      <c r="F445" s="310" t="s">
        <v>11</v>
      </c>
      <c r="G445" s="329">
        <f t="shared" si="58"/>
        <v>0.01</v>
      </c>
      <c r="H445" s="310" t="s">
        <v>785</v>
      </c>
      <c r="J445" s="329">
        <v>0.01</v>
      </c>
      <c r="K445" s="329">
        <v>0.01</v>
      </c>
      <c r="L445" s="329">
        <v>0.01</v>
      </c>
      <c r="N445" s="329">
        <v>0.01</v>
      </c>
      <c r="O445" s="329">
        <v>0.01</v>
      </c>
      <c r="Q445" s="329">
        <v>0.01</v>
      </c>
      <c r="R445" s="329">
        <v>0.01</v>
      </c>
      <c r="S445" s="329">
        <v>0.01</v>
      </c>
    </row>
    <row r="446" spans="2:19" x14ac:dyDescent="0.25">
      <c r="B446" s="316"/>
      <c r="C446" s="325" t="s">
        <v>1405</v>
      </c>
      <c r="D446" s="310" t="s">
        <v>543</v>
      </c>
      <c r="E446" s="310" t="s">
        <v>872</v>
      </c>
      <c r="F446" s="310" t="s">
        <v>11</v>
      </c>
      <c r="G446" s="329">
        <f t="shared" si="58"/>
        <v>0</v>
      </c>
      <c r="H446" s="310" t="s">
        <v>785</v>
      </c>
      <c r="J446" s="329">
        <v>0</v>
      </c>
      <c r="K446" s="329">
        <v>0</v>
      </c>
      <c r="L446" s="329">
        <v>0</v>
      </c>
      <c r="N446" s="329">
        <v>0</v>
      </c>
      <c r="O446" s="329">
        <v>0</v>
      </c>
      <c r="Q446" s="329">
        <v>0</v>
      </c>
      <c r="R446" s="329">
        <v>0</v>
      </c>
      <c r="S446" s="329">
        <v>0</v>
      </c>
    </row>
    <row r="447" spans="2:19" x14ac:dyDescent="0.25">
      <c r="B447" s="316"/>
      <c r="C447" s="325" t="s">
        <v>1405</v>
      </c>
      <c r="D447" s="325" t="s">
        <v>543</v>
      </c>
      <c r="E447" s="325" t="s">
        <v>1252</v>
      </c>
      <c r="F447" s="325" t="s">
        <v>1115</v>
      </c>
      <c r="G447" s="328">
        <f t="shared" si="58"/>
        <v>682489.53442563501</v>
      </c>
      <c r="H447" s="325"/>
      <c r="J447" s="338">
        <f>1.75*(418869+762.8*'H2 PIPELINE'!$E$10+2.306*('H2 PIPELINE'!$E$10^2))/1.33</f>
        <v>682489.53442563501</v>
      </c>
      <c r="K447" s="338">
        <f>1.75*(418869+762.8*'H2 PIPELINE'!$E$10+2.306*('H2 PIPELINE'!$E$10^2))/1.33</f>
        <v>682489.53442563501</v>
      </c>
      <c r="L447" s="338">
        <f>1.75*(418869+762.8*'H2 PIPELINE'!$E$10+2.306*('H2 PIPELINE'!$E$10^2))/1.33</f>
        <v>682489.53442563501</v>
      </c>
      <c r="N447" s="338">
        <f>1.75*(418869+762.8*'H2 PIPELINE'!$E$10+2.306*('H2 PIPELINE'!$E$10^2))/1.33</f>
        <v>682489.53442563501</v>
      </c>
      <c r="O447" s="338">
        <f>1.75*(418869+762.8*'H2 PIPELINE'!$E$10+2.306*('H2 PIPELINE'!$E$10^2))/1.33</f>
        <v>682489.53442563501</v>
      </c>
      <c r="Q447" s="338">
        <f>1.75*(418869+762.8*'H2 PIPELINE'!$E$10+2.306*('H2 PIPELINE'!$E$10^2))/1.33</f>
        <v>682489.53442563501</v>
      </c>
      <c r="R447" s="338">
        <f>1.75*(418869+762.8*'H2 PIPELINE'!$E$10+2.306*('H2 PIPELINE'!$E$10^2))/1.33</f>
        <v>682489.53442563501</v>
      </c>
      <c r="S447" s="338">
        <f>1.75*(418869+762.8*'H2 PIPELINE'!$E$10+2.306*('H2 PIPELINE'!$E$10^2))/1.33</f>
        <v>682489.53442563501</v>
      </c>
    </row>
    <row r="448" spans="2:19" x14ac:dyDescent="0.25">
      <c r="B448" s="316"/>
      <c r="C448" s="325" t="s">
        <v>1405</v>
      </c>
      <c r="D448" s="310" t="s">
        <v>543</v>
      </c>
      <c r="E448" s="310" t="s">
        <v>881</v>
      </c>
      <c r="F448" s="310" t="s">
        <v>914</v>
      </c>
      <c r="G448" s="328">
        <f t="shared" si="58"/>
        <v>545991.62754050805</v>
      </c>
      <c r="H448" s="901" t="s">
        <v>1253</v>
      </c>
      <c r="J448" s="328">
        <f>J447*J449*J443</f>
        <v>1269430.5340316813</v>
      </c>
      <c r="K448" s="328">
        <f t="shared" ref="K448:L448" si="59">K447*K449*K443</f>
        <v>1269430.5340316813</v>
      </c>
      <c r="L448" s="328">
        <f t="shared" si="59"/>
        <v>1269430.5340316813</v>
      </c>
      <c r="N448" s="328">
        <f t="shared" ref="N448:O448" si="60">N447*N449*N443</f>
        <v>545991.62754050805</v>
      </c>
      <c r="O448" s="328">
        <f t="shared" si="60"/>
        <v>545991.62754050805</v>
      </c>
      <c r="Q448" s="328">
        <f>Q447*Q449*Q443</f>
        <v>0</v>
      </c>
      <c r="R448" s="328">
        <f>R447*R449*R443</f>
        <v>0</v>
      </c>
      <c r="S448" s="328">
        <f>S447*S449*S443</f>
        <v>0</v>
      </c>
    </row>
    <row r="449" spans="2:19" x14ac:dyDescent="0.25">
      <c r="B449" s="316"/>
      <c r="C449" s="325" t="s">
        <v>1405</v>
      </c>
      <c r="D449" s="310" t="s">
        <v>543</v>
      </c>
      <c r="E449" s="310" t="s">
        <v>912</v>
      </c>
      <c r="F449" s="310" t="s">
        <v>1122</v>
      </c>
      <c r="G449" s="329">
        <f t="shared" si="58"/>
        <v>0.02</v>
      </c>
      <c r="H449" s="310"/>
      <c r="J449" s="329">
        <v>0.02</v>
      </c>
      <c r="K449" s="329">
        <v>0.02</v>
      </c>
      <c r="L449" s="329">
        <v>0.02</v>
      </c>
      <c r="N449" s="329">
        <v>0.02</v>
      </c>
      <c r="O449" s="329">
        <v>0.02</v>
      </c>
      <c r="Q449" s="329">
        <v>0.02</v>
      </c>
      <c r="R449" s="329">
        <v>0.02</v>
      </c>
      <c r="S449" s="329">
        <v>0.02</v>
      </c>
    </row>
    <row r="450" spans="2:19" x14ac:dyDescent="0.25">
      <c r="B450" s="316"/>
      <c r="C450" s="325" t="s">
        <v>1405</v>
      </c>
      <c r="D450" s="310" t="s">
        <v>543</v>
      </c>
      <c r="E450" s="310" t="s">
        <v>93</v>
      </c>
      <c r="F450" s="310" t="s">
        <v>757</v>
      </c>
      <c r="G450" s="690">
        <f t="shared" si="58"/>
        <v>0</v>
      </c>
      <c r="H450" s="310"/>
      <c r="J450" s="690">
        <v>0</v>
      </c>
      <c r="K450" s="690">
        <v>0</v>
      </c>
      <c r="L450" s="690">
        <v>0</v>
      </c>
      <c r="N450" s="690">
        <v>0</v>
      </c>
      <c r="O450" s="690">
        <v>0</v>
      </c>
      <c r="Q450" s="690">
        <v>0</v>
      </c>
      <c r="R450" s="690">
        <v>0</v>
      </c>
      <c r="S450" s="690">
        <v>0</v>
      </c>
    </row>
    <row r="451" spans="2:19" x14ac:dyDescent="0.25">
      <c r="B451" s="316"/>
      <c r="C451" s="325" t="s">
        <v>1405</v>
      </c>
      <c r="D451" s="310" t="s">
        <v>543</v>
      </c>
      <c r="E451" s="310" t="s">
        <v>94</v>
      </c>
      <c r="F451" s="310" t="s">
        <v>757</v>
      </c>
      <c r="G451" s="690">
        <f t="shared" si="58"/>
        <v>0</v>
      </c>
      <c r="H451" s="310"/>
      <c r="J451" s="690">
        <v>0</v>
      </c>
      <c r="K451" s="690">
        <v>0</v>
      </c>
      <c r="L451" s="690">
        <v>0</v>
      </c>
      <c r="N451" s="690">
        <v>0</v>
      </c>
      <c r="O451" s="690">
        <v>0</v>
      </c>
      <c r="Q451" s="690">
        <v>0</v>
      </c>
      <c r="R451" s="690">
        <v>0</v>
      </c>
      <c r="S451" s="690">
        <v>0</v>
      </c>
    </row>
    <row r="452" spans="2:19" x14ac:dyDescent="0.25">
      <c r="B452" s="316"/>
      <c r="C452" s="325" t="s">
        <v>1405</v>
      </c>
      <c r="D452" s="310" t="s">
        <v>543</v>
      </c>
      <c r="E452" s="310" t="s">
        <v>95</v>
      </c>
      <c r="F452" s="310" t="s">
        <v>757</v>
      </c>
      <c r="G452" s="690">
        <f t="shared" si="58"/>
        <v>0</v>
      </c>
      <c r="H452" s="310"/>
      <c r="J452" s="690">
        <v>0</v>
      </c>
      <c r="K452" s="690">
        <v>0</v>
      </c>
      <c r="L452" s="690">
        <v>0</v>
      </c>
      <c r="N452" s="690">
        <v>0</v>
      </c>
      <c r="O452" s="690">
        <v>0</v>
      </c>
      <c r="Q452" s="690">
        <v>0</v>
      </c>
      <c r="R452" s="690">
        <v>0</v>
      </c>
      <c r="S452" s="690">
        <v>0</v>
      </c>
    </row>
    <row r="453" spans="2:19" x14ac:dyDescent="0.25">
      <c r="B453" s="316"/>
      <c r="C453" s="325" t="s">
        <v>1405</v>
      </c>
      <c r="D453" s="310" t="s">
        <v>543</v>
      </c>
      <c r="E453" s="310" t="s">
        <v>96</v>
      </c>
      <c r="F453" s="310" t="s">
        <v>757</v>
      </c>
      <c r="G453" s="690">
        <f t="shared" si="58"/>
        <v>0</v>
      </c>
      <c r="H453" s="310"/>
      <c r="J453" s="690">
        <v>0</v>
      </c>
      <c r="K453" s="690">
        <v>0</v>
      </c>
      <c r="L453" s="690">
        <v>0</v>
      </c>
      <c r="N453" s="690">
        <v>0</v>
      </c>
      <c r="O453" s="690">
        <v>0</v>
      </c>
      <c r="Q453" s="690">
        <v>0</v>
      </c>
      <c r="R453" s="690">
        <v>0</v>
      </c>
      <c r="S453" s="690">
        <v>0</v>
      </c>
    </row>
    <row r="454" spans="2:19" x14ac:dyDescent="0.25">
      <c r="B454" s="316"/>
      <c r="C454" s="325" t="s">
        <v>1405</v>
      </c>
      <c r="D454" s="310" t="s">
        <v>543</v>
      </c>
      <c r="E454" s="310" t="s">
        <v>97</v>
      </c>
      <c r="F454" s="310" t="s">
        <v>757</v>
      </c>
      <c r="G454" s="690">
        <f t="shared" si="58"/>
        <v>0</v>
      </c>
      <c r="H454" s="310"/>
      <c r="J454" s="690">
        <v>0</v>
      </c>
      <c r="K454" s="690">
        <v>0</v>
      </c>
      <c r="L454" s="690">
        <v>0</v>
      </c>
      <c r="N454" s="690">
        <v>0</v>
      </c>
      <c r="O454" s="690">
        <v>0</v>
      </c>
      <c r="Q454" s="690">
        <v>0</v>
      </c>
      <c r="R454" s="690">
        <v>0</v>
      </c>
      <c r="S454" s="690">
        <v>0</v>
      </c>
    </row>
    <row r="455" spans="2:19" x14ac:dyDescent="0.25">
      <c r="B455" s="316"/>
      <c r="C455" s="325" t="s">
        <v>1405</v>
      </c>
      <c r="D455" s="310" t="s">
        <v>543</v>
      </c>
      <c r="E455" s="310" t="s">
        <v>553</v>
      </c>
      <c r="F455" s="310" t="s">
        <v>757</v>
      </c>
      <c r="G455" s="690">
        <f t="shared" si="58"/>
        <v>0</v>
      </c>
      <c r="H455" s="310"/>
      <c r="J455" s="690">
        <v>0</v>
      </c>
      <c r="K455" s="690">
        <v>0</v>
      </c>
      <c r="L455" s="690">
        <v>0</v>
      </c>
      <c r="N455" s="690">
        <v>0</v>
      </c>
      <c r="O455" s="690">
        <v>0</v>
      </c>
      <c r="Q455" s="690">
        <v>0</v>
      </c>
      <c r="R455" s="690">
        <v>0</v>
      </c>
      <c r="S455" s="690">
        <v>0</v>
      </c>
    </row>
    <row r="456" spans="2:19" x14ac:dyDescent="0.25">
      <c r="B456" s="316"/>
      <c r="C456" s="325" t="s">
        <v>1405</v>
      </c>
      <c r="D456" s="310" t="s">
        <v>543</v>
      </c>
      <c r="E456" s="310" t="s">
        <v>98</v>
      </c>
      <c r="F456" s="310" t="s">
        <v>757</v>
      </c>
      <c r="G456" s="690">
        <f t="shared" si="58"/>
        <v>0</v>
      </c>
      <c r="H456" s="310"/>
      <c r="J456" s="690">
        <v>0</v>
      </c>
      <c r="K456" s="690">
        <v>0</v>
      </c>
      <c r="L456" s="690">
        <v>0</v>
      </c>
      <c r="N456" s="690">
        <v>0</v>
      </c>
      <c r="O456" s="690">
        <v>0</v>
      </c>
      <c r="Q456" s="690">
        <v>0</v>
      </c>
      <c r="R456" s="690">
        <v>0</v>
      </c>
      <c r="S456" s="690">
        <v>0</v>
      </c>
    </row>
    <row r="457" spans="2:19" x14ac:dyDescent="0.25">
      <c r="B457" s="316"/>
      <c r="C457" s="325" t="s">
        <v>1405</v>
      </c>
      <c r="D457" s="310" t="s">
        <v>543</v>
      </c>
      <c r="E457" s="310" t="s">
        <v>916</v>
      </c>
      <c r="F457" s="310" t="s">
        <v>884</v>
      </c>
      <c r="G457" s="346">
        <f t="shared" si="58"/>
        <v>7000000</v>
      </c>
      <c r="H457" s="310"/>
      <c r="J457" s="346">
        <v>7000000</v>
      </c>
      <c r="K457" s="346">
        <v>7000000</v>
      </c>
      <c r="L457" s="346">
        <v>7000000</v>
      </c>
      <c r="N457" s="346">
        <v>7000000</v>
      </c>
      <c r="O457" s="346">
        <v>7000000</v>
      </c>
      <c r="Q457" s="346">
        <v>7000000</v>
      </c>
      <c r="R457" s="346">
        <v>7000000</v>
      </c>
      <c r="S457" s="346">
        <v>7000000</v>
      </c>
    </row>
    <row r="458" spans="2:19" x14ac:dyDescent="0.25">
      <c r="B458" s="316"/>
      <c r="C458" s="325" t="s">
        <v>1405</v>
      </c>
      <c r="D458" s="310" t="s">
        <v>543</v>
      </c>
      <c r="E458" s="310" t="s">
        <v>917</v>
      </c>
      <c r="F458" s="310" t="s">
        <v>884</v>
      </c>
      <c r="G458" s="346">
        <f t="shared" si="58"/>
        <v>4000000</v>
      </c>
      <c r="H458" s="310"/>
      <c r="J458" s="346">
        <v>4000000</v>
      </c>
      <c r="K458" s="346">
        <v>4000000</v>
      </c>
      <c r="L458" s="346">
        <v>4000000</v>
      </c>
      <c r="N458" s="346">
        <v>4000000</v>
      </c>
      <c r="O458" s="346">
        <v>4000000</v>
      </c>
      <c r="Q458" s="346">
        <v>4000000</v>
      </c>
      <c r="R458" s="346">
        <v>4000000</v>
      </c>
      <c r="S458" s="346">
        <v>4000000</v>
      </c>
    </row>
    <row r="459" spans="2:19" x14ac:dyDescent="0.25">
      <c r="B459" s="316"/>
      <c r="C459" s="325" t="s">
        <v>1405</v>
      </c>
      <c r="D459" s="310" t="s">
        <v>543</v>
      </c>
      <c r="E459" s="310" t="s">
        <v>918</v>
      </c>
      <c r="F459" s="310" t="s">
        <v>884</v>
      </c>
      <c r="G459" s="346">
        <f t="shared" si="58"/>
        <v>4000000</v>
      </c>
      <c r="H459" s="310"/>
      <c r="J459" s="346">
        <v>4000000</v>
      </c>
      <c r="K459" s="346">
        <v>4000000</v>
      </c>
      <c r="L459" s="346">
        <v>4000000</v>
      </c>
      <c r="N459" s="346">
        <v>4000000</v>
      </c>
      <c r="O459" s="346">
        <v>4000000</v>
      </c>
      <c r="Q459" s="346">
        <v>4000000</v>
      </c>
      <c r="R459" s="346">
        <v>4000000</v>
      </c>
      <c r="S459" s="346">
        <v>4000000</v>
      </c>
    </row>
    <row r="460" spans="2:19" x14ac:dyDescent="0.25">
      <c r="B460" s="316"/>
      <c r="C460" s="325" t="s">
        <v>1405</v>
      </c>
      <c r="D460" s="310" t="s">
        <v>543</v>
      </c>
      <c r="E460" s="310" t="s">
        <v>919</v>
      </c>
      <c r="F460" s="310" t="s">
        <v>884</v>
      </c>
      <c r="G460" s="346">
        <f t="shared" si="58"/>
        <v>4000000</v>
      </c>
      <c r="H460" s="310"/>
      <c r="J460" s="346">
        <v>4000000</v>
      </c>
      <c r="K460" s="346">
        <v>4000000</v>
      </c>
      <c r="L460" s="346">
        <v>4000000</v>
      </c>
      <c r="N460" s="346">
        <v>4000000</v>
      </c>
      <c r="O460" s="346">
        <v>4000000</v>
      </c>
      <c r="Q460" s="346">
        <v>4000000</v>
      </c>
      <c r="R460" s="346">
        <v>4000000</v>
      </c>
      <c r="S460" s="346">
        <v>4000000</v>
      </c>
    </row>
    <row r="461" spans="2:19" x14ac:dyDescent="0.25">
      <c r="B461" s="316"/>
      <c r="C461" s="325" t="s">
        <v>1405</v>
      </c>
      <c r="D461" s="310" t="s">
        <v>543</v>
      </c>
      <c r="E461" s="310" t="s">
        <v>920</v>
      </c>
      <c r="F461" s="310" t="s">
        <v>884</v>
      </c>
      <c r="G461" s="346">
        <f t="shared" si="58"/>
        <v>6000000</v>
      </c>
      <c r="H461" s="310"/>
      <c r="J461" s="346">
        <v>6000000</v>
      </c>
      <c r="K461" s="346">
        <v>6000000</v>
      </c>
      <c r="L461" s="346">
        <v>6000000</v>
      </c>
      <c r="N461" s="346">
        <v>6000000</v>
      </c>
      <c r="O461" s="346">
        <v>6000000</v>
      </c>
      <c r="Q461" s="346">
        <v>6000000</v>
      </c>
      <c r="R461" s="346">
        <v>6000000</v>
      </c>
      <c r="S461" s="346">
        <v>6000000</v>
      </c>
    </row>
    <row r="462" spans="2:19" x14ac:dyDescent="0.25">
      <c r="B462" s="316"/>
      <c r="C462" s="325" t="s">
        <v>1405</v>
      </c>
      <c r="D462" s="310" t="s">
        <v>543</v>
      </c>
      <c r="E462" s="310" t="s">
        <v>921</v>
      </c>
      <c r="F462" s="310" t="s">
        <v>884</v>
      </c>
      <c r="G462" s="346">
        <f t="shared" si="58"/>
        <v>6000000</v>
      </c>
      <c r="H462" s="310"/>
      <c r="J462" s="346">
        <v>6000000</v>
      </c>
      <c r="K462" s="346">
        <v>6000000</v>
      </c>
      <c r="L462" s="346">
        <v>6000000</v>
      </c>
      <c r="N462" s="346">
        <v>6000000</v>
      </c>
      <c r="O462" s="346">
        <v>6000000</v>
      </c>
      <c r="Q462" s="346">
        <v>6000000</v>
      </c>
      <c r="R462" s="346">
        <v>6000000</v>
      </c>
      <c r="S462" s="346">
        <v>6000000</v>
      </c>
    </row>
    <row r="463" spans="2:19" x14ac:dyDescent="0.25">
      <c r="B463" s="316"/>
      <c r="C463" s="325" t="s">
        <v>1405</v>
      </c>
      <c r="D463" s="310" t="s">
        <v>543</v>
      </c>
      <c r="E463" s="310" t="s">
        <v>922</v>
      </c>
      <c r="F463" s="310" t="s">
        <v>884</v>
      </c>
      <c r="G463" s="346">
        <f t="shared" si="58"/>
        <v>11000000</v>
      </c>
      <c r="H463" s="310"/>
      <c r="J463" s="346">
        <v>11000000</v>
      </c>
      <c r="K463" s="346">
        <v>11000000</v>
      </c>
      <c r="L463" s="346">
        <v>11000000</v>
      </c>
      <c r="N463" s="346">
        <v>11000000</v>
      </c>
      <c r="O463" s="346">
        <v>11000000</v>
      </c>
      <c r="Q463" s="346">
        <v>11000000</v>
      </c>
      <c r="R463" s="346">
        <v>11000000</v>
      </c>
      <c r="S463" s="346">
        <v>11000000</v>
      </c>
    </row>
    <row r="464" spans="2:19" ht="18" x14ac:dyDescent="0.35">
      <c r="B464" s="316"/>
      <c r="C464" s="325" t="s">
        <v>1405</v>
      </c>
      <c r="D464" s="325" t="s">
        <v>543</v>
      </c>
      <c r="E464" s="901" t="s">
        <v>1489</v>
      </c>
      <c r="F464" s="325" t="s">
        <v>1484</v>
      </c>
      <c r="G464" s="1033">
        <f t="shared" si="58"/>
        <v>0.24179369590079999</v>
      </c>
      <c r="H464" s="325" t="s">
        <v>1486</v>
      </c>
      <c r="J464" s="1032">
        <f>0.3*0.73*(1+$G$13)^($G$10-2013)</f>
        <v>0.24179369590079999</v>
      </c>
      <c r="K464" s="1032">
        <f t="shared" ref="K464:L464" si="61">0.3*0.73*(1+$G$13)^($G$10-2013)</f>
        <v>0.24179369590079999</v>
      </c>
      <c r="L464" s="1032">
        <f t="shared" si="61"/>
        <v>0.24179369590079999</v>
      </c>
      <c r="M464" s="962"/>
      <c r="N464" s="1032">
        <f>0.3*0.73*(1+$G$13)^($G$10-2013)</f>
        <v>0.24179369590079999</v>
      </c>
      <c r="O464" s="1032">
        <f t="shared" ref="O464" si="62">0.3*0.73*(1+$G$13)^($G$10-2013)</f>
        <v>0.24179369590079999</v>
      </c>
      <c r="P464" s="962"/>
      <c r="Q464" s="1032">
        <f>0.3*0.73*(1+$G$13)^($G$10-2013)</f>
        <v>0.24179369590079999</v>
      </c>
      <c r="R464" s="1032">
        <f t="shared" ref="R464:S464" si="63">0.3*0.73*(1+$G$13)^($G$10-2013)</f>
        <v>0.24179369590079999</v>
      </c>
      <c r="S464" s="1032">
        <f t="shared" si="63"/>
        <v>0.24179369590079999</v>
      </c>
    </row>
    <row r="465" spans="2:19" x14ac:dyDescent="0.25">
      <c r="B465" s="316"/>
      <c r="C465" s="325" t="s">
        <v>1405</v>
      </c>
      <c r="D465" s="325" t="s">
        <v>543</v>
      </c>
      <c r="E465" s="901" t="s">
        <v>1490</v>
      </c>
      <c r="F465" s="325" t="s">
        <v>11</v>
      </c>
      <c r="G465" s="1035">
        <f t="shared" si="58"/>
        <v>0.8</v>
      </c>
      <c r="H465" s="325"/>
      <c r="J465" s="1034">
        <v>0.8</v>
      </c>
      <c r="K465" s="1034">
        <v>0.8</v>
      </c>
      <c r="L465" s="1034">
        <v>0.8</v>
      </c>
      <c r="M465" s="962"/>
      <c r="N465" s="1034">
        <v>0.8</v>
      </c>
      <c r="O465" s="1034">
        <v>0.8</v>
      </c>
      <c r="P465" s="962"/>
      <c r="Q465" s="1034">
        <v>0.8</v>
      </c>
      <c r="R465" s="1034">
        <v>0.8</v>
      </c>
      <c r="S465" s="1034">
        <v>0.8</v>
      </c>
    </row>
    <row r="466" spans="2:19" x14ac:dyDescent="0.25">
      <c r="B466" s="316"/>
      <c r="C466" s="325" t="s">
        <v>1405</v>
      </c>
      <c r="D466" s="310" t="s">
        <v>543</v>
      </c>
      <c r="E466" s="310" t="s">
        <v>793</v>
      </c>
      <c r="F466" s="310" t="s">
        <v>574</v>
      </c>
      <c r="G466" s="345">
        <f t="shared" si="58"/>
        <v>2127.6595744680849</v>
      </c>
      <c r="H466" s="310" t="s">
        <v>794</v>
      </c>
      <c r="J466" s="345">
        <f>'H2 PIPELINE'!$O$16</f>
        <v>2127.6595744680849</v>
      </c>
      <c r="K466" s="345">
        <f>'H2 PIPELINE'!$O$16</f>
        <v>2127.6595744680849</v>
      </c>
      <c r="L466" s="345">
        <f>'H2 PIPELINE'!$O$16</f>
        <v>2127.6595744680849</v>
      </c>
      <c r="N466" s="345">
        <f>'H2 PIPELINE'!$O$16</f>
        <v>2127.6595744680849</v>
      </c>
      <c r="O466" s="345">
        <f>'H2 PIPELINE'!$O$16</f>
        <v>2127.6595744680849</v>
      </c>
      <c r="Q466" s="345">
        <f>'H2 PIPELINE'!$O$16</f>
        <v>2127.6595744680849</v>
      </c>
      <c r="R466" s="345">
        <f>'H2 PIPELINE'!$O$16</f>
        <v>2127.6595744680849</v>
      </c>
      <c r="S466" s="345">
        <f>'H2 PIPELINE'!$O$16</f>
        <v>2127.6595744680849</v>
      </c>
    </row>
    <row r="467" spans="2:19" x14ac:dyDescent="0.25">
      <c r="B467" s="316"/>
      <c r="C467" s="325" t="s">
        <v>1405</v>
      </c>
      <c r="D467" s="310" t="s">
        <v>543</v>
      </c>
      <c r="E467" s="310" t="s">
        <v>795</v>
      </c>
      <c r="F467" s="310" t="s">
        <v>558</v>
      </c>
      <c r="G467" s="331">
        <f t="shared" si="58"/>
        <v>100</v>
      </c>
      <c r="H467" s="310" t="s">
        <v>873</v>
      </c>
      <c r="J467" s="331">
        <f>J426</f>
        <v>100</v>
      </c>
      <c r="K467" s="331">
        <f>K426</f>
        <v>100</v>
      </c>
      <c r="L467" s="331">
        <f>L426</f>
        <v>100</v>
      </c>
      <c r="N467" s="331">
        <f>N426</f>
        <v>100</v>
      </c>
      <c r="O467" s="331">
        <f>O426</f>
        <v>100</v>
      </c>
      <c r="Q467" s="331">
        <f>Q426</f>
        <v>100</v>
      </c>
      <c r="R467" s="331">
        <f>R426</f>
        <v>100</v>
      </c>
      <c r="S467" s="331">
        <f>S426</f>
        <v>100</v>
      </c>
    </row>
    <row r="468" spans="2:19" x14ac:dyDescent="0.25">
      <c r="B468" s="316"/>
      <c r="C468" s="325" t="s">
        <v>1405</v>
      </c>
      <c r="D468" s="310" t="s">
        <v>543</v>
      </c>
      <c r="E468" s="310" t="s">
        <v>876</v>
      </c>
      <c r="F468" s="310" t="s">
        <v>557</v>
      </c>
      <c r="G468" s="331">
        <f t="shared" si="58"/>
        <v>277.39999999999998</v>
      </c>
      <c r="H468" s="310"/>
      <c r="J468" s="331">
        <f>J167</f>
        <v>277.39999999999998</v>
      </c>
      <c r="K468" s="331">
        <f>K167</f>
        <v>277.39999999999998</v>
      </c>
      <c r="L468" s="331">
        <f>L167</f>
        <v>277.39999999999998</v>
      </c>
      <c r="N468" s="331">
        <f>N167</f>
        <v>277.39999999999998</v>
      </c>
      <c r="O468" s="331">
        <f>O167</f>
        <v>277.39999999999998</v>
      </c>
      <c r="Q468" s="331">
        <f>Q167</f>
        <v>277.39999999999998</v>
      </c>
      <c r="R468" s="331">
        <f>R167</f>
        <v>277.39999999999998</v>
      </c>
      <c r="S468" s="331">
        <f>S167</f>
        <v>277.39999999999998</v>
      </c>
    </row>
    <row r="469" spans="2:19" x14ac:dyDescent="0.25">
      <c r="B469" s="316"/>
      <c r="C469" s="325" t="s">
        <v>1405</v>
      </c>
      <c r="D469" s="310" t="s">
        <v>543</v>
      </c>
      <c r="E469" s="310" t="s">
        <v>797</v>
      </c>
      <c r="F469" s="310" t="s">
        <v>585</v>
      </c>
      <c r="G469" s="345">
        <f t="shared" si="58"/>
        <v>100.39435257214974</v>
      </c>
      <c r="H469" s="310"/>
      <c r="J469" s="345">
        <f>'H2 PIPELINE'!$E$10</f>
        <v>100.39435257214974</v>
      </c>
      <c r="K469" s="345">
        <f>'H2 PIPELINE'!$E$10</f>
        <v>100.39435257214974</v>
      </c>
      <c r="L469" s="345">
        <f>'H2 PIPELINE'!$E$10</f>
        <v>100.39435257214974</v>
      </c>
      <c r="N469" s="345">
        <f>'H2 PIPELINE'!$E$10</f>
        <v>100.39435257214974</v>
      </c>
      <c r="O469" s="345">
        <f>'H2 PIPELINE'!$E$10</f>
        <v>100.39435257214974</v>
      </c>
      <c r="Q469" s="345">
        <f>'H2 PIPELINE'!$E$10</f>
        <v>100.39435257214974</v>
      </c>
      <c r="R469" s="345">
        <f>'H2 PIPELINE'!$E$10</f>
        <v>100.39435257214974</v>
      </c>
      <c r="S469" s="345">
        <f>'H2 PIPELINE'!$E$10</f>
        <v>100.39435257214974</v>
      </c>
    </row>
    <row r="470" spans="2:19" x14ac:dyDescent="0.25">
      <c r="B470" s="316"/>
      <c r="C470" s="325" t="s">
        <v>1405</v>
      </c>
      <c r="D470" s="310" t="s">
        <v>543</v>
      </c>
      <c r="E470" s="310" t="s">
        <v>635</v>
      </c>
      <c r="F470" s="310" t="s">
        <v>757</v>
      </c>
      <c r="G470" s="698">
        <f t="shared" si="58"/>
        <v>1.4E-2</v>
      </c>
      <c r="H470" s="310" t="s">
        <v>798</v>
      </c>
      <c r="J470" s="698">
        <v>1.4E-2</v>
      </c>
      <c r="K470" s="698">
        <v>1.4E-2</v>
      </c>
      <c r="L470" s="698">
        <v>1.4E-2</v>
      </c>
      <c r="N470" s="698">
        <v>1.4E-2</v>
      </c>
      <c r="O470" s="698">
        <v>1.4E-2</v>
      </c>
      <c r="Q470" s="698">
        <v>1.4E-2</v>
      </c>
      <c r="R470" s="698">
        <v>1.4E-2</v>
      </c>
      <c r="S470" s="698">
        <v>1.4E-2</v>
      </c>
    </row>
    <row r="471" spans="2:19" x14ac:dyDescent="0.25">
      <c r="B471" s="316"/>
      <c r="C471" s="325" t="s">
        <v>1405</v>
      </c>
      <c r="D471" s="310" t="s">
        <v>543</v>
      </c>
      <c r="E471" s="310" t="str">
        <f>"Capex "&amp;G442&amp;" pipeline"</f>
        <v>Capex existing pipeline</v>
      </c>
      <c r="F471" s="310" t="s">
        <v>562</v>
      </c>
      <c r="G471" s="345">
        <f t="shared" si="58"/>
        <v>0</v>
      </c>
      <c r="H471" s="310"/>
      <c r="J471" s="345">
        <f>'H2 PIPELINE'!$I$39</f>
        <v>0</v>
      </c>
      <c r="K471" s="345">
        <f>'H2 PIPELINE'!$I$39</f>
        <v>0</v>
      </c>
      <c r="L471" s="345">
        <f>'H2 PIPELINE'!$I$39</f>
        <v>0</v>
      </c>
      <c r="N471" s="345">
        <f>'H2 PIPELINE'!$I$39</f>
        <v>0</v>
      </c>
      <c r="O471" s="345">
        <f>'H2 PIPELINE'!$I$39</f>
        <v>0</v>
      </c>
      <c r="Q471" s="345">
        <f>'H2 PIPELINE'!$I$39</f>
        <v>0</v>
      </c>
      <c r="R471" s="345">
        <f>'H2 PIPELINE'!$I$39</f>
        <v>0</v>
      </c>
      <c r="S471" s="345">
        <f>'H2 PIPELINE'!$I$39</f>
        <v>0</v>
      </c>
    </row>
    <row r="472" spans="2:19" x14ac:dyDescent="0.25">
      <c r="B472" s="316"/>
      <c r="C472" s="325" t="s">
        <v>1405</v>
      </c>
      <c r="D472" s="310" t="s">
        <v>543</v>
      </c>
      <c r="E472" s="310" t="str">
        <f>"Opex "&amp;G442&amp;" pipeline"</f>
        <v>Opex existing pipeline</v>
      </c>
      <c r="F472" s="310" t="s">
        <v>914</v>
      </c>
      <c r="G472" s="345">
        <f t="shared" ref="G472:G497" si="64">IF(LEN(HLOOKUP($D$6,$J$9:$DG$501,ROW()-ROW($G$9)+1,FALSE))&lt;&gt;0,HLOOKUP($D$6,$J$9:$DG$501,ROW()-ROW($G$9)+1,FALSE),"")</f>
        <v>545991.62754050805</v>
      </c>
      <c r="H472" s="310"/>
      <c r="J472" s="345">
        <f>IF(J442="new",'H2 PIPELINE'!$O$8,'H2 PIPELINE'!$O$9)</f>
        <v>545991.62754050805</v>
      </c>
      <c r="K472" s="345">
        <f>IF(K442="new",'H2 PIPELINE'!$O$8,'H2 PIPELINE'!$O$9)</f>
        <v>545991.62754050805</v>
      </c>
      <c r="L472" s="345">
        <f>IF(L442="new",'H2 PIPELINE'!$O$8,'H2 PIPELINE'!$O$9)</f>
        <v>545991.62754050805</v>
      </c>
      <c r="N472" s="345">
        <f>IF(N442="new",'H2 PIPELINE'!$O$8,'H2 PIPELINE'!$O$9)</f>
        <v>545991.62754050805</v>
      </c>
      <c r="O472" s="345">
        <f>IF(O442="new",'H2 PIPELINE'!$O$8,'H2 PIPELINE'!$O$9)</f>
        <v>0</v>
      </c>
      <c r="Q472" s="345">
        <f>IF(Q442="new",'H2 PIPELINE'!$O$8,'H2 PIPELINE'!$O$9)</f>
        <v>0</v>
      </c>
      <c r="R472" s="345">
        <f>IF(R442="new",'H2 PIPELINE'!$O$8,'H2 PIPELINE'!$O$9)</f>
        <v>0</v>
      </c>
      <c r="S472" s="345">
        <f>IF(S442="new",'H2 PIPELINE'!$O$8,'H2 PIPELINE'!$O$9)</f>
        <v>0</v>
      </c>
    </row>
    <row r="473" spans="2:19" x14ac:dyDescent="0.25">
      <c r="B473" s="316"/>
      <c r="C473" s="325" t="s">
        <v>1405</v>
      </c>
      <c r="D473" s="325" t="s">
        <v>543</v>
      </c>
      <c r="E473" s="901" t="s">
        <v>1485</v>
      </c>
      <c r="F473" s="325" t="s">
        <v>914</v>
      </c>
      <c r="G473" s="345">
        <f t="shared" si="64"/>
        <v>1449545.698320738</v>
      </c>
      <c r="H473" s="325"/>
      <c r="J473" s="698">
        <f>'H2 PIPELINE'!$O$10</f>
        <v>1449545.698320738</v>
      </c>
      <c r="K473" s="698">
        <f>'H2 PIPELINE'!$O$10</f>
        <v>1449545.698320738</v>
      </c>
      <c r="L473" s="698">
        <f>'H2 PIPELINE'!$O$10</f>
        <v>1449545.698320738</v>
      </c>
      <c r="M473" s="966"/>
      <c r="N473" s="698">
        <f>'H2 PIPELINE'!$O$10</f>
        <v>1449545.698320738</v>
      </c>
      <c r="O473" s="698">
        <f>'H2 PIPELINE'!$O$10</f>
        <v>1449545.698320738</v>
      </c>
      <c r="P473" s="966"/>
      <c r="Q473" s="698">
        <f>'H2 PIPELINE'!$O$10</f>
        <v>1449545.698320738</v>
      </c>
      <c r="R473" s="698">
        <f>'H2 PIPELINE'!$O$10</f>
        <v>1449545.698320738</v>
      </c>
      <c r="S473" s="698">
        <f>'H2 PIPELINE'!$O$10</f>
        <v>1449545.698320738</v>
      </c>
    </row>
    <row r="474" spans="2:19" x14ac:dyDescent="0.25">
      <c r="B474" s="316"/>
      <c r="C474" s="325" t="s">
        <v>1405</v>
      </c>
      <c r="D474" s="310" t="s">
        <v>543</v>
      </c>
      <c r="E474" s="310" t="s">
        <v>882</v>
      </c>
      <c r="F474" s="310" t="s">
        <v>883</v>
      </c>
      <c r="G474" s="345">
        <f t="shared" si="64"/>
        <v>7493711.1827940242</v>
      </c>
      <c r="H474" s="742"/>
      <c r="J474" s="345">
        <f>'H2 PIPELINE'!$O$29</f>
        <v>7493711.1827940242</v>
      </c>
      <c r="K474" s="345">
        <f>'H2 PIPELINE'!$O$29</f>
        <v>7493711.1827940242</v>
      </c>
      <c r="L474" s="345">
        <f>'H2 PIPELINE'!$O$29</f>
        <v>7493711.1827940242</v>
      </c>
      <c r="N474" s="345">
        <f>'H2 PIPELINE'!$O$29</f>
        <v>7493711.1827940242</v>
      </c>
      <c r="O474" s="345">
        <f>'H2 PIPELINE'!$O$29</f>
        <v>7493711.1827940242</v>
      </c>
      <c r="Q474" s="345">
        <f>'H2 PIPELINE'!$O$29</f>
        <v>7493711.1827940242</v>
      </c>
      <c r="R474" s="345">
        <f>'H2 PIPELINE'!$O$29</f>
        <v>7493711.1827940242</v>
      </c>
      <c r="S474" s="345">
        <f>'H2 PIPELINE'!$O$29</f>
        <v>7493711.1827940242</v>
      </c>
    </row>
    <row r="475" spans="2:19" x14ac:dyDescent="0.25">
      <c r="B475" s="316"/>
      <c r="C475" s="325" t="s">
        <v>1405</v>
      </c>
      <c r="D475" s="310" t="s">
        <v>543</v>
      </c>
      <c r="E475" s="310" t="s">
        <v>1202</v>
      </c>
      <c r="F475" s="310" t="s">
        <v>562</v>
      </c>
      <c r="G475" s="331">
        <f t="shared" si="64"/>
        <v>0</v>
      </c>
      <c r="H475" s="310"/>
      <c r="J475" s="331">
        <f>'H2 PIPELINE'!$O$12</f>
        <v>0</v>
      </c>
      <c r="K475" s="331">
        <f>'H2 PIPELINE'!$O$12</f>
        <v>0</v>
      </c>
      <c r="L475" s="331">
        <f>'H2 PIPELINE'!$O$12</f>
        <v>0</v>
      </c>
      <c r="N475" s="331">
        <f>'H2 PIPELINE'!$O$12</f>
        <v>0</v>
      </c>
      <c r="O475" s="331">
        <f>'H2 PIPELINE'!$O$12</f>
        <v>0</v>
      </c>
      <c r="Q475" s="331">
        <f>'H2 PIPELINE'!$O$12</f>
        <v>0</v>
      </c>
      <c r="R475" s="331">
        <f>'H2 PIPELINE'!$O$12</f>
        <v>0</v>
      </c>
      <c r="S475" s="331">
        <f>'H2 PIPELINE'!$O$12</f>
        <v>0</v>
      </c>
    </row>
    <row r="476" spans="2:19" x14ac:dyDescent="0.25">
      <c r="B476" s="316"/>
      <c r="C476" s="325" t="s">
        <v>1405</v>
      </c>
      <c r="D476" s="310" t="s">
        <v>120</v>
      </c>
      <c r="E476" s="310" t="s">
        <v>809</v>
      </c>
      <c r="F476" s="310" t="s">
        <v>757</v>
      </c>
      <c r="G476" s="688" t="str">
        <f t="shared" si="64"/>
        <v>K15-FB-1</v>
      </c>
      <c r="H476" s="310"/>
      <c r="J476" s="688" t="s">
        <v>213</v>
      </c>
      <c r="K476" s="688" t="s">
        <v>213</v>
      </c>
      <c r="L476" s="688" t="s">
        <v>213</v>
      </c>
      <c r="N476" s="688" t="s">
        <v>213</v>
      </c>
      <c r="O476" s="688" t="s">
        <v>213</v>
      </c>
      <c r="Q476" s="688" t="s">
        <v>213</v>
      </c>
      <c r="R476" s="688" t="s">
        <v>213</v>
      </c>
      <c r="S476" s="688" t="s">
        <v>213</v>
      </c>
    </row>
    <row r="477" spans="2:19" s="1186" customFormat="1" x14ac:dyDescent="0.25">
      <c r="B477" s="316"/>
      <c r="C477" s="1188" t="s">
        <v>1405</v>
      </c>
      <c r="D477" s="1188" t="s">
        <v>120</v>
      </c>
      <c r="E477" s="1316" t="s">
        <v>1690</v>
      </c>
      <c r="F477" s="1188" t="s">
        <v>757</v>
      </c>
      <c r="G477" s="688">
        <f t="shared" si="64"/>
        <v>1</v>
      </c>
      <c r="H477" s="1188"/>
      <c r="J477" s="689">
        <v>0</v>
      </c>
      <c r="K477" s="689">
        <v>0</v>
      </c>
      <c r="L477" s="689">
        <v>0</v>
      </c>
      <c r="M477" s="962"/>
      <c r="N477" s="689">
        <v>1</v>
      </c>
      <c r="O477" s="689">
        <v>1</v>
      </c>
      <c r="P477" s="962"/>
      <c r="Q477" s="689">
        <v>0</v>
      </c>
      <c r="R477" s="689">
        <v>0</v>
      </c>
      <c r="S477" s="689">
        <v>0</v>
      </c>
    </row>
    <row r="478" spans="2:19" s="1186" customFormat="1" x14ac:dyDescent="0.25">
      <c r="B478" s="316"/>
      <c r="C478" s="1188" t="s">
        <v>1405</v>
      </c>
      <c r="D478" s="1188" t="s">
        <v>120</v>
      </c>
      <c r="E478" s="1316" t="s">
        <v>1692</v>
      </c>
      <c r="F478" s="1188" t="s">
        <v>1691</v>
      </c>
      <c r="G478" s="688">
        <f t="shared" si="64"/>
        <v>80000000</v>
      </c>
      <c r="H478" s="1188"/>
      <c r="J478" s="689">
        <v>40000000</v>
      </c>
      <c r="K478" s="689">
        <v>40000000</v>
      </c>
      <c r="L478" s="689">
        <v>40000000</v>
      </c>
      <c r="M478" s="962"/>
      <c r="N478" s="689">
        <f>80*10^6</f>
        <v>80000000</v>
      </c>
      <c r="O478" s="689">
        <f>80*10^6</f>
        <v>80000000</v>
      </c>
      <c r="P478" s="962"/>
      <c r="Q478" s="689">
        <v>40000000</v>
      </c>
      <c r="R478" s="689">
        <v>40000000</v>
      </c>
      <c r="S478" s="689">
        <v>40000000</v>
      </c>
    </row>
    <row r="479" spans="2:19" x14ac:dyDescent="0.25">
      <c r="B479" s="316"/>
      <c r="C479" s="325" t="s">
        <v>1405</v>
      </c>
      <c r="D479" s="310" t="s">
        <v>120</v>
      </c>
      <c r="E479" s="310" t="s">
        <v>1111</v>
      </c>
      <c r="F479" s="310" t="s">
        <v>46</v>
      </c>
      <c r="G479" s="350">
        <f t="shared" si="64"/>
        <v>30.11971706980685</v>
      </c>
      <c r="H479" s="310"/>
      <c r="J479" s="350">
        <f>IFERROR(HLOOKUP(J$378-1,Output!$E$320:$BL$334,MATCH(Output!$E$330,Output!$E$320:$E$334,0)),0)</f>
        <v>121.25807521071114</v>
      </c>
      <c r="K479" s="350">
        <f>IFERROR(HLOOKUP(K$378-1,Output!$E$320:$BL$334,MATCH(Output!$E$330,Output!$E$320:$E$334,0)),0)</f>
        <v>0</v>
      </c>
      <c r="L479" s="350">
        <f>IFERROR(HLOOKUP(L$378-1,Output!$E$320:$BL$334,MATCH(Output!$E$330,Output!$E$320:$E$334,0)),0)</f>
        <v>30.11971706980685</v>
      </c>
      <c r="N479" s="350">
        <f>IFERROR(HLOOKUP(N$378-1,Output!$E$320:$BL$334,MATCH(Output!$E$330,Output!$E$320:$E$334,0)),0)</f>
        <v>30.11971706980685</v>
      </c>
      <c r="O479" s="350">
        <f>IFERROR(HLOOKUP(O$378-1,Output!$E$320:$BL$334,MATCH(Output!$E$330,Output!$E$320:$E$334,0)),0)</f>
        <v>30.11971706980685</v>
      </c>
      <c r="Q479" s="350">
        <f>IFERROR(HLOOKUP(Q$378-1,Output!$E$320:$BL$334,MATCH(Output!$E$330,Output!$E$320:$E$334,0)),0)</f>
        <v>0</v>
      </c>
      <c r="R479" s="350">
        <f>IFERROR(HLOOKUP(R$378-1,Output!$E$320:$BL$334,MATCH(Output!$E$330,Output!$E$320:$E$334,0)),0)</f>
        <v>0</v>
      </c>
      <c r="S479" s="350">
        <f>IFERROR(HLOOKUP(S$378-1,Output!$E$320:$BL$334,MATCH(Output!$E$330,Output!$E$320:$E$334,0)),0)</f>
        <v>0</v>
      </c>
    </row>
    <row r="480" spans="2:19" x14ac:dyDescent="0.25">
      <c r="B480" s="316"/>
      <c r="C480" s="325" t="s">
        <v>1405</v>
      </c>
      <c r="D480" s="310" t="s">
        <v>120</v>
      </c>
      <c r="E480" s="310" t="s">
        <v>1112</v>
      </c>
      <c r="F480" s="310" t="s">
        <v>46</v>
      </c>
      <c r="G480" s="331">
        <f t="shared" si="64"/>
        <v>101.25807521071114</v>
      </c>
      <c r="H480" s="310"/>
      <c r="J480" s="331">
        <f>IFERROR(HLOOKUP(J$378,Output!$E$320:$BL$334,MATCH(Output!$E$332,Output!$E$320:$E$334,0)),0)</f>
        <v>0</v>
      </c>
      <c r="K480" s="331">
        <f>IFERROR(HLOOKUP(K$378,Output!$E$320:$BL$334,MATCH(Output!$E$332,Output!$E$320:$E$334,0)),0)</f>
        <v>0</v>
      </c>
      <c r="L480" s="331">
        <f>IFERROR(HLOOKUP(L$378,Output!$E$320:$BL$334,MATCH(Output!$E$332,Output!$E$320:$E$334,0)),0)</f>
        <v>0</v>
      </c>
      <c r="N480" s="331">
        <f>IFERROR(HLOOKUP(N$378,Output!$E$320:$BL$334,MATCH(Output!$E$332,Output!$E$320:$E$334,0)),0)</f>
        <v>101.25807521071114</v>
      </c>
      <c r="O480" s="331">
        <f>IFERROR(HLOOKUP(O$378,Output!$E$320:$BL$334,MATCH(Output!$E$332,Output!$E$320:$E$334,0)),0)</f>
        <v>101.25807521071114</v>
      </c>
      <c r="Q480" s="331">
        <f>IFERROR(HLOOKUP(Q$378,Output!$E$320:$BL$334,MATCH(Output!$E$332,Output!$E$320:$E$334,0)),0)</f>
        <v>0</v>
      </c>
      <c r="R480" s="331">
        <f>IFERROR(HLOOKUP(R$378,Output!$E$320:$BL$334,MATCH(Output!$E$332,Output!$E$320:$E$334,0)),0)</f>
        <v>0</v>
      </c>
      <c r="S480" s="331">
        <f>IFERROR(HLOOKUP(S$378,Output!$E$320:$BL$334,MATCH(Output!$E$332,Output!$E$320:$E$334,0)),0)</f>
        <v>0</v>
      </c>
    </row>
    <row r="481" spans="2:19" x14ac:dyDescent="0.25">
      <c r="B481" s="316"/>
      <c r="C481" s="325" t="s">
        <v>1405</v>
      </c>
      <c r="D481" s="325" t="s">
        <v>120</v>
      </c>
      <c r="E481" s="325" t="s">
        <v>1542</v>
      </c>
      <c r="F481" s="325" t="s">
        <v>1528</v>
      </c>
      <c r="G481" s="328">
        <f t="shared" si="64"/>
        <v>9.2831095406360422</v>
      </c>
      <c r="H481" s="325" t="s">
        <v>1544</v>
      </c>
      <c r="J481" s="689">
        <v>9.2831095406360422</v>
      </c>
      <c r="K481" s="689">
        <v>9.2831095406360422</v>
      </c>
      <c r="L481" s="689">
        <v>9.2831095406360422</v>
      </c>
      <c r="N481" s="689">
        <v>9.2831095406360422</v>
      </c>
      <c r="O481" s="689">
        <v>9.2831095406360422</v>
      </c>
      <c r="Q481" s="689">
        <v>9.2831095406360422</v>
      </c>
      <c r="R481" s="689">
        <v>9.2831095406360422</v>
      </c>
      <c r="S481" s="689">
        <v>9.2831095406360422</v>
      </c>
    </row>
    <row r="482" spans="2:19" x14ac:dyDescent="0.25">
      <c r="B482" s="316"/>
      <c r="C482" s="325" t="s">
        <v>1405</v>
      </c>
      <c r="D482" s="325" t="s">
        <v>120</v>
      </c>
      <c r="E482" s="325" t="s">
        <v>1543</v>
      </c>
      <c r="F482" s="325" t="s">
        <v>886</v>
      </c>
      <c r="G482" s="328">
        <f t="shared" si="64"/>
        <v>0.65073059234615382</v>
      </c>
      <c r="H482" s="325" t="s">
        <v>1545</v>
      </c>
      <c r="J482" s="689">
        <v>0.65073059234615382</v>
      </c>
      <c r="K482" s="689">
        <v>0.65073059234615382</v>
      </c>
      <c r="L482" s="689">
        <v>0.65073059234615382</v>
      </c>
      <c r="N482" s="689">
        <v>0.65073059234615382</v>
      </c>
      <c r="O482" s="689">
        <v>0.65073059234615382</v>
      </c>
      <c r="Q482" s="689">
        <v>0.65073059234615382</v>
      </c>
      <c r="R482" s="689">
        <v>0.65073059234615382</v>
      </c>
      <c r="S482" s="689">
        <v>0.65073059234615382</v>
      </c>
    </row>
    <row r="483" spans="2:19" x14ac:dyDescent="0.25">
      <c r="B483" s="316"/>
      <c r="C483" s="325" t="s">
        <v>1405</v>
      </c>
      <c r="D483" s="310" t="s">
        <v>120</v>
      </c>
      <c r="E483" s="901" t="s">
        <v>1119</v>
      </c>
      <c r="F483" s="310" t="s">
        <v>11</v>
      </c>
      <c r="G483" s="1035">
        <f t="shared" si="64"/>
        <v>0</v>
      </c>
      <c r="H483" s="310" t="s">
        <v>1611</v>
      </c>
      <c r="J483" s="1161">
        <v>0</v>
      </c>
      <c r="K483" s="1161">
        <v>0</v>
      </c>
      <c r="L483" s="1161">
        <v>0</v>
      </c>
      <c r="N483" s="1161">
        <v>0</v>
      </c>
      <c r="O483" s="1161">
        <v>0</v>
      </c>
      <c r="Q483" s="1161">
        <v>0</v>
      </c>
      <c r="R483" s="1161">
        <v>0</v>
      </c>
      <c r="S483" s="1161">
        <v>0</v>
      </c>
    </row>
    <row r="484" spans="2:19" x14ac:dyDescent="0.25">
      <c r="B484" s="316"/>
      <c r="C484" s="325" t="s">
        <v>1405</v>
      </c>
      <c r="D484" s="310" t="s">
        <v>120</v>
      </c>
      <c r="E484" s="901" t="s">
        <v>1214</v>
      </c>
      <c r="F484" s="310" t="s">
        <v>562</v>
      </c>
      <c r="G484" s="331">
        <f t="shared" si="64"/>
        <v>46277627.294251874</v>
      </c>
      <c r="H484" s="310"/>
      <c r="J484" s="331">
        <f>'H2 PLATFORM'!$H$9</f>
        <v>46277627.294251874</v>
      </c>
      <c r="K484" s="331">
        <f>'H2 PLATFORM'!$H$9</f>
        <v>46277627.294251874</v>
      </c>
      <c r="L484" s="331">
        <f>'H2 PLATFORM'!$H$9</f>
        <v>46277627.294251874</v>
      </c>
      <c r="N484" s="331">
        <f>'H2 PLATFORM'!$H$9</f>
        <v>46277627.294251874</v>
      </c>
      <c r="O484" s="331">
        <f>'H2 PLATFORM'!$H$9</f>
        <v>46277627.294251874</v>
      </c>
      <c r="Q484" s="331">
        <f>'H2 PLATFORM'!$H$9</f>
        <v>46277627.294251874</v>
      </c>
      <c r="R484" s="331">
        <f>'H2 PLATFORM'!$H$9</f>
        <v>46277627.294251874</v>
      </c>
      <c r="S484" s="331">
        <f>'H2 PLATFORM'!$H$9</f>
        <v>46277627.294251874</v>
      </c>
    </row>
    <row r="485" spans="2:19" x14ac:dyDescent="0.25">
      <c r="B485" s="316"/>
      <c r="C485" s="325" t="s">
        <v>1405</v>
      </c>
      <c r="D485" s="310" t="s">
        <v>120</v>
      </c>
      <c r="E485" s="901" t="s">
        <v>1215</v>
      </c>
      <c r="F485" s="310" t="s">
        <v>914</v>
      </c>
      <c r="G485" s="331">
        <f t="shared" si="64"/>
        <v>0</v>
      </c>
      <c r="H485" s="310"/>
      <c r="J485" s="331">
        <f>'H2 PLATFORM'!$H$10</f>
        <v>0</v>
      </c>
      <c r="K485" s="331">
        <f>'H2 PLATFORM'!$H$10</f>
        <v>0</v>
      </c>
      <c r="L485" s="331">
        <f>'H2 PLATFORM'!$H$10</f>
        <v>0</v>
      </c>
      <c r="N485" s="331">
        <f>'H2 PLATFORM'!$H$10</f>
        <v>0</v>
      </c>
      <c r="O485" s="331">
        <f>'H2 PLATFORM'!$H$10</f>
        <v>0</v>
      </c>
      <c r="Q485" s="331">
        <f>'H2 PLATFORM'!$H$10</f>
        <v>0</v>
      </c>
      <c r="R485" s="331">
        <f>'H2 PLATFORM'!$H$10</f>
        <v>0</v>
      </c>
      <c r="S485" s="331">
        <f>'H2 PLATFORM'!$H$10</f>
        <v>0</v>
      </c>
    </row>
    <row r="486" spans="2:19" x14ac:dyDescent="0.25">
      <c r="B486" s="316"/>
      <c r="C486" s="1188" t="s">
        <v>1405</v>
      </c>
      <c r="D486" s="1188" t="s">
        <v>120</v>
      </c>
      <c r="E486" s="1318" t="s">
        <v>1211</v>
      </c>
      <c r="F486" s="310" t="s">
        <v>562</v>
      </c>
      <c r="G486" s="689">
        <f t="shared" si="64"/>
        <v>0</v>
      </c>
      <c r="H486" s="325"/>
      <c r="J486" s="1111">
        <v>0</v>
      </c>
      <c r="K486" s="1111">
        <v>0</v>
      </c>
      <c r="L486" s="1111">
        <v>0</v>
      </c>
      <c r="M486" s="959"/>
      <c r="N486" s="1111">
        <v>0</v>
      </c>
      <c r="O486" s="1111">
        <v>0</v>
      </c>
      <c r="P486" s="959"/>
      <c r="Q486" s="1111">
        <v>0</v>
      </c>
      <c r="R486" s="1111">
        <v>0</v>
      </c>
      <c r="S486" s="1111">
        <v>0</v>
      </c>
    </row>
    <row r="487" spans="2:19" s="1186" customFormat="1" x14ac:dyDescent="0.25">
      <c r="B487" s="316"/>
      <c r="C487" s="1188" t="s">
        <v>1405</v>
      </c>
      <c r="D487" s="1188" t="s">
        <v>120</v>
      </c>
      <c r="E487" s="961" t="str">
        <f>'H2 PLATFORM'!G7</f>
        <v>Total capex new platforms (LH2)</v>
      </c>
      <c r="F487" s="901" t="s">
        <v>562</v>
      </c>
      <c r="G487" s="331">
        <f t="shared" si="64"/>
        <v>80000000</v>
      </c>
      <c r="H487" s="901"/>
      <c r="I487" s="962"/>
      <c r="J487" s="331">
        <f>'H2 PLATFORM'!$H$7</f>
        <v>80000000</v>
      </c>
      <c r="K487" s="331">
        <f>'H2 PLATFORM'!$H$7</f>
        <v>80000000</v>
      </c>
      <c r="L487" s="331">
        <f>'H2 PLATFORM'!$H$7</f>
        <v>80000000</v>
      </c>
      <c r="M487" s="962"/>
      <c r="N487" s="331">
        <f>'H2 PLATFORM'!$H$7</f>
        <v>80000000</v>
      </c>
      <c r="O487" s="331">
        <f>'H2 PLATFORM'!$H$7</f>
        <v>80000000</v>
      </c>
      <c r="P487" s="962"/>
      <c r="Q487" s="331">
        <f>'H2 PLATFORM'!$H$7</f>
        <v>80000000</v>
      </c>
      <c r="R487" s="331">
        <f>'H2 PLATFORM'!$H$7</f>
        <v>80000000</v>
      </c>
      <c r="S487" s="331">
        <f>'H2 PLATFORM'!$H$7</f>
        <v>80000000</v>
      </c>
    </row>
    <row r="488" spans="2:19" x14ac:dyDescent="0.25">
      <c r="B488" s="316"/>
      <c r="C488" s="325" t="s">
        <v>1405</v>
      </c>
      <c r="D488" s="310" t="s">
        <v>120</v>
      </c>
      <c r="E488" s="1318" t="s">
        <v>1607</v>
      </c>
      <c r="F488" s="310" t="s">
        <v>862</v>
      </c>
      <c r="G488" s="689">
        <f t="shared" si="64"/>
        <v>7936805.8527467251</v>
      </c>
      <c r="H488" s="325"/>
      <c r="J488" s="957">
        <v>0</v>
      </c>
      <c r="K488" s="957">
        <v>0</v>
      </c>
      <c r="L488" s="957">
        <v>0</v>
      </c>
      <c r="N488" s="957">
        <f>50%*(20*10^6-(N472+N448+N439+N422+N411+N211+N176))</f>
        <v>7936805.8527467251</v>
      </c>
      <c r="O488" s="957">
        <f>50%*(20*10^6-(O472+O448+O439+O422+O411+O211+O176))</f>
        <v>8209801.6665169792</v>
      </c>
      <c r="Q488" s="689">
        <v>0</v>
      </c>
      <c r="R488" s="689">
        <v>0</v>
      </c>
      <c r="S488" s="689">
        <v>0</v>
      </c>
    </row>
    <row r="489" spans="2:19" x14ac:dyDescent="0.25">
      <c r="B489" s="316"/>
      <c r="C489" s="325" t="s">
        <v>1405</v>
      </c>
      <c r="D489" s="325" t="s">
        <v>120</v>
      </c>
      <c r="E489" s="901" t="str">
        <f>'H2 PLATFORM'!G13</f>
        <v>Total area electrical equipment</v>
      </c>
      <c r="F489" s="901" t="str">
        <f>'H2 PLATFORM'!I13</f>
        <v>m²</v>
      </c>
      <c r="G489" s="331">
        <f t="shared" si="64"/>
        <v>939.98980405499447</v>
      </c>
      <c r="H489" s="325"/>
      <c r="J489" s="331">
        <f>'H2 PLATFORM'!$H$13</f>
        <v>939.98980405499447</v>
      </c>
      <c r="K489" s="331">
        <f>'H2 PLATFORM'!$H$13</f>
        <v>939.98980405499447</v>
      </c>
      <c r="L489" s="331">
        <f>'H2 PLATFORM'!$H$13</f>
        <v>939.98980405499447</v>
      </c>
      <c r="N489" s="331">
        <f>'H2 PLATFORM'!$H$13</f>
        <v>939.98980405499447</v>
      </c>
      <c r="O489" s="331">
        <f>'H2 PLATFORM'!$H$13</f>
        <v>939.98980405499447</v>
      </c>
      <c r="Q489" s="331">
        <f>'H2 PLATFORM'!$H$13</f>
        <v>939.98980405499447</v>
      </c>
      <c r="R489" s="331">
        <f>'H2 PLATFORM'!$H$13</f>
        <v>939.98980405499447</v>
      </c>
      <c r="S489" s="331">
        <f>'H2 PLATFORM'!$H$13</f>
        <v>939.98980405499447</v>
      </c>
    </row>
    <row r="490" spans="2:19" x14ac:dyDescent="0.25">
      <c r="B490" s="316"/>
      <c r="C490" s="325" t="s">
        <v>1405</v>
      </c>
      <c r="D490" s="325" t="s">
        <v>120</v>
      </c>
      <c r="E490" s="901" t="str">
        <f>'H2 PLATFORM'!G14</f>
        <v>Total weight electrical equipment</v>
      </c>
      <c r="F490" s="901" t="str">
        <f>'H2 PLATFORM'!I14</f>
        <v>t</v>
      </c>
      <c r="G490" s="331">
        <f t="shared" si="64"/>
        <v>65.891727261697454</v>
      </c>
      <c r="H490" s="325"/>
      <c r="J490" s="331">
        <f>'H2 PLATFORM'!$H$14</f>
        <v>65.891727261697454</v>
      </c>
      <c r="K490" s="331">
        <f>'H2 PLATFORM'!$H$14</f>
        <v>65.891727261697454</v>
      </c>
      <c r="L490" s="331">
        <f>'H2 PLATFORM'!$H$14</f>
        <v>65.891727261697454</v>
      </c>
      <c r="N490" s="331">
        <f>'H2 PLATFORM'!$H$14</f>
        <v>65.891727261697454</v>
      </c>
      <c r="O490" s="331">
        <f>'H2 PLATFORM'!$H$14</f>
        <v>65.891727261697454</v>
      </c>
      <c r="Q490" s="331">
        <f>'H2 PLATFORM'!$H$14</f>
        <v>65.891727261697454</v>
      </c>
      <c r="R490" s="331">
        <f>'H2 PLATFORM'!$H$14</f>
        <v>65.891727261697454</v>
      </c>
      <c r="S490" s="331">
        <f>'H2 PLATFORM'!$H$14</f>
        <v>65.891727261697454</v>
      </c>
    </row>
    <row r="491" spans="2:19" x14ac:dyDescent="0.25">
      <c r="B491" s="316"/>
      <c r="C491" s="325" t="s">
        <v>1405</v>
      </c>
      <c r="D491" s="310" t="s">
        <v>120</v>
      </c>
      <c r="E491" s="310"/>
      <c r="F491" s="310"/>
      <c r="G491" s="325" t="str">
        <f t="shared" si="64"/>
        <v/>
      </c>
      <c r="H491" s="310"/>
      <c r="J491" s="310"/>
      <c r="K491" s="310"/>
      <c r="L491" s="325"/>
      <c r="N491" s="310"/>
      <c r="O491" s="310"/>
      <c r="Q491" s="310"/>
      <c r="R491" s="310"/>
      <c r="S491" s="325"/>
    </row>
    <row r="492" spans="2:19" x14ac:dyDescent="0.25">
      <c r="B492" s="316"/>
      <c r="C492" s="325" t="s">
        <v>1405</v>
      </c>
      <c r="D492" s="901" t="s">
        <v>1432</v>
      </c>
      <c r="E492" s="901" t="s">
        <v>1433</v>
      </c>
      <c r="F492" s="901" t="s">
        <v>1437</v>
      </c>
      <c r="G492" s="901" t="b">
        <f t="shared" si="64"/>
        <v>1</v>
      </c>
      <c r="H492" s="325"/>
      <c r="J492" s="325" t="b">
        <f>TRUE</f>
        <v>1</v>
      </c>
      <c r="K492" s="325" t="b">
        <f>TRUE</f>
        <v>1</v>
      </c>
      <c r="L492" s="325" t="b">
        <f>TRUE</f>
        <v>1</v>
      </c>
      <c r="N492" s="325" t="b">
        <f>TRUE</f>
        <v>1</v>
      </c>
      <c r="O492" s="325" t="b">
        <f>TRUE</f>
        <v>1</v>
      </c>
      <c r="Q492" s="325" t="b">
        <f>TRUE</f>
        <v>1</v>
      </c>
      <c r="R492" s="325" t="b">
        <f>TRUE</f>
        <v>1</v>
      </c>
      <c r="S492" s="325" t="b">
        <f>TRUE</f>
        <v>1</v>
      </c>
    </row>
    <row r="493" spans="2:19" x14ac:dyDescent="0.25">
      <c r="B493" s="316"/>
      <c r="C493" s="325" t="s">
        <v>1405</v>
      </c>
      <c r="D493" s="901" t="s">
        <v>1432</v>
      </c>
      <c r="E493" s="901" t="s">
        <v>1434</v>
      </c>
      <c r="F493" s="901" t="s">
        <v>1437</v>
      </c>
      <c r="G493" s="901" t="b">
        <f t="shared" si="64"/>
        <v>1</v>
      </c>
      <c r="H493" s="325"/>
      <c r="J493" s="325" t="b">
        <f>IF(OR(J$379&lt;MAX(J$57,J$110,J$258),J248,J371,J99),FALSE,TRUE)</f>
        <v>1</v>
      </c>
      <c r="K493" s="325" t="b">
        <f>IF(OR(K$379&lt;MAX(K$57,K$110,K$258),K248,K371,K99),FALSE,TRUE)</f>
        <v>0</v>
      </c>
      <c r="L493" s="325" t="b">
        <f>IF(OR(L$379&lt;MAX(L$57,L$110,L$258),L248,L371,L99),FALSE,TRUE)</f>
        <v>1</v>
      </c>
      <c r="N493" s="325" t="b">
        <f>IF(OR(N$379&lt;MAX(N$57,N$110,N$258),N248,N371,N99),FALSE,TRUE)</f>
        <v>1</v>
      </c>
      <c r="O493" s="325" t="b">
        <f>IF(OR(O$379&lt;MAX(O$57,O$110,O$258),O248,O371,O99),FALSE,TRUE)</f>
        <v>0</v>
      </c>
      <c r="Q493" s="325" t="b">
        <f>IF(OR(Q$379&lt;MAX(Q$57,Q$110,Q$258),Q248,Q371,Q99),FALSE,TRUE)</f>
        <v>0</v>
      </c>
      <c r="R493" s="325" t="b">
        <f>IF(OR(R$379&lt;MAX(R$57,R$110,R$258),R248,R371,R99),FALSE,TRUE)</f>
        <v>0</v>
      </c>
      <c r="S493" s="325" t="b">
        <f>IF(OR(S$379&lt;MAX(S$57,S$110,S$258),S248,S371,S99),FALSE,TRUE)</f>
        <v>0</v>
      </c>
    </row>
    <row r="494" spans="2:19" x14ac:dyDescent="0.25">
      <c r="B494" s="316"/>
      <c r="C494" s="325" t="s">
        <v>1405</v>
      </c>
      <c r="D494" s="901" t="s">
        <v>1432</v>
      </c>
      <c r="E494" s="901" t="s">
        <v>1435</v>
      </c>
      <c r="F494" s="901" t="s">
        <v>1437</v>
      </c>
      <c r="G494" s="901" t="b">
        <f t="shared" si="64"/>
        <v>0</v>
      </c>
      <c r="H494" s="325"/>
      <c r="J494" s="325" t="b">
        <f>FALSE</f>
        <v>0</v>
      </c>
      <c r="K494" s="325" t="b">
        <f>FALSE</f>
        <v>0</v>
      </c>
      <c r="L494" s="325" t="b">
        <f>FALSE</f>
        <v>0</v>
      </c>
      <c r="N494" s="325" t="b">
        <f>FALSE</f>
        <v>0</v>
      </c>
      <c r="O494" s="325" t="b">
        <f>FALSE</f>
        <v>0</v>
      </c>
      <c r="Q494" s="325" t="b">
        <f>FALSE</f>
        <v>0</v>
      </c>
      <c r="R494" s="325" t="b">
        <f>FALSE</f>
        <v>0</v>
      </c>
      <c r="S494" s="325" t="b">
        <f>FALSE</f>
        <v>0</v>
      </c>
    </row>
    <row r="495" spans="2:19" x14ac:dyDescent="0.25">
      <c r="B495" s="316"/>
      <c r="C495" s="325" t="s">
        <v>1405</v>
      </c>
      <c r="D495" s="901" t="s">
        <v>1432</v>
      </c>
      <c r="E495" s="901" t="s">
        <v>1436</v>
      </c>
      <c r="F495" s="901" t="s">
        <v>1437</v>
      </c>
      <c r="G495" s="901" t="b">
        <f t="shared" si="64"/>
        <v>1</v>
      </c>
      <c r="H495" s="325"/>
      <c r="J495" s="325" t="b">
        <f>IF(J496,IF(J379&gt;MAX(J57,J110,J258),TRUE,FALSE),IF(J497&gt;0,TRUE,FALSE))</f>
        <v>1</v>
      </c>
      <c r="K495" s="325" t="b">
        <f>IF(K496,IF(K379&gt;MAX(K57,K110,K258),TRUE,FALSE),IF(K497&gt;0,TRUE,FALSE))</f>
        <v>0</v>
      </c>
      <c r="L495" s="325" t="b">
        <f>IF(L496,IF(L379&gt;MAX(L57,L110,L258),TRUE,FALSE),IF(L497&gt;0,TRUE,FALSE))</f>
        <v>1</v>
      </c>
      <c r="N495" s="325" t="b">
        <f>IF(N496,IF(N379&gt;MAX(N57,N110,N258),TRUE,FALSE),IF(N497&gt;0,TRUE,FALSE))</f>
        <v>1</v>
      </c>
      <c r="O495" s="325" t="b">
        <f>IF(O496,IF(O379&gt;MAX(O57,O110,O258),TRUE,FALSE),IF(O497&gt;0,TRUE,FALSE))</f>
        <v>0</v>
      </c>
      <c r="Q495" s="325" t="b">
        <f>IF(Q496,IF(Q379&gt;MAX(Q57,Q110,Q258),TRUE,FALSE),IF(Q497&gt;0,TRUE,FALSE))</f>
        <v>0</v>
      </c>
      <c r="R495" s="325" t="b">
        <f>IF(R496,IF(R379&gt;MAX(R57,R110,R258),TRUE,FALSE),IF(R497&gt;0,TRUE,FALSE))</f>
        <v>0</v>
      </c>
      <c r="S495" s="325" t="b">
        <f>IF(S496,IF(S379&gt;MAX(S57,S110,S258),TRUE,FALSE),IF(S497&gt;0,TRUE,FALSE))</f>
        <v>0</v>
      </c>
    </row>
    <row r="496" spans="2:19" x14ac:dyDescent="0.25">
      <c r="B496" s="316"/>
      <c r="C496" s="325" t="s">
        <v>1405</v>
      </c>
      <c r="D496" s="901" t="s">
        <v>1432</v>
      </c>
      <c r="E496" s="901" t="s">
        <v>1438</v>
      </c>
      <c r="F496" s="901" t="s">
        <v>1437</v>
      </c>
      <c r="G496" s="901" t="b">
        <f t="shared" si="64"/>
        <v>1</v>
      </c>
      <c r="H496" s="325"/>
      <c r="J496" s="325" t="b">
        <v>1</v>
      </c>
      <c r="K496" s="325" t="b">
        <v>1</v>
      </c>
      <c r="L496" s="325" t="b">
        <v>1</v>
      </c>
      <c r="N496" s="325" t="b">
        <v>1</v>
      </c>
      <c r="O496" s="325" t="b">
        <v>1</v>
      </c>
      <c r="Q496" s="325" t="b">
        <v>1</v>
      </c>
      <c r="R496" s="325" t="b">
        <v>1</v>
      </c>
      <c r="S496" s="325" t="b">
        <v>1</v>
      </c>
    </row>
    <row r="497" spans="2:19" x14ac:dyDescent="0.25">
      <c r="B497" s="316"/>
      <c r="C497" s="325" t="s">
        <v>1405</v>
      </c>
      <c r="D497" s="901" t="s">
        <v>1432</v>
      </c>
      <c r="E497" s="901" t="s">
        <v>1439</v>
      </c>
      <c r="F497" s="901" t="s">
        <v>1271</v>
      </c>
      <c r="G497" s="901">
        <f t="shared" si="64"/>
        <v>40</v>
      </c>
      <c r="H497" s="901"/>
      <c r="I497" s="962"/>
      <c r="J497" s="961">
        <f>J443</f>
        <v>93</v>
      </c>
      <c r="K497" s="961">
        <f t="shared" ref="K497:L497" si="65">K443</f>
        <v>93</v>
      </c>
      <c r="L497" s="961">
        <f t="shared" si="65"/>
        <v>93</v>
      </c>
      <c r="M497" s="962"/>
      <c r="N497" s="961">
        <f t="shared" ref="N497:O497" si="66">N443</f>
        <v>40</v>
      </c>
      <c r="O497" s="961">
        <f t="shared" si="66"/>
        <v>40</v>
      </c>
      <c r="P497" s="962"/>
      <c r="Q497" s="961">
        <f t="shared" ref="Q497:S497" si="67">Q443</f>
        <v>0</v>
      </c>
      <c r="R497" s="961">
        <f t="shared" si="67"/>
        <v>0</v>
      </c>
      <c r="S497" s="961">
        <f t="shared" si="67"/>
        <v>0</v>
      </c>
    </row>
    <row r="498" spans="2:19" x14ac:dyDescent="0.25">
      <c r="B498" s="316"/>
      <c r="C498" s="325"/>
      <c r="D498" s="326"/>
      <c r="E498" s="326"/>
      <c r="F498" s="326"/>
      <c r="G498" s="958"/>
      <c r="H498" s="325"/>
      <c r="J498" s="328"/>
      <c r="K498" s="328"/>
      <c r="L498" s="328"/>
      <c r="N498" s="328"/>
      <c r="O498" s="328"/>
      <c r="Q498" s="328"/>
      <c r="R498" s="328"/>
      <c r="S498" s="328"/>
    </row>
    <row r="499" spans="2:19" x14ac:dyDescent="0.25">
      <c r="B499" s="317"/>
      <c r="C499" s="325" t="s">
        <v>1688</v>
      </c>
      <c r="D499" s="901" t="s">
        <v>812</v>
      </c>
      <c r="E499" s="901" t="s">
        <v>1689</v>
      </c>
      <c r="F499" s="901" t="s">
        <v>745</v>
      </c>
      <c r="G499" s="901">
        <f>IF(LEN(HLOOKUP($D$6,$J$9:$DG$501,ROW()-ROW($G$9)+1,FALSE))&lt;&gt;0,HLOOKUP($D$6,$J$9:$DG$501,ROW()-ROW($G$9)+1,FALSE),"")</f>
        <v>2050</v>
      </c>
      <c r="H499" s="325"/>
      <c r="J499" s="1202">
        <f>Scenarios!$F$22</f>
        <v>2061</v>
      </c>
      <c r="K499" s="1202">
        <f>Scenarios!$F$54</f>
        <v>2060</v>
      </c>
      <c r="L499" s="1202">
        <f>Scenarios!$F$87</f>
        <v>2053</v>
      </c>
      <c r="M499" s="711"/>
      <c r="N499" s="1202">
        <f>Scenarios!$F$119</f>
        <v>2050</v>
      </c>
      <c r="O499" s="1202">
        <f>Scenarios!$F$153</f>
        <v>2050</v>
      </c>
      <c r="P499" s="711"/>
      <c r="Q499" s="1202">
        <f>Scenarios!$F$219</f>
        <v>2049</v>
      </c>
      <c r="R499" s="1202">
        <f>Scenarios!$F$252</f>
        <v>2053</v>
      </c>
      <c r="S499" s="1202">
        <f>Scenarios!$F$285</f>
        <v>2049</v>
      </c>
    </row>
    <row r="500" spans="2:19" x14ac:dyDescent="0.25">
      <c r="B500" s="317"/>
      <c r="C500" s="325"/>
      <c r="D500" s="326"/>
      <c r="E500" s="326"/>
      <c r="F500" s="326"/>
      <c r="G500" s="958"/>
      <c r="H500" s="325"/>
      <c r="J500" s="328"/>
      <c r="K500" s="328"/>
      <c r="L500" s="328"/>
      <c r="N500" s="328"/>
      <c r="O500" s="328"/>
      <c r="Q500" s="328"/>
      <c r="R500" s="328"/>
      <c r="S500" s="328"/>
    </row>
    <row r="501" spans="2:19" x14ac:dyDescent="0.25">
      <c r="B501" s="317"/>
      <c r="C501" s="310"/>
      <c r="D501" s="326"/>
      <c r="E501" s="326"/>
      <c r="F501" s="326"/>
      <c r="G501" s="958"/>
      <c r="H501" s="325"/>
      <c r="J501" s="328"/>
      <c r="K501" s="328"/>
      <c r="L501" s="328"/>
      <c r="N501" s="328"/>
      <c r="O501" s="328"/>
      <c r="Q501" s="328"/>
      <c r="R501" s="328"/>
      <c r="S501" s="328"/>
    </row>
  </sheetData>
  <autoFilter ref="B9:H9" xr:uid="{00000000-0009-0000-0000-000005000000}"/>
  <conditionalFormatting sqref="J18">
    <cfRule type="expression" dxfId="160" priority="57">
      <formula>$J$15&lt;&gt;"Flat rate"</formula>
    </cfRule>
  </conditionalFormatting>
  <conditionalFormatting sqref="K18">
    <cfRule type="expression" dxfId="159" priority="56">
      <formula>$K$15&lt;&gt;"Flat rate"</formula>
    </cfRule>
  </conditionalFormatting>
  <conditionalFormatting sqref="J19">
    <cfRule type="expression" dxfId="158" priority="55">
      <formula>$J$16&lt;&gt;"Flat rate"</formula>
    </cfRule>
  </conditionalFormatting>
  <conditionalFormatting sqref="K19">
    <cfRule type="expression" dxfId="157" priority="54">
      <formula>$K$16&lt;&gt;"Flat rate"</formula>
    </cfRule>
  </conditionalFormatting>
  <conditionalFormatting sqref="N18">
    <cfRule type="expression" dxfId="156" priority="49">
      <formula>$N$15&lt;&gt;"Flat rate"</formula>
    </cfRule>
  </conditionalFormatting>
  <conditionalFormatting sqref="N19">
    <cfRule type="expression" dxfId="155" priority="48">
      <formula>$N$16&lt;&gt;"Flat rate"</formula>
    </cfRule>
  </conditionalFormatting>
  <conditionalFormatting sqref="O18">
    <cfRule type="expression" dxfId="154" priority="46">
      <formula>$O$15&lt;&gt;"Flat rate"</formula>
    </cfRule>
  </conditionalFormatting>
  <conditionalFormatting sqref="O19">
    <cfRule type="expression" dxfId="153" priority="45">
      <formula>$O$16&lt;&gt;"Flat rate"</formula>
    </cfRule>
  </conditionalFormatting>
  <conditionalFormatting sqref="Q18">
    <cfRule type="expression" dxfId="152" priority="43">
      <formula>$Q$15&lt;&gt;"Flat rate"</formula>
    </cfRule>
  </conditionalFormatting>
  <conditionalFormatting sqref="Q19">
    <cfRule type="expression" dxfId="151" priority="42">
      <formula>$Q$16&lt;&gt;"Flat rate"</formula>
    </cfRule>
  </conditionalFormatting>
  <conditionalFormatting sqref="R18">
    <cfRule type="expression" dxfId="150" priority="40">
      <formula>$R$15&lt;&gt;"Flat rate"</formula>
    </cfRule>
  </conditionalFormatting>
  <conditionalFormatting sqref="R19">
    <cfRule type="expression" dxfId="149" priority="39">
      <formula>$R$16&lt;&gt;"Flat rate"</formula>
    </cfRule>
  </conditionalFormatting>
  <conditionalFormatting sqref="G18">
    <cfRule type="expression" dxfId="148" priority="36">
      <formula>$G$15&lt;&gt;"Flat rate"</formula>
    </cfRule>
  </conditionalFormatting>
  <conditionalFormatting sqref="G19">
    <cfRule type="expression" dxfId="147" priority="35">
      <formula>$G$16&lt;&gt;"Flat rate"</formula>
    </cfRule>
  </conditionalFormatting>
  <conditionalFormatting sqref="L18">
    <cfRule type="expression" dxfId="146" priority="33">
      <formula>$K$15&lt;&gt;"Flat rate"</formula>
    </cfRule>
  </conditionalFormatting>
  <conditionalFormatting sqref="L19">
    <cfRule type="expression" dxfId="145" priority="32">
      <formula>$K$16&lt;&gt;"Flat rate"</formula>
    </cfRule>
  </conditionalFormatting>
  <conditionalFormatting sqref="S18">
    <cfRule type="expression" dxfId="144" priority="27">
      <formula>$K$15&lt;&gt;"Flat rate"</formula>
    </cfRule>
  </conditionalFormatting>
  <conditionalFormatting sqref="S19">
    <cfRule type="expression" dxfId="143" priority="26">
      <formula>$K$16&lt;&gt;"Flat rate"</formula>
    </cfRule>
  </conditionalFormatting>
  <conditionalFormatting sqref="J70">
    <cfRule type="expression" dxfId="142" priority="24">
      <formula>$J$69&lt;&gt;"Flat rate"</formula>
    </cfRule>
  </conditionalFormatting>
  <conditionalFormatting sqref="K70">
    <cfRule type="expression" dxfId="141" priority="20">
      <formula>$K$69&lt;&gt;"Flat rate"</formula>
    </cfRule>
  </conditionalFormatting>
  <conditionalFormatting sqref="L70">
    <cfRule type="expression" dxfId="140" priority="19">
      <formula>$L$69&lt;&gt;"Flat rate"</formula>
    </cfRule>
  </conditionalFormatting>
  <conditionalFormatting sqref="N70">
    <cfRule type="expression" dxfId="139" priority="18">
      <formula>$N$69&lt;&gt;"Flat rate"</formula>
    </cfRule>
  </conditionalFormatting>
  <conditionalFormatting sqref="O70">
    <cfRule type="expression" dxfId="138" priority="17">
      <formula>$O$69&lt;&gt;"Flat rate"</formula>
    </cfRule>
  </conditionalFormatting>
  <conditionalFormatting sqref="Q70">
    <cfRule type="expression" dxfId="137" priority="15">
      <formula>$Q$69&lt;&gt;"Flat rate"</formula>
    </cfRule>
  </conditionalFormatting>
  <conditionalFormatting sqref="R70:S70">
    <cfRule type="expression" dxfId="136" priority="14">
      <formula>$R$69&lt;&gt;"Flat rate"</formula>
    </cfRule>
  </conditionalFormatting>
  <conditionalFormatting sqref="G70">
    <cfRule type="expression" dxfId="135" priority="12">
      <formula>$G$69&lt;&gt;"Flat rate"</formula>
    </cfRule>
  </conditionalFormatting>
  <conditionalFormatting sqref="G44">
    <cfRule type="expression" dxfId="134" priority="10">
      <formula>G43&lt;&gt;"Lease contract"</formula>
    </cfRule>
  </conditionalFormatting>
  <conditionalFormatting sqref="J44">
    <cfRule type="expression" dxfId="133" priority="9">
      <formula>J43&lt;&gt;"Lease contract"</formula>
    </cfRule>
  </conditionalFormatting>
  <conditionalFormatting sqref="K44">
    <cfRule type="expression" dxfId="132" priority="8">
      <formula>K43&lt;&gt;"Lease contract"</formula>
    </cfRule>
  </conditionalFormatting>
  <conditionalFormatting sqref="L44">
    <cfRule type="expression" dxfId="131" priority="7">
      <formula>L43&lt;&gt;"Lease contract"</formula>
    </cfRule>
  </conditionalFormatting>
  <conditionalFormatting sqref="N44">
    <cfRule type="expression" dxfId="130" priority="6">
      <formula>N43&lt;&gt;"Lease contract"</formula>
    </cfRule>
  </conditionalFormatting>
  <conditionalFormatting sqref="O44">
    <cfRule type="expression" dxfId="129" priority="5">
      <formula>O43&lt;&gt;"Lease contract"</formula>
    </cfRule>
  </conditionalFormatting>
  <conditionalFormatting sqref="Q44">
    <cfRule type="expression" dxfId="128" priority="3">
      <formula>Q43&lt;&gt;"Lease contract"</formula>
    </cfRule>
  </conditionalFormatting>
  <conditionalFormatting sqref="R44">
    <cfRule type="expression" dxfId="127" priority="2">
      <formula>R43&lt;&gt;"Lease contract"</formula>
    </cfRule>
  </conditionalFormatting>
  <conditionalFormatting sqref="S44">
    <cfRule type="expression" dxfId="126" priority="1">
      <formula>S43&lt;&gt;"Lease contract"</formula>
    </cfRule>
  </conditionalFormatting>
  <dataValidations count="10">
    <dataValidation type="list" allowBlank="1" showInputMessage="1" showErrorMessage="1" sqref="N442:O442 J442:L442 Q442:S442 J147:L147 N147:O147 Q147:S147 N321:O321 J321:L321 Q321:S321" xr:uid="{00000000-0002-0000-0500-000000000000}">
      <formula1>"new,existing"</formula1>
    </dataValidation>
    <dataValidation type="decimal" allowBlank="1" showInputMessage="1" showErrorMessage="1" sqref="J444:L444 Q444:S444 J323:L323 Q323:S323 N323:O323 N444:O444" xr:uid="{00000000-0002-0000-0500-000001000000}">
      <formula1>0</formula1>
      <formula2>J346</formula2>
    </dataValidation>
    <dataValidation type="list" allowBlank="1" showInputMessage="1" showErrorMessage="1" sqref="N187:O187 J187:L187 Q187:S187" xr:uid="{00000000-0002-0000-0500-000002000000}">
      <formula1>"workover,new"</formula1>
    </dataValidation>
    <dataValidation type="list" allowBlank="1" showInputMessage="1" showErrorMessage="1" sqref="D6" xr:uid="{00000000-0002-0000-0500-000003000000}">
      <formula1>listIndex</formula1>
    </dataValidation>
    <dataValidation type="decimal" allowBlank="1" showInputMessage="1" showErrorMessage="1" sqref="Q426:S426 J426:L426 Q305:S305 J305:L305 N305:O305 N426:O426" xr:uid="{00000000-0002-0000-0500-000004000000}">
      <formula1>J304</formula1>
      <formula2>50000</formula2>
    </dataValidation>
    <dataValidation type="list" allowBlank="1" showInputMessage="1" showErrorMessage="1" sqref="J259:L259 N259:O259 Q259:S259 Q380:S380 J380:L380 N380:O380" xr:uid="{00000000-0002-0000-0500-000005000000}">
      <formula1>"Separated, Admix, -"</formula1>
    </dataValidation>
    <dataValidation type="list" allowBlank="1" showInputMessage="1" showErrorMessage="1" sqref="K43:L43 N43:O43 Q43:S43" xr:uid="{00000000-0002-0000-0500-000006000000}">
      <formula1>"One-off,Demand driven, Lease contract"</formula1>
    </dataValidation>
    <dataValidation type="list" allowBlank="1" showInputMessage="1" showErrorMessage="1" sqref="Q16:S16 K16:L16" xr:uid="{00000000-0002-0000-0500-000007000000}">
      <formula1>$B$4:$B$12</formula1>
    </dataValidation>
    <dataValidation type="list" allowBlank="1" showInputMessage="1" showErrorMessage="1" sqref="J43" xr:uid="{00000000-0002-0000-0500-000008000000}">
      <formula1>"One-off,Demand driven,Lease contract"</formula1>
    </dataValidation>
    <dataValidation type="list" allowBlank="1" showInputMessage="1" showErrorMessage="1" sqref="Q219:S219 N219:O219 Q26:S26 J26:L26 N355:O355 J355:L355 J219:L219 Q355:S355" xr:uid="{00000000-0002-0000-0500-000009000000}">
      <formula1>$C$5:$C$155</formula1>
    </dataValidation>
  </dataValidations>
  <pageMargins left="0.7" right="0.7" top="0.75" bottom="0.75" header="0.3" footer="0.3"/>
  <pageSetup paperSize="9" orientation="portrait" r:id="rId1"/>
  <drawing r:id="rId2"/>
  <legacyDrawing r:id="rId3"/>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500-00000A000000}">
          <x14:formula1>
            <xm:f>'P-D-T TABLES DATABASE'!$D$7:$D$32</xm:f>
          </x14:formula1>
          <xm:sqref>N183:O183 J183:L183 Q183:S183</xm:sqref>
        </x14:dataValidation>
        <x14:dataValidation type="list" allowBlank="1" showInputMessage="1" showErrorMessage="1" xr:uid="{00000000-0002-0000-0500-00000B000000}">
          <x14:formula1>
            <xm:f>'P-D-T TABLES DATABASE'!$E$6:$H$6</xm:f>
          </x14:formula1>
          <xm:sqref>N167:O167 J167:L167 Q167:S167</xm:sqref>
        </x14:dataValidation>
        <x14:dataValidation type="list" allowBlank="1" showInputMessage="1" showErrorMessage="1" xr:uid="{00000000-0002-0000-0500-00000C000000}">
          <x14:formula1>
            <xm:f>'N:\Business School\Research\TKI\NSE II\Models\[TNO EDI Combined v.1.4.xlsx]DATABASE PLATFORMS'!#REF!</xm:f>
          </x14:formula1>
          <xm:sqref>N476:O476 J476:L476 Q476:S476</xm:sqref>
        </x14:dataValidation>
        <x14:dataValidation type="list" allowBlank="1" showInputMessage="1" showErrorMessage="1" xr:uid="{00000000-0002-0000-0500-00000D000000}">
          <x14:formula1>
            <xm:f>'DATABASE PLATFORMS'!$C$8:$C$135</xm:f>
          </x14:formula1>
          <xm:sqref>N26:O26</xm:sqref>
        </x14:dataValidation>
        <x14:dataValidation type="list" allowBlank="1" showInputMessage="1" showErrorMessage="1" xr:uid="{00000000-0002-0000-0500-00000E000000}">
          <x14:formula1>
            <xm:f>Gas_production!$B$15:$B$24</xm:f>
          </x14:formula1>
          <xm:sqref>J69:L69 N69:O69 Q69:S69</xm:sqref>
        </x14:dataValidation>
        <x14:dataValidation type="list" allowBlank="1" showInputMessage="1" showErrorMessage="1" xr:uid="{00000000-0002-0000-0500-00000F000000}">
          <x14:formula1>
            <xm:f>'Gas price scenarios'!$B$4:$B$11</xm:f>
          </x14:formula1>
          <xm:sqref>N16:O16 J16</xm:sqref>
        </x14:dataValidation>
        <x14:dataValidation type="list" allowBlank="1" showInputMessage="1" showErrorMessage="1" xr:uid="{00000000-0002-0000-0500-000010000000}">
          <x14:formula1>
            <xm:f>'Electricity price scenarios'!$B$4:$B$11</xm:f>
          </x14:formula1>
          <xm:sqref>J15:L15 Q15:S15 N15:O15</xm:sqref>
        </x14:dataValidation>
        <x14:dataValidation type="list" allowBlank="1" showInputMessage="1" showErrorMessage="1" xr:uid="{00000000-0002-0000-0500-000011000000}">
          <x14:formula1>
            <xm:f>'CO2 price scenarios'!$B$4:$B$13</xm:f>
          </x14:formula1>
          <xm:sqref>J17:L17 N17:O17 Q17:S17</xm:sqref>
        </x14:dataValidation>
        <x14:dataValidation type="list" allowBlank="1" showInputMessage="1" showErrorMessage="1" xr:uid="{00000000-0002-0000-0500-000012000000}">
          <x14:formula1>
            <xm:f>'CO2 price scenarios'!$B$11:$B$12</xm:f>
          </x14:formula1>
          <xm:sqref>J116:L116 N116:O116 Q116:S116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tabColor theme="4" tint="-0.249977111117893"/>
  </sheetPr>
  <dimension ref="D2:D3"/>
  <sheetViews>
    <sheetView tabSelected="1" topLeftCell="A37" zoomScale="55" zoomScaleNormal="55" workbookViewId="0">
      <selection activeCell="AB60" sqref="AB60"/>
    </sheetView>
  </sheetViews>
  <sheetFormatPr defaultColWidth="9.140625" defaultRowHeight="15" x14ac:dyDescent="0.25"/>
  <cols>
    <col min="1" max="16384" width="9.140625" style="1"/>
  </cols>
  <sheetData>
    <row r="2" spans="4:4" ht="33.75" x14ac:dyDescent="0.5">
      <c r="D2" s="1212" t="s">
        <v>1702</v>
      </c>
    </row>
    <row r="3" spans="4:4" ht="33.75" x14ac:dyDescent="0.5">
      <c r="D3" s="1212" t="s">
        <v>1703</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8">
    <tabColor rgb="FF0070C0"/>
  </sheetPr>
  <dimension ref="B3:BE389"/>
  <sheetViews>
    <sheetView zoomScale="70" zoomScaleNormal="70" workbookViewId="0">
      <pane xSplit="2" ySplit="6" topLeftCell="E163" activePane="bottomRight" state="frozen"/>
      <selection pane="topRight" activeCell="C1" sqref="C1"/>
      <selection pane="bottomLeft" activeCell="A7" sqref="A7"/>
      <selection pane="bottomRight" activeCell="J191" sqref="J191"/>
    </sheetView>
  </sheetViews>
  <sheetFormatPr defaultColWidth="9.140625" defaultRowHeight="15" x14ac:dyDescent="0.25"/>
  <cols>
    <col min="1" max="1" width="9.140625" style="1"/>
    <col min="2" max="2" width="16.85546875" style="1" customWidth="1"/>
    <col min="3" max="3" width="26" style="1" customWidth="1"/>
    <col min="4" max="4" width="2.85546875" style="1" customWidth="1"/>
    <col min="5" max="5" width="37.5703125" style="1" bestFit="1" customWidth="1"/>
    <col min="6" max="6" width="10.85546875" style="1" bestFit="1" customWidth="1"/>
    <col min="7" max="7" width="25.28515625" style="1" bestFit="1" customWidth="1"/>
    <col min="8" max="8" width="17.42578125" style="1" bestFit="1" customWidth="1"/>
    <col min="9" max="9" width="10.7109375" style="1" customWidth="1"/>
    <col min="10" max="10" width="16.42578125" style="1" bestFit="1" customWidth="1"/>
    <col min="11" max="11" width="16.5703125" style="1" customWidth="1"/>
    <col min="12" max="16" width="16.28515625" style="1" bestFit="1" customWidth="1"/>
    <col min="17" max="18" width="17.42578125" style="1" bestFit="1" customWidth="1"/>
    <col min="19" max="41" width="16.28515625" style="1" bestFit="1" customWidth="1"/>
    <col min="42" max="42" width="30.85546875" style="1" customWidth="1"/>
    <col min="43" max="50" width="16.28515625" style="1" bestFit="1" customWidth="1"/>
    <col min="51" max="51" width="14.42578125" style="1" bestFit="1" customWidth="1"/>
    <col min="52" max="52" width="24.42578125" style="1" customWidth="1"/>
    <col min="53" max="53" width="14.42578125" style="1" bestFit="1" customWidth="1"/>
    <col min="54" max="57" width="12.85546875" style="1" bestFit="1" customWidth="1"/>
    <col min="58" max="16384" width="9.140625" style="1"/>
  </cols>
  <sheetData>
    <row r="3" spans="2:57" ht="26.25" x14ac:dyDescent="0.4">
      <c r="E3" s="755" t="s">
        <v>1219</v>
      </c>
      <c r="G3" s="754" t="str">
        <f>Parameters!$D$6</f>
        <v>P15 Scenario 1</v>
      </c>
    </row>
    <row r="4" spans="2:57" x14ac:dyDescent="0.25">
      <c r="B4" s="749"/>
    </row>
    <row r="6" spans="2:57" s="37" customFormat="1" ht="15.75" x14ac:dyDescent="0.25">
      <c r="C6" s="760"/>
      <c r="D6" s="760"/>
      <c r="E6" s="760" t="str">
        <f>'Output E'!B24</f>
        <v>Electrification Scenario: P15 Scenario 1</v>
      </c>
      <c r="F6" s="760"/>
      <c r="G6" s="761"/>
      <c r="H6" s="762" t="str">
        <f>'Output E'!E24</f>
        <v>NPV</v>
      </c>
      <c r="I6" s="761"/>
      <c r="J6" s="446">
        <f>'Output E'!G24</f>
        <v>2018</v>
      </c>
      <c r="K6" s="446">
        <f>'Output E'!H24</f>
        <v>2019</v>
      </c>
      <c r="L6" s="446">
        <f>'Output E'!I24</f>
        <v>2020</v>
      </c>
      <c r="M6" s="446">
        <f>'Output E'!J24</f>
        <v>2021</v>
      </c>
      <c r="N6" s="446">
        <f>'Output E'!K24</f>
        <v>2022</v>
      </c>
      <c r="O6" s="446">
        <f>'Output E'!L24</f>
        <v>2023</v>
      </c>
      <c r="P6" s="446">
        <f>'Output E'!M24</f>
        <v>2024</v>
      </c>
      <c r="Q6" s="446">
        <f>'Output E'!N24</f>
        <v>2025</v>
      </c>
      <c r="R6" s="446">
        <f>'Output E'!O24</f>
        <v>2026</v>
      </c>
      <c r="S6" s="446">
        <f>'Output E'!P24</f>
        <v>2027</v>
      </c>
      <c r="T6" s="446">
        <f>'Output E'!Q24</f>
        <v>2028</v>
      </c>
      <c r="U6" s="446">
        <f>'Output E'!R24</f>
        <v>2029</v>
      </c>
      <c r="V6" s="446">
        <f>'Output E'!S24</f>
        <v>2030</v>
      </c>
      <c r="W6" s="446">
        <f>'Output E'!T24</f>
        <v>2031</v>
      </c>
      <c r="X6" s="446">
        <f>'Output E'!U24</f>
        <v>2032</v>
      </c>
      <c r="Y6" s="446">
        <f>'Output E'!V24</f>
        <v>2033</v>
      </c>
      <c r="Z6" s="446">
        <f>'Output E'!W24</f>
        <v>2034</v>
      </c>
      <c r="AA6" s="446">
        <f>'Output E'!X24</f>
        <v>2035</v>
      </c>
      <c r="AB6" s="446">
        <f>'Output E'!Y24</f>
        <v>2036</v>
      </c>
      <c r="AC6" s="446">
        <f>'Output E'!Z24</f>
        <v>2037</v>
      </c>
      <c r="AD6" s="446">
        <f>'Output E'!AA24</f>
        <v>2038</v>
      </c>
      <c r="AE6" s="446">
        <f>'Output E'!AB24</f>
        <v>2039</v>
      </c>
      <c r="AF6" s="446">
        <f>'Output E'!AC24</f>
        <v>2040</v>
      </c>
      <c r="AG6" s="446">
        <f>'Output E'!AD24</f>
        <v>2041</v>
      </c>
      <c r="AH6" s="446">
        <f>'Output E'!AE24</f>
        <v>2042</v>
      </c>
      <c r="AI6" s="446">
        <f>'Output E'!AF24</f>
        <v>2043</v>
      </c>
      <c r="AJ6" s="446">
        <f>'Output E'!AG24</f>
        <v>2044</v>
      </c>
      <c r="AK6" s="446">
        <f>'Output E'!AH24</f>
        <v>2045</v>
      </c>
      <c r="AL6" s="446">
        <f>'Output E'!AI24</f>
        <v>2046</v>
      </c>
      <c r="AM6" s="446">
        <f>'Output E'!AJ24</f>
        <v>2047</v>
      </c>
      <c r="AN6" s="446">
        <f>'Output E'!AK24</f>
        <v>2048</v>
      </c>
      <c r="AO6" s="446">
        <f>'Output E'!AL24</f>
        <v>2049</v>
      </c>
      <c r="AP6" s="446">
        <f>'Output E'!AM24</f>
        <v>2050</v>
      </c>
      <c r="AQ6" s="446">
        <f>'Output E'!AN24</f>
        <v>2051</v>
      </c>
      <c r="AR6" s="446">
        <f>'Output E'!AO24</f>
        <v>2052</v>
      </c>
      <c r="AS6" s="446">
        <f>'Output E'!AP24</f>
        <v>2053</v>
      </c>
      <c r="AT6" s="446">
        <f>'Output E'!AQ24</f>
        <v>2054</v>
      </c>
      <c r="AU6" s="446">
        <f>'Output E'!AR24</f>
        <v>2055</v>
      </c>
      <c r="AV6" s="446">
        <f>'Output E'!AS24</f>
        <v>2056</v>
      </c>
      <c r="AW6" s="446">
        <f>'Output E'!AT24</f>
        <v>2057</v>
      </c>
      <c r="AX6" s="446">
        <f>'Output E'!AU24</f>
        <v>2058</v>
      </c>
      <c r="AY6" s="446">
        <f>'Output E'!AV24</f>
        <v>2059</v>
      </c>
      <c r="AZ6" s="446">
        <f>'Output E'!AW24</f>
        <v>2060</v>
      </c>
      <c r="BA6" s="446">
        <f>'Output E'!AX24</f>
        <v>2061</v>
      </c>
      <c r="BB6" s="446">
        <f>'Output E'!AY24</f>
        <v>2062</v>
      </c>
      <c r="BC6" s="446">
        <f>'Output E'!AZ24</f>
        <v>2063</v>
      </c>
      <c r="BD6" s="446">
        <f>'Output E'!BA24</f>
        <v>2064</v>
      </c>
      <c r="BE6" s="446">
        <f>'Output E'!BB24</f>
        <v>2065</v>
      </c>
    </row>
    <row r="7" spans="2:57" s="2" customFormat="1" ht="18.75" x14ac:dyDescent="0.3">
      <c r="B7" s="1329" t="s">
        <v>1709</v>
      </c>
      <c r="C7" s="1218"/>
      <c r="D7" s="1218"/>
      <c r="E7" s="1222" t="s">
        <v>978</v>
      </c>
      <c r="F7" s="1222" t="s">
        <v>979</v>
      </c>
      <c r="G7" s="1223">
        <f>'Output E'!D71</f>
        <v>-60798.414857142852</v>
      </c>
      <c r="H7" s="1223">
        <f>'Output E'!E71</f>
        <v>-19372.248641424914</v>
      </c>
      <c r="I7" s="1224"/>
      <c r="J7" s="1223">
        <f>'Output E'!G71</f>
        <v>0</v>
      </c>
      <c r="K7" s="1223">
        <f>'Output E'!H71</f>
        <v>0</v>
      </c>
      <c r="L7" s="1223">
        <f>'Output E'!I71</f>
        <v>0</v>
      </c>
      <c r="M7" s="1223">
        <f>'Output E'!J71</f>
        <v>0</v>
      </c>
      <c r="N7" s="1223">
        <f>'Output E'!K71</f>
        <v>0</v>
      </c>
      <c r="O7" s="1223">
        <f>'Output E'!L71</f>
        <v>0</v>
      </c>
      <c r="P7" s="1223">
        <f>'Output E'!M71</f>
        <v>0</v>
      </c>
      <c r="Q7" s="1223">
        <f>'Output E'!N71</f>
        <v>0</v>
      </c>
      <c r="R7" s="1223">
        <f>'Output E'!O71</f>
        <v>0</v>
      </c>
      <c r="S7" s="1223">
        <f>'Output E'!P71</f>
        <v>0</v>
      </c>
      <c r="T7" s="1223">
        <f>'Output E'!Q71</f>
        <v>0</v>
      </c>
      <c r="U7" s="1223">
        <f>'Output E'!R71</f>
        <v>0</v>
      </c>
      <c r="V7" s="1223">
        <f>'Output E'!S71</f>
        <v>-60798.414857142852</v>
      </c>
      <c r="W7" s="1223">
        <f>'Output E'!T71</f>
        <v>0</v>
      </c>
      <c r="X7" s="1223">
        <f>'Output E'!U71</f>
        <v>0</v>
      </c>
      <c r="Y7" s="1223">
        <f>'Output E'!V71</f>
        <v>0</v>
      </c>
      <c r="Z7" s="1223">
        <f>'Output E'!W71</f>
        <v>0</v>
      </c>
      <c r="AA7" s="1223">
        <f>'Output E'!X71</f>
        <v>0</v>
      </c>
      <c r="AB7" s="1223">
        <f>'Output E'!Y71</f>
        <v>0</v>
      </c>
      <c r="AC7" s="1223">
        <f>'Output E'!Z71</f>
        <v>0</v>
      </c>
      <c r="AD7" s="1223">
        <f>'Output E'!AA71</f>
        <v>0</v>
      </c>
      <c r="AE7" s="1223">
        <f>'Output E'!AB71</f>
        <v>0</v>
      </c>
      <c r="AF7" s="1223">
        <f>'Output E'!AC71</f>
        <v>0</v>
      </c>
      <c r="AG7" s="1223">
        <f>'Output E'!AD71</f>
        <v>0</v>
      </c>
      <c r="AH7" s="1223">
        <f>'Output E'!AE71</f>
        <v>0</v>
      </c>
      <c r="AI7" s="1223">
        <f>'Output E'!AF71</f>
        <v>0</v>
      </c>
      <c r="AJ7" s="1223">
        <f>'Output E'!AG71</f>
        <v>0</v>
      </c>
      <c r="AK7" s="1223">
        <f>'Output E'!AH71</f>
        <v>0</v>
      </c>
      <c r="AL7" s="1223">
        <f>'Output E'!AI71</f>
        <v>0</v>
      </c>
      <c r="AM7" s="1223">
        <f>'Output E'!AJ71</f>
        <v>0</v>
      </c>
      <c r="AN7" s="1223">
        <f>'Output E'!AK71</f>
        <v>0</v>
      </c>
      <c r="AO7" s="1223">
        <f>'Output E'!AL71</f>
        <v>0</v>
      </c>
      <c r="AP7" s="1223">
        <f>'Output E'!AM71</f>
        <v>0</v>
      </c>
      <c r="AQ7" s="1223">
        <f>'Output E'!AN71</f>
        <v>0</v>
      </c>
      <c r="AR7" s="1223">
        <f>'Output E'!AO71</f>
        <v>0</v>
      </c>
      <c r="AS7" s="1223">
        <f>'Output E'!AP71</f>
        <v>0</v>
      </c>
      <c r="AT7" s="1223">
        <f>'Output E'!AQ71</f>
        <v>0</v>
      </c>
      <c r="AU7" s="1223">
        <f>'Output E'!AR71</f>
        <v>0</v>
      </c>
      <c r="AV7" s="1223">
        <f>'Output E'!AS71</f>
        <v>0</v>
      </c>
      <c r="AW7" s="1223">
        <f>'Output E'!AT71</f>
        <v>0</v>
      </c>
      <c r="AX7" s="1223">
        <f>'Output E'!AU71</f>
        <v>0</v>
      </c>
      <c r="AY7" s="1223">
        <f>'Output E'!AV71</f>
        <v>0</v>
      </c>
      <c r="AZ7" s="1223">
        <f>'Output E'!AW71</f>
        <v>0</v>
      </c>
      <c r="BA7" s="1223">
        <f>'Output E'!AX71</f>
        <v>0</v>
      </c>
      <c r="BB7" s="1223">
        <f>'Output E'!AY71</f>
        <v>0</v>
      </c>
      <c r="BC7" s="1223">
        <f>'Output E'!AZ71</f>
        <v>0</v>
      </c>
      <c r="BD7" s="1223">
        <f>'Output E'!BA71</f>
        <v>0</v>
      </c>
      <c r="BE7" s="1223">
        <f>'Output E'!BB71</f>
        <v>0</v>
      </c>
    </row>
    <row r="8" spans="2:57" s="2" customFormat="1" ht="15.75" x14ac:dyDescent="0.25">
      <c r="B8" s="1217"/>
      <c r="C8" s="1218"/>
      <c r="D8" s="1218"/>
      <c r="E8" s="1225" t="s">
        <v>1706</v>
      </c>
      <c r="F8" s="1226" t="s">
        <v>979</v>
      </c>
      <c r="G8" s="1227">
        <f>'Output E'!D72</f>
        <v>-60798.414857142852</v>
      </c>
      <c r="H8" s="1227">
        <f>'Output E'!E72</f>
        <v>-19372.248641424914</v>
      </c>
      <c r="I8" s="1228"/>
      <c r="J8" s="1227">
        <f>'Output E'!G72</f>
        <v>0</v>
      </c>
      <c r="K8" s="1227">
        <f>'Output E'!H72</f>
        <v>0</v>
      </c>
      <c r="L8" s="1227">
        <f>'Output E'!I72</f>
        <v>0</v>
      </c>
      <c r="M8" s="1227">
        <f>'Output E'!J72</f>
        <v>0</v>
      </c>
      <c r="N8" s="1227">
        <f>'Output E'!K72</f>
        <v>0</v>
      </c>
      <c r="O8" s="1227">
        <f>'Output E'!L72</f>
        <v>0</v>
      </c>
      <c r="P8" s="1227">
        <f>'Output E'!M72</f>
        <v>0</v>
      </c>
      <c r="Q8" s="1227">
        <f>'Output E'!N72</f>
        <v>0</v>
      </c>
      <c r="R8" s="1227">
        <f>'Output E'!O72</f>
        <v>0</v>
      </c>
      <c r="S8" s="1227">
        <f>'Output E'!P72</f>
        <v>0</v>
      </c>
      <c r="T8" s="1227">
        <f>'Output E'!Q72</f>
        <v>0</v>
      </c>
      <c r="U8" s="1227">
        <f>'Output E'!R72</f>
        <v>0</v>
      </c>
      <c r="V8" s="1227">
        <f>'Output E'!S72</f>
        <v>-60798.414857142852</v>
      </c>
      <c r="W8" s="1227">
        <f>'Output E'!T72</f>
        <v>0</v>
      </c>
      <c r="X8" s="1227">
        <f>'Output E'!U72</f>
        <v>0</v>
      </c>
      <c r="Y8" s="1227">
        <f>'Output E'!V72</f>
        <v>0</v>
      </c>
      <c r="Z8" s="1227">
        <f>'Output E'!W72</f>
        <v>0</v>
      </c>
      <c r="AA8" s="1227">
        <f>'Output E'!X72</f>
        <v>0</v>
      </c>
      <c r="AB8" s="1227">
        <f>'Output E'!Y72</f>
        <v>0</v>
      </c>
      <c r="AC8" s="1227">
        <f>'Output E'!Z72</f>
        <v>0</v>
      </c>
      <c r="AD8" s="1227">
        <f>'Output E'!AA72</f>
        <v>0</v>
      </c>
      <c r="AE8" s="1227">
        <f>'Output E'!AB72</f>
        <v>0</v>
      </c>
      <c r="AF8" s="1227">
        <f>'Output E'!AC72</f>
        <v>0</v>
      </c>
      <c r="AG8" s="1227">
        <f>'Output E'!AD72</f>
        <v>0</v>
      </c>
      <c r="AH8" s="1227">
        <f>'Output E'!AE72</f>
        <v>0</v>
      </c>
      <c r="AI8" s="1227">
        <f>'Output E'!AF72</f>
        <v>0</v>
      </c>
      <c r="AJ8" s="1227">
        <f>'Output E'!AG72</f>
        <v>0</v>
      </c>
      <c r="AK8" s="1227">
        <f>'Output E'!AH72</f>
        <v>0</v>
      </c>
      <c r="AL8" s="1227">
        <f>'Output E'!AI72</f>
        <v>0</v>
      </c>
      <c r="AM8" s="1227">
        <f>'Output E'!AJ72</f>
        <v>0</v>
      </c>
      <c r="AN8" s="1227">
        <f>'Output E'!AK72</f>
        <v>0</v>
      </c>
      <c r="AO8" s="1227">
        <f>'Output E'!AL72</f>
        <v>0</v>
      </c>
      <c r="AP8" s="1227">
        <f>'Output E'!AM72</f>
        <v>0</v>
      </c>
      <c r="AQ8" s="1227">
        <f>'Output E'!AN72</f>
        <v>0</v>
      </c>
      <c r="AR8" s="1227">
        <f>'Output E'!AO72</f>
        <v>0</v>
      </c>
      <c r="AS8" s="1227">
        <f>'Output E'!AP72</f>
        <v>0</v>
      </c>
      <c r="AT8" s="1227">
        <f>'Output E'!AQ72</f>
        <v>0</v>
      </c>
      <c r="AU8" s="1227">
        <f>'Output E'!AR72</f>
        <v>0</v>
      </c>
      <c r="AV8" s="1227">
        <f>'Output E'!AS72</f>
        <v>0</v>
      </c>
      <c r="AW8" s="1227">
        <f>'Output E'!AT72</f>
        <v>0</v>
      </c>
      <c r="AX8" s="1227">
        <f>'Output E'!AU72</f>
        <v>0</v>
      </c>
      <c r="AY8" s="1227">
        <f>'Output E'!AV72</f>
        <v>0</v>
      </c>
      <c r="AZ8" s="1227">
        <f>'Output E'!AW72</f>
        <v>0</v>
      </c>
      <c r="BA8" s="1227">
        <f>'Output E'!AX72</f>
        <v>0</v>
      </c>
      <c r="BB8" s="1227">
        <f>'Output E'!AY72</f>
        <v>0</v>
      </c>
      <c r="BC8" s="1227">
        <f>'Output E'!AZ72</f>
        <v>0</v>
      </c>
      <c r="BD8" s="1227">
        <f>'Output E'!BA72</f>
        <v>0</v>
      </c>
      <c r="BE8" s="1227">
        <f>'Output E'!BB72</f>
        <v>0</v>
      </c>
    </row>
    <row r="9" spans="2:57" s="2" customFormat="1" ht="15.75" x14ac:dyDescent="0.25">
      <c r="B9" s="1217"/>
      <c r="C9" s="1218"/>
      <c r="D9" s="1218"/>
      <c r="E9" s="1229"/>
      <c r="F9" s="1229"/>
      <c r="G9" s="1230"/>
      <c r="H9" s="1230"/>
      <c r="I9" s="1230"/>
      <c r="J9" s="1230"/>
      <c r="K9" s="1230"/>
      <c r="L9" s="1230"/>
      <c r="M9" s="1230"/>
      <c r="N9" s="1230"/>
      <c r="O9" s="1230"/>
      <c r="P9" s="1230"/>
      <c r="Q9" s="1230"/>
      <c r="R9" s="1230"/>
      <c r="S9" s="1230"/>
      <c r="T9" s="1230"/>
      <c r="U9" s="1230"/>
      <c r="V9" s="1230"/>
      <c r="W9" s="1230"/>
      <c r="X9" s="1230"/>
      <c r="Y9" s="1230"/>
      <c r="Z9" s="1230"/>
      <c r="AA9" s="1230"/>
      <c r="AB9" s="1230"/>
      <c r="AC9" s="1230"/>
      <c r="AD9" s="1230"/>
      <c r="AE9" s="1230"/>
      <c r="AF9" s="1230"/>
      <c r="AG9" s="1230"/>
      <c r="AH9" s="1230"/>
      <c r="AI9" s="1230"/>
      <c r="AJ9" s="1230"/>
      <c r="AK9" s="1230"/>
      <c r="AL9" s="1230"/>
      <c r="AM9" s="1230"/>
      <c r="AN9" s="1230"/>
      <c r="AO9" s="1230"/>
      <c r="AP9" s="1230"/>
      <c r="AQ9" s="1230"/>
      <c r="AR9" s="1230"/>
      <c r="AS9" s="1230"/>
      <c r="AT9" s="1230"/>
      <c r="AU9" s="1230"/>
      <c r="AV9" s="1230"/>
      <c r="AW9" s="1230"/>
      <c r="AX9" s="1230"/>
      <c r="AY9" s="1230"/>
      <c r="AZ9" s="1230"/>
      <c r="BA9" s="1230"/>
      <c r="BB9" s="1230"/>
      <c r="BC9" s="1230"/>
      <c r="BD9" s="1230"/>
      <c r="BE9" s="1230"/>
    </row>
    <row r="10" spans="2:57" s="2" customFormat="1" ht="15.75" x14ac:dyDescent="0.25">
      <c r="B10" s="1217"/>
      <c r="C10" s="1218"/>
      <c r="D10" s="1218"/>
      <c r="E10" s="1222" t="s">
        <v>982</v>
      </c>
      <c r="F10" s="1222" t="s">
        <v>979</v>
      </c>
      <c r="G10" s="1223">
        <f>'Output E'!D74</f>
        <v>-198314.50436335732</v>
      </c>
      <c r="H10" s="1223">
        <f>'Output E'!E74</f>
        <v>-98088.675462031228</v>
      </c>
      <c r="I10" s="1224"/>
      <c r="J10" s="1223">
        <f>'Output E'!G74</f>
        <v>0</v>
      </c>
      <c r="K10" s="1223">
        <f>'Output E'!H74</f>
        <v>0</v>
      </c>
      <c r="L10" s="1223">
        <f>'Output E'!I74</f>
        <v>0</v>
      </c>
      <c r="M10" s="1223">
        <f>'Output E'!J74</f>
        <v>0</v>
      </c>
      <c r="N10" s="1223">
        <f>'Output E'!K74</f>
        <v>-22622.065856911682</v>
      </c>
      <c r="O10" s="1223">
        <f>'Output E'!L74</f>
        <v>-23234.081107655205</v>
      </c>
      <c r="P10" s="1223">
        <f>'Output E'!M74</f>
        <v>-23769.682651363775</v>
      </c>
      <c r="Q10" s="1223">
        <f>'Output E'!N74</f>
        <v>-24395.316492878097</v>
      </c>
      <c r="R10" s="1223">
        <f>'Output E'!O74</f>
        <v>-25029.703234450368</v>
      </c>
      <c r="S10" s="1223">
        <f>'Output E'!P74</f>
        <v>-25691.554984765313</v>
      </c>
      <c r="T10" s="1223">
        <f>'Output E'!Q74</f>
        <v>-26419.290510517265</v>
      </c>
      <c r="U10" s="1223">
        <f>'Output E'!R74</f>
        <v>-27152.809524815639</v>
      </c>
      <c r="V10" s="1223">
        <f>'Output E'!S74</f>
        <v>0</v>
      </c>
      <c r="W10" s="1223">
        <f>'Output E'!T74</f>
        <v>0</v>
      </c>
      <c r="X10" s="1223">
        <f>'Output E'!U74</f>
        <v>0</v>
      </c>
      <c r="Y10" s="1223">
        <f>'Output E'!V74</f>
        <v>0</v>
      </c>
      <c r="Z10" s="1223">
        <f>'Output E'!W74</f>
        <v>0</v>
      </c>
      <c r="AA10" s="1223">
        <f>'Output E'!X74</f>
        <v>0</v>
      </c>
      <c r="AB10" s="1223">
        <f>'Output E'!Y74</f>
        <v>0</v>
      </c>
      <c r="AC10" s="1223">
        <f>'Output E'!Z74</f>
        <v>0</v>
      </c>
      <c r="AD10" s="1223">
        <f>'Output E'!AA74</f>
        <v>0</v>
      </c>
      <c r="AE10" s="1223">
        <f>'Output E'!AB74</f>
        <v>0</v>
      </c>
      <c r="AF10" s="1223">
        <f>'Output E'!AC74</f>
        <v>0</v>
      </c>
      <c r="AG10" s="1223">
        <f>'Output E'!AD74</f>
        <v>0</v>
      </c>
      <c r="AH10" s="1223">
        <f>'Output E'!AE74</f>
        <v>0</v>
      </c>
      <c r="AI10" s="1223">
        <f>'Output E'!AF74</f>
        <v>0</v>
      </c>
      <c r="AJ10" s="1223">
        <f>'Output E'!AG74</f>
        <v>0</v>
      </c>
      <c r="AK10" s="1223">
        <f>'Output E'!AH74</f>
        <v>0</v>
      </c>
      <c r="AL10" s="1223">
        <f>'Output E'!AI74</f>
        <v>0</v>
      </c>
      <c r="AM10" s="1223">
        <f>'Output E'!AJ74</f>
        <v>0</v>
      </c>
      <c r="AN10" s="1223">
        <f>'Output E'!AK74</f>
        <v>0</v>
      </c>
      <c r="AO10" s="1223">
        <f>'Output E'!AL74</f>
        <v>0</v>
      </c>
      <c r="AP10" s="1223">
        <f>'Output E'!AM74</f>
        <v>0</v>
      </c>
      <c r="AQ10" s="1223">
        <f>'Output E'!AN74</f>
        <v>0</v>
      </c>
      <c r="AR10" s="1223">
        <f>'Output E'!AO74</f>
        <v>0</v>
      </c>
      <c r="AS10" s="1223">
        <f>'Output E'!AP74</f>
        <v>0</v>
      </c>
      <c r="AT10" s="1223">
        <f>'Output E'!AQ74</f>
        <v>0</v>
      </c>
      <c r="AU10" s="1223">
        <f>'Output E'!AR74</f>
        <v>0</v>
      </c>
      <c r="AV10" s="1223">
        <f>'Output E'!AS74</f>
        <v>0</v>
      </c>
      <c r="AW10" s="1223">
        <f>'Output E'!AT74</f>
        <v>0</v>
      </c>
      <c r="AX10" s="1223">
        <f>'Output E'!AU74</f>
        <v>0</v>
      </c>
      <c r="AY10" s="1223">
        <f>'Output E'!AV74</f>
        <v>0</v>
      </c>
      <c r="AZ10" s="1223">
        <f>'Output E'!AW74</f>
        <v>0</v>
      </c>
      <c r="BA10" s="1223">
        <f>'Output E'!AX74</f>
        <v>0</v>
      </c>
      <c r="BB10" s="1223">
        <f>'Output E'!AY74</f>
        <v>0</v>
      </c>
      <c r="BC10" s="1223">
        <f>'Output E'!AZ74</f>
        <v>0</v>
      </c>
      <c r="BD10" s="1223">
        <f>'Output E'!BA74</f>
        <v>0</v>
      </c>
      <c r="BE10" s="1223">
        <f>'Output E'!BB74</f>
        <v>0</v>
      </c>
    </row>
    <row r="11" spans="2:57" s="2" customFormat="1" ht="15.75" x14ac:dyDescent="0.25">
      <c r="B11" s="1217"/>
      <c r="C11" s="1218"/>
      <c r="D11" s="1218"/>
      <c r="E11" s="1225" t="s">
        <v>1380</v>
      </c>
      <c r="F11" s="1226" t="s">
        <v>979</v>
      </c>
      <c r="G11" s="1227">
        <f>'Output E'!D75</f>
        <v>-19008.207010501123</v>
      </c>
      <c r="H11" s="1227">
        <f>'Output E'!E75</f>
        <v>-9131.0453262271421</v>
      </c>
      <c r="I11" s="1228"/>
      <c r="J11" s="1227">
        <f>'Output E'!G75</f>
        <v>0</v>
      </c>
      <c r="K11" s="1227">
        <f>'Output E'!H75</f>
        <v>0</v>
      </c>
      <c r="L11" s="1227">
        <f>'Output E'!I75</f>
        <v>0</v>
      </c>
      <c r="M11" s="1227">
        <f>'Output E'!J75</f>
        <v>0</v>
      </c>
      <c r="N11" s="1227">
        <f>'Output E'!K75</f>
        <v>-1731.1251689116834</v>
      </c>
      <c r="O11" s="1227">
        <f>'Output E'!L75</f>
        <v>-1925.3216058952012</v>
      </c>
      <c r="P11" s="1227">
        <f>'Output E'!M75</f>
        <v>-2034.7479595685727</v>
      </c>
      <c r="Q11" s="1227">
        <f>'Output E'!N75</f>
        <v>-2225.6831072469972</v>
      </c>
      <c r="R11" s="1227">
        <f>'Output E'!O75</f>
        <v>-2416.6771811066415</v>
      </c>
      <c r="S11" s="1227">
        <f>'Output E'!P75</f>
        <v>-2626.2684103547158</v>
      </c>
      <c r="T11" s="1227">
        <f>'Output E'!Q75</f>
        <v>-2892.6982046184544</v>
      </c>
      <c r="U11" s="1227">
        <f>'Output E'!R75</f>
        <v>-3155.6853727988578</v>
      </c>
      <c r="V11" s="1227">
        <f>'Output E'!S75</f>
        <v>0</v>
      </c>
      <c r="W11" s="1227">
        <f>'Output E'!T75</f>
        <v>0</v>
      </c>
      <c r="X11" s="1227">
        <f>'Output E'!U75</f>
        <v>0</v>
      </c>
      <c r="Y11" s="1227">
        <f>'Output E'!V75</f>
        <v>0</v>
      </c>
      <c r="Z11" s="1227">
        <f>'Output E'!W75</f>
        <v>0</v>
      </c>
      <c r="AA11" s="1227">
        <f>'Output E'!X75</f>
        <v>0</v>
      </c>
      <c r="AB11" s="1227">
        <f>'Output E'!Y75</f>
        <v>0</v>
      </c>
      <c r="AC11" s="1227">
        <f>'Output E'!Z75</f>
        <v>0</v>
      </c>
      <c r="AD11" s="1227">
        <f>'Output E'!AA75</f>
        <v>0</v>
      </c>
      <c r="AE11" s="1227">
        <f>'Output E'!AB75</f>
        <v>0</v>
      </c>
      <c r="AF11" s="1227">
        <f>'Output E'!AC75</f>
        <v>0</v>
      </c>
      <c r="AG11" s="1227">
        <f>'Output E'!AD75</f>
        <v>0</v>
      </c>
      <c r="AH11" s="1227">
        <f>'Output E'!AE75</f>
        <v>0</v>
      </c>
      <c r="AI11" s="1227">
        <f>'Output E'!AF75</f>
        <v>0</v>
      </c>
      <c r="AJ11" s="1227">
        <f>'Output E'!AG75</f>
        <v>0</v>
      </c>
      <c r="AK11" s="1227">
        <f>'Output E'!AH75</f>
        <v>0</v>
      </c>
      <c r="AL11" s="1227">
        <f>'Output E'!AI75</f>
        <v>0</v>
      </c>
      <c r="AM11" s="1227">
        <f>'Output E'!AJ75</f>
        <v>0</v>
      </c>
      <c r="AN11" s="1227">
        <f>'Output E'!AK75</f>
        <v>0</v>
      </c>
      <c r="AO11" s="1227">
        <f>'Output E'!AL75</f>
        <v>0</v>
      </c>
      <c r="AP11" s="1227">
        <f>'Output E'!AM75</f>
        <v>0</v>
      </c>
      <c r="AQ11" s="1227">
        <f>'Output E'!AN75</f>
        <v>0</v>
      </c>
      <c r="AR11" s="1227">
        <f>'Output E'!AO75</f>
        <v>0</v>
      </c>
      <c r="AS11" s="1227">
        <f>'Output E'!AP75</f>
        <v>0</v>
      </c>
      <c r="AT11" s="1227">
        <f>'Output E'!AQ75</f>
        <v>0</v>
      </c>
      <c r="AU11" s="1227">
        <f>'Output E'!AR75</f>
        <v>0</v>
      </c>
      <c r="AV11" s="1227">
        <f>'Output E'!AS75</f>
        <v>0</v>
      </c>
      <c r="AW11" s="1227">
        <f>'Output E'!AT75</f>
        <v>0</v>
      </c>
      <c r="AX11" s="1227">
        <f>'Output E'!AU75</f>
        <v>0</v>
      </c>
      <c r="AY11" s="1227">
        <f>'Output E'!AV75</f>
        <v>0</v>
      </c>
      <c r="AZ11" s="1227">
        <f>'Output E'!AW75</f>
        <v>0</v>
      </c>
      <c r="BA11" s="1227">
        <f>'Output E'!AX75</f>
        <v>0</v>
      </c>
      <c r="BB11" s="1227">
        <f>'Output E'!AY75</f>
        <v>0</v>
      </c>
      <c r="BC11" s="1227">
        <f>'Output E'!AZ75</f>
        <v>0</v>
      </c>
      <c r="BD11" s="1227">
        <f>'Output E'!BA75</f>
        <v>0</v>
      </c>
      <c r="BE11" s="1227">
        <f>'Output E'!BB75</f>
        <v>0</v>
      </c>
    </row>
    <row r="12" spans="2:57" s="2" customFormat="1" ht="15.75" x14ac:dyDescent="0.25">
      <c r="B12" s="1217"/>
      <c r="C12" s="1218"/>
      <c r="D12" s="1218"/>
      <c r="E12" s="1231" t="s">
        <v>1707</v>
      </c>
      <c r="F12" s="1232" t="s">
        <v>979</v>
      </c>
      <c r="G12" s="1233">
        <f>'Output E'!D76</f>
        <v>-165370.57476066533</v>
      </c>
      <c r="H12" s="1233">
        <f>'Output E'!E76</f>
        <v>-82043.82468483485</v>
      </c>
      <c r="I12" s="1233"/>
      <c r="J12" s="1234">
        <f>'Output E'!G76</f>
        <v>0</v>
      </c>
      <c r="K12" s="1234">
        <f>'Output E'!H76</f>
        <v>0</v>
      </c>
      <c r="L12" s="1234">
        <f>'Output E'!I76</f>
        <v>0</v>
      </c>
      <c r="M12" s="1234">
        <f>'Output E'!J76</f>
        <v>0</v>
      </c>
      <c r="N12" s="1234">
        <f>'Output E'!K76</f>
        <v>-19267.292448</v>
      </c>
      <c r="O12" s="1234">
        <f>'Output E'!L76</f>
        <v>-19652.638296960002</v>
      </c>
      <c r="P12" s="1234">
        <f>'Output E'!M76</f>
        <v>-20045.691062899201</v>
      </c>
      <c r="Q12" s="1234">
        <f>'Output E'!N76</f>
        <v>-20446.604884157179</v>
      </c>
      <c r="R12" s="1234">
        <f>'Output E'!O76</f>
        <v>-20855.536981840327</v>
      </c>
      <c r="S12" s="1234">
        <f>'Output E'!P76</f>
        <v>-21272.647721477133</v>
      </c>
      <c r="T12" s="1234">
        <f>'Output E'!Q76</f>
        <v>-21698.100675906677</v>
      </c>
      <c r="U12" s="1234">
        <f>'Output E'!R76</f>
        <v>-22132.062689424805</v>
      </c>
      <c r="V12" s="1234">
        <f>'Output E'!S76</f>
        <v>0</v>
      </c>
      <c r="W12" s="1234">
        <f>'Output E'!T76</f>
        <v>0</v>
      </c>
      <c r="X12" s="1234">
        <f>'Output E'!U76</f>
        <v>0</v>
      </c>
      <c r="Y12" s="1234">
        <f>'Output E'!V76</f>
        <v>0</v>
      </c>
      <c r="Z12" s="1234">
        <f>'Output E'!W76</f>
        <v>0</v>
      </c>
      <c r="AA12" s="1234">
        <f>'Output E'!X76</f>
        <v>0</v>
      </c>
      <c r="AB12" s="1234">
        <f>'Output E'!Y76</f>
        <v>0</v>
      </c>
      <c r="AC12" s="1234">
        <f>'Output E'!Z76</f>
        <v>0</v>
      </c>
      <c r="AD12" s="1234">
        <f>'Output E'!AA76</f>
        <v>0</v>
      </c>
      <c r="AE12" s="1234">
        <f>'Output E'!AB76</f>
        <v>0</v>
      </c>
      <c r="AF12" s="1234">
        <f>'Output E'!AC76</f>
        <v>0</v>
      </c>
      <c r="AG12" s="1234">
        <f>'Output E'!AD76</f>
        <v>0</v>
      </c>
      <c r="AH12" s="1234">
        <f>'Output E'!AE76</f>
        <v>0</v>
      </c>
      <c r="AI12" s="1234">
        <f>'Output E'!AF76</f>
        <v>0</v>
      </c>
      <c r="AJ12" s="1234">
        <f>'Output E'!AG76</f>
        <v>0</v>
      </c>
      <c r="AK12" s="1234">
        <f>'Output E'!AH76</f>
        <v>0</v>
      </c>
      <c r="AL12" s="1234">
        <f>'Output E'!AI76</f>
        <v>0</v>
      </c>
      <c r="AM12" s="1234">
        <f>'Output E'!AJ76</f>
        <v>0</v>
      </c>
      <c r="AN12" s="1234">
        <f>'Output E'!AK76</f>
        <v>0</v>
      </c>
      <c r="AO12" s="1234">
        <f>'Output E'!AL76</f>
        <v>0</v>
      </c>
      <c r="AP12" s="1234">
        <f>'Output E'!AM76</f>
        <v>0</v>
      </c>
      <c r="AQ12" s="1234">
        <f>'Output E'!AN76</f>
        <v>0</v>
      </c>
      <c r="AR12" s="1234">
        <f>'Output E'!AO76</f>
        <v>0</v>
      </c>
      <c r="AS12" s="1234">
        <f>'Output E'!AP76</f>
        <v>0</v>
      </c>
      <c r="AT12" s="1234">
        <f>'Output E'!AQ76</f>
        <v>0</v>
      </c>
      <c r="AU12" s="1234">
        <f>'Output E'!AR76</f>
        <v>0</v>
      </c>
      <c r="AV12" s="1234">
        <f>'Output E'!AS76</f>
        <v>0</v>
      </c>
      <c r="AW12" s="1234">
        <f>'Output E'!AT76</f>
        <v>0</v>
      </c>
      <c r="AX12" s="1234">
        <f>'Output E'!AU76</f>
        <v>0</v>
      </c>
      <c r="AY12" s="1234">
        <f>'Output E'!AV76</f>
        <v>0</v>
      </c>
      <c r="AZ12" s="1234">
        <f>'Output E'!AW76</f>
        <v>0</v>
      </c>
      <c r="BA12" s="1234">
        <f>'Output E'!AX76</f>
        <v>0</v>
      </c>
      <c r="BB12" s="1234">
        <f>'Output E'!AY76</f>
        <v>0</v>
      </c>
      <c r="BC12" s="1234">
        <f>'Output E'!AZ76</f>
        <v>0</v>
      </c>
      <c r="BD12" s="1234">
        <f>'Output E'!BA76</f>
        <v>0</v>
      </c>
      <c r="BE12" s="1234">
        <f>'Output E'!BB76</f>
        <v>0</v>
      </c>
    </row>
    <row r="13" spans="2:57" s="2" customFormat="1" ht="15.75" x14ac:dyDescent="0.25">
      <c r="B13" s="1217"/>
      <c r="C13" s="1218"/>
      <c r="D13" s="1218"/>
      <c r="E13" s="1231" t="s">
        <v>1708</v>
      </c>
      <c r="F13" s="1235" t="s">
        <v>979</v>
      </c>
      <c r="G13" s="1234">
        <f>'Output E'!D77</f>
        <v>-13935.722592190898</v>
      </c>
      <c r="H13" s="1234">
        <f>'Output E'!E77</f>
        <v>-6913.8054509692292</v>
      </c>
      <c r="I13" s="1233"/>
      <c r="J13" s="1234">
        <f>'Output E'!G77</f>
        <v>0</v>
      </c>
      <c r="K13" s="1234">
        <f>'Output E'!H77</f>
        <v>0</v>
      </c>
      <c r="L13" s="1234">
        <f>'Output E'!I77</f>
        <v>0</v>
      </c>
      <c r="M13" s="1234">
        <f>'Output E'!J77</f>
        <v>0</v>
      </c>
      <c r="N13" s="1234">
        <f>'Output E'!K77</f>
        <v>-1623.64824</v>
      </c>
      <c r="O13" s="1234">
        <f>'Output E'!L77</f>
        <v>-1656.1212048</v>
      </c>
      <c r="P13" s="1234">
        <f>'Output E'!M77</f>
        <v>-1689.243628896</v>
      </c>
      <c r="Q13" s="1234">
        <f>'Output E'!N77</f>
        <v>-1723.0285014739197</v>
      </c>
      <c r="R13" s="1234">
        <f>'Output E'!O77</f>
        <v>-1757.4890715033982</v>
      </c>
      <c r="S13" s="1234">
        <f>'Output E'!P77</f>
        <v>-1792.6388529334663</v>
      </c>
      <c r="T13" s="1234">
        <f>'Output E'!Q77</f>
        <v>-1828.4916299921356</v>
      </c>
      <c r="U13" s="1234">
        <f>'Output E'!R77</f>
        <v>-1865.0614625919779</v>
      </c>
      <c r="V13" s="1234">
        <f>'Output E'!S77</f>
        <v>0</v>
      </c>
      <c r="W13" s="1234">
        <f>'Output E'!T77</f>
        <v>0</v>
      </c>
      <c r="X13" s="1234">
        <f>'Output E'!U77</f>
        <v>0</v>
      </c>
      <c r="Y13" s="1234">
        <f>'Output E'!V77</f>
        <v>0</v>
      </c>
      <c r="Z13" s="1234">
        <f>'Output E'!W77</f>
        <v>0</v>
      </c>
      <c r="AA13" s="1234">
        <f>'Output E'!X77</f>
        <v>0</v>
      </c>
      <c r="AB13" s="1234">
        <f>'Output E'!Y77</f>
        <v>0</v>
      </c>
      <c r="AC13" s="1234">
        <f>'Output E'!Z77</f>
        <v>0</v>
      </c>
      <c r="AD13" s="1234">
        <f>'Output E'!AA77</f>
        <v>0</v>
      </c>
      <c r="AE13" s="1234">
        <f>'Output E'!AB77</f>
        <v>0</v>
      </c>
      <c r="AF13" s="1234">
        <f>'Output E'!AC77</f>
        <v>0</v>
      </c>
      <c r="AG13" s="1234">
        <f>'Output E'!AD77</f>
        <v>0</v>
      </c>
      <c r="AH13" s="1234">
        <f>'Output E'!AE77</f>
        <v>0</v>
      </c>
      <c r="AI13" s="1234">
        <f>'Output E'!AF77</f>
        <v>0</v>
      </c>
      <c r="AJ13" s="1234">
        <f>'Output E'!AG77</f>
        <v>0</v>
      </c>
      <c r="AK13" s="1234">
        <f>'Output E'!AH77</f>
        <v>0</v>
      </c>
      <c r="AL13" s="1234">
        <f>'Output E'!AI77</f>
        <v>0</v>
      </c>
      <c r="AM13" s="1234">
        <f>'Output E'!AJ77</f>
        <v>0</v>
      </c>
      <c r="AN13" s="1234">
        <f>'Output E'!AK77</f>
        <v>0</v>
      </c>
      <c r="AO13" s="1234">
        <f>'Output E'!AL77</f>
        <v>0</v>
      </c>
      <c r="AP13" s="1234">
        <f>'Output E'!AM77</f>
        <v>0</v>
      </c>
      <c r="AQ13" s="1234">
        <f>'Output E'!AN77</f>
        <v>0</v>
      </c>
      <c r="AR13" s="1234">
        <f>'Output E'!AO77</f>
        <v>0</v>
      </c>
      <c r="AS13" s="1234">
        <f>'Output E'!AP77</f>
        <v>0</v>
      </c>
      <c r="AT13" s="1234">
        <f>'Output E'!AQ77</f>
        <v>0</v>
      </c>
      <c r="AU13" s="1234">
        <f>'Output E'!AR77</f>
        <v>0</v>
      </c>
      <c r="AV13" s="1234">
        <f>'Output E'!AS77</f>
        <v>0</v>
      </c>
      <c r="AW13" s="1234">
        <f>'Output E'!AT77</f>
        <v>0</v>
      </c>
      <c r="AX13" s="1234">
        <f>'Output E'!AU77</f>
        <v>0</v>
      </c>
      <c r="AY13" s="1234">
        <f>'Output E'!AV77</f>
        <v>0</v>
      </c>
      <c r="AZ13" s="1234">
        <f>'Output E'!AW77</f>
        <v>0</v>
      </c>
      <c r="BA13" s="1234">
        <f>'Output E'!AX77</f>
        <v>0</v>
      </c>
      <c r="BB13" s="1234">
        <f>'Output E'!AY77</f>
        <v>0</v>
      </c>
      <c r="BC13" s="1234">
        <f>'Output E'!AZ77</f>
        <v>0</v>
      </c>
      <c r="BD13" s="1234">
        <f>'Output E'!BA77</f>
        <v>0</v>
      </c>
      <c r="BE13" s="1234">
        <f>'Output E'!BB77</f>
        <v>0</v>
      </c>
    </row>
    <row r="14" spans="2:57" s="2" customFormat="1" ht="15.75" x14ac:dyDescent="0.25">
      <c r="B14" s="1217"/>
      <c r="C14" s="1218"/>
      <c r="D14" s="1218"/>
      <c r="E14" s="1229"/>
      <c r="F14" s="1229"/>
      <c r="G14" s="1230"/>
      <c r="H14" s="1230"/>
      <c r="I14" s="1230"/>
      <c r="J14" s="1230"/>
      <c r="K14" s="1230"/>
      <c r="L14" s="1230"/>
      <c r="M14" s="1230"/>
      <c r="N14" s="1230"/>
      <c r="O14" s="1230"/>
      <c r="P14" s="1230"/>
      <c r="Q14" s="1230"/>
      <c r="R14" s="1230"/>
      <c r="S14" s="1230"/>
      <c r="T14" s="1230"/>
      <c r="U14" s="1230"/>
      <c r="V14" s="1230"/>
      <c r="W14" s="1230"/>
      <c r="X14" s="1230"/>
      <c r="Y14" s="1230"/>
      <c r="Z14" s="1230"/>
      <c r="AA14" s="1230"/>
      <c r="AB14" s="1230"/>
      <c r="AC14" s="1230"/>
      <c r="AD14" s="1230"/>
      <c r="AE14" s="1230"/>
      <c r="AF14" s="1230"/>
      <c r="AG14" s="1230"/>
      <c r="AH14" s="1230"/>
      <c r="AI14" s="1230"/>
      <c r="AJ14" s="1230"/>
      <c r="AK14" s="1230"/>
      <c r="AL14" s="1230"/>
      <c r="AM14" s="1230"/>
      <c r="AN14" s="1230"/>
      <c r="AO14" s="1230"/>
      <c r="AP14" s="1230"/>
      <c r="AQ14" s="1230"/>
      <c r="AR14" s="1230"/>
      <c r="AS14" s="1230"/>
      <c r="AT14" s="1230"/>
      <c r="AU14" s="1230"/>
      <c r="AV14" s="1230"/>
      <c r="AW14" s="1230"/>
      <c r="AX14" s="1230"/>
      <c r="AY14" s="1230"/>
      <c r="AZ14" s="1230"/>
      <c r="BA14" s="1230"/>
      <c r="BB14" s="1230"/>
      <c r="BC14" s="1230"/>
      <c r="BD14" s="1230"/>
      <c r="BE14" s="1230"/>
    </row>
    <row r="15" spans="2:57" s="2" customFormat="1" ht="15.75" x14ac:dyDescent="0.25">
      <c r="B15" s="1217"/>
      <c r="C15" s="1218"/>
      <c r="D15" s="1218"/>
      <c r="E15" s="1222" t="s">
        <v>983</v>
      </c>
      <c r="F15" s="1222" t="s">
        <v>979</v>
      </c>
      <c r="G15" s="1223">
        <f>'Output E'!D79</f>
        <v>758763.04173895507</v>
      </c>
      <c r="H15" s="1223">
        <f>'Output E'!E79</f>
        <v>374300.06727130979</v>
      </c>
      <c r="I15" s="1224"/>
      <c r="J15" s="1223">
        <f>'Output E'!G79</f>
        <v>0</v>
      </c>
      <c r="K15" s="1223">
        <f>'Output E'!H79</f>
        <v>0</v>
      </c>
      <c r="L15" s="1223">
        <f>'Output E'!I79</f>
        <v>0</v>
      </c>
      <c r="M15" s="1223">
        <f>'Output E'!J79</f>
        <v>0</v>
      </c>
      <c r="N15" s="1223">
        <f>'Output E'!K79</f>
        <v>83599.720300021028</v>
      </c>
      <c r="O15" s="1223">
        <f>'Output E'!L79</f>
        <v>88221.98685947698</v>
      </c>
      <c r="P15" s="1223">
        <f>'Output E'!M79</f>
        <v>90846.220195673566</v>
      </c>
      <c r="Q15" s="1223">
        <f>'Output E'!N79</f>
        <v>93540.134070574219</v>
      </c>
      <c r="R15" s="1223">
        <f>'Output E'!O79</f>
        <v>96305.46601239263</v>
      </c>
      <c r="S15" s="1223">
        <f>'Output E'!P79</f>
        <v>99143.995178255544</v>
      </c>
      <c r="T15" s="1223">
        <f>'Output E'!Q79</f>
        <v>102057.54332434802</v>
      </c>
      <c r="U15" s="1223">
        <f>'Output E'!R79</f>
        <v>105047.97579821292</v>
      </c>
      <c r="V15" s="1223">
        <f>'Output E'!S79</f>
        <v>0</v>
      </c>
      <c r="W15" s="1223">
        <f>'Output E'!T79</f>
        <v>0</v>
      </c>
      <c r="X15" s="1223">
        <f>'Output E'!U79</f>
        <v>0</v>
      </c>
      <c r="Y15" s="1223">
        <f>'Output E'!V79</f>
        <v>0</v>
      </c>
      <c r="Z15" s="1223">
        <f>'Output E'!W79</f>
        <v>0</v>
      </c>
      <c r="AA15" s="1223">
        <f>'Output E'!X79</f>
        <v>0</v>
      </c>
      <c r="AB15" s="1223">
        <f>'Output E'!Y79</f>
        <v>0</v>
      </c>
      <c r="AC15" s="1223">
        <f>'Output E'!Z79</f>
        <v>0</v>
      </c>
      <c r="AD15" s="1223">
        <f>'Output E'!AA79</f>
        <v>0</v>
      </c>
      <c r="AE15" s="1223">
        <f>'Output E'!AB79</f>
        <v>0</v>
      </c>
      <c r="AF15" s="1223">
        <f>'Output E'!AC79</f>
        <v>0</v>
      </c>
      <c r="AG15" s="1223">
        <f>'Output E'!AD79</f>
        <v>0</v>
      </c>
      <c r="AH15" s="1223">
        <f>'Output E'!AE79</f>
        <v>0</v>
      </c>
      <c r="AI15" s="1223">
        <f>'Output E'!AF79</f>
        <v>0</v>
      </c>
      <c r="AJ15" s="1223">
        <f>'Output E'!AG79</f>
        <v>0</v>
      </c>
      <c r="AK15" s="1223">
        <f>'Output E'!AH79</f>
        <v>0</v>
      </c>
      <c r="AL15" s="1223">
        <f>'Output E'!AI79</f>
        <v>0</v>
      </c>
      <c r="AM15" s="1223">
        <f>'Output E'!AJ79</f>
        <v>0</v>
      </c>
      <c r="AN15" s="1223">
        <f>'Output E'!AK79</f>
        <v>0</v>
      </c>
      <c r="AO15" s="1223">
        <f>'Output E'!AL79</f>
        <v>0</v>
      </c>
      <c r="AP15" s="1223">
        <f>'Output E'!AM79</f>
        <v>0</v>
      </c>
      <c r="AQ15" s="1223">
        <f>'Output E'!AN79</f>
        <v>0</v>
      </c>
      <c r="AR15" s="1223">
        <f>'Output E'!AO79</f>
        <v>0</v>
      </c>
      <c r="AS15" s="1223">
        <f>'Output E'!AP79</f>
        <v>0</v>
      </c>
      <c r="AT15" s="1223">
        <f>'Output E'!AQ79</f>
        <v>0</v>
      </c>
      <c r="AU15" s="1223">
        <f>'Output E'!AR79</f>
        <v>0</v>
      </c>
      <c r="AV15" s="1223">
        <f>'Output E'!AS79</f>
        <v>0</v>
      </c>
      <c r="AW15" s="1223">
        <f>'Output E'!AT79</f>
        <v>0</v>
      </c>
      <c r="AX15" s="1223">
        <f>'Output E'!AU79</f>
        <v>0</v>
      </c>
      <c r="AY15" s="1223">
        <f>'Output E'!AV79</f>
        <v>0</v>
      </c>
      <c r="AZ15" s="1223">
        <f>'Output E'!AW79</f>
        <v>0</v>
      </c>
      <c r="BA15" s="1223">
        <f>'Output E'!AX79</f>
        <v>0</v>
      </c>
      <c r="BB15" s="1223">
        <f>'Output E'!AY79</f>
        <v>0</v>
      </c>
      <c r="BC15" s="1223">
        <f>'Output E'!AZ79</f>
        <v>0</v>
      </c>
      <c r="BD15" s="1223">
        <f>'Output E'!BA79</f>
        <v>0</v>
      </c>
      <c r="BE15" s="1223">
        <f>'Output E'!BB79</f>
        <v>0</v>
      </c>
    </row>
    <row r="16" spans="2:57" s="2" customFormat="1" ht="15.75" x14ac:dyDescent="0.25">
      <c r="B16" s="1217"/>
      <c r="C16" s="1218"/>
      <c r="D16" s="1218"/>
      <c r="E16" s="1225" t="s">
        <v>1381</v>
      </c>
      <c r="F16" s="1226" t="s">
        <v>979</v>
      </c>
      <c r="G16" s="1227">
        <f>'Output E'!D80</f>
        <v>758763.04173895507</v>
      </c>
      <c r="H16" s="1227">
        <f>'Output E'!E80</f>
        <v>374300.06727130979</v>
      </c>
      <c r="I16" s="1228"/>
      <c r="J16" s="1227">
        <f>'Output E'!G80</f>
        <v>0</v>
      </c>
      <c r="K16" s="1227">
        <f>'Output E'!H80</f>
        <v>0</v>
      </c>
      <c r="L16" s="1227">
        <f>'Output E'!I80</f>
        <v>0</v>
      </c>
      <c r="M16" s="1227">
        <f>'Output E'!J80</f>
        <v>0</v>
      </c>
      <c r="N16" s="1227">
        <f>'Output E'!K80</f>
        <v>83599.720300021028</v>
      </c>
      <c r="O16" s="1227">
        <f>'Output E'!L80</f>
        <v>88221.98685947698</v>
      </c>
      <c r="P16" s="1227">
        <f>'Output E'!M80</f>
        <v>90846.220195673566</v>
      </c>
      <c r="Q16" s="1227">
        <f>'Output E'!N80</f>
        <v>93540.134070574219</v>
      </c>
      <c r="R16" s="1227">
        <f>'Output E'!O80</f>
        <v>96305.46601239263</v>
      </c>
      <c r="S16" s="1227">
        <f>'Output E'!P80</f>
        <v>99143.995178255544</v>
      </c>
      <c r="T16" s="1227">
        <f>'Output E'!Q80</f>
        <v>102057.54332434802</v>
      </c>
      <c r="U16" s="1227">
        <f>'Output E'!R80</f>
        <v>105047.97579821292</v>
      </c>
      <c r="V16" s="1227">
        <f>'Output E'!S80</f>
        <v>0</v>
      </c>
      <c r="W16" s="1227">
        <f>'Output E'!T80</f>
        <v>0</v>
      </c>
      <c r="X16" s="1227">
        <f>'Output E'!U80</f>
        <v>0</v>
      </c>
      <c r="Y16" s="1227">
        <f>'Output E'!V80</f>
        <v>0</v>
      </c>
      <c r="Z16" s="1227">
        <f>'Output E'!W80</f>
        <v>0</v>
      </c>
      <c r="AA16" s="1227">
        <f>'Output E'!X80</f>
        <v>0</v>
      </c>
      <c r="AB16" s="1227">
        <f>'Output E'!Y80</f>
        <v>0</v>
      </c>
      <c r="AC16" s="1227">
        <f>'Output E'!Z80</f>
        <v>0</v>
      </c>
      <c r="AD16" s="1227">
        <f>'Output E'!AA80</f>
        <v>0</v>
      </c>
      <c r="AE16" s="1227">
        <f>'Output E'!AB80</f>
        <v>0</v>
      </c>
      <c r="AF16" s="1227">
        <f>'Output E'!AC80</f>
        <v>0</v>
      </c>
      <c r="AG16" s="1227">
        <f>'Output E'!AD80</f>
        <v>0</v>
      </c>
      <c r="AH16" s="1227">
        <f>'Output E'!AE80</f>
        <v>0</v>
      </c>
      <c r="AI16" s="1227">
        <f>'Output E'!AF80</f>
        <v>0</v>
      </c>
      <c r="AJ16" s="1227">
        <f>'Output E'!AG80</f>
        <v>0</v>
      </c>
      <c r="AK16" s="1227">
        <f>'Output E'!AH80</f>
        <v>0</v>
      </c>
      <c r="AL16" s="1227">
        <f>'Output E'!AI80</f>
        <v>0</v>
      </c>
      <c r="AM16" s="1227">
        <f>'Output E'!AJ80</f>
        <v>0</v>
      </c>
      <c r="AN16" s="1227">
        <f>'Output E'!AK80</f>
        <v>0</v>
      </c>
      <c r="AO16" s="1227">
        <f>'Output E'!AL80</f>
        <v>0</v>
      </c>
      <c r="AP16" s="1227">
        <f>'Output E'!AM80</f>
        <v>0</v>
      </c>
      <c r="AQ16" s="1227">
        <f>'Output E'!AN80</f>
        <v>0</v>
      </c>
      <c r="AR16" s="1227">
        <f>'Output E'!AO80</f>
        <v>0</v>
      </c>
      <c r="AS16" s="1227">
        <f>'Output E'!AP80</f>
        <v>0</v>
      </c>
      <c r="AT16" s="1227">
        <f>'Output E'!AQ80</f>
        <v>0</v>
      </c>
      <c r="AU16" s="1227">
        <f>'Output E'!AR80</f>
        <v>0</v>
      </c>
      <c r="AV16" s="1227">
        <f>'Output E'!AS80</f>
        <v>0</v>
      </c>
      <c r="AW16" s="1227">
        <f>'Output E'!AT80</f>
        <v>0</v>
      </c>
      <c r="AX16" s="1227">
        <f>'Output E'!AU80</f>
        <v>0</v>
      </c>
      <c r="AY16" s="1227">
        <f>'Output E'!AV80</f>
        <v>0</v>
      </c>
      <c r="AZ16" s="1227">
        <f>'Output E'!AW80</f>
        <v>0</v>
      </c>
      <c r="BA16" s="1227">
        <f>'Output E'!AX80</f>
        <v>0</v>
      </c>
      <c r="BB16" s="1227">
        <f>'Output E'!AY80</f>
        <v>0</v>
      </c>
      <c r="BC16" s="1227">
        <f>'Output E'!AZ80</f>
        <v>0</v>
      </c>
      <c r="BD16" s="1227">
        <f>'Output E'!BA80</f>
        <v>0</v>
      </c>
      <c r="BE16" s="1227">
        <f>'Output E'!BB80</f>
        <v>0</v>
      </c>
    </row>
    <row r="17" spans="2:57" s="2" customFormat="1" ht="15.75" x14ac:dyDescent="0.25">
      <c r="B17" s="1217"/>
      <c r="C17" s="1218"/>
      <c r="D17" s="1218"/>
      <c r="E17" s="1229"/>
      <c r="F17" s="1229"/>
      <c r="G17" s="1230"/>
      <c r="H17" s="1230"/>
      <c r="I17" s="1230"/>
      <c r="J17" s="1230"/>
      <c r="K17" s="1230"/>
      <c r="L17" s="1230"/>
      <c r="M17" s="1230"/>
      <c r="N17" s="1230"/>
      <c r="O17" s="1230"/>
      <c r="P17" s="1230"/>
      <c r="Q17" s="1230"/>
      <c r="R17" s="1230"/>
      <c r="S17" s="1230"/>
      <c r="T17" s="1230"/>
      <c r="U17" s="1230"/>
      <c r="V17" s="1230"/>
      <c r="W17" s="1230"/>
      <c r="X17" s="1230"/>
      <c r="Y17" s="1230"/>
      <c r="Z17" s="1230"/>
      <c r="AA17" s="1230"/>
      <c r="AB17" s="1230"/>
      <c r="AC17" s="1230"/>
      <c r="AD17" s="1230"/>
      <c r="AE17" s="1230"/>
      <c r="AF17" s="1230"/>
      <c r="AG17" s="1230"/>
      <c r="AH17" s="1230"/>
      <c r="AI17" s="1230"/>
      <c r="AJ17" s="1230"/>
      <c r="AK17" s="1230"/>
      <c r="AL17" s="1230"/>
      <c r="AM17" s="1230"/>
      <c r="AN17" s="1230"/>
      <c r="AO17" s="1230"/>
      <c r="AP17" s="1230"/>
      <c r="AQ17" s="1230"/>
      <c r="AR17" s="1230"/>
      <c r="AS17" s="1230"/>
      <c r="AT17" s="1230"/>
      <c r="AU17" s="1230"/>
      <c r="AV17" s="1230"/>
      <c r="AW17" s="1230"/>
      <c r="AX17" s="1230"/>
      <c r="AY17" s="1230"/>
      <c r="AZ17" s="1230"/>
      <c r="BA17" s="1230"/>
      <c r="BB17" s="1230"/>
      <c r="BC17" s="1230"/>
      <c r="BD17" s="1230"/>
      <c r="BE17" s="1230"/>
    </row>
    <row r="18" spans="2:57" s="2" customFormat="1" ht="15.75" x14ac:dyDescent="0.25">
      <c r="B18" s="1217"/>
      <c r="C18" s="1218"/>
      <c r="D18" s="1218"/>
      <c r="E18" s="1222" t="s">
        <v>995</v>
      </c>
      <c r="F18" s="1222" t="s">
        <v>979</v>
      </c>
      <c r="G18" s="1223">
        <f>'Output E'!D82</f>
        <v>-35644.168374717658</v>
      </c>
      <c r="H18" s="1223">
        <f>'Output E'!E82</f>
        <v>-17683.822562777099</v>
      </c>
      <c r="I18" s="1224"/>
      <c r="J18" s="1223">
        <f>'Output E'!G82</f>
        <v>0</v>
      </c>
      <c r="K18" s="1223">
        <f>'Output E'!H82</f>
        <v>0</v>
      </c>
      <c r="L18" s="1223">
        <f>'Output E'!I82</f>
        <v>0</v>
      </c>
      <c r="M18" s="1223">
        <f>'Output E'!J82</f>
        <v>0</v>
      </c>
      <c r="N18" s="1223">
        <f>'Output E'!K82</f>
        <v>-4152.89489762837</v>
      </c>
      <c r="O18" s="1223">
        <f>'Output E'!L82</f>
        <v>-4235.9527955809372</v>
      </c>
      <c r="P18" s="1223">
        <f>'Output E'!M82</f>
        <v>-4320.6718514925569</v>
      </c>
      <c r="Q18" s="1223">
        <f>'Output E'!N82</f>
        <v>-4407.0852885224067</v>
      </c>
      <c r="R18" s="1223">
        <f>'Output E'!O82</f>
        <v>-4495.2269942928551</v>
      </c>
      <c r="S18" s="1223">
        <f>'Output E'!P82</f>
        <v>-4585.1315341787122</v>
      </c>
      <c r="T18" s="1223">
        <f>'Output E'!Q82</f>
        <v>-4676.8341648622873</v>
      </c>
      <c r="U18" s="1223">
        <f>'Output E'!R82</f>
        <v>-4770.3708481595322</v>
      </c>
      <c r="V18" s="1223">
        <f>'Output E'!S82</f>
        <v>0</v>
      </c>
      <c r="W18" s="1223">
        <f>'Output E'!T82</f>
        <v>0</v>
      </c>
      <c r="X18" s="1223">
        <f>'Output E'!U82</f>
        <v>0</v>
      </c>
      <c r="Y18" s="1223">
        <f>'Output E'!V82</f>
        <v>0</v>
      </c>
      <c r="Z18" s="1223">
        <f>'Output E'!W82</f>
        <v>0</v>
      </c>
      <c r="AA18" s="1223">
        <f>'Output E'!X82</f>
        <v>0</v>
      </c>
      <c r="AB18" s="1223">
        <f>'Output E'!Y82</f>
        <v>0</v>
      </c>
      <c r="AC18" s="1223">
        <f>'Output E'!Z82</f>
        <v>0</v>
      </c>
      <c r="AD18" s="1223">
        <f>'Output E'!AA82</f>
        <v>0</v>
      </c>
      <c r="AE18" s="1223">
        <f>'Output E'!AB82</f>
        <v>0</v>
      </c>
      <c r="AF18" s="1223">
        <f>'Output E'!AC82</f>
        <v>0</v>
      </c>
      <c r="AG18" s="1223">
        <f>'Output E'!AD82</f>
        <v>0</v>
      </c>
      <c r="AH18" s="1223">
        <f>'Output E'!AE82</f>
        <v>0</v>
      </c>
      <c r="AI18" s="1223">
        <f>'Output E'!AF82</f>
        <v>0</v>
      </c>
      <c r="AJ18" s="1223">
        <f>'Output E'!AG82</f>
        <v>0</v>
      </c>
      <c r="AK18" s="1223">
        <f>'Output E'!AH82</f>
        <v>0</v>
      </c>
      <c r="AL18" s="1223">
        <f>'Output E'!AI82</f>
        <v>0</v>
      </c>
      <c r="AM18" s="1223">
        <f>'Output E'!AJ82</f>
        <v>0</v>
      </c>
      <c r="AN18" s="1223">
        <f>'Output E'!AK82</f>
        <v>0</v>
      </c>
      <c r="AO18" s="1223">
        <f>'Output E'!AL82</f>
        <v>0</v>
      </c>
      <c r="AP18" s="1223">
        <f>'Output E'!AM82</f>
        <v>0</v>
      </c>
      <c r="AQ18" s="1223">
        <f>'Output E'!AN82</f>
        <v>0</v>
      </c>
      <c r="AR18" s="1223">
        <f>'Output E'!AO82</f>
        <v>0</v>
      </c>
      <c r="AS18" s="1223">
        <f>'Output E'!AP82</f>
        <v>0</v>
      </c>
      <c r="AT18" s="1223">
        <f>'Output E'!AQ82</f>
        <v>0</v>
      </c>
      <c r="AU18" s="1223">
        <f>'Output E'!AR82</f>
        <v>0</v>
      </c>
      <c r="AV18" s="1223">
        <f>'Output E'!AS82</f>
        <v>0</v>
      </c>
      <c r="AW18" s="1223">
        <f>'Output E'!AT82</f>
        <v>0</v>
      </c>
      <c r="AX18" s="1223">
        <f>'Output E'!AU82</f>
        <v>0</v>
      </c>
      <c r="AY18" s="1223">
        <f>'Output E'!AV82</f>
        <v>0</v>
      </c>
      <c r="AZ18" s="1223">
        <f>'Output E'!AW82</f>
        <v>0</v>
      </c>
      <c r="BA18" s="1223">
        <f>'Output E'!AX82</f>
        <v>0</v>
      </c>
      <c r="BB18" s="1223">
        <f>'Output E'!AY82</f>
        <v>0</v>
      </c>
      <c r="BC18" s="1223">
        <f>'Output E'!AZ82</f>
        <v>0</v>
      </c>
      <c r="BD18" s="1223">
        <f>'Output E'!BA82</f>
        <v>0</v>
      </c>
      <c r="BE18" s="1223">
        <f>'Output E'!BB82</f>
        <v>0</v>
      </c>
    </row>
    <row r="19" spans="2:57" s="2" customFormat="1" ht="15.75" x14ac:dyDescent="0.25">
      <c r="B19" s="1217"/>
      <c r="C19" s="1218"/>
      <c r="D19" s="1218"/>
      <c r="E19" s="1236" t="s">
        <v>10</v>
      </c>
      <c r="F19" s="1226" t="s">
        <v>979</v>
      </c>
      <c r="G19" s="1227">
        <f>'Output E'!D83</f>
        <v>-35644.168374717658</v>
      </c>
      <c r="H19" s="1227">
        <f>'Output E'!E83</f>
        <v>-17683.822562777099</v>
      </c>
      <c r="I19" s="1228"/>
      <c r="J19" s="1227">
        <f>'Output E'!G83</f>
        <v>0</v>
      </c>
      <c r="K19" s="1227">
        <f>'Output E'!H83</f>
        <v>0</v>
      </c>
      <c r="L19" s="1227">
        <f>'Output E'!I83</f>
        <v>0</v>
      </c>
      <c r="M19" s="1227">
        <f>'Output E'!J83</f>
        <v>0</v>
      </c>
      <c r="N19" s="1227">
        <f>'Output E'!K83</f>
        <v>-4152.89489762837</v>
      </c>
      <c r="O19" s="1227">
        <f>'Output E'!L83</f>
        <v>-4235.9527955809372</v>
      </c>
      <c r="P19" s="1227">
        <f>'Output E'!M83</f>
        <v>-4320.6718514925569</v>
      </c>
      <c r="Q19" s="1227">
        <f>'Output E'!N83</f>
        <v>-4407.0852885224067</v>
      </c>
      <c r="R19" s="1227">
        <f>'Output E'!O83</f>
        <v>-4495.2269942928551</v>
      </c>
      <c r="S19" s="1227">
        <f>'Output E'!P83</f>
        <v>-4585.1315341787122</v>
      </c>
      <c r="T19" s="1227">
        <f>'Output E'!Q83</f>
        <v>-4676.8341648622873</v>
      </c>
      <c r="U19" s="1227">
        <f>'Output E'!R83</f>
        <v>-4770.3708481595322</v>
      </c>
      <c r="V19" s="1227">
        <f>'Output E'!S83</f>
        <v>0</v>
      </c>
      <c r="W19" s="1227">
        <f>'Output E'!T83</f>
        <v>0</v>
      </c>
      <c r="X19" s="1227">
        <f>'Output E'!U83</f>
        <v>0</v>
      </c>
      <c r="Y19" s="1227">
        <f>'Output E'!V83</f>
        <v>0</v>
      </c>
      <c r="Z19" s="1227">
        <f>'Output E'!W83</f>
        <v>0</v>
      </c>
      <c r="AA19" s="1227">
        <f>'Output E'!X83</f>
        <v>0</v>
      </c>
      <c r="AB19" s="1227">
        <f>'Output E'!Y83</f>
        <v>0</v>
      </c>
      <c r="AC19" s="1227">
        <f>'Output E'!Z83</f>
        <v>0</v>
      </c>
      <c r="AD19" s="1227">
        <f>'Output E'!AA83</f>
        <v>0</v>
      </c>
      <c r="AE19" s="1227">
        <f>'Output E'!AB83</f>
        <v>0</v>
      </c>
      <c r="AF19" s="1227">
        <f>'Output E'!AC83</f>
        <v>0</v>
      </c>
      <c r="AG19" s="1227">
        <f>'Output E'!AD83</f>
        <v>0</v>
      </c>
      <c r="AH19" s="1227">
        <f>'Output E'!AE83</f>
        <v>0</v>
      </c>
      <c r="AI19" s="1227">
        <f>'Output E'!AF83</f>
        <v>0</v>
      </c>
      <c r="AJ19" s="1227">
        <f>'Output E'!AG83</f>
        <v>0</v>
      </c>
      <c r="AK19" s="1227">
        <f>'Output E'!AH83</f>
        <v>0</v>
      </c>
      <c r="AL19" s="1227">
        <f>'Output E'!AI83</f>
        <v>0</v>
      </c>
      <c r="AM19" s="1227">
        <f>'Output E'!AJ83</f>
        <v>0</v>
      </c>
      <c r="AN19" s="1227">
        <f>'Output E'!AK83</f>
        <v>0</v>
      </c>
      <c r="AO19" s="1227">
        <f>'Output E'!AL83</f>
        <v>0</v>
      </c>
      <c r="AP19" s="1227">
        <f>'Output E'!AM83</f>
        <v>0</v>
      </c>
      <c r="AQ19" s="1227">
        <f>'Output E'!AN83</f>
        <v>0</v>
      </c>
      <c r="AR19" s="1227">
        <f>'Output E'!AO83</f>
        <v>0</v>
      </c>
      <c r="AS19" s="1227">
        <f>'Output E'!AP83</f>
        <v>0</v>
      </c>
      <c r="AT19" s="1227">
        <f>'Output E'!AQ83</f>
        <v>0</v>
      </c>
      <c r="AU19" s="1227">
        <f>'Output E'!AR83</f>
        <v>0</v>
      </c>
      <c r="AV19" s="1227">
        <f>'Output E'!AS83</f>
        <v>0</v>
      </c>
      <c r="AW19" s="1227">
        <f>'Output E'!AT83</f>
        <v>0</v>
      </c>
      <c r="AX19" s="1227">
        <f>'Output E'!AU83</f>
        <v>0</v>
      </c>
      <c r="AY19" s="1227">
        <f>'Output E'!AV83</f>
        <v>0</v>
      </c>
      <c r="AZ19" s="1227">
        <f>'Output E'!AW83</f>
        <v>0</v>
      </c>
      <c r="BA19" s="1227">
        <f>'Output E'!AX83</f>
        <v>0</v>
      </c>
      <c r="BB19" s="1227">
        <f>'Output E'!AY83</f>
        <v>0</v>
      </c>
      <c r="BC19" s="1227">
        <f>'Output E'!AZ83</f>
        <v>0</v>
      </c>
      <c r="BD19" s="1227">
        <f>'Output E'!BA83</f>
        <v>0</v>
      </c>
      <c r="BE19" s="1227">
        <f>'Output E'!BB83</f>
        <v>0</v>
      </c>
    </row>
    <row r="20" spans="2:57" s="2" customFormat="1" ht="15.75" x14ac:dyDescent="0.25">
      <c r="B20" s="1217"/>
      <c r="C20" s="1218"/>
      <c r="D20" s="1218"/>
      <c r="E20" s="1237"/>
      <c r="F20" s="1237"/>
      <c r="G20" s="1237"/>
      <c r="H20" s="1237"/>
      <c r="I20" s="1237"/>
      <c r="J20" s="1237"/>
      <c r="K20" s="1237"/>
      <c r="L20" s="1237"/>
      <c r="M20" s="1237"/>
      <c r="N20" s="1237"/>
      <c r="O20" s="1237"/>
      <c r="P20" s="1237"/>
      <c r="Q20" s="1237"/>
      <c r="R20" s="1237"/>
      <c r="S20" s="1237"/>
      <c r="T20" s="1237"/>
      <c r="U20" s="1237"/>
      <c r="V20" s="1237"/>
      <c r="W20" s="1237"/>
      <c r="X20" s="1237"/>
      <c r="Y20" s="1237"/>
      <c r="Z20" s="1237"/>
      <c r="AA20" s="1237"/>
      <c r="AB20" s="1237"/>
      <c r="AC20" s="1237"/>
      <c r="AD20" s="1237"/>
      <c r="AE20" s="1237"/>
      <c r="AF20" s="1237"/>
      <c r="AG20" s="1237"/>
      <c r="AH20" s="1237"/>
      <c r="AI20" s="1237"/>
      <c r="AJ20" s="1237"/>
      <c r="AK20" s="1237"/>
      <c r="AL20" s="1237"/>
      <c r="AM20" s="1237"/>
      <c r="AN20" s="1237"/>
      <c r="AO20" s="1237"/>
      <c r="AP20" s="1237"/>
      <c r="AQ20" s="1237"/>
      <c r="AR20" s="1237"/>
      <c r="AS20" s="1237"/>
      <c r="AT20" s="1237"/>
      <c r="AU20" s="1237"/>
      <c r="AV20" s="1237"/>
      <c r="AW20" s="1237"/>
      <c r="AX20" s="1237"/>
      <c r="AY20" s="1237"/>
      <c r="AZ20" s="1237"/>
      <c r="BA20" s="1237"/>
      <c r="BB20" s="1237"/>
      <c r="BC20" s="1237"/>
      <c r="BD20" s="1237"/>
      <c r="BE20" s="1237"/>
    </row>
    <row r="21" spans="2:57" s="2" customFormat="1" ht="15.75" x14ac:dyDescent="0.25">
      <c r="B21" s="1217"/>
      <c r="C21" s="1218"/>
      <c r="D21" s="1218"/>
      <c r="E21" s="1238" t="s">
        <v>84</v>
      </c>
      <c r="F21" s="1238" t="s">
        <v>979</v>
      </c>
      <c r="G21" s="1239">
        <f>'Output E'!D85</f>
        <v>464005.95414373698</v>
      </c>
      <c r="H21" s="1239">
        <f>'Output E'!E85</f>
        <v>239155.3206050765</v>
      </c>
      <c r="I21" s="1240"/>
      <c r="J21" s="1239">
        <f>'Output E'!G85</f>
        <v>0</v>
      </c>
      <c r="K21" s="1239">
        <f>'Output E'!H85</f>
        <v>0</v>
      </c>
      <c r="L21" s="1239">
        <f>'Output E'!I85</f>
        <v>0</v>
      </c>
      <c r="M21" s="1239">
        <f>'Output E'!J85</f>
        <v>0</v>
      </c>
      <c r="N21" s="1239">
        <f>'Output E'!K85</f>
        <v>56824.759545480978</v>
      </c>
      <c r="O21" s="1239">
        <f>'Output E'!L85</f>
        <v>60751.952956240835</v>
      </c>
      <c r="P21" s="1239">
        <f>'Output E'!M85</f>
        <v>62755.865692817228</v>
      </c>
      <c r="Q21" s="1239">
        <f>'Output E'!N85</f>
        <v>64737.732289173706</v>
      </c>
      <c r="R21" s="1239">
        <f>'Output E'!O85</f>
        <v>66780.535783649408</v>
      </c>
      <c r="S21" s="1239">
        <f>'Output E'!P85</f>
        <v>68867.308659311515</v>
      </c>
      <c r="T21" s="1239">
        <f>'Output E'!Q85</f>
        <v>70961.418648968465</v>
      </c>
      <c r="U21" s="1239">
        <f>'Output E'!R85</f>
        <v>73124.795425237739</v>
      </c>
      <c r="V21" s="1239">
        <f>'Output E'!S85</f>
        <v>-60798.414857142852</v>
      </c>
      <c r="W21" s="1239">
        <f>'Output E'!T85</f>
        <v>0</v>
      </c>
      <c r="X21" s="1239">
        <f>'Output E'!U85</f>
        <v>0</v>
      </c>
      <c r="Y21" s="1239">
        <f>'Output E'!V85</f>
        <v>0</v>
      </c>
      <c r="Z21" s="1239">
        <f>'Output E'!W85</f>
        <v>0</v>
      </c>
      <c r="AA21" s="1239">
        <f>'Output E'!X85</f>
        <v>0</v>
      </c>
      <c r="AB21" s="1239">
        <f>'Output E'!Y85</f>
        <v>0</v>
      </c>
      <c r="AC21" s="1239">
        <f>'Output E'!Z85</f>
        <v>0</v>
      </c>
      <c r="AD21" s="1239">
        <f>'Output E'!AA85</f>
        <v>0</v>
      </c>
      <c r="AE21" s="1239">
        <f>'Output E'!AB85</f>
        <v>0</v>
      </c>
      <c r="AF21" s="1239">
        <f>'Output E'!AC85</f>
        <v>0</v>
      </c>
      <c r="AG21" s="1239">
        <f>'Output E'!AD85</f>
        <v>0</v>
      </c>
      <c r="AH21" s="1239">
        <f>'Output E'!AE85</f>
        <v>0</v>
      </c>
      <c r="AI21" s="1239">
        <f>'Output E'!AF85</f>
        <v>0</v>
      </c>
      <c r="AJ21" s="1239">
        <f>'Output E'!AG85</f>
        <v>0</v>
      </c>
      <c r="AK21" s="1239">
        <f>'Output E'!AH85</f>
        <v>0</v>
      </c>
      <c r="AL21" s="1239">
        <f>'Output E'!AI85</f>
        <v>0</v>
      </c>
      <c r="AM21" s="1239">
        <f>'Output E'!AJ85</f>
        <v>0</v>
      </c>
      <c r="AN21" s="1239">
        <f>'Output E'!AK85</f>
        <v>0</v>
      </c>
      <c r="AO21" s="1239">
        <f>'Output E'!AL85</f>
        <v>0</v>
      </c>
      <c r="AP21" s="1239">
        <f>'Output E'!AM85</f>
        <v>0</v>
      </c>
      <c r="AQ21" s="1239">
        <f>'Output E'!AN85</f>
        <v>0</v>
      </c>
      <c r="AR21" s="1239">
        <f>'Output E'!AO85</f>
        <v>0</v>
      </c>
      <c r="AS21" s="1239">
        <f>'Output E'!AP85</f>
        <v>0</v>
      </c>
      <c r="AT21" s="1239">
        <f>'Output E'!AQ85</f>
        <v>0</v>
      </c>
      <c r="AU21" s="1239">
        <f>'Output E'!AR85</f>
        <v>0</v>
      </c>
      <c r="AV21" s="1239">
        <f>'Output E'!AS85</f>
        <v>0</v>
      </c>
      <c r="AW21" s="1239">
        <f>'Output E'!AT85</f>
        <v>0</v>
      </c>
      <c r="AX21" s="1239">
        <f>'Output E'!AU85</f>
        <v>0</v>
      </c>
      <c r="AY21" s="1239">
        <f>'Output E'!AV85</f>
        <v>0</v>
      </c>
      <c r="AZ21" s="1239">
        <f>'Output E'!AW85</f>
        <v>0</v>
      </c>
      <c r="BA21" s="1239">
        <f>'Output E'!AX85</f>
        <v>0</v>
      </c>
      <c r="BB21" s="1239">
        <f>'Output E'!AY85</f>
        <v>0</v>
      </c>
      <c r="BC21" s="1239">
        <f>'Output E'!AZ85</f>
        <v>0</v>
      </c>
      <c r="BD21" s="1239">
        <f>'Output E'!BA85</f>
        <v>0</v>
      </c>
      <c r="BE21" s="1239">
        <f>'Output E'!BB85</f>
        <v>0</v>
      </c>
    </row>
    <row r="22" spans="2:57" s="2" customFormat="1" ht="15.75" x14ac:dyDescent="0.25">
      <c r="B22" s="1217"/>
      <c r="C22" s="1218"/>
      <c r="D22" s="1218"/>
      <c r="E22" s="1241" t="s">
        <v>996</v>
      </c>
      <c r="F22" s="1226" t="s">
        <v>979</v>
      </c>
      <c r="G22" s="1227">
        <f>'Output E'!D86</f>
        <v>464005.95414373698</v>
      </c>
      <c r="H22" s="1227">
        <f>'Output E'!E86</f>
        <v>239155.3206050765</v>
      </c>
      <c r="I22" s="1242"/>
      <c r="J22" s="1234">
        <f>'Output E'!G86</f>
        <v>0</v>
      </c>
      <c r="K22" s="1234">
        <f>'Output E'!H86</f>
        <v>0</v>
      </c>
      <c r="L22" s="1234">
        <f>'Output E'!I86</f>
        <v>0</v>
      </c>
      <c r="M22" s="1234">
        <f>'Output E'!J86</f>
        <v>0</v>
      </c>
      <c r="N22" s="1234">
        <f>'Output E'!K86</f>
        <v>56824.759545480978</v>
      </c>
      <c r="O22" s="1234">
        <f>'Output E'!L86</f>
        <v>60751.952956240835</v>
      </c>
      <c r="P22" s="1234">
        <f>'Output E'!M86</f>
        <v>62755.865692817228</v>
      </c>
      <c r="Q22" s="1234">
        <f>'Output E'!N86</f>
        <v>64737.732289173706</v>
      </c>
      <c r="R22" s="1234">
        <f>'Output E'!O86</f>
        <v>66780.535783649408</v>
      </c>
      <c r="S22" s="1234">
        <f>'Output E'!P86</f>
        <v>68867.308659311515</v>
      </c>
      <c r="T22" s="1234">
        <f>'Output E'!Q86</f>
        <v>70961.418648968465</v>
      </c>
      <c r="U22" s="1234">
        <f>'Output E'!R86</f>
        <v>73124.795425237739</v>
      </c>
      <c r="V22" s="1234">
        <f>'Output E'!S86</f>
        <v>-60798.414857142852</v>
      </c>
      <c r="W22" s="1234">
        <f>'Output E'!T86</f>
        <v>0</v>
      </c>
      <c r="X22" s="1234">
        <f>'Output E'!U86</f>
        <v>0</v>
      </c>
      <c r="Y22" s="1234">
        <f>'Output E'!V86</f>
        <v>0</v>
      </c>
      <c r="Z22" s="1234">
        <f>'Output E'!W86</f>
        <v>0</v>
      </c>
      <c r="AA22" s="1234">
        <f>'Output E'!X86</f>
        <v>0</v>
      </c>
      <c r="AB22" s="1234">
        <f>'Output E'!Y86</f>
        <v>0</v>
      </c>
      <c r="AC22" s="1234">
        <f>'Output E'!Z86</f>
        <v>0</v>
      </c>
      <c r="AD22" s="1234">
        <f>'Output E'!AA86</f>
        <v>0</v>
      </c>
      <c r="AE22" s="1234">
        <f>'Output E'!AB86</f>
        <v>0</v>
      </c>
      <c r="AF22" s="1234">
        <f>'Output E'!AC86</f>
        <v>0</v>
      </c>
      <c r="AG22" s="1234">
        <f>'Output E'!AD86</f>
        <v>0</v>
      </c>
      <c r="AH22" s="1234">
        <f>'Output E'!AE86</f>
        <v>0</v>
      </c>
      <c r="AI22" s="1234">
        <f>'Output E'!AF86</f>
        <v>0</v>
      </c>
      <c r="AJ22" s="1234">
        <f>'Output E'!AG86</f>
        <v>0</v>
      </c>
      <c r="AK22" s="1234">
        <f>'Output E'!AH86</f>
        <v>0</v>
      </c>
      <c r="AL22" s="1234">
        <f>'Output E'!AI86</f>
        <v>0</v>
      </c>
      <c r="AM22" s="1234">
        <f>'Output E'!AJ86</f>
        <v>0</v>
      </c>
      <c r="AN22" s="1234">
        <f>'Output E'!AK86</f>
        <v>0</v>
      </c>
      <c r="AO22" s="1234">
        <f>'Output E'!AL86</f>
        <v>0</v>
      </c>
      <c r="AP22" s="1234">
        <f>'Output E'!AM86</f>
        <v>0</v>
      </c>
      <c r="AQ22" s="1234">
        <f>'Output E'!AN86</f>
        <v>0</v>
      </c>
      <c r="AR22" s="1234">
        <f>'Output E'!AO86</f>
        <v>0</v>
      </c>
      <c r="AS22" s="1234">
        <f>'Output E'!AP86</f>
        <v>0</v>
      </c>
      <c r="AT22" s="1234">
        <f>'Output E'!AQ86</f>
        <v>0</v>
      </c>
      <c r="AU22" s="1234">
        <f>'Output E'!AR86</f>
        <v>0</v>
      </c>
      <c r="AV22" s="1234">
        <f>'Output E'!AS86</f>
        <v>0</v>
      </c>
      <c r="AW22" s="1234">
        <f>'Output E'!AT86</f>
        <v>0</v>
      </c>
      <c r="AX22" s="1234">
        <f>'Output E'!AU86</f>
        <v>0</v>
      </c>
      <c r="AY22" s="1234">
        <f>'Output E'!AV86</f>
        <v>0</v>
      </c>
      <c r="AZ22" s="1234">
        <f>'Output E'!AW86</f>
        <v>0</v>
      </c>
      <c r="BA22" s="1234">
        <f>'Output E'!AX86</f>
        <v>0</v>
      </c>
      <c r="BB22" s="1234">
        <f>'Output E'!AY86</f>
        <v>0</v>
      </c>
      <c r="BC22" s="1234">
        <f>'Output E'!AZ86</f>
        <v>0</v>
      </c>
      <c r="BD22" s="1234">
        <f>'Output E'!BA86</f>
        <v>0</v>
      </c>
      <c r="BE22" s="1234">
        <f>'Output E'!BB86</f>
        <v>0</v>
      </c>
    </row>
    <row r="23" spans="2:57" s="2" customFormat="1" ht="15.75" x14ac:dyDescent="0.25">
      <c r="B23" s="1217"/>
      <c r="C23" s="1218"/>
      <c r="D23" s="1218"/>
      <c r="E23" s="1241"/>
      <c r="F23" s="1241"/>
      <c r="G23" s="1241"/>
      <c r="H23" s="1241"/>
      <c r="I23" s="1242"/>
      <c r="J23" s="1243"/>
      <c r="K23" s="1243"/>
      <c r="L23" s="1243"/>
      <c r="M23" s="1243"/>
      <c r="N23" s="1243"/>
      <c r="O23" s="1243"/>
      <c r="P23" s="1243"/>
      <c r="Q23" s="1243"/>
      <c r="R23" s="1243"/>
      <c r="S23" s="1243"/>
      <c r="T23" s="1243"/>
      <c r="U23" s="1243"/>
      <c r="V23" s="1243"/>
      <c r="W23" s="1243"/>
      <c r="X23" s="1243"/>
      <c r="Y23" s="1243"/>
      <c r="Z23" s="1243"/>
      <c r="AA23" s="1243"/>
      <c r="AB23" s="1243"/>
      <c r="AC23" s="1243"/>
      <c r="AD23" s="1243"/>
      <c r="AE23" s="1243"/>
      <c r="AF23" s="1243"/>
      <c r="AG23" s="1243"/>
      <c r="AH23" s="1243"/>
      <c r="AI23" s="1243"/>
      <c r="AJ23" s="1243"/>
      <c r="AK23" s="1243"/>
      <c r="AL23" s="1243"/>
      <c r="AM23" s="1243"/>
      <c r="AN23" s="1243"/>
      <c r="AO23" s="1243"/>
      <c r="AP23" s="1243"/>
      <c r="AQ23" s="1243"/>
      <c r="AR23" s="1243"/>
      <c r="AS23" s="1243"/>
      <c r="AT23" s="1243"/>
      <c r="AU23" s="1243"/>
      <c r="AV23" s="1243"/>
      <c r="AW23" s="1243"/>
      <c r="AX23" s="1243"/>
      <c r="AY23" s="1243"/>
      <c r="AZ23" s="1243"/>
      <c r="BA23" s="1243"/>
      <c r="BB23" s="1243"/>
      <c r="BC23" s="1243"/>
      <c r="BD23" s="1243"/>
      <c r="BE23" s="1243"/>
    </row>
    <row r="24" spans="2:57" s="2" customFormat="1" ht="15.75" x14ac:dyDescent="0.25">
      <c r="B24" s="1217"/>
      <c r="C24" s="1218"/>
      <c r="D24" s="1218"/>
      <c r="E24" s="1238" t="s">
        <v>985</v>
      </c>
      <c r="F24" s="1238" t="s">
        <v>979</v>
      </c>
      <c r="G24" s="1239">
        <f>'Output E'!D88</f>
        <v>239155.32060507656</v>
      </c>
      <c r="H24" s="1239"/>
      <c r="I24" s="1240"/>
      <c r="J24" s="1239">
        <f>'Output E'!G88</f>
        <v>0</v>
      </c>
      <c r="K24" s="1239">
        <f>'Output E'!H88</f>
        <v>0</v>
      </c>
      <c r="L24" s="1239">
        <f>'Output E'!I88</f>
        <v>0</v>
      </c>
      <c r="M24" s="1239">
        <f>'Output E'!J88</f>
        <v>0</v>
      </c>
      <c r="N24" s="1239">
        <f>'Output E'!K88</f>
        <v>38812.075367448233</v>
      </c>
      <c r="O24" s="1239">
        <f>'Output E'!L88</f>
        <v>37722.183008016596</v>
      </c>
      <c r="P24" s="1239">
        <f>'Output E'!M88</f>
        <v>35424.050141551546</v>
      </c>
      <c r="Q24" s="1239">
        <f>'Output E'!N88</f>
        <v>33220.692880035625</v>
      </c>
      <c r="R24" s="1239">
        <f>'Output E'!O88</f>
        <v>31153.612797432626</v>
      </c>
      <c r="S24" s="1239">
        <f>'Output E'!P88</f>
        <v>29206.461586136804</v>
      </c>
      <c r="T24" s="1239">
        <f>'Output E'!Q88</f>
        <v>27358.698768509403</v>
      </c>
      <c r="U24" s="1239">
        <f>'Output E'!R88</f>
        <v>25629.794697370642</v>
      </c>
      <c r="V24" s="1239">
        <f>'Output E'!S88</f>
        <v>-19372.248641424918</v>
      </c>
      <c r="W24" s="1239">
        <f>'Output E'!T88</f>
        <v>0</v>
      </c>
      <c r="X24" s="1239">
        <f>'Output E'!U88</f>
        <v>0</v>
      </c>
      <c r="Y24" s="1239">
        <f>'Output E'!V88</f>
        <v>0</v>
      </c>
      <c r="Z24" s="1239">
        <f>'Output E'!W88</f>
        <v>0</v>
      </c>
      <c r="AA24" s="1239">
        <f>'Output E'!X88</f>
        <v>0</v>
      </c>
      <c r="AB24" s="1239">
        <f>'Output E'!Y88</f>
        <v>0</v>
      </c>
      <c r="AC24" s="1239">
        <f>'Output E'!Z88</f>
        <v>0</v>
      </c>
      <c r="AD24" s="1239">
        <f>'Output E'!AA88</f>
        <v>0</v>
      </c>
      <c r="AE24" s="1239">
        <f>'Output E'!AB88</f>
        <v>0</v>
      </c>
      <c r="AF24" s="1239">
        <f>'Output E'!AC88</f>
        <v>0</v>
      </c>
      <c r="AG24" s="1239">
        <f>'Output E'!AD88</f>
        <v>0</v>
      </c>
      <c r="AH24" s="1239">
        <f>'Output E'!AE88</f>
        <v>0</v>
      </c>
      <c r="AI24" s="1239">
        <f>'Output E'!AF88</f>
        <v>0</v>
      </c>
      <c r="AJ24" s="1239">
        <f>'Output E'!AG88</f>
        <v>0</v>
      </c>
      <c r="AK24" s="1239">
        <f>'Output E'!AH88</f>
        <v>0</v>
      </c>
      <c r="AL24" s="1239">
        <f>'Output E'!AI88</f>
        <v>0</v>
      </c>
      <c r="AM24" s="1239">
        <f>'Output E'!AJ88</f>
        <v>0</v>
      </c>
      <c r="AN24" s="1239">
        <f>'Output E'!AK88</f>
        <v>0</v>
      </c>
      <c r="AO24" s="1239">
        <f>'Output E'!AL88</f>
        <v>0</v>
      </c>
      <c r="AP24" s="1239">
        <f>'Output E'!AM88</f>
        <v>0</v>
      </c>
      <c r="AQ24" s="1239">
        <f>'Output E'!AN88</f>
        <v>0</v>
      </c>
      <c r="AR24" s="1239">
        <f>'Output E'!AO88</f>
        <v>0</v>
      </c>
      <c r="AS24" s="1239">
        <f>'Output E'!AP88</f>
        <v>0</v>
      </c>
      <c r="AT24" s="1239">
        <f>'Output E'!AQ88</f>
        <v>0</v>
      </c>
      <c r="AU24" s="1239">
        <f>'Output E'!AR88</f>
        <v>0</v>
      </c>
      <c r="AV24" s="1239">
        <f>'Output E'!AS88</f>
        <v>0</v>
      </c>
      <c r="AW24" s="1239">
        <f>'Output E'!AT88</f>
        <v>0</v>
      </c>
      <c r="AX24" s="1239">
        <f>'Output E'!AU88</f>
        <v>0</v>
      </c>
      <c r="AY24" s="1239">
        <f>'Output E'!AV88</f>
        <v>0</v>
      </c>
      <c r="AZ24" s="1239">
        <f>'Output E'!AW88</f>
        <v>0</v>
      </c>
      <c r="BA24" s="1239">
        <f>'Output E'!AX88</f>
        <v>0</v>
      </c>
      <c r="BB24" s="1239">
        <f>'Output E'!AY88</f>
        <v>0</v>
      </c>
      <c r="BC24" s="1239">
        <f>'Output E'!AZ88</f>
        <v>0</v>
      </c>
      <c r="BD24" s="1239">
        <f>'Output E'!BA88</f>
        <v>0</v>
      </c>
      <c r="BE24" s="1239">
        <f>'Output E'!BB88</f>
        <v>0</v>
      </c>
    </row>
    <row r="25" spans="2:57" s="2" customFormat="1" ht="15.75" x14ac:dyDescent="0.25">
      <c r="B25" s="1217"/>
      <c r="C25" s="1218"/>
      <c r="D25" s="1218"/>
      <c r="E25" s="1237" t="s">
        <v>986</v>
      </c>
      <c r="F25" s="1235" t="s">
        <v>979</v>
      </c>
      <c r="G25" s="1244"/>
      <c r="H25" s="1244"/>
      <c r="I25" s="1245"/>
      <c r="J25" s="1245">
        <f>'Output E'!G89</f>
        <v>0</v>
      </c>
      <c r="K25" s="1245">
        <f>'Output E'!H89</f>
        <v>0</v>
      </c>
      <c r="L25" s="1245">
        <f>'Output E'!I89</f>
        <v>0</v>
      </c>
      <c r="M25" s="1245">
        <f>'Output E'!J89</f>
        <v>0</v>
      </c>
      <c r="N25" s="1245">
        <f>'Output E'!K89</f>
        <v>56824.759545480978</v>
      </c>
      <c r="O25" s="1245">
        <f>'Output E'!L89</f>
        <v>117576.71250172181</v>
      </c>
      <c r="P25" s="1245">
        <f>'Output E'!M89</f>
        <v>180332.57819453903</v>
      </c>
      <c r="Q25" s="1245">
        <f>'Output E'!N89</f>
        <v>245070.31048371273</v>
      </c>
      <c r="R25" s="1245">
        <f>'Output E'!O89</f>
        <v>311850.84626736213</v>
      </c>
      <c r="S25" s="1245">
        <f>'Output E'!P89</f>
        <v>380718.15492667363</v>
      </c>
      <c r="T25" s="1245">
        <f>'Output E'!Q89</f>
        <v>451679.57357564208</v>
      </c>
      <c r="U25" s="1245">
        <f>'Output E'!R89</f>
        <v>524804.36900087981</v>
      </c>
      <c r="V25" s="1245">
        <f>'Output E'!S89</f>
        <v>464005.95414373698</v>
      </c>
      <c r="W25" s="1245">
        <f>'Output E'!T89</f>
        <v>464005.95414373698</v>
      </c>
      <c r="X25" s="1245">
        <f>'Output E'!U89</f>
        <v>464005.95414373698</v>
      </c>
      <c r="Y25" s="1245">
        <f>'Output E'!V89</f>
        <v>464005.95414373698</v>
      </c>
      <c r="Z25" s="1245">
        <f>'Output E'!W89</f>
        <v>464005.95414373698</v>
      </c>
      <c r="AA25" s="1245">
        <f>'Output E'!X89</f>
        <v>464005.95414373698</v>
      </c>
      <c r="AB25" s="1245">
        <f>'Output E'!Y89</f>
        <v>464005.95414373698</v>
      </c>
      <c r="AC25" s="1245">
        <f>'Output E'!Z89</f>
        <v>464005.95414373698</v>
      </c>
      <c r="AD25" s="1245">
        <f>'Output E'!AA89</f>
        <v>464005.95414373698</v>
      </c>
      <c r="AE25" s="1245">
        <f>'Output E'!AB89</f>
        <v>464005.95414373698</v>
      </c>
      <c r="AF25" s="1245">
        <f>'Output E'!AC89</f>
        <v>464005.95414373698</v>
      </c>
      <c r="AG25" s="1245">
        <f>'Output E'!AD89</f>
        <v>464005.95414373698</v>
      </c>
      <c r="AH25" s="1245">
        <f>'Output E'!AE89</f>
        <v>464005.95414373698</v>
      </c>
      <c r="AI25" s="1245">
        <f>'Output E'!AF89</f>
        <v>464005.95414373698</v>
      </c>
      <c r="AJ25" s="1245">
        <f>'Output E'!AG89</f>
        <v>464005.95414373698</v>
      </c>
      <c r="AK25" s="1245">
        <f>'Output E'!AH89</f>
        <v>464005.95414373698</v>
      </c>
      <c r="AL25" s="1245">
        <f>'Output E'!AI89</f>
        <v>464005.95414373698</v>
      </c>
      <c r="AM25" s="1245">
        <f>'Output E'!AJ89</f>
        <v>464005.95414373698</v>
      </c>
      <c r="AN25" s="1245">
        <f>'Output E'!AK89</f>
        <v>464005.95414373698</v>
      </c>
      <c r="AO25" s="1245">
        <f>'Output E'!AL89</f>
        <v>464005.95414373698</v>
      </c>
      <c r="AP25" s="1245">
        <f>'Output E'!AM89</f>
        <v>464005.95414373698</v>
      </c>
      <c r="AQ25" s="1245">
        <f>'Output E'!AN89</f>
        <v>464005.95414373698</v>
      </c>
      <c r="AR25" s="1245">
        <f>'Output E'!AO89</f>
        <v>464005.95414373698</v>
      </c>
      <c r="AS25" s="1245">
        <f>'Output E'!AP89</f>
        <v>464005.95414373698</v>
      </c>
      <c r="AT25" s="1245">
        <f>'Output E'!AQ89</f>
        <v>464005.95414373698</v>
      </c>
      <c r="AU25" s="1245">
        <f>'Output E'!AR89</f>
        <v>464005.95414373698</v>
      </c>
      <c r="AV25" s="1245">
        <f>'Output E'!AS89</f>
        <v>464005.95414373698</v>
      </c>
      <c r="AW25" s="1245">
        <f>'Output E'!AT89</f>
        <v>464005.95414373698</v>
      </c>
      <c r="AX25" s="1245">
        <f>'Output E'!AU89</f>
        <v>464005.95414373698</v>
      </c>
      <c r="AY25" s="1245">
        <f>'Output E'!AV89</f>
        <v>464005.95414373698</v>
      </c>
      <c r="AZ25" s="1245">
        <f>'Output E'!AW89</f>
        <v>464005.95414373698</v>
      </c>
      <c r="BA25" s="1245">
        <f>'Output E'!AX89</f>
        <v>464005.95414373698</v>
      </c>
      <c r="BB25" s="1245">
        <f>'Output E'!AY89</f>
        <v>464005.95414373698</v>
      </c>
      <c r="BC25" s="1245">
        <f>'Output E'!AZ89</f>
        <v>464005.95414373698</v>
      </c>
      <c r="BD25" s="1245">
        <f>'Output E'!BA89</f>
        <v>464005.95414373698</v>
      </c>
      <c r="BE25" s="1245">
        <f>'Output E'!BB89</f>
        <v>464005.95414373698</v>
      </c>
    </row>
    <row r="26" spans="2:57" s="2" customFormat="1" ht="15.75" x14ac:dyDescent="0.25">
      <c r="B26" s="1217"/>
      <c r="C26" s="1218"/>
      <c r="D26" s="1218"/>
      <c r="E26" s="1237" t="s">
        <v>987</v>
      </c>
      <c r="F26" s="1246" t="s">
        <v>1653</v>
      </c>
      <c r="G26" s="1244"/>
      <c r="H26" s="1244"/>
      <c r="I26" s="1245"/>
      <c r="J26" s="1245">
        <f>'Output E'!G90</f>
        <v>0</v>
      </c>
      <c r="K26" s="1245">
        <f>'Output E'!H90</f>
        <v>0</v>
      </c>
      <c r="L26" s="1245">
        <f>'Output E'!I90</f>
        <v>0</v>
      </c>
      <c r="M26" s="1245">
        <f>'Output E'!J90</f>
        <v>0</v>
      </c>
      <c r="N26" s="1245">
        <f>'Output E'!K90</f>
        <v>38.81207536744823</v>
      </c>
      <c r="O26" s="1245">
        <f>'Output E'!L90</f>
        <v>76.534258375464816</v>
      </c>
      <c r="P26" s="1245">
        <f>'Output E'!M90</f>
        <v>111.95830851701636</v>
      </c>
      <c r="Q26" s="1245">
        <f>'Output E'!N90</f>
        <v>145.17900139705199</v>
      </c>
      <c r="R26" s="1245">
        <f>'Output E'!O90</f>
        <v>176.33261419448462</v>
      </c>
      <c r="S26" s="1245">
        <f>'Output E'!P90</f>
        <v>205.53907578062143</v>
      </c>
      <c r="T26" s="1245">
        <f>'Output E'!Q90</f>
        <v>232.89777454913084</v>
      </c>
      <c r="U26" s="1245">
        <f>'Output E'!R90</f>
        <v>258.52756924650151</v>
      </c>
      <c r="V26" s="1245">
        <f>'Output E'!S90</f>
        <v>239.15532060507655</v>
      </c>
      <c r="W26" s="1245">
        <f>'Output E'!T90</f>
        <v>239.15532060507655</v>
      </c>
      <c r="X26" s="1245">
        <f>'Output E'!U90</f>
        <v>239.15532060507655</v>
      </c>
      <c r="Y26" s="1245">
        <f>'Output E'!V90</f>
        <v>239.15532060507655</v>
      </c>
      <c r="Z26" s="1245">
        <f>'Output E'!W90</f>
        <v>239.15532060507655</v>
      </c>
      <c r="AA26" s="1245">
        <f>'Output E'!X90</f>
        <v>239.15532060507655</v>
      </c>
      <c r="AB26" s="1245">
        <f>'Output E'!Y90</f>
        <v>239.15532060507655</v>
      </c>
      <c r="AC26" s="1245">
        <f>'Output E'!Z90</f>
        <v>239.15532060507655</v>
      </c>
      <c r="AD26" s="1245">
        <f>'Output E'!AA90</f>
        <v>239.15532060507655</v>
      </c>
      <c r="AE26" s="1245">
        <f>'Output E'!AB90</f>
        <v>239.15532060507655</v>
      </c>
      <c r="AF26" s="1245">
        <f>'Output E'!AC90</f>
        <v>239.15532060507655</v>
      </c>
      <c r="AG26" s="1245">
        <f>'Output E'!AD90</f>
        <v>239.15532060507655</v>
      </c>
      <c r="AH26" s="1245">
        <f>'Output E'!AE90</f>
        <v>239.15532060507655</v>
      </c>
      <c r="AI26" s="1245">
        <f>'Output E'!AF90</f>
        <v>239.15532060507655</v>
      </c>
      <c r="AJ26" s="1245">
        <f>'Output E'!AG90</f>
        <v>239.15532060507655</v>
      </c>
      <c r="AK26" s="1245">
        <f>'Output E'!AH90</f>
        <v>239.15532060507655</v>
      </c>
      <c r="AL26" s="1245">
        <f>'Output E'!AI90</f>
        <v>239.15532060507655</v>
      </c>
      <c r="AM26" s="1245">
        <f>'Output E'!AJ90</f>
        <v>239.15532060507655</v>
      </c>
      <c r="AN26" s="1245">
        <f>'Output E'!AK90</f>
        <v>239.15532060507655</v>
      </c>
      <c r="AO26" s="1245">
        <f>'Output E'!AL90</f>
        <v>239.15532060507655</v>
      </c>
      <c r="AP26" s="1245">
        <f>'Output E'!AM90</f>
        <v>239.15532060507655</v>
      </c>
      <c r="AQ26" s="1245">
        <f>'Output E'!AN90</f>
        <v>239.15532060507655</v>
      </c>
      <c r="AR26" s="1245">
        <f>'Output E'!AO90</f>
        <v>239.15532060507655</v>
      </c>
      <c r="AS26" s="1245">
        <f>'Output E'!AP90</f>
        <v>239.15532060507655</v>
      </c>
      <c r="AT26" s="1245">
        <f>'Output E'!AQ90</f>
        <v>239.15532060507655</v>
      </c>
      <c r="AU26" s="1245">
        <f>'Output E'!AR90</f>
        <v>239.15532060507655</v>
      </c>
      <c r="AV26" s="1245">
        <f>'Output E'!AS90</f>
        <v>239.15532060507655</v>
      </c>
      <c r="AW26" s="1245">
        <f>'Output E'!AT90</f>
        <v>239.15532060507655</v>
      </c>
      <c r="AX26" s="1245">
        <f>'Output E'!AU90</f>
        <v>239.15532060507655</v>
      </c>
      <c r="AY26" s="1245">
        <f>'Output E'!AV90</f>
        <v>239.15532060507655</v>
      </c>
      <c r="AZ26" s="1245">
        <f>'Output E'!AW90</f>
        <v>239.15532060507655</v>
      </c>
      <c r="BA26" s="1245">
        <f>'Output E'!AX90</f>
        <v>239.15532060507655</v>
      </c>
      <c r="BB26" s="1245">
        <f>'Output E'!AY90</f>
        <v>239.15532060507655</v>
      </c>
      <c r="BC26" s="1245">
        <f>'Output E'!AZ90</f>
        <v>239.15532060507655</v>
      </c>
      <c r="BD26" s="1245">
        <f>'Output E'!BA90</f>
        <v>239.15532060507655</v>
      </c>
      <c r="BE26" s="1245">
        <f>'Output E'!BB90</f>
        <v>239.15532060507655</v>
      </c>
    </row>
    <row r="27" spans="2:57" s="2" customFormat="1" ht="15.75" x14ac:dyDescent="0.25">
      <c r="B27" s="1217"/>
      <c r="C27" s="1218"/>
      <c r="D27" s="1218"/>
      <c r="E27" s="1218"/>
      <c r="F27" s="1218"/>
      <c r="G27" s="1219"/>
      <c r="H27" s="1220"/>
      <c r="I27" s="1219"/>
      <c r="J27" s="1221"/>
      <c r="K27" s="1221"/>
      <c r="L27" s="1221"/>
      <c r="M27" s="1221"/>
      <c r="N27" s="1221"/>
      <c r="O27" s="1221"/>
      <c r="P27" s="1221"/>
      <c r="Q27" s="1221"/>
      <c r="R27" s="1221"/>
      <c r="S27" s="1221"/>
      <c r="T27" s="1221"/>
      <c r="U27" s="1221"/>
      <c r="V27" s="1221"/>
      <c r="W27" s="1221"/>
      <c r="X27" s="1221"/>
      <c r="Y27" s="1221"/>
      <c r="Z27" s="1221"/>
      <c r="AA27" s="1221"/>
      <c r="AB27" s="1221"/>
      <c r="AC27" s="1221"/>
      <c r="AD27" s="1221"/>
      <c r="AE27" s="1221"/>
      <c r="AF27" s="1221"/>
      <c r="AG27" s="1221"/>
      <c r="AH27" s="1221"/>
      <c r="AI27" s="1221"/>
      <c r="AJ27" s="1221"/>
      <c r="AK27" s="1221"/>
      <c r="AL27" s="1221"/>
      <c r="AM27" s="1221"/>
      <c r="AN27" s="1221"/>
      <c r="AO27" s="1221"/>
      <c r="AP27" s="1221"/>
      <c r="AQ27" s="1221"/>
      <c r="AR27" s="1221"/>
      <c r="AS27" s="1221"/>
      <c r="AT27" s="1221"/>
      <c r="AU27" s="1221"/>
      <c r="AV27" s="1221"/>
      <c r="AW27" s="1221"/>
      <c r="AX27" s="1221"/>
      <c r="AY27" s="1221"/>
      <c r="AZ27" s="1221"/>
      <c r="BA27" s="1221"/>
      <c r="BB27" s="1221"/>
      <c r="BC27" s="1221"/>
      <c r="BD27" s="1221"/>
      <c r="BE27" s="1221"/>
    </row>
    <row r="28" spans="2:57" s="2" customFormat="1" ht="15.75" x14ac:dyDescent="0.25">
      <c r="B28" s="1217"/>
      <c r="C28" s="1218"/>
      <c r="D28" s="1218"/>
      <c r="E28" s="1218"/>
      <c r="F28" s="1218"/>
      <c r="G28" s="1219"/>
      <c r="H28" s="1220"/>
      <c r="I28" s="1219"/>
      <c r="J28" s="1221"/>
      <c r="K28" s="1221"/>
      <c r="L28" s="1221"/>
      <c r="M28" s="1221"/>
      <c r="N28" s="1221"/>
      <c r="O28" s="1221"/>
      <c r="P28" s="1221"/>
      <c r="Q28" s="1221"/>
      <c r="R28" s="1221"/>
      <c r="S28" s="1221"/>
      <c r="T28" s="1221"/>
      <c r="U28" s="1221"/>
      <c r="V28" s="1221"/>
      <c r="W28" s="1221"/>
      <c r="X28" s="1221"/>
      <c r="Y28" s="1221"/>
      <c r="Z28" s="1221"/>
      <c r="AA28" s="1221"/>
      <c r="AB28" s="1221"/>
      <c r="AC28" s="1221"/>
      <c r="AD28" s="1221"/>
      <c r="AE28" s="1221"/>
      <c r="AF28" s="1221"/>
      <c r="AG28" s="1221"/>
      <c r="AH28" s="1221"/>
      <c r="AI28" s="1221"/>
      <c r="AJ28" s="1221"/>
      <c r="AK28" s="1221"/>
      <c r="AL28" s="1221"/>
      <c r="AM28" s="1221"/>
      <c r="AN28" s="1221"/>
      <c r="AO28" s="1221"/>
      <c r="AP28" s="1221"/>
      <c r="AQ28" s="1221"/>
      <c r="AR28" s="1221"/>
      <c r="AS28" s="1221"/>
      <c r="AT28" s="1221"/>
      <c r="AU28" s="1221"/>
      <c r="AV28" s="1221"/>
      <c r="AW28" s="1221"/>
      <c r="AX28" s="1221"/>
      <c r="AY28" s="1221"/>
      <c r="AZ28" s="1221"/>
      <c r="BA28" s="1221"/>
      <c r="BB28" s="1221"/>
      <c r="BC28" s="1221"/>
      <c r="BD28" s="1221"/>
      <c r="BE28" s="1221"/>
    </row>
    <row r="29" spans="2:57" s="37" customFormat="1" ht="15.75" x14ac:dyDescent="0.25">
      <c r="B29" s="1247"/>
      <c r="C29" s="1248"/>
      <c r="D29" s="1248"/>
      <c r="E29" s="1248"/>
      <c r="F29" s="1248"/>
      <c r="G29" s="1249"/>
      <c r="H29" s="1250"/>
      <c r="I29" s="1249"/>
      <c r="J29" s="1251"/>
      <c r="K29" s="1251"/>
      <c r="L29" s="1251"/>
      <c r="M29" s="1251"/>
      <c r="N29" s="1251"/>
      <c r="O29" s="1251"/>
      <c r="P29" s="1251"/>
      <c r="Q29" s="1251"/>
      <c r="R29" s="1251"/>
      <c r="S29" s="1251"/>
      <c r="T29" s="1251"/>
      <c r="U29" s="1251"/>
      <c r="V29" s="1251"/>
      <c r="W29" s="1251"/>
      <c r="X29" s="1251"/>
      <c r="Y29" s="1251"/>
      <c r="Z29" s="1251"/>
      <c r="AA29" s="1251"/>
      <c r="AB29" s="1251"/>
      <c r="AC29" s="1251"/>
      <c r="AD29" s="1251"/>
      <c r="AE29" s="1251"/>
      <c r="AF29" s="1251"/>
      <c r="AG29" s="1251"/>
      <c r="AH29" s="1251"/>
      <c r="AI29" s="1251"/>
      <c r="AJ29" s="1251"/>
      <c r="AK29" s="1251"/>
      <c r="AL29" s="1251"/>
      <c r="AM29" s="1251"/>
      <c r="AN29" s="1251"/>
      <c r="AO29" s="1251"/>
      <c r="AP29" s="1251"/>
      <c r="AQ29" s="1251"/>
      <c r="AR29" s="1251"/>
      <c r="AS29" s="1251"/>
      <c r="AT29" s="1251"/>
      <c r="AU29" s="1251"/>
      <c r="AV29" s="1251"/>
      <c r="AW29" s="1251"/>
      <c r="AX29" s="1251"/>
      <c r="AY29" s="1251"/>
      <c r="AZ29" s="1251"/>
      <c r="BA29" s="1251"/>
      <c r="BB29" s="1251"/>
      <c r="BC29" s="1251"/>
      <c r="BD29" s="1251"/>
      <c r="BE29" s="1251"/>
    </row>
    <row r="30" spans="2:57" ht="18.75" x14ac:dyDescent="0.3">
      <c r="B30" s="751" t="s">
        <v>958</v>
      </c>
      <c r="C30" s="763"/>
      <c r="D30" s="763"/>
      <c r="E30" s="764" t="str">
        <f>'Output E'!B25</f>
        <v>Investments (CAPEX)</v>
      </c>
      <c r="F30" s="764" t="str">
        <f>'Output E'!C25</f>
        <v>[kEUR]</v>
      </c>
      <c r="G30" s="765">
        <f>'Output E'!D25</f>
        <v>-64189.426769135316</v>
      </c>
      <c r="H30" s="765">
        <f>'Output E'!E25</f>
        <v>-48226.466393039293</v>
      </c>
      <c r="I30" s="766"/>
      <c r="J30" s="765">
        <f>'Output E'!G25</f>
        <v>0</v>
      </c>
      <c r="K30" s="765">
        <f>'Output E'!H25</f>
        <v>0</v>
      </c>
      <c r="L30" s="765">
        <f>'Output E'!I25</f>
        <v>0</v>
      </c>
      <c r="M30" s="765">
        <f>'Output E'!J25</f>
        <v>-64189.426769135316</v>
      </c>
      <c r="N30" s="765">
        <f>'Output E'!K25</f>
        <v>0</v>
      </c>
      <c r="O30" s="765">
        <f>'Output E'!L25</f>
        <v>0</v>
      </c>
      <c r="P30" s="765">
        <f>'Output E'!M25</f>
        <v>0</v>
      </c>
      <c r="Q30" s="765">
        <f>'Output E'!N25</f>
        <v>0</v>
      </c>
      <c r="R30" s="765">
        <f>'Output E'!O25</f>
        <v>0</v>
      </c>
      <c r="S30" s="765">
        <f>'Output E'!P25</f>
        <v>0</v>
      </c>
      <c r="T30" s="765">
        <f>'Output E'!Q25</f>
        <v>0</v>
      </c>
      <c r="U30" s="765">
        <f>'Output E'!R25</f>
        <v>0</v>
      </c>
      <c r="V30" s="765">
        <f>'Output E'!S25</f>
        <v>0</v>
      </c>
      <c r="W30" s="765">
        <f>'Output E'!T25</f>
        <v>0</v>
      </c>
      <c r="X30" s="765">
        <f>'Output E'!U25</f>
        <v>0</v>
      </c>
      <c r="Y30" s="765">
        <f>'Output E'!V25</f>
        <v>0</v>
      </c>
      <c r="Z30" s="765">
        <f>'Output E'!W25</f>
        <v>0</v>
      </c>
      <c r="AA30" s="765">
        <f>'Output E'!X25</f>
        <v>0</v>
      </c>
      <c r="AB30" s="765">
        <f>'Output E'!Y25</f>
        <v>0</v>
      </c>
      <c r="AC30" s="765">
        <f>'Output E'!Z25</f>
        <v>0</v>
      </c>
      <c r="AD30" s="765">
        <f>'Output E'!AA25</f>
        <v>0</v>
      </c>
      <c r="AE30" s="765">
        <f>'Output E'!AB25</f>
        <v>0</v>
      </c>
      <c r="AF30" s="765">
        <f>'Output E'!AC25</f>
        <v>0</v>
      </c>
      <c r="AG30" s="765">
        <f>'Output E'!AD25</f>
        <v>0</v>
      </c>
      <c r="AH30" s="765">
        <f>'Output E'!AE25</f>
        <v>0</v>
      </c>
      <c r="AI30" s="765">
        <f>'Output E'!AF25</f>
        <v>0</v>
      </c>
      <c r="AJ30" s="765">
        <f>'Output E'!AG25</f>
        <v>0</v>
      </c>
      <c r="AK30" s="765">
        <f>'Output E'!AH25</f>
        <v>0</v>
      </c>
      <c r="AL30" s="765">
        <f>'Output E'!AI25</f>
        <v>0</v>
      </c>
      <c r="AM30" s="765">
        <f>'Output E'!AJ25</f>
        <v>0</v>
      </c>
      <c r="AN30" s="765">
        <f>'Output E'!AK25</f>
        <v>0</v>
      </c>
      <c r="AO30" s="765">
        <f>'Output E'!AL25</f>
        <v>0</v>
      </c>
      <c r="AP30" s="765">
        <f>'Output E'!AM25</f>
        <v>0</v>
      </c>
      <c r="AQ30" s="765">
        <f>'Output E'!AN25</f>
        <v>0</v>
      </c>
      <c r="AR30" s="765">
        <f>'Output E'!AO25</f>
        <v>0</v>
      </c>
      <c r="AS30" s="765">
        <f>'Output E'!AP25</f>
        <v>0</v>
      </c>
      <c r="AT30" s="765">
        <f>'Output E'!AQ25</f>
        <v>0</v>
      </c>
      <c r="AU30" s="765">
        <f>'Output E'!AR25</f>
        <v>0</v>
      </c>
      <c r="AV30" s="765">
        <f>'Output E'!AS25</f>
        <v>0</v>
      </c>
      <c r="AW30" s="765">
        <f>'Output E'!AT25</f>
        <v>0</v>
      </c>
      <c r="AX30" s="765">
        <f>'Output E'!AU25</f>
        <v>0</v>
      </c>
      <c r="AY30" s="765">
        <f>'Output E'!AV25</f>
        <v>0</v>
      </c>
      <c r="AZ30" s="765">
        <f>'Output E'!AW25</f>
        <v>0</v>
      </c>
      <c r="BA30" s="765">
        <f>'Output E'!AX25</f>
        <v>0</v>
      </c>
      <c r="BB30" s="765">
        <f>'Output E'!AY25</f>
        <v>0</v>
      </c>
      <c r="BC30" s="765">
        <f>'Output E'!AZ25</f>
        <v>0</v>
      </c>
      <c r="BD30" s="765">
        <f>'Output E'!BA25</f>
        <v>0</v>
      </c>
      <c r="BE30" s="765">
        <f>'Output E'!BB25</f>
        <v>0</v>
      </c>
    </row>
    <row r="31" spans="2:57" x14ac:dyDescent="0.25">
      <c r="B31" s="314"/>
      <c r="C31" s="763"/>
      <c r="D31" s="763"/>
      <c r="E31" s="767" t="str">
        <f>'Output E'!B26</f>
        <v>Cable costs</v>
      </c>
      <c r="F31" s="768" t="str">
        <f>'Output E'!C26</f>
        <v>[kEUR]</v>
      </c>
      <c r="G31" s="769">
        <f>'Output E'!D26</f>
        <v>-45800.499390515339</v>
      </c>
      <c r="H31" s="769">
        <f>'Output E'!E26</f>
        <v>-34410.593080777857</v>
      </c>
      <c r="I31" s="770"/>
      <c r="J31" s="769">
        <f>'Output E'!G26</f>
        <v>0</v>
      </c>
      <c r="K31" s="769">
        <f>'Output E'!H26</f>
        <v>0</v>
      </c>
      <c r="L31" s="769">
        <f>'Output E'!I26</f>
        <v>0</v>
      </c>
      <c r="M31" s="769">
        <f>'Output E'!J26</f>
        <v>-45800.499390515339</v>
      </c>
      <c r="N31" s="769">
        <f>'Output E'!K26</f>
        <v>0</v>
      </c>
      <c r="O31" s="769">
        <f>'Output E'!L26</f>
        <v>0</v>
      </c>
      <c r="P31" s="769">
        <f>'Output E'!M26</f>
        <v>0</v>
      </c>
      <c r="Q31" s="769">
        <f>'Output E'!N26</f>
        <v>0</v>
      </c>
      <c r="R31" s="769">
        <f>'Output E'!O26</f>
        <v>0</v>
      </c>
      <c r="S31" s="769">
        <f>'Output E'!P26</f>
        <v>0</v>
      </c>
      <c r="T31" s="769">
        <f>'Output E'!Q26</f>
        <v>0</v>
      </c>
      <c r="U31" s="769">
        <f>'Output E'!R26</f>
        <v>0</v>
      </c>
      <c r="V31" s="769">
        <f>'Output E'!S26</f>
        <v>0</v>
      </c>
      <c r="W31" s="769">
        <f>'Output E'!T26</f>
        <v>0</v>
      </c>
      <c r="X31" s="769">
        <f>'Output E'!U26</f>
        <v>0</v>
      </c>
      <c r="Y31" s="769">
        <f>'Output E'!V26</f>
        <v>0</v>
      </c>
      <c r="Z31" s="769">
        <f>'Output E'!W26</f>
        <v>0</v>
      </c>
      <c r="AA31" s="769">
        <f>'Output E'!X26</f>
        <v>0</v>
      </c>
      <c r="AB31" s="769">
        <f>'Output E'!Y26</f>
        <v>0</v>
      </c>
      <c r="AC31" s="769">
        <f>'Output E'!Z26</f>
        <v>0</v>
      </c>
      <c r="AD31" s="769">
        <f>'Output E'!AA26</f>
        <v>0</v>
      </c>
      <c r="AE31" s="769">
        <f>'Output E'!AB26</f>
        <v>0</v>
      </c>
      <c r="AF31" s="769">
        <f>'Output E'!AC26</f>
        <v>0</v>
      </c>
      <c r="AG31" s="769">
        <f>'Output E'!AD26</f>
        <v>0</v>
      </c>
      <c r="AH31" s="769">
        <f>'Output E'!AE26</f>
        <v>0</v>
      </c>
      <c r="AI31" s="769">
        <f>'Output E'!AF26</f>
        <v>0</v>
      </c>
      <c r="AJ31" s="769">
        <f>'Output E'!AG26</f>
        <v>0</v>
      </c>
      <c r="AK31" s="769">
        <f>'Output E'!AH26</f>
        <v>0</v>
      </c>
      <c r="AL31" s="769">
        <f>'Output E'!AI26</f>
        <v>0</v>
      </c>
      <c r="AM31" s="769">
        <f>'Output E'!AJ26</f>
        <v>0</v>
      </c>
      <c r="AN31" s="769">
        <f>'Output E'!AK26</f>
        <v>0</v>
      </c>
      <c r="AO31" s="769">
        <f>'Output E'!AL26</f>
        <v>0</v>
      </c>
      <c r="AP31" s="769">
        <f>'Output E'!AM26</f>
        <v>0</v>
      </c>
      <c r="AQ31" s="769">
        <f>'Output E'!AN26</f>
        <v>0</v>
      </c>
      <c r="AR31" s="769">
        <f>'Output E'!AO26</f>
        <v>0</v>
      </c>
      <c r="AS31" s="769">
        <f>'Output E'!AP26</f>
        <v>0</v>
      </c>
      <c r="AT31" s="769">
        <f>'Output E'!AQ26</f>
        <v>0</v>
      </c>
      <c r="AU31" s="769">
        <f>'Output E'!AR26</f>
        <v>0</v>
      </c>
      <c r="AV31" s="769">
        <f>'Output E'!AS26</f>
        <v>0</v>
      </c>
      <c r="AW31" s="769">
        <f>'Output E'!AT26</f>
        <v>0</v>
      </c>
      <c r="AX31" s="769">
        <f>'Output E'!AU26</f>
        <v>0</v>
      </c>
      <c r="AY31" s="769">
        <f>'Output E'!AV26</f>
        <v>0</v>
      </c>
      <c r="AZ31" s="769">
        <f>'Output E'!AW26</f>
        <v>0</v>
      </c>
      <c r="BA31" s="769">
        <f>'Output E'!AX26</f>
        <v>0</v>
      </c>
      <c r="BB31" s="769">
        <f>'Output E'!AY26</f>
        <v>0</v>
      </c>
      <c r="BC31" s="769">
        <f>'Output E'!AZ26</f>
        <v>0</v>
      </c>
      <c r="BD31" s="769">
        <f>'Output E'!BA26</f>
        <v>0</v>
      </c>
      <c r="BE31" s="769">
        <f>'Output E'!BB26</f>
        <v>0</v>
      </c>
    </row>
    <row r="32" spans="2:57" x14ac:dyDescent="0.25">
      <c r="B32" s="1189"/>
      <c r="C32" s="763"/>
      <c r="D32" s="763"/>
      <c r="E32" s="771" t="str">
        <f>'Output E'!B27</f>
        <v>Cable costs shared</v>
      </c>
      <c r="F32" s="772" t="str">
        <f>'Output E'!C27</f>
        <v>[kEUR]</v>
      </c>
      <c r="G32" s="773">
        <f>'Output E'!D27</f>
        <v>0</v>
      </c>
      <c r="H32" s="773">
        <f>'Output E'!E27</f>
        <v>0</v>
      </c>
      <c r="I32" s="774"/>
      <c r="J32" s="773">
        <f>'Output E'!G27</f>
        <v>0</v>
      </c>
      <c r="K32" s="773">
        <f>'Output E'!H27</f>
        <v>0</v>
      </c>
      <c r="L32" s="773">
        <f>'Output E'!I27</f>
        <v>0</v>
      </c>
      <c r="M32" s="773">
        <f>'Output E'!J27</f>
        <v>0</v>
      </c>
      <c r="N32" s="773">
        <f>'Output E'!K27</f>
        <v>0</v>
      </c>
      <c r="O32" s="773">
        <f>'Output E'!L27</f>
        <v>0</v>
      </c>
      <c r="P32" s="773">
        <f>'Output E'!M27</f>
        <v>0</v>
      </c>
      <c r="Q32" s="773">
        <f>'Output E'!N27</f>
        <v>0</v>
      </c>
      <c r="R32" s="773">
        <f>'Output E'!O27</f>
        <v>0</v>
      </c>
      <c r="S32" s="773">
        <f>'Output E'!P27</f>
        <v>0</v>
      </c>
      <c r="T32" s="773">
        <f>'Output E'!Q27</f>
        <v>0</v>
      </c>
      <c r="U32" s="773">
        <f>'Output E'!R27</f>
        <v>0</v>
      </c>
      <c r="V32" s="773">
        <f>'Output E'!S27</f>
        <v>0</v>
      </c>
      <c r="W32" s="773">
        <f>'Output E'!T27</f>
        <v>0</v>
      </c>
      <c r="X32" s="773">
        <f>'Output E'!U27</f>
        <v>0</v>
      </c>
      <c r="Y32" s="773">
        <f>'Output E'!V27</f>
        <v>0</v>
      </c>
      <c r="Z32" s="773">
        <f>'Output E'!W27</f>
        <v>0</v>
      </c>
      <c r="AA32" s="773">
        <f>'Output E'!X27</f>
        <v>0</v>
      </c>
      <c r="AB32" s="773">
        <f>'Output E'!Y27</f>
        <v>0</v>
      </c>
      <c r="AC32" s="773">
        <f>'Output E'!Z27</f>
        <v>0</v>
      </c>
      <c r="AD32" s="773">
        <f>'Output E'!AA27</f>
        <v>0</v>
      </c>
      <c r="AE32" s="773">
        <f>'Output E'!AB27</f>
        <v>0</v>
      </c>
      <c r="AF32" s="773">
        <f>'Output E'!AC27</f>
        <v>0</v>
      </c>
      <c r="AG32" s="773">
        <f>'Output E'!AD27</f>
        <v>0</v>
      </c>
      <c r="AH32" s="773">
        <f>'Output E'!AE27</f>
        <v>0</v>
      </c>
      <c r="AI32" s="773">
        <f>'Output E'!AF27</f>
        <v>0</v>
      </c>
      <c r="AJ32" s="773">
        <f>'Output E'!AG27</f>
        <v>0</v>
      </c>
      <c r="AK32" s="773">
        <f>'Output E'!AH27</f>
        <v>0</v>
      </c>
      <c r="AL32" s="773">
        <f>'Output E'!AI27</f>
        <v>0</v>
      </c>
      <c r="AM32" s="773">
        <f>'Output E'!AJ27</f>
        <v>0</v>
      </c>
      <c r="AN32" s="773">
        <f>'Output E'!AK27</f>
        <v>0</v>
      </c>
      <c r="AO32" s="773">
        <f>'Output E'!AL27</f>
        <v>0</v>
      </c>
      <c r="AP32" s="773">
        <f>'Output E'!AM27</f>
        <v>0</v>
      </c>
      <c r="AQ32" s="773">
        <f>'Output E'!AN27</f>
        <v>0</v>
      </c>
      <c r="AR32" s="773">
        <f>'Output E'!AO27</f>
        <v>0</v>
      </c>
      <c r="AS32" s="773">
        <f>'Output E'!AP27</f>
        <v>0</v>
      </c>
      <c r="AT32" s="773">
        <f>'Output E'!AQ27</f>
        <v>0</v>
      </c>
      <c r="AU32" s="773">
        <f>'Output E'!AR27</f>
        <v>0</v>
      </c>
      <c r="AV32" s="773">
        <f>'Output E'!AS27</f>
        <v>0</v>
      </c>
      <c r="AW32" s="773">
        <f>'Output E'!AT27</f>
        <v>0</v>
      </c>
      <c r="AX32" s="773">
        <f>'Output E'!AU27</f>
        <v>0</v>
      </c>
      <c r="AY32" s="773">
        <f>'Output E'!AV27</f>
        <v>0</v>
      </c>
      <c r="AZ32" s="773">
        <f>'Output E'!AW27</f>
        <v>0</v>
      </c>
      <c r="BA32" s="773">
        <f>'Output E'!AX27</f>
        <v>0</v>
      </c>
      <c r="BB32" s="773">
        <f>'Output E'!AY27</f>
        <v>0</v>
      </c>
      <c r="BC32" s="773">
        <f>'Output E'!AZ27</f>
        <v>0</v>
      </c>
      <c r="BD32" s="773">
        <f>'Output E'!BA27</f>
        <v>0</v>
      </c>
      <c r="BE32" s="773">
        <f>'Output E'!BB27</f>
        <v>0</v>
      </c>
    </row>
    <row r="33" spans="2:57" x14ac:dyDescent="0.25">
      <c r="B33" s="314"/>
      <c r="C33" s="763"/>
      <c r="D33" s="763"/>
      <c r="E33" s="771" t="str">
        <f>'Output E'!B28</f>
        <v>Refurbishment costs</v>
      </c>
      <c r="F33" s="772" t="str">
        <f>'Output E'!C28</f>
        <v>[kEUR]</v>
      </c>
      <c r="G33" s="773">
        <f>'Output E'!D28</f>
        <v>-14963.032799999999</v>
      </c>
      <c r="H33" s="773">
        <f>'Output E'!E28</f>
        <v>-11241.948009015774</v>
      </c>
      <c r="I33" s="774"/>
      <c r="J33" s="773">
        <f>'Output E'!G28</f>
        <v>0</v>
      </c>
      <c r="K33" s="773">
        <f>'Output E'!H28</f>
        <v>0</v>
      </c>
      <c r="L33" s="773">
        <f>'Output E'!I28</f>
        <v>0</v>
      </c>
      <c r="M33" s="773">
        <f>'Output E'!J28</f>
        <v>-14963.032799999999</v>
      </c>
      <c r="N33" s="773">
        <f>'Output E'!K28</f>
        <v>0</v>
      </c>
      <c r="O33" s="773">
        <f>'Output E'!L28</f>
        <v>0</v>
      </c>
      <c r="P33" s="773">
        <f>'Output E'!M28</f>
        <v>0</v>
      </c>
      <c r="Q33" s="773">
        <f>'Output E'!N28</f>
        <v>0</v>
      </c>
      <c r="R33" s="773">
        <f>'Output E'!O28</f>
        <v>0</v>
      </c>
      <c r="S33" s="773">
        <f>'Output E'!P28</f>
        <v>0</v>
      </c>
      <c r="T33" s="773">
        <f>'Output E'!Q28</f>
        <v>0</v>
      </c>
      <c r="U33" s="773">
        <f>'Output E'!R28</f>
        <v>0</v>
      </c>
      <c r="V33" s="773">
        <f>'Output E'!S28</f>
        <v>0</v>
      </c>
      <c r="W33" s="773">
        <f>'Output E'!T28</f>
        <v>0</v>
      </c>
      <c r="X33" s="773">
        <f>'Output E'!U28</f>
        <v>0</v>
      </c>
      <c r="Y33" s="773">
        <f>'Output E'!V28</f>
        <v>0</v>
      </c>
      <c r="Z33" s="773">
        <f>'Output E'!W28</f>
        <v>0</v>
      </c>
      <c r="AA33" s="773">
        <f>'Output E'!X28</f>
        <v>0</v>
      </c>
      <c r="AB33" s="773">
        <f>'Output E'!Y28</f>
        <v>0</v>
      </c>
      <c r="AC33" s="773">
        <f>'Output E'!Z28</f>
        <v>0</v>
      </c>
      <c r="AD33" s="773">
        <f>'Output E'!AA28</f>
        <v>0</v>
      </c>
      <c r="AE33" s="773">
        <f>'Output E'!AB28</f>
        <v>0</v>
      </c>
      <c r="AF33" s="773">
        <f>'Output E'!AC28</f>
        <v>0</v>
      </c>
      <c r="AG33" s="773">
        <f>'Output E'!AD28</f>
        <v>0</v>
      </c>
      <c r="AH33" s="773">
        <f>'Output E'!AE28</f>
        <v>0</v>
      </c>
      <c r="AI33" s="773">
        <f>'Output E'!AF28</f>
        <v>0</v>
      </c>
      <c r="AJ33" s="773">
        <f>'Output E'!AG28</f>
        <v>0</v>
      </c>
      <c r="AK33" s="773">
        <f>'Output E'!AH28</f>
        <v>0</v>
      </c>
      <c r="AL33" s="773">
        <f>'Output E'!AI28</f>
        <v>0</v>
      </c>
      <c r="AM33" s="773">
        <f>'Output E'!AJ28</f>
        <v>0</v>
      </c>
      <c r="AN33" s="773">
        <f>'Output E'!AK28</f>
        <v>0</v>
      </c>
      <c r="AO33" s="773">
        <f>'Output E'!AL28</f>
        <v>0</v>
      </c>
      <c r="AP33" s="773">
        <f>'Output E'!AM28</f>
        <v>0</v>
      </c>
      <c r="AQ33" s="773">
        <f>'Output E'!AN28</f>
        <v>0</v>
      </c>
      <c r="AR33" s="773">
        <f>'Output E'!AO28</f>
        <v>0</v>
      </c>
      <c r="AS33" s="773">
        <f>'Output E'!AP28</f>
        <v>0</v>
      </c>
      <c r="AT33" s="773">
        <f>'Output E'!AQ28</f>
        <v>0</v>
      </c>
      <c r="AU33" s="773">
        <f>'Output E'!AR28</f>
        <v>0</v>
      </c>
      <c r="AV33" s="773">
        <f>'Output E'!AS28</f>
        <v>0</v>
      </c>
      <c r="AW33" s="773">
        <f>'Output E'!AT28</f>
        <v>0</v>
      </c>
      <c r="AX33" s="773">
        <f>'Output E'!AU28</f>
        <v>0</v>
      </c>
      <c r="AY33" s="773">
        <f>'Output E'!AV28</f>
        <v>0</v>
      </c>
      <c r="AZ33" s="773">
        <f>'Output E'!AW28</f>
        <v>0</v>
      </c>
      <c r="BA33" s="773">
        <f>'Output E'!AX28</f>
        <v>0</v>
      </c>
      <c r="BB33" s="773">
        <f>'Output E'!AY28</f>
        <v>0</v>
      </c>
      <c r="BC33" s="773">
        <f>'Output E'!AZ28</f>
        <v>0</v>
      </c>
      <c r="BD33" s="773">
        <f>'Output E'!BA28</f>
        <v>0</v>
      </c>
      <c r="BE33" s="773">
        <f>'Output E'!BB28</f>
        <v>0</v>
      </c>
    </row>
    <row r="34" spans="2:57" x14ac:dyDescent="0.25">
      <c r="B34" s="314"/>
      <c r="C34" s="763"/>
      <c r="D34" s="763"/>
      <c r="E34" s="771" t="str">
        <f>'Output E'!B29</f>
        <v>Platform downtime</v>
      </c>
      <c r="F34" s="772" t="str">
        <f>'Output E'!C29</f>
        <v>[kEUR]</v>
      </c>
      <c r="G34" s="773">
        <f>'Output E'!D29</f>
        <v>-3425.8945786199793</v>
      </c>
      <c r="H34" s="773">
        <f>'Output E'!E29</f>
        <v>-2573.9253032456641</v>
      </c>
      <c r="I34" s="774"/>
      <c r="J34" s="773">
        <f>'Output E'!G29</f>
        <v>0</v>
      </c>
      <c r="K34" s="773">
        <f>'Output E'!H29</f>
        <v>0</v>
      </c>
      <c r="L34" s="773">
        <f>'Output E'!I29</f>
        <v>0</v>
      </c>
      <c r="M34" s="773">
        <f>'Output E'!J29</f>
        <v>-3425.8945786199793</v>
      </c>
      <c r="N34" s="773">
        <f>'Output E'!K29</f>
        <v>0</v>
      </c>
      <c r="O34" s="773">
        <f>'Output E'!L29</f>
        <v>0</v>
      </c>
      <c r="P34" s="773">
        <f>'Output E'!M29</f>
        <v>0</v>
      </c>
      <c r="Q34" s="773">
        <f>'Output E'!N29</f>
        <v>0</v>
      </c>
      <c r="R34" s="773">
        <f>'Output E'!O29</f>
        <v>0</v>
      </c>
      <c r="S34" s="773">
        <f>'Output E'!P29</f>
        <v>0</v>
      </c>
      <c r="T34" s="773">
        <f>'Output E'!Q29</f>
        <v>0</v>
      </c>
      <c r="U34" s="773">
        <f>'Output E'!R29</f>
        <v>0</v>
      </c>
      <c r="V34" s="773">
        <f>'Output E'!S29</f>
        <v>0</v>
      </c>
      <c r="W34" s="773">
        <f>'Output E'!T29</f>
        <v>0</v>
      </c>
      <c r="X34" s="773">
        <f>'Output E'!U29</f>
        <v>0</v>
      </c>
      <c r="Y34" s="773">
        <f>'Output E'!V29</f>
        <v>0</v>
      </c>
      <c r="Z34" s="773">
        <f>'Output E'!W29</f>
        <v>0</v>
      </c>
      <c r="AA34" s="773">
        <f>'Output E'!X29</f>
        <v>0</v>
      </c>
      <c r="AB34" s="773">
        <f>'Output E'!Y29</f>
        <v>0</v>
      </c>
      <c r="AC34" s="773">
        <f>'Output E'!Z29</f>
        <v>0</v>
      </c>
      <c r="AD34" s="773">
        <f>'Output E'!AA29</f>
        <v>0</v>
      </c>
      <c r="AE34" s="773">
        <f>'Output E'!AB29</f>
        <v>0</v>
      </c>
      <c r="AF34" s="773">
        <f>'Output E'!AC29</f>
        <v>0</v>
      </c>
      <c r="AG34" s="773">
        <f>'Output E'!AD29</f>
        <v>0</v>
      </c>
      <c r="AH34" s="773">
        <f>'Output E'!AE29</f>
        <v>0</v>
      </c>
      <c r="AI34" s="773">
        <f>'Output E'!AF29</f>
        <v>0</v>
      </c>
      <c r="AJ34" s="773">
        <f>'Output E'!AG29</f>
        <v>0</v>
      </c>
      <c r="AK34" s="773">
        <f>'Output E'!AH29</f>
        <v>0</v>
      </c>
      <c r="AL34" s="773">
        <f>'Output E'!AI29</f>
        <v>0</v>
      </c>
      <c r="AM34" s="773">
        <f>'Output E'!AJ29</f>
        <v>0</v>
      </c>
      <c r="AN34" s="773">
        <f>'Output E'!AK29</f>
        <v>0</v>
      </c>
      <c r="AO34" s="773">
        <f>'Output E'!AL29</f>
        <v>0</v>
      </c>
      <c r="AP34" s="773">
        <f>'Output E'!AM29</f>
        <v>0</v>
      </c>
      <c r="AQ34" s="773">
        <f>'Output E'!AN29</f>
        <v>0</v>
      </c>
      <c r="AR34" s="773">
        <f>'Output E'!AO29</f>
        <v>0</v>
      </c>
      <c r="AS34" s="773">
        <f>'Output E'!AP29</f>
        <v>0</v>
      </c>
      <c r="AT34" s="773">
        <f>'Output E'!AQ29</f>
        <v>0</v>
      </c>
      <c r="AU34" s="773">
        <f>'Output E'!AR29</f>
        <v>0</v>
      </c>
      <c r="AV34" s="773">
        <f>'Output E'!AS29</f>
        <v>0</v>
      </c>
      <c r="AW34" s="773">
        <f>'Output E'!AT29</f>
        <v>0</v>
      </c>
      <c r="AX34" s="773">
        <f>'Output E'!AU29</f>
        <v>0</v>
      </c>
      <c r="AY34" s="773">
        <f>'Output E'!AV29</f>
        <v>0</v>
      </c>
      <c r="AZ34" s="773">
        <f>'Output E'!AW29</f>
        <v>0</v>
      </c>
      <c r="BA34" s="773">
        <f>'Output E'!AX29</f>
        <v>0</v>
      </c>
      <c r="BB34" s="773">
        <f>'Output E'!AY29</f>
        <v>0</v>
      </c>
      <c r="BC34" s="773">
        <f>'Output E'!AZ29</f>
        <v>0</v>
      </c>
      <c r="BD34" s="773">
        <f>'Output E'!BA29</f>
        <v>0</v>
      </c>
      <c r="BE34" s="773">
        <f>'Output E'!BB29</f>
        <v>0</v>
      </c>
    </row>
    <row r="35" spans="2:57" x14ac:dyDescent="0.25">
      <c r="B35" s="1189"/>
      <c r="C35" s="763"/>
      <c r="D35" s="763"/>
      <c r="E35" s="771" t="str">
        <f>'Output E'!B30</f>
        <v>Additional pipeline CAPEX</v>
      </c>
      <c r="F35" s="772" t="str">
        <f>'Output E'!C30</f>
        <v>[kEUR]</v>
      </c>
      <c r="G35" s="773">
        <f>'Output E'!D30</f>
        <v>0</v>
      </c>
      <c r="H35" s="773">
        <f>'Output E'!E30</f>
        <v>0</v>
      </c>
      <c r="I35" s="774"/>
      <c r="J35" s="773">
        <f>'Output E'!G30</f>
        <v>0</v>
      </c>
      <c r="K35" s="773">
        <f>'Output E'!H30</f>
        <v>0</v>
      </c>
      <c r="L35" s="773">
        <f>'Output E'!I30</f>
        <v>0</v>
      </c>
      <c r="M35" s="773">
        <f>'Output E'!J30</f>
        <v>0</v>
      </c>
      <c r="N35" s="773">
        <f>'Output E'!K30</f>
        <v>0</v>
      </c>
      <c r="O35" s="773">
        <f>'Output E'!L30</f>
        <v>0</v>
      </c>
      <c r="P35" s="773">
        <f>'Output E'!M30</f>
        <v>0</v>
      </c>
      <c r="Q35" s="773">
        <f>'Output E'!N30</f>
        <v>0</v>
      </c>
      <c r="R35" s="773">
        <f>'Output E'!O30</f>
        <v>0</v>
      </c>
      <c r="S35" s="773">
        <f>'Output E'!P30</f>
        <v>0</v>
      </c>
      <c r="T35" s="773">
        <f>'Output E'!Q30</f>
        <v>0</v>
      </c>
      <c r="U35" s="773">
        <f>'Output E'!R30</f>
        <v>0</v>
      </c>
      <c r="V35" s="773">
        <f>'Output E'!S30</f>
        <v>0</v>
      </c>
      <c r="W35" s="773">
        <f>'Output E'!T30</f>
        <v>0</v>
      </c>
      <c r="X35" s="773">
        <f>'Output E'!U30</f>
        <v>0</v>
      </c>
      <c r="Y35" s="773">
        <f>'Output E'!V30</f>
        <v>0</v>
      </c>
      <c r="Z35" s="773">
        <f>'Output E'!W30</f>
        <v>0</v>
      </c>
      <c r="AA35" s="773">
        <f>'Output E'!X30</f>
        <v>0</v>
      </c>
      <c r="AB35" s="773">
        <f>'Output E'!Y30</f>
        <v>0</v>
      </c>
      <c r="AC35" s="773">
        <f>'Output E'!Z30</f>
        <v>0</v>
      </c>
      <c r="AD35" s="773">
        <f>'Output E'!AA30</f>
        <v>0</v>
      </c>
      <c r="AE35" s="773">
        <f>'Output E'!AB30</f>
        <v>0</v>
      </c>
      <c r="AF35" s="773">
        <f>'Output E'!AC30</f>
        <v>0</v>
      </c>
      <c r="AG35" s="773">
        <f>'Output E'!AD30</f>
        <v>0</v>
      </c>
      <c r="AH35" s="773">
        <f>'Output E'!AE30</f>
        <v>0</v>
      </c>
      <c r="AI35" s="773">
        <f>'Output E'!AF30</f>
        <v>0</v>
      </c>
      <c r="AJ35" s="773">
        <f>'Output E'!AG30</f>
        <v>0</v>
      </c>
      <c r="AK35" s="773">
        <f>'Output E'!AH30</f>
        <v>0</v>
      </c>
      <c r="AL35" s="773">
        <f>'Output E'!AI30</f>
        <v>0</v>
      </c>
      <c r="AM35" s="773">
        <f>'Output E'!AJ30</f>
        <v>0</v>
      </c>
      <c r="AN35" s="773">
        <f>'Output E'!AK30</f>
        <v>0</v>
      </c>
      <c r="AO35" s="773">
        <f>'Output E'!AL30</f>
        <v>0</v>
      </c>
      <c r="AP35" s="773">
        <f>'Output E'!AM30</f>
        <v>0</v>
      </c>
      <c r="AQ35" s="773">
        <f>'Output E'!AN30</f>
        <v>0</v>
      </c>
      <c r="AR35" s="773">
        <f>'Output E'!AO30</f>
        <v>0</v>
      </c>
      <c r="AS35" s="773">
        <f>'Output E'!AP30</f>
        <v>0</v>
      </c>
      <c r="AT35" s="773">
        <f>'Output E'!AQ30</f>
        <v>0</v>
      </c>
      <c r="AU35" s="773">
        <f>'Output E'!AR30</f>
        <v>0</v>
      </c>
      <c r="AV35" s="773">
        <f>'Output E'!AS30</f>
        <v>0</v>
      </c>
      <c r="AW35" s="773">
        <f>'Output E'!AT30</f>
        <v>0</v>
      </c>
      <c r="AX35" s="773">
        <f>'Output E'!AU30</f>
        <v>0</v>
      </c>
      <c r="AY35" s="773">
        <f>'Output E'!AV30</f>
        <v>0</v>
      </c>
      <c r="AZ35" s="773">
        <f>'Output E'!AW30</f>
        <v>0</v>
      </c>
      <c r="BA35" s="773">
        <f>'Output E'!AX30</f>
        <v>0</v>
      </c>
      <c r="BB35" s="773">
        <f>'Output E'!AY30</f>
        <v>0</v>
      </c>
      <c r="BC35" s="773">
        <f>'Output E'!AZ30</f>
        <v>0</v>
      </c>
      <c r="BD35" s="773">
        <f>'Output E'!BA30</f>
        <v>0</v>
      </c>
      <c r="BE35" s="773">
        <f>'Output E'!BB30</f>
        <v>0</v>
      </c>
    </row>
    <row r="36" spans="2:57" x14ac:dyDescent="0.25">
      <c r="B36" s="314"/>
      <c r="C36" s="763"/>
      <c r="D36" s="763"/>
      <c r="E36" s="771" t="str">
        <f>'Output E'!B31</f>
        <v>Decom cost E &amp; NG phase</v>
      </c>
      <c r="F36" s="772" t="str">
        <f>'Output E'!C31</f>
        <v>[kEUR]</v>
      </c>
      <c r="G36" s="773">
        <f>'Output E'!D31</f>
        <v>0</v>
      </c>
      <c r="H36" s="773">
        <f>'Output E'!E31</f>
        <v>0</v>
      </c>
      <c r="I36" s="774"/>
      <c r="J36" s="773">
        <f>'Output E'!G31</f>
        <v>0</v>
      </c>
      <c r="K36" s="773">
        <f>'Output E'!H31</f>
        <v>0</v>
      </c>
      <c r="L36" s="773">
        <f>'Output E'!I31</f>
        <v>0</v>
      </c>
      <c r="M36" s="773">
        <f>'Output E'!J31</f>
        <v>0</v>
      </c>
      <c r="N36" s="773">
        <f>'Output E'!K31</f>
        <v>0</v>
      </c>
      <c r="O36" s="773">
        <f>'Output E'!L31</f>
        <v>0</v>
      </c>
      <c r="P36" s="773">
        <f>'Output E'!M31</f>
        <v>0</v>
      </c>
      <c r="Q36" s="773">
        <f>'Output E'!N31</f>
        <v>0</v>
      </c>
      <c r="R36" s="773">
        <f>'Output E'!O31</f>
        <v>0</v>
      </c>
      <c r="S36" s="773">
        <f>'Output E'!P31</f>
        <v>0</v>
      </c>
      <c r="T36" s="773">
        <f>'Output E'!Q31</f>
        <v>0</v>
      </c>
      <c r="U36" s="773">
        <f>'Output E'!R31</f>
        <v>0</v>
      </c>
      <c r="V36" s="773">
        <f>'Output E'!S31</f>
        <v>0</v>
      </c>
      <c r="W36" s="773">
        <f>'Output E'!T31</f>
        <v>0</v>
      </c>
      <c r="X36" s="773">
        <f>'Output E'!U31</f>
        <v>0</v>
      </c>
      <c r="Y36" s="773">
        <f>'Output E'!V31</f>
        <v>0</v>
      </c>
      <c r="Z36" s="773">
        <f>'Output E'!W31</f>
        <v>0</v>
      </c>
      <c r="AA36" s="773">
        <f>'Output E'!X31</f>
        <v>0</v>
      </c>
      <c r="AB36" s="773">
        <f>'Output E'!Y31</f>
        <v>0</v>
      </c>
      <c r="AC36" s="773">
        <f>'Output E'!Z31</f>
        <v>0</v>
      </c>
      <c r="AD36" s="773">
        <f>'Output E'!AA31</f>
        <v>0</v>
      </c>
      <c r="AE36" s="773">
        <f>'Output E'!AB31</f>
        <v>0</v>
      </c>
      <c r="AF36" s="773">
        <f>'Output E'!AC31</f>
        <v>0</v>
      </c>
      <c r="AG36" s="773">
        <f>'Output E'!AD31</f>
        <v>0</v>
      </c>
      <c r="AH36" s="773">
        <f>'Output E'!AE31</f>
        <v>0</v>
      </c>
      <c r="AI36" s="773">
        <f>'Output E'!AF31</f>
        <v>0</v>
      </c>
      <c r="AJ36" s="773">
        <f>'Output E'!AG31</f>
        <v>0</v>
      </c>
      <c r="AK36" s="773">
        <f>'Output E'!AH31</f>
        <v>0</v>
      </c>
      <c r="AL36" s="773">
        <f>'Output E'!AI31</f>
        <v>0</v>
      </c>
      <c r="AM36" s="773">
        <f>'Output E'!AJ31</f>
        <v>0</v>
      </c>
      <c r="AN36" s="773">
        <f>'Output E'!AK31</f>
        <v>0</v>
      </c>
      <c r="AO36" s="773">
        <f>'Output E'!AL31</f>
        <v>0</v>
      </c>
      <c r="AP36" s="773">
        <f>'Output E'!AM31</f>
        <v>0</v>
      </c>
      <c r="AQ36" s="773">
        <f>'Output E'!AN31</f>
        <v>0</v>
      </c>
      <c r="AR36" s="773">
        <f>'Output E'!AO31</f>
        <v>0</v>
      </c>
      <c r="AS36" s="773">
        <f>'Output E'!AP31</f>
        <v>0</v>
      </c>
      <c r="AT36" s="773">
        <f>'Output E'!AQ31</f>
        <v>0</v>
      </c>
      <c r="AU36" s="773">
        <f>'Output E'!AR31</f>
        <v>0</v>
      </c>
      <c r="AV36" s="773">
        <f>'Output E'!AS31</f>
        <v>0</v>
      </c>
      <c r="AW36" s="773">
        <f>'Output E'!AT31</f>
        <v>0</v>
      </c>
      <c r="AX36" s="773">
        <f>'Output E'!AU31</f>
        <v>0</v>
      </c>
      <c r="AY36" s="773">
        <f>'Output E'!AV31</f>
        <v>0</v>
      </c>
      <c r="AZ36" s="773">
        <f>'Output E'!AW31</f>
        <v>0</v>
      </c>
      <c r="BA36" s="773">
        <f>'Output E'!AX31</f>
        <v>0</v>
      </c>
      <c r="BB36" s="773">
        <f>'Output E'!AY31</f>
        <v>0</v>
      </c>
      <c r="BC36" s="773">
        <f>'Output E'!AZ31</f>
        <v>0</v>
      </c>
      <c r="BD36" s="773">
        <f>'Output E'!BA31</f>
        <v>0</v>
      </c>
      <c r="BE36" s="773">
        <f>'Output E'!BB31</f>
        <v>0</v>
      </c>
    </row>
    <row r="37" spans="2:57" x14ac:dyDescent="0.25">
      <c r="B37" s="314"/>
      <c r="C37" s="763"/>
      <c r="D37" s="763"/>
      <c r="E37" s="775"/>
      <c r="F37" s="775"/>
      <c r="G37" s="776"/>
      <c r="H37" s="776"/>
      <c r="I37" s="776"/>
      <c r="J37" s="776"/>
      <c r="K37" s="776"/>
      <c r="L37" s="776"/>
      <c r="M37" s="776"/>
      <c r="N37" s="776"/>
      <c r="O37" s="776"/>
      <c r="P37" s="776"/>
      <c r="Q37" s="776"/>
      <c r="R37" s="776"/>
      <c r="S37" s="776"/>
      <c r="T37" s="776"/>
      <c r="U37" s="776"/>
      <c r="V37" s="776"/>
      <c r="W37" s="776"/>
      <c r="X37" s="776"/>
      <c r="Y37" s="776"/>
      <c r="Z37" s="776"/>
      <c r="AA37" s="776"/>
      <c r="AB37" s="776"/>
      <c r="AC37" s="776"/>
      <c r="AD37" s="776"/>
      <c r="AE37" s="776"/>
      <c r="AF37" s="776"/>
      <c r="AG37" s="776"/>
      <c r="AH37" s="776"/>
      <c r="AI37" s="776"/>
      <c r="AJ37" s="776"/>
      <c r="AK37" s="776"/>
      <c r="AL37" s="776"/>
      <c r="AM37" s="776"/>
      <c r="AN37" s="776"/>
      <c r="AO37" s="776"/>
      <c r="AP37" s="776"/>
      <c r="AQ37" s="776"/>
      <c r="AR37" s="776"/>
      <c r="AS37" s="776"/>
      <c r="AT37" s="776"/>
      <c r="AU37" s="776"/>
      <c r="AV37" s="776"/>
      <c r="AW37" s="776"/>
      <c r="AX37" s="776"/>
      <c r="AY37" s="776"/>
      <c r="AZ37" s="776"/>
      <c r="BA37" s="776"/>
      <c r="BB37" s="776"/>
      <c r="BC37" s="776"/>
      <c r="BD37" s="776"/>
      <c r="BE37" s="776"/>
    </row>
    <row r="38" spans="2:57" x14ac:dyDescent="0.25">
      <c r="B38" s="314"/>
      <c r="C38" s="763"/>
      <c r="D38" s="763"/>
      <c r="E38" s="764" t="str">
        <f>'Output E'!B33</f>
        <v>Exploitation (OPEX)</v>
      </c>
      <c r="F38" s="764" t="str">
        <f>'Output E'!C33</f>
        <v>[kEUR]</v>
      </c>
      <c r="G38" s="765">
        <f>'Output E'!D33</f>
        <v>-252985.88845242397</v>
      </c>
      <c r="H38" s="765">
        <f>'Output E'!E33</f>
        <v>-125147.72662004079</v>
      </c>
      <c r="I38" s="766"/>
      <c r="J38" s="765">
        <f>'Output E'!G33</f>
        <v>0</v>
      </c>
      <c r="K38" s="765">
        <f>'Output E'!H33</f>
        <v>0</v>
      </c>
      <c r="L38" s="765">
        <f>'Output E'!I33</f>
        <v>0</v>
      </c>
      <c r="M38" s="765">
        <f>'Output E'!J33</f>
        <v>0</v>
      </c>
      <c r="N38" s="765">
        <f>'Output E'!K33</f>
        <v>-28700.054801301532</v>
      </c>
      <c r="O38" s="765">
        <f>'Output E'!L33</f>
        <v>-29763.870673881116</v>
      </c>
      <c r="P38" s="765">
        <f>'Output E'!M33</f>
        <v>-30432.25531839348</v>
      </c>
      <c r="Q38" s="765">
        <f>'Output E'!N33</f>
        <v>-31193.371668917243</v>
      </c>
      <c r="R38" s="765">
        <f>'Output E'!O33</f>
        <v>-31965.995190792528</v>
      </c>
      <c r="S38" s="765">
        <f>'Output E'!P33</f>
        <v>-32768.893970552199</v>
      </c>
      <c r="T38" s="765">
        <f>'Output E'!Q33</f>
        <v>-33640.543890144116</v>
      </c>
      <c r="U38" s="765">
        <f>'Output E'!R33</f>
        <v>-34520.902938441744</v>
      </c>
      <c r="V38" s="765">
        <f>'Output E'!S33</f>
        <v>0</v>
      </c>
      <c r="W38" s="765">
        <f>'Output E'!T33</f>
        <v>0</v>
      </c>
      <c r="X38" s="765">
        <f>'Output E'!U33</f>
        <v>0</v>
      </c>
      <c r="Y38" s="765">
        <f>'Output E'!V33</f>
        <v>0</v>
      </c>
      <c r="Z38" s="765">
        <f>'Output E'!W33</f>
        <v>0</v>
      </c>
      <c r="AA38" s="765">
        <f>'Output E'!X33</f>
        <v>0</v>
      </c>
      <c r="AB38" s="765">
        <f>'Output E'!Y33</f>
        <v>0</v>
      </c>
      <c r="AC38" s="765">
        <f>'Output E'!Z33</f>
        <v>0</v>
      </c>
      <c r="AD38" s="765">
        <f>'Output E'!AA33</f>
        <v>0</v>
      </c>
      <c r="AE38" s="765">
        <f>'Output E'!AB33</f>
        <v>0</v>
      </c>
      <c r="AF38" s="765">
        <f>'Output E'!AC33</f>
        <v>0</v>
      </c>
      <c r="AG38" s="765">
        <f>'Output E'!AD33</f>
        <v>0</v>
      </c>
      <c r="AH38" s="765">
        <f>'Output E'!AE33</f>
        <v>0</v>
      </c>
      <c r="AI38" s="765">
        <f>'Output E'!AF33</f>
        <v>0</v>
      </c>
      <c r="AJ38" s="765">
        <f>'Output E'!AG33</f>
        <v>0</v>
      </c>
      <c r="AK38" s="765">
        <f>'Output E'!AH33</f>
        <v>0</v>
      </c>
      <c r="AL38" s="765">
        <f>'Output E'!AI33</f>
        <v>0</v>
      </c>
      <c r="AM38" s="765">
        <f>'Output E'!AJ33</f>
        <v>0</v>
      </c>
      <c r="AN38" s="765">
        <f>'Output E'!AK33</f>
        <v>0</v>
      </c>
      <c r="AO38" s="765">
        <f>'Output E'!AL33</f>
        <v>0</v>
      </c>
      <c r="AP38" s="765">
        <f>'Output E'!AM33</f>
        <v>0</v>
      </c>
      <c r="AQ38" s="765">
        <f>'Output E'!AN33</f>
        <v>0</v>
      </c>
      <c r="AR38" s="765">
        <f>'Output E'!AO33</f>
        <v>0</v>
      </c>
      <c r="AS38" s="765">
        <f>'Output E'!AP33</f>
        <v>0</v>
      </c>
      <c r="AT38" s="765">
        <f>'Output E'!AQ33</f>
        <v>0</v>
      </c>
      <c r="AU38" s="765">
        <f>'Output E'!AR33</f>
        <v>0</v>
      </c>
      <c r="AV38" s="765">
        <f>'Output E'!AS33</f>
        <v>0</v>
      </c>
      <c r="AW38" s="765">
        <f>'Output E'!AT33</f>
        <v>0</v>
      </c>
      <c r="AX38" s="765">
        <f>'Output E'!AU33</f>
        <v>0</v>
      </c>
      <c r="AY38" s="765">
        <f>'Output E'!AV33</f>
        <v>0</v>
      </c>
      <c r="AZ38" s="765">
        <f>'Output E'!AW33</f>
        <v>0</v>
      </c>
      <c r="BA38" s="765">
        <f>'Output E'!AX33</f>
        <v>0</v>
      </c>
      <c r="BB38" s="765">
        <f>'Output E'!AY33</f>
        <v>0</v>
      </c>
      <c r="BC38" s="765">
        <f>'Output E'!AZ33</f>
        <v>0</v>
      </c>
      <c r="BD38" s="765">
        <f>'Output E'!BA33</f>
        <v>0</v>
      </c>
      <c r="BE38" s="765">
        <f>'Output E'!BB33</f>
        <v>0</v>
      </c>
    </row>
    <row r="39" spans="2:57" x14ac:dyDescent="0.25">
      <c r="B39" s="314"/>
      <c r="C39" s="763"/>
      <c r="D39" s="763"/>
      <c r="E39" s="767" t="str">
        <f>'Output E'!B34</f>
        <v>Electricity consumption</v>
      </c>
      <c r="F39" s="768" t="str">
        <f>'Output E'!C34</f>
        <v>[kEUR]</v>
      </c>
      <c r="G39" s="769">
        <f>'Output E'!D34</f>
        <v>-66165.568083105667</v>
      </c>
      <c r="H39" s="769">
        <f>'Output E'!E34</f>
        <v>-32761.557893968991</v>
      </c>
      <c r="I39" s="770"/>
      <c r="J39" s="769">
        <f>'Output E'!G34</f>
        <v>0</v>
      </c>
      <c r="K39" s="769">
        <f>'Output E'!H34</f>
        <v>0</v>
      </c>
      <c r="L39" s="769">
        <f>'Output E'!I34</f>
        <v>0</v>
      </c>
      <c r="M39" s="769">
        <f>'Output E'!J34</f>
        <v>0</v>
      </c>
      <c r="N39" s="769">
        <f>'Output E'!K34</f>
        <v>-7417.1740127418498</v>
      </c>
      <c r="O39" s="769">
        <f>'Output E'!L34</f>
        <v>-7895.7583359449554</v>
      </c>
      <c r="P39" s="769">
        <f>'Output E'!M34</f>
        <v>-8055.8608121431243</v>
      </c>
      <c r="Q39" s="769">
        <f>'Output E'!N34</f>
        <v>-8219.2090840548371</v>
      </c>
      <c r="R39" s="769">
        <f>'Output E'!O34</f>
        <v>-8385.8689425181656</v>
      </c>
      <c r="S39" s="769">
        <f>'Output E'!P34</f>
        <v>-8555.9075116864042</v>
      </c>
      <c r="T39" s="769">
        <f>'Output E'!Q34</f>
        <v>-8729.3932760443604</v>
      </c>
      <c r="U39" s="769">
        <f>'Output E'!R34</f>
        <v>-8906.3961079719684</v>
      </c>
      <c r="V39" s="769">
        <f>'Output E'!S34</f>
        <v>0</v>
      </c>
      <c r="W39" s="769">
        <f>'Output E'!T34</f>
        <v>0</v>
      </c>
      <c r="X39" s="769">
        <f>'Output E'!U34</f>
        <v>0</v>
      </c>
      <c r="Y39" s="769">
        <f>'Output E'!V34</f>
        <v>0</v>
      </c>
      <c r="Z39" s="769">
        <f>'Output E'!W34</f>
        <v>0</v>
      </c>
      <c r="AA39" s="769">
        <f>'Output E'!X34</f>
        <v>0</v>
      </c>
      <c r="AB39" s="769">
        <f>'Output E'!Y34</f>
        <v>0</v>
      </c>
      <c r="AC39" s="769">
        <f>'Output E'!Z34</f>
        <v>0</v>
      </c>
      <c r="AD39" s="769">
        <f>'Output E'!AA34</f>
        <v>0</v>
      </c>
      <c r="AE39" s="769">
        <f>'Output E'!AB34</f>
        <v>0</v>
      </c>
      <c r="AF39" s="769">
        <f>'Output E'!AC34</f>
        <v>0</v>
      </c>
      <c r="AG39" s="769">
        <f>'Output E'!AD34</f>
        <v>0</v>
      </c>
      <c r="AH39" s="769">
        <f>'Output E'!AE34</f>
        <v>0</v>
      </c>
      <c r="AI39" s="769">
        <f>'Output E'!AF34</f>
        <v>0</v>
      </c>
      <c r="AJ39" s="769">
        <f>'Output E'!AG34</f>
        <v>0</v>
      </c>
      <c r="AK39" s="769">
        <f>'Output E'!AH34</f>
        <v>0</v>
      </c>
      <c r="AL39" s="769">
        <f>'Output E'!AI34</f>
        <v>0</v>
      </c>
      <c r="AM39" s="769">
        <f>'Output E'!AJ34</f>
        <v>0</v>
      </c>
      <c r="AN39" s="769">
        <f>'Output E'!AK34</f>
        <v>0</v>
      </c>
      <c r="AO39" s="769">
        <f>'Output E'!AL34</f>
        <v>0</v>
      </c>
      <c r="AP39" s="769">
        <f>'Output E'!AM34</f>
        <v>0</v>
      </c>
      <c r="AQ39" s="769">
        <f>'Output E'!AN34</f>
        <v>0</v>
      </c>
      <c r="AR39" s="769">
        <f>'Output E'!AO34</f>
        <v>0</v>
      </c>
      <c r="AS39" s="769">
        <f>'Output E'!AP34</f>
        <v>0</v>
      </c>
      <c r="AT39" s="769">
        <f>'Output E'!AQ34</f>
        <v>0</v>
      </c>
      <c r="AU39" s="769">
        <f>'Output E'!AR34</f>
        <v>0</v>
      </c>
      <c r="AV39" s="769">
        <f>'Output E'!AS34</f>
        <v>0</v>
      </c>
      <c r="AW39" s="769">
        <f>'Output E'!AT34</f>
        <v>0</v>
      </c>
      <c r="AX39" s="769">
        <f>'Output E'!AU34</f>
        <v>0</v>
      </c>
      <c r="AY39" s="769">
        <f>'Output E'!AV34</f>
        <v>0</v>
      </c>
      <c r="AZ39" s="769">
        <f>'Output E'!AW34</f>
        <v>0</v>
      </c>
      <c r="BA39" s="769">
        <f>'Output E'!AX34</f>
        <v>0</v>
      </c>
      <c r="BB39" s="769">
        <f>'Output E'!AY34</f>
        <v>0</v>
      </c>
      <c r="BC39" s="769">
        <f>'Output E'!AZ34</f>
        <v>0</v>
      </c>
      <c r="BD39" s="769">
        <f>'Output E'!BA34</f>
        <v>0</v>
      </c>
      <c r="BE39" s="769">
        <f>'Output E'!BB34</f>
        <v>0</v>
      </c>
    </row>
    <row r="40" spans="2:57" x14ac:dyDescent="0.25">
      <c r="B40" s="1189"/>
      <c r="C40" s="763"/>
      <c r="D40" s="763"/>
      <c r="E40" s="771" t="str">
        <f>'Output E'!B35</f>
        <v>Pipeline</v>
      </c>
      <c r="F40" s="772" t="str">
        <f>'Output E'!C35</f>
        <v>[kEUR]</v>
      </c>
      <c r="G40" s="773">
        <f>'Output E'!D35</f>
        <v>-19008.207010501123</v>
      </c>
      <c r="H40" s="773">
        <f>'Output E'!E35</f>
        <v>-9131.0453262271421</v>
      </c>
      <c r="I40" s="774"/>
      <c r="J40" s="773">
        <f>'Output E'!G35</f>
        <v>0</v>
      </c>
      <c r="K40" s="773">
        <f>'Output E'!H35</f>
        <v>0</v>
      </c>
      <c r="L40" s="773">
        <f>'Output E'!I35</f>
        <v>0</v>
      </c>
      <c r="M40" s="773">
        <f>'Output E'!J35</f>
        <v>0</v>
      </c>
      <c r="N40" s="773">
        <f>'Output E'!K35</f>
        <v>-1731.1251689116834</v>
      </c>
      <c r="O40" s="773">
        <f>'Output E'!L35</f>
        <v>-1925.3216058952012</v>
      </c>
      <c r="P40" s="773">
        <f>'Output E'!M35</f>
        <v>-2034.7479595685727</v>
      </c>
      <c r="Q40" s="773">
        <f>'Output E'!N35</f>
        <v>-2225.6831072469972</v>
      </c>
      <c r="R40" s="773">
        <f>'Output E'!O35</f>
        <v>-2416.6771811066415</v>
      </c>
      <c r="S40" s="773">
        <f>'Output E'!P35</f>
        <v>-2626.2684103547158</v>
      </c>
      <c r="T40" s="773">
        <f>'Output E'!Q35</f>
        <v>-2892.6982046184544</v>
      </c>
      <c r="U40" s="773">
        <f>'Output E'!R35</f>
        <v>-3155.6853727988578</v>
      </c>
      <c r="V40" s="773">
        <f>'Output E'!S35</f>
        <v>0</v>
      </c>
      <c r="W40" s="773">
        <f>'Output E'!T35</f>
        <v>0</v>
      </c>
      <c r="X40" s="773">
        <f>'Output E'!U35</f>
        <v>0</v>
      </c>
      <c r="Y40" s="773">
        <f>'Output E'!V35</f>
        <v>0</v>
      </c>
      <c r="Z40" s="773">
        <f>'Output E'!W35</f>
        <v>0</v>
      </c>
      <c r="AA40" s="773">
        <f>'Output E'!X35</f>
        <v>0</v>
      </c>
      <c r="AB40" s="773">
        <f>'Output E'!Y35</f>
        <v>0</v>
      </c>
      <c r="AC40" s="773">
        <f>'Output E'!Z35</f>
        <v>0</v>
      </c>
      <c r="AD40" s="773">
        <f>'Output E'!AA35</f>
        <v>0</v>
      </c>
      <c r="AE40" s="773">
        <f>'Output E'!AB35</f>
        <v>0</v>
      </c>
      <c r="AF40" s="773">
        <f>'Output E'!AC35</f>
        <v>0</v>
      </c>
      <c r="AG40" s="773">
        <f>'Output E'!AD35</f>
        <v>0</v>
      </c>
      <c r="AH40" s="773">
        <f>'Output E'!AE35</f>
        <v>0</v>
      </c>
      <c r="AI40" s="773">
        <f>'Output E'!AF35</f>
        <v>0</v>
      </c>
      <c r="AJ40" s="773">
        <f>'Output E'!AG35</f>
        <v>0</v>
      </c>
      <c r="AK40" s="773">
        <f>'Output E'!AH35</f>
        <v>0</v>
      </c>
      <c r="AL40" s="773">
        <f>'Output E'!AI35</f>
        <v>0</v>
      </c>
      <c r="AM40" s="773">
        <f>'Output E'!AJ35</f>
        <v>0</v>
      </c>
      <c r="AN40" s="773">
        <f>'Output E'!AK35</f>
        <v>0</v>
      </c>
      <c r="AO40" s="773">
        <f>'Output E'!AL35</f>
        <v>0</v>
      </c>
      <c r="AP40" s="773">
        <f>'Output E'!AM35</f>
        <v>0</v>
      </c>
      <c r="AQ40" s="773">
        <f>'Output E'!AN35</f>
        <v>0</v>
      </c>
      <c r="AR40" s="773">
        <f>'Output E'!AO35</f>
        <v>0</v>
      </c>
      <c r="AS40" s="773">
        <f>'Output E'!AP35</f>
        <v>0</v>
      </c>
      <c r="AT40" s="773">
        <f>'Output E'!AQ35</f>
        <v>0</v>
      </c>
      <c r="AU40" s="773">
        <f>'Output E'!AR35</f>
        <v>0</v>
      </c>
      <c r="AV40" s="773">
        <f>'Output E'!AS35</f>
        <v>0</v>
      </c>
      <c r="AW40" s="773">
        <f>'Output E'!AT35</f>
        <v>0</v>
      </c>
      <c r="AX40" s="773">
        <f>'Output E'!AU35</f>
        <v>0</v>
      </c>
      <c r="AY40" s="773">
        <f>'Output E'!AV35</f>
        <v>0</v>
      </c>
      <c r="AZ40" s="773">
        <f>'Output E'!AW35</f>
        <v>0</v>
      </c>
      <c r="BA40" s="773">
        <f>'Output E'!AX35</f>
        <v>0</v>
      </c>
      <c r="BB40" s="773">
        <f>'Output E'!AY35</f>
        <v>0</v>
      </c>
      <c r="BC40" s="773">
        <f>'Output E'!AZ35</f>
        <v>0</v>
      </c>
      <c r="BD40" s="773">
        <f>'Output E'!BA35</f>
        <v>0</v>
      </c>
      <c r="BE40" s="773">
        <f>'Output E'!BB35</f>
        <v>0</v>
      </c>
    </row>
    <row r="41" spans="2:57" x14ac:dyDescent="0.25">
      <c r="B41" s="1189"/>
      <c r="C41" s="763"/>
      <c r="D41" s="763"/>
      <c r="E41" s="771" t="str">
        <f>'Output E'!B36</f>
        <v>Cable</v>
      </c>
      <c r="F41" s="772" t="str">
        <f>'Output E'!C36</f>
        <v>[kEUR]</v>
      </c>
      <c r="G41" s="773">
        <f>'Output E'!D36</f>
        <v>-2441.5385981518452</v>
      </c>
      <c r="H41" s="773">
        <f>'Output E'!E36</f>
        <v>-1211.298715009809</v>
      </c>
      <c r="I41" s="774"/>
      <c r="J41" s="773">
        <f>'Output E'!G36</f>
        <v>0</v>
      </c>
      <c r="K41" s="773">
        <f>'Output E'!H36</f>
        <v>0</v>
      </c>
      <c r="L41" s="773">
        <f>'Output E'!I36</f>
        <v>0</v>
      </c>
      <c r="M41" s="773">
        <f>'Output E'!J36</f>
        <v>0</v>
      </c>
      <c r="N41" s="773">
        <f>'Output E'!K36</f>
        <v>-284.46317164800001</v>
      </c>
      <c r="O41" s="773">
        <f>'Output E'!L36</f>
        <v>-290.15243508096</v>
      </c>
      <c r="P41" s="773">
        <f>'Output E'!M36</f>
        <v>-295.95548378257917</v>
      </c>
      <c r="Q41" s="773">
        <f>'Output E'!N36</f>
        <v>-301.87459345823072</v>
      </c>
      <c r="R41" s="773">
        <f>'Output E'!O36</f>
        <v>-307.91208532739535</v>
      </c>
      <c r="S41" s="773">
        <f>'Output E'!P36</f>
        <v>-314.07032703394327</v>
      </c>
      <c r="T41" s="773">
        <f>'Output E'!Q36</f>
        <v>-320.35173357462219</v>
      </c>
      <c r="U41" s="773">
        <f>'Output E'!R36</f>
        <v>-326.75876824611453</v>
      </c>
      <c r="V41" s="773">
        <f>'Output E'!S36</f>
        <v>0</v>
      </c>
      <c r="W41" s="773">
        <f>'Output E'!T36</f>
        <v>0</v>
      </c>
      <c r="X41" s="773">
        <f>'Output E'!U36</f>
        <v>0</v>
      </c>
      <c r="Y41" s="773">
        <f>'Output E'!V36</f>
        <v>0</v>
      </c>
      <c r="Z41" s="773">
        <f>'Output E'!W36</f>
        <v>0</v>
      </c>
      <c r="AA41" s="773">
        <f>'Output E'!X36</f>
        <v>0</v>
      </c>
      <c r="AB41" s="773">
        <f>'Output E'!Y36</f>
        <v>0</v>
      </c>
      <c r="AC41" s="773">
        <f>'Output E'!Z36</f>
        <v>0</v>
      </c>
      <c r="AD41" s="773">
        <f>'Output E'!AA36</f>
        <v>0</v>
      </c>
      <c r="AE41" s="773">
        <f>'Output E'!AB36</f>
        <v>0</v>
      </c>
      <c r="AF41" s="773">
        <f>'Output E'!AC36</f>
        <v>0</v>
      </c>
      <c r="AG41" s="773">
        <f>'Output E'!AD36</f>
        <v>0</v>
      </c>
      <c r="AH41" s="773">
        <f>'Output E'!AE36</f>
        <v>0</v>
      </c>
      <c r="AI41" s="773">
        <f>'Output E'!AF36</f>
        <v>0</v>
      </c>
      <c r="AJ41" s="773">
        <f>'Output E'!AG36</f>
        <v>0</v>
      </c>
      <c r="AK41" s="773">
        <f>'Output E'!AH36</f>
        <v>0</v>
      </c>
      <c r="AL41" s="773">
        <f>'Output E'!AI36</f>
        <v>0</v>
      </c>
      <c r="AM41" s="773">
        <f>'Output E'!AJ36</f>
        <v>0</v>
      </c>
      <c r="AN41" s="773">
        <f>'Output E'!AK36</f>
        <v>0</v>
      </c>
      <c r="AO41" s="773">
        <f>'Output E'!AL36</f>
        <v>0</v>
      </c>
      <c r="AP41" s="773">
        <f>'Output E'!AM36</f>
        <v>0</v>
      </c>
      <c r="AQ41" s="773">
        <f>'Output E'!AN36</f>
        <v>0</v>
      </c>
      <c r="AR41" s="773">
        <f>'Output E'!AO36</f>
        <v>0</v>
      </c>
      <c r="AS41" s="773">
        <f>'Output E'!AP36</f>
        <v>0</v>
      </c>
      <c r="AT41" s="773">
        <f>'Output E'!AQ36</f>
        <v>0</v>
      </c>
      <c r="AU41" s="773">
        <f>'Output E'!AR36</f>
        <v>0</v>
      </c>
      <c r="AV41" s="773">
        <f>'Output E'!AS36</f>
        <v>0</v>
      </c>
      <c r="AW41" s="773">
        <f>'Output E'!AT36</f>
        <v>0</v>
      </c>
      <c r="AX41" s="773">
        <f>'Output E'!AU36</f>
        <v>0</v>
      </c>
      <c r="AY41" s="773">
        <f>'Output E'!AV36</f>
        <v>0</v>
      </c>
      <c r="AZ41" s="773">
        <f>'Output E'!AW36</f>
        <v>0</v>
      </c>
      <c r="BA41" s="773">
        <f>'Output E'!AX36</f>
        <v>0</v>
      </c>
      <c r="BB41" s="773">
        <f>'Output E'!AY36</f>
        <v>0</v>
      </c>
      <c r="BC41" s="773">
        <f>'Output E'!AZ36</f>
        <v>0</v>
      </c>
      <c r="BD41" s="773">
        <f>'Output E'!BA36</f>
        <v>0</v>
      </c>
      <c r="BE41" s="773">
        <f>'Output E'!BB36</f>
        <v>0</v>
      </c>
    </row>
    <row r="42" spans="2:57" x14ac:dyDescent="0.25">
      <c r="B42" s="314"/>
      <c r="C42" s="763"/>
      <c r="D42" s="763"/>
      <c r="E42" s="771" t="str">
        <f>'Output E'!B37</f>
        <v>Platform</v>
      </c>
      <c r="F42" s="772" t="str">
        <f>'Output E'!C37</f>
        <v>[kEUR]</v>
      </c>
      <c r="G42" s="773">
        <f>'Output E'!D37</f>
        <v>-165370.57476066533</v>
      </c>
      <c r="H42" s="773">
        <f>'Output E'!E37</f>
        <v>-82043.82468483485</v>
      </c>
      <c r="I42" s="774"/>
      <c r="J42" s="773">
        <f>'Output E'!G37</f>
        <v>0</v>
      </c>
      <c r="K42" s="773">
        <f>'Output E'!H37</f>
        <v>0</v>
      </c>
      <c r="L42" s="773">
        <f>'Output E'!I37</f>
        <v>0</v>
      </c>
      <c r="M42" s="773">
        <f>'Output E'!J37</f>
        <v>0</v>
      </c>
      <c r="N42" s="773">
        <f>'Output E'!K37</f>
        <v>-19267.292448</v>
      </c>
      <c r="O42" s="773">
        <f>'Output E'!L37</f>
        <v>-19652.638296960002</v>
      </c>
      <c r="P42" s="773">
        <f>'Output E'!M37</f>
        <v>-20045.691062899201</v>
      </c>
      <c r="Q42" s="773">
        <f>'Output E'!N37</f>
        <v>-20446.604884157179</v>
      </c>
      <c r="R42" s="773">
        <f>'Output E'!O37</f>
        <v>-20855.536981840327</v>
      </c>
      <c r="S42" s="773">
        <f>'Output E'!P37</f>
        <v>-21272.647721477133</v>
      </c>
      <c r="T42" s="773">
        <f>'Output E'!Q37</f>
        <v>-21698.100675906677</v>
      </c>
      <c r="U42" s="773">
        <f>'Output E'!R37</f>
        <v>-22132.062689424805</v>
      </c>
      <c r="V42" s="773">
        <f>'Output E'!S37</f>
        <v>0</v>
      </c>
      <c r="W42" s="773">
        <f>'Output E'!T37</f>
        <v>0</v>
      </c>
      <c r="X42" s="773">
        <f>'Output E'!U37</f>
        <v>0</v>
      </c>
      <c r="Y42" s="773">
        <f>'Output E'!V37</f>
        <v>0</v>
      </c>
      <c r="Z42" s="773">
        <f>'Output E'!W37</f>
        <v>0</v>
      </c>
      <c r="AA42" s="773">
        <f>'Output E'!X37</f>
        <v>0</v>
      </c>
      <c r="AB42" s="773">
        <f>'Output E'!Y37</f>
        <v>0</v>
      </c>
      <c r="AC42" s="773">
        <f>'Output E'!Z37</f>
        <v>0</v>
      </c>
      <c r="AD42" s="773">
        <f>'Output E'!AA37</f>
        <v>0</v>
      </c>
      <c r="AE42" s="773">
        <f>'Output E'!AB37</f>
        <v>0</v>
      </c>
      <c r="AF42" s="773">
        <f>'Output E'!AC37</f>
        <v>0</v>
      </c>
      <c r="AG42" s="773">
        <f>'Output E'!AD37</f>
        <v>0</v>
      </c>
      <c r="AH42" s="773">
        <f>'Output E'!AE37</f>
        <v>0</v>
      </c>
      <c r="AI42" s="773">
        <f>'Output E'!AF37</f>
        <v>0</v>
      </c>
      <c r="AJ42" s="773">
        <f>'Output E'!AG37</f>
        <v>0</v>
      </c>
      <c r="AK42" s="773">
        <f>'Output E'!AH37</f>
        <v>0</v>
      </c>
      <c r="AL42" s="773">
        <f>'Output E'!AI37</f>
        <v>0</v>
      </c>
      <c r="AM42" s="773">
        <f>'Output E'!AJ37</f>
        <v>0</v>
      </c>
      <c r="AN42" s="773">
        <f>'Output E'!AK37</f>
        <v>0</v>
      </c>
      <c r="AO42" s="773">
        <f>'Output E'!AL37</f>
        <v>0</v>
      </c>
      <c r="AP42" s="773">
        <f>'Output E'!AM37</f>
        <v>0</v>
      </c>
      <c r="AQ42" s="773">
        <f>'Output E'!AN37</f>
        <v>0</v>
      </c>
      <c r="AR42" s="773">
        <f>'Output E'!AO37</f>
        <v>0</v>
      </c>
      <c r="AS42" s="773">
        <f>'Output E'!AP37</f>
        <v>0</v>
      </c>
      <c r="AT42" s="773">
        <f>'Output E'!AQ37</f>
        <v>0</v>
      </c>
      <c r="AU42" s="773">
        <f>'Output E'!AR37</f>
        <v>0</v>
      </c>
      <c r="AV42" s="773">
        <f>'Output E'!AS37</f>
        <v>0</v>
      </c>
      <c r="AW42" s="773">
        <f>'Output E'!AT37</f>
        <v>0</v>
      </c>
      <c r="AX42" s="773">
        <f>'Output E'!AU37</f>
        <v>0</v>
      </c>
      <c r="AY42" s="773">
        <f>'Output E'!AV37</f>
        <v>0</v>
      </c>
      <c r="AZ42" s="773">
        <f>'Output E'!AW37</f>
        <v>0</v>
      </c>
      <c r="BA42" s="773">
        <f>'Output E'!AX37</f>
        <v>0</v>
      </c>
      <c r="BB42" s="773">
        <f>'Output E'!AY37</f>
        <v>0</v>
      </c>
      <c r="BC42" s="773">
        <f>'Output E'!AZ37</f>
        <v>0</v>
      </c>
      <c r="BD42" s="773">
        <f>'Output E'!BA37</f>
        <v>0</v>
      </c>
      <c r="BE42" s="773">
        <f>'Output E'!BB37</f>
        <v>0</v>
      </c>
    </row>
    <row r="43" spans="2:57" x14ac:dyDescent="0.25">
      <c r="B43" s="314"/>
      <c r="C43" s="763"/>
      <c r="D43" s="763"/>
      <c r="E43" s="775"/>
      <c r="F43" s="775"/>
      <c r="G43" s="776"/>
      <c r="H43" s="776"/>
      <c r="I43" s="776"/>
      <c r="J43" s="776"/>
      <c r="K43" s="776"/>
      <c r="L43" s="776"/>
      <c r="M43" s="776"/>
      <c r="N43" s="776"/>
      <c r="O43" s="776"/>
      <c r="P43" s="776"/>
      <c r="Q43" s="776"/>
      <c r="R43" s="776"/>
      <c r="S43" s="776"/>
      <c r="T43" s="776"/>
      <c r="U43" s="776"/>
      <c r="V43" s="776"/>
      <c r="W43" s="776"/>
      <c r="X43" s="776"/>
      <c r="Y43" s="776"/>
      <c r="Z43" s="776"/>
      <c r="AA43" s="776"/>
      <c r="AB43" s="776"/>
      <c r="AC43" s="776"/>
      <c r="AD43" s="776"/>
      <c r="AE43" s="776"/>
      <c r="AF43" s="776"/>
      <c r="AG43" s="776"/>
      <c r="AH43" s="776"/>
      <c r="AI43" s="776"/>
      <c r="AJ43" s="776"/>
      <c r="AK43" s="776"/>
      <c r="AL43" s="776"/>
      <c r="AM43" s="776"/>
      <c r="AN43" s="776"/>
      <c r="AO43" s="776"/>
      <c r="AP43" s="776"/>
      <c r="AQ43" s="776"/>
      <c r="AR43" s="776"/>
      <c r="AS43" s="776"/>
      <c r="AT43" s="776"/>
      <c r="AU43" s="776"/>
      <c r="AV43" s="776"/>
      <c r="AW43" s="776"/>
      <c r="AX43" s="776"/>
      <c r="AY43" s="776"/>
      <c r="AZ43" s="776"/>
      <c r="BA43" s="776"/>
      <c r="BB43" s="776"/>
      <c r="BC43" s="776"/>
      <c r="BD43" s="776"/>
      <c r="BE43" s="776"/>
    </row>
    <row r="44" spans="2:57" x14ac:dyDescent="0.25">
      <c r="B44" s="314"/>
      <c r="C44" s="763"/>
      <c r="D44" s="763"/>
      <c r="E44" s="764" t="str">
        <f>'Output E'!B39</f>
        <v>Revenues / avoided costs</v>
      </c>
      <c r="F44" s="764" t="str">
        <f>'Output E'!C39</f>
        <v>[kEUR]</v>
      </c>
      <c r="G44" s="765">
        <f>'Output E'!D39</f>
        <v>962302.55538981804</v>
      </c>
      <c r="H44" s="765">
        <f>'Output E'!E39</f>
        <v>474722.0593974173</v>
      </c>
      <c r="I44" s="766"/>
      <c r="J44" s="765">
        <f>'Output E'!G39</f>
        <v>0</v>
      </c>
      <c r="K44" s="765">
        <f>'Output E'!H39</f>
        <v>0</v>
      </c>
      <c r="L44" s="765">
        <f>'Output E'!I39</f>
        <v>0</v>
      </c>
      <c r="M44" s="765">
        <f>'Output E'!J39</f>
        <v>0</v>
      </c>
      <c r="N44" s="765">
        <f>'Output E'!K39</f>
        <v>106059.96223554664</v>
      </c>
      <c r="O44" s="765">
        <f>'Output E'!L39</f>
        <v>111901.67816081163</v>
      </c>
      <c r="P44" s="765">
        <f>'Output E'!M39</f>
        <v>115223.97658521791</v>
      </c>
      <c r="Q44" s="765">
        <f>'Output E'!N39</f>
        <v>118634.40627533611</v>
      </c>
      <c r="R44" s="765">
        <f>'Output E'!O39</f>
        <v>122135.16356242495</v>
      </c>
      <c r="S44" s="765">
        <f>'Output E'!P39</f>
        <v>125728.4973784872</v>
      </c>
      <c r="T44" s="765">
        <f>'Output E'!Q39</f>
        <v>129416.71048176699</v>
      </c>
      <c r="U44" s="765">
        <f>'Output E'!R39</f>
        <v>133202.1607102266</v>
      </c>
      <c r="V44" s="765">
        <f>'Output E'!S39</f>
        <v>0</v>
      </c>
      <c r="W44" s="765">
        <f>'Output E'!T39</f>
        <v>0</v>
      </c>
      <c r="X44" s="765">
        <f>'Output E'!U39</f>
        <v>0</v>
      </c>
      <c r="Y44" s="765">
        <f>'Output E'!V39</f>
        <v>0</v>
      </c>
      <c r="Z44" s="765">
        <f>'Output E'!W39</f>
        <v>0</v>
      </c>
      <c r="AA44" s="765">
        <f>'Output E'!X39</f>
        <v>0</v>
      </c>
      <c r="AB44" s="765">
        <f>'Output E'!Y39</f>
        <v>0</v>
      </c>
      <c r="AC44" s="765">
        <f>'Output E'!Z39</f>
        <v>0</v>
      </c>
      <c r="AD44" s="765">
        <f>'Output E'!AA39</f>
        <v>0</v>
      </c>
      <c r="AE44" s="765">
        <f>'Output E'!AB39</f>
        <v>0</v>
      </c>
      <c r="AF44" s="765">
        <f>'Output E'!AC39</f>
        <v>0</v>
      </c>
      <c r="AG44" s="765">
        <f>'Output E'!AD39</f>
        <v>0</v>
      </c>
      <c r="AH44" s="765">
        <f>'Output E'!AE39</f>
        <v>0</v>
      </c>
      <c r="AI44" s="765">
        <f>'Output E'!AF39</f>
        <v>0</v>
      </c>
      <c r="AJ44" s="765">
        <f>'Output E'!AG39</f>
        <v>0</v>
      </c>
      <c r="AK44" s="765">
        <f>'Output E'!AH39</f>
        <v>0</v>
      </c>
      <c r="AL44" s="765">
        <f>'Output E'!AI39</f>
        <v>0</v>
      </c>
      <c r="AM44" s="765">
        <f>'Output E'!AJ39</f>
        <v>0</v>
      </c>
      <c r="AN44" s="765">
        <f>'Output E'!AK39</f>
        <v>0</v>
      </c>
      <c r="AO44" s="765">
        <f>'Output E'!AL39</f>
        <v>0</v>
      </c>
      <c r="AP44" s="765">
        <f>'Output E'!AM39</f>
        <v>0</v>
      </c>
      <c r="AQ44" s="765">
        <f>'Output E'!AN39</f>
        <v>0</v>
      </c>
      <c r="AR44" s="765">
        <f>'Output E'!AO39</f>
        <v>0</v>
      </c>
      <c r="AS44" s="765">
        <f>'Output E'!AP39</f>
        <v>0</v>
      </c>
      <c r="AT44" s="765">
        <f>'Output E'!AQ39</f>
        <v>0</v>
      </c>
      <c r="AU44" s="765">
        <f>'Output E'!AR39</f>
        <v>0</v>
      </c>
      <c r="AV44" s="765">
        <f>'Output E'!AS39</f>
        <v>0</v>
      </c>
      <c r="AW44" s="765">
        <f>'Output E'!AT39</f>
        <v>0</v>
      </c>
      <c r="AX44" s="765">
        <f>'Output E'!AU39</f>
        <v>0</v>
      </c>
      <c r="AY44" s="765">
        <f>'Output E'!AV39</f>
        <v>0</v>
      </c>
      <c r="AZ44" s="765">
        <f>'Output E'!AW39</f>
        <v>0</v>
      </c>
      <c r="BA44" s="765">
        <f>'Output E'!AX39</f>
        <v>0</v>
      </c>
      <c r="BB44" s="765">
        <f>'Output E'!AY39</f>
        <v>0</v>
      </c>
      <c r="BC44" s="765">
        <f>'Output E'!AZ39</f>
        <v>0</v>
      </c>
      <c r="BD44" s="765">
        <f>'Output E'!BA39</f>
        <v>0</v>
      </c>
      <c r="BE44" s="765">
        <f>'Output E'!BB39</f>
        <v>0</v>
      </c>
    </row>
    <row r="45" spans="2:57" x14ac:dyDescent="0.25">
      <c r="B45" s="314"/>
      <c r="C45" s="763"/>
      <c r="D45" s="763"/>
      <c r="E45" s="777" t="str">
        <f>'Output E'!B40</f>
        <v>Increase in system reliability</v>
      </c>
      <c r="F45" s="778" t="str">
        <f>'Output E'!C40</f>
        <v>[kEUR]</v>
      </c>
      <c r="G45" s="769">
        <f>'Output E'!D40</f>
        <v>8562.5154086008606</v>
      </c>
      <c r="H45" s="769">
        <f>'Output E'!E40</f>
        <v>4223.9906799439159</v>
      </c>
      <c r="I45" s="770"/>
      <c r="J45" s="769">
        <f>'Output E'!G40</f>
        <v>0</v>
      </c>
      <c r="K45" s="769">
        <f>'Output E'!H40</f>
        <v>0</v>
      </c>
      <c r="L45" s="769">
        <f>'Output E'!I40</f>
        <v>0</v>
      </c>
      <c r="M45" s="769">
        <f>'Output E'!J40</f>
        <v>0</v>
      </c>
      <c r="N45" s="769">
        <f>'Output E'!K40</f>
        <v>943.58051012720239</v>
      </c>
      <c r="O45" s="769">
        <f>'Output E'!L40</f>
        <v>995.64012447904781</v>
      </c>
      <c r="P45" s="769">
        <f>'Output E'!M40</f>
        <v>1025.2248596064253</v>
      </c>
      <c r="Q45" s="769">
        <f>'Output E'!N40</f>
        <v>1055.5947280891062</v>
      </c>
      <c r="R45" s="769">
        <f>'Output E'!O40</f>
        <v>1086.7693013672517</v>
      </c>
      <c r="S45" s="769">
        <f>'Output E'!P40</f>
        <v>1118.7686196852874</v>
      </c>
      <c r="T45" s="769">
        <f>'Output E'!Q40</f>
        <v>1151.6132030154977</v>
      </c>
      <c r="U45" s="769">
        <f>'Output E'!R40</f>
        <v>1185.3240622310425</v>
      </c>
      <c r="V45" s="769">
        <f>'Output E'!S40</f>
        <v>0</v>
      </c>
      <c r="W45" s="769">
        <f>'Output E'!T40</f>
        <v>0</v>
      </c>
      <c r="X45" s="769">
        <f>'Output E'!U40</f>
        <v>0</v>
      </c>
      <c r="Y45" s="769">
        <f>'Output E'!V40</f>
        <v>0</v>
      </c>
      <c r="Z45" s="769">
        <f>'Output E'!W40</f>
        <v>0</v>
      </c>
      <c r="AA45" s="769">
        <f>'Output E'!X40</f>
        <v>0</v>
      </c>
      <c r="AB45" s="769">
        <f>'Output E'!Y40</f>
        <v>0</v>
      </c>
      <c r="AC45" s="769">
        <f>'Output E'!Z40</f>
        <v>0</v>
      </c>
      <c r="AD45" s="769">
        <f>'Output E'!AA40</f>
        <v>0</v>
      </c>
      <c r="AE45" s="769">
        <f>'Output E'!AB40</f>
        <v>0</v>
      </c>
      <c r="AF45" s="769">
        <f>'Output E'!AC40</f>
        <v>0</v>
      </c>
      <c r="AG45" s="769">
        <f>'Output E'!AD40</f>
        <v>0</v>
      </c>
      <c r="AH45" s="769">
        <f>'Output E'!AE40</f>
        <v>0</v>
      </c>
      <c r="AI45" s="769">
        <f>'Output E'!AF40</f>
        <v>0</v>
      </c>
      <c r="AJ45" s="769">
        <f>'Output E'!AG40</f>
        <v>0</v>
      </c>
      <c r="AK45" s="769">
        <f>'Output E'!AH40</f>
        <v>0</v>
      </c>
      <c r="AL45" s="769">
        <f>'Output E'!AI40</f>
        <v>0</v>
      </c>
      <c r="AM45" s="769">
        <f>'Output E'!AJ40</f>
        <v>0</v>
      </c>
      <c r="AN45" s="769">
        <f>'Output E'!AK40</f>
        <v>0</v>
      </c>
      <c r="AO45" s="769">
        <f>'Output E'!AL40</f>
        <v>0</v>
      </c>
      <c r="AP45" s="769">
        <f>'Output E'!AM40</f>
        <v>0</v>
      </c>
      <c r="AQ45" s="769">
        <f>'Output E'!AN40</f>
        <v>0</v>
      </c>
      <c r="AR45" s="769">
        <f>'Output E'!AO40</f>
        <v>0</v>
      </c>
      <c r="AS45" s="769">
        <f>'Output E'!AP40</f>
        <v>0</v>
      </c>
      <c r="AT45" s="769">
        <f>'Output E'!AQ40</f>
        <v>0</v>
      </c>
      <c r="AU45" s="769">
        <f>'Output E'!AR40</f>
        <v>0</v>
      </c>
      <c r="AV45" s="769">
        <f>'Output E'!AS40</f>
        <v>0</v>
      </c>
      <c r="AW45" s="769">
        <f>'Output E'!AT40</f>
        <v>0</v>
      </c>
      <c r="AX45" s="769">
        <f>'Output E'!AU40</f>
        <v>0</v>
      </c>
      <c r="AY45" s="769">
        <f>'Output E'!AV40</f>
        <v>0</v>
      </c>
      <c r="AZ45" s="769">
        <f>'Output E'!AW40</f>
        <v>0</v>
      </c>
      <c r="BA45" s="769">
        <f>'Output E'!AX40</f>
        <v>0</v>
      </c>
      <c r="BB45" s="769">
        <f>'Output E'!AY40</f>
        <v>0</v>
      </c>
      <c r="BC45" s="769">
        <f>'Output E'!AZ40</f>
        <v>0</v>
      </c>
      <c r="BD45" s="769">
        <f>'Output E'!BA40</f>
        <v>0</v>
      </c>
      <c r="BE45" s="769">
        <f>'Output E'!BB40</f>
        <v>0</v>
      </c>
    </row>
    <row r="46" spans="2:57" x14ac:dyDescent="0.25">
      <c r="B46" s="314"/>
      <c r="C46" s="763"/>
      <c r="D46" s="763"/>
      <c r="E46" s="779" t="str">
        <f>'Output E'!B41</f>
        <v>Sales of fuel gas</v>
      </c>
      <c r="F46" s="780" t="str">
        <f>'Output E'!C41</f>
        <v>[kEUR]</v>
      </c>
      <c r="G46" s="773">
        <f>'Output E'!D41</f>
        <v>97488.499121131113</v>
      </c>
      <c r="H46" s="773">
        <f>'Output E'!E41</f>
        <v>48099.000723081794</v>
      </c>
      <c r="I46" s="774"/>
      <c r="J46" s="773">
        <f>'Output E'!G41</f>
        <v>0</v>
      </c>
      <c r="K46" s="773">
        <f>'Output E'!H41</f>
        <v>0</v>
      </c>
      <c r="L46" s="773">
        <f>'Output E'!I41</f>
        <v>0</v>
      </c>
      <c r="M46" s="773">
        <f>'Output E'!J41</f>
        <v>0</v>
      </c>
      <c r="N46" s="773">
        <f>'Output E'!K41</f>
        <v>10758.330712699204</v>
      </c>
      <c r="O46" s="773">
        <f>'Output E'!L41</f>
        <v>11342.025588427803</v>
      </c>
      <c r="P46" s="773">
        <f>'Output E'!M41</f>
        <v>11676.265764968961</v>
      </c>
      <c r="Q46" s="773">
        <f>'Output E'!N41</f>
        <v>12019.338738336392</v>
      </c>
      <c r="R46" s="773">
        <f>'Output E'!O41</f>
        <v>12371.464124332531</v>
      </c>
      <c r="S46" s="773">
        <f>'Output E'!P41</f>
        <v>12732.866790273187</v>
      </c>
      <c r="T46" s="773">
        <f>'Output E'!Q41</f>
        <v>13103.776977201733</v>
      </c>
      <c r="U46" s="773">
        <f>'Output E'!R41</f>
        <v>13484.430424891312</v>
      </c>
      <c r="V46" s="773">
        <f>'Output E'!S41</f>
        <v>0</v>
      </c>
      <c r="W46" s="773">
        <f>'Output E'!T41</f>
        <v>0</v>
      </c>
      <c r="X46" s="773">
        <f>'Output E'!U41</f>
        <v>0</v>
      </c>
      <c r="Y46" s="773">
        <f>'Output E'!V41</f>
        <v>0</v>
      </c>
      <c r="Z46" s="773">
        <f>'Output E'!W41</f>
        <v>0</v>
      </c>
      <c r="AA46" s="773">
        <f>'Output E'!X41</f>
        <v>0</v>
      </c>
      <c r="AB46" s="773">
        <f>'Output E'!Y41</f>
        <v>0</v>
      </c>
      <c r="AC46" s="773">
        <f>'Output E'!Z41</f>
        <v>0</v>
      </c>
      <c r="AD46" s="773">
        <f>'Output E'!AA41</f>
        <v>0</v>
      </c>
      <c r="AE46" s="773">
        <f>'Output E'!AB41</f>
        <v>0</v>
      </c>
      <c r="AF46" s="773">
        <f>'Output E'!AC41</f>
        <v>0</v>
      </c>
      <c r="AG46" s="773">
        <f>'Output E'!AD41</f>
        <v>0</v>
      </c>
      <c r="AH46" s="773">
        <f>'Output E'!AE41</f>
        <v>0</v>
      </c>
      <c r="AI46" s="773">
        <f>'Output E'!AF41</f>
        <v>0</v>
      </c>
      <c r="AJ46" s="773">
        <f>'Output E'!AG41</f>
        <v>0</v>
      </c>
      <c r="AK46" s="773">
        <f>'Output E'!AH41</f>
        <v>0</v>
      </c>
      <c r="AL46" s="773">
        <f>'Output E'!AI41</f>
        <v>0</v>
      </c>
      <c r="AM46" s="773">
        <f>'Output E'!AJ41</f>
        <v>0</v>
      </c>
      <c r="AN46" s="773">
        <f>'Output E'!AK41</f>
        <v>0</v>
      </c>
      <c r="AO46" s="773">
        <f>'Output E'!AL41</f>
        <v>0</v>
      </c>
      <c r="AP46" s="773">
        <f>'Output E'!AM41</f>
        <v>0</v>
      </c>
      <c r="AQ46" s="773">
        <f>'Output E'!AN41</f>
        <v>0</v>
      </c>
      <c r="AR46" s="773">
        <f>'Output E'!AO41</f>
        <v>0</v>
      </c>
      <c r="AS46" s="773">
        <f>'Output E'!AP41</f>
        <v>0</v>
      </c>
      <c r="AT46" s="773">
        <f>'Output E'!AQ41</f>
        <v>0</v>
      </c>
      <c r="AU46" s="773">
        <f>'Output E'!AR41</f>
        <v>0</v>
      </c>
      <c r="AV46" s="773">
        <f>'Output E'!AS41</f>
        <v>0</v>
      </c>
      <c r="AW46" s="773">
        <f>'Output E'!AT41</f>
        <v>0</v>
      </c>
      <c r="AX46" s="773">
        <f>'Output E'!AU41</f>
        <v>0</v>
      </c>
      <c r="AY46" s="773">
        <f>'Output E'!AV41</f>
        <v>0</v>
      </c>
      <c r="AZ46" s="773">
        <f>'Output E'!AW41</f>
        <v>0</v>
      </c>
      <c r="BA46" s="773">
        <f>'Output E'!AX41</f>
        <v>0</v>
      </c>
      <c r="BB46" s="773">
        <f>'Output E'!AY41</f>
        <v>0</v>
      </c>
      <c r="BC46" s="773">
        <f>'Output E'!AZ41</f>
        <v>0</v>
      </c>
      <c r="BD46" s="773">
        <f>'Output E'!BA41</f>
        <v>0</v>
      </c>
      <c r="BE46" s="773">
        <f>'Output E'!BB41</f>
        <v>0</v>
      </c>
    </row>
    <row r="47" spans="2:57" x14ac:dyDescent="0.25">
      <c r="B47" s="314"/>
      <c r="C47" s="763"/>
      <c r="D47" s="763"/>
      <c r="E47" s="779" t="str">
        <f>'Output E'!B42</f>
        <v>Gas production</v>
      </c>
      <c r="F47" s="772" t="str">
        <f>'Output E'!C42</f>
        <v>[kEUR]</v>
      </c>
      <c r="G47" s="782">
        <f>'Output E'!D42</f>
        <v>856251.54086008598</v>
      </c>
      <c r="H47" s="782">
        <f>'Output E'!E42</f>
        <v>422399.0679943916</v>
      </c>
      <c r="I47" s="774"/>
      <c r="J47" s="773">
        <f>'Output E'!G42</f>
        <v>0</v>
      </c>
      <c r="K47" s="773">
        <f>'Output E'!H42</f>
        <v>0</v>
      </c>
      <c r="L47" s="773">
        <f>'Output E'!I42</f>
        <v>0</v>
      </c>
      <c r="M47" s="773">
        <f>'Output E'!J42</f>
        <v>0</v>
      </c>
      <c r="N47" s="773">
        <f>'Output E'!K42</f>
        <v>94358.051012720229</v>
      </c>
      <c r="O47" s="773">
        <f>'Output E'!L42</f>
        <v>99564.012447904781</v>
      </c>
      <c r="P47" s="773">
        <f>'Output E'!M42</f>
        <v>102522.48596064253</v>
      </c>
      <c r="Q47" s="773">
        <f>'Output E'!N42</f>
        <v>105559.47280891061</v>
      </c>
      <c r="R47" s="773">
        <f>'Output E'!O42</f>
        <v>108676.93013672516</v>
      </c>
      <c r="S47" s="773">
        <f>'Output E'!P42</f>
        <v>111876.86196852873</v>
      </c>
      <c r="T47" s="773">
        <f>'Output E'!Q42</f>
        <v>115161.32030154976</v>
      </c>
      <c r="U47" s="773">
        <f>'Output E'!R42</f>
        <v>118532.40622310423</v>
      </c>
      <c r="V47" s="773">
        <f>'Output E'!S42</f>
        <v>0</v>
      </c>
      <c r="W47" s="773">
        <f>'Output E'!T42</f>
        <v>0</v>
      </c>
      <c r="X47" s="773">
        <f>'Output E'!U42</f>
        <v>0</v>
      </c>
      <c r="Y47" s="773">
        <f>'Output E'!V42</f>
        <v>0</v>
      </c>
      <c r="Z47" s="773">
        <f>'Output E'!W42</f>
        <v>0</v>
      </c>
      <c r="AA47" s="773">
        <f>'Output E'!X42</f>
        <v>0</v>
      </c>
      <c r="AB47" s="773">
        <f>'Output E'!Y42</f>
        <v>0</v>
      </c>
      <c r="AC47" s="773">
        <f>'Output E'!Z42</f>
        <v>0</v>
      </c>
      <c r="AD47" s="773">
        <f>'Output E'!AA42</f>
        <v>0</v>
      </c>
      <c r="AE47" s="773">
        <f>'Output E'!AB42</f>
        <v>0</v>
      </c>
      <c r="AF47" s="773">
        <f>'Output E'!AC42</f>
        <v>0</v>
      </c>
      <c r="AG47" s="773">
        <f>'Output E'!AD42</f>
        <v>0</v>
      </c>
      <c r="AH47" s="773">
        <f>'Output E'!AE42</f>
        <v>0</v>
      </c>
      <c r="AI47" s="773">
        <f>'Output E'!AF42</f>
        <v>0</v>
      </c>
      <c r="AJ47" s="773">
        <f>'Output E'!AG42</f>
        <v>0</v>
      </c>
      <c r="AK47" s="773">
        <f>'Output E'!AH42</f>
        <v>0</v>
      </c>
      <c r="AL47" s="773">
        <f>'Output E'!AI42</f>
        <v>0</v>
      </c>
      <c r="AM47" s="773">
        <f>'Output E'!AJ42</f>
        <v>0</v>
      </c>
      <c r="AN47" s="773">
        <f>'Output E'!AK42</f>
        <v>0</v>
      </c>
      <c r="AO47" s="773">
        <f>'Output E'!AL42</f>
        <v>0</v>
      </c>
      <c r="AP47" s="773">
        <f>'Output E'!AM42</f>
        <v>0</v>
      </c>
      <c r="AQ47" s="773">
        <f>'Output E'!AN42</f>
        <v>0</v>
      </c>
      <c r="AR47" s="773">
        <f>'Output E'!AO42</f>
        <v>0</v>
      </c>
      <c r="AS47" s="773">
        <f>'Output E'!AP42</f>
        <v>0</v>
      </c>
      <c r="AT47" s="773">
        <f>'Output E'!AQ42</f>
        <v>0</v>
      </c>
      <c r="AU47" s="773">
        <f>'Output E'!AR42</f>
        <v>0</v>
      </c>
      <c r="AV47" s="773">
        <f>'Output E'!AS42</f>
        <v>0</v>
      </c>
      <c r="AW47" s="773">
        <f>'Output E'!AT42</f>
        <v>0</v>
      </c>
      <c r="AX47" s="773">
        <f>'Output E'!AU42</f>
        <v>0</v>
      </c>
      <c r="AY47" s="773">
        <f>'Output E'!AV42</f>
        <v>0</v>
      </c>
      <c r="AZ47" s="773">
        <f>'Output E'!AW42</f>
        <v>0</v>
      </c>
      <c r="BA47" s="773">
        <f>'Output E'!AX42</f>
        <v>0</v>
      </c>
      <c r="BB47" s="773">
        <f>'Output E'!AY42</f>
        <v>0</v>
      </c>
      <c r="BC47" s="773">
        <f>'Output E'!AZ42</f>
        <v>0</v>
      </c>
      <c r="BD47" s="773">
        <f>'Output E'!BA42</f>
        <v>0</v>
      </c>
      <c r="BE47" s="773">
        <f>'Output E'!BB42</f>
        <v>0</v>
      </c>
    </row>
    <row r="48" spans="2:57" x14ac:dyDescent="0.25">
      <c r="B48" s="314"/>
      <c r="C48" s="763"/>
      <c r="D48" s="763"/>
      <c r="E48" s="781"/>
      <c r="F48" s="772"/>
      <c r="G48" s="782"/>
      <c r="H48" s="782"/>
      <c r="I48" s="774"/>
      <c r="J48" s="773"/>
      <c r="K48" s="773"/>
      <c r="L48" s="773"/>
      <c r="M48" s="773"/>
      <c r="N48" s="773"/>
      <c r="O48" s="773"/>
      <c r="P48" s="773"/>
      <c r="Q48" s="773"/>
      <c r="R48" s="773"/>
      <c r="S48" s="773"/>
      <c r="T48" s="773"/>
      <c r="U48" s="773"/>
      <c r="V48" s="773"/>
      <c r="W48" s="773"/>
      <c r="X48" s="773"/>
      <c r="Y48" s="773"/>
      <c r="Z48" s="773"/>
      <c r="AA48" s="773"/>
      <c r="AB48" s="773"/>
      <c r="AC48" s="773"/>
      <c r="AD48" s="773"/>
      <c r="AE48" s="773"/>
      <c r="AF48" s="773"/>
      <c r="AG48" s="773"/>
      <c r="AH48" s="773"/>
      <c r="AI48" s="773"/>
      <c r="AJ48" s="773"/>
      <c r="AK48" s="773"/>
      <c r="AL48" s="773"/>
      <c r="AM48" s="773"/>
      <c r="AN48" s="773"/>
      <c r="AO48" s="773"/>
      <c r="AP48" s="773"/>
      <c r="AQ48" s="773"/>
      <c r="AR48" s="773"/>
      <c r="AS48" s="773"/>
      <c r="AT48" s="773"/>
      <c r="AU48" s="773"/>
      <c r="AV48" s="773"/>
      <c r="AW48" s="773"/>
      <c r="AX48" s="773"/>
      <c r="AY48" s="773"/>
      <c r="AZ48" s="773"/>
      <c r="BA48" s="773"/>
      <c r="BB48" s="773"/>
      <c r="BC48" s="773"/>
      <c r="BD48" s="773"/>
      <c r="BE48" s="773"/>
    </row>
    <row r="49" spans="2:57" x14ac:dyDescent="0.25">
      <c r="B49" s="314"/>
      <c r="C49" s="763"/>
      <c r="D49" s="763"/>
      <c r="E49" s="764" t="str">
        <f>'Output E'!B44</f>
        <v>CO2 emissions</v>
      </c>
      <c r="F49" s="764" t="str">
        <f>'Output E'!C44</f>
        <v>[kEUR]</v>
      </c>
      <c r="G49" s="765">
        <f>'Output E'!D44</f>
        <v>0</v>
      </c>
      <c r="H49" s="765">
        <f>'Output E'!E44</f>
        <v>0</v>
      </c>
      <c r="I49" s="766"/>
      <c r="J49" s="765">
        <f>'Output E'!G44</f>
        <v>0</v>
      </c>
      <c r="K49" s="765">
        <f>'Output E'!H44</f>
        <v>0</v>
      </c>
      <c r="L49" s="765">
        <f>'Output E'!I44</f>
        <v>0</v>
      </c>
      <c r="M49" s="765">
        <f>'Output E'!J44</f>
        <v>0</v>
      </c>
      <c r="N49" s="765">
        <f>'Output E'!K44</f>
        <v>0</v>
      </c>
      <c r="O49" s="765">
        <f>'Output E'!L44</f>
        <v>0</v>
      </c>
      <c r="P49" s="765">
        <f>'Output E'!M44</f>
        <v>0</v>
      </c>
      <c r="Q49" s="765">
        <f>'Output E'!N44</f>
        <v>0</v>
      </c>
      <c r="R49" s="765">
        <f>'Output E'!O44</f>
        <v>0</v>
      </c>
      <c r="S49" s="765">
        <f>'Output E'!P44</f>
        <v>0</v>
      </c>
      <c r="T49" s="765">
        <f>'Output E'!Q44</f>
        <v>0</v>
      </c>
      <c r="U49" s="765">
        <f>'Output E'!R44</f>
        <v>0</v>
      </c>
      <c r="V49" s="765">
        <f>'Output E'!S44</f>
        <v>0</v>
      </c>
      <c r="W49" s="765">
        <f>'Output E'!T44</f>
        <v>0</v>
      </c>
      <c r="X49" s="765">
        <f>'Output E'!U44</f>
        <v>0</v>
      </c>
      <c r="Y49" s="765">
        <f>'Output E'!V44</f>
        <v>0</v>
      </c>
      <c r="Z49" s="765">
        <f>'Output E'!W44</f>
        <v>0</v>
      </c>
      <c r="AA49" s="765">
        <f>'Output E'!X44</f>
        <v>0</v>
      </c>
      <c r="AB49" s="765">
        <f>'Output E'!Y44</f>
        <v>0</v>
      </c>
      <c r="AC49" s="765">
        <f>'Output E'!Z44</f>
        <v>0</v>
      </c>
      <c r="AD49" s="765">
        <f>'Output E'!AA44</f>
        <v>0</v>
      </c>
      <c r="AE49" s="765">
        <f>'Output E'!AB44</f>
        <v>0</v>
      </c>
      <c r="AF49" s="765">
        <f>'Output E'!AC44</f>
        <v>0</v>
      </c>
      <c r="AG49" s="765">
        <f>'Output E'!AD44</f>
        <v>0</v>
      </c>
      <c r="AH49" s="765">
        <f>'Output E'!AE44</f>
        <v>0</v>
      </c>
      <c r="AI49" s="765">
        <f>'Output E'!AF44</f>
        <v>0</v>
      </c>
      <c r="AJ49" s="765">
        <f>'Output E'!AG44</f>
        <v>0</v>
      </c>
      <c r="AK49" s="765">
        <f>'Output E'!AH44</f>
        <v>0</v>
      </c>
      <c r="AL49" s="765">
        <f>'Output E'!AI44</f>
        <v>0</v>
      </c>
      <c r="AM49" s="765">
        <f>'Output E'!AJ44</f>
        <v>0</v>
      </c>
      <c r="AN49" s="765">
        <f>'Output E'!AK44</f>
        <v>0</v>
      </c>
      <c r="AO49" s="765">
        <f>'Output E'!AL44</f>
        <v>0</v>
      </c>
      <c r="AP49" s="765">
        <f>'Output E'!AM44</f>
        <v>0</v>
      </c>
      <c r="AQ49" s="765">
        <f>'Output E'!AN44</f>
        <v>0</v>
      </c>
      <c r="AR49" s="765">
        <f>'Output E'!AO44</f>
        <v>0</v>
      </c>
      <c r="AS49" s="765">
        <f>'Output E'!AP44</f>
        <v>0</v>
      </c>
      <c r="AT49" s="765">
        <f>'Output E'!AQ44</f>
        <v>0</v>
      </c>
      <c r="AU49" s="765">
        <f>'Output E'!AR44</f>
        <v>0</v>
      </c>
      <c r="AV49" s="765">
        <f>'Output E'!AS44</f>
        <v>0</v>
      </c>
      <c r="AW49" s="765">
        <f>'Output E'!AT44</f>
        <v>0</v>
      </c>
      <c r="AX49" s="765">
        <f>'Output E'!AU44</f>
        <v>0</v>
      </c>
      <c r="AY49" s="765">
        <f>'Output E'!AV44</f>
        <v>0</v>
      </c>
      <c r="AZ49" s="765">
        <f>'Output E'!AW44</f>
        <v>0</v>
      </c>
      <c r="BA49" s="765">
        <f>'Output E'!AX44</f>
        <v>0</v>
      </c>
      <c r="BB49" s="765">
        <f>'Output E'!AY44</f>
        <v>0</v>
      </c>
      <c r="BC49" s="765">
        <f>'Output E'!AZ44</f>
        <v>0</v>
      </c>
      <c r="BD49" s="765">
        <f>'Output E'!BA44</f>
        <v>0</v>
      </c>
      <c r="BE49" s="765">
        <f>'Output E'!BB44</f>
        <v>0</v>
      </c>
    </row>
    <row r="50" spans="2:57" x14ac:dyDescent="0.25">
      <c r="B50" s="314"/>
      <c r="C50" s="763"/>
      <c r="D50" s="763"/>
      <c r="E50" s="783" t="str">
        <f>'Output E'!B45</f>
        <v>CO2</v>
      </c>
      <c r="F50" s="768" t="str">
        <f>'Output E'!C45</f>
        <v>[kEUR]</v>
      </c>
      <c r="G50" s="769">
        <f>'Output E'!D45</f>
        <v>0</v>
      </c>
      <c r="H50" s="769">
        <f>'Output E'!E45</f>
        <v>0</v>
      </c>
      <c r="I50" s="770"/>
      <c r="J50" s="769">
        <f>'Output E'!G45</f>
        <v>0</v>
      </c>
      <c r="K50" s="769">
        <f>'Output E'!H45</f>
        <v>0</v>
      </c>
      <c r="L50" s="769">
        <f>'Output E'!I45</f>
        <v>0</v>
      </c>
      <c r="M50" s="769">
        <f>'Output E'!J45</f>
        <v>0</v>
      </c>
      <c r="N50" s="769">
        <f>'Output E'!K45</f>
        <v>0</v>
      </c>
      <c r="O50" s="769">
        <f>'Output E'!L45</f>
        <v>0</v>
      </c>
      <c r="P50" s="769">
        <f>'Output E'!M45</f>
        <v>0</v>
      </c>
      <c r="Q50" s="769">
        <f>'Output E'!N45</f>
        <v>0</v>
      </c>
      <c r="R50" s="769">
        <f>'Output E'!O45</f>
        <v>0</v>
      </c>
      <c r="S50" s="769">
        <f>'Output E'!P45</f>
        <v>0</v>
      </c>
      <c r="T50" s="769">
        <f>'Output E'!Q45</f>
        <v>0</v>
      </c>
      <c r="U50" s="769">
        <f>'Output E'!R45</f>
        <v>0</v>
      </c>
      <c r="V50" s="769">
        <f>'Output E'!S45</f>
        <v>0</v>
      </c>
      <c r="W50" s="769">
        <f>'Output E'!T45</f>
        <v>0</v>
      </c>
      <c r="X50" s="769">
        <f>'Output E'!U45</f>
        <v>0</v>
      </c>
      <c r="Y50" s="769">
        <f>'Output E'!V45</f>
        <v>0</v>
      </c>
      <c r="Z50" s="769">
        <f>'Output E'!W45</f>
        <v>0</v>
      </c>
      <c r="AA50" s="769">
        <f>'Output E'!X45</f>
        <v>0</v>
      </c>
      <c r="AB50" s="769">
        <f>'Output E'!Y45</f>
        <v>0</v>
      </c>
      <c r="AC50" s="769">
        <f>'Output E'!Z45</f>
        <v>0</v>
      </c>
      <c r="AD50" s="769">
        <f>'Output E'!AA45</f>
        <v>0</v>
      </c>
      <c r="AE50" s="769">
        <f>'Output E'!AB45</f>
        <v>0</v>
      </c>
      <c r="AF50" s="769">
        <f>'Output E'!AC45</f>
        <v>0</v>
      </c>
      <c r="AG50" s="769">
        <f>'Output E'!AD45</f>
        <v>0</v>
      </c>
      <c r="AH50" s="769">
        <f>'Output E'!AE45</f>
        <v>0</v>
      </c>
      <c r="AI50" s="769">
        <f>'Output E'!AF45</f>
        <v>0</v>
      </c>
      <c r="AJ50" s="769">
        <f>'Output E'!AG45</f>
        <v>0</v>
      </c>
      <c r="AK50" s="769">
        <f>'Output E'!AH45</f>
        <v>0</v>
      </c>
      <c r="AL50" s="769">
        <f>'Output E'!AI45</f>
        <v>0</v>
      </c>
      <c r="AM50" s="769">
        <f>'Output E'!AJ45</f>
        <v>0</v>
      </c>
      <c r="AN50" s="769">
        <f>'Output E'!AK45</f>
        <v>0</v>
      </c>
      <c r="AO50" s="769">
        <f>'Output E'!AL45</f>
        <v>0</v>
      </c>
      <c r="AP50" s="769">
        <f>'Output E'!AM45</f>
        <v>0</v>
      </c>
      <c r="AQ50" s="769">
        <f>'Output E'!AN45</f>
        <v>0</v>
      </c>
      <c r="AR50" s="769">
        <f>'Output E'!AO45</f>
        <v>0</v>
      </c>
      <c r="AS50" s="769">
        <f>'Output E'!AP45</f>
        <v>0</v>
      </c>
      <c r="AT50" s="769">
        <f>'Output E'!AQ45</f>
        <v>0</v>
      </c>
      <c r="AU50" s="769">
        <f>'Output E'!AR45</f>
        <v>0</v>
      </c>
      <c r="AV50" s="769">
        <f>'Output E'!AS45</f>
        <v>0</v>
      </c>
      <c r="AW50" s="769">
        <f>'Output E'!AT45</f>
        <v>0</v>
      </c>
      <c r="AX50" s="769">
        <f>'Output E'!AU45</f>
        <v>0</v>
      </c>
      <c r="AY50" s="769">
        <f>'Output E'!AV45</f>
        <v>0</v>
      </c>
      <c r="AZ50" s="769">
        <f>'Output E'!AW45</f>
        <v>0</v>
      </c>
      <c r="BA50" s="769">
        <f>'Output E'!AX45</f>
        <v>0</v>
      </c>
      <c r="BB50" s="769">
        <f>'Output E'!AY45</f>
        <v>0</v>
      </c>
      <c r="BC50" s="769">
        <f>'Output E'!AZ45</f>
        <v>0</v>
      </c>
      <c r="BD50" s="769">
        <f>'Output E'!BA45</f>
        <v>0</v>
      </c>
      <c r="BE50" s="769">
        <f>'Output E'!BB45</f>
        <v>0</v>
      </c>
    </row>
    <row r="51" spans="2:57" x14ac:dyDescent="0.25">
      <c r="B51" s="314"/>
      <c r="C51" s="763"/>
      <c r="D51" s="763"/>
      <c r="E51" s="784"/>
      <c r="F51" s="784"/>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785"/>
      <c r="AE51" s="785"/>
      <c r="AF51" s="785"/>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row>
    <row r="52" spans="2:57" x14ac:dyDescent="0.25">
      <c r="B52" s="314"/>
      <c r="C52" s="763"/>
      <c r="D52" s="763"/>
      <c r="E52" s="786" t="str">
        <f>'Output E'!B47</f>
        <v>Total</v>
      </c>
      <c r="F52" s="786" t="str">
        <f>'Output E'!C47</f>
        <v>[kEUR]</v>
      </c>
      <c r="G52" s="787">
        <f>'Output E'!D47</f>
        <v>645127.24016825878</v>
      </c>
      <c r="H52" s="787">
        <f>'Output E'!E47</f>
        <v>301347.86638433713</v>
      </c>
      <c r="I52" s="788"/>
      <c r="J52" s="787">
        <f>'Output E'!G47</f>
        <v>0</v>
      </c>
      <c r="K52" s="787">
        <f>'Output E'!H47</f>
        <v>0</v>
      </c>
      <c r="L52" s="787">
        <f>'Output E'!I47</f>
        <v>0</v>
      </c>
      <c r="M52" s="787">
        <f>'Output E'!J47</f>
        <v>-64189.426769135316</v>
      </c>
      <c r="N52" s="787">
        <f>'Output E'!K47</f>
        <v>77359.907434245106</v>
      </c>
      <c r="O52" s="787">
        <f>'Output E'!L47</f>
        <v>82137.807486930513</v>
      </c>
      <c r="P52" s="787">
        <f>'Output E'!M47</f>
        <v>84791.721266824432</v>
      </c>
      <c r="Q52" s="787">
        <f>'Output E'!N47</f>
        <v>87441.034606418863</v>
      </c>
      <c r="R52" s="787">
        <f>'Output E'!O47</f>
        <v>90169.168371632419</v>
      </c>
      <c r="S52" s="787">
        <f>'Output E'!P47</f>
        <v>92959.603407935007</v>
      </c>
      <c r="T52" s="787">
        <f>'Output E'!Q47</f>
        <v>95776.166591622867</v>
      </c>
      <c r="U52" s="787">
        <f>'Output E'!R47</f>
        <v>98681.257771784847</v>
      </c>
      <c r="V52" s="787">
        <f>'Output E'!S47</f>
        <v>0</v>
      </c>
      <c r="W52" s="787">
        <f>'Output E'!T47</f>
        <v>0</v>
      </c>
      <c r="X52" s="787">
        <f>'Output E'!U47</f>
        <v>0</v>
      </c>
      <c r="Y52" s="787">
        <f>'Output E'!V47</f>
        <v>0</v>
      </c>
      <c r="Z52" s="787">
        <f>'Output E'!W47</f>
        <v>0</v>
      </c>
      <c r="AA52" s="787">
        <f>'Output E'!X47</f>
        <v>0</v>
      </c>
      <c r="AB52" s="787">
        <f>'Output E'!Y47</f>
        <v>0</v>
      </c>
      <c r="AC52" s="787">
        <f>'Output E'!Z47</f>
        <v>0</v>
      </c>
      <c r="AD52" s="787">
        <f>'Output E'!AA47</f>
        <v>0</v>
      </c>
      <c r="AE52" s="787">
        <f>'Output E'!AB47</f>
        <v>0</v>
      </c>
      <c r="AF52" s="787">
        <f>'Output E'!AC47</f>
        <v>0</v>
      </c>
      <c r="AG52" s="787">
        <f>'Output E'!AD47</f>
        <v>0</v>
      </c>
      <c r="AH52" s="787">
        <f>'Output E'!AE47</f>
        <v>0</v>
      </c>
      <c r="AI52" s="787">
        <f>'Output E'!AF47</f>
        <v>0</v>
      </c>
      <c r="AJ52" s="787">
        <f>'Output E'!AG47</f>
        <v>0</v>
      </c>
      <c r="AK52" s="787">
        <f>'Output E'!AH47</f>
        <v>0</v>
      </c>
      <c r="AL52" s="787">
        <f>'Output E'!AI47</f>
        <v>0</v>
      </c>
      <c r="AM52" s="787">
        <f>'Output E'!AJ47</f>
        <v>0</v>
      </c>
      <c r="AN52" s="787">
        <f>'Output E'!AK47</f>
        <v>0</v>
      </c>
      <c r="AO52" s="787">
        <f>'Output E'!AL47</f>
        <v>0</v>
      </c>
      <c r="AP52" s="787">
        <f>'Output E'!AM47</f>
        <v>0</v>
      </c>
      <c r="AQ52" s="787">
        <f>'Output E'!AN47</f>
        <v>0</v>
      </c>
      <c r="AR52" s="787">
        <f>'Output E'!AO47</f>
        <v>0</v>
      </c>
      <c r="AS52" s="787">
        <f>'Output E'!AP47</f>
        <v>0</v>
      </c>
      <c r="AT52" s="787">
        <f>'Output E'!AQ47</f>
        <v>0</v>
      </c>
      <c r="AU52" s="787">
        <f>'Output E'!AR47</f>
        <v>0</v>
      </c>
      <c r="AV52" s="787">
        <f>'Output E'!AS47</f>
        <v>0</v>
      </c>
      <c r="AW52" s="787">
        <f>'Output E'!AT47</f>
        <v>0</v>
      </c>
      <c r="AX52" s="787">
        <f>'Output E'!AU47</f>
        <v>0</v>
      </c>
      <c r="AY52" s="787">
        <f>'Output E'!AV47</f>
        <v>0</v>
      </c>
      <c r="AZ52" s="787">
        <f>'Output E'!AW47</f>
        <v>0</v>
      </c>
      <c r="BA52" s="787">
        <f>'Output E'!AX47</f>
        <v>0</v>
      </c>
      <c r="BB52" s="787">
        <f>'Output E'!AY47</f>
        <v>0</v>
      </c>
      <c r="BC52" s="787">
        <f>'Output E'!AZ47</f>
        <v>0</v>
      </c>
      <c r="BD52" s="787">
        <f>'Output E'!BA47</f>
        <v>0</v>
      </c>
      <c r="BE52" s="787">
        <f>'Output E'!BB47</f>
        <v>0</v>
      </c>
    </row>
    <row r="53" spans="2:57" x14ac:dyDescent="0.25">
      <c r="B53" s="314"/>
      <c r="C53" s="763"/>
      <c r="D53" s="763"/>
      <c r="E53" s="789" t="str">
        <f>'Output E'!B48</f>
        <v>Subtotal EBITDA</v>
      </c>
      <c r="F53" s="768" t="str">
        <f>'Output E'!C48</f>
        <v>[kEUR]</v>
      </c>
      <c r="G53" s="769">
        <f>'Output E'!D48</f>
        <v>645127.24016825878</v>
      </c>
      <c r="H53" s="769">
        <f>'Output E'!E48</f>
        <v>301347.86638433713</v>
      </c>
      <c r="I53" s="790"/>
      <c r="J53" s="773">
        <f>'Output E'!G48</f>
        <v>0</v>
      </c>
      <c r="K53" s="773">
        <f>'Output E'!H48</f>
        <v>0</v>
      </c>
      <c r="L53" s="773">
        <f>'Output E'!I48</f>
        <v>0</v>
      </c>
      <c r="M53" s="773">
        <f>'Output E'!J48</f>
        <v>-64189.426769135316</v>
      </c>
      <c r="N53" s="773">
        <f>'Output E'!K48</f>
        <v>77359.907434245106</v>
      </c>
      <c r="O53" s="773">
        <f>'Output E'!L48</f>
        <v>82137.807486930513</v>
      </c>
      <c r="P53" s="773">
        <f>'Output E'!M48</f>
        <v>84791.721266824432</v>
      </c>
      <c r="Q53" s="773">
        <f>'Output E'!N48</f>
        <v>87441.034606418863</v>
      </c>
      <c r="R53" s="773">
        <f>'Output E'!O48</f>
        <v>90169.168371632419</v>
      </c>
      <c r="S53" s="773">
        <f>'Output E'!P48</f>
        <v>92959.603407935007</v>
      </c>
      <c r="T53" s="773">
        <f>'Output E'!Q48</f>
        <v>95776.166591622867</v>
      </c>
      <c r="U53" s="773">
        <f>'Output E'!R48</f>
        <v>98681.257771784847</v>
      </c>
      <c r="V53" s="773">
        <f>'Output E'!S48</f>
        <v>0</v>
      </c>
      <c r="W53" s="773">
        <f>'Output E'!T48</f>
        <v>0</v>
      </c>
      <c r="X53" s="773">
        <f>'Output E'!U48</f>
        <v>0</v>
      </c>
      <c r="Y53" s="773">
        <f>'Output E'!V48</f>
        <v>0</v>
      </c>
      <c r="Z53" s="773">
        <f>'Output E'!W48</f>
        <v>0</v>
      </c>
      <c r="AA53" s="773">
        <f>'Output E'!X48</f>
        <v>0</v>
      </c>
      <c r="AB53" s="773">
        <f>'Output E'!Y48</f>
        <v>0</v>
      </c>
      <c r="AC53" s="773">
        <f>'Output E'!Z48</f>
        <v>0</v>
      </c>
      <c r="AD53" s="773">
        <f>'Output E'!AA48</f>
        <v>0</v>
      </c>
      <c r="AE53" s="773">
        <f>'Output E'!AB48</f>
        <v>0</v>
      </c>
      <c r="AF53" s="773">
        <f>'Output E'!AC48</f>
        <v>0</v>
      </c>
      <c r="AG53" s="773">
        <f>'Output E'!AD48</f>
        <v>0</v>
      </c>
      <c r="AH53" s="773">
        <f>'Output E'!AE48</f>
        <v>0</v>
      </c>
      <c r="AI53" s="773">
        <f>'Output E'!AF48</f>
        <v>0</v>
      </c>
      <c r="AJ53" s="773">
        <f>'Output E'!AG48</f>
        <v>0</v>
      </c>
      <c r="AK53" s="773">
        <f>'Output E'!AH48</f>
        <v>0</v>
      </c>
      <c r="AL53" s="773">
        <f>'Output E'!AI48</f>
        <v>0</v>
      </c>
      <c r="AM53" s="773">
        <f>'Output E'!AJ48</f>
        <v>0</v>
      </c>
      <c r="AN53" s="773">
        <f>'Output E'!AK48</f>
        <v>0</v>
      </c>
      <c r="AO53" s="773">
        <f>'Output E'!AL48</f>
        <v>0</v>
      </c>
      <c r="AP53" s="773">
        <f>'Output E'!AM48</f>
        <v>0</v>
      </c>
      <c r="AQ53" s="773">
        <f>'Output E'!AN48</f>
        <v>0</v>
      </c>
      <c r="AR53" s="773">
        <f>'Output E'!AO48</f>
        <v>0</v>
      </c>
      <c r="AS53" s="773">
        <f>'Output E'!AP48</f>
        <v>0</v>
      </c>
      <c r="AT53" s="773">
        <f>'Output E'!AQ48</f>
        <v>0</v>
      </c>
      <c r="AU53" s="773">
        <f>'Output E'!AR48</f>
        <v>0</v>
      </c>
      <c r="AV53" s="773">
        <f>'Output E'!AS48</f>
        <v>0</v>
      </c>
      <c r="AW53" s="773">
        <f>'Output E'!AT48</f>
        <v>0</v>
      </c>
      <c r="AX53" s="773">
        <f>'Output E'!AU48</f>
        <v>0</v>
      </c>
      <c r="AY53" s="773">
        <f>'Output E'!AV48</f>
        <v>0</v>
      </c>
      <c r="AZ53" s="773">
        <f>'Output E'!AW48</f>
        <v>0</v>
      </c>
      <c r="BA53" s="773">
        <f>'Output E'!AX48</f>
        <v>0</v>
      </c>
      <c r="BB53" s="773">
        <f>'Output E'!AY48</f>
        <v>0</v>
      </c>
      <c r="BC53" s="773">
        <f>'Output E'!AZ48</f>
        <v>0</v>
      </c>
      <c r="BD53" s="773">
        <f>'Output E'!BA48</f>
        <v>0</v>
      </c>
      <c r="BE53" s="773">
        <f>'Output E'!BB48</f>
        <v>0</v>
      </c>
    </row>
    <row r="54" spans="2:57" x14ac:dyDescent="0.25">
      <c r="B54" s="314"/>
      <c r="C54" s="763"/>
      <c r="D54" s="763"/>
      <c r="E54" s="789"/>
      <c r="F54" s="789"/>
      <c r="G54" s="789"/>
      <c r="H54" s="789"/>
      <c r="I54" s="790"/>
      <c r="J54" s="791"/>
      <c r="K54" s="791"/>
      <c r="L54" s="791"/>
      <c r="M54" s="791"/>
      <c r="N54" s="791"/>
      <c r="O54" s="791"/>
      <c r="P54" s="791"/>
      <c r="Q54" s="791"/>
      <c r="R54" s="791"/>
      <c r="S54" s="791"/>
      <c r="T54" s="791"/>
      <c r="U54" s="791"/>
      <c r="V54" s="791"/>
      <c r="W54" s="791"/>
      <c r="X54" s="791"/>
      <c r="Y54" s="791"/>
      <c r="Z54" s="791"/>
      <c r="AA54" s="791"/>
      <c r="AB54" s="791"/>
      <c r="AC54" s="791"/>
      <c r="AD54" s="791"/>
      <c r="AE54" s="791"/>
      <c r="AF54" s="791"/>
      <c r="AG54" s="791"/>
      <c r="AH54" s="791"/>
      <c r="AI54" s="791"/>
      <c r="AJ54" s="791"/>
      <c r="AK54" s="791"/>
      <c r="AL54" s="791"/>
      <c r="AM54" s="791"/>
      <c r="AN54" s="791"/>
      <c r="AO54" s="791"/>
      <c r="AP54" s="791"/>
      <c r="AQ54" s="791"/>
      <c r="AR54" s="791"/>
      <c r="AS54" s="791"/>
      <c r="AT54" s="791"/>
      <c r="AU54" s="791"/>
      <c r="AV54" s="791"/>
      <c r="AW54" s="791"/>
      <c r="AX54" s="791"/>
      <c r="AY54" s="791"/>
      <c r="AZ54" s="791"/>
      <c r="BA54" s="791"/>
      <c r="BB54" s="791"/>
      <c r="BC54" s="791"/>
      <c r="BD54" s="791"/>
      <c r="BE54" s="791"/>
    </row>
    <row r="55" spans="2:57" x14ac:dyDescent="0.25">
      <c r="B55" s="314"/>
      <c r="C55" s="763"/>
      <c r="D55" s="763"/>
      <c r="E55" s="786" t="str">
        <f>'Output E'!B50</f>
        <v>Net Present</v>
      </c>
      <c r="F55" s="786" t="str">
        <f>'Output E'!C50</f>
        <v>[kEUR]</v>
      </c>
      <c r="G55" s="787">
        <f>'Output E'!D50</f>
        <v>301347.86638433725</v>
      </c>
      <c r="H55" s="787">
        <f>'Output E'!E50</f>
        <v>0</v>
      </c>
      <c r="I55" s="788"/>
      <c r="J55" s="954">
        <f>'Output E'!G50</f>
        <v>0</v>
      </c>
      <c r="K55" s="787">
        <f>'Output E'!H50</f>
        <v>0</v>
      </c>
      <c r="L55" s="787">
        <f>'Output E'!I50</f>
        <v>0</v>
      </c>
      <c r="M55" s="787">
        <f>'Output E'!J50</f>
        <v>-48226.466393039293</v>
      </c>
      <c r="N55" s="787">
        <f>'Output E'!K50</f>
        <v>52837.857683385759</v>
      </c>
      <c r="O55" s="787">
        <f>'Output E'!L50</f>
        <v>51001.116097963059</v>
      </c>
      <c r="P55" s="787">
        <f>'Output E'!M50</f>
        <v>47862.716139508826</v>
      </c>
      <c r="Q55" s="787">
        <f>'Output E'!N50</f>
        <v>44871.076774775982</v>
      </c>
      <c r="R55" s="787">
        <f>'Output E'!O50</f>
        <v>42064.58251274057</v>
      </c>
      <c r="S55" s="787">
        <f>'Output E'!P50</f>
        <v>39423.946410155942</v>
      </c>
      <c r="T55" s="787">
        <f>'Output E'!Q50</f>
        <v>36925.85831668508</v>
      </c>
      <c r="U55" s="787">
        <f>'Output E'!R50</f>
        <v>34587.178842161309</v>
      </c>
      <c r="V55" s="787">
        <f>'Output E'!S50</f>
        <v>0</v>
      </c>
      <c r="W55" s="787">
        <f>'Output E'!T50</f>
        <v>0</v>
      </c>
      <c r="X55" s="787">
        <f>'Output E'!U50</f>
        <v>0</v>
      </c>
      <c r="Y55" s="787">
        <f>'Output E'!V50</f>
        <v>0</v>
      </c>
      <c r="Z55" s="787">
        <f>'Output E'!W50</f>
        <v>0</v>
      </c>
      <c r="AA55" s="787">
        <f>'Output E'!X50</f>
        <v>0</v>
      </c>
      <c r="AB55" s="787">
        <f>'Output E'!Y50</f>
        <v>0</v>
      </c>
      <c r="AC55" s="787">
        <f>'Output E'!Z50</f>
        <v>0</v>
      </c>
      <c r="AD55" s="787">
        <f>'Output E'!AA50</f>
        <v>0</v>
      </c>
      <c r="AE55" s="787">
        <f>'Output E'!AB50</f>
        <v>0</v>
      </c>
      <c r="AF55" s="787">
        <f>'Output E'!AC50</f>
        <v>0</v>
      </c>
      <c r="AG55" s="787">
        <f>'Output E'!AD50</f>
        <v>0</v>
      </c>
      <c r="AH55" s="787">
        <f>'Output E'!AE50</f>
        <v>0</v>
      </c>
      <c r="AI55" s="787">
        <f>'Output E'!AF50</f>
        <v>0</v>
      </c>
      <c r="AJ55" s="787">
        <f>'Output E'!AG50</f>
        <v>0</v>
      </c>
      <c r="AK55" s="787">
        <f>'Output E'!AH50</f>
        <v>0</v>
      </c>
      <c r="AL55" s="787">
        <f>'Output E'!AI50</f>
        <v>0</v>
      </c>
      <c r="AM55" s="787">
        <f>'Output E'!AJ50</f>
        <v>0</v>
      </c>
      <c r="AN55" s="787">
        <f>'Output E'!AK50</f>
        <v>0</v>
      </c>
      <c r="AO55" s="787">
        <f>'Output E'!AL50</f>
        <v>0</v>
      </c>
      <c r="AP55" s="787">
        <f>'Output E'!AM50</f>
        <v>0</v>
      </c>
      <c r="AQ55" s="787">
        <f>'Output E'!AN50</f>
        <v>0</v>
      </c>
      <c r="AR55" s="787">
        <f>'Output E'!AO50</f>
        <v>0</v>
      </c>
      <c r="AS55" s="787">
        <f>'Output E'!AP50</f>
        <v>0</v>
      </c>
      <c r="AT55" s="787">
        <f>'Output E'!AQ50</f>
        <v>0</v>
      </c>
      <c r="AU55" s="787">
        <f>'Output E'!AR50</f>
        <v>0</v>
      </c>
      <c r="AV55" s="787">
        <f>'Output E'!AS50</f>
        <v>0</v>
      </c>
      <c r="AW55" s="787">
        <f>'Output E'!AT50</f>
        <v>0</v>
      </c>
      <c r="AX55" s="787">
        <f>'Output E'!AU50</f>
        <v>0</v>
      </c>
      <c r="AY55" s="787">
        <f>'Output E'!AV50</f>
        <v>0</v>
      </c>
      <c r="AZ55" s="787">
        <f>'Output E'!AW50</f>
        <v>0</v>
      </c>
      <c r="BA55" s="787">
        <f>'Output E'!AX50</f>
        <v>0</v>
      </c>
      <c r="BB55" s="787">
        <f>'Output E'!AY50</f>
        <v>0</v>
      </c>
      <c r="BC55" s="787">
        <f>'Output E'!AZ50</f>
        <v>0</v>
      </c>
      <c r="BD55" s="787">
        <f>'Output E'!BA50</f>
        <v>0</v>
      </c>
      <c r="BE55" s="787">
        <f>'Output E'!BB50</f>
        <v>0</v>
      </c>
    </row>
    <row r="56" spans="2:57" x14ac:dyDescent="0.25">
      <c r="B56" s="314"/>
      <c r="C56" s="763"/>
      <c r="D56" s="763"/>
      <c r="E56" s="784" t="str">
        <f>'Output E'!B51</f>
        <v>Cumulative cashflow</v>
      </c>
      <c r="F56" s="772" t="str">
        <f>'Output E'!C51</f>
        <v>[kEUR]</v>
      </c>
      <c r="G56" s="792">
        <f>'Output E'!D51</f>
        <v>0</v>
      </c>
      <c r="H56" s="792">
        <f>'Output E'!E51</f>
        <v>0</v>
      </c>
      <c r="I56" s="793"/>
      <c r="J56" s="793">
        <f>'Output E'!G51</f>
        <v>0</v>
      </c>
      <c r="K56" s="793">
        <f>'Output E'!H51</f>
        <v>0</v>
      </c>
      <c r="L56" s="793">
        <f>'Output E'!I51</f>
        <v>0</v>
      </c>
      <c r="M56" s="793">
        <f>'Output E'!J51</f>
        <v>-64189.426769135316</v>
      </c>
      <c r="N56" s="793">
        <f>'Output E'!K51</f>
        <v>13170.48066510979</v>
      </c>
      <c r="O56" s="793">
        <f>'Output E'!L51</f>
        <v>95308.288152040303</v>
      </c>
      <c r="P56" s="793">
        <f>'Output E'!M51</f>
        <v>180100.00941886473</v>
      </c>
      <c r="Q56" s="793">
        <f>'Output E'!N51</f>
        <v>267541.0440252836</v>
      </c>
      <c r="R56" s="793">
        <f>'Output E'!O51</f>
        <v>357710.212396916</v>
      </c>
      <c r="S56" s="793">
        <f>'Output E'!P51</f>
        <v>450669.81580485101</v>
      </c>
      <c r="T56" s="793">
        <f>'Output E'!Q51</f>
        <v>546445.98239647388</v>
      </c>
      <c r="U56" s="793">
        <f>'Output E'!R51</f>
        <v>645127.24016825878</v>
      </c>
      <c r="V56" s="793">
        <f>'Output E'!S51</f>
        <v>645127.24016825878</v>
      </c>
      <c r="W56" s="793">
        <f>'Output E'!T51</f>
        <v>645127.24016825878</v>
      </c>
      <c r="X56" s="793">
        <f>'Output E'!U51</f>
        <v>645127.24016825878</v>
      </c>
      <c r="Y56" s="793">
        <f>'Output E'!V51</f>
        <v>645127.24016825878</v>
      </c>
      <c r="Z56" s="793">
        <f>'Output E'!W51</f>
        <v>645127.24016825878</v>
      </c>
      <c r="AA56" s="793">
        <f>'Output E'!X51</f>
        <v>645127.24016825878</v>
      </c>
      <c r="AB56" s="793">
        <f>'Output E'!Y51</f>
        <v>645127.24016825878</v>
      </c>
      <c r="AC56" s="793">
        <f>'Output E'!Z51</f>
        <v>645127.24016825878</v>
      </c>
      <c r="AD56" s="793">
        <f>'Output E'!AA51</f>
        <v>645127.24016825878</v>
      </c>
      <c r="AE56" s="793">
        <f>'Output E'!AB51</f>
        <v>645127.24016825878</v>
      </c>
      <c r="AF56" s="793">
        <f>'Output E'!AC51</f>
        <v>645127.24016825878</v>
      </c>
      <c r="AG56" s="793">
        <f>'Output E'!AD51</f>
        <v>645127.24016825878</v>
      </c>
      <c r="AH56" s="793">
        <f>'Output E'!AE51</f>
        <v>645127.24016825878</v>
      </c>
      <c r="AI56" s="793">
        <f>'Output E'!AF51</f>
        <v>645127.24016825878</v>
      </c>
      <c r="AJ56" s="793">
        <f>'Output E'!AG51</f>
        <v>645127.24016825878</v>
      </c>
      <c r="AK56" s="793">
        <f>'Output E'!AH51</f>
        <v>645127.24016825878</v>
      </c>
      <c r="AL56" s="793">
        <f>'Output E'!AI51</f>
        <v>645127.24016825878</v>
      </c>
      <c r="AM56" s="793">
        <f>'Output E'!AJ51</f>
        <v>645127.24016825878</v>
      </c>
      <c r="AN56" s="793">
        <f>'Output E'!AK51</f>
        <v>645127.24016825878</v>
      </c>
      <c r="AO56" s="793">
        <f>'Output E'!AL51</f>
        <v>645127.24016825878</v>
      </c>
      <c r="AP56" s="793">
        <f>'Output E'!AM51</f>
        <v>645127.24016825878</v>
      </c>
      <c r="AQ56" s="793">
        <f>'Output E'!AN51</f>
        <v>645127.24016825878</v>
      </c>
      <c r="AR56" s="793">
        <f>'Output E'!AO51</f>
        <v>645127.24016825878</v>
      </c>
      <c r="AS56" s="793">
        <f>'Output E'!AP51</f>
        <v>645127.24016825878</v>
      </c>
      <c r="AT56" s="793">
        <f>'Output E'!AQ51</f>
        <v>645127.24016825878</v>
      </c>
      <c r="AU56" s="793">
        <f>'Output E'!AR51</f>
        <v>645127.24016825878</v>
      </c>
      <c r="AV56" s="793">
        <f>'Output E'!AS51</f>
        <v>645127.24016825878</v>
      </c>
      <c r="AW56" s="793">
        <f>'Output E'!AT51</f>
        <v>645127.24016825878</v>
      </c>
      <c r="AX56" s="793">
        <f>'Output E'!AU51</f>
        <v>645127.24016825878</v>
      </c>
      <c r="AY56" s="793">
        <f>'Output E'!AV51</f>
        <v>645127.24016825878</v>
      </c>
      <c r="AZ56" s="793">
        <f>'Output E'!AW51</f>
        <v>645127.24016825878</v>
      </c>
      <c r="BA56" s="793">
        <f>'Output E'!AX51</f>
        <v>645127.24016825878</v>
      </c>
      <c r="BB56" s="793">
        <f>'Output E'!AY51</f>
        <v>645127.24016825878</v>
      </c>
      <c r="BC56" s="793">
        <f>'Output E'!AZ51</f>
        <v>645127.24016825878</v>
      </c>
      <c r="BD56" s="793">
        <f>'Output E'!BA51</f>
        <v>645127.24016825878</v>
      </c>
      <c r="BE56" s="793">
        <f>'Output E'!BB51</f>
        <v>645127.24016825878</v>
      </c>
    </row>
    <row r="57" spans="2:57" x14ac:dyDescent="0.25">
      <c r="B57" s="314"/>
      <c r="C57" s="763"/>
      <c r="D57" s="763"/>
      <c r="E57" s="784" t="str">
        <f>'Output E'!B52</f>
        <v>Cumulative discounted cashflow</v>
      </c>
      <c r="F57" s="772" t="str">
        <f>'Output E'!C52</f>
        <v>[MEUR]</v>
      </c>
      <c r="G57" s="792">
        <f>'Output E'!D52</f>
        <v>0</v>
      </c>
      <c r="H57" s="792">
        <f>'Output E'!E52</f>
        <v>0</v>
      </c>
      <c r="I57" s="793"/>
      <c r="J57" s="793">
        <f>'Output E'!G52</f>
        <v>0</v>
      </c>
      <c r="K57" s="793">
        <f>'Output E'!H52</f>
        <v>0</v>
      </c>
      <c r="L57" s="793">
        <f>'Output E'!I52</f>
        <v>0</v>
      </c>
      <c r="M57" s="793">
        <f>'Output E'!J52</f>
        <v>-48.226466393039296</v>
      </c>
      <c r="N57" s="793">
        <f>'Output E'!K52</f>
        <v>4.6113912903464662</v>
      </c>
      <c r="O57" s="793">
        <f>'Output E'!L52</f>
        <v>55.612507388309524</v>
      </c>
      <c r="P57" s="793">
        <f>'Output E'!M52</f>
        <v>103.47522352781836</v>
      </c>
      <c r="Q57" s="793">
        <f>'Output E'!N52</f>
        <v>148.34630030259433</v>
      </c>
      <c r="R57" s="793">
        <f>'Output E'!O52</f>
        <v>190.4108828153349</v>
      </c>
      <c r="S57" s="793">
        <f>'Output E'!P52</f>
        <v>229.83482922549084</v>
      </c>
      <c r="T57" s="793">
        <f>'Output E'!Q52</f>
        <v>266.76068754217596</v>
      </c>
      <c r="U57" s="793">
        <f>'Output E'!R52</f>
        <v>301.34786638433724</v>
      </c>
      <c r="V57" s="793">
        <f>'Output E'!S52</f>
        <v>301.34786638433724</v>
      </c>
      <c r="W57" s="793">
        <f>'Output E'!T52</f>
        <v>301.34786638433724</v>
      </c>
      <c r="X57" s="793">
        <f>'Output E'!U52</f>
        <v>301.34786638433724</v>
      </c>
      <c r="Y57" s="793">
        <f>'Output E'!V52</f>
        <v>301.34786638433724</v>
      </c>
      <c r="Z57" s="793">
        <f>'Output E'!W52</f>
        <v>301.34786638433724</v>
      </c>
      <c r="AA57" s="793">
        <f>'Output E'!X52</f>
        <v>301.34786638433724</v>
      </c>
      <c r="AB57" s="793">
        <f>'Output E'!Y52</f>
        <v>301.34786638433724</v>
      </c>
      <c r="AC57" s="793">
        <f>'Output E'!Z52</f>
        <v>301.34786638433724</v>
      </c>
      <c r="AD57" s="793">
        <f>'Output E'!AA52</f>
        <v>301.34786638433724</v>
      </c>
      <c r="AE57" s="793">
        <f>'Output E'!AB52</f>
        <v>301.34786638433724</v>
      </c>
      <c r="AF57" s="793">
        <f>'Output E'!AC52</f>
        <v>301.34786638433724</v>
      </c>
      <c r="AG57" s="793">
        <f>'Output E'!AD52</f>
        <v>301.34786638433724</v>
      </c>
      <c r="AH57" s="793">
        <f>'Output E'!AE52</f>
        <v>301.34786638433724</v>
      </c>
      <c r="AI57" s="793">
        <f>'Output E'!AF52</f>
        <v>301.34786638433724</v>
      </c>
      <c r="AJ57" s="793">
        <f>'Output E'!AG52</f>
        <v>301.34786638433724</v>
      </c>
      <c r="AK57" s="793">
        <f>'Output E'!AH52</f>
        <v>301.34786638433724</v>
      </c>
      <c r="AL57" s="793">
        <f>'Output E'!AI52</f>
        <v>301.34786638433724</v>
      </c>
      <c r="AM57" s="793">
        <f>'Output E'!AJ52</f>
        <v>301.34786638433724</v>
      </c>
      <c r="AN57" s="793">
        <f>'Output E'!AK52</f>
        <v>301.34786638433724</v>
      </c>
      <c r="AO57" s="793">
        <f>'Output E'!AL52</f>
        <v>301.34786638433724</v>
      </c>
      <c r="AP57" s="793">
        <f>'Output E'!AM52</f>
        <v>301.34786638433724</v>
      </c>
      <c r="AQ57" s="793">
        <f>'Output E'!AN52</f>
        <v>301.34786638433724</v>
      </c>
      <c r="AR57" s="793">
        <f>'Output E'!AO52</f>
        <v>301.34786638433724</v>
      </c>
      <c r="AS57" s="793">
        <f>'Output E'!AP52</f>
        <v>301.34786638433724</v>
      </c>
      <c r="AT57" s="793">
        <f>'Output E'!AQ52</f>
        <v>301.34786638433724</v>
      </c>
      <c r="AU57" s="793">
        <f>'Output E'!AR52</f>
        <v>301.34786638433724</v>
      </c>
      <c r="AV57" s="793">
        <f>'Output E'!AS52</f>
        <v>301.34786638433724</v>
      </c>
      <c r="AW57" s="793">
        <f>'Output E'!AT52</f>
        <v>301.34786638433724</v>
      </c>
      <c r="AX57" s="793">
        <f>'Output E'!AU52</f>
        <v>301.34786638433724</v>
      </c>
      <c r="AY57" s="793">
        <f>'Output E'!AV52</f>
        <v>301.34786638433724</v>
      </c>
      <c r="AZ57" s="793">
        <f>'Output E'!AW52</f>
        <v>301.34786638433724</v>
      </c>
      <c r="BA57" s="793">
        <f>'Output E'!AX52</f>
        <v>301.34786638433724</v>
      </c>
      <c r="BB57" s="793">
        <f>'Output E'!AY52</f>
        <v>301.34786638433724</v>
      </c>
      <c r="BC57" s="793">
        <f>'Output E'!AZ52</f>
        <v>301.34786638433724</v>
      </c>
      <c r="BD57" s="793">
        <f>'Output E'!BA52</f>
        <v>301.34786638433724</v>
      </c>
      <c r="BE57" s="793">
        <f>'Output E'!BB52</f>
        <v>301.34786638433724</v>
      </c>
    </row>
    <row r="58" spans="2:57" x14ac:dyDescent="0.25">
      <c r="B58" s="314"/>
      <c r="C58" s="763"/>
      <c r="D58" s="763"/>
      <c r="E58" s="784"/>
      <c r="F58" s="772"/>
      <c r="G58" s="792"/>
      <c r="H58" s="792"/>
      <c r="I58" s="793"/>
      <c r="J58" s="793"/>
      <c r="K58" s="793"/>
      <c r="L58" s="793"/>
      <c r="M58" s="793"/>
      <c r="N58" s="793"/>
      <c r="O58" s="793"/>
      <c r="P58" s="793"/>
      <c r="Q58" s="793"/>
      <c r="R58" s="793"/>
      <c r="S58" s="793"/>
      <c r="T58" s="793"/>
      <c r="U58" s="793"/>
      <c r="V58" s="793"/>
      <c r="W58" s="793"/>
      <c r="X58" s="793"/>
      <c r="Y58" s="793"/>
      <c r="Z58" s="793"/>
      <c r="AA58" s="793"/>
      <c r="AB58" s="793"/>
      <c r="AC58" s="793"/>
      <c r="AD58" s="793"/>
      <c r="AE58" s="793"/>
      <c r="AF58" s="793"/>
      <c r="AG58" s="793"/>
      <c r="AH58" s="793"/>
      <c r="AI58" s="793"/>
      <c r="AJ58" s="793"/>
      <c r="AK58" s="793"/>
      <c r="AL58" s="793"/>
      <c r="AM58" s="793"/>
      <c r="AN58" s="793"/>
      <c r="AO58" s="793"/>
      <c r="AP58" s="793"/>
      <c r="AQ58" s="793"/>
      <c r="AR58" s="793"/>
      <c r="AS58" s="793"/>
      <c r="AT58" s="793"/>
      <c r="AU58" s="793"/>
      <c r="AV58" s="793"/>
      <c r="AW58" s="793"/>
      <c r="AX58" s="793"/>
      <c r="AY58" s="793"/>
      <c r="AZ58" s="793"/>
      <c r="BA58" s="793"/>
      <c r="BB58" s="793"/>
      <c r="BC58" s="793"/>
      <c r="BD58" s="793"/>
      <c r="BE58" s="793"/>
    </row>
    <row r="59" spans="2:57" s="37" customFormat="1" x14ac:dyDescent="0.25">
      <c r="B59" s="758"/>
      <c r="C59" s="794"/>
      <c r="D59" s="794"/>
      <c r="E59" s="794"/>
      <c r="F59" s="794"/>
      <c r="G59" s="794"/>
      <c r="H59" s="794"/>
      <c r="I59" s="794"/>
      <c r="J59" s="794"/>
      <c r="K59" s="794"/>
      <c r="L59" s="794"/>
      <c r="M59" s="794"/>
      <c r="N59" s="794"/>
      <c r="O59" s="794"/>
      <c r="P59" s="794"/>
      <c r="Q59" s="794"/>
      <c r="R59" s="794"/>
      <c r="S59" s="794"/>
      <c r="T59" s="794"/>
      <c r="U59" s="794"/>
      <c r="V59" s="794"/>
      <c r="W59" s="794"/>
      <c r="X59" s="794"/>
      <c r="Y59" s="794"/>
      <c r="Z59" s="794"/>
      <c r="AA59" s="794"/>
      <c r="AB59" s="794"/>
      <c r="AC59" s="794"/>
      <c r="AD59" s="794"/>
      <c r="AE59" s="794"/>
      <c r="AF59" s="794"/>
      <c r="AG59" s="794"/>
      <c r="AH59" s="794"/>
      <c r="AI59" s="794"/>
      <c r="AJ59" s="794"/>
      <c r="AK59" s="794"/>
      <c r="AL59" s="794"/>
      <c r="AM59" s="794"/>
      <c r="AN59" s="794"/>
      <c r="AO59" s="794"/>
      <c r="AP59" s="794"/>
      <c r="AQ59" s="794"/>
      <c r="AR59" s="794"/>
      <c r="AS59" s="794"/>
      <c r="AT59" s="794"/>
      <c r="AU59" s="794"/>
      <c r="AV59" s="794"/>
      <c r="AW59" s="794"/>
      <c r="AX59" s="794"/>
      <c r="AY59" s="794"/>
      <c r="AZ59" s="794"/>
      <c r="BA59" s="794"/>
      <c r="BB59" s="794"/>
      <c r="BC59" s="794"/>
      <c r="BD59" s="794"/>
      <c r="BE59" s="794"/>
    </row>
    <row r="60" spans="2:57" ht="18.75" x14ac:dyDescent="0.3">
      <c r="B60" s="752" t="s">
        <v>1218</v>
      </c>
      <c r="C60" s="795"/>
      <c r="D60" s="795"/>
      <c r="E60" s="805" t="str">
        <f>'Output CCS'!B9</f>
        <v>Investments (CAPEX)</v>
      </c>
      <c r="F60" s="805" t="str">
        <f>'Output CCS'!C9</f>
        <v>[kEUR]</v>
      </c>
      <c r="G60" s="804">
        <f>-'Output CCS'!D9</f>
        <v>-253397.45702293498</v>
      </c>
      <c r="H60" s="804">
        <f>-'Output CCS'!E9</f>
        <v>-68329.549208789569</v>
      </c>
      <c r="I60" s="804"/>
      <c r="J60" s="804">
        <f>-'Output CCS'!G9</f>
        <v>0</v>
      </c>
      <c r="K60" s="804">
        <f>-'Output CCS'!H9</f>
        <v>0</v>
      </c>
      <c r="L60" s="804">
        <f>-'Output CCS'!I9</f>
        <v>0</v>
      </c>
      <c r="M60" s="804">
        <f>-'Output CCS'!J9</f>
        <v>0</v>
      </c>
      <c r="N60" s="804">
        <f>-'Output CCS'!K9</f>
        <v>0</v>
      </c>
      <c r="O60" s="804">
        <f>-'Output CCS'!L9</f>
        <v>0</v>
      </c>
      <c r="P60" s="804">
        <f>-'Output CCS'!M9</f>
        <v>0</v>
      </c>
      <c r="Q60" s="804">
        <f>-'Output CCS'!N9</f>
        <v>0</v>
      </c>
      <c r="R60" s="804">
        <f>-'Output CCS'!O9</f>
        <v>0</v>
      </c>
      <c r="S60" s="804">
        <f>-'Output CCS'!P9</f>
        <v>0</v>
      </c>
      <c r="T60" s="804">
        <f>-'Output CCS'!Q9</f>
        <v>0</v>
      </c>
      <c r="U60" s="804">
        <f>-'Output CCS'!R9</f>
        <v>0</v>
      </c>
      <c r="V60" s="804">
        <f>-'Output CCS'!S9</f>
        <v>0</v>
      </c>
      <c r="W60" s="804">
        <f>-'Output CCS'!T9</f>
        <v>-231574.59988007782</v>
      </c>
      <c r="X60" s="804">
        <f>-'Output CCS'!U9</f>
        <v>0</v>
      </c>
      <c r="Y60" s="804">
        <f>-'Output CCS'!V9</f>
        <v>0</v>
      </c>
      <c r="Z60" s="804">
        <f>-'Output CCS'!W9</f>
        <v>0</v>
      </c>
      <c r="AA60" s="804">
        <f>-'Output CCS'!X9</f>
        <v>0</v>
      </c>
      <c r="AB60" s="804">
        <f>-'Output CCS'!Y9</f>
        <v>0</v>
      </c>
      <c r="AC60" s="804">
        <f>-'Output CCS'!Z9</f>
        <v>0</v>
      </c>
      <c r="AD60" s="804">
        <f>-'Output CCS'!AA9</f>
        <v>0</v>
      </c>
      <c r="AE60" s="804">
        <f>-'Output CCS'!AB9</f>
        <v>0</v>
      </c>
      <c r="AF60" s="804">
        <f>-'Output CCS'!AC9</f>
        <v>0</v>
      </c>
      <c r="AG60" s="804">
        <f>-'Output CCS'!AD9</f>
        <v>0</v>
      </c>
      <c r="AH60" s="804">
        <f>-'Output CCS'!AE9</f>
        <v>0</v>
      </c>
      <c r="AI60" s="804">
        <f>-'Output CCS'!AF9</f>
        <v>0</v>
      </c>
      <c r="AJ60" s="804">
        <f>-'Output CCS'!AG9</f>
        <v>0</v>
      </c>
      <c r="AK60" s="804">
        <f>-'Output CCS'!AH9</f>
        <v>0</v>
      </c>
      <c r="AL60" s="804">
        <f>-'Output CCS'!AI9</f>
        <v>0</v>
      </c>
      <c r="AM60" s="804">
        <f>-'Output CCS'!AJ9</f>
        <v>0</v>
      </c>
      <c r="AN60" s="804">
        <f>-'Output CCS'!AK9</f>
        <v>-21822.857142857145</v>
      </c>
      <c r="AO60" s="804">
        <f>-'Output CCS'!AL9</f>
        <v>0</v>
      </c>
      <c r="AP60" s="804">
        <f>-'Output CCS'!AM9</f>
        <v>0</v>
      </c>
      <c r="AQ60" s="804">
        <f>-'Output CCS'!AN9</f>
        <v>0</v>
      </c>
      <c r="AR60" s="804">
        <f>-'Output CCS'!AO9</f>
        <v>0</v>
      </c>
      <c r="AS60" s="804">
        <f>-'Output CCS'!AP9</f>
        <v>0</v>
      </c>
      <c r="AT60" s="804">
        <f>-'Output CCS'!AQ9</f>
        <v>0</v>
      </c>
      <c r="AU60" s="804">
        <f>-'Output CCS'!AR9</f>
        <v>0</v>
      </c>
      <c r="AV60" s="804">
        <f>-'Output CCS'!AS9</f>
        <v>0</v>
      </c>
      <c r="AW60" s="804">
        <f>-'Output CCS'!AT9</f>
        <v>0</v>
      </c>
      <c r="AX60" s="804">
        <f>-'Output CCS'!AU9</f>
        <v>0</v>
      </c>
      <c r="AY60" s="804">
        <f>-'Output CCS'!AV9</f>
        <v>0</v>
      </c>
      <c r="AZ60" s="804">
        <f>-'Output CCS'!AW9</f>
        <v>0</v>
      </c>
      <c r="BA60" s="804">
        <f>-'Output CCS'!AX9</f>
        <v>0</v>
      </c>
      <c r="BB60" s="804">
        <f>-'Output CCS'!AY9</f>
        <v>0</v>
      </c>
      <c r="BC60" s="804">
        <f>-'Output CCS'!AZ9</f>
        <v>0</v>
      </c>
      <c r="BD60" s="804">
        <f>-'Output CCS'!BA9</f>
        <v>0</v>
      </c>
      <c r="BE60" s="804">
        <f>-'Output CCS'!BB9</f>
        <v>0</v>
      </c>
    </row>
    <row r="61" spans="2:57" x14ac:dyDescent="0.25">
      <c r="B61" s="315"/>
      <c r="C61" s="795"/>
      <c r="D61" s="795"/>
      <c r="E61" s="854" t="str">
        <f>'Output CCS'!B10</f>
        <v>Capex compressor &amp; pump onshore</v>
      </c>
      <c r="F61" s="854" t="str">
        <f>'Output CCS'!C10</f>
        <v>[kEUR]</v>
      </c>
      <c r="G61" s="815">
        <f>-'Output CCS'!D10</f>
        <v>-67643.575459610132</v>
      </c>
      <c r="H61" s="815">
        <f>-'Output CCS'!E10</f>
        <v>-19593.934328679796</v>
      </c>
      <c r="I61" s="815"/>
      <c r="J61" s="815">
        <f>-'Output CCS'!G10</f>
        <v>0</v>
      </c>
      <c r="K61" s="815">
        <f>-'Output CCS'!H10</f>
        <v>0</v>
      </c>
      <c r="L61" s="815">
        <f>-'Output CCS'!I10</f>
        <v>0</v>
      </c>
      <c r="M61" s="815">
        <f>-'Output CCS'!J10</f>
        <v>0</v>
      </c>
      <c r="N61" s="815">
        <f>-'Output CCS'!K10</f>
        <v>0</v>
      </c>
      <c r="O61" s="815">
        <f>-'Output CCS'!L10</f>
        <v>0</v>
      </c>
      <c r="P61" s="815">
        <f>-'Output CCS'!M10</f>
        <v>0</v>
      </c>
      <c r="Q61" s="815">
        <f>-'Output CCS'!N10</f>
        <v>0</v>
      </c>
      <c r="R61" s="815">
        <f>-'Output CCS'!O10</f>
        <v>0</v>
      </c>
      <c r="S61" s="815">
        <f>-'Output CCS'!P10</f>
        <v>0</v>
      </c>
      <c r="T61" s="815">
        <f>-'Output CCS'!Q10</f>
        <v>0</v>
      </c>
      <c r="U61" s="815">
        <f>-'Output CCS'!R10</f>
        <v>0</v>
      </c>
      <c r="V61" s="815">
        <f>-'Output CCS'!S10</f>
        <v>0</v>
      </c>
      <c r="W61" s="815">
        <f>-'Output CCS'!T10</f>
        <v>-67643.575459610132</v>
      </c>
      <c r="X61" s="815">
        <f>-'Output CCS'!U10</f>
        <v>0</v>
      </c>
      <c r="Y61" s="815">
        <f>-'Output CCS'!V10</f>
        <v>0</v>
      </c>
      <c r="Z61" s="815">
        <f>-'Output CCS'!W10</f>
        <v>0</v>
      </c>
      <c r="AA61" s="815">
        <f>-'Output CCS'!X10</f>
        <v>0</v>
      </c>
      <c r="AB61" s="815">
        <f>-'Output CCS'!Y10</f>
        <v>0</v>
      </c>
      <c r="AC61" s="815">
        <f>-'Output CCS'!Z10</f>
        <v>0</v>
      </c>
      <c r="AD61" s="815">
        <f>-'Output CCS'!AA10</f>
        <v>0</v>
      </c>
      <c r="AE61" s="815">
        <f>-'Output CCS'!AB10</f>
        <v>0</v>
      </c>
      <c r="AF61" s="815">
        <f>-'Output CCS'!AC10</f>
        <v>0</v>
      </c>
      <c r="AG61" s="815">
        <f>-'Output CCS'!AD10</f>
        <v>0</v>
      </c>
      <c r="AH61" s="815">
        <f>-'Output CCS'!AE10</f>
        <v>0</v>
      </c>
      <c r="AI61" s="815">
        <f>-'Output CCS'!AF10</f>
        <v>0</v>
      </c>
      <c r="AJ61" s="815">
        <f>-'Output CCS'!AG10</f>
        <v>0</v>
      </c>
      <c r="AK61" s="815">
        <f>-'Output CCS'!AH10</f>
        <v>0</v>
      </c>
      <c r="AL61" s="815">
        <f>-'Output CCS'!AI10</f>
        <v>0</v>
      </c>
      <c r="AM61" s="815">
        <f>-'Output CCS'!AJ10</f>
        <v>0</v>
      </c>
      <c r="AN61" s="815">
        <f>-'Output CCS'!AK10</f>
        <v>0</v>
      </c>
      <c r="AO61" s="815">
        <f>-'Output CCS'!AL10</f>
        <v>0</v>
      </c>
      <c r="AP61" s="815">
        <f>-'Output CCS'!AM10</f>
        <v>0</v>
      </c>
      <c r="AQ61" s="815">
        <f>-'Output CCS'!AN10</f>
        <v>0</v>
      </c>
      <c r="AR61" s="815">
        <f>-'Output CCS'!AO10</f>
        <v>0</v>
      </c>
      <c r="AS61" s="815">
        <f>-'Output CCS'!AP10</f>
        <v>0</v>
      </c>
      <c r="AT61" s="815">
        <f>-'Output CCS'!AQ10</f>
        <v>0</v>
      </c>
      <c r="AU61" s="815">
        <f>-'Output CCS'!AR10</f>
        <v>0</v>
      </c>
      <c r="AV61" s="815">
        <f>-'Output CCS'!AS10</f>
        <v>0</v>
      </c>
      <c r="AW61" s="815">
        <f>-'Output CCS'!AT10</f>
        <v>0</v>
      </c>
      <c r="AX61" s="815">
        <f>-'Output CCS'!AU10</f>
        <v>0</v>
      </c>
      <c r="AY61" s="815">
        <f>-'Output CCS'!AV10</f>
        <v>0</v>
      </c>
      <c r="AZ61" s="815">
        <f>-'Output CCS'!AW10</f>
        <v>0</v>
      </c>
      <c r="BA61" s="815">
        <f>-'Output CCS'!AX10</f>
        <v>0</v>
      </c>
      <c r="BB61" s="815">
        <f>-'Output CCS'!AY10</f>
        <v>0</v>
      </c>
      <c r="BC61" s="815">
        <f>-'Output CCS'!AZ10</f>
        <v>0</v>
      </c>
      <c r="BD61" s="815">
        <f>-'Output CCS'!BA10</f>
        <v>0</v>
      </c>
      <c r="BE61" s="815">
        <f>-'Output CCS'!BB10</f>
        <v>0</v>
      </c>
    </row>
    <row r="62" spans="2:57" x14ac:dyDescent="0.25">
      <c r="B62" s="315"/>
      <c r="C62" s="795"/>
      <c r="D62" s="795"/>
      <c r="E62" s="819" t="str">
        <f>'Output CCS'!B11</f>
        <v>Capex pipeline</v>
      </c>
      <c r="F62" s="855" t="str">
        <f>'Output CCS'!C11</f>
        <v>[kEUR]</v>
      </c>
      <c r="G62" s="818">
        <f>-'Output CCS'!D11</f>
        <v>-44631.746278617604</v>
      </c>
      <c r="H62" s="818">
        <f>-'Output CCS'!E11</f>
        <v>-12928.227102360986</v>
      </c>
      <c r="I62" s="818"/>
      <c r="J62" s="818">
        <f>-'Output CCS'!G11</f>
        <v>0</v>
      </c>
      <c r="K62" s="818">
        <f>-'Output CCS'!H11</f>
        <v>0</v>
      </c>
      <c r="L62" s="818">
        <f>-'Output CCS'!I11</f>
        <v>0</v>
      </c>
      <c r="M62" s="818">
        <f>-'Output CCS'!J11</f>
        <v>0</v>
      </c>
      <c r="N62" s="818">
        <f>-'Output CCS'!K11</f>
        <v>0</v>
      </c>
      <c r="O62" s="818">
        <f>-'Output CCS'!L11</f>
        <v>0</v>
      </c>
      <c r="P62" s="818">
        <f>-'Output CCS'!M11</f>
        <v>0</v>
      </c>
      <c r="Q62" s="818">
        <f>-'Output CCS'!N11</f>
        <v>0</v>
      </c>
      <c r="R62" s="818">
        <f>-'Output CCS'!O11</f>
        <v>0</v>
      </c>
      <c r="S62" s="818">
        <f>-'Output CCS'!P11</f>
        <v>0</v>
      </c>
      <c r="T62" s="818">
        <f>-'Output CCS'!Q11</f>
        <v>0</v>
      </c>
      <c r="U62" s="818">
        <f>-'Output CCS'!R11</f>
        <v>0</v>
      </c>
      <c r="V62" s="818">
        <f>-'Output CCS'!S11</f>
        <v>0</v>
      </c>
      <c r="W62" s="818">
        <f>-'Output CCS'!T11</f>
        <v>-44631.746278617604</v>
      </c>
      <c r="X62" s="818">
        <f>-'Output CCS'!U11</f>
        <v>0</v>
      </c>
      <c r="Y62" s="818">
        <f>-'Output CCS'!V11</f>
        <v>0</v>
      </c>
      <c r="Z62" s="818">
        <f>-'Output CCS'!W11</f>
        <v>0</v>
      </c>
      <c r="AA62" s="818">
        <f>-'Output CCS'!X11</f>
        <v>0</v>
      </c>
      <c r="AB62" s="818">
        <f>-'Output CCS'!Y11</f>
        <v>0</v>
      </c>
      <c r="AC62" s="818">
        <f>-'Output CCS'!Z11</f>
        <v>0</v>
      </c>
      <c r="AD62" s="818">
        <f>-'Output CCS'!AA11</f>
        <v>0</v>
      </c>
      <c r="AE62" s="818">
        <f>-'Output CCS'!AB11</f>
        <v>0</v>
      </c>
      <c r="AF62" s="818">
        <f>-'Output CCS'!AC11</f>
        <v>0</v>
      </c>
      <c r="AG62" s="818">
        <f>-'Output CCS'!AD11</f>
        <v>0</v>
      </c>
      <c r="AH62" s="818">
        <f>-'Output CCS'!AE11</f>
        <v>0</v>
      </c>
      <c r="AI62" s="818">
        <f>-'Output CCS'!AF11</f>
        <v>0</v>
      </c>
      <c r="AJ62" s="818">
        <f>-'Output CCS'!AG11</f>
        <v>0</v>
      </c>
      <c r="AK62" s="818">
        <f>-'Output CCS'!AH11</f>
        <v>0</v>
      </c>
      <c r="AL62" s="818">
        <f>-'Output CCS'!AI11</f>
        <v>0</v>
      </c>
      <c r="AM62" s="818">
        <f>-'Output CCS'!AJ11</f>
        <v>0</v>
      </c>
      <c r="AN62" s="818">
        <f>-'Output CCS'!AK11</f>
        <v>0</v>
      </c>
      <c r="AO62" s="818">
        <f>-'Output CCS'!AL11</f>
        <v>0</v>
      </c>
      <c r="AP62" s="818">
        <f>-'Output CCS'!AM11</f>
        <v>0</v>
      </c>
      <c r="AQ62" s="818">
        <f>-'Output CCS'!AN11</f>
        <v>0</v>
      </c>
      <c r="AR62" s="818">
        <f>-'Output CCS'!AO11</f>
        <v>0</v>
      </c>
      <c r="AS62" s="818">
        <f>-'Output CCS'!AP11</f>
        <v>0</v>
      </c>
      <c r="AT62" s="818">
        <f>-'Output CCS'!AQ11</f>
        <v>0</v>
      </c>
      <c r="AU62" s="818">
        <f>-'Output CCS'!AR11</f>
        <v>0</v>
      </c>
      <c r="AV62" s="818">
        <f>-'Output CCS'!AS11</f>
        <v>0</v>
      </c>
      <c r="AW62" s="818">
        <f>-'Output CCS'!AT11</f>
        <v>0</v>
      </c>
      <c r="AX62" s="818">
        <f>-'Output CCS'!AU11</f>
        <v>0</v>
      </c>
      <c r="AY62" s="818">
        <f>-'Output CCS'!AV11</f>
        <v>0</v>
      </c>
      <c r="AZ62" s="818">
        <f>-'Output CCS'!AW11</f>
        <v>0</v>
      </c>
      <c r="BA62" s="818">
        <f>-'Output CCS'!AX11</f>
        <v>0</v>
      </c>
      <c r="BB62" s="818">
        <f>-'Output CCS'!AY11</f>
        <v>0</v>
      </c>
      <c r="BC62" s="818">
        <f>-'Output CCS'!AZ11</f>
        <v>0</v>
      </c>
      <c r="BD62" s="818">
        <f>-'Output CCS'!BA11</f>
        <v>0</v>
      </c>
      <c r="BE62" s="818">
        <f>-'Output CCS'!BB11</f>
        <v>0</v>
      </c>
    </row>
    <row r="63" spans="2:57" x14ac:dyDescent="0.25">
      <c r="B63" s="315"/>
      <c r="C63" s="795"/>
      <c r="D63" s="795"/>
      <c r="E63" s="855" t="str">
        <f>'Output CCS'!B12</f>
        <v>Capex crossings &amp; landing</v>
      </c>
      <c r="F63" s="855" t="str">
        <f>'Output CCS'!C12</f>
        <v>[kEUR]</v>
      </c>
      <c r="G63" s="818">
        <f>-'Output CCS'!D12</f>
        <v>-45276.232065882861</v>
      </c>
      <c r="H63" s="818">
        <f>-'Output CCS'!E12</f>
        <v>-13114.911678178287</v>
      </c>
      <c r="I63" s="818"/>
      <c r="J63" s="818">
        <f>-'Output CCS'!G12</f>
        <v>0</v>
      </c>
      <c r="K63" s="818">
        <f>-'Output CCS'!H12</f>
        <v>0</v>
      </c>
      <c r="L63" s="818">
        <f>-'Output CCS'!I12</f>
        <v>0</v>
      </c>
      <c r="M63" s="818">
        <f>-'Output CCS'!J12</f>
        <v>0</v>
      </c>
      <c r="N63" s="818">
        <f>-'Output CCS'!K12</f>
        <v>0</v>
      </c>
      <c r="O63" s="818">
        <f>-'Output CCS'!L12</f>
        <v>0</v>
      </c>
      <c r="P63" s="818">
        <f>-'Output CCS'!M12</f>
        <v>0</v>
      </c>
      <c r="Q63" s="818">
        <f>-'Output CCS'!N12</f>
        <v>0</v>
      </c>
      <c r="R63" s="818">
        <f>-'Output CCS'!O12</f>
        <v>0</v>
      </c>
      <c r="S63" s="818">
        <f>-'Output CCS'!P12</f>
        <v>0</v>
      </c>
      <c r="T63" s="818">
        <f>-'Output CCS'!Q12</f>
        <v>0</v>
      </c>
      <c r="U63" s="818">
        <f>-'Output CCS'!R12</f>
        <v>0</v>
      </c>
      <c r="V63" s="818">
        <f>-'Output CCS'!S12</f>
        <v>0</v>
      </c>
      <c r="W63" s="818">
        <f>-'Output CCS'!T12</f>
        <v>-45276.232065882861</v>
      </c>
      <c r="X63" s="818">
        <f>-'Output CCS'!U12</f>
        <v>0</v>
      </c>
      <c r="Y63" s="818">
        <f>-'Output CCS'!V12</f>
        <v>0</v>
      </c>
      <c r="Z63" s="818">
        <f>-'Output CCS'!W12</f>
        <v>0</v>
      </c>
      <c r="AA63" s="818">
        <f>-'Output CCS'!X12</f>
        <v>0</v>
      </c>
      <c r="AB63" s="818">
        <f>-'Output CCS'!Y12</f>
        <v>0</v>
      </c>
      <c r="AC63" s="818">
        <f>-'Output CCS'!Z12</f>
        <v>0</v>
      </c>
      <c r="AD63" s="818">
        <f>-'Output CCS'!AA12</f>
        <v>0</v>
      </c>
      <c r="AE63" s="818">
        <f>-'Output CCS'!AB12</f>
        <v>0</v>
      </c>
      <c r="AF63" s="818">
        <f>-'Output CCS'!AC12</f>
        <v>0</v>
      </c>
      <c r="AG63" s="818">
        <f>-'Output CCS'!AD12</f>
        <v>0</v>
      </c>
      <c r="AH63" s="818">
        <f>-'Output CCS'!AE12</f>
        <v>0</v>
      </c>
      <c r="AI63" s="818">
        <f>-'Output CCS'!AF12</f>
        <v>0</v>
      </c>
      <c r="AJ63" s="818">
        <f>-'Output CCS'!AG12</f>
        <v>0</v>
      </c>
      <c r="AK63" s="818">
        <f>-'Output CCS'!AH12</f>
        <v>0</v>
      </c>
      <c r="AL63" s="818">
        <f>-'Output CCS'!AI12</f>
        <v>0</v>
      </c>
      <c r="AM63" s="818">
        <f>-'Output CCS'!AJ12</f>
        <v>0</v>
      </c>
      <c r="AN63" s="818">
        <f>-'Output CCS'!AK12</f>
        <v>0</v>
      </c>
      <c r="AO63" s="818">
        <f>-'Output CCS'!AL12</f>
        <v>0</v>
      </c>
      <c r="AP63" s="818">
        <f>-'Output CCS'!AM12</f>
        <v>0</v>
      </c>
      <c r="AQ63" s="818">
        <f>-'Output CCS'!AN12</f>
        <v>0</v>
      </c>
      <c r="AR63" s="818">
        <f>-'Output CCS'!AO12</f>
        <v>0</v>
      </c>
      <c r="AS63" s="818">
        <f>-'Output CCS'!AP12</f>
        <v>0</v>
      </c>
      <c r="AT63" s="818">
        <f>-'Output CCS'!AQ12</f>
        <v>0</v>
      </c>
      <c r="AU63" s="818">
        <f>-'Output CCS'!AR12</f>
        <v>0</v>
      </c>
      <c r="AV63" s="818">
        <f>-'Output CCS'!AS12</f>
        <v>0</v>
      </c>
      <c r="AW63" s="818">
        <f>-'Output CCS'!AT12</f>
        <v>0</v>
      </c>
      <c r="AX63" s="818">
        <f>-'Output CCS'!AU12</f>
        <v>0</v>
      </c>
      <c r="AY63" s="818">
        <f>-'Output CCS'!AV12</f>
        <v>0</v>
      </c>
      <c r="AZ63" s="818">
        <f>-'Output CCS'!AW12</f>
        <v>0</v>
      </c>
      <c r="BA63" s="818">
        <f>-'Output CCS'!AX12</f>
        <v>0</v>
      </c>
      <c r="BB63" s="818">
        <f>-'Output CCS'!AY12</f>
        <v>0</v>
      </c>
      <c r="BC63" s="818">
        <f>-'Output CCS'!AZ12</f>
        <v>0</v>
      </c>
      <c r="BD63" s="818">
        <f>-'Output CCS'!BA12</f>
        <v>0</v>
      </c>
      <c r="BE63" s="818">
        <f>-'Output CCS'!BB12</f>
        <v>0</v>
      </c>
    </row>
    <row r="64" spans="2:57" x14ac:dyDescent="0.25">
      <c r="B64" s="315"/>
      <c r="C64" s="795"/>
      <c r="D64" s="795"/>
      <c r="E64" s="819" t="str">
        <f>'Output CCS'!B13</f>
        <v>Capex new offshore wells</v>
      </c>
      <c r="F64" s="855" t="str">
        <f>'Output CCS'!C13</f>
        <v>[kEUR]</v>
      </c>
      <c r="G64" s="818">
        <f>-'Output CCS'!D13</f>
        <v>0</v>
      </c>
      <c r="H64" s="818">
        <f>-'Output CCS'!E13</f>
        <v>0</v>
      </c>
      <c r="I64" s="818"/>
      <c r="J64" s="818">
        <f>-'Output CCS'!G13</f>
        <v>0</v>
      </c>
      <c r="K64" s="818">
        <f>-'Output CCS'!H13</f>
        <v>0</v>
      </c>
      <c r="L64" s="818">
        <f>-'Output CCS'!I13</f>
        <v>0</v>
      </c>
      <c r="M64" s="818">
        <f>-'Output CCS'!J13</f>
        <v>0</v>
      </c>
      <c r="N64" s="818">
        <f>-'Output CCS'!K13</f>
        <v>0</v>
      </c>
      <c r="O64" s="818">
        <f>-'Output CCS'!L13</f>
        <v>0</v>
      </c>
      <c r="P64" s="818">
        <f>-'Output CCS'!M13</f>
        <v>0</v>
      </c>
      <c r="Q64" s="818">
        <f>-'Output CCS'!N13</f>
        <v>0</v>
      </c>
      <c r="R64" s="818">
        <f>-'Output CCS'!O13</f>
        <v>0</v>
      </c>
      <c r="S64" s="818">
        <f>-'Output CCS'!P13</f>
        <v>0</v>
      </c>
      <c r="T64" s="818">
        <f>-'Output CCS'!Q13</f>
        <v>0</v>
      </c>
      <c r="U64" s="818">
        <f>-'Output CCS'!R13</f>
        <v>0</v>
      </c>
      <c r="V64" s="818">
        <f>-'Output CCS'!S13</f>
        <v>0</v>
      </c>
      <c r="W64" s="818">
        <f>-'Output CCS'!T13</f>
        <v>0</v>
      </c>
      <c r="X64" s="818">
        <f>-'Output CCS'!U13</f>
        <v>0</v>
      </c>
      <c r="Y64" s="818">
        <f>-'Output CCS'!V13</f>
        <v>0</v>
      </c>
      <c r="Z64" s="818">
        <f>-'Output CCS'!W13</f>
        <v>0</v>
      </c>
      <c r="AA64" s="818">
        <f>-'Output CCS'!X13</f>
        <v>0</v>
      </c>
      <c r="AB64" s="818">
        <f>-'Output CCS'!Y13</f>
        <v>0</v>
      </c>
      <c r="AC64" s="818">
        <f>-'Output CCS'!Z13</f>
        <v>0</v>
      </c>
      <c r="AD64" s="818">
        <f>-'Output CCS'!AA13</f>
        <v>0</v>
      </c>
      <c r="AE64" s="818">
        <f>-'Output CCS'!AB13</f>
        <v>0</v>
      </c>
      <c r="AF64" s="818">
        <f>-'Output CCS'!AC13</f>
        <v>0</v>
      </c>
      <c r="AG64" s="818">
        <f>-'Output CCS'!AD13</f>
        <v>0</v>
      </c>
      <c r="AH64" s="818">
        <f>-'Output CCS'!AE13</f>
        <v>0</v>
      </c>
      <c r="AI64" s="818">
        <f>-'Output CCS'!AF13</f>
        <v>0</v>
      </c>
      <c r="AJ64" s="818">
        <f>-'Output CCS'!AG13</f>
        <v>0</v>
      </c>
      <c r="AK64" s="818">
        <f>-'Output CCS'!AH13</f>
        <v>0</v>
      </c>
      <c r="AL64" s="818">
        <f>-'Output CCS'!AI13</f>
        <v>0</v>
      </c>
      <c r="AM64" s="818">
        <f>-'Output CCS'!AJ13</f>
        <v>0</v>
      </c>
      <c r="AN64" s="818">
        <f>-'Output CCS'!AK13</f>
        <v>0</v>
      </c>
      <c r="AO64" s="818">
        <f>-'Output CCS'!AL13</f>
        <v>0</v>
      </c>
      <c r="AP64" s="818">
        <f>-'Output CCS'!AM13</f>
        <v>0</v>
      </c>
      <c r="AQ64" s="818">
        <f>-'Output CCS'!AN13</f>
        <v>0</v>
      </c>
      <c r="AR64" s="818">
        <f>-'Output CCS'!AO13</f>
        <v>0</v>
      </c>
      <c r="AS64" s="818">
        <f>-'Output CCS'!AP13</f>
        <v>0</v>
      </c>
      <c r="AT64" s="818">
        <f>-'Output CCS'!AQ13</f>
        <v>0</v>
      </c>
      <c r="AU64" s="818">
        <f>-'Output CCS'!AR13</f>
        <v>0</v>
      </c>
      <c r="AV64" s="818">
        <f>-'Output CCS'!AS13</f>
        <v>0</v>
      </c>
      <c r="AW64" s="818">
        <f>-'Output CCS'!AT13</f>
        <v>0</v>
      </c>
      <c r="AX64" s="818">
        <f>-'Output CCS'!AU13</f>
        <v>0</v>
      </c>
      <c r="AY64" s="818">
        <f>-'Output CCS'!AV13</f>
        <v>0</v>
      </c>
      <c r="AZ64" s="818">
        <f>-'Output CCS'!AW13</f>
        <v>0</v>
      </c>
      <c r="BA64" s="818">
        <f>-'Output CCS'!AX13</f>
        <v>0</v>
      </c>
      <c r="BB64" s="818">
        <f>-'Output CCS'!AY13</f>
        <v>0</v>
      </c>
      <c r="BC64" s="818">
        <f>-'Output CCS'!AZ13</f>
        <v>0</v>
      </c>
      <c r="BD64" s="818">
        <f>-'Output CCS'!BA13</f>
        <v>0</v>
      </c>
      <c r="BE64" s="818">
        <f>-'Output CCS'!BB13</f>
        <v>0</v>
      </c>
    </row>
    <row r="65" spans="2:57" x14ac:dyDescent="0.25">
      <c r="B65" s="315"/>
      <c r="C65" s="795"/>
      <c r="D65" s="795"/>
      <c r="E65" s="819" t="str">
        <f>'Output CCS'!B14</f>
        <v>Capex workover wells</v>
      </c>
      <c r="F65" s="855" t="str">
        <f>'Output CCS'!C14</f>
        <v>[kEUR]</v>
      </c>
      <c r="G65" s="818">
        <f>-'Output CCS'!D14</f>
        <v>-45276.232065882861</v>
      </c>
      <c r="H65" s="818">
        <f>-'Output CCS'!E14</f>
        <v>-13114.911678178287</v>
      </c>
      <c r="I65" s="818"/>
      <c r="J65" s="818">
        <f>-'Output CCS'!G14</f>
        <v>0</v>
      </c>
      <c r="K65" s="818">
        <f>-'Output CCS'!H14</f>
        <v>0</v>
      </c>
      <c r="L65" s="818">
        <f>-'Output CCS'!I14</f>
        <v>0</v>
      </c>
      <c r="M65" s="818">
        <f>-'Output CCS'!J14</f>
        <v>0</v>
      </c>
      <c r="N65" s="818">
        <f>-'Output CCS'!K14</f>
        <v>0</v>
      </c>
      <c r="O65" s="818">
        <f>-'Output CCS'!L14</f>
        <v>0</v>
      </c>
      <c r="P65" s="818">
        <f>-'Output CCS'!M14</f>
        <v>0</v>
      </c>
      <c r="Q65" s="818">
        <f>-'Output CCS'!N14</f>
        <v>0</v>
      </c>
      <c r="R65" s="818">
        <f>-'Output CCS'!O14</f>
        <v>0</v>
      </c>
      <c r="S65" s="818">
        <f>-'Output CCS'!P14</f>
        <v>0</v>
      </c>
      <c r="T65" s="818">
        <f>-'Output CCS'!Q14</f>
        <v>0</v>
      </c>
      <c r="U65" s="818">
        <f>-'Output CCS'!R14</f>
        <v>0</v>
      </c>
      <c r="V65" s="818">
        <f>-'Output CCS'!S14</f>
        <v>0</v>
      </c>
      <c r="W65" s="818">
        <f>-'Output CCS'!T14</f>
        <v>-45276.232065882861</v>
      </c>
      <c r="X65" s="818">
        <f>-'Output CCS'!U14</f>
        <v>0</v>
      </c>
      <c r="Y65" s="818">
        <f>-'Output CCS'!V14</f>
        <v>0</v>
      </c>
      <c r="Z65" s="818">
        <f>-'Output CCS'!W14</f>
        <v>0</v>
      </c>
      <c r="AA65" s="818">
        <f>-'Output CCS'!X14</f>
        <v>0</v>
      </c>
      <c r="AB65" s="818">
        <f>-'Output CCS'!Y14</f>
        <v>0</v>
      </c>
      <c r="AC65" s="818">
        <f>-'Output CCS'!Z14</f>
        <v>0</v>
      </c>
      <c r="AD65" s="818">
        <f>-'Output CCS'!AA14</f>
        <v>0</v>
      </c>
      <c r="AE65" s="818">
        <f>-'Output CCS'!AB14</f>
        <v>0</v>
      </c>
      <c r="AF65" s="818">
        <f>-'Output CCS'!AC14</f>
        <v>0</v>
      </c>
      <c r="AG65" s="818">
        <f>-'Output CCS'!AD14</f>
        <v>0</v>
      </c>
      <c r="AH65" s="818">
        <f>-'Output CCS'!AE14</f>
        <v>0</v>
      </c>
      <c r="AI65" s="818">
        <f>-'Output CCS'!AF14</f>
        <v>0</v>
      </c>
      <c r="AJ65" s="818">
        <f>-'Output CCS'!AG14</f>
        <v>0</v>
      </c>
      <c r="AK65" s="818">
        <f>-'Output CCS'!AH14</f>
        <v>0</v>
      </c>
      <c r="AL65" s="818">
        <f>-'Output CCS'!AI14</f>
        <v>0</v>
      </c>
      <c r="AM65" s="818">
        <f>-'Output CCS'!AJ14</f>
        <v>0</v>
      </c>
      <c r="AN65" s="818">
        <f>-'Output CCS'!AK14</f>
        <v>0</v>
      </c>
      <c r="AO65" s="818">
        <f>-'Output CCS'!AL14</f>
        <v>0</v>
      </c>
      <c r="AP65" s="818">
        <f>-'Output CCS'!AM14</f>
        <v>0</v>
      </c>
      <c r="AQ65" s="818">
        <f>-'Output CCS'!AN14</f>
        <v>0</v>
      </c>
      <c r="AR65" s="818">
        <f>-'Output CCS'!AO14</f>
        <v>0</v>
      </c>
      <c r="AS65" s="818">
        <f>-'Output CCS'!AP14</f>
        <v>0</v>
      </c>
      <c r="AT65" s="818">
        <f>-'Output CCS'!AQ14</f>
        <v>0</v>
      </c>
      <c r="AU65" s="818">
        <f>-'Output CCS'!AR14</f>
        <v>0</v>
      </c>
      <c r="AV65" s="818">
        <f>-'Output CCS'!AS14</f>
        <v>0</v>
      </c>
      <c r="AW65" s="818">
        <f>-'Output CCS'!AT14</f>
        <v>0</v>
      </c>
      <c r="AX65" s="818">
        <f>-'Output CCS'!AU14</f>
        <v>0</v>
      </c>
      <c r="AY65" s="818">
        <f>-'Output CCS'!AV14</f>
        <v>0</v>
      </c>
      <c r="AZ65" s="818">
        <f>-'Output CCS'!AW14</f>
        <v>0</v>
      </c>
      <c r="BA65" s="818">
        <f>-'Output CCS'!AX14</f>
        <v>0</v>
      </c>
      <c r="BB65" s="818">
        <f>-'Output CCS'!AY14</f>
        <v>0</v>
      </c>
      <c r="BC65" s="818">
        <f>-'Output CCS'!AZ14</f>
        <v>0</v>
      </c>
      <c r="BD65" s="818">
        <f>-'Output CCS'!BA14</f>
        <v>0</v>
      </c>
      <c r="BE65" s="818">
        <f>-'Output CCS'!BB14</f>
        <v>0</v>
      </c>
    </row>
    <row r="66" spans="2:57" x14ac:dyDescent="0.25">
      <c r="B66" s="315"/>
      <c r="C66" s="795"/>
      <c r="D66" s="795"/>
      <c r="E66" s="819" t="str">
        <f>'Output CCS'!B15</f>
        <v>Decommissioning (P&amp;A) natural gas wells</v>
      </c>
      <c r="F66" s="855" t="str">
        <f>'Output CCS'!C15</f>
        <v>[kEUR]</v>
      </c>
      <c r="G66" s="818">
        <f>-'Output CCS'!D15</f>
        <v>-28746.814010084359</v>
      </c>
      <c r="H66" s="818">
        <f>-'Output CCS'!E15</f>
        <v>-8326.9280496370102</v>
      </c>
      <c r="I66" s="818"/>
      <c r="J66" s="818">
        <f>-'Output CCS'!G15</f>
        <v>0</v>
      </c>
      <c r="K66" s="818">
        <f>-'Output CCS'!H15</f>
        <v>0</v>
      </c>
      <c r="L66" s="818">
        <f>-'Output CCS'!I15</f>
        <v>0</v>
      </c>
      <c r="M66" s="818">
        <f>-'Output CCS'!J15</f>
        <v>0</v>
      </c>
      <c r="N66" s="818">
        <f>-'Output CCS'!K15</f>
        <v>0</v>
      </c>
      <c r="O66" s="818">
        <f>-'Output CCS'!L15</f>
        <v>0</v>
      </c>
      <c r="P66" s="818">
        <f>-'Output CCS'!M15</f>
        <v>0</v>
      </c>
      <c r="Q66" s="818">
        <f>-'Output CCS'!N15</f>
        <v>0</v>
      </c>
      <c r="R66" s="818">
        <f>-'Output CCS'!O15</f>
        <v>0</v>
      </c>
      <c r="S66" s="818">
        <f>-'Output CCS'!P15</f>
        <v>0</v>
      </c>
      <c r="T66" s="818">
        <f>-'Output CCS'!Q15</f>
        <v>0</v>
      </c>
      <c r="U66" s="818">
        <f>-'Output CCS'!R15</f>
        <v>0</v>
      </c>
      <c r="V66" s="818">
        <f>-'Output CCS'!S15</f>
        <v>0</v>
      </c>
      <c r="W66" s="818">
        <f>-'Output CCS'!T15</f>
        <v>-28746.814010084359</v>
      </c>
      <c r="X66" s="818">
        <f>-'Output CCS'!U15</f>
        <v>0</v>
      </c>
      <c r="Y66" s="818">
        <f>-'Output CCS'!V15</f>
        <v>0</v>
      </c>
      <c r="Z66" s="818">
        <f>-'Output CCS'!W15</f>
        <v>0</v>
      </c>
      <c r="AA66" s="818">
        <f>-'Output CCS'!X15</f>
        <v>0</v>
      </c>
      <c r="AB66" s="818">
        <f>-'Output CCS'!Y15</f>
        <v>0</v>
      </c>
      <c r="AC66" s="818">
        <f>-'Output CCS'!Z15</f>
        <v>0</v>
      </c>
      <c r="AD66" s="818">
        <f>-'Output CCS'!AA15</f>
        <v>0</v>
      </c>
      <c r="AE66" s="818">
        <f>-'Output CCS'!AB15</f>
        <v>0</v>
      </c>
      <c r="AF66" s="818">
        <f>-'Output CCS'!AC15</f>
        <v>0</v>
      </c>
      <c r="AG66" s="818">
        <f>-'Output CCS'!AD15</f>
        <v>0</v>
      </c>
      <c r="AH66" s="818">
        <f>-'Output CCS'!AE15</f>
        <v>0</v>
      </c>
      <c r="AI66" s="818">
        <f>-'Output CCS'!AF15</f>
        <v>0</v>
      </c>
      <c r="AJ66" s="818">
        <f>-'Output CCS'!AG15</f>
        <v>0</v>
      </c>
      <c r="AK66" s="818">
        <f>-'Output CCS'!AH15</f>
        <v>0</v>
      </c>
      <c r="AL66" s="818">
        <f>-'Output CCS'!AI15</f>
        <v>0</v>
      </c>
      <c r="AM66" s="818">
        <f>-'Output CCS'!AJ15</f>
        <v>0</v>
      </c>
      <c r="AN66" s="818">
        <f>-'Output CCS'!AK15</f>
        <v>0</v>
      </c>
      <c r="AO66" s="818">
        <f>-'Output CCS'!AL15</f>
        <v>0</v>
      </c>
      <c r="AP66" s="818">
        <f>-'Output CCS'!AM15</f>
        <v>0</v>
      </c>
      <c r="AQ66" s="818">
        <f>-'Output CCS'!AN15</f>
        <v>0</v>
      </c>
      <c r="AR66" s="818">
        <f>-'Output CCS'!AO15</f>
        <v>0</v>
      </c>
      <c r="AS66" s="818">
        <f>-'Output CCS'!AP15</f>
        <v>0</v>
      </c>
      <c r="AT66" s="818">
        <f>-'Output CCS'!AQ15</f>
        <v>0</v>
      </c>
      <c r="AU66" s="818">
        <f>-'Output CCS'!AR15</f>
        <v>0</v>
      </c>
      <c r="AV66" s="818">
        <f>-'Output CCS'!AS15</f>
        <v>0</v>
      </c>
      <c r="AW66" s="818">
        <f>-'Output CCS'!AT15</f>
        <v>0</v>
      </c>
      <c r="AX66" s="818">
        <f>-'Output CCS'!AU15</f>
        <v>0</v>
      </c>
      <c r="AY66" s="818">
        <f>-'Output CCS'!AV15</f>
        <v>0</v>
      </c>
      <c r="AZ66" s="818">
        <f>-'Output CCS'!AW15</f>
        <v>0</v>
      </c>
      <c r="BA66" s="818">
        <f>-'Output CCS'!AX15</f>
        <v>0</v>
      </c>
      <c r="BB66" s="818">
        <f>-'Output CCS'!AY15</f>
        <v>0</v>
      </c>
      <c r="BC66" s="818">
        <f>-'Output CCS'!AZ15</f>
        <v>0</v>
      </c>
      <c r="BD66" s="818">
        <f>-'Output CCS'!BA15</f>
        <v>0</v>
      </c>
      <c r="BE66" s="818">
        <f>-'Output CCS'!BB15</f>
        <v>0</v>
      </c>
    </row>
    <row r="67" spans="2:57" x14ac:dyDescent="0.25">
      <c r="B67" s="315"/>
      <c r="C67" s="795"/>
      <c r="D67" s="795"/>
      <c r="E67" s="819" t="str">
        <f>'Output CCS'!B16</f>
        <v>Heating and power generator</v>
      </c>
      <c r="F67" s="855" t="str">
        <f>'Output CCS'!C16</f>
        <v>[kEUR]</v>
      </c>
      <c r="G67" s="818">
        <f>-'Output CCS'!D16</f>
        <v>0</v>
      </c>
      <c r="H67" s="818">
        <f>-'Output CCS'!E16</f>
        <v>0</v>
      </c>
      <c r="I67" s="818"/>
      <c r="J67" s="818">
        <f>-'Output CCS'!G16</f>
        <v>0</v>
      </c>
      <c r="K67" s="818">
        <f>-'Output CCS'!H16</f>
        <v>0</v>
      </c>
      <c r="L67" s="818">
        <f>-'Output CCS'!I16</f>
        <v>0</v>
      </c>
      <c r="M67" s="818">
        <f>-'Output CCS'!J16</f>
        <v>0</v>
      </c>
      <c r="N67" s="818">
        <f>-'Output CCS'!K16</f>
        <v>0</v>
      </c>
      <c r="O67" s="818">
        <f>-'Output CCS'!L16</f>
        <v>0</v>
      </c>
      <c r="P67" s="818">
        <f>-'Output CCS'!M16</f>
        <v>0</v>
      </c>
      <c r="Q67" s="818">
        <f>-'Output CCS'!N16</f>
        <v>0</v>
      </c>
      <c r="R67" s="818">
        <f>-'Output CCS'!O16</f>
        <v>0</v>
      </c>
      <c r="S67" s="818">
        <f>-'Output CCS'!P16</f>
        <v>0</v>
      </c>
      <c r="T67" s="818">
        <f>-'Output CCS'!Q16</f>
        <v>0</v>
      </c>
      <c r="U67" s="818">
        <f>-'Output CCS'!R16</f>
        <v>0</v>
      </c>
      <c r="V67" s="818">
        <f>-'Output CCS'!S16</f>
        <v>0</v>
      </c>
      <c r="W67" s="818">
        <f>-'Output CCS'!T16</f>
        <v>0</v>
      </c>
      <c r="X67" s="818">
        <f>-'Output CCS'!U16</f>
        <v>0</v>
      </c>
      <c r="Y67" s="818">
        <f>-'Output CCS'!V16</f>
        <v>0</v>
      </c>
      <c r="Z67" s="818">
        <f>-'Output CCS'!W16</f>
        <v>0</v>
      </c>
      <c r="AA67" s="818">
        <f>-'Output CCS'!X16</f>
        <v>0</v>
      </c>
      <c r="AB67" s="818">
        <f>-'Output CCS'!Y16</f>
        <v>0</v>
      </c>
      <c r="AC67" s="818">
        <f>-'Output CCS'!Z16</f>
        <v>0</v>
      </c>
      <c r="AD67" s="818">
        <f>-'Output CCS'!AA16</f>
        <v>0</v>
      </c>
      <c r="AE67" s="818">
        <f>-'Output CCS'!AB16</f>
        <v>0</v>
      </c>
      <c r="AF67" s="818">
        <f>-'Output CCS'!AC16</f>
        <v>0</v>
      </c>
      <c r="AG67" s="818">
        <f>-'Output CCS'!AD16</f>
        <v>0</v>
      </c>
      <c r="AH67" s="818">
        <f>-'Output CCS'!AE16</f>
        <v>0</v>
      </c>
      <c r="AI67" s="818">
        <f>-'Output CCS'!AF16</f>
        <v>0</v>
      </c>
      <c r="AJ67" s="818">
        <f>-'Output CCS'!AG16</f>
        <v>0</v>
      </c>
      <c r="AK67" s="818">
        <f>-'Output CCS'!AH16</f>
        <v>0</v>
      </c>
      <c r="AL67" s="818">
        <f>-'Output CCS'!AI16</f>
        <v>0</v>
      </c>
      <c r="AM67" s="818">
        <f>-'Output CCS'!AJ16</f>
        <v>0</v>
      </c>
      <c r="AN67" s="818">
        <f>-'Output CCS'!AK16</f>
        <v>0</v>
      </c>
      <c r="AO67" s="818">
        <f>-'Output CCS'!AL16</f>
        <v>0</v>
      </c>
      <c r="AP67" s="818">
        <f>-'Output CCS'!AM16</f>
        <v>0</v>
      </c>
      <c r="AQ67" s="818">
        <f>-'Output CCS'!AN16</f>
        <v>0</v>
      </c>
      <c r="AR67" s="818">
        <f>-'Output CCS'!AO16</f>
        <v>0</v>
      </c>
      <c r="AS67" s="818">
        <f>-'Output CCS'!AP16</f>
        <v>0</v>
      </c>
      <c r="AT67" s="818">
        <f>-'Output CCS'!AQ16</f>
        <v>0</v>
      </c>
      <c r="AU67" s="818">
        <f>-'Output CCS'!AR16</f>
        <v>0</v>
      </c>
      <c r="AV67" s="818">
        <f>-'Output CCS'!AS16</f>
        <v>0</v>
      </c>
      <c r="AW67" s="818">
        <f>-'Output CCS'!AT16</f>
        <v>0</v>
      </c>
      <c r="AX67" s="818">
        <f>-'Output CCS'!AU16</f>
        <v>0</v>
      </c>
      <c r="AY67" s="818">
        <f>-'Output CCS'!AV16</f>
        <v>0</v>
      </c>
      <c r="AZ67" s="818">
        <f>-'Output CCS'!AW16</f>
        <v>0</v>
      </c>
      <c r="BA67" s="818">
        <f>-'Output CCS'!AX16</f>
        <v>0</v>
      </c>
      <c r="BB67" s="818">
        <f>-'Output CCS'!AY16</f>
        <v>0</v>
      </c>
      <c r="BC67" s="818">
        <f>-'Output CCS'!AZ16</f>
        <v>0</v>
      </c>
      <c r="BD67" s="818">
        <f>-'Output CCS'!BA16</f>
        <v>0</v>
      </c>
      <c r="BE67" s="818">
        <f>-'Output CCS'!BB16</f>
        <v>0</v>
      </c>
    </row>
    <row r="68" spans="2:57" x14ac:dyDescent="0.25">
      <c r="B68" s="315"/>
      <c r="C68" s="795"/>
      <c r="D68" s="795"/>
      <c r="E68" s="819" t="str">
        <f>'Output CCS'!B17</f>
        <v>Capex adjustments CCS on platform</v>
      </c>
      <c r="F68" s="855" t="str">
        <f>'Output CCS'!C17</f>
        <v>[kEUR]</v>
      </c>
      <c r="G68" s="818">
        <f>-'Output CCS'!D17</f>
        <v>0</v>
      </c>
      <c r="H68" s="818">
        <f>-'Output CCS'!E17</f>
        <v>0</v>
      </c>
      <c r="I68" s="818"/>
      <c r="J68" s="818">
        <f>-'Output CCS'!G17</f>
        <v>0</v>
      </c>
      <c r="K68" s="818">
        <f>-'Output CCS'!H17</f>
        <v>0</v>
      </c>
      <c r="L68" s="818">
        <f>-'Output CCS'!I17</f>
        <v>0</v>
      </c>
      <c r="M68" s="818">
        <f>-'Output CCS'!J17</f>
        <v>0</v>
      </c>
      <c r="N68" s="818">
        <f>-'Output CCS'!K17</f>
        <v>0</v>
      </c>
      <c r="O68" s="818">
        <f>-'Output CCS'!L17</f>
        <v>0</v>
      </c>
      <c r="P68" s="818">
        <f>-'Output CCS'!M17</f>
        <v>0</v>
      </c>
      <c r="Q68" s="818">
        <f>-'Output CCS'!N17</f>
        <v>0</v>
      </c>
      <c r="R68" s="818">
        <f>-'Output CCS'!O17</f>
        <v>0</v>
      </c>
      <c r="S68" s="818">
        <f>-'Output CCS'!P17</f>
        <v>0</v>
      </c>
      <c r="T68" s="818">
        <f>-'Output CCS'!Q17</f>
        <v>0</v>
      </c>
      <c r="U68" s="818">
        <f>-'Output CCS'!R17</f>
        <v>0</v>
      </c>
      <c r="V68" s="818">
        <f>-'Output CCS'!S17</f>
        <v>0</v>
      </c>
      <c r="W68" s="818">
        <f>-'Output CCS'!T17</f>
        <v>0</v>
      </c>
      <c r="X68" s="818">
        <f>-'Output CCS'!U17</f>
        <v>0</v>
      </c>
      <c r="Y68" s="818">
        <f>-'Output CCS'!V17</f>
        <v>0</v>
      </c>
      <c r="Z68" s="818">
        <f>-'Output CCS'!W17</f>
        <v>0</v>
      </c>
      <c r="AA68" s="818">
        <f>-'Output CCS'!X17</f>
        <v>0</v>
      </c>
      <c r="AB68" s="818">
        <f>-'Output CCS'!Y17</f>
        <v>0</v>
      </c>
      <c r="AC68" s="818">
        <f>-'Output CCS'!Z17</f>
        <v>0</v>
      </c>
      <c r="AD68" s="818">
        <f>-'Output CCS'!AA17</f>
        <v>0</v>
      </c>
      <c r="AE68" s="818">
        <f>-'Output CCS'!AB17</f>
        <v>0</v>
      </c>
      <c r="AF68" s="818">
        <f>-'Output CCS'!AC17</f>
        <v>0</v>
      </c>
      <c r="AG68" s="818">
        <f>-'Output CCS'!AD17</f>
        <v>0</v>
      </c>
      <c r="AH68" s="818">
        <f>-'Output CCS'!AE17</f>
        <v>0</v>
      </c>
      <c r="AI68" s="818">
        <f>-'Output CCS'!AF17</f>
        <v>0</v>
      </c>
      <c r="AJ68" s="818">
        <f>-'Output CCS'!AG17</f>
        <v>0</v>
      </c>
      <c r="AK68" s="818">
        <f>-'Output CCS'!AH17</f>
        <v>0</v>
      </c>
      <c r="AL68" s="818">
        <f>-'Output CCS'!AI17</f>
        <v>0</v>
      </c>
      <c r="AM68" s="818">
        <f>-'Output CCS'!AJ17</f>
        <v>0</v>
      </c>
      <c r="AN68" s="818">
        <f>-'Output CCS'!AK17</f>
        <v>0</v>
      </c>
      <c r="AO68" s="818">
        <f>-'Output CCS'!AL17</f>
        <v>0</v>
      </c>
      <c r="AP68" s="818">
        <f>-'Output CCS'!AM17</f>
        <v>0</v>
      </c>
      <c r="AQ68" s="818">
        <f>-'Output CCS'!AN17</f>
        <v>0</v>
      </c>
      <c r="AR68" s="818">
        <f>-'Output CCS'!AO17</f>
        <v>0</v>
      </c>
      <c r="AS68" s="818">
        <f>-'Output CCS'!AP17</f>
        <v>0</v>
      </c>
      <c r="AT68" s="818">
        <f>-'Output CCS'!AQ17</f>
        <v>0</v>
      </c>
      <c r="AU68" s="818">
        <f>-'Output CCS'!AR17</f>
        <v>0</v>
      </c>
      <c r="AV68" s="818">
        <f>-'Output CCS'!AS17</f>
        <v>0</v>
      </c>
      <c r="AW68" s="818">
        <f>-'Output CCS'!AT17</f>
        <v>0</v>
      </c>
      <c r="AX68" s="818">
        <f>-'Output CCS'!AU17</f>
        <v>0</v>
      </c>
      <c r="AY68" s="818">
        <f>-'Output CCS'!AV17</f>
        <v>0</v>
      </c>
      <c r="AZ68" s="818">
        <f>-'Output CCS'!AW17</f>
        <v>0</v>
      </c>
      <c r="BA68" s="818">
        <f>-'Output CCS'!AX17</f>
        <v>0</v>
      </c>
      <c r="BB68" s="818">
        <f>-'Output CCS'!AY17</f>
        <v>0</v>
      </c>
      <c r="BC68" s="818">
        <f>-'Output CCS'!AZ17</f>
        <v>0</v>
      </c>
      <c r="BD68" s="818">
        <f>-'Output CCS'!BA17</f>
        <v>0</v>
      </c>
      <c r="BE68" s="818">
        <f>-'Output CCS'!BB17</f>
        <v>0</v>
      </c>
    </row>
    <row r="69" spans="2:57" x14ac:dyDescent="0.25">
      <c r="B69" s="315"/>
      <c r="C69" s="795"/>
      <c r="D69" s="795"/>
      <c r="E69" s="819" t="str">
        <f>'Output CCS'!B18</f>
        <v>Capex cable (CCS)</v>
      </c>
      <c r="F69" s="855" t="str">
        <f>'Output CCS'!C18</f>
        <v>[kEUR]</v>
      </c>
      <c r="G69" s="818">
        <f>-'Output CCS'!D18</f>
        <v>0</v>
      </c>
      <c r="H69" s="818">
        <f>-'Output CCS'!E18</f>
        <v>0</v>
      </c>
      <c r="I69" s="818"/>
      <c r="J69" s="818">
        <f>-'Output CCS'!G18</f>
        <v>0</v>
      </c>
      <c r="K69" s="818">
        <f>-'Output CCS'!H18</f>
        <v>0</v>
      </c>
      <c r="L69" s="818">
        <f>-'Output CCS'!I18</f>
        <v>0</v>
      </c>
      <c r="M69" s="818">
        <f>-'Output CCS'!J18</f>
        <v>0</v>
      </c>
      <c r="N69" s="818">
        <f>-'Output CCS'!K18</f>
        <v>0</v>
      </c>
      <c r="O69" s="818">
        <f>-'Output CCS'!L18</f>
        <v>0</v>
      </c>
      <c r="P69" s="818">
        <f>-'Output CCS'!M18</f>
        <v>0</v>
      </c>
      <c r="Q69" s="818">
        <f>-'Output CCS'!N18</f>
        <v>0</v>
      </c>
      <c r="R69" s="818">
        <f>-'Output CCS'!O18</f>
        <v>0</v>
      </c>
      <c r="S69" s="818">
        <f>-'Output CCS'!P18</f>
        <v>0</v>
      </c>
      <c r="T69" s="818">
        <f>-'Output CCS'!Q18</f>
        <v>0</v>
      </c>
      <c r="U69" s="818">
        <f>-'Output CCS'!R18</f>
        <v>0</v>
      </c>
      <c r="V69" s="818">
        <f>-'Output CCS'!S18</f>
        <v>0</v>
      </c>
      <c r="W69" s="818">
        <f>-'Output CCS'!T18</f>
        <v>0</v>
      </c>
      <c r="X69" s="818">
        <f>-'Output CCS'!U18</f>
        <v>0</v>
      </c>
      <c r="Y69" s="818">
        <f>-'Output CCS'!V18</f>
        <v>0</v>
      </c>
      <c r="Z69" s="818">
        <f>-'Output CCS'!W18</f>
        <v>0</v>
      </c>
      <c r="AA69" s="818">
        <f>-'Output CCS'!X18</f>
        <v>0</v>
      </c>
      <c r="AB69" s="818">
        <f>-'Output CCS'!Y18</f>
        <v>0</v>
      </c>
      <c r="AC69" s="818">
        <f>-'Output CCS'!Z18</f>
        <v>0</v>
      </c>
      <c r="AD69" s="818">
        <f>-'Output CCS'!AA18</f>
        <v>0</v>
      </c>
      <c r="AE69" s="818">
        <f>-'Output CCS'!AB18</f>
        <v>0</v>
      </c>
      <c r="AF69" s="818">
        <f>-'Output CCS'!AC18</f>
        <v>0</v>
      </c>
      <c r="AG69" s="818">
        <f>-'Output CCS'!AD18</f>
        <v>0</v>
      </c>
      <c r="AH69" s="818">
        <f>-'Output CCS'!AE18</f>
        <v>0</v>
      </c>
      <c r="AI69" s="818">
        <f>-'Output CCS'!AF18</f>
        <v>0</v>
      </c>
      <c r="AJ69" s="818">
        <f>-'Output CCS'!AG18</f>
        <v>0</v>
      </c>
      <c r="AK69" s="818">
        <f>-'Output CCS'!AH18</f>
        <v>0</v>
      </c>
      <c r="AL69" s="818">
        <f>-'Output CCS'!AI18</f>
        <v>0</v>
      </c>
      <c r="AM69" s="818">
        <f>-'Output CCS'!AJ18</f>
        <v>0</v>
      </c>
      <c r="AN69" s="818">
        <f>-'Output CCS'!AK18</f>
        <v>0</v>
      </c>
      <c r="AO69" s="818">
        <f>-'Output CCS'!AL18</f>
        <v>0</v>
      </c>
      <c r="AP69" s="818">
        <f>-'Output CCS'!AM18</f>
        <v>0</v>
      </c>
      <c r="AQ69" s="818">
        <f>-'Output CCS'!AN18</f>
        <v>0</v>
      </c>
      <c r="AR69" s="818">
        <f>-'Output CCS'!AO18</f>
        <v>0</v>
      </c>
      <c r="AS69" s="818">
        <f>-'Output CCS'!AP18</f>
        <v>0</v>
      </c>
      <c r="AT69" s="818">
        <f>-'Output CCS'!AQ18</f>
        <v>0</v>
      </c>
      <c r="AU69" s="818">
        <f>-'Output CCS'!AR18</f>
        <v>0</v>
      </c>
      <c r="AV69" s="818">
        <f>-'Output CCS'!AS18</f>
        <v>0</v>
      </c>
      <c r="AW69" s="818">
        <f>-'Output CCS'!AT18</f>
        <v>0</v>
      </c>
      <c r="AX69" s="818">
        <f>-'Output CCS'!AU18</f>
        <v>0</v>
      </c>
      <c r="AY69" s="818">
        <f>-'Output CCS'!AV18</f>
        <v>0</v>
      </c>
      <c r="AZ69" s="818">
        <f>-'Output CCS'!AW18</f>
        <v>0</v>
      </c>
      <c r="BA69" s="818">
        <f>-'Output CCS'!AX18</f>
        <v>0</v>
      </c>
      <c r="BB69" s="818">
        <f>-'Output CCS'!AY18</f>
        <v>0</v>
      </c>
      <c r="BC69" s="818">
        <f>-'Output CCS'!AZ18</f>
        <v>0</v>
      </c>
      <c r="BD69" s="818">
        <f>-'Output CCS'!BA18</f>
        <v>0</v>
      </c>
      <c r="BE69" s="818">
        <f>-'Output CCS'!BB18</f>
        <v>0</v>
      </c>
    </row>
    <row r="70" spans="2:57" x14ac:dyDescent="0.25">
      <c r="B70" s="315"/>
      <c r="C70" s="795"/>
      <c r="D70" s="795"/>
      <c r="E70" s="819" t="str">
        <f>'Output CCS'!B19</f>
        <v>Capex booster</v>
      </c>
      <c r="F70" s="855" t="str">
        <f>'Output CCS'!C19</f>
        <v>[kEUR]</v>
      </c>
      <c r="G70" s="818">
        <f>-'Output CCS'!D19</f>
        <v>0</v>
      </c>
      <c r="H70" s="818">
        <f>-'Output CCS'!E19</f>
        <v>0</v>
      </c>
      <c r="I70" s="818"/>
      <c r="J70" s="818">
        <f>-'Output CCS'!G19</f>
        <v>0</v>
      </c>
      <c r="K70" s="818">
        <f>-'Output CCS'!H19</f>
        <v>0</v>
      </c>
      <c r="L70" s="818">
        <f>-'Output CCS'!I19</f>
        <v>0</v>
      </c>
      <c r="M70" s="818">
        <f>-'Output CCS'!J19</f>
        <v>0</v>
      </c>
      <c r="N70" s="818">
        <f>-'Output CCS'!K19</f>
        <v>0</v>
      </c>
      <c r="O70" s="818">
        <f>-'Output CCS'!L19</f>
        <v>0</v>
      </c>
      <c r="P70" s="818">
        <f>-'Output CCS'!M19</f>
        <v>0</v>
      </c>
      <c r="Q70" s="818">
        <f>-'Output CCS'!N19</f>
        <v>0</v>
      </c>
      <c r="R70" s="818">
        <f>-'Output CCS'!O19</f>
        <v>0</v>
      </c>
      <c r="S70" s="818">
        <f>-'Output CCS'!P19</f>
        <v>0</v>
      </c>
      <c r="T70" s="818">
        <f>-'Output CCS'!Q19</f>
        <v>0</v>
      </c>
      <c r="U70" s="818">
        <f>-'Output CCS'!R19</f>
        <v>0</v>
      </c>
      <c r="V70" s="818">
        <f>-'Output CCS'!S19</f>
        <v>0</v>
      </c>
      <c r="W70" s="818">
        <f>-'Output CCS'!T19</f>
        <v>0</v>
      </c>
      <c r="X70" s="818">
        <f>-'Output CCS'!U19</f>
        <v>0</v>
      </c>
      <c r="Y70" s="818">
        <f>-'Output CCS'!V19</f>
        <v>0</v>
      </c>
      <c r="Z70" s="818">
        <f>-'Output CCS'!W19</f>
        <v>0</v>
      </c>
      <c r="AA70" s="818">
        <f>-'Output CCS'!X19</f>
        <v>0</v>
      </c>
      <c r="AB70" s="818">
        <f>-'Output CCS'!Y19</f>
        <v>0</v>
      </c>
      <c r="AC70" s="818">
        <f>-'Output CCS'!Z19</f>
        <v>0</v>
      </c>
      <c r="AD70" s="818">
        <f>-'Output CCS'!AA19</f>
        <v>0</v>
      </c>
      <c r="AE70" s="818">
        <f>-'Output CCS'!AB19</f>
        <v>0</v>
      </c>
      <c r="AF70" s="818">
        <f>-'Output CCS'!AC19</f>
        <v>0</v>
      </c>
      <c r="AG70" s="818">
        <f>-'Output CCS'!AD19</f>
        <v>0</v>
      </c>
      <c r="AH70" s="818">
        <f>-'Output CCS'!AE19</f>
        <v>0</v>
      </c>
      <c r="AI70" s="818">
        <f>-'Output CCS'!AF19</f>
        <v>0</v>
      </c>
      <c r="AJ70" s="818">
        <f>-'Output CCS'!AG19</f>
        <v>0</v>
      </c>
      <c r="AK70" s="818">
        <f>-'Output CCS'!AH19</f>
        <v>0</v>
      </c>
      <c r="AL70" s="818">
        <f>-'Output CCS'!AI19</f>
        <v>0</v>
      </c>
      <c r="AM70" s="818">
        <f>-'Output CCS'!AJ19</f>
        <v>0</v>
      </c>
      <c r="AN70" s="818">
        <f>-'Output CCS'!AK19</f>
        <v>0</v>
      </c>
      <c r="AO70" s="818">
        <f>-'Output CCS'!AL19</f>
        <v>0</v>
      </c>
      <c r="AP70" s="818">
        <f>-'Output CCS'!AM19</f>
        <v>0</v>
      </c>
      <c r="AQ70" s="818">
        <f>-'Output CCS'!AN19</f>
        <v>0</v>
      </c>
      <c r="AR70" s="818">
        <f>-'Output CCS'!AO19</f>
        <v>0</v>
      </c>
      <c r="AS70" s="818">
        <f>-'Output CCS'!AP19</f>
        <v>0</v>
      </c>
      <c r="AT70" s="818">
        <f>-'Output CCS'!AQ19</f>
        <v>0</v>
      </c>
      <c r="AU70" s="818">
        <f>-'Output CCS'!AR19</f>
        <v>0</v>
      </c>
      <c r="AV70" s="818">
        <f>-'Output CCS'!AS19</f>
        <v>0</v>
      </c>
      <c r="AW70" s="818">
        <f>-'Output CCS'!AT19</f>
        <v>0</v>
      </c>
      <c r="AX70" s="818">
        <f>-'Output CCS'!AU19</f>
        <v>0</v>
      </c>
      <c r="AY70" s="818">
        <f>-'Output CCS'!AV19</f>
        <v>0</v>
      </c>
      <c r="AZ70" s="818">
        <f>-'Output CCS'!AW19</f>
        <v>0</v>
      </c>
      <c r="BA70" s="818">
        <f>-'Output CCS'!AX19</f>
        <v>0</v>
      </c>
      <c r="BB70" s="818">
        <f>-'Output CCS'!AY19</f>
        <v>0</v>
      </c>
      <c r="BC70" s="818">
        <f>-'Output CCS'!AZ19</f>
        <v>0</v>
      </c>
      <c r="BD70" s="818">
        <f>-'Output CCS'!BA19</f>
        <v>0</v>
      </c>
      <c r="BE70" s="818">
        <f>-'Output CCS'!BB19</f>
        <v>0</v>
      </c>
    </row>
    <row r="71" spans="2:57" x14ac:dyDescent="0.25">
      <c r="B71" s="315"/>
      <c r="C71" s="795"/>
      <c r="D71" s="795"/>
      <c r="E71" s="819" t="str">
        <f>'Output CCS'!B20</f>
        <v>Total capex new platforms (CCS)</v>
      </c>
      <c r="F71" s="855" t="str">
        <f>'Output CCS'!C20</f>
        <v>[kEUR]</v>
      </c>
      <c r="G71" s="818">
        <f>-'Output CCS'!D20</f>
        <v>0</v>
      </c>
      <c r="H71" s="818">
        <f>-'Output CCS'!E20</f>
        <v>0</v>
      </c>
      <c r="I71" s="818"/>
      <c r="J71" s="818">
        <f>-'Output CCS'!G20</f>
        <v>0</v>
      </c>
      <c r="K71" s="818">
        <f>-'Output CCS'!H20</f>
        <v>0</v>
      </c>
      <c r="L71" s="818">
        <f>-'Output CCS'!I20</f>
        <v>0</v>
      </c>
      <c r="M71" s="818">
        <f>-'Output CCS'!J20</f>
        <v>0</v>
      </c>
      <c r="N71" s="818">
        <f>-'Output CCS'!K20</f>
        <v>0</v>
      </c>
      <c r="O71" s="818">
        <f>-'Output CCS'!L20</f>
        <v>0</v>
      </c>
      <c r="P71" s="818">
        <f>-'Output CCS'!M20</f>
        <v>0</v>
      </c>
      <c r="Q71" s="818">
        <f>-'Output CCS'!N20</f>
        <v>0</v>
      </c>
      <c r="R71" s="818">
        <f>-'Output CCS'!O20</f>
        <v>0</v>
      </c>
      <c r="S71" s="818">
        <f>-'Output CCS'!P20</f>
        <v>0</v>
      </c>
      <c r="T71" s="818">
        <f>-'Output CCS'!Q20</f>
        <v>0</v>
      </c>
      <c r="U71" s="818">
        <f>-'Output CCS'!R20</f>
        <v>0</v>
      </c>
      <c r="V71" s="818">
        <f>-'Output CCS'!S20</f>
        <v>0</v>
      </c>
      <c r="W71" s="818">
        <f>-'Output CCS'!T20</f>
        <v>0</v>
      </c>
      <c r="X71" s="818">
        <f>-'Output CCS'!U20</f>
        <v>0</v>
      </c>
      <c r="Y71" s="818">
        <f>-'Output CCS'!V20</f>
        <v>0</v>
      </c>
      <c r="Z71" s="818">
        <f>-'Output CCS'!W20</f>
        <v>0</v>
      </c>
      <c r="AA71" s="818">
        <f>-'Output CCS'!X20</f>
        <v>0</v>
      </c>
      <c r="AB71" s="818">
        <f>-'Output CCS'!Y20</f>
        <v>0</v>
      </c>
      <c r="AC71" s="818">
        <f>-'Output CCS'!Z20</f>
        <v>0</v>
      </c>
      <c r="AD71" s="818">
        <f>-'Output CCS'!AA20</f>
        <v>0</v>
      </c>
      <c r="AE71" s="818">
        <f>-'Output CCS'!AB20</f>
        <v>0</v>
      </c>
      <c r="AF71" s="818">
        <f>-'Output CCS'!AC20</f>
        <v>0</v>
      </c>
      <c r="AG71" s="818">
        <f>-'Output CCS'!AD20</f>
        <v>0</v>
      </c>
      <c r="AH71" s="818">
        <f>-'Output CCS'!AE20</f>
        <v>0</v>
      </c>
      <c r="AI71" s="818">
        <f>-'Output CCS'!AF20</f>
        <v>0</v>
      </c>
      <c r="AJ71" s="818">
        <f>-'Output CCS'!AG20</f>
        <v>0</v>
      </c>
      <c r="AK71" s="818">
        <f>-'Output CCS'!AH20</f>
        <v>0</v>
      </c>
      <c r="AL71" s="818">
        <f>-'Output CCS'!AI20</f>
        <v>0</v>
      </c>
      <c r="AM71" s="818">
        <f>-'Output CCS'!AJ20</f>
        <v>0</v>
      </c>
      <c r="AN71" s="818">
        <f>-'Output CCS'!AK20</f>
        <v>0</v>
      </c>
      <c r="AO71" s="818">
        <f>-'Output CCS'!AL20</f>
        <v>0</v>
      </c>
      <c r="AP71" s="818">
        <f>-'Output CCS'!AM20</f>
        <v>0</v>
      </c>
      <c r="AQ71" s="818">
        <f>-'Output CCS'!AN20</f>
        <v>0</v>
      </c>
      <c r="AR71" s="818">
        <f>-'Output CCS'!AO20</f>
        <v>0</v>
      </c>
      <c r="AS71" s="818">
        <f>-'Output CCS'!AP20</f>
        <v>0</v>
      </c>
      <c r="AT71" s="818">
        <f>-'Output CCS'!AQ20</f>
        <v>0</v>
      </c>
      <c r="AU71" s="818">
        <f>-'Output CCS'!AR20</f>
        <v>0</v>
      </c>
      <c r="AV71" s="818">
        <f>-'Output CCS'!AS20</f>
        <v>0</v>
      </c>
      <c r="AW71" s="818">
        <f>-'Output CCS'!AT20</f>
        <v>0</v>
      </c>
      <c r="AX71" s="818">
        <f>-'Output CCS'!AU20</f>
        <v>0</v>
      </c>
      <c r="AY71" s="818">
        <f>-'Output CCS'!AV20</f>
        <v>0</v>
      </c>
      <c r="AZ71" s="818">
        <f>-'Output CCS'!AW20</f>
        <v>0</v>
      </c>
      <c r="BA71" s="818">
        <f>-'Output CCS'!AX20</f>
        <v>0</v>
      </c>
      <c r="BB71" s="818">
        <f>-'Output CCS'!AY20</f>
        <v>0</v>
      </c>
      <c r="BC71" s="818">
        <f>-'Output CCS'!AZ20</f>
        <v>0</v>
      </c>
      <c r="BD71" s="818">
        <f>-'Output CCS'!BA20</f>
        <v>0</v>
      </c>
      <c r="BE71" s="818">
        <f>-'Output CCS'!BB20</f>
        <v>0</v>
      </c>
    </row>
    <row r="72" spans="2:57" x14ac:dyDescent="0.25">
      <c r="B72" s="315"/>
      <c r="C72" s="795"/>
      <c r="D72" s="795"/>
      <c r="E72" s="819" t="str">
        <f>'Output CCS'!B21</f>
        <v>Decom cost CCS phase</v>
      </c>
      <c r="F72" s="855" t="str">
        <f>'Output CCS'!C21</f>
        <v>[kEUR]</v>
      </c>
      <c r="G72" s="818">
        <f>-'Output CCS'!D21</f>
        <v>-21822.857142857145</v>
      </c>
      <c r="H72" s="818">
        <f>-'Output CCS'!E21</f>
        <v>-1250.6363717552026</v>
      </c>
      <c r="I72" s="818"/>
      <c r="J72" s="818">
        <f>-'Output CCS'!G21</f>
        <v>0</v>
      </c>
      <c r="K72" s="818">
        <f>-'Output CCS'!H21</f>
        <v>0</v>
      </c>
      <c r="L72" s="818">
        <f>-'Output CCS'!I21</f>
        <v>0</v>
      </c>
      <c r="M72" s="818">
        <f>-'Output CCS'!J21</f>
        <v>0</v>
      </c>
      <c r="N72" s="818">
        <f>-'Output CCS'!K21</f>
        <v>0</v>
      </c>
      <c r="O72" s="818">
        <f>-'Output CCS'!L21</f>
        <v>0</v>
      </c>
      <c r="P72" s="818">
        <f>-'Output CCS'!M21</f>
        <v>0</v>
      </c>
      <c r="Q72" s="818">
        <f>-'Output CCS'!N21</f>
        <v>0</v>
      </c>
      <c r="R72" s="818">
        <f>-'Output CCS'!O21</f>
        <v>0</v>
      </c>
      <c r="S72" s="818">
        <f>-'Output CCS'!P21</f>
        <v>0</v>
      </c>
      <c r="T72" s="818">
        <f>-'Output CCS'!Q21</f>
        <v>0</v>
      </c>
      <c r="U72" s="818">
        <f>-'Output CCS'!R21</f>
        <v>0</v>
      </c>
      <c r="V72" s="818">
        <f>-'Output CCS'!S21</f>
        <v>0</v>
      </c>
      <c r="W72" s="818">
        <f>-'Output CCS'!T21</f>
        <v>0</v>
      </c>
      <c r="X72" s="818">
        <f>-'Output CCS'!U21</f>
        <v>0</v>
      </c>
      <c r="Y72" s="818">
        <f>-'Output CCS'!V21</f>
        <v>0</v>
      </c>
      <c r="Z72" s="818">
        <f>-'Output CCS'!W21</f>
        <v>0</v>
      </c>
      <c r="AA72" s="818">
        <f>-'Output CCS'!X21</f>
        <v>0</v>
      </c>
      <c r="AB72" s="818">
        <f>-'Output CCS'!Y21</f>
        <v>0</v>
      </c>
      <c r="AC72" s="818">
        <f>-'Output CCS'!Z21</f>
        <v>0</v>
      </c>
      <c r="AD72" s="818">
        <f>-'Output CCS'!AA21</f>
        <v>0</v>
      </c>
      <c r="AE72" s="818">
        <f>-'Output CCS'!AB21</f>
        <v>0</v>
      </c>
      <c r="AF72" s="818">
        <f>-'Output CCS'!AC21</f>
        <v>0</v>
      </c>
      <c r="AG72" s="818">
        <f>-'Output CCS'!AD21</f>
        <v>0</v>
      </c>
      <c r="AH72" s="818">
        <f>-'Output CCS'!AE21</f>
        <v>0</v>
      </c>
      <c r="AI72" s="818">
        <f>-'Output CCS'!AF21</f>
        <v>0</v>
      </c>
      <c r="AJ72" s="818">
        <f>-'Output CCS'!AG21</f>
        <v>0</v>
      </c>
      <c r="AK72" s="818">
        <f>-'Output CCS'!AH21</f>
        <v>0</v>
      </c>
      <c r="AL72" s="818">
        <f>-'Output CCS'!AI21</f>
        <v>0</v>
      </c>
      <c r="AM72" s="818">
        <f>-'Output CCS'!AJ21</f>
        <v>0</v>
      </c>
      <c r="AN72" s="818">
        <f>-'Output CCS'!AK21</f>
        <v>-21822.857142857145</v>
      </c>
      <c r="AO72" s="818">
        <f>-'Output CCS'!AL21</f>
        <v>0</v>
      </c>
      <c r="AP72" s="818">
        <f>-'Output CCS'!AM21</f>
        <v>0</v>
      </c>
      <c r="AQ72" s="818">
        <f>-'Output CCS'!AN21</f>
        <v>0</v>
      </c>
      <c r="AR72" s="818">
        <f>-'Output CCS'!AO21</f>
        <v>0</v>
      </c>
      <c r="AS72" s="818">
        <f>-'Output CCS'!AP21</f>
        <v>0</v>
      </c>
      <c r="AT72" s="818">
        <f>-'Output CCS'!AQ21</f>
        <v>0</v>
      </c>
      <c r="AU72" s="818">
        <f>-'Output CCS'!AR21</f>
        <v>0</v>
      </c>
      <c r="AV72" s="818">
        <f>-'Output CCS'!AS21</f>
        <v>0</v>
      </c>
      <c r="AW72" s="818">
        <f>-'Output CCS'!AT21</f>
        <v>0</v>
      </c>
      <c r="AX72" s="818">
        <f>-'Output CCS'!AU21</f>
        <v>0</v>
      </c>
      <c r="AY72" s="818">
        <f>-'Output CCS'!AV21</f>
        <v>0</v>
      </c>
      <c r="AZ72" s="818">
        <f>-'Output CCS'!AW21</f>
        <v>0</v>
      </c>
      <c r="BA72" s="818">
        <f>-'Output CCS'!AX21</f>
        <v>0</v>
      </c>
      <c r="BB72" s="818">
        <f>-'Output CCS'!AY21</f>
        <v>0</v>
      </c>
      <c r="BC72" s="818">
        <f>-'Output CCS'!AZ21</f>
        <v>0</v>
      </c>
      <c r="BD72" s="818">
        <f>-'Output CCS'!BA21</f>
        <v>0</v>
      </c>
      <c r="BE72" s="818">
        <f>-'Output CCS'!BB21</f>
        <v>0</v>
      </c>
    </row>
    <row r="73" spans="2:57" x14ac:dyDescent="0.25">
      <c r="B73" s="315"/>
      <c r="C73" s="795"/>
      <c r="D73" s="795"/>
      <c r="E73" s="856"/>
      <c r="F73" s="856"/>
      <c r="G73" s="856"/>
      <c r="H73" s="856"/>
      <c r="I73" s="856"/>
      <c r="J73" s="856"/>
      <c r="K73" s="856"/>
      <c r="L73" s="856"/>
      <c r="M73" s="856"/>
      <c r="N73" s="856"/>
      <c r="O73" s="856"/>
      <c r="P73" s="856"/>
      <c r="Q73" s="856"/>
      <c r="R73" s="856"/>
      <c r="S73" s="856"/>
      <c r="T73" s="856"/>
      <c r="U73" s="856"/>
      <c r="V73" s="856"/>
      <c r="W73" s="856"/>
      <c r="X73" s="856"/>
      <c r="Y73" s="856"/>
      <c r="Z73" s="856"/>
      <c r="AA73" s="856"/>
      <c r="AB73" s="856"/>
      <c r="AC73" s="856"/>
      <c r="AD73" s="856"/>
      <c r="AE73" s="856"/>
      <c r="AF73" s="856"/>
      <c r="AG73" s="856"/>
      <c r="AH73" s="856"/>
      <c r="AI73" s="856"/>
      <c r="AJ73" s="856"/>
      <c r="AK73" s="856"/>
      <c r="AL73" s="856"/>
      <c r="AM73" s="856"/>
      <c r="AN73" s="856"/>
      <c r="AO73" s="856"/>
      <c r="AP73" s="856"/>
      <c r="AQ73" s="856"/>
      <c r="AR73" s="856"/>
      <c r="AS73" s="856"/>
      <c r="AT73" s="856"/>
      <c r="AU73" s="856"/>
      <c r="AV73" s="856"/>
      <c r="AW73" s="856"/>
      <c r="AX73" s="856"/>
      <c r="AY73" s="856"/>
      <c r="AZ73" s="856"/>
      <c r="BA73" s="856"/>
      <c r="BB73" s="856"/>
      <c r="BC73" s="856"/>
      <c r="BD73" s="856"/>
      <c r="BE73" s="856"/>
    </row>
    <row r="74" spans="2:57" x14ac:dyDescent="0.25">
      <c r="B74" s="315"/>
      <c r="C74" s="795"/>
      <c r="D74" s="795"/>
      <c r="E74" s="805" t="str">
        <f>'Output CCS'!B23</f>
        <v>Exploitation (OPEX)</v>
      </c>
      <c r="F74" s="805" t="str">
        <f>'Output CCS'!C23</f>
        <v>[kEUR]</v>
      </c>
      <c r="G74" s="804">
        <f>-'Output CCS'!D23</f>
        <v>-258569.40746278386</v>
      </c>
      <c r="H74" s="804">
        <f>-'Output CCS'!E23</f>
        <v>-31856.298721456205</v>
      </c>
      <c r="I74" s="804"/>
      <c r="J74" s="804">
        <f>-'Output CCS'!G23</f>
        <v>0</v>
      </c>
      <c r="K74" s="804">
        <f>-'Output CCS'!H23</f>
        <v>0</v>
      </c>
      <c r="L74" s="804">
        <f>-'Output CCS'!I23</f>
        <v>0</v>
      </c>
      <c r="M74" s="804">
        <f>-'Output CCS'!J23</f>
        <v>0</v>
      </c>
      <c r="N74" s="804">
        <f>-'Output CCS'!K23</f>
        <v>0</v>
      </c>
      <c r="O74" s="804">
        <f>-'Output CCS'!L23</f>
        <v>0</v>
      </c>
      <c r="P74" s="804">
        <f>-'Output CCS'!M23</f>
        <v>0</v>
      </c>
      <c r="Q74" s="804">
        <f>-'Output CCS'!N23</f>
        <v>0</v>
      </c>
      <c r="R74" s="804">
        <f>-'Output CCS'!O23</f>
        <v>0</v>
      </c>
      <c r="S74" s="804">
        <f>-'Output CCS'!P23</f>
        <v>0</v>
      </c>
      <c r="T74" s="804">
        <f>-'Output CCS'!Q23</f>
        <v>0</v>
      </c>
      <c r="U74" s="804">
        <f>-'Output CCS'!R23</f>
        <v>0</v>
      </c>
      <c r="V74" s="804">
        <f>-'Output CCS'!S23</f>
        <v>0</v>
      </c>
      <c r="W74" s="804">
        <f>-'Output CCS'!T23</f>
        <v>0</v>
      </c>
      <c r="X74" s="804">
        <f>-'Output CCS'!U23</f>
        <v>0</v>
      </c>
      <c r="Y74" s="804">
        <f>-'Output CCS'!V23</f>
        <v>-13993.487171770188</v>
      </c>
      <c r="Z74" s="804">
        <f>-'Output CCS'!W23</f>
        <v>-14273.86684466266</v>
      </c>
      <c r="AA74" s="804">
        <f>-'Output CCS'!X23</f>
        <v>-14559.864309602122</v>
      </c>
      <c r="AB74" s="804">
        <f>-'Output CCS'!Y23</f>
        <v>-14851.592126401292</v>
      </c>
      <c r="AC74" s="804">
        <f>-'Output CCS'!Z23</f>
        <v>-15149.165110148591</v>
      </c>
      <c r="AD74" s="804">
        <f>-'Output CCS'!AA23</f>
        <v>-15452.700376395223</v>
      </c>
      <c r="AE74" s="804">
        <f>-'Output CCS'!AB23</f>
        <v>-15762.317387247662</v>
      </c>
      <c r="AF74" s="804">
        <f>-'Output CCS'!AC23</f>
        <v>-16078.137998383638</v>
      </c>
      <c r="AG74" s="804">
        <f>-'Output CCS'!AD23</f>
        <v>-16399.700758351304</v>
      </c>
      <c r="AH74" s="804">
        <f>-'Output CCS'!AE23</f>
        <v>-16727.694773518331</v>
      </c>
      <c r="AI74" s="804">
        <f>-'Output CCS'!AF23</f>
        <v>-17062.248668988701</v>
      </c>
      <c r="AJ74" s="804">
        <f>-'Output CCS'!AG23</f>
        <v>-17403.493642368478</v>
      </c>
      <c r="AK74" s="804">
        <f>-'Output CCS'!AH23</f>
        <v>-17751.563515215843</v>
      </c>
      <c r="AL74" s="804">
        <f>-'Output CCS'!AI23</f>
        <v>-18106.594785520163</v>
      </c>
      <c r="AM74" s="804">
        <f>-'Output CCS'!AJ23</f>
        <v>-18468.726681230564</v>
      </c>
      <c r="AN74" s="804">
        <f>-'Output CCS'!AK23</f>
        <v>-1509.4679867527943</v>
      </c>
      <c r="AO74" s="804">
        <f>-'Output CCS'!AL23</f>
        <v>-1539.65734648785</v>
      </c>
      <c r="AP74" s="804">
        <f>-'Output CCS'!AM23</f>
        <v>-1570.450493417607</v>
      </c>
      <c r="AQ74" s="804">
        <f>-'Output CCS'!AN23</f>
        <v>-1601.8595032859596</v>
      </c>
      <c r="AR74" s="804">
        <f>-'Output CCS'!AO23</f>
        <v>-1633.8966933516786</v>
      </c>
      <c r="AS74" s="804">
        <f>-'Output CCS'!AP23</f>
        <v>-1666.5746272187121</v>
      </c>
      <c r="AT74" s="804">
        <f>-'Output CCS'!AQ23</f>
        <v>-1699.9061197630863</v>
      </c>
      <c r="AU74" s="804">
        <f>-'Output CCS'!AR23</f>
        <v>-1733.9042421583481</v>
      </c>
      <c r="AV74" s="804">
        <f>-'Output CCS'!AS23</f>
        <v>-1768.5823270015153</v>
      </c>
      <c r="AW74" s="804">
        <f>-'Output CCS'!AT23</f>
        <v>-1803.9539735415449</v>
      </c>
      <c r="AX74" s="804">
        <f>-'Output CCS'!AU23</f>
        <v>0</v>
      </c>
      <c r="AY74" s="804">
        <f>-'Output CCS'!AV23</f>
        <v>0</v>
      </c>
      <c r="AZ74" s="804">
        <f>-'Output CCS'!AW23</f>
        <v>0</v>
      </c>
      <c r="BA74" s="804">
        <f>-'Output CCS'!AX23</f>
        <v>0</v>
      </c>
      <c r="BB74" s="804">
        <f>-'Output CCS'!AY23</f>
        <v>0</v>
      </c>
      <c r="BC74" s="804">
        <f>-'Output CCS'!AZ23</f>
        <v>0</v>
      </c>
      <c r="BD74" s="804">
        <f>-'Output CCS'!BA23</f>
        <v>0</v>
      </c>
      <c r="BE74" s="804">
        <f>-'Output CCS'!BB23</f>
        <v>0</v>
      </c>
    </row>
    <row r="75" spans="2:57" x14ac:dyDescent="0.25">
      <c r="B75" s="315"/>
      <c r="C75" s="795"/>
      <c r="D75" s="795"/>
      <c r="E75" s="816" t="str">
        <f>'Output CCS'!B24</f>
        <v>Electricity used combined onshore</v>
      </c>
      <c r="F75" s="854" t="str">
        <f>'Output CCS'!C24</f>
        <v>[kEUR]</v>
      </c>
      <c r="G75" s="815">
        <f>-'Output CCS'!D24</f>
        <v>-621.10355723121711</v>
      </c>
      <c r="H75" s="815">
        <f>-'Output CCS'!E24</f>
        <v>-79.106141162112039</v>
      </c>
      <c r="I75" s="815"/>
      <c r="J75" s="815">
        <f>-'Output CCS'!G24</f>
        <v>0</v>
      </c>
      <c r="K75" s="815">
        <f>-'Output CCS'!H24</f>
        <v>0</v>
      </c>
      <c r="L75" s="815">
        <f>-'Output CCS'!I24</f>
        <v>0</v>
      </c>
      <c r="M75" s="815">
        <f>-'Output CCS'!J24</f>
        <v>0</v>
      </c>
      <c r="N75" s="815">
        <f>-'Output CCS'!K24</f>
        <v>0</v>
      </c>
      <c r="O75" s="815">
        <f>-'Output CCS'!L24</f>
        <v>0</v>
      </c>
      <c r="P75" s="815">
        <f>-'Output CCS'!M24</f>
        <v>0</v>
      </c>
      <c r="Q75" s="815">
        <f>-'Output CCS'!N24</f>
        <v>0</v>
      </c>
      <c r="R75" s="815">
        <f>-'Output CCS'!O24</f>
        <v>0</v>
      </c>
      <c r="S75" s="815">
        <f>-'Output CCS'!P24</f>
        <v>0</v>
      </c>
      <c r="T75" s="815">
        <f>-'Output CCS'!Q24</f>
        <v>0</v>
      </c>
      <c r="U75" s="815">
        <f>-'Output CCS'!R24</f>
        <v>0</v>
      </c>
      <c r="V75" s="815">
        <f>-'Output CCS'!S24</f>
        <v>0</v>
      </c>
      <c r="W75" s="815">
        <f>-'Output CCS'!T24</f>
        <v>0</v>
      </c>
      <c r="X75" s="815">
        <f>-'Output CCS'!U24</f>
        <v>0</v>
      </c>
      <c r="Y75" s="815">
        <f>-'Output CCS'!V24</f>
        <v>-33.258735576797648</v>
      </c>
      <c r="Z75" s="815">
        <f>-'Output CCS'!W24</f>
        <v>-34.433839745399055</v>
      </c>
      <c r="AA75" s="815">
        <f>-'Output CCS'!X24</f>
        <v>-35.642644586513796</v>
      </c>
      <c r="AB75" s="815">
        <f>-'Output CCS'!Y24</f>
        <v>-36.88602808537496</v>
      </c>
      <c r="AC75" s="815">
        <f>-'Output CCS'!Z24</f>
        <v>-38.164889866355971</v>
      </c>
      <c r="AD75" s="815">
        <f>-'Output CCS'!AA24</f>
        <v>-39.480151707342074</v>
      </c>
      <c r="AE75" s="815">
        <f>-'Output CCS'!AB24</f>
        <v>-40.832758066021071</v>
      </c>
      <c r="AF75" s="815">
        <f>-'Output CCS'!AC24</f>
        <v>-42.223676618364294</v>
      </c>
      <c r="AG75" s="815">
        <f>-'Output CCS'!AD24</f>
        <v>-43.068150150731576</v>
      </c>
      <c r="AH75" s="815">
        <f>-'Output CCS'!AE24</f>
        <v>-43.929513153746207</v>
      </c>
      <c r="AI75" s="815">
        <f>-'Output CCS'!AF24</f>
        <v>-44.808103416821133</v>
      </c>
      <c r="AJ75" s="815">
        <f>-'Output CCS'!AG24</f>
        <v>-45.704265485157556</v>
      </c>
      <c r="AK75" s="815">
        <f>-'Output CCS'!AH24</f>
        <v>-46.618350794860703</v>
      </c>
      <c r="AL75" s="815">
        <f>-'Output CCS'!AI24</f>
        <v>-47.550717810757924</v>
      </c>
      <c r="AM75" s="815">
        <f>-'Output CCS'!AJ24</f>
        <v>-48.501732166973078</v>
      </c>
      <c r="AN75" s="815">
        <f>-'Output CCS'!AK24</f>
        <v>0</v>
      </c>
      <c r="AO75" s="815">
        <f>-'Output CCS'!AL24</f>
        <v>0</v>
      </c>
      <c r="AP75" s="815">
        <f>-'Output CCS'!AM24</f>
        <v>0</v>
      </c>
      <c r="AQ75" s="815">
        <f>-'Output CCS'!AN24</f>
        <v>0</v>
      </c>
      <c r="AR75" s="815">
        <f>-'Output CCS'!AO24</f>
        <v>0</v>
      </c>
      <c r="AS75" s="815">
        <f>-'Output CCS'!AP24</f>
        <v>0</v>
      </c>
      <c r="AT75" s="815">
        <f>-'Output CCS'!AQ24</f>
        <v>0</v>
      </c>
      <c r="AU75" s="815">
        <f>-'Output CCS'!AR24</f>
        <v>0</v>
      </c>
      <c r="AV75" s="815">
        <f>-'Output CCS'!AS24</f>
        <v>0</v>
      </c>
      <c r="AW75" s="815">
        <f>-'Output CCS'!AT24</f>
        <v>0</v>
      </c>
      <c r="AX75" s="815">
        <f>-'Output CCS'!AU24</f>
        <v>0</v>
      </c>
      <c r="AY75" s="815">
        <f>-'Output CCS'!AV24</f>
        <v>0</v>
      </c>
      <c r="AZ75" s="815">
        <f>-'Output CCS'!AW24</f>
        <v>0</v>
      </c>
      <c r="BA75" s="815">
        <f>-'Output CCS'!AX24</f>
        <v>0</v>
      </c>
      <c r="BB75" s="815">
        <f>-'Output CCS'!AY24</f>
        <v>0</v>
      </c>
      <c r="BC75" s="815">
        <f>-'Output CCS'!AZ24</f>
        <v>0</v>
      </c>
      <c r="BD75" s="815">
        <f>-'Output CCS'!BA24</f>
        <v>0</v>
      </c>
      <c r="BE75" s="815">
        <f>-'Output CCS'!BB24</f>
        <v>0</v>
      </c>
    </row>
    <row r="76" spans="2:57" x14ac:dyDescent="0.25">
      <c r="B76" s="315"/>
      <c r="C76" s="795"/>
      <c r="D76" s="795"/>
      <c r="E76" s="857" t="str">
        <f>'Output CCS'!B26</f>
        <v>Energy for CO2 heating</v>
      </c>
      <c r="F76" s="817" t="str">
        <f>'Output CCS'!C26</f>
        <v>[kEUR]</v>
      </c>
      <c r="G76" s="818">
        <f>-'Output CCS'!D26</f>
        <v>0</v>
      </c>
      <c r="H76" s="818">
        <f>-'Output CCS'!E26</f>
        <v>0</v>
      </c>
      <c r="I76" s="818"/>
      <c r="J76" s="818">
        <f>-'Output CCS'!G26</f>
        <v>0</v>
      </c>
      <c r="K76" s="818">
        <f>-'Output CCS'!H26</f>
        <v>0</v>
      </c>
      <c r="L76" s="818">
        <f>-'Output CCS'!I26</f>
        <v>0</v>
      </c>
      <c r="M76" s="818">
        <f>-'Output CCS'!J26</f>
        <v>0</v>
      </c>
      <c r="N76" s="818">
        <f>-'Output CCS'!K26</f>
        <v>0</v>
      </c>
      <c r="O76" s="818">
        <f>-'Output CCS'!L26</f>
        <v>0</v>
      </c>
      <c r="P76" s="818">
        <f>-'Output CCS'!M26</f>
        <v>0</v>
      </c>
      <c r="Q76" s="818">
        <f>-'Output CCS'!N26</f>
        <v>0</v>
      </c>
      <c r="R76" s="818">
        <f>-'Output CCS'!O26</f>
        <v>0</v>
      </c>
      <c r="S76" s="818">
        <f>-'Output CCS'!P26</f>
        <v>0</v>
      </c>
      <c r="T76" s="818">
        <f>-'Output CCS'!Q26</f>
        <v>0</v>
      </c>
      <c r="U76" s="818">
        <f>-'Output CCS'!R26</f>
        <v>0</v>
      </c>
      <c r="V76" s="818">
        <f>-'Output CCS'!S26</f>
        <v>0</v>
      </c>
      <c r="W76" s="818">
        <f>-'Output CCS'!T26</f>
        <v>0</v>
      </c>
      <c r="X76" s="818">
        <f>-'Output CCS'!U26</f>
        <v>0</v>
      </c>
      <c r="Y76" s="818">
        <f>-'Output CCS'!V26</f>
        <v>0</v>
      </c>
      <c r="Z76" s="818">
        <f>-'Output CCS'!W26</f>
        <v>0</v>
      </c>
      <c r="AA76" s="818">
        <f>-'Output CCS'!X26</f>
        <v>0</v>
      </c>
      <c r="AB76" s="818">
        <f>-'Output CCS'!Y26</f>
        <v>0</v>
      </c>
      <c r="AC76" s="818">
        <f>-'Output CCS'!Z26</f>
        <v>0</v>
      </c>
      <c r="AD76" s="818">
        <f>-'Output CCS'!AA26</f>
        <v>0</v>
      </c>
      <c r="AE76" s="818">
        <f>-'Output CCS'!AB26</f>
        <v>0</v>
      </c>
      <c r="AF76" s="818">
        <f>-'Output CCS'!AC26</f>
        <v>0</v>
      </c>
      <c r="AG76" s="818">
        <f>-'Output CCS'!AD26</f>
        <v>0</v>
      </c>
      <c r="AH76" s="818">
        <f>-'Output CCS'!AE26</f>
        <v>0</v>
      </c>
      <c r="AI76" s="818">
        <f>-'Output CCS'!AF26</f>
        <v>0</v>
      </c>
      <c r="AJ76" s="818">
        <f>-'Output CCS'!AG26</f>
        <v>0</v>
      </c>
      <c r="AK76" s="818">
        <f>-'Output CCS'!AH26</f>
        <v>0</v>
      </c>
      <c r="AL76" s="818">
        <f>-'Output CCS'!AI26</f>
        <v>0</v>
      </c>
      <c r="AM76" s="818">
        <f>-'Output CCS'!AJ26</f>
        <v>0</v>
      </c>
      <c r="AN76" s="818">
        <f>-'Output CCS'!AK26</f>
        <v>0</v>
      </c>
      <c r="AO76" s="818">
        <f>-'Output CCS'!AL26</f>
        <v>0</v>
      </c>
      <c r="AP76" s="818">
        <f>-'Output CCS'!AM26</f>
        <v>0</v>
      </c>
      <c r="AQ76" s="818">
        <f>-'Output CCS'!AN26</f>
        <v>0</v>
      </c>
      <c r="AR76" s="818">
        <f>-'Output CCS'!AO26</f>
        <v>0</v>
      </c>
      <c r="AS76" s="818">
        <f>-'Output CCS'!AP26</f>
        <v>0</v>
      </c>
      <c r="AT76" s="818">
        <f>-'Output CCS'!AQ26</f>
        <v>0</v>
      </c>
      <c r="AU76" s="818">
        <f>-'Output CCS'!AR26</f>
        <v>0</v>
      </c>
      <c r="AV76" s="818">
        <f>-'Output CCS'!AS26</f>
        <v>0</v>
      </c>
      <c r="AW76" s="818">
        <f>-'Output CCS'!AT26</f>
        <v>0</v>
      </c>
      <c r="AX76" s="818">
        <f>-'Output CCS'!AU26</f>
        <v>0</v>
      </c>
      <c r="AY76" s="818">
        <f>-'Output CCS'!AV26</f>
        <v>0</v>
      </c>
      <c r="AZ76" s="818">
        <f>-'Output CCS'!AW26</f>
        <v>0</v>
      </c>
      <c r="BA76" s="818">
        <f>-'Output CCS'!AX26</f>
        <v>0</v>
      </c>
      <c r="BB76" s="818">
        <f>-'Output CCS'!AY26</f>
        <v>0</v>
      </c>
      <c r="BC76" s="818">
        <f>-'Output CCS'!AZ26</f>
        <v>0</v>
      </c>
      <c r="BD76" s="818">
        <f>-'Output CCS'!BA26</f>
        <v>0</v>
      </c>
      <c r="BE76" s="818">
        <f>-'Output CCS'!BB26</f>
        <v>0</v>
      </c>
    </row>
    <row r="77" spans="2:57" x14ac:dyDescent="0.25">
      <c r="B77" s="315"/>
      <c r="C77" s="795"/>
      <c r="D77" s="795"/>
      <c r="E77" s="819" t="str">
        <f>'Output CCS'!B25</f>
        <v>OPEX compressor &amp; pump onshore</v>
      </c>
      <c r="F77" s="817" t="str">
        <f>'Output CCS'!C25</f>
        <v>[kEUR]</v>
      </c>
      <c r="G77" s="818">
        <f>-'Output CCS'!D25</f>
        <v>-24340.960192635965</v>
      </c>
      <c r="H77" s="818">
        <f>-'Output CCS'!E25</f>
        <v>-3140.3436216226992</v>
      </c>
      <c r="I77" s="818"/>
      <c r="J77" s="818">
        <f>-'Output CCS'!G25</f>
        <v>0</v>
      </c>
      <c r="K77" s="818">
        <f>-'Output CCS'!H25</f>
        <v>0</v>
      </c>
      <c r="L77" s="818">
        <f>-'Output CCS'!I25</f>
        <v>0</v>
      </c>
      <c r="M77" s="818">
        <f>-'Output CCS'!J25</f>
        <v>0</v>
      </c>
      <c r="N77" s="818">
        <f>-'Output CCS'!K25</f>
        <v>0</v>
      </c>
      <c r="O77" s="818">
        <f>-'Output CCS'!L25</f>
        <v>0</v>
      </c>
      <c r="P77" s="818">
        <f>-'Output CCS'!M25</f>
        <v>0</v>
      </c>
      <c r="Q77" s="818">
        <f>-'Output CCS'!N25</f>
        <v>0</v>
      </c>
      <c r="R77" s="818">
        <f>-'Output CCS'!O25</f>
        <v>0</v>
      </c>
      <c r="S77" s="818">
        <f>-'Output CCS'!P25</f>
        <v>0</v>
      </c>
      <c r="T77" s="818">
        <f>-'Output CCS'!Q25</f>
        <v>0</v>
      </c>
      <c r="U77" s="818">
        <f>-'Output CCS'!R25</f>
        <v>0</v>
      </c>
      <c r="V77" s="818">
        <f>-'Output CCS'!S25</f>
        <v>0</v>
      </c>
      <c r="W77" s="818">
        <f>-'Output CCS'!T25</f>
        <v>0</v>
      </c>
      <c r="X77" s="818">
        <f>-'Output CCS'!U25</f>
        <v>0</v>
      </c>
      <c r="Y77" s="818">
        <f>-'Output CCS'!V25</f>
        <v>-1407.5275181635675</v>
      </c>
      <c r="Z77" s="818">
        <f>-'Output CCS'!W25</f>
        <v>-1435.6780685268388</v>
      </c>
      <c r="AA77" s="818">
        <f>-'Output CCS'!X25</f>
        <v>-1464.3916298973759</v>
      </c>
      <c r="AB77" s="818">
        <f>-'Output CCS'!Y25</f>
        <v>-1493.6794624953234</v>
      </c>
      <c r="AC77" s="818">
        <f>-'Output CCS'!Z25</f>
        <v>-1523.5530517452296</v>
      </c>
      <c r="AD77" s="818">
        <f>-'Output CCS'!AA25</f>
        <v>-1554.0241127801344</v>
      </c>
      <c r="AE77" s="818">
        <f>-'Output CCS'!AB25</f>
        <v>-1585.104595035737</v>
      </c>
      <c r="AF77" s="818">
        <f>-'Output CCS'!AC25</f>
        <v>-1616.8066869364518</v>
      </c>
      <c r="AG77" s="818">
        <f>-'Output CCS'!AD25</f>
        <v>-1649.1428206751805</v>
      </c>
      <c r="AH77" s="818">
        <f>-'Output CCS'!AE25</f>
        <v>-1682.1256770886841</v>
      </c>
      <c r="AI77" s="818">
        <f>-'Output CCS'!AF25</f>
        <v>-1715.7681906304579</v>
      </c>
      <c r="AJ77" s="818">
        <f>-'Output CCS'!AG25</f>
        <v>-1750.0835544430672</v>
      </c>
      <c r="AK77" s="818">
        <f>-'Output CCS'!AH25</f>
        <v>-1785.0852255319282</v>
      </c>
      <c r="AL77" s="818">
        <f>-'Output CCS'!AI25</f>
        <v>-1820.7869300425673</v>
      </c>
      <c r="AM77" s="818">
        <f>-'Output CCS'!AJ25</f>
        <v>-1857.2026686434183</v>
      </c>
      <c r="AN77" s="818">
        <f>-'Output CCS'!AK25</f>
        <v>0</v>
      </c>
      <c r="AO77" s="818">
        <f>-'Output CCS'!AL25</f>
        <v>0</v>
      </c>
      <c r="AP77" s="818">
        <f>-'Output CCS'!AM25</f>
        <v>0</v>
      </c>
      <c r="AQ77" s="818">
        <f>-'Output CCS'!AN25</f>
        <v>0</v>
      </c>
      <c r="AR77" s="818">
        <f>-'Output CCS'!AO25</f>
        <v>0</v>
      </c>
      <c r="AS77" s="818">
        <f>-'Output CCS'!AP25</f>
        <v>0</v>
      </c>
      <c r="AT77" s="818">
        <f>-'Output CCS'!AQ25</f>
        <v>0</v>
      </c>
      <c r="AU77" s="818">
        <f>-'Output CCS'!AR25</f>
        <v>0</v>
      </c>
      <c r="AV77" s="818">
        <f>-'Output CCS'!AS25</f>
        <v>0</v>
      </c>
      <c r="AW77" s="818">
        <f>-'Output CCS'!AT25</f>
        <v>0</v>
      </c>
      <c r="AX77" s="818">
        <f>-'Output CCS'!AU25</f>
        <v>0</v>
      </c>
      <c r="AY77" s="818">
        <f>-'Output CCS'!AV25</f>
        <v>0</v>
      </c>
      <c r="AZ77" s="818">
        <f>-'Output CCS'!AW25</f>
        <v>0</v>
      </c>
      <c r="BA77" s="818">
        <f>-'Output CCS'!AX25</f>
        <v>0</v>
      </c>
      <c r="BB77" s="818">
        <f>-'Output CCS'!AY25</f>
        <v>0</v>
      </c>
      <c r="BC77" s="818">
        <f>-'Output CCS'!AZ25</f>
        <v>0</v>
      </c>
      <c r="BD77" s="818">
        <f>-'Output CCS'!BA25</f>
        <v>0</v>
      </c>
      <c r="BE77" s="818">
        <f>-'Output CCS'!BB25</f>
        <v>0</v>
      </c>
    </row>
    <row r="78" spans="2:57" x14ac:dyDescent="0.25">
      <c r="B78" s="315"/>
      <c r="C78" s="795"/>
      <c r="D78" s="795"/>
      <c r="E78" s="819" t="str">
        <f>'Output CCS'!B28</f>
        <v>Opex pipeline</v>
      </c>
      <c r="F78" s="817" t="str">
        <f>'Output CCS'!C28</f>
        <v>[kEUR]</v>
      </c>
      <c r="G78" s="818">
        <f>-'Output CCS'!D28</f>
        <v>-16060.350921933965</v>
      </c>
      <c r="H78" s="818">
        <f>-'Output CCS'!E28</f>
        <v>-2072.0226391880801</v>
      </c>
      <c r="I78" s="818"/>
      <c r="J78" s="818">
        <f>-'Output CCS'!G28</f>
        <v>0</v>
      </c>
      <c r="K78" s="818">
        <f>-'Output CCS'!H28</f>
        <v>0</v>
      </c>
      <c r="L78" s="818">
        <f>-'Output CCS'!I28</f>
        <v>0</v>
      </c>
      <c r="M78" s="818">
        <f>-'Output CCS'!J28</f>
        <v>0</v>
      </c>
      <c r="N78" s="818">
        <f>-'Output CCS'!K28</f>
        <v>0</v>
      </c>
      <c r="O78" s="818">
        <f>-'Output CCS'!L28</f>
        <v>0</v>
      </c>
      <c r="P78" s="818">
        <f>-'Output CCS'!M28</f>
        <v>0</v>
      </c>
      <c r="Q78" s="818">
        <f>-'Output CCS'!N28</f>
        <v>0</v>
      </c>
      <c r="R78" s="818">
        <f>-'Output CCS'!O28</f>
        <v>0</v>
      </c>
      <c r="S78" s="818">
        <f>-'Output CCS'!P28</f>
        <v>0</v>
      </c>
      <c r="T78" s="818">
        <f>-'Output CCS'!Q28</f>
        <v>0</v>
      </c>
      <c r="U78" s="818">
        <f>-'Output CCS'!R28</f>
        <v>0</v>
      </c>
      <c r="V78" s="818">
        <f>-'Output CCS'!S28</f>
        <v>0</v>
      </c>
      <c r="W78" s="818">
        <f>-'Output CCS'!T28</f>
        <v>0</v>
      </c>
      <c r="X78" s="818">
        <f>-'Output CCS'!U28</f>
        <v>0</v>
      </c>
      <c r="Y78" s="818">
        <f>-'Output CCS'!V28</f>
        <v>-928.69737656547488</v>
      </c>
      <c r="Z78" s="818">
        <f>-'Output CCS'!W28</f>
        <v>-947.27132409678461</v>
      </c>
      <c r="AA78" s="818">
        <f>-'Output CCS'!X28</f>
        <v>-966.21675057872039</v>
      </c>
      <c r="AB78" s="818">
        <f>-'Output CCS'!Y28</f>
        <v>-985.54108559029464</v>
      </c>
      <c r="AC78" s="818">
        <f>-'Output CCS'!Z28</f>
        <v>-1005.2519073021006</v>
      </c>
      <c r="AD78" s="818">
        <f>-'Output CCS'!AA28</f>
        <v>-1025.3569454481426</v>
      </c>
      <c r="AE78" s="818">
        <f>-'Output CCS'!AB28</f>
        <v>-1045.8640843571054</v>
      </c>
      <c r="AF78" s="818">
        <f>-'Output CCS'!AC28</f>
        <v>-1066.7813660442475</v>
      </c>
      <c r="AG78" s="818">
        <f>-'Output CCS'!AD28</f>
        <v>-1088.1169933651322</v>
      </c>
      <c r="AH78" s="818">
        <f>-'Output CCS'!AE28</f>
        <v>-1109.8793332324349</v>
      </c>
      <c r="AI78" s="818">
        <f>-'Output CCS'!AF28</f>
        <v>-1132.0769198970836</v>
      </c>
      <c r="AJ78" s="818">
        <f>-'Output CCS'!AG28</f>
        <v>-1154.7184582950256</v>
      </c>
      <c r="AK78" s="818">
        <f>-'Output CCS'!AH28</f>
        <v>-1177.8128274609257</v>
      </c>
      <c r="AL78" s="818">
        <f>-'Output CCS'!AI28</f>
        <v>-1201.3690840101444</v>
      </c>
      <c r="AM78" s="818">
        <f>-'Output CCS'!AJ28</f>
        <v>-1225.3964656903474</v>
      </c>
      <c r="AN78" s="818">
        <f>-'Output CCS'!AK28</f>
        <v>0</v>
      </c>
      <c r="AO78" s="818">
        <f>-'Output CCS'!AL28</f>
        <v>0</v>
      </c>
      <c r="AP78" s="818">
        <f>-'Output CCS'!AM28</f>
        <v>0</v>
      </c>
      <c r="AQ78" s="818">
        <f>-'Output CCS'!AN28</f>
        <v>0</v>
      </c>
      <c r="AR78" s="818">
        <f>-'Output CCS'!AO28</f>
        <v>0</v>
      </c>
      <c r="AS78" s="818">
        <f>-'Output CCS'!AP28</f>
        <v>0</v>
      </c>
      <c r="AT78" s="818">
        <f>-'Output CCS'!AQ28</f>
        <v>0</v>
      </c>
      <c r="AU78" s="818">
        <f>-'Output CCS'!AR28</f>
        <v>0</v>
      </c>
      <c r="AV78" s="818">
        <f>-'Output CCS'!AS28</f>
        <v>0</v>
      </c>
      <c r="AW78" s="818">
        <f>-'Output CCS'!AT28</f>
        <v>0</v>
      </c>
      <c r="AX78" s="818">
        <f>-'Output CCS'!AU28</f>
        <v>0</v>
      </c>
      <c r="AY78" s="818">
        <f>-'Output CCS'!AV28</f>
        <v>0</v>
      </c>
      <c r="AZ78" s="818">
        <f>-'Output CCS'!AW28</f>
        <v>0</v>
      </c>
      <c r="BA78" s="818">
        <f>-'Output CCS'!AX28</f>
        <v>0</v>
      </c>
      <c r="BB78" s="818">
        <f>-'Output CCS'!AY28</f>
        <v>0</v>
      </c>
      <c r="BC78" s="818">
        <f>-'Output CCS'!AZ28</f>
        <v>0</v>
      </c>
      <c r="BD78" s="818">
        <f>-'Output CCS'!BA28</f>
        <v>0</v>
      </c>
      <c r="BE78" s="818">
        <f>-'Output CCS'!BB28</f>
        <v>0</v>
      </c>
    </row>
    <row r="79" spans="2:57" x14ac:dyDescent="0.25">
      <c r="B79" s="315"/>
      <c r="C79" s="795"/>
      <c r="D79" s="795"/>
      <c r="E79" s="819" t="str">
        <f>'Output CCS'!B29</f>
        <v>Opex platform</v>
      </c>
      <c r="F79" s="817" t="str">
        <f>'Output CCS'!C29</f>
        <v>[kEUR]</v>
      </c>
      <c r="G79" s="818">
        <f>-'Output CCS'!D29</f>
        <v>-184726.47587573077</v>
      </c>
      <c r="H79" s="818">
        <f>-'Output CCS'!E29</f>
        <v>-23832.445625406905</v>
      </c>
      <c r="I79" s="818"/>
      <c r="J79" s="818">
        <f>-'Output CCS'!G29</f>
        <v>0</v>
      </c>
      <c r="K79" s="818">
        <f>-'Output CCS'!H29</f>
        <v>0</v>
      </c>
      <c r="L79" s="818">
        <f>-'Output CCS'!I29</f>
        <v>0</v>
      </c>
      <c r="M79" s="818">
        <f>-'Output CCS'!J29</f>
        <v>0</v>
      </c>
      <c r="N79" s="818">
        <f>-'Output CCS'!K29</f>
        <v>0</v>
      </c>
      <c r="O79" s="818">
        <f>-'Output CCS'!L29</f>
        <v>0</v>
      </c>
      <c r="P79" s="818">
        <f>-'Output CCS'!M29</f>
        <v>0</v>
      </c>
      <c r="Q79" s="818">
        <f>-'Output CCS'!N29</f>
        <v>0</v>
      </c>
      <c r="R79" s="818">
        <f>-'Output CCS'!O29</f>
        <v>0</v>
      </c>
      <c r="S79" s="818">
        <f>-'Output CCS'!P29</f>
        <v>0</v>
      </c>
      <c r="T79" s="818">
        <f>-'Output CCS'!Q29</f>
        <v>0</v>
      </c>
      <c r="U79" s="818">
        <f>-'Output CCS'!R29</f>
        <v>0</v>
      </c>
      <c r="V79" s="818">
        <f>-'Output CCS'!S29</f>
        <v>0</v>
      </c>
      <c r="W79" s="818">
        <f>-'Output CCS'!T29</f>
        <v>0</v>
      </c>
      <c r="X79" s="818">
        <f>-'Output CCS'!U29</f>
        <v>0</v>
      </c>
      <c r="Y79" s="818">
        <f>-'Output CCS'!V29</f>
        <v>-10681.895704637458</v>
      </c>
      <c r="Z79" s="818">
        <f>-'Output CCS'!W29</f>
        <v>-10895.533618730209</v>
      </c>
      <c r="AA79" s="818">
        <f>-'Output CCS'!X29</f>
        <v>-11113.444291104814</v>
      </c>
      <c r="AB79" s="818">
        <f>-'Output CCS'!Y29</f>
        <v>-11335.713176926909</v>
      </c>
      <c r="AC79" s="818">
        <f>-'Output CCS'!Z29</f>
        <v>-11562.427440465446</v>
      </c>
      <c r="AD79" s="818">
        <f>-'Output CCS'!AA29</f>
        <v>-11793.675989274758</v>
      </c>
      <c r="AE79" s="818">
        <f>-'Output CCS'!AB29</f>
        <v>-12029.549509060253</v>
      </c>
      <c r="AF79" s="818">
        <f>-'Output CCS'!AC29</f>
        <v>-12270.140499241459</v>
      </c>
      <c r="AG79" s="818">
        <f>-'Output CCS'!AD29</f>
        <v>-12515.543309226285</v>
      </c>
      <c r="AH79" s="818">
        <f>-'Output CCS'!AE29</f>
        <v>-12765.85417541081</v>
      </c>
      <c r="AI79" s="818">
        <f>-'Output CCS'!AF29</f>
        <v>-13021.171258919027</v>
      </c>
      <c r="AJ79" s="818">
        <f>-'Output CCS'!AG29</f>
        <v>-13281.594684097408</v>
      </c>
      <c r="AK79" s="818">
        <f>-'Output CCS'!AH29</f>
        <v>-13547.226577779355</v>
      </c>
      <c r="AL79" s="818">
        <f>-'Output CCS'!AI29</f>
        <v>-13818.171109334944</v>
      </c>
      <c r="AM79" s="818">
        <f>-'Output CCS'!AJ29</f>
        <v>-14094.53453152164</v>
      </c>
      <c r="AN79" s="818">
        <f>-'Output CCS'!AK29</f>
        <v>0</v>
      </c>
      <c r="AO79" s="818">
        <f>-'Output CCS'!AL29</f>
        <v>0</v>
      </c>
      <c r="AP79" s="818">
        <f>-'Output CCS'!AM29</f>
        <v>0</v>
      </c>
      <c r="AQ79" s="818">
        <f>-'Output CCS'!AN29</f>
        <v>0</v>
      </c>
      <c r="AR79" s="818">
        <f>-'Output CCS'!AO29</f>
        <v>0</v>
      </c>
      <c r="AS79" s="818">
        <f>-'Output CCS'!AP29</f>
        <v>0</v>
      </c>
      <c r="AT79" s="818">
        <f>-'Output CCS'!AQ29</f>
        <v>0</v>
      </c>
      <c r="AU79" s="818">
        <f>-'Output CCS'!AR29</f>
        <v>0</v>
      </c>
      <c r="AV79" s="818">
        <f>-'Output CCS'!AS29</f>
        <v>0</v>
      </c>
      <c r="AW79" s="818">
        <f>-'Output CCS'!AT29</f>
        <v>0</v>
      </c>
      <c r="AX79" s="818">
        <f>-'Output CCS'!AU29</f>
        <v>0</v>
      </c>
      <c r="AY79" s="818">
        <f>-'Output CCS'!AV29</f>
        <v>0</v>
      </c>
      <c r="AZ79" s="818">
        <f>-'Output CCS'!AW29</f>
        <v>0</v>
      </c>
      <c r="BA79" s="818">
        <f>-'Output CCS'!AX29</f>
        <v>0</v>
      </c>
      <c r="BB79" s="818">
        <f>-'Output CCS'!AY29</f>
        <v>0</v>
      </c>
      <c r="BC79" s="818">
        <f>-'Output CCS'!AZ29</f>
        <v>0</v>
      </c>
      <c r="BD79" s="818">
        <f>-'Output CCS'!BA29</f>
        <v>0</v>
      </c>
      <c r="BE79" s="818">
        <f>-'Output CCS'!BB29</f>
        <v>0</v>
      </c>
    </row>
    <row r="80" spans="2:57" x14ac:dyDescent="0.25">
      <c r="B80" s="315"/>
      <c r="C80" s="795"/>
      <c r="D80" s="795"/>
      <c r="E80" s="819" t="str">
        <f>'Output CCS'!B30</f>
        <v>Opex booster</v>
      </c>
      <c r="F80" s="817" t="str">
        <f>'Output CCS'!C30</f>
        <v>[kEUR]</v>
      </c>
      <c r="G80" s="818">
        <f>-'Output CCS'!D30</f>
        <v>0</v>
      </c>
      <c r="H80" s="818">
        <f>-'Output CCS'!E30</f>
        <v>0</v>
      </c>
      <c r="I80" s="819"/>
      <c r="J80" s="818">
        <f>-'Output CCS'!G30</f>
        <v>0</v>
      </c>
      <c r="K80" s="818">
        <f>-'Output CCS'!H30</f>
        <v>0</v>
      </c>
      <c r="L80" s="818">
        <f>-'Output CCS'!I30</f>
        <v>0</v>
      </c>
      <c r="M80" s="818">
        <f>-'Output CCS'!J30</f>
        <v>0</v>
      </c>
      <c r="N80" s="818">
        <f>-'Output CCS'!K30</f>
        <v>0</v>
      </c>
      <c r="O80" s="818">
        <f>-'Output CCS'!L30</f>
        <v>0</v>
      </c>
      <c r="P80" s="818">
        <f>-'Output CCS'!M30</f>
        <v>0</v>
      </c>
      <c r="Q80" s="818">
        <f>-'Output CCS'!N30</f>
        <v>0</v>
      </c>
      <c r="R80" s="818">
        <f>-'Output CCS'!O30</f>
        <v>0</v>
      </c>
      <c r="S80" s="818">
        <f>-'Output CCS'!P30</f>
        <v>0</v>
      </c>
      <c r="T80" s="818">
        <f>-'Output CCS'!Q30</f>
        <v>0</v>
      </c>
      <c r="U80" s="818">
        <f>-'Output CCS'!R30</f>
        <v>0</v>
      </c>
      <c r="V80" s="818">
        <f>-'Output CCS'!S30</f>
        <v>0</v>
      </c>
      <c r="W80" s="818">
        <f>-'Output CCS'!T30</f>
        <v>0</v>
      </c>
      <c r="X80" s="818">
        <f>-'Output CCS'!U30</f>
        <v>0</v>
      </c>
      <c r="Y80" s="818">
        <f>-'Output CCS'!V30</f>
        <v>0</v>
      </c>
      <c r="Z80" s="818">
        <f>-'Output CCS'!W30</f>
        <v>0</v>
      </c>
      <c r="AA80" s="818">
        <f>-'Output CCS'!X30</f>
        <v>0</v>
      </c>
      <c r="AB80" s="818">
        <f>-'Output CCS'!Y30</f>
        <v>0</v>
      </c>
      <c r="AC80" s="818">
        <f>-'Output CCS'!Z30</f>
        <v>0</v>
      </c>
      <c r="AD80" s="818">
        <f>-'Output CCS'!AA30</f>
        <v>0</v>
      </c>
      <c r="AE80" s="818">
        <f>-'Output CCS'!AB30</f>
        <v>0</v>
      </c>
      <c r="AF80" s="818">
        <f>-'Output CCS'!AC30</f>
        <v>0</v>
      </c>
      <c r="AG80" s="818">
        <f>-'Output CCS'!AD30</f>
        <v>0</v>
      </c>
      <c r="AH80" s="818">
        <f>-'Output CCS'!AE30</f>
        <v>0</v>
      </c>
      <c r="AI80" s="818">
        <f>-'Output CCS'!AF30</f>
        <v>0</v>
      </c>
      <c r="AJ80" s="818">
        <f>-'Output CCS'!AG30</f>
        <v>0</v>
      </c>
      <c r="AK80" s="818">
        <f>-'Output CCS'!AH30</f>
        <v>0</v>
      </c>
      <c r="AL80" s="818">
        <f>-'Output CCS'!AI30</f>
        <v>0</v>
      </c>
      <c r="AM80" s="818">
        <f>-'Output CCS'!AJ30</f>
        <v>0</v>
      </c>
      <c r="AN80" s="818">
        <f>-'Output CCS'!AK30</f>
        <v>0</v>
      </c>
      <c r="AO80" s="818">
        <f>-'Output CCS'!AL30</f>
        <v>0</v>
      </c>
      <c r="AP80" s="818">
        <f>-'Output CCS'!AM30</f>
        <v>0</v>
      </c>
      <c r="AQ80" s="818">
        <f>-'Output CCS'!AN30</f>
        <v>0</v>
      </c>
      <c r="AR80" s="818">
        <f>-'Output CCS'!AO30</f>
        <v>0</v>
      </c>
      <c r="AS80" s="818">
        <f>-'Output CCS'!AP30</f>
        <v>0</v>
      </c>
      <c r="AT80" s="818">
        <f>-'Output CCS'!AQ30</f>
        <v>0</v>
      </c>
      <c r="AU80" s="818">
        <f>-'Output CCS'!AR30</f>
        <v>0</v>
      </c>
      <c r="AV80" s="818">
        <f>-'Output CCS'!AS30</f>
        <v>0</v>
      </c>
      <c r="AW80" s="818">
        <f>-'Output CCS'!AT30</f>
        <v>0</v>
      </c>
      <c r="AX80" s="818">
        <f>-'Output CCS'!AU30</f>
        <v>0</v>
      </c>
      <c r="AY80" s="818">
        <f>-'Output CCS'!AV30</f>
        <v>0</v>
      </c>
      <c r="AZ80" s="818">
        <f>-'Output CCS'!AW30</f>
        <v>0</v>
      </c>
      <c r="BA80" s="818">
        <f>-'Output CCS'!AX30</f>
        <v>0</v>
      </c>
      <c r="BB80" s="818">
        <f>-'Output CCS'!AY30</f>
        <v>0</v>
      </c>
      <c r="BC80" s="818">
        <f>-'Output CCS'!AZ30</f>
        <v>0</v>
      </c>
      <c r="BD80" s="818">
        <f>-'Output CCS'!BA30</f>
        <v>0</v>
      </c>
      <c r="BE80" s="818">
        <f>-'Output CCS'!BB30</f>
        <v>0</v>
      </c>
    </row>
    <row r="81" spans="2:57" x14ac:dyDescent="0.25">
      <c r="B81" s="315"/>
      <c r="C81" s="795"/>
      <c r="D81" s="795"/>
      <c r="E81" s="819" t="str">
        <f>'Output CCS'!B31</f>
        <v>Total Opex wells</v>
      </c>
      <c r="F81" s="817" t="str">
        <f>'Output CCS'!C31</f>
        <v>[kEUR]</v>
      </c>
      <c r="G81" s="818">
        <f>-'Output CCS'!D31</f>
        <v>-16292.263602272842</v>
      </c>
      <c r="H81" s="818">
        <f>-'Output CCS'!E31</f>
        <v>-2101.9428025962579</v>
      </c>
      <c r="I81" s="819"/>
      <c r="J81" s="818">
        <f>-'Output CCS'!G31</f>
        <v>0</v>
      </c>
      <c r="K81" s="818">
        <f>-'Output CCS'!H31</f>
        <v>0</v>
      </c>
      <c r="L81" s="818">
        <f>-'Output CCS'!I31</f>
        <v>0</v>
      </c>
      <c r="M81" s="818">
        <f>-'Output CCS'!J31</f>
        <v>0</v>
      </c>
      <c r="N81" s="818">
        <f>-'Output CCS'!K31</f>
        <v>0</v>
      </c>
      <c r="O81" s="818">
        <f>-'Output CCS'!L31</f>
        <v>0</v>
      </c>
      <c r="P81" s="818">
        <f>-'Output CCS'!M31</f>
        <v>0</v>
      </c>
      <c r="Q81" s="818">
        <f>-'Output CCS'!N31</f>
        <v>0</v>
      </c>
      <c r="R81" s="818">
        <f>-'Output CCS'!O31</f>
        <v>0</v>
      </c>
      <c r="S81" s="818">
        <f>-'Output CCS'!P31</f>
        <v>0</v>
      </c>
      <c r="T81" s="818">
        <f>-'Output CCS'!Q31</f>
        <v>0</v>
      </c>
      <c r="U81" s="818">
        <f>-'Output CCS'!R31</f>
        <v>0</v>
      </c>
      <c r="V81" s="818">
        <f>-'Output CCS'!S31</f>
        <v>0</v>
      </c>
      <c r="W81" s="818">
        <f>-'Output CCS'!T31</f>
        <v>0</v>
      </c>
      <c r="X81" s="818">
        <f>-'Output CCS'!U31</f>
        <v>0</v>
      </c>
      <c r="Y81" s="818">
        <f>-'Output CCS'!V31</f>
        <v>-942.10783682689043</v>
      </c>
      <c r="Z81" s="818">
        <f>-'Output CCS'!W31</f>
        <v>-960.94999356342839</v>
      </c>
      <c r="AA81" s="818">
        <f>-'Output CCS'!X31</f>
        <v>-980.16899343469709</v>
      </c>
      <c r="AB81" s="818">
        <f>-'Output CCS'!Y31</f>
        <v>-999.77237330339096</v>
      </c>
      <c r="AC81" s="818">
        <f>-'Output CCS'!Z31</f>
        <v>-1019.7678207694587</v>
      </c>
      <c r="AD81" s="818">
        <f>-'Output CCS'!AA31</f>
        <v>-1040.1631771848481</v>
      </c>
      <c r="AE81" s="818">
        <f>-'Output CCS'!AB31</f>
        <v>-1060.966440728545</v>
      </c>
      <c r="AF81" s="818">
        <f>-'Output CCS'!AC31</f>
        <v>-1082.1857695431158</v>
      </c>
      <c r="AG81" s="818">
        <f>-'Output CCS'!AD31</f>
        <v>-1103.8294849339779</v>
      </c>
      <c r="AH81" s="818">
        <f>-'Output CCS'!AE31</f>
        <v>-1125.9060746326575</v>
      </c>
      <c r="AI81" s="818">
        <f>-'Output CCS'!AF31</f>
        <v>-1148.4241961253106</v>
      </c>
      <c r="AJ81" s="818">
        <f>-'Output CCS'!AG31</f>
        <v>-1171.3926800478171</v>
      </c>
      <c r="AK81" s="818">
        <f>-'Output CCS'!AH31</f>
        <v>-1194.8205336487731</v>
      </c>
      <c r="AL81" s="818">
        <f>-'Output CCS'!AI31</f>
        <v>-1218.7169443217488</v>
      </c>
      <c r="AM81" s="818">
        <f>-'Output CCS'!AJ31</f>
        <v>-1243.0912832081838</v>
      </c>
      <c r="AN81" s="818">
        <f>-'Output CCS'!AK31</f>
        <v>0</v>
      </c>
      <c r="AO81" s="818">
        <f>-'Output CCS'!AL31</f>
        <v>0</v>
      </c>
      <c r="AP81" s="818">
        <f>-'Output CCS'!AM31</f>
        <v>0</v>
      </c>
      <c r="AQ81" s="818">
        <f>-'Output CCS'!AN31</f>
        <v>0</v>
      </c>
      <c r="AR81" s="818">
        <f>-'Output CCS'!AO31</f>
        <v>0</v>
      </c>
      <c r="AS81" s="818">
        <f>-'Output CCS'!AP31</f>
        <v>0</v>
      </c>
      <c r="AT81" s="818">
        <f>-'Output CCS'!AQ31</f>
        <v>0</v>
      </c>
      <c r="AU81" s="818">
        <f>-'Output CCS'!AR31</f>
        <v>0</v>
      </c>
      <c r="AV81" s="818">
        <f>-'Output CCS'!AS31</f>
        <v>0</v>
      </c>
      <c r="AW81" s="818">
        <f>-'Output CCS'!AT31</f>
        <v>0</v>
      </c>
      <c r="AX81" s="818">
        <f>-'Output CCS'!AU31</f>
        <v>0</v>
      </c>
      <c r="AY81" s="818">
        <f>-'Output CCS'!AV31</f>
        <v>0</v>
      </c>
      <c r="AZ81" s="818">
        <f>-'Output CCS'!AW31</f>
        <v>0</v>
      </c>
      <c r="BA81" s="818">
        <f>-'Output CCS'!AX31</f>
        <v>0</v>
      </c>
      <c r="BB81" s="818">
        <f>-'Output CCS'!AY31</f>
        <v>0</v>
      </c>
      <c r="BC81" s="818">
        <f>-'Output CCS'!AZ31</f>
        <v>0</v>
      </c>
      <c r="BD81" s="818">
        <f>-'Output CCS'!BA31</f>
        <v>0</v>
      </c>
      <c r="BE81" s="818">
        <f>-'Output CCS'!BB31</f>
        <v>0</v>
      </c>
    </row>
    <row r="82" spans="2:57" x14ac:dyDescent="0.25">
      <c r="B82" s="315"/>
      <c r="C82" s="795"/>
      <c r="D82" s="795"/>
      <c r="E82" s="819" t="str">
        <f>'Output CCS'!B32</f>
        <v>Opex monitoring abandoned CO2 wells</v>
      </c>
      <c r="F82" s="817" t="str">
        <f>'Output CCS'!C32</f>
        <v>[kEUR]</v>
      </c>
      <c r="G82" s="818">
        <f>-'Output CCS'!D32</f>
        <v>-16528.253312979094</v>
      </c>
      <c r="H82" s="818">
        <f>-'Output CCS'!E32</f>
        <v>-630.43789148016106</v>
      </c>
      <c r="I82" s="819"/>
      <c r="J82" s="818">
        <f>-'Output CCS'!G32</f>
        <v>0</v>
      </c>
      <c r="K82" s="818">
        <f>-'Output CCS'!H32</f>
        <v>0</v>
      </c>
      <c r="L82" s="818">
        <f>-'Output CCS'!I32</f>
        <v>0</v>
      </c>
      <c r="M82" s="818">
        <f>-'Output CCS'!J32</f>
        <v>0</v>
      </c>
      <c r="N82" s="818">
        <f>-'Output CCS'!K32</f>
        <v>0</v>
      </c>
      <c r="O82" s="818">
        <f>-'Output CCS'!L32</f>
        <v>0</v>
      </c>
      <c r="P82" s="818">
        <f>-'Output CCS'!M32</f>
        <v>0</v>
      </c>
      <c r="Q82" s="818">
        <f>-'Output CCS'!N32</f>
        <v>0</v>
      </c>
      <c r="R82" s="818">
        <f>-'Output CCS'!O32</f>
        <v>0</v>
      </c>
      <c r="S82" s="818">
        <f>-'Output CCS'!P32</f>
        <v>0</v>
      </c>
      <c r="T82" s="818">
        <f>-'Output CCS'!Q32</f>
        <v>0</v>
      </c>
      <c r="U82" s="818">
        <f>-'Output CCS'!R32</f>
        <v>0</v>
      </c>
      <c r="V82" s="818">
        <f>-'Output CCS'!S32</f>
        <v>0</v>
      </c>
      <c r="W82" s="818">
        <f>-'Output CCS'!T32</f>
        <v>0</v>
      </c>
      <c r="X82" s="818">
        <f>-'Output CCS'!U32</f>
        <v>0</v>
      </c>
      <c r="Y82" s="818">
        <f>-'Output CCS'!V32</f>
        <v>0</v>
      </c>
      <c r="Z82" s="818">
        <f>-'Output CCS'!W32</f>
        <v>0</v>
      </c>
      <c r="AA82" s="818">
        <f>-'Output CCS'!X32</f>
        <v>0</v>
      </c>
      <c r="AB82" s="818">
        <f>-'Output CCS'!Y32</f>
        <v>0</v>
      </c>
      <c r="AC82" s="818">
        <f>-'Output CCS'!Z32</f>
        <v>0</v>
      </c>
      <c r="AD82" s="818">
        <f>-'Output CCS'!AA32</f>
        <v>0</v>
      </c>
      <c r="AE82" s="818">
        <f>-'Output CCS'!AB32</f>
        <v>0</v>
      </c>
      <c r="AF82" s="818">
        <f>-'Output CCS'!AC32</f>
        <v>0</v>
      </c>
      <c r="AG82" s="818">
        <f>-'Output CCS'!AD32</f>
        <v>0</v>
      </c>
      <c r="AH82" s="818">
        <f>-'Output CCS'!AE32</f>
        <v>0</v>
      </c>
      <c r="AI82" s="818">
        <f>-'Output CCS'!AF32</f>
        <v>0</v>
      </c>
      <c r="AJ82" s="818">
        <f>-'Output CCS'!AG32</f>
        <v>0</v>
      </c>
      <c r="AK82" s="818">
        <f>-'Output CCS'!AH32</f>
        <v>0</v>
      </c>
      <c r="AL82" s="818">
        <f>-'Output CCS'!AI32</f>
        <v>0</v>
      </c>
      <c r="AM82" s="818">
        <f>-'Output CCS'!AJ32</f>
        <v>0</v>
      </c>
      <c r="AN82" s="818">
        <f>-'Output CCS'!AK32</f>
        <v>-1509.4679867527943</v>
      </c>
      <c r="AO82" s="818">
        <f>-'Output CCS'!AL32</f>
        <v>-1539.65734648785</v>
      </c>
      <c r="AP82" s="818">
        <f>-'Output CCS'!AM32</f>
        <v>-1570.450493417607</v>
      </c>
      <c r="AQ82" s="818">
        <f>-'Output CCS'!AN32</f>
        <v>-1601.8595032859596</v>
      </c>
      <c r="AR82" s="818">
        <f>-'Output CCS'!AO32</f>
        <v>-1633.8966933516786</v>
      </c>
      <c r="AS82" s="818">
        <f>-'Output CCS'!AP32</f>
        <v>-1666.5746272187121</v>
      </c>
      <c r="AT82" s="818">
        <f>-'Output CCS'!AQ32</f>
        <v>-1699.9061197630863</v>
      </c>
      <c r="AU82" s="818">
        <f>-'Output CCS'!AR32</f>
        <v>-1733.9042421583481</v>
      </c>
      <c r="AV82" s="818">
        <f>-'Output CCS'!AS32</f>
        <v>-1768.5823270015153</v>
      </c>
      <c r="AW82" s="818">
        <f>-'Output CCS'!AT32</f>
        <v>-1803.9539735415449</v>
      </c>
      <c r="AX82" s="818">
        <f>-'Output CCS'!AU32</f>
        <v>0</v>
      </c>
      <c r="AY82" s="818">
        <f>-'Output CCS'!AV32</f>
        <v>0</v>
      </c>
      <c r="AZ82" s="818">
        <f>-'Output CCS'!AW32</f>
        <v>0</v>
      </c>
      <c r="BA82" s="818">
        <f>-'Output CCS'!AX32</f>
        <v>0</v>
      </c>
      <c r="BB82" s="818">
        <f>-'Output CCS'!AY32</f>
        <v>0</v>
      </c>
      <c r="BC82" s="818">
        <f>-'Output CCS'!AZ32</f>
        <v>0</v>
      </c>
      <c r="BD82" s="818">
        <f>-'Output CCS'!BA32</f>
        <v>0</v>
      </c>
      <c r="BE82" s="818">
        <f>-'Output CCS'!BB32</f>
        <v>0</v>
      </c>
    </row>
    <row r="83" spans="2:57" x14ac:dyDescent="0.25">
      <c r="B83" s="315"/>
      <c r="C83" s="795"/>
      <c r="D83" s="795"/>
      <c r="E83" s="819" t="str">
        <f>'Output CCS'!B33</f>
        <v>Opex cable (CCS)</v>
      </c>
      <c r="F83" s="817" t="str">
        <f>'Output CCS'!C33</f>
        <v>[kEUR]</v>
      </c>
      <c r="G83" s="818">
        <f>-'Output CCS'!D33</f>
        <v>0</v>
      </c>
      <c r="H83" s="818">
        <f>-'Output CCS'!E33</f>
        <v>0</v>
      </c>
      <c r="I83" s="818"/>
      <c r="J83" s="818">
        <f>-'Output CCS'!G33</f>
        <v>0</v>
      </c>
      <c r="K83" s="818">
        <f>-'Output CCS'!H33</f>
        <v>0</v>
      </c>
      <c r="L83" s="818">
        <f>-'Output CCS'!I33</f>
        <v>0</v>
      </c>
      <c r="M83" s="818">
        <f>-'Output CCS'!J33</f>
        <v>0</v>
      </c>
      <c r="N83" s="818">
        <f>-'Output CCS'!K33</f>
        <v>0</v>
      </c>
      <c r="O83" s="818">
        <f>-'Output CCS'!L33</f>
        <v>0</v>
      </c>
      <c r="P83" s="818">
        <f>-'Output CCS'!M33</f>
        <v>0</v>
      </c>
      <c r="Q83" s="818">
        <f>-'Output CCS'!N33</f>
        <v>0</v>
      </c>
      <c r="R83" s="818">
        <f>-'Output CCS'!O33</f>
        <v>0</v>
      </c>
      <c r="S83" s="818">
        <f>-'Output CCS'!P33</f>
        <v>0</v>
      </c>
      <c r="T83" s="818">
        <f>-'Output CCS'!Q33</f>
        <v>0</v>
      </c>
      <c r="U83" s="818">
        <f>-'Output CCS'!R33</f>
        <v>0</v>
      </c>
      <c r="V83" s="818">
        <f>-'Output CCS'!S33</f>
        <v>0</v>
      </c>
      <c r="W83" s="818">
        <f>-'Output CCS'!T33</f>
        <v>0</v>
      </c>
      <c r="X83" s="818">
        <f>-'Output CCS'!U33</f>
        <v>0</v>
      </c>
      <c r="Y83" s="818">
        <f>-'Output CCS'!V33</f>
        <v>0</v>
      </c>
      <c r="Z83" s="818">
        <f>-'Output CCS'!W33</f>
        <v>0</v>
      </c>
      <c r="AA83" s="818">
        <f>-'Output CCS'!X33</f>
        <v>0</v>
      </c>
      <c r="AB83" s="818">
        <f>-'Output CCS'!Y33</f>
        <v>0</v>
      </c>
      <c r="AC83" s="818">
        <f>-'Output CCS'!Z33</f>
        <v>0</v>
      </c>
      <c r="AD83" s="818">
        <f>-'Output CCS'!AA33</f>
        <v>0</v>
      </c>
      <c r="AE83" s="818">
        <f>-'Output CCS'!AB33</f>
        <v>0</v>
      </c>
      <c r="AF83" s="818">
        <f>-'Output CCS'!AC33</f>
        <v>0</v>
      </c>
      <c r="AG83" s="818">
        <f>-'Output CCS'!AD33</f>
        <v>0</v>
      </c>
      <c r="AH83" s="818">
        <f>-'Output CCS'!AE33</f>
        <v>0</v>
      </c>
      <c r="AI83" s="818">
        <f>-'Output CCS'!AF33</f>
        <v>0</v>
      </c>
      <c r="AJ83" s="818">
        <f>-'Output CCS'!AG33</f>
        <v>0</v>
      </c>
      <c r="AK83" s="818">
        <f>-'Output CCS'!AH33</f>
        <v>0</v>
      </c>
      <c r="AL83" s="818">
        <f>-'Output CCS'!AI33</f>
        <v>0</v>
      </c>
      <c r="AM83" s="818">
        <f>-'Output CCS'!AJ33</f>
        <v>0</v>
      </c>
      <c r="AN83" s="818">
        <f>-'Output CCS'!AK33</f>
        <v>0</v>
      </c>
      <c r="AO83" s="818">
        <f>-'Output CCS'!AL33</f>
        <v>0</v>
      </c>
      <c r="AP83" s="818">
        <f>-'Output CCS'!AM33</f>
        <v>0</v>
      </c>
      <c r="AQ83" s="818">
        <f>-'Output CCS'!AN33</f>
        <v>0</v>
      </c>
      <c r="AR83" s="818">
        <f>-'Output CCS'!AO33</f>
        <v>0</v>
      </c>
      <c r="AS83" s="818">
        <f>-'Output CCS'!AP33</f>
        <v>0</v>
      </c>
      <c r="AT83" s="818">
        <f>-'Output CCS'!AQ33</f>
        <v>0</v>
      </c>
      <c r="AU83" s="818">
        <f>-'Output CCS'!AR33</f>
        <v>0</v>
      </c>
      <c r="AV83" s="818">
        <f>-'Output CCS'!AS33</f>
        <v>0</v>
      </c>
      <c r="AW83" s="818">
        <f>-'Output CCS'!AT33</f>
        <v>0</v>
      </c>
      <c r="AX83" s="818">
        <f>-'Output CCS'!AU33</f>
        <v>0</v>
      </c>
      <c r="AY83" s="818">
        <f>-'Output CCS'!AV33</f>
        <v>0</v>
      </c>
      <c r="AZ83" s="818">
        <f>-'Output CCS'!AW33</f>
        <v>0</v>
      </c>
      <c r="BA83" s="818">
        <f>-'Output CCS'!AX33</f>
        <v>0</v>
      </c>
      <c r="BB83" s="818">
        <f>-'Output CCS'!AY33</f>
        <v>0</v>
      </c>
      <c r="BC83" s="818">
        <f>-'Output CCS'!AZ33</f>
        <v>0</v>
      </c>
      <c r="BD83" s="818">
        <f>-'Output CCS'!BA33</f>
        <v>0</v>
      </c>
      <c r="BE83" s="818">
        <f>-'Output CCS'!BB33</f>
        <v>0</v>
      </c>
    </row>
    <row r="84" spans="2:57" x14ac:dyDescent="0.25">
      <c r="B84" s="315"/>
      <c r="C84" s="795"/>
      <c r="D84" s="795"/>
      <c r="E84" s="798"/>
      <c r="F84" s="807"/>
      <c r="G84" s="800"/>
      <c r="H84" s="800"/>
      <c r="I84" s="800"/>
      <c r="J84" s="800"/>
      <c r="K84" s="800"/>
      <c r="L84" s="800"/>
      <c r="M84" s="800"/>
      <c r="N84" s="800"/>
      <c r="O84" s="800"/>
      <c r="P84" s="800"/>
      <c r="Q84" s="800"/>
      <c r="R84" s="800"/>
      <c r="S84" s="800"/>
      <c r="T84" s="800"/>
      <c r="U84" s="800"/>
      <c r="V84" s="800"/>
      <c r="W84" s="800"/>
      <c r="X84" s="800"/>
      <c r="Y84" s="800"/>
      <c r="Z84" s="800"/>
      <c r="AA84" s="800"/>
      <c r="AB84" s="800"/>
      <c r="AC84" s="800"/>
      <c r="AD84" s="800"/>
      <c r="AE84" s="800"/>
      <c r="AF84" s="800"/>
      <c r="AG84" s="800"/>
      <c r="AH84" s="800"/>
      <c r="AI84" s="800"/>
      <c r="AJ84" s="800"/>
      <c r="AK84" s="800"/>
      <c r="AL84" s="800"/>
      <c r="AM84" s="800"/>
      <c r="AN84" s="800"/>
      <c r="AO84" s="800"/>
      <c r="AP84" s="800"/>
      <c r="AQ84" s="800"/>
      <c r="AR84" s="800"/>
      <c r="AS84" s="800"/>
      <c r="AT84" s="800"/>
      <c r="AU84" s="800"/>
      <c r="AV84" s="800"/>
      <c r="AW84" s="800"/>
      <c r="AX84" s="800"/>
      <c r="AY84" s="800"/>
      <c r="AZ84" s="800"/>
      <c r="BA84" s="800"/>
      <c r="BB84" s="800"/>
      <c r="BC84" s="800"/>
      <c r="BD84" s="800"/>
      <c r="BE84" s="800"/>
    </row>
    <row r="85" spans="2:57" x14ac:dyDescent="0.25">
      <c r="B85" s="315"/>
      <c r="C85" s="795"/>
      <c r="D85" s="795"/>
      <c r="E85" s="802"/>
      <c r="F85" s="802"/>
      <c r="G85" s="803"/>
      <c r="H85" s="803"/>
      <c r="I85" s="802"/>
      <c r="J85" s="803"/>
      <c r="K85" s="803"/>
      <c r="L85" s="803"/>
      <c r="M85" s="803"/>
      <c r="N85" s="803"/>
      <c r="O85" s="803"/>
      <c r="P85" s="803"/>
      <c r="Q85" s="803"/>
      <c r="R85" s="803"/>
      <c r="S85" s="803"/>
      <c r="T85" s="803"/>
      <c r="U85" s="803"/>
      <c r="V85" s="803"/>
      <c r="W85" s="803"/>
      <c r="X85" s="803"/>
      <c r="Y85" s="803"/>
      <c r="Z85" s="803"/>
      <c r="AA85" s="803"/>
      <c r="AB85" s="803"/>
      <c r="AC85" s="803"/>
      <c r="AD85" s="803"/>
      <c r="AE85" s="803"/>
      <c r="AF85" s="803"/>
      <c r="AG85" s="803"/>
      <c r="AH85" s="803"/>
      <c r="AI85" s="803"/>
      <c r="AJ85" s="803"/>
      <c r="AK85" s="803"/>
      <c r="AL85" s="803"/>
      <c r="AM85" s="803"/>
      <c r="AN85" s="803"/>
      <c r="AO85" s="803"/>
      <c r="AP85" s="803"/>
      <c r="AQ85" s="803"/>
      <c r="AR85" s="803"/>
      <c r="AS85" s="803"/>
      <c r="AT85" s="803"/>
      <c r="AU85" s="803"/>
      <c r="AV85" s="803"/>
      <c r="AW85" s="803"/>
      <c r="AX85" s="803"/>
      <c r="AY85" s="803"/>
      <c r="AZ85" s="803"/>
      <c r="BA85" s="803"/>
      <c r="BB85" s="803"/>
      <c r="BC85" s="803"/>
      <c r="BD85" s="803"/>
      <c r="BE85" s="803"/>
    </row>
    <row r="86" spans="2:57" x14ac:dyDescent="0.25">
      <c r="B86" s="315"/>
      <c r="C86" s="795"/>
      <c r="D86" s="795"/>
      <c r="E86" s="796" t="str">
        <f>'Output CCS'!B37</f>
        <v>Revenues / avoided costs</v>
      </c>
      <c r="F86" s="796" t="str">
        <f>'Output CCS'!C37</f>
        <v>[kEUR]</v>
      </c>
      <c r="G86" s="804">
        <f>'Output CCS'!D37</f>
        <v>2327466.2288961201</v>
      </c>
      <c r="H86" s="804">
        <f>'Output CCS'!E37</f>
        <v>300277.54322803684</v>
      </c>
      <c r="I86" s="805"/>
      <c r="J86" s="804">
        <f>'Output CCS'!G37</f>
        <v>0</v>
      </c>
      <c r="K86" s="804">
        <f>'Output CCS'!H37</f>
        <v>0</v>
      </c>
      <c r="L86" s="804">
        <f>'Output CCS'!I37</f>
        <v>0</v>
      </c>
      <c r="M86" s="804">
        <f>'Output CCS'!J37</f>
        <v>0</v>
      </c>
      <c r="N86" s="804">
        <f>'Output CCS'!K37</f>
        <v>0</v>
      </c>
      <c r="O86" s="804">
        <f>'Output CCS'!L37</f>
        <v>0</v>
      </c>
      <c r="P86" s="804">
        <f>'Output CCS'!M37</f>
        <v>0</v>
      </c>
      <c r="Q86" s="804">
        <f>'Output CCS'!N37</f>
        <v>0</v>
      </c>
      <c r="R86" s="804">
        <f>'Output CCS'!O37</f>
        <v>0</v>
      </c>
      <c r="S86" s="804">
        <f>'Output CCS'!P37</f>
        <v>0</v>
      </c>
      <c r="T86" s="804">
        <f>'Output CCS'!Q37</f>
        <v>0</v>
      </c>
      <c r="U86" s="804">
        <f>'Output CCS'!R37</f>
        <v>0</v>
      </c>
      <c r="V86" s="804">
        <f>'Output CCS'!S37</f>
        <v>0</v>
      </c>
      <c r="W86" s="804">
        <f>'Output CCS'!T37</f>
        <v>0</v>
      </c>
      <c r="X86" s="804">
        <f>'Output CCS'!U37</f>
        <v>0</v>
      </c>
      <c r="Y86" s="804">
        <f>'Output CCS'!V37</f>
        <v>134586.83383241293</v>
      </c>
      <c r="Z86" s="804">
        <f>'Output CCS'!W37</f>
        <v>137278.57050906122</v>
      </c>
      <c r="AA86" s="804">
        <f>'Output CCS'!X37</f>
        <v>140024.14191924245</v>
      </c>
      <c r="AB86" s="804">
        <f>'Output CCS'!Y37</f>
        <v>142824.62475762729</v>
      </c>
      <c r="AC86" s="804">
        <f>'Output CCS'!Z37</f>
        <v>145681.1172527798</v>
      </c>
      <c r="AD86" s="804">
        <f>'Output CCS'!AA37</f>
        <v>148594.73959783543</v>
      </c>
      <c r="AE86" s="804">
        <f>'Output CCS'!AB37</f>
        <v>151566.6343897921</v>
      </c>
      <c r="AF86" s="804">
        <f>'Output CCS'!AC37</f>
        <v>154597.96707758796</v>
      </c>
      <c r="AG86" s="804">
        <f>'Output CCS'!AD37</f>
        <v>157689.92641913972</v>
      </c>
      <c r="AH86" s="804">
        <f>'Output CCS'!AE37</f>
        <v>160843.72494752248</v>
      </c>
      <c r="AI86" s="804">
        <f>'Output CCS'!AF37</f>
        <v>164060.59944647294</v>
      </c>
      <c r="AJ86" s="804">
        <f>'Output CCS'!AG37</f>
        <v>167341.81143540243</v>
      </c>
      <c r="AK86" s="804">
        <f>'Output CCS'!AH37</f>
        <v>170688.64766411044</v>
      </c>
      <c r="AL86" s="804">
        <f>'Output CCS'!AI37</f>
        <v>174102.42061739269</v>
      </c>
      <c r="AM86" s="804">
        <f>'Output CCS'!AJ37</f>
        <v>177584.46902974052</v>
      </c>
      <c r="AN86" s="804">
        <f>'Output CCS'!AK37</f>
        <v>0</v>
      </c>
      <c r="AO86" s="804">
        <f>'Output CCS'!AL37</f>
        <v>0</v>
      </c>
      <c r="AP86" s="804">
        <f>'Output CCS'!AM37</f>
        <v>0</v>
      </c>
      <c r="AQ86" s="804">
        <f>'Output CCS'!AN37</f>
        <v>0</v>
      </c>
      <c r="AR86" s="804">
        <f>'Output CCS'!AO37</f>
        <v>0</v>
      </c>
      <c r="AS86" s="804">
        <f>'Output CCS'!AP37</f>
        <v>0</v>
      </c>
      <c r="AT86" s="804">
        <f>'Output CCS'!AQ37</f>
        <v>0</v>
      </c>
      <c r="AU86" s="804">
        <f>'Output CCS'!AR37</f>
        <v>0</v>
      </c>
      <c r="AV86" s="804">
        <f>'Output CCS'!AS37</f>
        <v>0</v>
      </c>
      <c r="AW86" s="804">
        <f>'Output CCS'!AT37</f>
        <v>0</v>
      </c>
      <c r="AX86" s="804">
        <f>'Output CCS'!AU37</f>
        <v>0</v>
      </c>
      <c r="AY86" s="804">
        <f>'Output CCS'!AV37</f>
        <v>0</v>
      </c>
      <c r="AZ86" s="804">
        <f>'Output CCS'!AW37</f>
        <v>0</v>
      </c>
      <c r="BA86" s="804">
        <f>'Output CCS'!AX37</f>
        <v>0</v>
      </c>
      <c r="BB86" s="804">
        <f>'Output CCS'!AY37</f>
        <v>0</v>
      </c>
      <c r="BC86" s="804">
        <f>'Output CCS'!AZ37</f>
        <v>0</v>
      </c>
      <c r="BD86" s="804">
        <f>'Output CCS'!BA37</f>
        <v>0</v>
      </c>
      <c r="BE86" s="804">
        <f>'Output CCS'!BB37</f>
        <v>0</v>
      </c>
    </row>
    <row r="87" spans="2:57" x14ac:dyDescent="0.25">
      <c r="B87" s="315"/>
      <c r="C87" s="795"/>
      <c r="D87" s="795"/>
      <c r="E87" s="808" t="str">
        <f>'Output CCS'!B38</f>
        <v xml:space="preserve">CCS revenue </v>
      </c>
      <c r="F87" s="797" t="str">
        <f>'Output CCS'!C38</f>
        <v>[kEUR]</v>
      </c>
      <c r="G87" s="815">
        <f>'Output CCS'!D38</f>
        <v>2327466.2288961201</v>
      </c>
      <c r="H87" s="815">
        <f>'Output CCS'!E38</f>
        <v>300277.54322803684</v>
      </c>
      <c r="I87" s="816"/>
      <c r="J87" s="815">
        <f>'Output CCS'!G38</f>
        <v>0</v>
      </c>
      <c r="K87" s="815">
        <f>'Output CCS'!H38</f>
        <v>0</v>
      </c>
      <c r="L87" s="815">
        <f>'Output CCS'!I38</f>
        <v>0</v>
      </c>
      <c r="M87" s="815">
        <f>'Output CCS'!J38</f>
        <v>0</v>
      </c>
      <c r="N87" s="815">
        <f>'Output CCS'!K38</f>
        <v>0</v>
      </c>
      <c r="O87" s="815">
        <f>'Output CCS'!L38</f>
        <v>0</v>
      </c>
      <c r="P87" s="815">
        <f>'Output CCS'!M38</f>
        <v>0</v>
      </c>
      <c r="Q87" s="815">
        <f>'Output CCS'!N38</f>
        <v>0</v>
      </c>
      <c r="R87" s="815">
        <f>'Output CCS'!O38</f>
        <v>0</v>
      </c>
      <c r="S87" s="815">
        <f>'Output CCS'!P38</f>
        <v>0</v>
      </c>
      <c r="T87" s="815">
        <f>'Output CCS'!Q38</f>
        <v>0</v>
      </c>
      <c r="U87" s="815">
        <f>'Output CCS'!R38</f>
        <v>0</v>
      </c>
      <c r="V87" s="815">
        <f>'Output CCS'!S38</f>
        <v>0</v>
      </c>
      <c r="W87" s="815">
        <f>'Output CCS'!T38</f>
        <v>0</v>
      </c>
      <c r="X87" s="815">
        <f>'Output CCS'!U38</f>
        <v>0</v>
      </c>
      <c r="Y87" s="815">
        <f>'Output CCS'!V38</f>
        <v>134586.83383241293</v>
      </c>
      <c r="Z87" s="815">
        <f>'Output CCS'!W38</f>
        <v>137278.57050906122</v>
      </c>
      <c r="AA87" s="815">
        <f>'Output CCS'!X38</f>
        <v>140024.14191924245</v>
      </c>
      <c r="AB87" s="815">
        <f>'Output CCS'!Y38</f>
        <v>142824.62475762729</v>
      </c>
      <c r="AC87" s="815">
        <f>'Output CCS'!Z38</f>
        <v>145681.1172527798</v>
      </c>
      <c r="AD87" s="815">
        <f>'Output CCS'!AA38</f>
        <v>148594.73959783543</v>
      </c>
      <c r="AE87" s="815">
        <f>'Output CCS'!AB38</f>
        <v>151566.6343897921</v>
      </c>
      <c r="AF87" s="815">
        <f>'Output CCS'!AC38</f>
        <v>154597.96707758796</v>
      </c>
      <c r="AG87" s="815">
        <f>'Output CCS'!AD38</f>
        <v>157689.92641913972</v>
      </c>
      <c r="AH87" s="815">
        <f>'Output CCS'!AE38</f>
        <v>160843.72494752248</v>
      </c>
      <c r="AI87" s="815">
        <f>'Output CCS'!AF38</f>
        <v>164060.59944647294</v>
      </c>
      <c r="AJ87" s="815">
        <f>'Output CCS'!AG38</f>
        <v>167341.81143540243</v>
      </c>
      <c r="AK87" s="815">
        <f>'Output CCS'!AH38</f>
        <v>170688.64766411044</v>
      </c>
      <c r="AL87" s="815">
        <f>'Output CCS'!AI38</f>
        <v>174102.42061739269</v>
      </c>
      <c r="AM87" s="815">
        <f>'Output CCS'!AJ38</f>
        <v>177584.46902974052</v>
      </c>
      <c r="AN87" s="815">
        <f>'Output CCS'!AK38</f>
        <v>0</v>
      </c>
      <c r="AO87" s="815">
        <f>'Output CCS'!AL38</f>
        <v>0</v>
      </c>
      <c r="AP87" s="815">
        <f>'Output CCS'!AM38</f>
        <v>0</v>
      </c>
      <c r="AQ87" s="815">
        <f>'Output CCS'!AN38</f>
        <v>0</v>
      </c>
      <c r="AR87" s="815">
        <f>'Output CCS'!AO38</f>
        <v>0</v>
      </c>
      <c r="AS87" s="815">
        <f>'Output CCS'!AP38</f>
        <v>0</v>
      </c>
      <c r="AT87" s="815">
        <f>'Output CCS'!AQ38</f>
        <v>0</v>
      </c>
      <c r="AU87" s="815">
        <f>'Output CCS'!AR38</f>
        <v>0</v>
      </c>
      <c r="AV87" s="815">
        <f>'Output CCS'!AS38</f>
        <v>0</v>
      </c>
      <c r="AW87" s="815">
        <f>'Output CCS'!AT38</f>
        <v>0</v>
      </c>
      <c r="AX87" s="815">
        <f>'Output CCS'!AU38</f>
        <v>0</v>
      </c>
      <c r="AY87" s="815">
        <f>'Output CCS'!AV38</f>
        <v>0</v>
      </c>
      <c r="AZ87" s="815">
        <f>'Output CCS'!AW38</f>
        <v>0</v>
      </c>
      <c r="BA87" s="815">
        <f>'Output CCS'!AX38</f>
        <v>0</v>
      </c>
      <c r="BB87" s="815">
        <f>'Output CCS'!AY38</f>
        <v>0</v>
      </c>
      <c r="BC87" s="815">
        <f>'Output CCS'!AZ38</f>
        <v>0</v>
      </c>
      <c r="BD87" s="815">
        <f>'Output CCS'!BA38</f>
        <v>0</v>
      </c>
      <c r="BE87" s="815">
        <f>'Output CCS'!BB38</f>
        <v>0</v>
      </c>
    </row>
    <row r="88" spans="2:57" x14ac:dyDescent="0.25">
      <c r="B88" s="315"/>
      <c r="C88" s="795"/>
      <c r="D88" s="795"/>
      <c r="E88" s="806"/>
      <c r="F88" s="801"/>
      <c r="G88" s="817"/>
      <c r="H88" s="817"/>
      <c r="I88" s="817"/>
      <c r="J88" s="817"/>
      <c r="K88" s="817"/>
      <c r="L88" s="817"/>
      <c r="M88" s="817"/>
      <c r="N88" s="817"/>
      <c r="O88" s="817"/>
      <c r="P88" s="817"/>
      <c r="Q88" s="817"/>
      <c r="R88" s="817"/>
      <c r="S88" s="817"/>
      <c r="T88" s="817"/>
      <c r="U88" s="817"/>
      <c r="V88" s="817"/>
      <c r="W88" s="817"/>
      <c r="X88" s="817"/>
      <c r="Y88" s="817"/>
      <c r="Z88" s="817"/>
      <c r="AA88" s="817"/>
      <c r="AB88" s="817"/>
      <c r="AC88" s="817"/>
      <c r="AD88" s="817"/>
      <c r="AE88" s="817"/>
      <c r="AF88" s="817"/>
      <c r="AG88" s="817"/>
      <c r="AH88" s="817"/>
      <c r="AI88" s="817"/>
      <c r="AJ88" s="817"/>
      <c r="AK88" s="817"/>
      <c r="AL88" s="817"/>
      <c r="AM88" s="817"/>
      <c r="AN88" s="817"/>
      <c r="AO88" s="817"/>
      <c r="AP88" s="817"/>
      <c r="AQ88" s="817"/>
      <c r="AR88" s="817"/>
      <c r="AS88" s="817"/>
      <c r="AT88" s="817"/>
      <c r="AU88" s="817"/>
      <c r="AV88" s="817"/>
      <c r="AW88" s="817"/>
      <c r="AX88" s="817"/>
      <c r="AY88" s="817"/>
      <c r="AZ88" s="817"/>
      <c r="BA88" s="817"/>
      <c r="BB88" s="817"/>
      <c r="BC88" s="817"/>
      <c r="BD88" s="817"/>
      <c r="BE88" s="817"/>
    </row>
    <row r="89" spans="2:57" x14ac:dyDescent="0.25">
      <c r="B89" s="315"/>
      <c r="C89" s="795"/>
      <c r="D89" s="795"/>
      <c r="E89" s="798"/>
      <c r="F89" s="799"/>
      <c r="G89" s="818"/>
      <c r="H89" s="818"/>
      <c r="I89" s="819"/>
      <c r="J89" s="818"/>
      <c r="K89" s="818"/>
      <c r="L89" s="818"/>
      <c r="M89" s="818"/>
      <c r="N89" s="818"/>
      <c r="O89" s="818"/>
      <c r="P89" s="818"/>
      <c r="Q89" s="818"/>
      <c r="R89" s="818"/>
      <c r="S89" s="818"/>
      <c r="T89" s="818"/>
      <c r="U89" s="818"/>
      <c r="V89" s="818"/>
      <c r="W89" s="818"/>
      <c r="X89" s="818"/>
      <c r="Y89" s="818"/>
      <c r="Z89" s="818"/>
      <c r="AA89" s="818"/>
      <c r="AB89" s="818"/>
      <c r="AC89" s="818"/>
      <c r="AD89" s="818"/>
      <c r="AE89" s="818"/>
      <c r="AF89" s="818"/>
      <c r="AG89" s="818"/>
      <c r="AH89" s="818"/>
      <c r="AI89" s="818"/>
      <c r="AJ89" s="818"/>
      <c r="AK89" s="818"/>
      <c r="AL89" s="818"/>
      <c r="AM89" s="818"/>
      <c r="AN89" s="818"/>
      <c r="AO89" s="818"/>
      <c r="AP89" s="818"/>
      <c r="AQ89" s="818"/>
      <c r="AR89" s="818"/>
      <c r="AS89" s="818"/>
      <c r="AT89" s="818"/>
      <c r="AU89" s="818"/>
      <c r="AV89" s="818"/>
      <c r="AW89" s="818"/>
      <c r="AX89" s="818"/>
      <c r="AY89" s="818"/>
      <c r="AZ89" s="818"/>
      <c r="BA89" s="818"/>
      <c r="BB89" s="818"/>
      <c r="BC89" s="818"/>
      <c r="BD89" s="818"/>
      <c r="BE89" s="818"/>
    </row>
    <row r="90" spans="2:57" x14ac:dyDescent="0.25">
      <c r="B90" s="315"/>
      <c r="C90" s="795"/>
      <c r="D90" s="795"/>
      <c r="E90" s="809"/>
      <c r="F90" s="809"/>
      <c r="G90" s="817"/>
      <c r="H90" s="817"/>
      <c r="I90" s="817"/>
      <c r="J90" s="817"/>
      <c r="K90" s="817"/>
      <c r="L90" s="817"/>
      <c r="M90" s="817"/>
      <c r="N90" s="817"/>
      <c r="O90" s="817"/>
      <c r="P90" s="817"/>
      <c r="Q90" s="817"/>
      <c r="R90" s="817"/>
      <c r="S90" s="817"/>
      <c r="T90" s="817"/>
      <c r="U90" s="817"/>
      <c r="V90" s="817"/>
      <c r="W90" s="817"/>
      <c r="X90" s="817"/>
      <c r="Y90" s="817"/>
      <c r="Z90" s="817"/>
      <c r="AA90" s="817"/>
      <c r="AB90" s="817"/>
      <c r="AC90" s="817"/>
      <c r="AD90" s="817"/>
      <c r="AE90" s="817"/>
      <c r="AF90" s="817"/>
      <c r="AG90" s="817"/>
      <c r="AH90" s="817"/>
      <c r="AI90" s="817"/>
      <c r="AJ90" s="817"/>
      <c r="AK90" s="817"/>
      <c r="AL90" s="817"/>
      <c r="AM90" s="817"/>
      <c r="AN90" s="817"/>
      <c r="AO90" s="817"/>
      <c r="AP90" s="817"/>
      <c r="AQ90" s="817"/>
      <c r="AR90" s="817"/>
      <c r="AS90" s="817"/>
      <c r="AT90" s="817"/>
      <c r="AU90" s="817"/>
      <c r="AV90" s="817"/>
      <c r="AW90" s="817"/>
      <c r="AX90" s="817"/>
      <c r="AY90" s="817"/>
      <c r="AZ90" s="817"/>
      <c r="BA90" s="817"/>
      <c r="BB90" s="817"/>
      <c r="BC90" s="817"/>
      <c r="BD90" s="817"/>
      <c r="BE90" s="817"/>
    </row>
    <row r="91" spans="2:57" x14ac:dyDescent="0.25">
      <c r="B91" s="315"/>
      <c r="C91" s="795"/>
      <c r="D91" s="795"/>
      <c r="E91" s="810" t="str">
        <f>'Output CCS'!B42</f>
        <v>Total</v>
      </c>
      <c r="F91" s="810" t="str">
        <f>'Output CCS'!C42</f>
        <v>[kEUR]</v>
      </c>
      <c r="G91" s="820">
        <f>'Output CCS'!D42</f>
        <v>1815499.3644104016</v>
      </c>
      <c r="H91" s="820">
        <f>'Output CCS'!E42</f>
        <v>200091.69529779101</v>
      </c>
      <c r="I91" s="821"/>
      <c r="J91" s="820">
        <f>'Output CCS'!G42</f>
        <v>0</v>
      </c>
      <c r="K91" s="820">
        <f>'Output CCS'!H42</f>
        <v>0</v>
      </c>
      <c r="L91" s="820">
        <f>'Output CCS'!I42</f>
        <v>0</v>
      </c>
      <c r="M91" s="820">
        <f>'Output CCS'!J42</f>
        <v>0</v>
      </c>
      <c r="N91" s="820">
        <f>'Output CCS'!K42</f>
        <v>0</v>
      </c>
      <c r="O91" s="820">
        <f>'Output CCS'!L42</f>
        <v>0</v>
      </c>
      <c r="P91" s="820">
        <f>'Output CCS'!M42</f>
        <v>0</v>
      </c>
      <c r="Q91" s="820">
        <f>'Output CCS'!N42</f>
        <v>0</v>
      </c>
      <c r="R91" s="820">
        <f>'Output CCS'!O42</f>
        <v>0</v>
      </c>
      <c r="S91" s="820">
        <f>'Output CCS'!P42</f>
        <v>0</v>
      </c>
      <c r="T91" s="820">
        <f>'Output CCS'!Q42</f>
        <v>0</v>
      </c>
      <c r="U91" s="820">
        <f>'Output CCS'!R42</f>
        <v>0</v>
      </c>
      <c r="V91" s="820">
        <f>'Output CCS'!S42</f>
        <v>0</v>
      </c>
      <c r="W91" s="820">
        <f>'Output CCS'!T42</f>
        <v>-231574.59988007782</v>
      </c>
      <c r="X91" s="820">
        <f>'Output CCS'!U42</f>
        <v>0</v>
      </c>
      <c r="Y91" s="820">
        <f>'Output CCS'!V42</f>
        <v>120593.34666064274</v>
      </c>
      <c r="Z91" s="820">
        <f>'Output CCS'!W42</f>
        <v>123004.70366439856</v>
      </c>
      <c r="AA91" s="820">
        <f>'Output CCS'!X42</f>
        <v>125464.27760964032</v>
      </c>
      <c r="AB91" s="820">
        <f>'Output CCS'!Y42</f>
        <v>127973.032631226</v>
      </c>
      <c r="AC91" s="820">
        <f>'Output CCS'!Z42</f>
        <v>130531.95214263121</v>
      </c>
      <c r="AD91" s="820">
        <f>'Output CCS'!AA42</f>
        <v>133142.03922144021</v>
      </c>
      <c r="AE91" s="820">
        <f>'Output CCS'!AB42</f>
        <v>135804.31700254444</v>
      </c>
      <c r="AF91" s="820">
        <f>'Output CCS'!AC42</f>
        <v>138519.82907920433</v>
      </c>
      <c r="AG91" s="820">
        <f>'Output CCS'!AD42</f>
        <v>141290.22566078842</v>
      </c>
      <c r="AH91" s="820">
        <f>'Output CCS'!AE42</f>
        <v>144116.03017400415</v>
      </c>
      <c r="AI91" s="820">
        <f>'Output CCS'!AF42</f>
        <v>146998.35077748424</v>
      </c>
      <c r="AJ91" s="820">
        <f>'Output CCS'!AG42</f>
        <v>149938.31779303396</v>
      </c>
      <c r="AK91" s="820">
        <f>'Output CCS'!AH42</f>
        <v>152937.08414889459</v>
      </c>
      <c r="AL91" s="820">
        <f>'Output CCS'!AI42</f>
        <v>155995.82583187253</v>
      </c>
      <c r="AM91" s="820">
        <f>'Output CCS'!AJ42</f>
        <v>159115.74234850996</v>
      </c>
      <c r="AN91" s="820">
        <f>'Output CCS'!AK42</f>
        <v>-23332.325129609941</v>
      </c>
      <c r="AO91" s="820">
        <f>'Output CCS'!AL42</f>
        <v>-1539.65734648785</v>
      </c>
      <c r="AP91" s="820">
        <f>'Output CCS'!AM42</f>
        <v>-1570.450493417607</v>
      </c>
      <c r="AQ91" s="820">
        <f>'Output CCS'!AN42</f>
        <v>-1601.8595032859596</v>
      </c>
      <c r="AR91" s="820">
        <f>'Output CCS'!AO42</f>
        <v>-1633.8966933516786</v>
      </c>
      <c r="AS91" s="820">
        <f>'Output CCS'!AP42</f>
        <v>-1666.5746272187121</v>
      </c>
      <c r="AT91" s="820">
        <f>'Output CCS'!AQ42</f>
        <v>-1699.9061197630863</v>
      </c>
      <c r="AU91" s="820">
        <f>'Output CCS'!AR42</f>
        <v>-1733.9042421583481</v>
      </c>
      <c r="AV91" s="820">
        <f>'Output CCS'!AS42</f>
        <v>-1768.5823270015153</v>
      </c>
      <c r="AW91" s="820">
        <f>'Output CCS'!AT42</f>
        <v>-1803.9539735415449</v>
      </c>
      <c r="AX91" s="820">
        <f>'Output CCS'!AU42</f>
        <v>0</v>
      </c>
      <c r="AY91" s="820">
        <f>'Output CCS'!AV42</f>
        <v>0</v>
      </c>
      <c r="AZ91" s="820">
        <f>'Output CCS'!AW42</f>
        <v>0</v>
      </c>
      <c r="BA91" s="820">
        <f>'Output CCS'!AX42</f>
        <v>0</v>
      </c>
      <c r="BB91" s="820">
        <f>'Output CCS'!AY42</f>
        <v>0</v>
      </c>
      <c r="BC91" s="820">
        <f>'Output CCS'!AZ42</f>
        <v>0</v>
      </c>
      <c r="BD91" s="820">
        <f>'Output CCS'!BA42</f>
        <v>0</v>
      </c>
      <c r="BE91" s="820">
        <f>'Output CCS'!BB42</f>
        <v>0</v>
      </c>
    </row>
    <row r="92" spans="2:57" x14ac:dyDescent="0.25">
      <c r="B92" s="315"/>
      <c r="C92" s="795"/>
      <c r="D92" s="795"/>
      <c r="E92" s="811" t="str">
        <f>'Output CCS'!B43</f>
        <v>Net Present</v>
      </c>
      <c r="F92" s="812" t="str">
        <f>'Output CCS'!C43</f>
        <v>[kEUR]</v>
      </c>
      <c r="G92" s="822">
        <f>'Output CCS'!D43</f>
        <v>200091.69529779101</v>
      </c>
      <c r="H92" s="822">
        <f>'Output CCS'!E43</f>
        <v>0</v>
      </c>
      <c r="I92" s="817"/>
      <c r="J92" s="823">
        <f>'Output CCS'!G43</f>
        <v>0</v>
      </c>
      <c r="K92" s="823">
        <f>'Output CCS'!H43</f>
        <v>0</v>
      </c>
      <c r="L92" s="823">
        <f>'Output CCS'!I43</f>
        <v>0</v>
      </c>
      <c r="M92" s="823">
        <f>'Output CCS'!J43</f>
        <v>0</v>
      </c>
      <c r="N92" s="823">
        <f>'Output CCS'!K43</f>
        <v>0</v>
      </c>
      <c r="O92" s="823">
        <f>'Output CCS'!L43</f>
        <v>0</v>
      </c>
      <c r="P92" s="823">
        <f>'Output CCS'!M43</f>
        <v>0</v>
      </c>
      <c r="Q92" s="823">
        <f>'Output CCS'!N43</f>
        <v>0</v>
      </c>
      <c r="R92" s="823">
        <f>'Output CCS'!O43</f>
        <v>0</v>
      </c>
      <c r="S92" s="823">
        <f>'Output CCS'!P43</f>
        <v>0</v>
      </c>
      <c r="T92" s="823">
        <f>'Output CCS'!Q43</f>
        <v>0</v>
      </c>
      <c r="U92" s="823">
        <f>'Output CCS'!R43</f>
        <v>0</v>
      </c>
      <c r="V92" s="823">
        <f>'Output CCS'!S43</f>
        <v>0</v>
      </c>
      <c r="W92" s="823">
        <f>'Output CCS'!T43</f>
        <v>-67078.912837034397</v>
      </c>
      <c r="X92" s="823">
        <f>'Output CCS'!U43</f>
        <v>0</v>
      </c>
      <c r="Y92" s="823">
        <f>'Output CCS'!V43</f>
        <v>28869.088397377222</v>
      </c>
      <c r="Z92" s="823">
        <f>'Output CCS'!W43</f>
        <v>26769.407356606374</v>
      </c>
      <c r="AA92" s="823">
        <f>'Output CCS'!X43</f>
        <v>24822.438462473914</v>
      </c>
      <c r="AB92" s="823">
        <f>'Output CCS'!Y43</f>
        <v>23017.07479006462</v>
      </c>
      <c r="AC92" s="823">
        <f>'Output CCS'!Z43</f>
        <v>21343.017233510029</v>
      </c>
      <c r="AD92" s="823">
        <f>'Output CCS'!AA43</f>
        <v>19790.715752407683</v>
      </c>
      <c r="AE92" s="823">
        <f>'Output CCS'!AB43</f>
        <v>18351.314891453709</v>
      </c>
      <c r="AF92" s="823">
        <f>'Output CCS'!AC43</f>
        <v>17016.603262493536</v>
      </c>
      <c r="AG92" s="823">
        <f>'Output CCS'!AD43</f>
        <v>15779.032116130367</v>
      </c>
      <c r="AH92" s="823">
        <f>'Output CCS'!AE43</f>
        <v>14631.466144048158</v>
      </c>
      <c r="AI92" s="823">
        <f>'Output CCS'!AF43</f>
        <v>13567.359515390108</v>
      </c>
      <c r="AJ92" s="823">
        <f>'Output CCS'!AG43</f>
        <v>12580.642459725375</v>
      </c>
      <c r="AK92" s="823">
        <f>'Output CCS'!AH43</f>
        <v>11665.686644472615</v>
      </c>
      <c r="AL92" s="823">
        <f>'Output CCS'!AI43</f>
        <v>10817.273070329155</v>
      </c>
      <c r="AM92" s="823">
        <f>'Output CCS'!AJ43</f>
        <v>10030.562301577942</v>
      </c>
      <c r="AN92" s="823">
        <f>'Output CCS'!AK43</f>
        <v>-1337.141798330432</v>
      </c>
      <c r="AO92" s="823">
        <f>'Output CCS'!AL43</f>
        <v>-80.214122824303431</v>
      </c>
      <c r="AP92" s="823">
        <f>'Output CCS'!AM43</f>
        <v>-74.380368437081373</v>
      </c>
      <c r="AQ92" s="823">
        <f>'Output CCS'!AN43</f>
        <v>-68.970887096202731</v>
      </c>
      <c r="AR92" s="823">
        <f>'Output CCS'!AO43</f>
        <v>-63.954822580115248</v>
      </c>
      <c r="AS92" s="823">
        <f>'Output CCS'!AP43</f>
        <v>-59.303562756106857</v>
      </c>
      <c r="AT92" s="823">
        <f>'Output CCS'!AQ43</f>
        <v>-54.99057637384454</v>
      </c>
      <c r="AU92" s="823">
        <f>'Output CCS'!AR43</f>
        <v>-50.991261728474029</v>
      </c>
      <c r="AV92" s="823">
        <f>'Output CCS'!AS43</f>
        <v>-47.282806330039548</v>
      </c>
      <c r="AW92" s="823">
        <f>'Output CCS'!AT43</f>
        <v>-43.844056778763928</v>
      </c>
      <c r="AX92" s="823">
        <f>'Output CCS'!AU43</f>
        <v>0</v>
      </c>
      <c r="AY92" s="823">
        <f>'Output CCS'!AV43</f>
        <v>0</v>
      </c>
      <c r="AZ92" s="823">
        <f>'Output CCS'!AW43</f>
        <v>0</v>
      </c>
      <c r="BA92" s="823">
        <f>'Output CCS'!AX43</f>
        <v>0</v>
      </c>
      <c r="BB92" s="823">
        <f>'Output CCS'!AY43</f>
        <v>0</v>
      </c>
      <c r="BC92" s="823">
        <f>'Output CCS'!AZ43</f>
        <v>0</v>
      </c>
      <c r="BD92" s="823">
        <f>'Output CCS'!BA43</f>
        <v>0</v>
      </c>
      <c r="BE92" s="823">
        <f>'Output CCS'!BB43</f>
        <v>0</v>
      </c>
    </row>
    <row r="93" spans="2:57" x14ac:dyDescent="0.25">
      <c r="B93" s="315"/>
      <c r="C93" s="795"/>
      <c r="D93" s="795"/>
      <c r="E93" s="809"/>
      <c r="F93" s="813"/>
      <c r="G93" s="824"/>
      <c r="H93" s="824"/>
      <c r="I93" s="817"/>
      <c r="J93" s="823"/>
      <c r="K93" s="823"/>
      <c r="L93" s="823"/>
      <c r="M93" s="823"/>
      <c r="N93" s="823"/>
      <c r="O93" s="823"/>
      <c r="P93" s="823"/>
      <c r="Q93" s="823"/>
      <c r="R93" s="823"/>
      <c r="S93" s="823"/>
      <c r="T93" s="823"/>
      <c r="U93" s="823"/>
      <c r="V93" s="823"/>
      <c r="W93" s="823"/>
      <c r="X93" s="823"/>
      <c r="Y93" s="823"/>
      <c r="Z93" s="823"/>
      <c r="AA93" s="823"/>
      <c r="AB93" s="823"/>
      <c r="AC93" s="823"/>
      <c r="AD93" s="823"/>
      <c r="AE93" s="823"/>
      <c r="AF93" s="823"/>
      <c r="AG93" s="823"/>
      <c r="AH93" s="823"/>
      <c r="AI93" s="823"/>
      <c r="AJ93" s="823"/>
      <c r="AK93" s="823"/>
      <c r="AL93" s="823"/>
      <c r="AM93" s="823"/>
      <c r="AN93" s="823"/>
      <c r="AO93" s="823"/>
      <c r="AP93" s="823"/>
      <c r="AQ93" s="823"/>
      <c r="AR93" s="823"/>
      <c r="AS93" s="823"/>
      <c r="AT93" s="823"/>
      <c r="AU93" s="823"/>
      <c r="AV93" s="823"/>
      <c r="AW93" s="823"/>
      <c r="AX93" s="823"/>
      <c r="AY93" s="823"/>
      <c r="AZ93" s="823"/>
      <c r="BA93" s="823"/>
      <c r="BB93" s="823"/>
      <c r="BC93" s="823"/>
      <c r="BD93" s="823"/>
      <c r="BE93" s="823"/>
    </row>
    <row r="94" spans="2:57" x14ac:dyDescent="0.25">
      <c r="B94" s="315"/>
      <c r="C94" s="795"/>
      <c r="D94" s="795"/>
      <c r="E94" s="809" t="str">
        <f>'Output CCS'!B45</f>
        <v>Cumulative cashflow</v>
      </c>
      <c r="F94" s="799" t="str">
        <f>'Output CCS'!C45</f>
        <v>[kEUR]</v>
      </c>
      <c r="G94" s="825">
        <f>'Output CCS'!D45</f>
        <v>0</v>
      </c>
      <c r="H94" s="825">
        <f>'Output CCS'!E45</f>
        <v>0</v>
      </c>
      <c r="I94" s="817"/>
      <c r="J94" s="817">
        <f>'Output CCS'!G45</f>
        <v>0</v>
      </c>
      <c r="K94" s="817">
        <f>'Output CCS'!H45</f>
        <v>0</v>
      </c>
      <c r="L94" s="817">
        <f>'Output CCS'!I45</f>
        <v>0</v>
      </c>
      <c r="M94" s="817">
        <f>'Output CCS'!J45</f>
        <v>0</v>
      </c>
      <c r="N94" s="817">
        <f>'Output CCS'!K45</f>
        <v>0</v>
      </c>
      <c r="O94" s="817">
        <f>'Output CCS'!L45</f>
        <v>0</v>
      </c>
      <c r="P94" s="817">
        <f>'Output CCS'!M45</f>
        <v>0</v>
      </c>
      <c r="Q94" s="817">
        <f>'Output CCS'!N45</f>
        <v>0</v>
      </c>
      <c r="R94" s="817">
        <f>'Output CCS'!O45</f>
        <v>0</v>
      </c>
      <c r="S94" s="817">
        <f>'Output CCS'!P45</f>
        <v>0</v>
      </c>
      <c r="T94" s="817">
        <f>'Output CCS'!Q45</f>
        <v>0</v>
      </c>
      <c r="U94" s="817">
        <f>'Output CCS'!R45</f>
        <v>0</v>
      </c>
      <c r="V94" s="817">
        <f>'Output CCS'!S45</f>
        <v>0</v>
      </c>
      <c r="W94" s="817">
        <f>'Output CCS'!T45</f>
        <v>-231574.59988007782</v>
      </c>
      <c r="X94" s="817">
        <f>'Output CCS'!U45</f>
        <v>-231574.59988007782</v>
      </c>
      <c r="Y94" s="817">
        <f>'Output CCS'!V45</f>
        <v>-110981.25321943508</v>
      </c>
      <c r="Z94" s="817">
        <f>'Output CCS'!W45</f>
        <v>12023.450444963484</v>
      </c>
      <c r="AA94" s="817">
        <f>'Output CCS'!X45</f>
        <v>137487.72805460379</v>
      </c>
      <c r="AB94" s="817">
        <f>'Output CCS'!Y45</f>
        <v>265460.76068582979</v>
      </c>
      <c r="AC94" s="817">
        <f>'Output CCS'!Z45</f>
        <v>395992.71282846102</v>
      </c>
      <c r="AD94" s="817">
        <f>'Output CCS'!AA45</f>
        <v>529134.75204990129</v>
      </c>
      <c r="AE94" s="817">
        <f>'Output CCS'!AB45</f>
        <v>664939.0690524457</v>
      </c>
      <c r="AF94" s="817">
        <f>'Output CCS'!AC45</f>
        <v>803458.89813165006</v>
      </c>
      <c r="AG94" s="817">
        <f>'Output CCS'!AD45</f>
        <v>944749.12379243854</v>
      </c>
      <c r="AH94" s="817">
        <f>'Output CCS'!AE45</f>
        <v>1088865.1539664427</v>
      </c>
      <c r="AI94" s="817">
        <f>'Output CCS'!AF45</f>
        <v>1235863.5047439269</v>
      </c>
      <c r="AJ94" s="817">
        <f>'Output CCS'!AG45</f>
        <v>1385801.8225369609</v>
      </c>
      <c r="AK94" s="817">
        <f>'Output CCS'!AH45</f>
        <v>1538738.9066858555</v>
      </c>
      <c r="AL94" s="817">
        <f>'Output CCS'!AI45</f>
        <v>1694734.7325177281</v>
      </c>
      <c r="AM94" s="817">
        <f>'Output CCS'!AJ45</f>
        <v>1853850.474866238</v>
      </c>
      <c r="AN94" s="817">
        <f>'Output CCS'!AK45</f>
        <v>1830518.1497366279</v>
      </c>
      <c r="AO94" s="817">
        <f>'Output CCS'!AL45</f>
        <v>1828978.4923901402</v>
      </c>
      <c r="AP94" s="817">
        <f>'Output CCS'!AM45</f>
        <v>1827408.0418967225</v>
      </c>
      <c r="AQ94" s="817">
        <f>'Output CCS'!AN45</f>
        <v>1825806.1823934366</v>
      </c>
      <c r="AR94" s="817">
        <f>'Output CCS'!AO45</f>
        <v>1824172.2857000849</v>
      </c>
      <c r="AS94" s="817">
        <f>'Output CCS'!AP45</f>
        <v>1822505.7110728661</v>
      </c>
      <c r="AT94" s="817">
        <f>'Output CCS'!AQ45</f>
        <v>1820805.804953103</v>
      </c>
      <c r="AU94" s="817">
        <f>'Output CCS'!AR45</f>
        <v>1819071.9007109446</v>
      </c>
      <c r="AV94" s="817">
        <f>'Output CCS'!AS45</f>
        <v>1817303.3183839431</v>
      </c>
      <c r="AW94" s="817">
        <f>'Output CCS'!AT45</f>
        <v>1815499.3644104016</v>
      </c>
      <c r="AX94" s="817">
        <f>'Output CCS'!AU45</f>
        <v>1815499.3644104016</v>
      </c>
      <c r="AY94" s="817">
        <f>'Output CCS'!AV45</f>
        <v>1815499.3644104016</v>
      </c>
      <c r="AZ94" s="817">
        <f>'Output CCS'!AW45</f>
        <v>1815499.3644104016</v>
      </c>
      <c r="BA94" s="817">
        <f>'Output CCS'!AX45</f>
        <v>1815499.3644104016</v>
      </c>
      <c r="BB94" s="817">
        <f>'Output CCS'!AY45</f>
        <v>1815499.3644104016</v>
      </c>
      <c r="BC94" s="817">
        <f>'Output CCS'!AZ45</f>
        <v>1815499.3644104016</v>
      </c>
      <c r="BD94" s="817">
        <f>'Output CCS'!BA45</f>
        <v>1815499.3644104016</v>
      </c>
      <c r="BE94" s="817">
        <f>'Output CCS'!BB45</f>
        <v>1815499.3644104016</v>
      </c>
    </row>
    <row r="95" spans="2:57" x14ac:dyDescent="0.25">
      <c r="B95" s="315"/>
      <c r="C95" s="795"/>
      <c r="D95" s="795"/>
      <c r="E95" s="809" t="str">
        <f>'Output CCS'!B46</f>
        <v>Cumulative discounted cashflow</v>
      </c>
      <c r="F95" s="799" t="str">
        <f>'Output CCS'!C46</f>
        <v>[MEUR]</v>
      </c>
      <c r="G95" s="807">
        <f>'Output CCS'!D46</f>
        <v>0</v>
      </c>
      <c r="H95" s="807">
        <f>'Output CCS'!E46</f>
        <v>0</v>
      </c>
      <c r="I95" s="801"/>
      <c r="J95" s="801">
        <f>'Output CCS'!G46</f>
        <v>0</v>
      </c>
      <c r="K95" s="801">
        <f>'Output CCS'!H46</f>
        <v>0</v>
      </c>
      <c r="L95" s="801">
        <f>'Output CCS'!I46</f>
        <v>0</v>
      </c>
      <c r="M95" s="801">
        <f>'Output CCS'!J46</f>
        <v>0</v>
      </c>
      <c r="N95" s="801">
        <f>'Output CCS'!K46</f>
        <v>0</v>
      </c>
      <c r="O95" s="801">
        <f>'Output CCS'!L46</f>
        <v>0</v>
      </c>
      <c r="P95" s="801">
        <f>'Output CCS'!M46</f>
        <v>0</v>
      </c>
      <c r="Q95" s="801">
        <f>'Output CCS'!N46</f>
        <v>0</v>
      </c>
      <c r="R95" s="801">
        <f>'Output CCS'!O46</f>
        <v>0</v>
      </c>
      <c r="S95" s="801">
        <f>'Output CCS'!P46</f>
        <v>0</v>
      </c>
      <c r="T95" s="801">
        <f>'Output CCS'!Q46</f>
        <v>0</v>
      </c>
      <c r="U95" s="801">
        <f>'Output CCS'!R46</f>
        <v>0</v>
      </c>
      <c r="V95" s="801">
        <f>'Output CCS'!S46</f>
        <v>0</v>
      </c>
      <c r="W95" s="801">
        <f>'Output CCS'!T46</f>
        <v>-67.078912837034395</v>
      </c>
      <c r="X95" s="801">
        <f>'Output CCS'!U46</f>
        <v>-67.078912837034395</v>
      </c>
      <c r="Y95" s="801">
        <f>'Output CCS'!V46</f>
        <v>-38.209824439657176</v>
      </c>
      <c r="Z95" s="801">
        <f>'Output CCS'!W46</f>
        <v>-11.440417083050802</v>
      </c>
      <c r="AA95" s="801">
        <f>'Output CCS'!X46</f>
        <v>13.382021379423113</v>
      </c>
      <c r="AB95" s="801">
        <f>'Output CCS'!Y46</f>
        <v>36.399096169487734</v>
      </c>
      <c r="AC95" s="801">
        <f>'Output CCS'!Z46</f>
        <v>57.742113402997759</v>
      </c>
      <c r="AD95" s="801">
        <f>'Output CCS'!AA46</f>
        <v>77.532829155405452</v>
      </c>
      <c r="AE95" s="801">
        <f>'Output CCS'!AB46</f>
        <v>95.884144046859149</v>
      </c>
      <c r="AF95" s="801">
        <f>'Output CCS'!AC46</f>
        <v>112.90074730935268</v>
      </c>
      <c r="AG95" s="801">
        <f>'Output CCS'!AD46</f>
        <v>128.67977942548305</v>
      </c>
      <c r="AH95" s="801">
        <f>'Output CCS'!AE46</f>
        <v>143.31124556953122</v>
      </c>
      <c r="AI95" s="801">
        <f>'Output CCS'!AF46</f>
        <v>156.87860508492133</v>
      </c>
      <c r="AJ95" s="801">
        <f>'Output CCS'!AG46</f>
        <v>169.4592475446467</v>
      </c>
      <c r="AK95" s="801">
        <f>'Output CCS'!AH46</f>
        <v>181.12493418911933</v>
      </c>
      <c r="AL95" s="801">
        <f>'Output CCS'!AI46</f>
        <v>191.94220725944848</v>
      </c>
      <c r="AM95" s="801">
        <f>'Output CCS'!AJ46</f>
        <v>201.97276956102641</v>
      </c>
      <c r="AN95" s="801">
        <f>'Output CCS'!AK46</f>
        <v>200.63562776269598</v>
      </c>
      <c r="AO95" s="801">
        <f>'Output CCS'!AL46</f>
        <v>200.55541363987166</v>
      </c>
      <c r="AP95" s="801">
        <f>'Output CCS'!AM46</f>
        <v>200.48103327143457</v>
      </c>
      <c r="AQ95" s="801">
        <f>'Output CCS'!AN46</f>
        <v>200.41206238433838</v>
      </c>
      <c r="AR95" s="801">
        <f>'Output CCS'!AO46</f>
        <v>200.34810756175824</v>
      </c>
      <c r="AS95" s="801">
        <f>'Output CCS'!AP46</f>
        <v>200.28880399900214</v>
      </c>
      <c r="AT95" s="801">
        <f>'Output CCS'!AQ46</f>
        <v>200.23381342262829</v>
      </c>
      <c r="AU95" s="801">
        <f>'Output CCS'!AR46</f>
        <v>200.1828221608998</v>
      </c>
      <c r="AV95" s="801">
        <f>'Output CCS'!AS46</f>
        <v>200.13553935456977</v>
      </c>
      <c r="AW95" s="801">
        <f>'Output CCS'!AT46</f>
        <v>200.09169529779101</v>
      </c>
      <c r="AX95" s="801">
        <f>'Output CCS'!AU46</f>
        <v>200.09169529779101</v>
      </c>
      <c r="AY95" s="801">
        <f>'Output CCS'!AV46</f>
        <v>200.09169529779101</v>
      </c>
      <c r="AZ95" s="801">
        <f>'Output CCS'!AW46</f>
        <v>200.09169529779101</v>
      </c>
      <c r="BA95" s="801">
        <f>'Output CCS'!AX46</f>
        <v>200.09169529779101</v>
      </c>
      <c r="BB95" s="801">
        <f>'Output CCS'!AY46</f>
        <v>200.09169529779101</v>
      </c>
      <c r="BC95" s="801">
        <f>'Output CCS'!AZ46</f>
        <v>200.09169529779101</v>
      </c>
      <c r="BD95" s="801">
        <f>'Output CCS'!BA46</f>
        <v>200.09169529779101</v>
      </c>
      <c r="BE95" s="801">
        <f>'Output CCS'!BB46</f>
        <v>200.09169529779101</v>
      </c>
    </row>
    <row r="96" spans="2:57" x14ac:dyDescent="0.25">
      <c r="B96" s="315"/>
      <c r="C96" s="795"/>
      <c r="D96" s="795"/>
      <c r="E96" s="809"/>
      <c r="F96" s="799"/>
      <c r="G96" s="807"/>
      <c r="H96" s="807"/>
      <c r="I96" s="801"/>
      <c r="J96" s="801"/>
      <c r="K96" s="801"/>
      <c r="L96" s="801"/>
      <c r="M96" s="801"/>
      <c r="N96" s="801"/>
      <c r="O96" s="801"/>
      <c r="P96" s="801"/>
      <c r="Q96" s="801"/>
      <c r="R96" s="801"/>
      <c r="S96" s="801"/>
      <c r="T96" s="801"/>
      <c r="U96" s="801"/>
      <c r="V96" s="801"/>
      <c r="W96" s="801"/>
      <c r="X96" s="801"/>
      <c r="Y96" s="801"/>
      <c r="Z96" s="801"/>
      <c r="AA96" s="801"/>
      <c r="AB96" s="801"/>
      <c r="AC96" s="801"/>
      <c r="AD96" s="801"/>
      <c r="AE96" s="801"/>
      <c r="AF96" s="801"/>
      <c r="AG96" s="801"/>
      <c r="AH96" s="801"/>
      <c r="AI96" s="801"/>
      <c r="AJ96" s="801"/>
      <c r="AK96" s="801"/>
      <c r="AL96" s="801"/>
      <c r="AM96" s="801"/>
      <c r="AN96" s="801"/>
      <c r="AO96" s="801"/>
      <c r="AP96" s="801"/>
      <c r="AQ96" s="801"/>
      <c r="AR96" s="801"/>
      <c r="AS96" s="801"/>
      <c r="AT96" s="801"/>
      <c r="AU96" s="801"/>
      <c r="AV96" s="801"/>
      <c r="AW96" s="801"/>
      <c r="AX96" s="801"/>
      <c r="AY96" s="801"/>
      <c r="AZ96" s="801"/>
      <c r="BA96" s="801"/>
      <c r="BB96" s="801"/>
      <c r="BC96" s="801"/>
      <c r="BD96" s="801"/>
      <c r="BE96" s="801"/>
    </row>
    <row r="97" spans="2:57" x14ac:dyDescent="0.25">
      <c r="B97" s="315"/>
      <c r="C97" s="795"/>
      <c r="D97" s="795"/>
      <c r="E97" s="809"/>
      <c r="F97" s="799"/>
      <c r="G97" s="807"/>
      <c r="H97" s="807"/>
      <c r="I97" s="801"/>
      <c r="J97" s="801"/>
      <c r="K97" s="801"/>
      <c r="L97" s="801"/>
      <c r="M97" s="801"/>
      <c r="N97" s="801"/>
      <c r="O97" s="801"/>
      <c r="P97" s="801"/>
      <c r="Q97" s="801"/>
      <c r="R97" s="801"/>
      <c r="S97" s="801"/>
      <c r="T97" s="801"/>
      <c r="U97" s="801"/>
      <c r="V97" s="801"/>
      <c r="W97" s="801"/>
      <c r="X97" s="801"/>
      <c r="Y97" s="801"/>
      <c r="Z97" s="801"/>
      <c r="AA97" s="801"/>
      <c r="AB97" s="801"/>
      <c r="AC97" s="801"/>
      <c r="AD97" s="801"/>
      <c r="AE97" s="801"/>
      <c r="AF97" s="801"/>
      <c r="AG97" s="801"/>
      <c r="AH97" s="801"/>
      <c r="AI97" s="801"/>
      <c r="AJ97" s="801"/>
      <c r="AK97" s="801"/>
      <c r="AL97" s="801"/>
      <c r="AM97" s="801"/>
      <c r="AN97" s="801"/>
      <c r="AO97" s="801"/>
      <c r="AP97" s="801"/>
      <c r="AQ97" s="801"/>
      <c r="AR97" s="801"/>
      <c r="AS97" s="801"/>
      <c r="AT97" s="801"/>
      <c r="AU97" s="801"/>
      <c r="AV97" s="801"/>
      <c r="AW97" s="801"/>
      <c r="AX97" s="801"/>
      <c r="AY97" s="801"/>
      <c r="AZ97" s="801"/>
      <c r="BA97" s="801"/>
      <c r="BB97" s="801"/>
      <c r="BC97" s="801"/>
      <c r="BD97" s="801"/>
      <c r="BE97" s="801"/>
    </row>
    <row r="98" spans="2:57" s="37" customFormat="1" x14ac:dyDescent="0.25">
      <c r="B98" s="759"/>
      <c r="C98" s="814"/>
      <c r="D98" s="814"/>
      <c r="E98" s="814"/>
      <c r="F98" s="814"/>
      <c r="G98" s="814"/>
      <c r="H98" s="814"/>
      <c r="I98" s="814"/>
      <c r="J98" s="814"/>
      <c r="K98" s="814"/>
      <c r="L98" s="814"/>
      <c r="M98" s="814"/>
      <c r="N98" s="814"/>
      <c r="O98" s="814"/>
      <c r="P98" s="814"/>
      <c r="Q98" s="814"/>
      <c r="R98" s="814"/>
      <c r="S98" s="814"/>
      <c r="T98" s="814"/>
      <c r="U98" s="814"/>
      <c r="V98" s="814"/>
      <c r="W98" s="814"/>
      <c r="X98" s="814"/>
      <c r="Y98" s="814"/>
      <c r="Z98" s="814"/>
      <c r="AA98" s="814"/>
      <c r="AB98" s="814"/>
      <c r="AC98" s="814"/>
      <c r="AD98" s="814"/>
      <c r="AE98" s="814"/>
      <c r="AF98" s="814"/>
      <c r="AG98" s="814"/>
      <c r="AH98" s="814"/>
      <c r="AI98" s="814"/>
      <c r="AJ98" s="814"/>
      <c r="AK98" s="814"/>
      <c r="AL98" s="814"/>
      <c r="AM98" s="814"/>
      <c r="AN98" s="814"/>
      <c r="AO98" s="814"/>
      <c r="AP98" s="814"/>
      <c r="AQ98" s="814"/>
      <c r="AR98" s="814"/>
      <c r="AS98" s="814"/>
      <c r="AT98" s="814"/>
      <c r="AU98" s="814"/>
      <c r="AV98" s="814"/>
      <c r="AW98" s="814"/>
      <c r="AX98" s="814"/>
      <c r="AY98" s="814"/>
      <c r="AZ98" s="814"/>
      <c r="BA98" s="814"/>
      <c r="BB98" s="814"/>
      <c r="BC98" s="814"/>
      <c r="BD98" s="814"/>
      <c r="BE98" s="814"/>
    </row>
    <row r="99" spans="2:57" ht="23.25" x14ac:dyDescent="0.35">
      <c r="B99" s="994" t="s">
        <v>1458</v>
      </c>
      <c r="C99" s="826"/>
      <c r="D99" s="826"/>
      <c r="E99" s="827" t="str">
        <f>'Output H2 S'!B9</f>
        <v>Investments (CAPEX)</v>
      </c>
      <c r="F99" s="827" t="str">
        <f>'Output H2 S'!C9</f>
        <v>[kEUR]</v>
      </c>
      <c r="G99" s="828">
        <f>-'Output H2 S'!D9</f>
        <v>-30942.726957348743</v>
      </c>
      <c r="H99" s="828">
        <f>-'Output H2 S'!E9</f>
        <v>-15878.511538359633</v>
      </c>
      <c r="I99" s="828"/>
      <c r="J99" s="828">
        <f>-'Output H2 S'!G9</f>
        <v>0</v>
      </c>
      <c r="K99" s="828">
        <f>-'Output H2 S'!H9</f>
        <v>0</v>
      </c>
      <c r="L99" s="828">
        <f>-'Output H2 S'!I9</f>
        <v>0</v>
      </c>
      <c r="M99" s="828">
        <f>-'Output H2 S'!J9</f>
        <v>0</v>
      </c>
      <c r="N99" s="828">
        <f>-'Output H2 S'!K9</f>
        <v>0</v>
      </c>
      <c r="O99" s="828">
        <f>-'Output H2 S'!L9</f>
        <v>0</v>
      </c>
      <c r="P99" s="828">
        <f>-'Output H2 S'!M9</f>
        <v>0</v>
      </c>
      <c r="Q99" s="828">
        <f>-'Output H2 S'!N9</f>
        <v>-30942.726957348743</v>
      </c>
      <c r="R99" s="828">
        <f>-'Output H2 S'!O9</f>
        <v>0</v>
      </c>
      <c r="S99" s="828">
        <f>-'Output H2 S'!P9</f>
        <v>0</v>
      </c>
      <c r="T99" s="828">
        <f>-'Output H2 S'!Q9</f>
        <v>0</v>
      </c>
      <c r="U99" s="828">
        <f>-'Output H2 S'!R9</f>
        <v>0</v>
      </c>
      <c r="V99" s="828">
        <f>-'Output H2 S'!S9</f>
        <v>0</v>
      </c>
      <c r="W99" s="828">
        <f>-'Output H2 S'!T9</f>
        <v>0</v>
      </c>
      <c r="X99" s="828">
        <f>-'Output H2 S'!U9</f>
        <v>0</v>
      </c>
      <c r="Y99" s="828">
        <f>-'Output H2 S'!V9</f>
        <v>0</v>
      </c>
      <c r="Z99" s="828">
        <f>-'Output H2 S'!W9</f>
        <v>0</v>
      </c>
      <c r="AA99" s="828">
        <f>-'Output H2 S'!X9</f>
        <v>0</v>
      </c>
      <c r="AB99" s="828">
        <f>-'Output H2 S'!Y9</f>
        <v>0</v>
      </c>
      <c r="AC99" s="828">
        <f>-'Output H2 S'!Z9</f>
        <v>0</v>
      </c>
      <c r="AD99" s="828">
        <f>-'Output H2 S'!AA9</f>
        <v>0</v>
      </c>
      <c r="AE99" s="828">
        <f>-'Output H2 S'!AB9</f>
        <v>0</v>
      </c>
      <c r="AF99" s="828">
        <f>-'Output H2 S'!AC9</f>
        <v>0</v>
      </c>
      <c r="AG99" s="828">
        <f>-'Output H2 S'!AD9</f>
        <v>0</v>
      </c>
      <c r="AH99" s="828">
        <f>-'Output H2 S'!AE9</f>
        <v>0</v>
      </c>
      <c r="AI99" s="828">
        <f>-'Output H2 S'!AF9</f>
        <v>0</v>
      </c>
      <c r="AJ99" s="828">
        <f>-'Output H2 S'!AG9</f>
        <v>0</v>
      </c>
      <c r="AK99" s="828">
        <f>-'Output H2 S'!AH9</f>
        <v>0</v>
      </c>
      <c r="AL99" s="828">
        <f>-'Output H2 S'!AI9</f>
        <v>0</v>
      </c>
      <c r="AM99" s="828">
        <f>-'Output H2 S'!AJ9</f>
        <v>0</v>
      </c>
      <c r="AN99" s="828">
        <f>-'Output H2 S'!AK9</f>
        <v>0</v>
      </c>
      <c r="AO99" s="828">
        <f>-'Output H2 S'!AL9</f>
        <v>0</v>
      </c>
      <c r="AP99" s="828">
        <f>-'Output H2 S'!AM9</f>
        <v>0</v>
      </c>
      <c r="AQ99" s="828">
        <f>-'Output H2 S'!AN9</f>
        <v>0</v>
      </c>
      <c r="AR99" s="828">
        <f>-'Output H2 S'!AO9</f>
        <v>0</v>
      </c>
      <c r="AS99" s="828">
        <f>-'Output H2 S'!AP9</f>
        <v>0</v>
      </c>
      <c r="AT99" s="828">
        <f>-'Output H2 S'!AQ9</f>
        <v>0</v>
      </c>
      <c r="AU99" s="828">
        <f>-'Output H2 S'!AR9</f>
        <v>0</v>
      </c>
      <c r="AV99" s="828">
        <f>-'Output H2 S'!AS9</f>
        <v>0</v>
      </c>
      <c r="AW99" s="828">
        <f>-'Output H2 S'!AT9</f>
        <v>0</v>
      </c>
      <c r="AX99" s="828">
        <f>-'Output H2 S'!AU9</f>
        <v>0</v>
      </c>
      <c r="AY99" s="828">
        <f>-'Output H2 S'!AV9</f>
        <v>0</v>
      </c>
      <c r="AZ99" s="828">
        <f>-'Output H2 S'!AW9</f>
        <v>0</v>
      </c>
      <c r="BA99" s="828">
        <f>-'Output H2 S'!AX9</f>
        <v>0</v>
      </c>
      <c r="BB99" s="828">
        <f>-'Output H2 S'!AY9</f>
        <v>0</v>
      </c>
      <c r="BC99" s="828">
        <f>-'Output H2 S'!AZ9</f>
        <v>0</v>
      </c>
      <c r="BD99" s="828">
        <f>-'Output H2 S'!BA9</f>
        <v>0</v>
      </c>
      <c r="BE99" s="828">
        <f>-'Output H2 S'!BB9</f>
        <v>0</v>
      </c>
    </row>
    <row r="100" spans="2:57" x14ac:dyDescent="0.25">
      <c r="B100" s="908"/>
      <c r="C100" s="826"/>
      <c r="D100" s="826"/>
      <c r="E100" s="829" t="str">
        <f>'Output H2 S'!B10</f>
        <v>Capex electrolyser</v>
      </c>
      <c r="F100" s="830" t="str">
        <f>'Output H2 S'!C10</f>
        <v>[kEUR]</v>
      </c>
      <c r="G100" s="831">
        <f>-'Output H2 S'!D10</f>
        <v>-9017.1824910468458</v>
      </c>
      <c r="H100" s="831">
        <f>-'Output H2 S'!E10</f>
        <v>-4627.240398848473</v>
      </c>
      <c r="I100" s="831"/>
      <c r="J100" s="831">
        <f>-'Output H2 S'!G10</f>
        <v>0</v>
      </c>
      <c r="K100" s="831">
        <f>-'Output H2 S'!H10</f>
        <v>0</v>
      </c>
      <c r="L100" s="831">
        <f>-'Output H2 S'!I10</f>
        <v>0</v>
      </c>
      <c r="M100" s="831">
        <f>-'Output H2 S'!J10</f>
        <v>0</v>
      </c>
      <c r="N100" s="831">
        <f>-'Output H2 S'!K10</f>
        <v>0</v>
      </c>
      <c r="O100" s="831">
        <f>-'Output H2 S'!L10</f>
        <v>0</v>
      </c>
      <c r="P100" s="831">
        <f>-'Output H2 S'!M10</f>
        <v>0</v>
      </c>
      <c r="Q100" s="831">
        <f>-'Output H2 S'!N10</f>
        <v>-9017.1824910468458</v>
      </c>
      <c r="R100" s="831">
        <f>-'Output H2 S'!O10</f>
        <v>0</v>
      </c>
      <c r="S100" s="831">
        <f>-'Output H2 S'!P10</f>
        <v>0</v>
      </c>
      <c r="T100" s="831">
        <f>-'Output H2 S'!Q10</f>
        <v>0</v>
      </c>
      <c r="U100" s="831">
        <f>-'Output H2 S'!R10</f>
        <v>0</v>
      </c>
      <c r="V100" s="831">
        <f>-'Output H2 S'!S10</f>
        <v>0</v>
      </c>
      <c r="W100" s="831">
        <f>-'Output H2 S'!T10</f>
        <v>0</v>
      </c>
      <c r="X100" s="831">
        <f>-'Output H2 S'!U10</f>
        <v>0</v>
      </c>
      <c r="Y100" s="831">
        <f>-'Output H2 S'!V10</f>
        <v>0</v>
      </c>
      <c r="Z100" s="831">
        <f>-'Output H2 S'!W10</f>
        <v>0</v>
      </c>
      <c r="AA100" s="831">
        <f>-'Output H2 S'!X10</f>
        <v>0</v>
      </c>
      <c r="AB100" s="831">
        <f>-'Output H2 S'!Y10</f>
        <v>0</v>
      </c>
      <c r="AC100" s="831">
        <f>-'Output H2 S'!Z10</f>
        <v>0</v>
      </c>
      <c r="AD100" s="831">
        <f>-'Output H2 S'!AA10</f>
        <v>0</v>
      </c>
      <c r="AE100" s="831">
        <f>-'Output H2 S'!AB10</f>
        <v>0</v>
      </c>
      <c r="AF100" s="831">
        <f>-'Output H2 S'!AC10</f>
        <v>0</v>
      </c>
      <c r="AG100" s="831">
        <f>-'Output H2 S'!AD10</f>
        <v>0</v>
      </c>
      <c r="AH100" s="831">
        <f>-'Output H2 S'!AE10</f>
        <v>0</v>
      </c>
      <c r="AI100" s="831">
        <f>-'Output H2 S'!AF10</f>
        <v>0</v>
      </c>
      <c r="AJ100" s="831">
        <f>-'Output H2 S'!AG10</f>
        <v>0</v>
      </c>
      <c r="AK100" s="831">
        <f>-'Output H2 S'!AH10</f>
        <v>0</v>
      </c>
      <c r="AL100" s="831">
        <f>-'Output H2 S'!AI10</f>
        <v>0</v>
      </c>
      <c r="AM100" s="831">
        <f>-'Output H2 S'!AJ10</f>
        <v>0</v>
      </c>
      <c r="AN100" s="831">
        <f>-'Output H2 S'!AK10</f>
        <v>0</v>
      </c>
      <c r="AO100" s="831">
        <f>-'Output H2 S'!AL10</f>
        <v>0</v>
      </c>
      <c r="AP100" s="831">
        <f>-'Output H2 S'!AM10</f>
        <v>0</v>
      </c>
      <c r="AQ100" s="831">
        <f>-'Output H2 S'!AN10</f>
        <v>0</v>
      </c>
      <c r="AR100" s="831">
        <f>-'Output H2 S'!AO10</f>
        <v>0</v>
      </c>
      <c r="AS100" s="831">
        <f>-'Output H2 S'!AP10</f>
        <v>0</v>
      </c>
      <c r="AT100" s="831">
        <f>-'Output H2 S'!AQ10</f>
        <v>0</v>
      </c>
      <c r="AU100" s="831">
        <f>-'Output H2 S'!AR10</f>
        <v>0</v>
      </c>
      <c r="AV100" s="831">
        <f>-'Output H2 S'!AS10</f>
        <v>0</v>
      </c>
      <c r="AW100" s="831">
        <f>-'Output H2 S'!AT10</f>
        <v>0</v>
      </c>
      <c r="AX100" s="831">
        <f>-'Output H2 S'!AU10</f>
        <v>0</v>
      </c>
      <c r="AY100" s="831">
        <f>-'Output H2 S'!AV10</f>
        <v>0</v>
      </c>
      <c r="AZ100" s="831">
        <f>-'Output H2 S'!AW10</f>
        <v>0</v>
      </c>
      <c r="BA100" s="831">
        <f>-'Output H2 S'!AX10</f>
        <v>0</v>
      </c>
      <c r="BB100" s="831">
        <f>-'Output H2 S'!AY10</f>
        <v>0</v>
      </c>
      <c r="BC100" s="831">
        <f>-'Output H2 S'!AZ10</f>
        <v>0</v>
      </c>
      <c r="BD100" s="831">
        <f>-'Output H2 S'!BA10</f>
        <v>0</v>
      </c>
      <c r="BE100" s="831">
        <f>-'Output H2 S'!BB10</f>
        <v>0</v>
      </c>
    </row>
    <row r="101" spans="2:57" x14ac:dyDescent="0.25">
      <c r="B101" s="908"/>
      <c r="C101" s="826"/>
      <c r="D101" s="826"/>
      <c r="E101" s="832" t="str">
        <f>'Output H2 S'!B11</f>
        <v>Capex desalination unit</v>
      </c>
      <c r="F101" s="833" t="str">
        <f>'Output H2 S'!C11</f>
        <v>[kEUR]</v>
      </c>
      <c r="G101" s="834">
        <f>-'Output H2 S'!D11</f>
        <v>-96.765280642775352</v>
      </c>
      <c r="H101" s="834">
        <f>-'Output H2 S'!E11</f>
        <v>-49.655889324712803</v>
      </c>
      <c r="I101" s="834"/>
      <c r="J101" s="834">
        <f>-'Output H2 S'!G11</f>
        <v>0</v>
      </c>
      <c r="K101" s="834">
        <f>-'Output H2 S'!H11</f>
        <v>0</v>
      </c>
      <c r="L101" s="834">
        <f>-'Output H2 S'!I11</f>
        <v>0</v>
      </c>
      <c r="M101" s="834">
        <f>-'Output H2 S'!J11</f>
        <v>0</v>
      </c>
      <c r="N101" s="834">
        <f>-'Output H2 S'!K11</f>
        <v>0</v>
      </c>
      <c r="O101" s="834">
        <f>-'Output H2 S'!L11</f>
        <v>0</v>
      </c>
      <c r="P101" s="834">
        <f>-'Output H2 S'!M11</f>
        <v>0</v>
      </c>
      <c r="Q101" s="834">
        <f>-'Output H2 S'!N11</f>
        <v>-96.765280642775352</v>
      </c>
      <c r="R101" s="834">
        <f>-'Output H2 S'!O11</f>
        <v>0</v>
      </c>
      <c r="S101" s="834">
        <f>-'Output H2 S'!P11</f>
        <v>0</v>
      </c>
      <c r="T101" s="834">
        <f>-'Output H2 S'!Q11</f>
        <v>0</v>
      </c>
      <c r="U101" s="834">
        <f>-'Output H2 S'!R11</f>
        <v>0</v>
      </c>
      <c r="V101" s="834">
        <f>-'Output H2 S'!S11</f>
        <v>0</v>
      </c>
      <c r="W101" s="834">
        <f>-'Output H2 S'!T11</f>
        <v>0</v>
      </c>
      <c r="X101" s="834">
        <f>-'Output H2 S'!U11</f>
        <v>0</v>
      </c>
      <c r="Y101" s="834">
        <f>-'Output H2 S'!V11</f>
        <v>0</v>
      </c>
      <c r="Z101" s="834">
        <f>-'Output H2 S'!W11</f>
        <v>0</v>
      </c>
      <c r="AA101" s="834">
        <f>-'Output H2 S'!X11</f>
        <v>0</v>
      </c>
      <c r="AB101" s="834">
        <f>-'Output H2 S'!Y11</f>
        <v>0</v>
      </c>
      <c r="AC101" s="834">
        <f>-'Output H2 S'!Z11</f>
        <v>0</v>
      </c>
      <c r="AD101" s="834">
        <f>-'Output H2 S'!AA11</f>
        <v>0</v>
      </c>
      <c r="AE101" s="834">
        <f>-'Output H2 S'!AB11</f>
        <v>0</v>
      </c>
      <c r="AF101" s="834">
        <f>-'Output H2 S'!AC11</f>
        <v>0</v>
      </c>
      <c r="AG101" s="834">
        <f>-'Output H2 S'!AD11</f>
        <v>0</v>
      </c>
      <c r="AH101" s="834">
        <f>-'Output H2 S'!AE11</f>
        <v>0</v>
      </c>
      <c r="AI101" s="834">
        <f>-'Output H2 S'!AF11</f>
        <v>0</v>
      </c>
      <c r="AJ101" s="834">
        <f>-'Output H2 S'!AG11</f>
        <v>0</v>
      </c>
      <c r="AK101" s="834">
        <f>-'Output H2 S'!AH11</f>
        <v>0</v>
      </c>
      <c r="AL101" s="834">
        <f>-'Output H2 S'!AI11</f>
        <v>0</v>
      </c>
      <c r="AM101" s="834">
        <f>-'Output H2 S'!AJ11</f>
        <v>0</v>
      </c>
      <c r="AN101" s="834">
        <f>-'Output H2 S'!AK11</f>
        <v>0</v>
      </c>
      <c r="AO101" s="834">
        <f>-'Output H2 S'!AL11</f>
        <v>0</v>
      </c>
      <c r="AP101" s="834">
        <f>-'Output H2 S'!AM11</f>
        <v>0</v>
      </c>
      <c r="AQ101" s="834">
        <f>-'Output H2 S'!AN11</f>
        <v>0</v>
      </c>
      <c r="AR101" s="834">
        <f>-'Output H2 S'!AO11</f>
        <v>0</v>
      </c>
      <c r="AS101" s="834">
        <f>-'Output H2 S'!AP11</f>
        <v>0</v>
      </c>
      <c r="AT101" s="834">
        <f>-'Output H2 S'!AQ11</f>
        <v>0</v>
      </c>
      <c r="AU101" s="834">
        <f>-'Output H2 S'!AR11</f>
        <v>0</v>
      </c>
      <c r="AV101" s="834">
        <f>-'Output H2 S'!AS11</f>
        <v>0</v>
      </c>
      <c r="AW101" s="834">
        <f>-'Output H2 S'!AT11</f>
        <v>0</v>
      </c>
      <c r="AX101" s="834">
        <f>-'Output H2 S'!AU11</f>
        <v>0</v>
      </c>
      <c r="AY101" s="834">
        <f>-'Output H2 S'!AV11</f>
        <v>0</v>
      </c>
      <c r="AZ101" s="834">
        <f>-'Output H2 S'!AW11</f>
        <v>0</v>
      </c>
      <c r="BA101" s="834">
        <f>-'Output H2 S'!AX11</f>
        <v>0</v>
      </c>
      <c r="BB101" s="834">
        <f>-'Output H2 S'!AY11</f>
        <v>0</v>
      </c>
      <c r="BC101" s="834">
        <f>-'Output H2 S'!AZ11</f>
        <v>0</v>
      </c>
      <c r="BD101" s="834">
        <f>-'Output H2 S'!BA11</f>
        <v>0</v>
      </c>
      <c r="BE101" s="834">
        <f>-'Output H2 S'!BB11</f>
        <v>0</v>
      </c>
    </row>
    <row r="102" spans="2:57" x14ac:dyDescent="0.25">
      <c r="B102" s="908"/>
      <c r="C102" s="826"/>
      <c r="D102" s="826"/>
      <c r="E102" s="832" t="str">
        <f>'Output H2 S'!B12</f>
        <v>Capex compressor</v>
      </c>
      <c r="F102" s="833" t="str">
        <f>'Output H2 S'!C12</f>
        <v>[kEUR]</v>
      </c>
      <c r="G102" s="834">
        <f>-'Output H2 S'!D12</f>
        <v>-209.73138440952872</v>
      </c>
      <c r="H102" s="834">
        <f>-'Output H2 S'!E12</f>
        <v>-107.62536255751468</v>
      </c>
      <c r="I102" s="834"/>
      <c r="J102" s="834">
        <f>-'Output H2 S'!G12</f>
        <v>0</v>
      </c>
      <c r="K102" s="834">
        <f>-'Output H2 S'!H12</f>
        <v>0</v>
      </c>
      <c r="L102" s="834">
        <f>-'Output H2 S'!I12</f>
        <v>0</v>
      </c>
      <c r="M102" s="834">
        <f>-'Output H2 S'!J12</f>
        <v>0</v>
      </c>
      <c r="N102" s="834">
        <f>-'Output H2 S'!K12</f>
        <v>0</v>
      </c>
      <c r="O102" s="834">
        <f>-'Output H2 S'!L12</f>
        <v>0</v>
      </c>
      <c r="P102" s="834">
        <f>-'Output H2 S'!M12</f>
        <v>0</v>
      </c>
      <c r="Q102" s="834">
        <f>-'Output H2 S'!N12</f>
        <v>-209.73138440952872</v>
      </c>
      <c r="R102" s="834">
        <f>-'Output H2 S'!O12</f>
        <v>0</v>
      </c>
      <c r="S102" s="834">
        <f>-'Output H2 S'!P12</f>
        <v>0</v>
      </c>
      <c r="T102" s="834">
        <f>-'Output H2 S'!Q12</f>
        <v>0</v>
      </c>
      <c r="U102" s="834">
        <f>-'Output H2 S'!R12</f>
        <v>0</v>
      </c>
      <c r="V102" s="834">
        <f>-'Output H2 S'!S12</f>
        <v>0</v>
      </c>
      <c r="W102" s="834">
        <f>-'Output H2 S'!T12</f>
        <v>0</v>
      </c>
      <c r="X102" s="834">
        <f>-'Output H2 S'!U12</f>
        <v>0</v>
      </c>
      <c r="Y102" s="834">
        <f>-'Output H2 S'!V12</f>
        <v>0</v>
      </c>
      <c r="Z102" s="834">
        <f>-'Output H2 S'!W12</f>
        <v>0</v>
      </c>
      <c r="AA102" s="834">
        <f>-'Output H2 S'!X12</f>
        <v>0</v>
      </c>
      <c r="AB102" s="834">
        <f>-'Output H2 S'!Y12</f>
        <v>0</v>
      </c>
      <c r="AC102" s="834">
        <f>-'Output H2 S'!Z12</f>
        <v>0</v>
      </c>
      <c r="AD102" s="834">
        <f>-'Output H2 S'!AA12</f>
        <v>0</v>
      </c>
      <c r="AE102" s="834">
        <f>-'Output H2 S'!AB12</f>
        <v>0</v>
      </c>
      <c r="AF102" s="834">
        <f>-'Output H2 S'!AC12</f>
        <v>0</v>
      </c>
      <c r="AG102" s="834">
        <f>-'Output H2 S'!AD12</f>
        <v>0</v>
      </c>
      <c r="AH102" s="834">
        <f>-'Output H2 S'!AE12</f>
        <v>0</v>
      </c>
      <c r="AI102" s="834">
        <f>-'Output H2 S'!AF12</f>
        <v>0</v>
      </c>
      <c r="AJ102" s="834">
        <f>-'Output H2 S'!AG12</f>
        <v>0</v>
      </c>
      <c r="AK102" s="834">
        <f>-'Output H2 S'!AH12</f>
        <v>0</v>
      </c>
      <c r="AL102" s="834">
        <f>-'Output H2 S'!AI12</f>
        <v>0</v>
      </c>
      <c r="AM102" s="834">
        <f>-'Output H2 S'!AJ12</f>
        <v>0</v>
      </c>
      <c r="AN102" s="834">
        <f>-'Output H2 S'!AK12</f>
        <v>0</v>
      </c>
      <c r="AO102" s="834">
        <f>-'Output H2 S'!AL12</f>
        <v>0</v>
      </c>
      <c r="AP102" s="834">
        <f>-'Output H2 S'!AM12</f>
        <v>0</v>
      </c>
      <c r="AQ102" s="834">
        <f>-'Output H2 S'!AN12</f>
        <v>0</v>
      </c>
      <c r="AR102" s="834">
        <f>-'Output H2 S'!AO12</f>
        <v>0</v>
      </c>
      <c r="AS102" s="834">
        <f>-'Output H2 S'!AP12</f>
        <v>0</v>
      </c>
      <c r="AT102" s="834">
        <f>-'Output H2 S'!AQ12</f>
        <v>0</v>
      </c>
      <c r="AU102" s="834">
        <f>-'Output H2 S'!AR12</f>
        <v>0</v>
      </c>
      <c r="AV102" s="834">
        <f>-'Output H2 S'!AS12</f>
        <v>0</v>
      </c>
      <c r="AW102" s="834">
        <f>-'Output H2 S'!AT12</f>
        <v>0</v>
      </c>
      <c r="AX102" s="834">
        <f>-'Output H2 S'!AU12</f>
        <v>0</v>
      </c>
      <c r="AY102" s="834">
        <f>-'Output H2 S'!AV12</f>
        <v>0</v>
      </c>
      <c r="AZ102" s="834">
        <f>-'Output H2 S'!AW12</f>
        <v>0</v>
      </c>
      <c r="BA102" s="834">
        <f>-'Output H2 S'!AX12</f>
        <v>0</v>
      </c>
      <c r="BB102" s="834">
        <f>-'Output H2 S'!AY12</f>
        <v>0</v>
      </c>
      <c r="BC102" s="834">
        <f>-'Output H2 S'!AZ12</f>
        <v>0</v>
      </c>
      <c r="BD102" s="834">
        <f>-'Output H2 S'!BA12</f>
        <v>0</v>
      </c>
      <c r="BE102" s="834">
        <f>-'Output H2 S'!BB12</f>
        <v>0</v>
      </c>
    </row>
    <row r="103" spans="2:57" x14ac:dyDescent="0.25">
      <c r="B103" s="908"/>
      <c r="C103" s="826"/>
      <c r="D103" s="826"/>
      <c r="E103" s="832" t="str">
        <f>'Output H2 S'!B13</f>
        <v>Capex existing pipeline</v>
      </c>
      <c r="F103" s="833" t="str">
        <f>'Output H2 S'!C13</f>
        <v>[kEUR]</v>
      </c>
      <c r="G103" s="834">
        <f>-'Output H2 S'!D13</f>
        <v>0</v>
      </c>
      <c r="H103" s="834">
        <f>-'Output H2 S'!E13</f>
        <v>0</v>
      </c>
      <c r="I103" s="834"/>
      <c r="J103" s="834">
        <f>-'Output H2 S'!G13</f>
        <v>0</v>
      </c>
      <c r="K103" s="834">
        <f>-'Output H2 S'!H13</f>
        <v>0</v>
      </c>
      <c r="L103" s="834">
        <f>-'Output H2 S'!I13</f>
        <v>0</v>
      </c>
      <c r="M103" s="834">
        <f>-'Output H2 S'!J13</f>
        <v>0</v>
      </c>
      <c r="N103" s="834">
        <f>-'Output H2 S'!K13</f>
        <v>0</v>
      </c>
      <c r="O103" s="834">
        <f>-'Output H2 S'!L13</f>
        <v>0</v>
      </c>
      <c r="P103" s="834">
        <f>-'Output H2 S'!M13</f>
        <v>0</v>
      </c>
      <c r="Q103" s="834">
        <f>-'Output H2 S'!N13</f>
        <v>0</v>
      </c>
      <c r="R103" s="834">
        <f>-'Output H2 S'!O13</f>
        <v>0</v>
      </c>
      <c r="S103" s="834">
        <f>-'Output H2 S'!P13</f>
        <v>0</v>
      </c>
      <c r="T103" s="834">
        <f>-'Output H2 S'!Q13</f>
        <v>0</v>
      </c>
      <c r="U103" s="834">
        <f>-'Output H2 S'!R13</f>
        <v>0</v>
      </c>
      <c r="V103" s="834">
        <f>-'Output H2 S'!S13</f>
        <v>0</v>
      </c>
      <c r="W103" s="834">
        <f>-'Output H2 S'!T13</f>
        <v>0</v>
      </c>
      <c r="X103" s="834">
        <f>-'Output H2 S'!U13</f>
        <v>0</v>
      </c>
      <c r="Y103" s="834">
        <f>-'Output H2 S'!V13</f>
        <v>0</v>
      </c>
      <c r="Z103" s="834">
        <f>-'Output H2 S'!W13</f>
        <v>0</v>
      </c>
      <c r="AA103" s="834">
        <f>-'Output H2 S'!X13</f>
        <v>0</v>
      </c>
      <c r="AB103" s="834">
        <f>-'Output H2 S'!Y13</f>
        <v>0</v>
      </c>
      <c r="AC103" s="834">
        <f>-'Output H2 S'!Z13</f>
        <v>0</v>
      </c>
      <c r="AD103" s="834">
        <f>-'Output H2 S'!AA13</f>
        <v>0</v>
      </c>
      <c r="AE103" s="834">
        <f>-'Output H2 S'!AB13</f>
        <v>0</v>
      </c>
      <c r="AF103" s="834">
        <f>-'Output H2 S'!AC13</f>
        <v>0</v>
      </c>
      <c r="AG103" s="834">
        <f>-'Output H2 S'!AD13</f>
        <v>0</v>
      </c>
      <c r="AH103" s="834">
        <f>-'Output H2 S'!AE13</f>
        <v>0</v>
      </c>
      <c r="AI103" s="834">
        <f>-'Output H2 S'!AF13</f>
        <v>0</v>
      </c>
      <c r="AJ103" s="834">
        <f>-'Output H2 S'!AG13</f>
        <v>0</v>
      </c>
      <c r="AK103" s="834">
        <f>-'Output H2 S'!AH13</f>
        <v>0</v>
      </c>
      <c r="AL103" s="834">
        <f>-'Output H2 S'!AI13</f>
        <v>0</v>
      </c>
      <c r="AM103" s="834">
        <f>-'Output H2 S'!AJ13</f>
        <v>0</v>
      </c>
      <c r="AN103" s="834">
        <f>-'Output H2 S'!AK13</f>
        <v>0</v>
      </c>
      <c r="AO103" s="834">
        <f>-'Output H2 S'!AL13</f>
        <v>0</v>
      </c>
      <c r="AP103" s="834">
        <f>-'Output H2 S'!AM13</f>
        <v>0</v>
      </c>
      <c r="AQ103" s="834">
        <f>-'Output H2 S'!AN13</f>
        <v>0</v>
      </c>
      <c r="AR103" s="834">
        <f>-'Output H2 S'!AO13</f>
        <v>0</v>
      </c>
      <c r="AS103" s="834">
        <f>-'Output H2 S'!AP13</f>
        <v>0</v>
      </c>
      <c r="AT103" s="834">
        <f>-'Output H2 S'!AQ13</f>
        <v>0</v>
      </c>
      <c r="AU103" s="834">
        <f>-'Output H2 S'!AR13</f>
        <v>0</v>
      </c>
      <c r="AV103" s="834">
        <f>-'Output H2 S'!AS13</f>
        <v>0</v>
      </c>
      <c r="AW103" s="834">
        <f>-'Output H2 S'!AT13</f>
        <v>0</v>
      </c>
      <c r="AX103" s="834">
        <f>-'Output H2 S'!AU13</f>
        <v>0</v>
      </c>
      <c r="AY103" s="834">
        <f>-'Output H2 S'!AV13</f>
        <v>0</v>
      </c>
      <c r="AZ103" s="834">
        <f>-'Output H2 S'!AW13</f>
        <v>0</v>
      </c>
      <c r="BA103" s="834">
        <f>-'Output H2 S'!AX13</f>
        <v>0</v>
      </c>
      <c r="BB103" s="834">
        <f>-'Output H2 S'!AY13</f>
        <v>0</v>
      </c>
      <c r="BC103" s="834">
        <f>-'Output H2 S'!AZ13</f>
        <v>0</v>
      </c>
      <c r="BD103" s="834">
        <f>-'Output H2 S'!BA13</f>
        <v>0</v>
      </c>
      <c r="BE103" s="834">
        <f>-'Output H2 S'!BB13</f>
        <v>0</v>
      </c>
    </row>
    <row r="104" spans="2:57" x14ac:dyDescent="0.25">
      <c r="B104" s="908"/>
      <c r="C104" s="826"/>
      <c r="D104" s="826"/>
      <c r="E104" s="832" t="str">
        <f>'Output H2 S'!B14</f>
        <v>Capex cable (H2)</v>
      </c>
      <c r="F104" s="833" t="str">
        <f>'Output H2 S'!C14</f>
        <v>[kEUR]</v>
      </c>
      <c r="G104" s="834">
        <f>-'Output H2 S'!D14</f>
        <v>-21619.047801249591</v>
      </c>
      <c r="H104" s="834">
        <f>-'Output H2 S'!E14</f>
        <v>-11093.989887628932</v>
      </c>
      <c r="I104" s="834"/>
      <c r="J104" s="834">
        <f>-'Output H2 S'!G14</f>
        <v>0</v>
      </c>
      <c r="K104" s="834">
        <f>-'Output H2 S'!H14</f>
        <v>0</v>
      </c>
      <c r="L104" s="834">
        <f>-'Output H2 S'!I14</f>
        <v>0</v>
      </c>
      <c r="M104" s="834">
        <f>-'Output H2 S'!J14</f>
        <v>0</v>
      </c>
      <c r="N104" s="834">
        <f>-'Output H2 S'!K14</f>
        <v>0</v>
      </c>
      <c r="O104" s="834">
        <f>-'Output H2 S'!L14</f>
        <v>0</v>
      </c>
      <c r="P104" s="834">
        <f>-'Output H2 S'!M14</f>
        <v>0</v>
      </c>
      <c r="Q104" s="834">
        <f>-'Output H2 S'!N14</f>
        <v>-21619.047801249591</v>
      </c>
      <c r="R104" s="834">
        <f>-'Output H2 S'!O14</f>
        <v>0</v>
      </c>
      <c r="S104" s="834">
        <f>-'Output H2 S'!P14</f>
        <v>0</v>
      </c>
      <c r="T104" s="834">
        <f>-'Output H2 S'!Q14</f>
        <v>0</v>
      </c>
      <c r="U104" s="834">
        <f>-'Output H2 S'!R14</f>
        <v>0</v>
      </c>
      <c r="V104" s="834">
        <f>-'Output H2 S'!S14</f>
        <v>0</v>
      </c>
      <c r="W104" s="834">
        <f>-'Output H2 S'!T14</f>
        <v>0</v>
      </c>
      <c r="X104" s="834">
        <f>-'Output H2 S'!U14</f>
        <v>0</v>
      </c>
      <c r="Y104" s="834">
        <f>-'Output H2 S'!V14</f>
        <v>0</v>
      </c>
      <c r="Z104" s="834">
        <f>-'Output H2 S'!W14</f>
        <v>0</v>
      </c>
      <c r="AA104" s="834">
        <f>-'Output H2 S'!X14</f>
        <v>0</v>
      </c>
      <c r="AB104" s="834">
        <f>-'Output H2 S'!Y14</f>
        <v>0</v>
      </c>
      <c r="AC104" s="834">
        <f>-'Output H2 S'!Z14</f>
        <v>0</v>
      </c>
      <c r="AD104" s="834">
        <f>-'Output H2 S'!AA14</f>
        <v>0</v>
      </c>
      <c r="AE104" s="834">
        <f>-'Output H2 S'!AB14</f>
        <v>0</v>
      </c>
      <c r="AF104" s="834">
        <f>-'Output H2 S'!AC14</f>
        <v>0</v>
      </c>
      <c r="AG104" s="834">
        <f>-'Output H2 S'!AD14</f>
        <v>0</v>
      </c>
      <c r="AH104" s="834">
        <f>-'Output H2 S'!AE14</f>
        <v>0</v>
      </c>
      <c r="AI104" s="834">
        <f>-'Output H2 S'!AF14</f>
        <v>0</v>
      </c>
      <c r="AJ104" s="834">
        <f>-'Output H2 S'!AG14</f>
        <v>0</v>
      </c>
      <c r="AK104" s="834">
        <f>-'Output H2 S'!AH14</f>
        <v>0</v>
      </c>
      <c r="AL104" s="834">
        <f>-'Output H2 S'!AI14</f>
        <v>0</v>
      </c>
      <c r="AM104" s="834">
        <f>-'Output H2 S'!AJ14</f>
        <v>0</v>
      </c>
      <c r="AN104" s="834">
        <f>-'Output H2 S'!AK14</f>
        <v>0</v>
      </c>
      <c r="AO104" s="834">
        <f>-'Output H2 S'!AL14</f>
        <v>0</v>
      </c>
      <c r="AP104" s="834">
        <f>-'Output H2 S'!AM14</f>
        <v>0</v>
      </c>
      <c r="AQ104" s="834">
        <f>-'Output H2 S'!AN14</f>
        <v>0</v>
      </c>
      <c r="AR104" s="834">
        <f>-'Output H2 S'!AO14</f>
        <v>0</v>
      </c>
      <c r="AS104" s="834">
        <f>-'Output H2 S'!AP14</f>
        <v>0</v>
      </c>
      <c r="AT104" s="834">
        <f>-'Output H2 S'!AQ14</f>
        <v>0</v>
      </c>
      <c r="AU104" s="834">
        <f>-'Output H2 S'!AR14</f>
        <v>0</v>
      </c>
      <c r="AV104" s="834">
        <f>-'Output H2 S'!AS14</f>
        <v>0</v>
      </c>
      <c r="AW104" s="834">
        <f>-'Output H2 S'!AT14</f>
        <v>0</v>
      </c>
      <c r="AX104" s="834">
        <f>-'Output H2 S'!AU14</f>
        <v>0</v>
      </c>
      <c r="AY104" s="834">
        <f>-'Output H2 S'!AV14</f>
        <v>0</v>
      </c>
      <c r="AZ104" s="834">
        <f>-'Output H2 S'!AW14</f>
        <v>0</v>
      </c>
      <c r="BA104" s="834">
        <f>-'Output H2 S'!AX14</f>
        <v>0</v>
      </c>
      <c r="BB104" s="834">
        <f>-'Output H2 S'!AY14</f>
        <v>0</v>
      </c>
      <c r="BC104" s="834">
        <f>-'Output H2 S'!AZ14</f>
        <v>0</v>
      </c>
      <c r="BD104" s="834">
        <f>-'Output H2 S'!BA14</f>
        <v>0</v>
      </c>
      <c r="BE104" s="834">
        <f>-'Output H2 S'!BB14</f>
        <v>0</v>
      </c>
    </row>
    <row r="105" spans="2:57" x14ac:dyDescent="0.25">
      <c r="B105" s="908"/>
      <c r="C105" s="826"/>
      <c r="D105" s="826"/>
      <c r="E105" s="832" t="str">
        <f>'Output H2 S'!B15</f>
        <v>Capex adjustments H2 on platform</v>
      </c>
      <c r="F105" s="833" t="str">
        <f>'Output H2 S'!C15</f>
        <v>[kEUR]</v>
      </c>
      <c r="G105" s="834">
        <f>-'Output H2 S'!D15</f>
        <v>0</v>
      </c>
      <c r="H105" s="834">
        <f>-'Output H2 S'!E15</f>
        <v>0</v>
      </c>
      <c r="I105" s="834"/>
      <c r="J105" s="834">
        <f>-'Output H2 S'!G15</f>
        <v>0</v>
      </c>
      <c r="K105" s="834">
        <f>-'Output H2 S'!H15</f>
        <v>0</v>
      </c>
      <c r="L105" s="834">
        <f>-'Output H2 S'!I15</f>
        <v>0</v>
      </c>
      <c r="M105" s="834">
        <f>-'Output H2 S'!J15</f>
        <v>0</v>
      </c>
      <c r="N105" s="834">
        <f>-'Output H2 S'!K15</f>
        <v>0</v>
      </c>
      <c r="O105" s="834">
        <f>-'Output H2 S'!L15</f>
        <v>0</v>
      </c>
      <c r="P105" s="834">
        <f>-'Output H2 S'!M15</f>
        <v>0</v>
      </c>
      <c r="Q105" s="834">
        <f>-'Output H2 S'!N15</f>
        <v>0</v>
      </c>
      <c r="R105" s="834">
        <f>-'Output H2 S'!O15</f>
        <v>0</v>
      </c>
      <c r="S105" s="834">
        <f>-'Output H2 S'!P15</f>
        <v>0</v>
      </c>
      <c r="T105" s="834">
        <f>-'Output H2 S'!Q15</f>
        <v>0</v>
      </c>
      <c r="U105" s="834">
        <f>-'Output H2 S'!R15</f>
        <v>0</v>
      </c>
      <c r="V105" s="834">
        <f>-'Output H2 S'!S15</f>
        <v>0</v>
      </c>
      <c r="W105" s="834">
        <f>-'Output H2 S'!T15</f>
        <v>0</v>
      </c>
      <c r="X105" s="834">
        <f>-'Output H2 S'!U15</f>
        <v>0</v>
      </c>
      <c r="Y105" s="834">
        <f>-'Output H2 S'!V15</f>
        <v>0</v>
      </c>
      <c r="Z105" s="834">
        <f>-'Output H2 S'!W15</f>
        <v>0</v>
      </c>
      <c r="AA105" s="834">
        <f>-'Output H2 S'!X15</f>
        <v>0</v>
      </c>
      <c r="AB105" s="834">
        <f>-'Output H2 S'!Y15</f>
        <v>0</v>
      </c>
      <c r="AC105" s="834">
        <f>-'Output H2 S'!Z15</f>
        <v>0</v>
      </c>
      <c r="AD105" s="834">
        <f>-'Output H2 S'!AA15</f>
        <v>0</v>
      </c>
      <c r="AE105" s="834">
        <f>-'Output H2 S'!AB15</f>
        <v>0</v>
      </c>
      <c r="AF105" s="834">
        <f>-'Output H2 S'!AC15</f>
        <v>0</v>
      </c>
      <c r="AG105" s="834">
        <f>-'Output H2 S'!AD15</f>
        <v>0</v>
      </c>
      <c r="AH105" s="834">
        <f>-'Output H2 S'!AE15</f>
        <v>0</v>
      </c>
      <c r="AI105" s="834">
        <f>-'Output H2 S'!AF15</f>
        <v>0</v>
      </c>
      <c r="AJ105" s="834">
        <f>-'Output H2 S'!AG15</f>
        <v>0</v>
      </c>
      <c r="AK105" s="834">
        <f>-'Output H2 S'!AH15</f>
        <v>0</v>
      </c>
      <c r="AL105" s="834">
        <f>-'Output H2 S'!AI15</f>
        <v>0</v>
      </c>
      <c r="AM105" s="834">
        <f>-'Output H2 S'!AJ15</f>
        <v>0</v>
      </c>
      <c r="AN105" s="834">
        <f>-'Output H2 S'!AK15</f>
        <v>0</v>
      </c>
      <c r="AO105" s="834">
        <f>-'Output H2 S'!AL15</f>
        <v>0</v>
      </c>
      <c r="AP105" s="834">
        <f>-'Output H2 S'!AM15</f>
        <v>0</v>
      </c>
      <c r="AQ105" s="834">
        <f>-'Output H2 S'!AN15</f>
        <v>0</v>
      </c>
      <c r="AR105" s="834">
        <f>-'Output H2 S'!AO15</f>
        <v>0</v>
      </c>
      <c r="AS105" s="834">
        <f>-'Output H2 S'!AP15</f>
        <v>0</v>
      </c>
      <c r="AT105" s="834">
        <f>-'Output H2 S'!AQ15</f>
        <v>0</v>
      </c>
      <c r="AU105" s="834">
        <f>-'Output H2 S'!AR15</f>
        <v>0</v>
      </c>
      <c r="AV105" s="834">
        <f>-'Output H2 S'!AS15</f>
        <v>0</v>
      </c>
      <c r="AW105" s="834">
        <f>-'Output H2 S'!AT15</f>
        <v>0</v>
      </c>
      <c r="AX105" s="834">
        <f>-'Output H2 S'!AU15</f>
        <v>0</v>
      </c>
      <c r="AY105" s="834">
        <f>-'Output H2 S'!AV15</f>
        <v>0</v>
      </c>
      <c r="AZ105" s="834">
        <f>-'Output H2 S'!AW15</f>
        <v>0</v>
      </c>
      <c r="BA105" s="834">
        <f>-'Output H2 S'!AX15</f>
        <v>0</v>
      </c>
      <c r="BB105" s="834">
        <f>-'Output H2 S'!AY15</f>
        <v>0</v>
      </c>
      <c r="BC105" s="834">
        <f>-'Output H2 S'!AZ15</f>
        <v>0</v>
      </c>
      <c r="BD105" s="834">
        <f>-'Output H2 S'!BA15</f>
        <v>0</v>
      </c>
      <c r="BE105" s="834">
        <f>-'Output H2 S'!BB15</f>
        <v>0</v>
      </c>
    </row>
    <row r="106" spans="2:57" x14ac:dyDescent="0.25">
      <c r="B106" s="908"/>
      <c r="C106" s="826"/>
      <c r="D106" s="826"/>
      <c r="E106" s="832" t="str">
        <f>'Output H2 S'!B18</f>
        <v>Decom cost H2 small phase</v>
      </c>
      <c r="F106" s="833" t="str">
        <f>'Output H2 S'!C16</f>
        <v>[kEUR]</v>
      </c>
      <c r="G106" s="834">
        <f>'Output H2 S'!D18</f>
        <v>0</v>
      </c>
      <c r="H106" s="834">
        <f>'Output H2 S'!E18</f>
        <v>0</v>
      </c>
      <c r="I106" s="834"/>
      <c r="J106" s="834">
        <f>-'Output H2 S'!G18</f>
        <v>0</v>
      </c>
      <c r="K106" s="834">
        <f>-'Output H2 S'!H18</f>
        <v>0</v>
      </c>
      <c r="L106" s="834">
        <f>-'Output H2 S'!I18</f>
        <v>0</v>
      </c>
      <c r="M106" s="834">
        <f>-'Output H2 S'!J18</f>
        <v>0</v>
      </c>
      <c r="N106" s="834">
        <f>-'Output H2 S'!K18</f>
        <v>0</v>
      </c>
      <c r="O106" s="834">
        <f>-'Output H2 S'!L18</f>
        <v>0</v>
      </c>
      <c r="P106" s="834">
        <f>-'Output H2 S'!M18</f>
        <v>0</v>
      </c>
      <c r="Q106" s="834">
        <f>-'Output H2 S'!N18</f>
        <v>0</v>
      </c>
      <c r="R106" s="834">
        <f>-'Output H2 S'!O18</f>
        <v>0</v>
      </c>
      <c r="S106" s="834">
        <f>-'Output H2 S'!P18</f>
        <v>0</v>
      </c>
      <c r="T106" s="834">
        <f>-'Output H2 S'!Q18</f>
        <v>0</v>
      </c>
      <c r="U106" s="834">
        <f>-'Output H2 S'!R18</f>
        <v>0</v>
      </c>
      <c r="V106" s="834">
        <f>-'Output H2 S'!S18</f>
        <v>0</v>
      </c>
      <c r="W106" s="834">
        <f>-'Output H2 S'!T18</f>
        <v>0</v>
      </c>
      <c r="X106" s="834">
        <f>-'Output H2 S'!U18</f>
        <v>0</v>
      </c>
      <c r="Y106" s="834">
        <f>-'Output H2 S'!V18</f>
        <v>0</v>
      </c>
      <c r="Z106" s="834">
        <f>-'Output H2 S'!W18</f>
        <v>0</v>
      </c>
      <c r="AA106" s="834">
        <f>-'Output H2 S'!X18</f>
        <v>0</v>
      </c>
      <c r="AB106" s="834">
        <f>-'Output H2 S'!Y18</f>
        <v>0</v>
      </c>
      <c r="AC106" s="834">
        <f>-'Output H2 S'!Z18</f>
        <v>0</v>
      </c>
      <c r="AD106" s="834">
        <f>-'Output H2 S'!AA18</f>
        <v>0</v>
      </c>
      <c r="AE106" s="834">
        <f>-'Output H2 S'!AB18</f>
        <v>0</v>
      </c>
      <c r="AF106" s="834">
        <f>-'Output H2 S'!AC18</f>
        <v>0</v>
      </c>
      <c r="AG106" s="834">
        <f>-'Output H2 S'!AD18</f>
        <v>0</v>
      </c>
      <c r="AH106" s="834">
        <f>-'Output H2 S'!AE18</f>
        <v>0</v>
      </c>
      <c r="AI106" s="834">
        <f>-'Output H2 S'!AF18</f>
        <v>0</v>
      </c>
      <c r="AJ106" s="834">
        <f>-'Output H2 S'!AG18</f>
        <v>0</v>
      </c>
      <c r="AK106" s="834">
        <f>-'Output H2 S'!AH18</f>
        <v>0</v>
      </c>
      <c r="AL106" s="834">
        <f>-'Output H2 S'!AI18</f>
        <v>0</v>
      </c>
      <c r="AM106" s="834">
        <f>-'Output H2 S'!AJ18</f>
        <v>0</v>
      </c>
      <c r="AN106" s="834">
        <f>-'Output H2 S'!AK18</f>
        <v>0</v>
      </c>
      <c r="AO106" s="834">
        <f>-'Output H2 S'!AL18</f>
        <v>0</v>
      </c>
      <c r="AP106" s="834">
        <f>-'Output H2 S'!AM18</f>
        <v>0</v>
      </c>
      <c r="AQ106" s="834">
        <f>-'Output H2 S'!AN18</f>
        <v>0</v>
      </c>
      <c r="AR106" s="834">
        <f>-'Output H2 S'!AO18</f>
        <v>0</v>
      </c>
      <c r="AS106" s="834">
        <f>-'Output H2 S'!AP18</f>
        <v>0</v>
      </c>
      <c r="AT106" s="834">
        <f>-'Output H2 S'!AQ18</f>
        <v>0</v>
      </c>
      <c r="AU106" s="834">
        <f>-'Output H2 S'!AR18</f>
        <v>0</v>
      </c>
      <c r="AV106" s="834">
        <f>-'Output H2 S'!AS18</f>
        <v>0</v>
      </c>
      <c r="AW106" s="834">
        <f>-'Output H2 S'!AT18</f>
        <v>0</v>
      </c>
      <c r="AX106" s="834">
        <f>-'Output H2 S'!AU18</f>
        <v>0</v>
      </c>
      <c r="AY106" s="834">
        <f>-'Output H2 S'!AV18</f>
        <v>0</v>
      </c>
      <c r="AZ106" s="834">
        <f>-'Output H2 S'!AW18</f>
        <v>0</v>
      </c>
      <c r="BA106" s="834">
        <f>-'Output H2 S'!AX18</f>
        <v>0</v>
      </c>
      <c r="BB106" s="834">
        <f>-'Output H2 S'!AY18</f>
        <v>0</v>
      </c>
      <c r="BC106" s="834">
        <f>-'Output H2 S'!AZ18</f>
        <v>0</v>
      </c>
      <c r="BD106" s="834">
        <f>-'Output H2 S'!BA18</f>
        <v>0</v>
      </c>
      <c r="BE106" s="834">
        <f>-'Output H2 S'!BB18</f>
        <v>0</v>
      </c>
    </row>
    <row r="107" spans="2:57" x14ac:dyDescent="0.25">
      <c r="B107" s="908"/>
      <c r="C107" s="826"/>
      <c r="D107" s="826"/>
      <c r="E107" s="832" t="str">
        <f>'Output H2 S'!B17</f>
        <v>Total capex new platforms (SH2)</v>
      </c>
      <c r="F107" s="833" t="str">
        <f>'Output H2 S'!C17</f>
        <v>[kEUR]</v>
      </c>
      <c r="G107" s="834">
        <f>'Output H2 S'!D17</f>
        <v>0</v>
      </c>
      <c r="H107" s="834">
        <f>'Output H2 S'!E17</f>
        <v>0</v>
      </c>
      <c r="I107" s="834"/>
      <c r="J107" s="834">
        <f>-'Output H2 S'!G17</f>
        <v>0</v>
      </c>
      <c r="K107" s="834">
        <f>-'Output H2 S'!H17</f>
        <v>0</v>
      </c>
      <c r="L107" s="834">
        <f>-'Output H2 S'!I17</f>
        <v>0</v>
      </c>
      <c r="M107" s="834">
        <f>-'Output H2 S'!J17</f>
        <v>0</v>
      </c>
      <c r="N107" s="834">
        <f>-'Output H2 S'!K17</f>
        <v>0</v>
      </c>
      <c r="O107" s="834">
        <f>-'Output H2 S'!L17</f>
        <v>0</v>
      </c>
      <c r="P107" s="834">
        <f>-'Output H2 S'!M17</f>
        <v>0</v>
      </c>
      <c r="Q107" s="834">
        <f>-'Output H2 S'!N17</f>
        <v>0</v>
      </c>
      <c r="R107" s="834">
        <f>-'Output H2 S'!O17</f>
        <v>0</v>
      </c>
      <c r="S107" s="834">
        <f>-'Output H2 S'!P17</f>
        <v>0</v>
      </c>
      <c r="T107" s="834">
        <f>-'Output H2 S'!Q17</f>
        <v>0</v>
      </c>
      <c r="U107" s="834">
        <f>-'Output H2 S'!R17</f>
        <v>0</v>
      </c>
      <c r="V107" s="834">
        <f>-'Output H2 S'!S17</f>
        <v>0</v>
      </c>
      <c r="W107" s="834">
        <f>-'Output H2 S'!T17</f>
        <v>0</v>
      </c>
      <c r="X107" s="834">
        <f>-'Output H2 S'!U17</f>
        <v>0</v>
      </c>
      <c r="Y107" s="834">
        <f>-'Output H2 S'!V17</f>
        <v>0</v>
      </c>
      <c r="Z107" s="834">
        <f>-'Output H2 S'!W17</f>
        <v>0</v>
      </c>
      <c r="AA107" s="834">
        <f>-'Output H2 S'!X17</f>
        <v>0</v>
      </c>
      <c r="AB107" s="834">
        <f>-'Output H2 S'!Y17</f>
        <v>0</v>
      </c>
      <c r="AC107" s="834">
        <f>-'Output H2 S'!Z17</f>
        <v>0</v>
      </c>
      <c r="AD107" s="834">
        <f>-'Output H2 S'!AA17</f>
        <v>0</v>
      </c>
      <c r="AE107" s="834">
        <f>-'Output H2 S'!AB17</f>
        <v>0</v>
      </c>
      <c r="AF107" s="834">
        <f>-'Output H2 S'!AC17</f>
        <v>0</v>
      </c>
      <c r="AG107" s="834">
        <f>-'Output H2 S'!AD17</f>
        <v>0</v>
      </c>
      <c r="AH107" s="834">
        <f>-'Output H2 S'!AE17</f>
        <v>0</v>
      </c>
      <c r="AI107" s="834">
        <f>-'Output H2 S'!AF17</f>
        <v>0</v>
      </c>
      <c r="AJ107" s="834">
        <f>-'Output H2 S'!AG17</f>
        <v>0</v>
      </c>
      <c r="AK107" s="834">
        <f>-'Output H2 S'!AH17</f>
        <v>0</v>
      </c>
      <c r="AL107" s="834">
        <f>-'Output H2 S'!AI17</f>
        <v>0</v>
      </c>
      <c r="AM107" s="834">
        <f>-'Output H2 S'!AJ17</f>
        <v>0</v>
      </c>
      <c r="AN107" s="834">
        <f>-'Output H2 S'!AK17</f>
        <v>0</v>
      </c>
      <c r="AO107" s="834">
        <f>-'Output H2 S'!AL17</f>
        <v>0</v>
      </c>
      <c r="AP107" s="834">
        <f>-'Output H2 S'!AM17</f>
        <v>0</v>
      </c>
      <c r="AQ107" s="834">
        <f>-'Output H2 S'!AN17</f>
        <v>0</v>
      </c>
      <c r="AR107" s="834">
        <f>-'Output H2 S'!AO17</f>
        <v>0</v>
      </c>
      <c r="AS107" s="834">
        <f>-'Output H2 S'!AP17</f>
        <v>0</v>
      </c>
      <c r="AT107" s="834">
        <f>-'Output H2 S'!AQ17</f>
        <v>0</v>
      </c>
      <c r="AU107" s="834">
        <f>-'Output H2 S'!AR17</f>
        <v>0</v>
      </c>
      <c r="AV107" s="834">
        <f>-'Output H2 S'!AS17</f>
        <v>0</v>
      </c>
      <c r="AW107" s="834">
        <f>-'Output H2 S'!AT17</f>
        <v>0</v>
      </c>
      <c r="AX107" s="834">
        <f>-'Output H2 S'!AU17</f>
        <v>0</v>
      </c>
      <c r="AY107" s="834">
        <f>-'Output H2 S'!AV17</f>
        <v>0</v>
      </c>
      <c r="AZ107" s="834">
        <f>-'Output H2 S'!AW17</f>
        <v>0</v>
      </c>
      <c r="BA107" s="834">
        <f>-'Output H2 S'!AX17</f>
        <v>0</v>
      </c>
      <c r="BB107" s="834">
        <f>-'Output H2 S'!AY17</f>
        <v>0</v>
      </c>
      <c r="BC107" s="834">
        <f>-'Output H2 S'!AZ17</f>
        <v>0</v>
      </c>
      <c r="BD107" s="834">
        <f>-'Output H2 S'!BA17</f>
        <v>0</v>
      </c>
      <c r="BE107" s="834">
        <f>-'Output H2 S'!BB17</f>
        <v>0</v>
      </c>
    </row>
    <row r="108" spans="2:57" x14ac:dyDescent="0.25">
      <c r="B108" s="908"/>
      <c r="C108" s="826"/>
      <c r="D108" s="826"/>
      <c r="E108" s="832" t="str">
        <f>'Output H2 S'!B16</f>
        <v>Capex H2 pipeline crossings &amp; landing</v>
      </c>
      <c r="F108" s="833" t="str">
        <f>'Output H2 S'!C16</f>
        <v>[kEUR]</v>
      </c>
      <c r="G108" s="834">
        <f>-'Output H2 S'!D16</f>
        <v>0</v>
      </c>
      <c r="H108" s="834">
        <f>-'Output H2 S'!E16</f>
        <v>0</v>
      </c>
      <c r="I108" s="834"/>
      <c r="J108" s="834">
        <f>-'Output H2 S'!G16</f>
        <v>0</v>
      </c>
      <c r="K108" s="834">
        <f>-'Output H2 S'!H16</f>
        <v>0</v>
      </c>
      <c r="L108" s="834">
        <f>-'Output H2 S'!I16</f>
        <v>0</v>
      </c>
      <c r="M108" s="834">
        <f>-'Output H2 S'!J16</f>
        <v>0</v>
      </c>
      <c r="N108" s="834">
        <f>-'Output H2 S'!K16</f>
        <v>0</v>
      </c>
      <c r="O108" s="834">
        <f>-'Output H2 S'!L16</f>
        <v>0</v>
      </c>
      <c r="P108" s="834">
        <f>-'Output H2 S'!M16</f>
        <v>0</v>
      </c>
      <c r="Q108" s="834">
        <f>-'Output H2 S'!N16</f>
        <v>0</v>
      </c>
      <c r="R108" s="834">
        <f>-'Output H2 S'!O16</f>
        <v>0</v>
      </c>
      <c r="S108" s="834">
        <f>-'Output H2 S'!P16</f>
        <v>0</v>
      </c>
      <c r="T108" s="834">
        <f>-'Output H2 S'!Q16</f>
        <v>0</v>
      </c>
      <c r="U108" s="834">
        <f>-'Output H2 S'!R16</f>
        <v>0</v>
      </c>
      <c r="V108" s="834">
        <f>-'Output H2 S'!S16</f>
        <v>0</v>
      </c>
      <c r="W108" s="834">
        <f>-'Output H2 S'!T16</f>
        <v>0</v>
      </c>
      <c r="X108" s="834">
        <f>-'Output H2 S'!U16</f>
        <v>0</v>
      </c>
      <c r="Y108" s="834">
        <f>-'Output H2 S'!V16</f>
        <v>0</v>
      </c>
      <c r="Z108" s="834">
        <f>-'Output H2 S'!W16</f>
        <v>0</v>
      </c>
      <c r="AA108" s="834">
        <f>-'Output H2 S'!X16</f>
        <v>0</v>
      </c>
      <c r="AB108" s="834">
        <f>-'Output H2 S'!Y16</f>
        <v>0</v>
      </c>
      <c r="AC108" s="834">
        <f>-'Output H2 S'!Z16</f>
        <v>0</v>
      </c>
      <c r="AD108" s="834">
        <f>-'Output H2 S'!AA16</f>
        <v>0</v>
      </c>
      <c r="AE108" s="834">
        <f>-'Output H2 S'!AB16</f>
        <v>0</v>
      </c>
      <c r="AF108" s="834">
        <f>-'Output H2 S'!AC16</f>
        <v>0</v>
      </c>
      <c r="AG108" s="834">
        <f>-'Output H2 S'!AD16</f>
        <v>0</v>
      </c>
      <c r="AH108" s="834">
        <f>-'Output H2 S'!AE16</f>
        <v>0</v>
      </c>
      <c r="AI108" s="834">
        <f>-'Output H2 S'!AF16</f>
        <v>0</v>
      </c>
      <c r="AJ108" s="834">
        <f>-'Output H2 S'!AG16</f>
        <v>0</v>
      </c>
      <c r="AK108" s="834">
        <f>-'Output H2 S'!AH16</f>
        <v>0</v>
      </c>
      <c r="AL108" s="834">
        <f>-'Output H2 S'!AI16</f>
        <v>0</v>
      </c>
      <c r="AM108" s="834">
        <f>-'Output H2 S'!AJ16</f>
        <v>0</v>
      </c>
      <c r="AN108" s="834">
        <f>-'Output H2 S'!AK16</f>
        <v>0</v>
      </c>
      <c r="AO108" s="834">
        <f>-'Output H2 S'!AL16</f>
        <v>0</v>
      </c>
      <c r="AP108" s="834">
        <f>-'Output H2 S'!AM16</f>
        <v>0</v>
      </c>
      <c r="AQ108" s="834">
        <f>-'Output H2 S'!AN16</f>
        <v>0</v>
      </c>
      <c r="AR108" s="834">
        <f>-'Output H2 S'!AO16</f>
        <v>0</v>
      </c>
      <c r="AS108" s="834">
        <f>-'Output H2 S'!AP16</f>
        <v>0</v>
      </c>
      <c r="AT108" s="834">
        <f>-'Output H2 S'!AQ16</f>
        <v>0</v>
      </c>
      <c r="AU108" s="834">
        <f>-'Output H2 S'!AR16</f>
        <v>0</v>
      </c>
      <c r="AV108" s="834">
        <f>-'Output H2 S'!AS16</f>
        <v>0</v>
      </c>
      <c r="AW108" s="834">
        <f>-'Output H2 S'!AT16</f>
        <v>0</v>
      </c>
      <c r="AX108" s="834">
        <f>-'Output H2 S'!AU16</f>
        <v>0</v>
      </c>
      <c r="AY108" s="834">
        <f>-'Output H2 S'!AV16</f>
        <v>0</v>
      </c>
      <c r="AZ108" s="834">
        <f>-'Output H2 S'!AW16</f>
        <v>0</v>
      </c>
      <c r="BA108" s="834">
        <f>-'Output H2 S'!AX16</f>
        <v>0</v>
      </c>
      <c r="BB108" s="834">
        <f>-'Output H2 S'!AY16</f>
        <v>0</v>
      </c>
      <c r="BC108" s="834">
        <f>-'Output H2 S'!AZ16</f>
        <v>0</v>
      </c>
      <c r="BD108" s="834">
        <f>-'Output H2 S'!BA16</f>
        <v>0</v>
      </c>
      <c r="BE108" s="834">
        <f>-'Output H2 S'!BB16</f>
        <v>0</v>
      </c>
    </row>
    <row r="109" spans="2:57" x14ac:dyDescent="0.25">
      <c r="B109" s="908"/>
      <c r="C109" s="826"/>
      <c r="D109" s="826"/>
      <c r="E109" s="837"/>
      <c r="F109" s="837"/>
      <c r="G109" s="838"/>
      <c r="H109" s="838"/>
      <c r="I109" s="837"/>
      <c r="J109" s="838"/>
      <c r="K109" s="838"/>
      <c r="L109" s="838"/>
      <c r="M109" s="838"/>
      <c r="N109" s="838"/>
      <c r="O109" s="838"/>
      <c r="P109" s="838"/>
      <c r="Q109" s="838"/>
      <c r="R109" s="838"/>
      <c r="S109" s="838"/>
      <c r="T109" s="838"/>
      <c r="U109" s="838"/>
      <c r="V109" s="838"/>
      <c r="W109" s="838"/>
      <c r="X109" s="838"/>
      <c r="Y109" s="838"/>
      <c r="Z109" s="838"/>
      <c r="AA109" s="838"/>
      <c r="AB109" s="838"/>
      <c r="AC109" s="838"/>
      <c r="AD109" s="838"/>
      <c r="AE109" s="838"/>
      <c r="AF109" s="838"/>
      <c r="AG109" s="838"/>
      <c r="AH109" s="838"/>
      <c r="AI109" s="838"/>
      <c r="AJ109" s="838"/>
      <c r="AK109" s="838"/>
      <c r="AL109" s="838"/>
      <c r="AM109" s="838"/>
      <c r="AN109" s="838"/>
      <c r="AO109" s="838"/>
      <c r="AP109" s="838"/>
      <c r="AQ109" s="838"/>
      <c r="AR109" s="838"/>
      <c r="AS109" s="838"/>
      <c r="AT109" s="838"/>
      <c r="AU109" s="838"/>
      <c r="AV109" s="838"/>
      <c r="AW109" s="838"/>
      <c r="AX109" s="838"/>
      <c r="AY109" s="838"/>
      <c r="AZ109" s="838"/>
      <c r="BA109" s="838"/>
      <c r="BB109" s="838"/>
      <c r="BC109" s="838"/>
      <c r="BD109" s="838"/>
      <c r="BE109" s="838"/>
    </row>
    <row r="110" spans="2:57" x14ac:dyDescent="0.25">
      <c r="B110" s="908"/>
      <c r="C110" s="826"/>
      <c r="D110" s="826"/>
      <c r="E110" s="827" t="str">
        <f>'Output H2 S'!B20</f>
        <v>Exploitation (OPEX)</v>
      </c>
      <c r="F110" s="827" t="str">
        <f>'Output H2 S'!C20</f>
        <v>[kEUR]</v>
      </c>
      <c r="G110" s="828">
        <f>-'Output H2 S'!D20</f>
        <v>-9555.5410241035333</v>
      </c>
      <c r="H110" s="828">
        <f>-'Output H2 S'!E20</f>
        <v>-3876.7202853766394</v>
      </c>
      <c r="I110" s="828"/>
      <c r="J110" s="828">
        <f>-'Output H2 S'!G20</f>
        <v>0</v>
      </c>
      <c r="K110" s="828">
        <f>-'Output H2 S'!H20</f>
        <v>0</v>
      </c>
      <c r="L110" s="828">
        <f>-'Output H2 S'!I20</f>
        <v>0</v>
      </c>
      <c r="M110" s="828">
        <f>-'Output H2 S'!J20</f>
        <v>0</v>
      </c>
      <c r="N110" s="828">
        <f>-'Output H2 S'!K20</f>
        <v>0</v>
      </c>
      <c r="O110" s="828">
        <f>-'Output H2 S'!L20</f>
        <v>0</v>
      </c>
      <c r="P110" s="828">
        <f>-'Output H2 S'!M20</f>
        <v>0</v>
      </c>
      <c r="Q110" s="828">
        <f>-'Output H2 S'!N20</f>
        <v>0</v>
      </c>
      <c r="R110" s="828">
        <f>-'Output H2 S'!O20</f>
        <v>-2318.3893431585179</v>
      </c>
      <c r="S110" s="828">
        <f>-'Output H2 S'!P20</f>
        <v>-2364.7650765624016</v>
      </c>
      <c r="T110" s="828">
        <f>-'Output H2 S'!Q20</f>
        <v>-2412.0684835651768</v>
      </c>
      <c r="U110" s="828">
        <f>-'Output H2 S'!R20</f>
        <v>-2460.3181208174378</v>
      </c>
      <c r="V110" s="828">
        <f>-'Output H2 S'!S20</f>
        <v>0</v>
      </c>
      <c r="W110" s="828">
        <f>-'Output H2 S'!T20</f>
        <v>0</v>
      </c>
      <c r="X110" s="828">
        <f>-'Output H2 S'!U20</f>
        <v>0</v>
      </c>
      <c r="Y110" s="828">
        <f>-'Output H2 S'!V20</f>
        <v>0</v>
      </c>
      <c r="Z110" s="828">
        <f>-'Output H2 S'!W20</f>
        <v>0</v>
      </c>
      <c r="AA110" s="828">
        <f>-'Output H2 S'!X20</f>
        <v>0</v>
      </c>
      <c r="AB110" s="828">
        <f>-'Output H2 S'!Y20</f>
        <v>0</v>
      </c>
      <c r="AC110" s="828">
        <f>-'Output H2 S'!Z20</f>
        <v>0</v>
      </c>
      <c r="AD110" s="828">
        <f>-'Output H2 S'!AA20</f>
        <v>0</v>
      </c>
      <c r="AE110" s="828">
        <f>-'Output H2 S'!AB20</f>
        <v>0</v>
      </c>
      <c r="AF110" s="828">
        <f>-'Output H2 S'!AC20</f>
        <v>0</v>
      </c>
      <c r="AG110" s="828">
        <f>-'Output H2 S'!AD20</f>
        <v>0</v>
      </c>
      <c r="AH110" s="828">
        <f>-'Output H2 S'!AE20</f>
        <v>0</v>
      </c>
      <c r="AI110" s="828">
        <f>-'Output H2 S'!AF20</f>
        <v>0</v>
      </c>
      <c r="AJ110" s="828">
        <f>-'Output H2 S'!AG20</f>
        <v>0</v>
      </c>
      <c r="AK110" s="828">
        <f>-'Output H2 S'!AH20</f>
        <v>0</v>
      </c>
      <c r="AL110" s="828">
        <f>-'Output H2 S'!AI20</f>
        <v>0</v>
      </c>
      <c r="AM110" s="828">
        <f>-'Output H2 S'!AJ20</f>
        <v>0</v>
      </c>
      <c r="AN110" s="828">
        <f>-'Output H2 S'!AK20</f>
        <v>0</v>
      </c>
      <c r="AO110" s="828">
        <f>-'Output H2 S'!AL20</f>
        <v>0</v>
      </c>
      <c r="AP110" s="828">
        <f>-'Output H2 S'!AM20</f>
        <v>0</v>
      </c>
      <c r="AQ110" s="828">
        <f>-'Output H2 S'!AN20</f>
        <v>0</v>
      </c>
      <c r="AR110" s="828">
        <f>-'Output H2 S'!AO20</f>
        <v>0</v>
      </c>
      <c r="AS110" s="828">
        <f>-'Output H2 S'!AP20</f>
        <v>0</v>
      </c>
      <c r="AT110" s="828">
        <f>-'Output H2 S'!AQ20</f>
        <v>0</v>
      </c>
      <c r="AU110" s="828">
        <f>-'Output H2 S'!AR20</f>
        <v>0</v>
      </c>
      <c r="AV110" s="828">
        <f>-'Output H2 S'!AS20</f>
        <v>0</v>
      </c>
      <c r="AW110" s="828">
        <f>-'Output H2 S'!AT20</f>
        <v>0</v>
      </c>
      <c r="AX110" s="828">
        <f>-'Output H2 S'!AU20</f>
        <v>0</v>
      </c>
      <c r="AY110" s="828">
        <f>-'Output H2 S'!AV20</f>
        <v>0</v>
      </c>
      <c r="AZ110" s="828">
        <f>-'Output H2 S'!AW20</f>
        <v>0</v>
      </c>
      <c r="BA110" s="828">
        <f>-'Output H2 S'!AX20</f>
        <v>0</v>
      </c>
      <c r="BB110" s="828">
        <f>-'Output H2 S'!AY20</f>
        <v>0</v>
      </c>
      <c r="BC110" s="828">
        <f>-'Output H2 S'!AZ20</f>
        <v>0</v>
      </c>
      <c r="BD110" s="828">
        <f>-'Output H2 S'!BA20</f>
        <v>0</v>
      </c>
      <c r="BE110" s="828">
        <f>-'Output H2 S'!BB20</f>
        <v>0</v>
      </c>
    </row>
    <row r="111" spans="2:57" x14ac:dyDescent="0.25">
      <c r="B111" s="908"/>
      <c r="C111" s="826"/>
      <c r="D111" s="826"/>
      <c r="E111" s="829" t="str">
        <f>'Output H2 S'!B21</f>
        <v>Energy requirement desalination unit</v>
      </c>
      <c r="F111" s="830" t="str">
        <f>'Output H2 S'!C21</f>
        <v>[kEUR]</v>
      </c>
      <c r="G111" s="839">
        <f>-'Output H2 S'!D21</f>
        <v>-24.909570482631814</v>
      </c>
      <c r="H111" s="839">
        <f>-'Output H2 S'!E21</f>
        <v>-10.105599377103347</v>
      </c>
      <c r="I111" s="839"/>
      <c r="J111" s="839">
        <f>-'Output H2 S'!G21</f>
        <v>0</v>
      </c>
      <c r="K111" s="839">
        <f>-'Output H2 S'!H21</f>
        <v>0</v>
      </c>
      <c r="L111" s="839">
        <f>-'Output H2 S'!I21</f>
        <v>0</v>
      </c>
      <c r="M111" s="839">
        <f>-'Output H2 S'!J21</f>
        <v>0</v>
      </c>
      <c r="N111" s="839">
        <f>-'Output H2 S'!K21</f>
        <v>0</v>
      </c>
      <c r="O111" s="839">
        <f>-'Output H2 S'!L21</f>
        <v>0</v>
      </c>
      <c r="P111" s="839">
        <f>-'Output H2 S'!M21</f>
        <v>0</v>
      </c>
      <c r="Q111" s="839">
        <f>-'Output H2 S'!N21</f>
        <v>0</v>
      </c>
      <c r="R111" s="839">
        <f>-'Output H2 S'!O21</f>
        <v>-6.0412423029292599</v>
      </c>
      <c r="S111" s="839">
        <f>-'Output H2 S'!P21</f>
        <v>-6.1636801264825127</v>
      </c>
      <c r="T111" s="839">
        <f>-'Output H2 S'!Q21</f>
        <v>-6.2885989660567247</v>
      </c>
      <c r="U111" s="839">
        <f>-'Output H2 S'!R21</f>
        <v>-6.416049087163314</v>
      </c>
      <c r="V111" s="839">
        <f>-'Output H2 S'!S21</f>
        <v>0</v>
      </c>
      <c r="W111" s="839">
        <f>-'Output H2 S'!T21</f>
        <v>0</v>
      </c>
      <c r="X111" s="839">
        <f>-'Output H2 S'!U21</f>
        <v>0</v>
      </c>
      <c r="Y111" s="839">
        <f>-'Output H2 S'!V21</f>
        <v>0</v>
      </c>
      <c r="Z111" s="839">
        <f>-'Output H2 S'!W21</f>
        <v>0</v>
      </c>
      <c r="AA111" s="839">
        <f>-'Output H2 S'!X21</f>
        <v>0</v>
      </c>
      <c r="AB111" s="839">
        <f>-'Output H2 S'!Y21</f>
        <v>0</v>
      </c>
      <c r="AC111" s="839">
        <f>-'Output H2 S'!Z21</f>
        <v>0</v>
      </c>
      <c r="AD111" s="839">
        <f>-'Output H2 S'!AA21</f>
        <v>0</v>
      </c>
      <c r="AE111" s="839">
        <f>-'Output H2 S'!AB21</f>
        <v>0</v>
      </c>
      <c r="AF111" s="839">
        <f>-'Output H2 S'!AC21</f>
        <v>0</v>
      </c>
      <c r="AG111" s="839">
        <f>-'Output H2 S'!AD21</f>
        <v>0</v>
      </c>
      <c r="AH111" s="839">
        <f>-'Output H2 S'!AE21</f>
        <v>0</v>
      </c>
      <c r="AI111" s="839">
        <f>-'Output H2 S'!AF21</f>
        <v>0</v>
      </c>
      <c r="AJ111" s="839">
        <f>-'Output H2 S'!AG21</f>
        <v>0</v>
      </c>
      <c r="AK111" s="839">
        <f>-'Output H2 S'!AH21</f>
        <v>0</v>
      </c>
      <c r="AL111" s="839">
        <f>-'Output H2 S'!AI21</f>
        <v>0</v>
      </c>
      <c r="AM111" s="839">
        <f>-'Output H2 S'!AJ21</f>
        <v>0</v>
      </c>
      <c r="AN111" s="839">
        <f>-'Output H2 S'!AK21</f>
        <v>0</v>
      </c>
      <c r="AO111" s="839">
        <f>-'Output H2 S'!AL21</f>
        <v>0</v>
      </c>
      <c r="AP111" s="839">
        <f>-'Output H2 S'!AM21</f>
        <v>0</v>
      </c>
      <c r="AQ111" s="839">
        <f>-'Output H2 S'!AN21</f>
        <v>0</v>
      </c>
      <c r="AR111" s="839">
        <f>-'Output H2 S'!AO21</f>
        <v>0</v>
      </c>
      <c r="AS111" s="839">
        <f>-'Output H2 S'!AP21</f>
        <v>0</v>
      </c>
      <c r="AT111" s="839">
        <f>-'Output H2 S'!AQ21</f>
        <v>0</v>
      </c>
      <c r="AU111" s="839">
        <f>-'Output H2 S'!AR21</f>
        <v>0</v>
      </c>
      <c r="AV111" s="839">
        <f>-'Output H2 S'!AS21</f>
        <v>0</v>
      </c>
      <c r="AW111" s="839">
        <f>-'Output H2 S'!AT21</f>
        <v>0</v>
      </c>
      <c r="AX111" s="839">
        <f>-'Output H2 S'!AU21</f>
        <v>0</v>
      </c>
      <c r="AY111" s="839">
        <f>-'Output H2 S'!AV21</f>
        <v>0</v>
      </c>
      <c r="AZ111" s="839">
        <f>-'Output H2 S'!AW21</f>
        <v>0</v>
      </c>
      <c r="BA111" s="839">
        <f>-'Output H2 S'!AX21</f>
        <v>0</v>
      </c>
      <c r="BB111" s="839">
        <f>-'Output H2 S'!AY21</f>
        <v>0</v>
      </c>
      <c r="BC111" s="839">
        <f>-'Output H2 S'!AZ21</f>
        <v>0</v>
      </c>
      <c r="BD111" s="839">
        <f>-'Output H2 S'!BA21</f>
        <v>0</v>
      </c>
      <c r="BE111" s="839">
        <f>-'Output H2 S'!BB21</f>
        <v>0</v>
      </c>
    </row>
    <row r="112" spans="2:57" x14ac:dyDescent="0.25">
      <c r="B112" s="908"/>
      <c r="C112" s="826"/>
      <c r="D112" s="826"/>
      <c r="E112" s="832" t="str">
        <f>'Output H2 S'!B22</f>
        <v>Electricity costs electrolysis</v>
      </c>
      <c r="F112" s="833" t="str">
        <f>'Output H2 S'!C22</f>
        <v>[kEUR]</v>
      </c>
      <c r="G112" s="836">
        <f>-'Output H2 S'!D22</f>
        <v>-5496.6513088171596</v>
      </c>
      <c r="H112" s="836">
        <f>-'Output H2 S'!E22</f>
        <v>-2230.0137790965</v>
      </c>
      <c r="I112" s="836"/>
      <c r="J112" s="836">
        <f>-'Output H2 S'!G22</f>
        <v>0</v>
      </c>
      <c r="K112" s="836">
        <f>-'Output H2 S'!H22</f>
        <v>0</v>
      </c>
      <c r="L112" s="836">
        <f>-'Output H2 S'!I22</f>
        <v>0</v>
      </c>
      <c r="M112" s="836">
        <f>-'Output H2 S'!J22</f>
        <v>0</v>
      </c>
      <c r="N112" s="836">
        <f>-'Output H2 S'!K22</f>
        <v>0</v>
      </c>
      <c r="O112" s="836">
        <f>-'Output H2 S'!L22</f>
        <v>0</v>
      </c>
      <c r="P112" s="836">
        <f>-'Output H2 S'!M22</f>
        <v>0</v>
      </c>
      <c r="Q112" s="836">
        <f>-'Output H2 S'!N22</f>
        <v>0</v>
      </c>
      <c r="R112" s="836">
        <f>-'Output H2 S'!O22</f>
        <v>-1333.6181676707633</v>
      </c>
      <c r="S112" s="836">
        <f>-'Output H2 S'!P22</f>
        <v>-1360.2905310241786</v>
      </c>
      <c r="T112" s="836">
        <f>-'Output H2 S'!Q22</f>
        <v>-1387.4963416446622</v>
      </c>
      <c r="U112" s="836">
        <f>-'Output H2 S'!R22</f>
        <v>-1415.2462684775551</v>
      </c>
      <c r="V112" s="836">
        <f>-'Output H2 S'!S22</f>
        <v>0</v>
      </c>
      <c r="W112" s="836">
        <f>-'Output H2 S'!T22</f>
        <v>0</v>
      </c>
      <c r="X112" s="836">
        <f>-'Output H2 S'!U22</f>
        <v>0</v>
      </c>
      <c r="Y112" s="836">
        <f>-'Output H2 S'!V22</f>
        <v>0</v>
      </c>
      <c r="Z112" s="836">
        <f>-'Output H2 S'!W22</f>
        <v>0</v>
      </c>
      <c r="AA112" s="836">
        <f>-'Output H2 S'!X22</f>
        <v>0</v>
      </c>
      <c r="AB112" s="836">
        <f>-'Output H2 S'!Y22</f>
        <v>0</v>
      </c>
      <c r="AC112" s="836">
        <f>-'Output H2 S'!Z22</f>
        <v>0</v>
      </c>
      <c r="AD112" s="836">
        <f>-'Output H2 S'!AA22</f>
        <v>0</v>
      </c>
      <c r="AE112" s="836">
        <f>-'Output H2 S'!AB22</f>
        <v>0</v>
      </c>
      <c r="AF112" s="836">
        <f>-'Output H2 S'!AC22</f>
        <v>0</v>
      </c>
      <c r="AG112" s="836">
        <f>-'Output H2 S'!AD22</f>
        <v>0</v>
      </c>
      <c r="AH112" s="836">
        <f>-'Output H2 S'!AE22</f>
        <v>0</v>
      </c>
      <c r="AI112" s="836">
        <f>-'Output H2 S'!AF22</f>
        <v>0</v>
      </c>
      <c r="AJ112" s="836">
        <f>-'Output H2 S'!AG22</f>
        <v>0</v>
      </c>
      <c r="AK112" s="836">
        <f>-'Output H2 S'!AH22</f>
        <v>0</v>
      </c>
      <c r="AL112" s="836">
        <f>-'Output H2 S'!AI22</f>
        <v>0</v>
      </c>
      <c r="AM112" s="836">
        <f>-'Output H2 S'!AJ22</f>
        <v>0</v>
      </c>
      <c r="AN112" s="836">
        <f>-'Output H2 S'!AK22</f>
        <v>0</v>
      </c>
      <c r="AO112" s="836">
        <f>-'Output H2 S'!AL22</f>
        <v>0</v>
      </c>
      <c r="AP112" s="836">
        <f>-'Output H2 S'!AM22</f>
        <v>0</v>
      </c>
      <c r="AQ112" s="836">
        <f>-'Output H2 S'!AN22</f>
        <v>0</v>
      </c>
      <c r="AR112" s="836">
        <f>-'Output H2 S'!AO22</f>
        <v>0</v>
      </c>
      <c r="AS112" s="836">
        <f>-'Output H2 S'!AP22</f>
        <v>0</v>
      </c>
      <c r="AT112" s="836">
        <f>-'Output H2 S'!AQ22</f>
        <v>0</v>
      </c>
      <c r="AU112" s="836">
        <f>-'Output H2 S'!AR22</f>
        <v>0</v>
      </c>
      <c r="AV112" s="836">
        <f>-'Output H2 S'!AS22</f>
        <v>0</v>
      </c>
      <c r="AW112" s="836">
        <f>-'Output H2 S'!AT22</f>
        <v>0</v>
      </c>
      <c r="AX112" s="836">
        <f>-'Output H2 S'!AU22</f>
        <v>0</v>
      </c>
      <c r="AY112" s="836">
        <f>-'Output H2 S'!AV22</f>
        <v>0</v>
      </c>
      <c r="AZ112" s="836">
        <f>-'Output H2 S'!AW22</f>
        <v>0</v>
      </c>
      <c r="BA112" s="836">
        <f>-'Output H2 S'!AX22</f>
        <v>0</v>
      </c>
      <c r="BB112" s="836">
        <f>-'Output H2 S'!AY22</f>
        <v>0</v>
      </c>
      <c r="BC112" s="836">
        <f>-'Output H2 S'!AZ22</f>
        <v>0</v>
      </c>
      <c r="BD112" s="836">
        <f>-'Output H2 S'!BA22</f>
        <v>0</v>
      </c>
      <c r="BE112" s="836">
        <f>-'Output H2 S'!BB22</f>
        <v>0</v>
      </c>
    </row>
    <row r="113" spans="2:57" x14ac:dyDescent="0.25">
      <c r="B113" s="908"/>
      <c r="C113" s="826"/>
      <c r="D113" s="826"/>
      <c r="E113" s="832" t="str">
        <f>'Output H2 S'!B23</f>
        <v>Electricity demand H2 compressor</v>
      </c>
      <c r="F113" s="833" t="str">
        <f>'Output H2 S'!C23</f>
        <v>[kEUR]</v>
      </c>
      <c r="G113" s="836">
        <f>-'Output H2 S'!D23</f>
        <v>-97.810626567896492</v>
      </c>
      <c r="H113" s="836">
        <f>-'Output H2 S'!E23</f>
        <v>-39.680933382926405</v>
      </c>
      <c r="I113" s="836"/>
      <c r="J113" s="836">
        <f>-'Output H2 S'!G23</f>
        <v>0</v>
      </c>
      <c r="K113" s="836">
        <f>-'Output H2 S'!H23</f>
        <v>0</v>
      </c>
      <c r="L113" s="836">
        <f>-'Output H2 S'!I23</f>
        <v>0</v>
      </c>
      <c r="M113" s="836">
        <f>-'Output H2 S'!J23</f>
        <v>0</v>
      </c>
      <c r="N113" s="836">
        <f>-'Output H2 S'!K23</f>
        <v>0</v>
      </c>
      <c r="O113" s="836">
        <f>-'Output H2 S'!L23</f>
        <v>0</v>
      </c>
      <c r="P113" s="836">
        <f>-'Output H2 S'!M23</f>
        <v>0</v>
      </c>
      <c r="Q113" s="836">
        <f>-'Output H2 S'!N23</f>
        <v>0</v>
      </c>
      <c r="R113" s="836">
        <f>-'Output H2 S'!O23</f>
        <v>-23.721713520110516</v>
      </c>
      <c r="S113" s="836">
        <f>-'Output H2 S'!P23</f>
        <v>-24.202481353731066</v>
      </c>
      <c r="T113" s="836">
        <f>-'Output H2 S'!Q23</f>
        <v>-24.692991215288391</v>
      </c>
      <c r="U113" s="836">
        <f>-'Output H2 S'!R23</f>
        <v>-25.193440478766526</v>
      </c>
      <c r="V113" s="836">
        <f>-'Output H2 S'!S23</f>
        <v>0</v>
      </c>
      <c r="W113" s="836">
        <f>-'Output H2 S'!T23</f>
        <v>0</v>
      </c>
      <c r="X113" s="836">
        <f>-'Output H2 S'!U23</f>
        <v>0</v>
      </c>
      <c r="Y113" s="836">
        <f>-'Output H2 S'!V23</f>
        <v>0</v>
      </c>
      <c r="Z113" s="836">
        <f>-'Output H2 S'!W23</f>
        <v>0</v>
      </c>
      <c r="AA113" s="836">
        <f>-'Output H2 S'!X23</f>
        <v>0</v>
      </c>
      <c r="AB113" s="836">
        <f>-'Output H2 S'!Y23</f>
        <v>0</v>
      </c>
      <c r="AC113" s="836">
        <f>-'Output H2 S'!Z23</f>
        <v>0</v>
      </c>
      <c r="AD113" s="836">
        <f>-'Output H2 S'!AA23</f>
        <v>0</v>
      </c>
      <c r="AE113" s="836">
        <f>-'Output H2 S'!AB23</f>
        <v>0</v>
      </c>
      <c r="AF113" s="836">
        <f>-'Output H2 S'!AC23</f>
        <v>0</v>
      </c>
      <c r="AG113" s="836">
        <f>-'Output H2 S'!AD23</f>
        <v>0</v>
      </c>
      <c r="AH113" s="836">
        <f>-'Output H2 S'!AE23</f>
        <v>0</v>
      </c>
      <c r="AI113" s="836">
        <f>-'Output H2 S'!AF23</f>
        <v>0</v>
      </c>
      <c r="AJ113" s="836">
        <f>-'Output H2 S'!AG23</f>
        <v>0</v>
      </c>
      <c r="AK113" s="836">
        <f>-'Output H2 S'!AH23</f>
        <v>0</v>
      </c>
      <c r="AL113" s="836">
        <f>-'Output H2 S'!AI23</f>
        <v>0</v>
      </c>
      <c r="AM113" s="836">
        <f>-'Output H2 S'!AJ23</f>
        <v>0</v>
      </c>
      <c r="AN113" s="836">
        <f>-'Output H2 S'!AK23</f>
        <v>0</v>
      </c>
      <c r="AO113" s="836">
        <f>-'Output H2 S'!AL23</f>
        <v>0</v>
      </c>
      <c r="AP113" s="836">
        <f>-'Output H2 S'!AM23</f>
        <v>0</v>
      </c>
      <c r="AQ113" s="836">
        <f>-'Output H2 S'!AN23</f>
        <v>0</v>
      </c>
      <c r="AR113" s="836">
        <f>-'Output H2 S'!AO23</f>
        <v>0</v>
      </c>
      <c r="AS113" s="836">
        <f>-'Output H2 S'!AP23</f>
        <v>0</v>
      </c>
      <c r="AT113" s="836">
        <f>-'Output H2 S'!AQ23</f>
        <v>0</v>
      </c>
      <c r="AU113" s="836">
        <f>-'Output H2 S'!AR23</f>
        <v>0</v>
      </c>
      <c r="AV113" s="836">
        <f>-'Output H2 S'!AS23</f>
        <v>0</v>
      </c>
      <c r="AW113" s="836">
        <f>-'Output H2 S'!AT23</f>
        <v>0</v>
      </c>
      <c r="AX113" s="836">
        <f>-'Output H2 S'!AU23</f>
        <v>0</v>
      </c>
      <c r="AY113" s="836">
        <f>-'Output H2 S'!AV23</f>
        <v>0</v>
      </c>
      <c r="AZ113" s="836">
        <f>-'Output H2 S'!AW23</f>
        <v>0</v>
      </c>
      <c r="BA113" s="836">
        <f>-'Output H2 S'!AX23</f>
        <v>0</v>
      </c>
      <c r="BB113" s="836">
        <f>-'Output H2 S'!AY23</f>
        <v>0</v>
      </c>
      <c r="BC113" s="836">
        <f>-'Output H2 S'!AZ23</f>
        <v>0</v>
      </c>
      <c r="BD113" s="836">
        <f>-'Output H2 S'!BA23</f>
        <v>0</v>
      </c>
      <c r="BE113" s="836">
        <f>-'Output H2 S'!BB23</f>
        <v>0</v>
      </c>
    </row>
    <row r="114" spans="2:57" x14ac:dyDescent="0.25">
      <c r="B114" s="908"/>
      <c r="C114" s="826"/>
      <c r="D114" s="826"/>
      <c r="E114" s="832" t="str">
        <f>'Output H2 S'!B24</f>
        <v>OPEX desalination unit</v>
      </c>
      <c r="F114" s="833" t="str">
        <f>'Output H2 S'!C24</f>
        <v>[kEUR]</v>
      </c>
      <c r="G114" s="836">
        <f>-'Output H2 S'!D24</f>
        <v>-10.170128147897456</v>
      </c>
      <c r="H114" s="836">
        <f>-'Output H2 S'!E24</f>
        <v>-4.1260623297330774</v>
      </c>
      <c r="I114" s="836"/>
      <c r="J114" s="836">
        <f>-'Output H2 S'!G24</f>
        <v>0</v>
      </c>
      <c r="K114" s="836">
        <f>-'Output H2 S'!H24</f>
        <v>0</v>
      </c>
      <c r="L114" s="836">
        <f>-'Output H2 S'!I24</f>
        <v>0</v>
      </c>
      <c r="M114" s="836">
        <f>-'Output H2 S'!J24</f>
        <v>0</v>
      </c>
      <c r="N114" s="836">
        <f>-'Output H2 S'!K24</f>
        <v>0</v>
      </c>
      <c r="O114" s="836">
        <f>-'Output H2 S'!L24</f>
        <v>0</v>
      </c>
      <c r="P114" s="836">
        <f>-'Output H2 S'!M24</f>
        <v>0</v>
      </c>
      <c r="Q114" s="836">
        <f>-'Output H2 S'!N24</f>
        <v>0</v>
      </c>
      <c r="R114" s="836">
        <f>-'Output H2 S'!O24</f>
        <v>-2.4675146563907715</v>
      </c>
      <c r="S114" s="836">
        <f>-'Output H2 S'!P24</f>
        <v>-2.5168649495185873</v>
      </c>
      <c r="T114" s="836">
        <f>-'Output H2 S'!Q24</f>
        <v>-2.5672022485089592</v>
      </c>
      <c r="U114" s="836">
        <f>-'Output H2 S'!R24</f>
        <v>-2.6185462934791377</v>
      </c>
      <c r="V114" s="836">
        <f>-'Output H2 S'!S24</f>
        <v>0</v>
      </c>
      <c r="W114" s="836">
        <f>-'Output H2 S'!T24</f>
        <v>0</v>
      </c>
      <c r="X114" s="836">
        <f>-'Output H2 S'!U24</f>
        <v>0</v>
      </c>
      <c r="Y114" s="836">
        <f>-'Output H2 S'!V24</f>
        <v>0</v>
      </c>
      <c r="Z114" s="836">
        <f>-'Output H2 S'!W24</f>
        <v>0</v>
      </c>
      <c r="AA114" s="836">
        <f>-'Output H2 S'!X24</f>
        <v>0</v>
      </c>
      <c r="AB114" s="836">
        <f>-'Output H2 S'!Y24</f>
        <v>0</v>
      </c>
      <c r="AC114" s="836">
        <f>-'Output H2 S'!Z24</f>
        <v>0</v>
      </c>
      <c r="AD114" s="836">
        <f>-'Output H2 S'!AA24</f>
        <v>0</v>
      </c>
      <c r="AE114" s="836">
        <f>-'Output H2 S'!AB24</f>
        <v>0</v>
      </c>
      <c r="AF114" s="836">
        <f>-'Output H2 S'!AC24</f>
        <v>0</v>
      </c>
      <c r="AG114" s="836">
        <f>-'Output H2 S'!AD24</f>
        <v>0</v>
      </c>
      <c r="AH114" s="836">
        <f>-'Output H2 S'!AE24</f>
        <v>0</v>
      </c>
      <c r="AI114" s="836">
        <f>-'Output H2 S'!AF24</f>
        <v>0</v>
      </c>
      <c r="AJ114" s="836">
        <f>-'Output H2 S'!AG24</f>
        <v>0</v>
      </c>
      <c r="AK114" s="836">
        <f>-'Output H2 S'!AH24</f>
        <v>0</v>
      </c>
      <c r="AL114" s="836">
        <f>-'Output H2 S'!AI24</f>
        <v>0</v>
      </c>
      <c r="AM114" s="836">
        <f>-'Output H2 S'!AJ24</f>
        <v>0</v>
      </c>
      <c r="AN114" s="836">
        <f>-'Output H2 S'!AK24</f>
        <v>0</v>
      </c>
      <c r="AO114" s="836">
        <f>-'Output H2 S'!AL24</f>
        <v>0</v>
      </c>
      <c r="AP114" s="836">
        <f>-'Output H2 S'!AM24</f>
        <v>0</v>
      </c>
      <c r="AQ114" s="836">
        <f>-'Output H2 S'!AN24</f>
        <v>0</v>
      </c>
      <c r="AR114" s="836">
        <f>-'Output H2 S'!AO24</f>
        <v>0</v>
      </c>
      <c r="AS114" s="836">
        <f>-'Output H2 S'!AP24</f>
        <v>0</v>
      </c>
      <c r="AT114" s="836">
        <f>-'Output H2 S'!AQ24</f>
        <v>0</v>
      </c>
      <c r="AU114" s="836">
        <f>-'Output H2 S'!AR24</f>
        <v>0</v>
      </c>
      <c r="AV114" s="836">
        <f>-'Output H2 S'!AS24</f>
        <v>0</v>
      </c>
      <c r="AW114" s="836">
        <f>-'Output H2 S'!AT24</f>
        <v>0</v>
      </c>
      <c r="AX114" s="836">
        <f>-'Output H2 S'!AU24</f>
        <v>0</v>
      </c>
      <c r="AY114" s="836">
        <f>-'Output H2 S'!AV24</f>
        <v>0</v>
      </c>
      <c r="AZ114" s="836">
        <f>-'Output H2 S'!AW24</f>
        <v>0</v>
      </c>
      <c r="BA114" s="836">
        <f>-'Output H2 S'!AX24</f>
        <v>0</v>
      </c>
      <c r="BB114" s="836">
        <f>-'Output H2 S'!AY24</f>
        <v>0</v>
      </c>
      <c r="BC114" s="836">
        <f>-'Output H2 S'!AZ24</f>
        <v>0</v>
      </c>
      <c r="BD114" s="836">
        <f>-'Output H2 S'!BA24</f>
        <v>0</v>
      </c>
      <c r="BE114" s="836">
        <f>-'Output H2 S'!BB24</f>
        <v>0</v>
      </c>
    </row>
    <row r="115" spans="2:57" x14ac:dyDescent="0.25">
      <c r="B115" s="908"/>
      <c r="C115" s="826"/>
      <c r="D115" s="826"/>
      <c r="E115" s="832" t="str">
        <f>'Output H2 S'!B25</f>
        <v>Opex electrolyser</v>
      </c>
      <c r="F115" s="833" t="str">
        <f>'Output H2 S'!C25</f>
        <v>[kEUR]</v>
      </c>
      <c r="G115" s="836">
        <f>-'Output H2 S'!D25</f>
        <v>-947.71493306024456</v>
      </c>
      <c r="H115" s="836">
        <f>-'Output H2 S'!E25</f>
        <v>-384.49180066957086</v>
      </c>
      <c r="I115" s="836"/>
      <c r="J115" s="836">
        <f>-'Output H2 S'!G25</f>
        <v>0</v>
      </c>
      <c r="K115" s="836">
        <f>-'Output H2 S'!H25</f>
        <v>0</v>
      </c>
      <c r="L115" s="836">
        <f>-'Output H2 S'!I25</f>
        <v>0</v>
      </c>
      <c r="M115" s="836">
        <f>-'Output H2 S'!J25</f>
        <v>0</v>
      </c>
      <c r="N115" s="836">
        <f>-'Output H2 S'!K25</f>
        <v>0</v>
      </c>
      <c r="O115" s="836">
        <f>-'Output H2 S'!L25</f>
        <v>0</v>
      </c>
      <c r="P115" s="836">
        <f>-'Output H2 S'!M25</f>
        <v>0</v>
      </c>
      <c r="Q115" s="836">
        <f>-'Output H2 S'!N25</f>
        <v>0</v>
      </c>
      <c r="R115" s="836">
        <f>-'Output H2 S'!O25</f>
        <v>-229.93815352169463</v>
      </c>
      <c r="S115" s="836">
        <f>-'Output H2 S'!P25</f>
        <v>-234.53691659212848</v>
      </c>
      <c r="T115" s="836">
        <f>-'Output H2 S'!Q25</f>
        <v>-239.22765492397107</v>
      </c>
      <c r="U115" s="836">
        <f>-'Output H2 S'!R25</f>
        <v>-244.01220802245044</v>
      </c>
      <c r="V115" s="836">
        <f>-'Output H2 S'!S25</f>
        <v>0</v>
      </c>
      <c r="W115" s="836">
        <f>-'Output H2 S'!T25</f>
        <v>0</v>
      </c>
      <c r="X115" s="836">
        <f>-'Output H2 S'!U25</f>
        <v>0</v>
      </c>
      <c r="Y115" s="836">
        <f>-'Output H2 S'!V25</f>
        <v>0</v>
      </c>
      <c r="Z115" s="836">
        <f>-'Output H2 S'!W25</f>
        <v>0</v>
      </c>
      <c r="AA115" s="836">
        <f>-'Output H2 S'!X25</f>
        <v>0</v>
      </c>
      <c r="AB115" s="836">
        <f>-'Output H2 S'!Y25</f>
        <v>0</v>
      </c>
      <c r="AC115" s="836">
        <f>-'Output H2 S'!Z25</f>
        <v>0</v>
      </c>
      <c r="AD115" s="836">
        <f>-'Output H2 S'!AA25</f>
        <v>0</v>
      </c>
      <c r="AE115" s="836">
        <f>-'Output H2 S'!AB25</f>
        <v>0</v>
      </c>
      <c r="AF115" s="836">
        <f>-'Output H2 S'!AC25</f>
        <v>0</v>
      </c>
      <c r="AG115" s="836">
        <f>-'Output H2 S'!AD25</f>
        <v>0</v>
      </c>
      <c r="AH115" s="836">
        <f>-'Output H2 S'!AE25</f>
        <v>0</v>
      </c>
      <c r="AI115" s="836">
        <f>-'Output H2 S'!AF25</f>
        <v>0</v>
      </c>
      <c r="AJ115" s="836">
        <f>-'Output H2 S'!AG25</f>
        <v>0</v>
      </c>
      <c r="AK115" s="836">
        <f>-'Output H2 S'!AH25</f>
        <v>0</v>
      </c>
      <c r="AL115" s="836">
        <f>-'Output H2 S'!AI25</f>
        <v>0</v>
      </c>
      <c r="AM115" s="836">
        <f>-'Output H2 S'!AJ25</f>
        <v>0</v>
      </c>
      <c r="AN115" s="836">
        <f>-'Output H2 S'!AK25</f>
        <v>0</v>
      </c>
      <c r="AO115" s="836">
        <f>-'Output H2 S'!AL25</f>
        <v>0</v>
      </c>
      <c r="AP115" s="836">
        <f>-'Output H2 S'!AM25</f>
        <v>0</v>
      </c>
      <c r="AQ115" s="836">
        <f>-'Output H2 S'!AN25</f>
        <v>0</v>
      </c>
      <c r="AR115" s="836">
        <f>-'Output H2 S'!AO25</f>
        <v>0</v>
      </c>
      <c r="AS115" s="836">
        <f>-'Output H2 S'!AP25</f>
        <v>0</v>
      </c>
      <c r="AT115" s="836">
        <f>-'Output H2 S'!AQ25</f>
        <v>0</v>
      </c>
      <c r="AU115" s="836">
        <f>-'Output H2 S'!AR25</f>
        <v>0</v>
      </c>
      <c r="AV115" s="836">
        <f>-'Output H2 S'!AS25</f>
        <v>0</v>
      </c>
      <c r="AW115" s="836">
        <f>-'Output H2 S'!AT25</f>
        <v>0</v>
      </c>
      <c r="AX115" s="836">
        <f>-'Output H2 S'!AU25</f>
        <v>0</v>
      </c>
      <c r="AY115" s="836">
        <f>-'Output H2 S'!AV25</f>
        <v>0</v>
      </c>
      <c r="AZ115" s="836">
        <f>-'Output H2 S'!AW25</f>
        <v>0</v>
      </c>
      <c r="BA115" s="836">
        <f>-'Output H2 S'!AX25</f>
        <v>0</v>
      </c>
      <c r="BB115" s="836">
        <f>-'Output H2 S'!AY25</f>
        <v>0</v>
      </c>
      <c r="BC115" s="836">
        <f>-'Output H2 S'!AZ25</f>
        <v>0</v>
      </c>
      <c r="BD115" s="836">
        <f>-'Output H2 S'!BA25</f>
        <v>0</v>
      </c>
      <c r="BE115" s="836">
        <f>-'Output H2 S'!BB25</f>
        <v>0</v>
      </c>
    </row>
    <row r="116" spans="2:57" x14ac:dyDescent="0.25">
      <c r="B116" s="908"/>
      <c r="C116" s="826"/>
      <c r="D116" s="826"/>
      <c r="E116" s="832" t="str">
        <f>'Output H2 S'!B26</f>
        <v>Opex compressor</v>
      </c>
      <c r="F116" s="833" t="str">
        <f>'Output H2 S'!C26</f>
        <v>[kEUR]</v>
      </c>
      <c r="G116" s="836">
        <f>-'Output H2 S'!D26</f>
        <v>-22.042979071751411</v>
      </c>
      <c r="H116" s="836">
        <f>-'Output H2 S'!E26</f>
        <v>-8.9429262109987278</v>
      </c>
      <c r="I116" s="836"/>
      <c r="J116" s="836">
        <f>-'Output H2 S'!G26</f>
        <v>0</v>
      </c>
      <c r="K116" s="836">
        <f>-'Output H2 S'!H26</f>
        <v>0</v>
      </c>
      <c r="L116" s="836">
        <f>-'Output H2 S'!I26</f>
        <v>0</v>
      </c>
      <c r="M116" s="836">
        <f>-'Output H2 S'!J26</f>
        <v>0</v>
      </c>
      <c r="N116" s="836">
        <f>-'Output H2 S'!K26</f>
        <v>0</v>
      </c>
      <c r="O116" s="836">
        <f>-'Output H2 S'!L26</f>
        <v>0</v>
      </c>
      <c r="P116" s="836">
        <f>-'Output H2 S'!M26</f>
        <v>0</v>
      </c>
      <c r="Q116" s="836">
        <f>-'Output H2 S'!N26</f>
        <v>0</v>
      </c>
      <c r="R116" s="836">
        <f>-'Output H2 S'!O26</f>
        <v>-5.3481503024429822</v>
      </c>
      <c r="S116" s="836">
        <f>-'Output H2 S'!P26</f>
        <v>-5.4551133084918417</v>
      </c>
      <c r="T116" s="836">
        <f>-'Output H2 S'!Q26</f>
        <v>-5.564215574661679</v>
      </c>
      <c r="U116" s="836">
        <f>-'Output H2 S'!R26</f>
        <v>-5.6754998861549115</v>
      </c>
      <c r="V116" s="836">
        <f>-'Output H2 S'!S26</f>
        <v>0</v>
      </c>
      <c r="W116" s="836">
        <f>-'Output H2 S'!T26</f>
        <v>0</v>
      </c>
      <c r="X116" s="836">
        <f>-'Output H2 S'!U26</f>
        <v>0</v>
      </c>
      <c r="Y116" s="836">
        <f>-'Output H2 S'!V26</f>
        <v>0</v>
      </c>
      <c r="Z116" s="836">
        <f>-'Output H2 S'!W26</f>
        <v>0</v>
      </c>
      <c r="AA116" s="836">
        <f>-'Output H2 S'!X26</f>
        <v>0</v>
      </c>
      <c r="AB116" s="836">
        <f>-'Output H2 S'!Y26</f>
        <v>0</v>
      </c>
      <c r="AC116" s="836">
        <f>-'Output H2 S'!Z26</f>
        <v>0</v>
      </c>
      <c r="AD116" s="836">
        <f>-'Output H2 S'!AA26</f>
        <v>0</v>
      </c>
      <c r="AE116" s="836">
        <f>-'Output H2 S'!AB26</f>
        <v>0</v>
      </c>
      <c r="AF116" s="836">
        <f>-'Output H2 S'!AC26</f>
        <v>0</v>
      </c>
      <c r="AG116" s="836">
        <f>-'Output H2 S'!AD26</f>
        <v>0</v>
      </c>
      <c r="AH116" s="836">
        <f>-'Output H2 S'!AE26</f>
        <v>0</v>
      </c>
      <c r="AI116" s="836">
        <f>-'Output H2 S'!AF26</f>
        <v>0</v>
      </c>
      <c r="AJ116" s="836">
        <f>-'Output H2 S'!AG26</f>
        <v>0</v>
      </c>
      <c r="AK116" s="836">
        <f>-'Output H2 S'!AH26</f>
        <v>0</v>
      </c>
      <c r="AL116" s="836">
        <f>-'Output H2 S'!AI26</f>
        <v>0</v>
      </c>
      <c r="AM116" s="836">
        <f>-'Output H2 S'!AJ26</f>
        <v>0</v>
      </c>
      <c r="AN116" s="836">
        <f>-'Output H2 S'!AK26</f>
        <v>0</v>
      </c>
      <c r="AO116" s="836">
        <f>-'Output H2 S'!AL26</f>
        <v>0</v>
      </c>
      <c r="AP116" s="836">
        <f>-'Output H2 S'!AM26</f>
        <v>0</v>
      </c>
      <c r="AQ116" s="836">
        <f>-'Output H2 S'!AN26</f>
        <v>0</v>
      </c>
      <c r="AR116" s="836">
        <f>-'Output H2 S'!AO26</f>
        <v>0</v>
      </c>
      <c r="AS116" s="836">
        <f>-'Output H2 S'!AP26</f>
        <v>0</v>
      </c>
      <c r="AT116" s="836">
        <f>-'Output H2 S'!AQ26</f>
        <v>0</v>
      </c>
      <c r="AU116" s="836">
        <f>-'Output H2 S'!AR26</f>
        <v>0</v>
      </c>
      <c r="AV116" s="836">
        <f>-'Output H2 S'!AS26</f>
        <v>0</v>
      </c>
      <c r="AW116" s="836">
        <f>-'Output H2 S'!AT26</f>
        <v>0</v>
      </c>
      <c r="AX116" s="836">
        <f>-'Output H2 S'!AU26</f>
        <v>0</v>
      </c>
      <c r="AY116" s="836">
        <f>-'Output H2 S'!AV26</f>
        <v>0</v>
      </c>
      <c r="AZ116" s="836">
        <f>-'Output H2 S'!AW26</f>
        <v>0</v>
      </c>
      <c r="BA116" s="836">
        <f>-'Output H2 S'!AX26</f>
        <v>0</v>
      </c>
      <c r="BB116" s="836">
        <f>-'Output H2 S'!AY26</f>
        <v>0</v>
      </c>
      <c r="BC116" s="836">
        <f>-'Output H2 S'!AZ26</f>
        <v>0</v>
      </c>
      <c r="BD116" s="836">
        <f>-'Output H2 S'!BA26</f>
        <v>0</v>
      </c>
      <c r="BE116" s="836">
        <f>-'Output H2 S'!BB26</f>
        <v>0</v>
      </c>
    </row>
    <row r="117" spans="2:57" x14ac:dyDescent="0.25">
      <c r="B117" s="908"/>
      <c r="C117" s="826"/>
      <c r="D117" s="826"/>
      <c r="E117" s="832" t="str">
        <f>'Output H2 S'!B27</f>
        <v>Opex existing pipeline</v>
      </c>
      <c r="F117" s="833" t="str">
        <f>'Output H2 S'!C27</f>
        <v>[kEUR]</v>
      </c>
      <c r="G117" s="836">
        <f>-'Output H2 S'!D27</f>
        <v>-2298.2385540401851</v>
      </c>
      <c r="H117" s="836">
        <f>-'Output H2 S'!E27</f>
        <v>-932.40472338845098</v>
      </c>
      <c r="I117" s="836"/>
      <c r="J117" s="836">
        <f>-'Output H2 S'!G27</f>
        <v>0</v>
      </c>
      <c r="K117" s="836">
        <f>-'Output H2 S'!H27</f>
        <v>0</v>
      </c>
      <c r="L117" s="836">
        <f>-'Output H2 S'!I27</f>
        <v>0</v>
      </c>
      <c r="M117" s="836">
        <f>-'Output H2 S'!J27</f>
        <v>0</v>
      </c>
      <c r="N117" s="836">
        <f>-'Output H2 S'!K27</f>
        <v>0</v>
      </c>
      <c r="O117" s="836">
        <f>-'Output H2 S'!L27</f>
        <v>0</v>
      </c>
      <c r="P117" s="836">
        <f>-'Output H2 S'!M27</f>
        <v>0</v>
      </c>
      <c r="Q117" s="836">
        <f>-'Output H2 S'!N27</f>
        <v>0</v>
      </c>
      <c r="R117" s="836">
        <f>-'Output H2 S'!O27</f>
        <v>-557.60726251506344</v>
      </c>
      <c r="S117" s="836">
        <f>-'Output H2 S'!P27</f>
        <v>-568.7594077653647</v>
      </c>
      <c r="T117" s="836">
        <f>-'Output H2 S'!Q27</f>
        <v>-580.13459592067204</v>
      </c>
      <c r="U117" s="836">
        <f>-'Output H2 S'!R27</f>
        <v>-591.7372878390853</v>
      </c>
      <c r="V117" s="836">
        <f>-'Output H2 S'!S27</f>
        <v>0</v>
      </c>
      <c r="W117" s="836">
        <f>-'Output H2 S'!T27</f>
        <v>0</v>
      </c>
      <c r="X117" s="836">
        <f>-'Output H2 S'!U27</f>
        <v>0</v>
      </c>
      <c r="Y117" s="836">
        <f>-'Output H2 S'!V27</f>
        <v>0</v>
      </c>
      <c r="Z117" s="836">
        <f>-'Output H2 S'!W27</f>
        <v>0</v>
      </c>
      <c r="AA117" s="836">
        <f>-'Output H2 S'!X27</f>
        <v>0</v>
      </c>
      <c r="AB117" s="836">
        <f>-'Output H2 S'!Y27</f>
        <v>0</v>
      </c>
      <c r="AC117" s="836">
        <f>-'Output H2 S'!Z27</f>
        <v>0</v>
      </c>
      <c r="AD117" s="836">
        <f>-'Output H2 S'!AA27</f>
        <v>0</v>
      </c>
      <c r="AE117" s="836">
        <f>-'Output H2 S'!AB27</f>
        <v>0</v>
      </c>
      <c r="AF117" s="836">
        <f>-'Output H2 S'!AC27</f>
        <v>0</v>
      </c>
      <c r="AG117" s="836">
        <f>-'Output H2 S'!AD27</f>
        <v>0</v>
      </c>
      <c r="AH117" s="836">
        <f>-'Output H2 S'!AE27</f>
        <v>0</v>
      </c>
      <c r="AI117" s="836">
        <f>-'Output H2 S'!AF27</f>
        <v>0</v>
      </c>
      <c r="AJ117" s="836">
        <f>-'Output H2 S'!AG27</f>
        <v>0</v>
      </c>
      <c r="AK117" s="836">
        <f>-'Output H2 S'!AH27</f>
        <v>0</v>
      </c>
      <c r="AL117" s="836">
        <f>-'Output H2 S'!AI27</f>
        <v>0</v>
      </c>
      <c r="AM117" s="836">
        <f>-'Output H2 S'!AJ27</f>
        <v>0</v>
      </c>
      <c r="AN117" s="836">
        <f>-'Output H2 S'!AK27</f>
        <v>0</v>
      </c>
      <c r="AO117" s="836">
        <f>-'Output H2 S'!AL27</f>
        <v>0</v>
      </c>
      <c r="AP117" s="836">
        <f>-'Output H2 S'!AM27</f>
        <v>0</v>
      </c>
      <c r="AQ117" s="836">
        <f>-'Output H2 S'!AN27</f>
        <v>0</v>
      </c>
      <c r="AR117" s="836">
        <f>-'Output H2 S'!AO27</f>
        <v>0</v>
      </c>
      <c r="AS117" s="836">
        <f>-'Output H2 S'!AP27</f>
        <v>0</v>
      </c>
      <c r="AT117" s="836">
        <f>-'Output H2 S'!AQ27</f>
        <v>0</v>
      </c>
      <c r="AU117" s="836">
        <f>-'Output H2 S'!AR27</f>
        <v>0</v>
      </c>
      <c r="AV117" s="836">
        <f>-'Output H2 S'!AS27</f>
        <v>0</v>
      </c>
      <c r="AW117" s="836">
        <f>-'Output H2 S'!AT27</f>
        <v>0</v>
      </c>
      <c r="AX117" s="836">
        <f>-'Output H2 S'!AU27</f>
        <v>0</v>
      </c>
      <c r="AY117" s="836">
        <f>-'Output H2 S'!AV27</f>
        <v>0</v>
      </c>
      <c r="AZ117" s="836">
        <f>-'Output H2 S'!AW27</f>
        <v>0</v>
      </c>
      <c r="BA117" s="836">
        <f>-'Output H2 S'!AX27</f>
        <v>0</v>
      </c>
      <c r="BB117" s="836">
        <f>-'Output H2 S'!AY27</f>
        <v>0</v>
      </c>
      <c r="BC117" s="836">
        <f>-'Output H2 S'!AZ27</f>
        <v>0</v>
      </c>
      <c r="BD117" s="836">
        <f>-'Output H2 S'!BA27</f>
        <v>0</v>
      </c>
      <c r="BE117" s="836">
        <f>-'Output H2 S'!BB27</f>
        <v>0</v>
      </c>
    </row>
    <row r="118" spans="2:57" x14ac:dyDescent="0.25">
      <c r="B118" s="908"/>
      <c r="C118" s="826"/>
      <c r="D118" s="826"/>
      <c r="E118" s="832" t="str">
        <f>'Output H2 S'!B28</f>
        <v>Cost of hydrogen extraction (admix)</v>
      </c>
      <c r="F118" s="833" t="str">
        <f>'Output H2 S'!C28</f>
        <v>[kEUR]</v>
      </c>
      <c r="G118" s="836">
        <f>-'Output H2 S'!D28</f>
        <v>-658.00292391576818</v>
      </c>
      <c r="H118" s="836">
        <f>-'Output H2 S'!E28</f>
        <v>-266.95446092135575</v>
      </c>
      <c r="I118" s="836"/>
      <c r="J118" s="836">
        <f>-'Output H2 S'!G28</f>
        <v>0</v>
      </c>
      <c r="K118" s="836">
        <f>-'Output H2 S'!H28</f>
        <v>0</v>
      </c>
      <c r="L118" s="836">
        <f>-'Output H2 S'!I28</f>
        <v>0</v>
      </c>
      <c r="M118" s="836">
        <f>-'Output H2 S'!J28</f>
        <v>0</v>
      </c>
      <c r="N118" s="836">
        <f>-'Output H2 S'!K28</f>
        <v>0</v>
      </c>
      <c r="O118" s="836">
        <f>-'Output H2 S'!L28</f>
        <v>0</v>
      </c>
      <c r="P118" s="836">
        <f>-'Output H2 S'!M28</f>
        <v>0</v>
      </c>
      <c r="Q118" s="836">
        <f>-'Output H2 S'!N28</f>
        <v>0</v>
      </c>
      <c r="R118" s="836">
        <f>-'Output H2 S'!O28</f>
        <v>-159.64713866912336</v>
      </c>
      <c r="S118" s="836">
        <f>-'Output H2 S'!P28</f>
        <v>-162.84008144250586</v>
      </c>
      <c r="T118" s="836">
        <f>-'Output H2 S'!Q28</f>
        <v>-166.09688307135599</v>
      </c>
      <c r="U118" s="836">
        <f>-'Output H2 S'!R28</f>
        <v>-169.41882073278305</v>
      </c>
      <c r="V118" s="836">
        <f>-'Output H2 S'!S28</f>
        <v>0</v>
      </c>
      <c r="W118" s="836">
        <f>-'Output H2 S'!T28</f>
        <v>0</v>
      </c>
      <c r="X118" s="836">
        <f>-'Output H2 S'!U28</f>
        <v>0</v>
      </c>
      <c r="Y118" s="836">
        <f>-'Output H2 S'!V28</f>
        <v>0</v>
      </c>
      <c r="Z118" s="836">
        <f>-'Output H2 S'!W28</f>
        <v>0</v>
      </c>
      <c r="AA118" s="836">
        <f>-'Output H2 S'!X28</f>
        <v>0</v>
      </c>
      <c r="AB118" s="836">
        <f>-'Output H2 S'!Y28</f>
        <v>0</v>
      </c>
      <c r="AC118" s="836">
        <f>-'Output H2 S'!Z28</f>
        <v>0</v>
      </c>
      <c r="AD118" s="836">
        <f>-'Output H2 S'!AA28</f>
        <v>0</v>
      </c>
      <c r="AE118" s="836">
        <f>-'Output H2 S'!AB28</f>
        <v>0</v>
      </c>
      <c r="AF118" s="836">
        <f>-'Output H2 S'!AC28</f>
        <v>0</v>
      </c>
      <c r="AG118" s="836">
        <f>-'Output H2 S'!AD28</f>
        <v>0</v>
      </c>
      <c r="AH118" s="836">
        <f>-'Output H2 S'!AE28</f>
        <v>0</v>
      </c>
      <c r="AI118" s="836">
        <f>-'Output H2 S'!AF28</f>
        <v>0</v>
      </c>
      <c r="AJ118" s="836">
        <f>-'Output H2 S'!AG28</f>
        <v>0</v>
      </c>
      <c r="AK118" s="836">
        <f>-'Output H2 S'!AH28</f>
        <v>0</v>
      </c>
      <c r="AL118" s="836">
        <f>-'Output H2 S'!AI28</f>
        <v>0</v>
      </c>
      <c r="AM118" s="836">
        <f>-'Output H2 S'!AJ28</f>
        <v>0</v>
      </c>
      <c r="AN118" s="836">
        <f>-'Output H2 S'!AK28</f>
        <v>0</v>
      </c>
      <c r="AO118" s="836">
        <f>-'Output H2 S'!AL28</f>
        <v>0</v>
      </c>
      <c r="AP118" s="836">
        <f>-'Output H2 S'!AM28</f>
        <v>0</v>
      </c>
      <c r="AQ118" s="836">
        <f>-'Output H2 S'!AN28</f>
        <v>0</v>
      </c>
      <c r="AR118" s="836">
        <f>-'Output H2 S'!AO28</f>
        <v>0</v>
      </c>
      <c r="AS118" s="836">
        <f>-'Output H2 S'!AP28</f>
        <v>0</v>
      </c>
      <c r="AT118" s="836">
        <f>-'Output H2 S'!AQ28</f>
        <v>0</v>
      </c>
      <c r="AU118" s="836">
        <f>-'Output H2 S'!AR28</f>
        <v>0</v>
      </c>
      <c r="AV118" s="836">
        <f>-'Output H2 S'!AS28</f>
        <v>0</v>
      </c>
      <c r="AW118" s="836">
        <f>-'Output H2 S'!AT28</f>
        <v>0</v>
      </c>
      <c r="AX118" s="836">
        <f>-'Output H2 S'!AU28</f>
        <v>0</v>
      </c>
      <c r="AY118" s="836">
        <f>-'Output H2 S'!AV28</f>
        <v>0</v>
      </c>
      <c r="AZ118" s="836">
        <f>-'Output H2 S'!AW28</f>
        <v>0</v>
      </c>
      <c r="BA118" s="836">
        <f>-'Output H2 S'!AX28</f>
        <v>0</v>
      </c>
      <c r="BB118" s="836">
        <f>-'Output H2 S'!AY28</f>
        <v>0</v>
      </c>
      <c r="BC118" s="836">
        <f>-'Output H2 S'!AZ28</f>
        <v>0</v>
      </c>
      <c r="BD118" s="836">
        <f>-'Output H2 S'!BA28</f>
        <v>0</v>
      </c>
      <c r="BE118" s="836">
        <f>-'Output H2 S'!BB28</f>
        <v>0</v>
      </c>
    </row>
    <row r="119" spans="2:57" x14ac:dyDescent="0.25">
      <c r="B119" s="908"/>
      <c r="C119" s="826"/>
      <c r="D119" s="826"/>
      <c r="E119" s="832" t="str">
        <f>'Output H2 S'!B29</f>
        <v>Opex cable (H2)</v>
      </c>
      <c r="F119" s="833" t="str">
        <f>'Output H2 S'!C29</f>
        <v>[kEUR]</v>
      </c>
      <c r="G119" s="836">
        <f>-'Output H2 S'!D29</f>
        <v>0</v>
      </c>
      <c r="H119" s="836">
        <f>-'Output H2 S'!E29</f>
        <v>0</v>
      </c>
      <c r="I119" s="836"/>
      <c r="J119" s="836">
        <f>-'Output H2 S'!G29</f>
        <v>0</v>
      </c>
      <c r="K119" s="836">
        <f>-'Output H2 S'!H29</f>
        <v>0</v>
      </c>
      <c r="L119" s="836">
        <f>-'Output H2 S'!I29</f>
        <v>0</v>
      </c>
      <c r="M119" s="836">
        <f>-'Output H2 S'!J29</f>
        <v>0</v>
      </c>
      <c r="N119" s="836">
        <f>-'Output H2 S'!K29</f>
        <v>0</v>
      </c>
      <c r="O119" s="836">
        <f>-'Output H2 S'!L29</f>
        <v>0</v>
      </c>
      <c r="P119" s="836">
        <f>-'Output H2 S'!M29</f>
        <v>0</v>
      </c>
      <c r="Q119" s="836">
        <f>-'Output H2 S'!N29</f>
        <v>0</v>
      </c>
      <c r="R119" s="836">
        <f>-'Output H2 S'!O29</f>
        <v>0</v>
      </c>
      <c r="S119" s="836">
        <f>-'Output H2 S'!P29</f>
        <v>0</v>
      </c>
      <c r="T119" s="836">
        <f>-'Output H2 S'!Q29</f>
        <v>0</v>
      </c>
      <c r="U119" s="836">
        <f>-'Output H2 S'!R29</f>
        <v>0</v>
      </c>
      <c r="V119" s="836">
        <f>-'Output H2 S'!S29</f>
        <v>0</v>
      </c>
      <c r="W119" s="836">
        <f>-'Output H2 S'!T29</f>
        <v>0</v>
      </c>
      <c r="X119" s="836">
        <f>-'Output H2 S'!U29</f>
        <v>0</v>
      </c>
      <c r="Y119" s="836">
        <f>-'Output H2 S'!V29</f>
        <v>0</v>
      </c>
      <c r="Z119" s="836">
        <f>-'Output H2 S'!W29</f>
        <v>0</v>
      </c>
      <c r="AA119" s="836">
        <f>-'Output H2 S'!X29</f>
        <v>0</v>
      </c>
      <c r="AB119" s="836">
        <f>-'Output H2 S'!Y29</f>
        <v>0</v>
      </c>
      <c r="AC119" s="836">
        <f>-'Output H2 S'!Z29</f>
        <v>0</v>
      </c>
      <c r="AD119" s="836">
        <f>-'Output H2 S'!AA29</f>
        <v>0</v>
      </c>
      <c r="AE119" s="836">
        <f>-'Output H2 S'!AB29</f>
        <v>0</v>
      </c>
      <c r="AF119" s="836">
        <f>-'Output H2 S'!AC29</f>
        <v>0</v>
      </c>
      <c r="AG119" s="836">
        <f>-'Output H2 S'!AD29</f>
        <v>0</v>
      </c>
      <c r="AH119" s="836">
        <f>-'Output H2 S'!AE29</f>
        <v>0</v>
      </c>
      <c r="AI119" s="836">
        <f>-'Output H2 S'!AF29</f>
        <v>0</v>
      </c>
      <c r="AJ119" s="836">
        <f>-'Output H2 S'!AG29</f>
        <v>0</v>
      </c>
      <c r="AK119" s="836">
        <f>-'Output H2 S'!AH29</f>
        <v>0</v>
      </c>
      <c r="AL119" s="836">
        <f>-'Output H2 S'!AI29</f>
        <v>0</v>
      </c>
      <c r="AM119" s="836">
        <f>-'Output H2 S'!AJ29</f>
        <v>0</v>
      </c>
      <c r="AN119" s="836">
        <f>-'Output H2 S'!AK29</f>
        <v>0</v>
      </c>
      <c r="AO119" s="836">
        <f>-'Output H2 S'!AL29</f>
        <v>0</v>
      </c>
      <c r="AP119" s="836">
        <f>-'Output H2 S'!AM29</f>
        <v>0</v>
      </c>
      <c r="AQ119" s="836">
        <f>-'Output H2 S'!AN29</f>
        <v>0</v>
      </c>
      <c r="AR119" s="836">
        <f>-'Output H2 S'!AO29</f>
        <v>0</v>
      </c>
      <c r="AS119" s="836">
        <f>-'Output H2 S'!AP29</f>
        <v>0</v>
      </c>
      <c r="AT119" s="836">
        <f>-'Output H2 S'!AQ29</f>
        <v>0</v>
      </c>
      <c r="AU119" s="836">
        <f>-'Output H2 S'!AR29</f>
        <v>0</v>
      </c>
      <c r="AV119" s="836">
        <f>-'Output H2 S'!AS29</f>
        <v>0</v>
      </c>
      <c r="AW119" s="836">
        <f>-'Output H2 S'!AT29</f>
        <v>0</v>
      </c>
      <c r="AX119" s="836">
        <f>-'Output H2 S'!AU29</f>
        <v>0</v>
      </c>
      <c r="AY119" s="836">
        <f>-'Output H2 S'!AV29</f>
        <v>0</v>
      </c>
      <c r="AZ119" s="836">
        <f>-'Output H2 S'!AW29</f>
        <v>0</v>
      </c>
      <c r="BA119" s="836">
        <f>-'Output H2 S'!AX29</f>
        <v>0</v>
      </c>
      <c r="BB119" s="836">
        <f>-'Output H2 S'!AY29</f>
        <v>0</v>
      </c>
      <c r="BC119" s="836">
        <f>-'Output H2 S'!AZ29</f>
        <v>0</v>
      </c>
      <c r="BD119" s="836">
        <f>-'Output H2 S'!BA29</f>
        <v>0</v>
      </c>
      <c r="BE119" s="836">
        <f>-'Output H2 S'!BB29</f>
        <v>0</v>
      </c>
    </row>
    <row r="120" spans="2:57" x14ac:dyDescent="0.25">
      <c r="B120" s="908"/>
      <c r="C120" s="826"/>
      <c r="D120" s="826"/>
      <c r="E120" s="832" t="str">
        <f>'Output H2 S'!B30</f>
        <v>Opex platform</v>
      </c>
      <c r="F120" s="833" t="str">
        <f>'Output H2 S'!C30</f>
        <v>[kEUR]</v>
      </c>
      <c r="G120" s="836">
        <f>-'Output H2 S'!D30</f>
        <v>0</v>
      </c>
      <c r="H120" s="836">
        <f>-'Output H2 S'!E30</f>
        <v>0</v>
      </c>
      <c r="I120" s="836"/>
      <c r="J120" s="836">
        <f>-'Output H2 S'!G30</f>
        <v>0</v>
      </c>
      <c r="K120" s="836">
        <f>-'Output H2 S'!H30</f>
        <v>0</v>
      </c>
      <c r="L120" s="836">
        <f>-'Output H2 S'!I30</f>
        <v>0</v>
      </c>
      <c r="M120" s="836">
        <f>-'Output H2 S'!J30</f>
        <v>0</v>
      </c>
      <c r="N120" s="836">
        <f>-'Output H2 S'!K30</f>
        <v>0</v>
      </c>
      <c r="O120" s="836">
        <f>-'Output H2 S'!L30</f>
        <v>0</v>
      </c>
      <c r="P120" s="836">
        <f>-'Output H2 S'!M30</f>
        <v>0</v>
      </c>
      <c r="Q120" s="836">
        <f>-'Output H2 S'!N30</f>
        <v>0</v>
      </c>
      <c r="R120" s="836">
        <f>-'Output H2 S'!O30</f>
        <v>0</v>
      </c>
      <c r="S120" s="836">
        <f>-'Output H2 S'!P30</f>
        <v>0</v>
      </c>
      <c r="T120" s="836">
        <f>-'Output H2 S'!Q30</f>
        <v>0</v>
      </c>
      <c r="U120" s="836">
        <f>-'Output H2 S'!R30</f>
        <v>0</v>
      </c>
      <c r="V120" s="836">
        <f>-'Output H2 S'!S30</f>
        <v>0</v>
      </c>
      <c r="W120" s="836">
        <f>-'Output H2 S'!T30</f>
        <v>0</v>
      </c>
      <c r="X120" s="836">
        <f>-'Output H2 S'!U30</f>
        <v>0</v>
      </c>
      <c r="Y120" s="836">
        <f>-'Output H2 S'!V30</f>
        <v>0</v>
      </c>
      <c r="Z120" s="836">
        <f>-'Output H2 S'!W30</f>
        <v>0</v>
      </c>
      <c r="AA120" s="836">
        <f>-'Output H2 S'!X30</f>
        <v>0</v>
      </c>
      <c r="AB120" s="836">
        <f>-'Output H2 S'!Y30</f>
        <v>0</v>
      </c>
      <c r="AC120" s="836">
        <f>-'Output H2 S'!Z30</f>
        <v>0</v>
      </c>
      <c r="AD120" s="836">
        <f>-'Output H2 S'!AA30</f>
        <v>0</v>
      </c>
      <c r="AE120" s="836">
        <f>-'Output H2 S'!AB30</f>
        <v>0</v>
      </c>
      <c r="AF120" s="836">
        <f>-'Output H2 S'!AC30</f>
        <v>0</v>
      </c>
      <c r="AG120" s="836">
        <f>-'Output H2 S'!AD30</f>
        <v>0</v>
      </c>
      <c r="AH120" s="836">
        <f>-'Output H2 S'!AE30</f>
        <v>0</v>
      </c>
      <c r="AI120" s="836">
        <f>-'Output H2 S'!AF30</f>
        <v>0</v>
      </c>
      <c r="AJ120" s="836">
        <f>-'Output H2 S'!AG30</f>
        <v>0</v>
      </c>
      <c r="AK120" s="836">
        <f>-'Output H2 S'!AH30</f>
        <v>0</v>
      </c>
      <c r="AL120" s="836">
        <f>-'Output H2 S'!AI30</f>
        <v>0</v>
      </c>
      <c r="AM120" s="836">
        <f>-'Output H2 S'!AJ30</f>
        <v>0</v>
      </c>
      <c r="AN120" s="836">
        <f>-'Output H2 S'!AK30</f>
        <v>0</v>
      </c>
      <c r="AO120" s="836">
        <f>-'Output H2 S'!AL30</f>
        <v>0</v>
      </c>
      <c r="AP120" s="836">
        <f>-'Output H2 S'!AM30</f>
        <v>0</v>
      </c>
      <c r="AQ120" s="836">
        <f>-'Output H2 S'!AN30</f>
        <v>0</v>
      </c>
      <c r="AR120" s="836">
        <f>-'Output H2 S'!AO30</f>
        <v>0</v>
      </c>
      <c r="AS120" s="836">
        <f>-'Output H2 S'!AP30</f>
        <v>0</v>
      </c>
      <c r="AT120" s="836">
        <f>-'Output H2 S'!AQ30</f>
        <v>0</v>
      </c>
      <c r="AU120" s="836">
        <f>-'Output H2 S'!AR30</f>
        <v>0</v>
      </c>
      <c r="AV120" s="836">
        <f>-'Output H2 S'!AS30</f>
        <v>0</v>
      </c>
      <c r="AW120" s="836">
        <f>-'Output H2 S'!AT30</f>
        <v>0</v>
      </c>
      <c r="AX120" s="836">
        <f>-'Output H2 S'!AU30</f>
        <v>0</v>
      </c>
      <c r="AY120" s="836">
        <f>-'Output H2 S'!AV30</f>
        <v>0</v>
      </c>
      <c r="AZ120" s="836">
        <f>-'Output H2 S'!AW30</f>
        <v>0</v>
      </c>
      <c r="BA120" s="836">
        <f>-'Output H2 S'!AX30</f>
        <v>0</v>
      </c>
      <c r="BB120" s="836">
        <f>-'Output H2 S'!AY30</f>
        <v>0</v>
      </c>
      <c r="BC120" s="836">
        <f>-'Output H2 S'!AZ30</f>
        <v>0</v>
      </c>
      <c r="BD120" s="836">
        <f>-'Output H2 S'!BA30</f>
        <v>0</v>
      </c>
      <c r="BE120" s="836">
        <f>-'Output H2 S'!BB30</f>
        <v>0</v>
      </c>
    </row>
    <row r="121" spans="2:57" x14ac:dyDescent="0.25">
      <c r="B121" s="908"/>
      <c r="C121" s="826"/>
      <c r="D121" s="826"/>
      <c r="E121" s="837"/>
      <c r="F121" s="837"/>
      <c r="G121" s="838"/>
      <c r="H121" s="838"/>
      <c r="I121" s="837"/>
      <c r="J121" s="838"/>
      <c r="K121" s="838"/>
      <c r="L121" s="838"/>
      <c r="M121" s="838"/>
      <c r="N121" s="838"/>
      <c r="O121" s="838"/>
      <c r="P121" s="838"/>
      <c r="Q121" s="838"/>
      <c r="R121" s="838"/>
      <c r="S121" s="838"/>
      <c r="T121" s="838"/>
      <c r="U121" s="838"/>
      <c r="V121" s="838"/>
      <c r="W121" s="838"/>
      <c r="X121" s="838"/>
      <c r="Y121" s="838"/>
      <c r="Z121" s="838"/>
      <c r="AA121" s="838"/>
      <c r="AB121" s="838"/>
      <c r="AC121" s="838"/>
      <c r="AD121" s="838"/>
      <c r="AE121" s="838"/>
      <c r="AF121" s="838"/>
      <c r="AG121" s="838"/>
      <c r="AH121" s="838"/>
      <c r="AI121" s="838"/>
      <c r="AJ121" s="838"/>
      <c r="AK121" s="838"/>
      <c r="AL121" s="838"/>
      <c r="AM121" s="838"/>
      <c r="AN121" s="838"/>
      <c r="AO121" s="838"/>
      <c r="AP121" s="838"/>
      <c r="AQ121" s="838"/>
      <c r="AR121" s="838"/>
      <c r="AS121" s="838"/>
      <c r="AT121" s="838"/>
      <c r="AU121" s="838"/>
      <c r="AV121" s="838"/>
      <c r="AW121" s="838"/>
      <c r="AX121" s="838"/>
      <c r="AY121" s="838"/>
      <c r="AZ121" s="838"/>
      <c r="BA121" s="838"/>
      <c r="BB121" s="838"/>
      <c r="BC121" s="838"/>
      <c r="BD121" s="838"/>
      <c r="BE121" s="838"/>
    </row>
    <row r="122" spans="2:57" x14ac:dyDescent="0.25">
      <c r="B122" s="908"/>
      <c r="C122" s="826"/>
      <c r="D122" s="826"/>
      <c r="E122" s="827" t="str">
        <f>'Output H2 S'!B32</f>
        <v>Revenues / avoided costs</v>
      </c>
      <c r="F122" s="827" t="str">
        <f>'Output H2 S'!C32</f>
        <v>[kEUR]</v>
      </c>
      <c r="G122" s="828">
        <f>'Output H2 S'!D32</f>
        <v>4810.9446596542593</v>
      </c>
      <c r="H122" s="828">
        <f>'Output H2 S'!E32</f>
        <v>1951.8198042306622</v>
      </c>
      <c r="I122" s="827"/>
      <c r="J122" s="828">
        <f>'Output H2 S'!G32</f>
        <v>0</v>
      </c>
      <c r="K122" s="828">
        <f>'Output H2 S'!H32</f>
        <v>0</v>
      </c>
      <c r="L122" s="828">
        <f>'Output H2 S'!I32</f>
        <v>0</v>
      </c>
      <c r="M122" s="828">
        <f>'Output H2 S'!J32</f>
        <v>0</v>
      </c>
      <c r="N122" s="828">
        <f>'Output H2 S'!K32</f>
        <v>0</v>
      </c>
      <c r="O122" s="828">
        <f>'Output H2 S'!L32</f>
        <v>0</v>
      </c>
      <c r="P122" s="828">
        <f>'Output H2 S'!M32</f>
        <v>0</v>
      </c>
      <c r="Q122" s="828">
        <f>'Output H2 S'!N32</f>
        <v>0</v>
      </c>
      <c r="R122" s="828">
        <f>'Output H2 S'!O32</f>
        <v>1167.2494472192066</v>
      </c>
      <c r="S122" s="828">
        <f>'Output H2 S'!P32</f>
        <v>1190.5944361635907</v>
      </c>
      <c r="T122" s="828">
        <f>'Output H2 S'!Q32</f>
        <v>1214.4063248868624</v>
      </c>
      <c r="U122" s="828">
        <f>'Output H2 S'!R32</f>
        <v>1238.6944513845995</v>
      </c>
      <c r="V122" s="828">
        <f>'Output H2 S'!S32</f>
        <v>0</v>
      </c>
      <c r="W122" s="828">
        <f>'Output H2 S'!T32</f>
        <v>0</v>
      </c>
      <c r="X122" s="828">
        <f>'Output H2 S'!U32</f>
        <v>0</v>
      </c>
      <c r="Y122" s="828">
        <f>'Output H2 S'!V32</f>
        <v>0</v>
      </c>
      <c r="Z122" s="828">
        <f>'Output H2 S'!W32</f>
        <v>0</v>
      </c>
      <c r="AA122" s="828">
        <f>'Output H2 S'!X32</f>
        <v>0</v>
      </c>
      <c r="AB122" s="828">
        <f>'Output H2 S'!Y32</f>
        <v>0</v>
      </c>
      <c r="AC122" s="828">
        <f>'Output H2 S'!Z32</f>
        <v>0</v>
      </c>
      <c r="AD122" s="828">
        <f>'Output H2 S'!AA32</f>
        <v>0</v>
      </c>
      <c r="AE122" s="828">
        <f>'Output H2 S'!AB32</f>
        <v>0</v>
      </c>
      <c r="AF122" s="828">
        <f>'Output H2 S'!AC32</f>
        <v>0</v>
      </c>
      <c r="AG122" s="828">
        <f>'Output H2 S'!AD32</f>
        <v>0</v>
      </c>
      <c r="AH122" s="828">
        <f>'Output H2 S'!AE32</f>
        <v>0</v>
      </c>
      <c r="AI122" s="828">
        <f>'Output H2 S'!AF32</f>
        <v>0</v>
      </c>
      <c r="AJ122" s="828">
        <f>'Output H2 S'!AG32</f>
        <v>0</v>
      </c>
      <c r="AK122" s="828">
        <f>'Output H2 S'!AH32</f>
        <v>0</v>
      </c>
      <c r="AL122" s="828">
        <f>'Output H2 S'!AI32</f>
        <v>0</v>
      </c>
      <c r="AM122" s="828">
        <f>'Output H2 S'!AJ32</f>
        <v>0</v>
      </c>
      <c r="AN122" s="828">
        <f>'Output H2 S'!AK32</f>
        <v>0</v>
      </c>
      <c r="AO122" s="828">
        <f>'Output H2 S'!AL32</f>
        <v>0</v>
      </c>
      <c r="AP122" s="828">
        <f>'Output H2 S'!AM32</f>
        <v>0</v>
      </c>
      <c r="AQ122" s="828">
        <f>'Output H2 S'!AN32</f>
        <v>0</v>
      </c>
      <c r="AR122" s="828">
        <f>'Output H2 S'!AO32</f>
        <v>0</v>
      </c>
      <c r="AS122" s="828">
        <f>'Output H2 S'!AP32</f>
        <v>0</v>
      </c>
      <c r="AT122" s="828">
        <f>'Output H2 S'!AQ32</f>
        <v>0</v>
      </c>
      <c r="AU122" s="828">
        <f>'Output H2 S'!AR32</f>
        <v>0</v>
      </c>
      <c r="AV122" s="828">
        <f>'Output H2 S'!AS32</f>
        <v>0</v>
      </c>
      <c r="AW122" s="828">
        <f>'Output H2 S'!AT32</f>
        <v>0</v>
      </c>
      <c r="AX122" s="828">
        <f>'Output H2 S'!AU32</f>
        <v>0</v>
      </c>
      <c r="AY122" s="828">
        <f>'Output H2 S'!AV32</f>
        <v>0</v>
      </c>
      <c r="AZ122" s="828">
        <f>'Output H2 S'!AW32</f>
        <v>0</v>
      </c>
      <c r="BA122" s="828">
        <f>'Output H2 S'!AX32</f>
        <v>0</v>
      </c>
      <c r="BB122" s="828">
        <f>'Output H2 S'!AY32</f>
        <v>0</v>
      </c>
      <c r="BC122" s="828">
        <f>'Output H2 S'!AZ32</f>
        <v>0</v>
      </c>
      <c r="BD122" s="828">
        <f>'Output H2 S'!BA32</f>
        <v>0</v>
      </c>
      <c r="BE122" s="828">
        <f>'Output H2 S'!BB32</f>
        <v>0</v>
      </c>
    </row>
    <row r="123" spans="2:57" x14ac:dyDescent="0.25">
      <c r="B123" s="908"/>
      <c r="C123" s="826"/>
      <c r="D123" s="826"/>
      <c r="E123" s="858" t="str">
        <f>'Output H2 S'!B33</f>
        <v>H2 processing revenue</v>
      </c>
      <c r="F123" s="830" t="str">
        <f>'Output H2 S'!C33</f>
        <v>[kEUR]</v>
      </c>
      <c r="G123" s="839">
        <f>'Output H2 S'!D33</f>
        <v>4810.9446596542593</v>
      </c>
      <c r="H123" s="839">
        <f>'Output H2 S'!E33</f>
        <v>1951.8198042306622</v>
      </c>
      <c r="I123" s="829"/>
      <c r="J123" s="839">
        <f>'Output H2 S'!G33</f>
        <v>0</v>
      </c>
      <c r="K123" s="839">
        <f>'Output H2 S'!H33</f>
        <v>0</v>
      </c>
      <c r="L123" s="839">
        <f>'Output H2 S'!I33</f>
        <v>0</v>
      </c>
      <c r="M123" s="839">
        <f>'Output H2 S'!J33</f>
        <v>0</v>
      </c>
      <c r="N123" s="839">
        <f>'Output H2 S'!K33</f>
        <v>0</v>
      </c>
      <c r="O123" s="839">
        <f>'Output H2 S'!L33</f>
        <v>0</v>
      </c>
      <c r="P123" s="839">
        <f>'Output H2 S'!M33</f>
        <v>0</v>
      </c>
      <c r="Q123" s="839">
        <f>'Output H2 S'!N33</f>
        <v>0</v>
      </c>
      <c r="R123" s="839">
        <f>'Output H2 S'!O33</f>
        <v>1167.2494472192066</v>
      </c>
      <c r="S123" s="839">
        <f>'Output H2 S'!P33</f>
        <v>1190.5944361635907</v>
      </c>
      <c r="T123" s="839">
        <f>'Output H2 S'!Q33</f>
        <v>1214.4063248868624</v>
      </c>
      <c r="U123" s="839">
        <f>'Output H2 S'!R33</f>
        <v>1238.6944513845995</v>
      </c>
      <c r="V123" s="839">
        <f>'Output H2 S'!S33</f>
        <v>0</v>
      </c>
      <c r="W123" s="839">
        <f>'Output H2 S'!T33</f>
        <v>0</v>
      </c>
      <c r="X123" s="839">
        <f>'Output H2 S'!U33</f>
        <v>0</v>
      </c>
      <c r="Y123" s="839">
        <f>'Output H2 S'!V33</f>
        <v>0</v>
      </c>
      <c r="Z123" s="839">
        <f>'Output H2 S'!W33</f>
        <v>0</v>
      </c>
      <c r="AA123" s="839">
        <f>'Output H2 S'!X33</f>
        <v>0</v>
      </c>
      <c r="AB123" s="839">
        <f>'Output H2 S'!Y33</f>
        <v>0</v>
      </c>
      <c r="AC123" s="839">
        <f>'Output H2 S'!Z33</f>
        <v>0</v>
      </c>
      <c r="AD123" s="839">
        <f>'Output H2 S'!AA33</f>
        <v>0</v>
      </c>
      <c r="AE123" s="839">
        <f>'Output H2 S'!AB33</f>
        <v>0</v>
      </c>
      <c r="AF123" s="839">
        <f>'Output H2 S'!AC33</f>
        <v>0</v>
      </c>
      <c r="AG123" s="839">
        <f>'Output H2 S'!AD33</f>
        <v>0</v>
      </c>
      <c r="AH123" s="839">
        <f>'Output H2 S'!AE33</f>
        <v>0</v>
      </c>
      <c r="AI123" s="839">
        <f>'Output H2 S'!AF33</f>
        <v>0</v>
      </c>
      <c r="AJ123" s="839">
        <f>'Output H2 S'!AG33</f>
        <v>0</v>
      </c>
      <c r="AK123" s="839">
        <f>'Output H2 S'!AH33</f>
        <v>0</v>
      </c>
      <c r="AL123" s="839">
        <f>'Output H2 S'!AI33</f>
        <v>0</v>
      </c>
      <c r="AM123" s="839">
        <f>'Output H2 S'!AJ33</f>
        <v>0</v>
      </c>
      <c r="AN123" s="839">
        <f>'Output H2 S'!AK33</f>
        <v>0</v>
      </c>
      <c r="AO123" s="839">
        <f>'Output H2 S'!AL33</f>
        <v>0</v>
      </c>
      <c r="AP123" s="839">
        <f>'Output H2 S'!AM33</f>
        <v>0</v>
      </c>
      <c r="AQ123" s="839">
        <f>'Output H2 S'!AN33</f>
        <v>0</v>
      </c>
      <c r="AR123" s="839">
        <f>'Output H2 S'!AO33</f>
        <v>0</v>
      </c>
      <c r="AS123" s="839">
        <f>'Output H2 S'!AP33</f>
        <v>0</v>
      </c>
      <c r="AT123" s="839">
        <f>'Output H2 S'!AQ33</f>
        <v>0</v>
      </c>
      <c r="AU123" s="839">
        <f>'Output H2 S'!AR33</f>
        <v>0</v>
      </c>
      <c r="AV123" s="839">
        <f>'Output H2 S'!AS33</f>
        <v>0</v>
      </c>
      <c r="AW123" s="839">
        <f>'Output H2 S'!AT33</f>
        <v>0</v>
      </c>
      <c r="AX123" s="839">
        <f>'Output H2 S'!AU33</f>
        <v>0</v>
      </c>
      <c r="AY123" s="839">
        <f>'Output H2 S'!AV33</f>
        <v>0</v>
      </c>
      <c r="AZ123" s="839">
        <f>'Output H2 S'!AW33</f>
        <v>0</v>
      </c>
      <c r="BA123" s="839">
        <f>'Output H2 S'!AX33</f>
        <v>0</v>
      </c>
      <c r="BB123" s="839">
        <f>'Output H2 S'!AY33</f>
        <v>0</v>
      </c>
      <c r="BC123" s="839">
        <f>'Output H2 S'!AZ33</f>
        <v>0</v>
      </c>
      <c r="BD123" s="839">
        <f>'Output H2 S'!BA33</f>
        <v>0</v>
      </c>
      <c r="BE123" s="839">
        <f>'Output H2 S'!BB33</f>
        <v>0</v>
      </c>
    </row>
    <row r="124" spans="2:57" x14ac:dyDescent="0.25">
      <c r="B124" s="908"/>
      <c r="C124" s="826"/>
      <c r="D124" s="826"/>
      <c r="E124" s="859"/>
      <c r="F124" s="833"/>
      <c r="G124" s="836"/>
      <c r="H124" s="836"/>
      <c r="I124" s="832"/>
      <c r="J124" s="835"/>
      <c r="K124" s="835"/>
      <c r="L124" s="835"/>
      <c r="M124" s="835"/>
      <c r="N124" s="835"/>
      <c r="O124" s="835"/>
      <c r="P124" s="835"/>
      <c r="Q124" s="835"/>
      <c r="R124" s="835"/>
      <c r="S124" s="835"/>
      <c r="T124" s="835"/>
      <c r="U124" s="835"/>
      <c r="V124" s="835"/>
      <c r="W124" s="835"/>
      <c r="X124" s="835"/>
      <c r="Y124" s="835"/>
      <c r="Z124" s="835"/>
      <c r="AA124" s="835"/>
      <c r="AB124" s="835"/>
      <c r="AC124" s="835"/>
      <c r="AD124" s="835"/>
      <c r="AE124" s="835"/>
      <c r="AF124" s="835"/>
      <c r="AG124" s="835"/>
      <c r="AH124" s="835"/>
      <c r="AI124" s="835"/>
      <c r="AJ124" s="835"/>
      <c r="AK124" s="835"/>
      <c r="AL124" s="835"/>
      <c r="AM124" s="835"/>
      <c r="AN124" s="835"/>
      <c r="AO124" s="835"/>
      <c r="AP124" s="835"/>
      <c r="AQ124" s="835"/>
      <c r="AR124" s="835"/>
      <c r="AS124" s="835"/>
      <c r="AT124" s="835"/>
      <c r="AU124" s="835"/>
      <c r="AV124" s="835"/>
      <c r="AW124" s="835"/>
      <c r="AX124" s="835"/>
      <c r="AY124" s="835"/>
      <c r="AZ124" s="835"/>
      <c r="BA124" s="835"/>
      <c r="BB124" s="835"/>
      <c r="BC124" s="835"/>
      <c r="BD124" s="835"/>
      <c r="BE124" s="835"/>
    </row>
    <row r="125" spans="2:57" x14ac:dyDescent="0.25">
      <c r="B125" s="908"/>
      <c r="C125" s="826"/>
      <c r="D125" s="826"/>
      <c r="E125" s="832"/>
      <c r="F125" s="833"/>
      <c r="G125" s="836"/>
      <c r="H125" s="836"/>
      <c r="I125" s="832"/>
      <c r="J125" s="836"/>
      <c r="K125" s="836"/>
      <c r="L125" s="836"/>
      <c r="M125" s="836"/>
      <c r="N125" s="836"/>
      <c r="O125" s="836"/>
      <c r="P125" s="836"/>
      <c r="Q125" s="836"/>
      <c r="R125" s="836"/>
      <c r="S125" s="836"/>
      <c r="T125" s="836"/>
      <c r="U125" s="836"/>
      <c r="V125" s="836"/>
      <c r="W125" s="836"/>
      <c r="X125" s="836"/>
      <c r="Y125" s="836"/>
      <c r="Z125" s="836"/>
      <c r="AA125" s="836"/>
      <c r="AB125" s="836"/>
      <c r="AC125" s="836"/>
      <c r="AD125" s="836"/>
      <c r="AE125" s="836"/>
      <c r="AF125" s="836"/>
      <c r="AG125" s="836"/>
      <c r="AH125" s="836"/>
      <c r="AI125" s="836"/>
      <c r="AJ125" s="836"/>
      <c r="AK125" s="836"/>
      <c r="AL125" s="836"/>
      <c r="AM125" s="836"/>
      <c r="AN125" s="836"/>
      <c r="AO125" s="836"/>
      <c r="AP125" s="836"/>
      <c r="AQ125" s="836"/>
      <c r="AR125" s="836"/>
      <c r="AS125" s="836"/>
      <c r="AT125" s="836"/>
      <c r="AU125" s="836"/>
      <c r="AV125" s="836"/>
      <c r="AW125" s="836"/>
      <c r="AX125" s="836"/>
      <c r="AY125" s="836"/>
      <c r="AZ125" s="836"/>
      <c r="BA125" s="836"/>
      <c r="BB125" s="836"/>
      <c r="BC125" s="836"/>
      <c r="BD125" s="836"/>
      <c r="BE125" s="836"/>
    </row>
    <row r="126" spans="2:57" x14ac:dyDescent="0.25">
      <c r="B126" s="908"/>
      <c r="C126" s="826"/>
      <c r="D126" s="826"/>
      <c r="E126" s="840"/>
      <c r="F126" s="840"/>
      <c r="G126" s="841"/>
      <c r="H126" s="841"/>
      <c r="I126" s="840"/>
      <c r="J126" s="841"/>
      <c r="K126" s="841"/>
      <c r="L126" s="841"/>
      <c r="M126" s="841"/>
      <c r="N126" s="841"/>
      <c r="O126" s="841"/>
      <c r="P126" s="841"/>
      <c r="Q126" s="841"/>
      <c r="R126" s="841"/>
      <c r="S126" s="841"/>
      <c r="T126" s="841"/>
      <c r="U126" s="841"/>
      <c r="V126" s="841"/>
      <c r="W126" s="841"/>
      <c r="X126" s="841"/>
      <c r="Y126" s="841"/>
      <c r="Z126" s="841"/>
      <c r="AA126" s="841"/>
      <c r="AB126" s="841"/>
      <c r="AC126" s="841"/>
      <c r="AD126" s="841"/>
      <c r="AE126" s="841"/>
      <c r="AF126" s="841"/>
      <c r="AG126" s="841"/>
      <c r="AH126" s="841"/>
      <c r="AI126" s="841"/>
      <c r="AJ126" s="841"/>
      <c r="AK126" s="841"/>
      <c r="AL126" s="841"/>
      <c r="AM126" s="841"/>
      <c r="AN126" s="841"/>
      <c r="AO126" s="841"/>
      <c r="AP126" s="841"/>
      <c r="AQ126" s="841"/>
      <c r="AR126" s="841"/>
      <c r="AS126" s="841"/>
      <c r="AT126" s="841"/>
      <c r="AU126" s="841"/>
      <c r="AV126" s="841"/>
      <c r="AW126" s="841"/>
      <c r="AX126" s="841"/>
      <c r="AY126" s="841"/>
      <c r="AZ126" s="841"/>
      <c r="BA126" s="841"/>
      <c r="BB126" s="841"/>
      <c r="BC126" s="841"/>
      <c r="BD126" s="841"/>
      <c r="BE126" s="841"/>
    </row>
    <row r="127" spans="2:57" x14ac:dyDescent="0.25">
      <c r="B127" s="908"/>
      <c r="C127" s="826"/>
      <c r="D127" s="826"/>
      <c r="E127" s="842" t="str">
        <f>'Output H2 S'!B37</f>
        <v>Total</v>
      </c>
      <c r="F127" s="842" t="str">
        <f>'Output H2 S'!C37</f>
        <v>[kEUR]</v>
      </c>
      <c r="G127" s="843">
        <f>'Output H2 S'!D37</f>
        <v>-35687.323321798023</v>
      </c>
      <c r="H127" s="843">
        <f>'Output H2 S'!E37</f>
        <v>-17803.412019505609</v>
      </c>
      <c r="I127" s="842"/>
      <c r="J127" s="843">
        <f>'Output H2 S'!G37</f>
        <v>0</v>
      </c>
      <c r="K127" s="843">
        <f>'Output H2 S'!H37</f>
        <v>0</v>
      </c>
      <c r="L127" s="843">
        <f>'Output H2 S'!I37</f>
        <v>0</v>
      </c>
      <c r="M127" s="843">
        <f>'Output H2 S'!J37</f>
        <v>0</v>
      </c>
      <c r="N127" s="843">
        <f>'Output H2 S'!K37</f>
        <v>0</v>
      </c>
      <c r="O127" s="843">
        <f>'Output H2 S'!L37</f>
        <v>0</v>
      </c>
      <c r="P127" s="843">
        <f>'Output H2 S'!M37</f>
        <v>0</v>
      </c>
      <c r="Q127" s="843">
        <f>'Output H2 S'!N37</f>
        <v>-30942.726957348743</v>
      </c>
      <c r="R127" s="843">
        <f>'Output H2 S'!O37</f>
        <v>-1151.1398959393114</v>
      </c>
      <c r="S127" s="843">
        <f>'Output H2 S'!P37</f>
        <v>-1174.170640398811</v>
      </c>
      <c r="T127" s="843">
        <f>'Output H2 S'!Q37</f>
        <v>-1197.6621586783144</v>
      </c>
      <c r="U127" s="843">
        <f>'Output H2 S'!R37</f>
        <v>-1221.6236694328384</v>
      </c>
      <c r="V127" s="843">
        <f>'Output H2 S'!S37</f>
        <v>0</v>
      </c>
      <c r="W127" s="843">
        <f>'Output H2 S'!T37</f>
        <v>0</v>
      </c>
      <c r="X127" s="843">
        <f>'Output H2 S'!U37</f>
        <v>0</v>
      </c>
      <c r="Y127" s="843">
        <f>'Output H2 S'!V37</f>
        <v>0</v>
      </c>
      <c r="Z127" s="843">
        <f>'Output H2 S'!W37</f>
        <v>0</v>
      </c>
      <c r="AA127" s="843">
        <f>'Output H2 S'!X37</f>
        <v>0</v>
      </c>
      <c r="AB127" s="843">
        <f>'Output H2 S'!Y37</f>
        <v>0</v>
      </c>
      <c r="AC127" s="843">
        <f>'Output H2 S'!Z37</f>
        <v>0</v>
      </c>
      <c r="AD127" s="843">
        <f>'Output H2 S'!AA37</f>
        <v>0</v>
      </c>
      <c r="AE127" s="843">
        <f>'Output H2 S'!AB37</f>
        <v>0</v>
      </c>
      <c r="AF127" s="843">
        <f>'Output H2 S'!AC37</f>
        <v>0</v>
      </c>
      <c r="AG127" s="843">
        <f>'Output H2 S'!AD37</f>
        <v>0</v>
      </c>
      <c r="AH127" s="843">
        <f>'Output H2 S'!AE37</f>
        <v>0</v>
      </c>
      <c r="AI127" s="843">
        <f>'Output H2 S'!AF37</f>
        <v>0</v>
      </c>
      <c r="AJ127" s="843">
        <f>'Output H2 S'!AG37</f>
        <v>0</v>
      </c>
      <c r="AK127" s="843">
        <f>'Output H2 S'!AH37</f>
        <v>0</v>
      </c>
      <c r="AL127" s="843">
        <f>'Output H2 S'!AI37</f>
        <v>0</v>
      </c>
      <c r="AM127" s="843">
        <f>'Output H2 S'!AJ37</f>
        <v>0</v>
      </c>
      <c r="AN127" s="843">
        <f>'Output H2 S'!AK37</f>
        <v>0</v>
      </c>
      <c r="AO127" s="843">
        <f>'Output H2 S'!AL37</f>
        <v>0</v>
      </c>
      <c r="AP127" s="843">
        <f>'Output H2 S'!AM37</f>
        <v>0</v>
      </c>
      <c r="AQ127" s="843">
        <f>'Output H2 S'!AN37</f>
        <v>0</v>
      </c>
      <c r="AR127" s="843">
        <f>'Output H2 S'!AO37</f>
        <v>0</v>
      </c>
      <c r="AS127" s="843">
        <f>'Output H2 S'!AP37</f>
        <v>0</v>
      </c>
      <c r="AT127" s="843">
        <f>'Output H2 S'!AQ37</f>
        <v>0</v>
      </c>
      <c r="AU127" s="843">
        <f>'Output H2 S'!AR37</f>
        <v>0</v>
      </c>
      <c r="AV127" s="843">
        <f>'Output H2 S'!AS37</f>
        <v>0</v>
      </c>
      <c r="AW127" s="843">
        <f>'Output H2 S'!AT37</f>
        <v>0</v>
      </c>
      <c r="AX127" s="843">
        <f>'Output H2 S'!AU37</f>
        <v>0</v>
      </c>
      <c r="AY127" s="843">
        <f>'Output H2 S'!AV37</f>
        <v>0</v>
      </c>
      <c r="AZ127" s="843">
        <f>'Output H2 S'!AW37</f>
        <v>0</v>
      </c>
      <c r="BA127" s="843">
        <f>'Output H2 S'!AX37</f>
        <v>0</v>
      </c>
      <c r="BB127" s="843">
        <f>'Output H2 S'!AY37</f>
        <v>0</v>
      </c>
      <c r="BC127" s="843">
        <f>'Output H2 S'!AZ37</f>
        <v>0</v>
      </c>
      <c r="BD127" s="843">
        <f>'Output H2 S'!BA37</f>
        <v>0</v>
      </c>
      <c r="BE127" s="843">
        <f>'Output H2 S'!BB37</f>
        <v>0</v>
      </c>
    </row>
    <row r="128" spans="2:57" x14ac:dyDescent="0.25">
      <c r="B128" s="908"/>
      <c r="C128" s="826"/>
      <c r="D128" s="826"/>
      <c r="E128" s="844" t="str">
        <f>'Output H2 S'!B38</f>
        <v>Net Present</v>
      </c>
      <c r="F128" s="845" t="str">
        <f>'Output H2 S'!C38</f>
        <v>[kEUR]</v>
      </c>
      <c r="G128" s="846">
        <f>'Output H2 S'!D38</f>
        <v>-17803.412019505606</v>
      </c>
      <c r="H128" s="846">
        <f>'Output H2 S'!E38</f>
        <v>0</v>
      </c>
      <c r="I128" s="840"/>
      <c r="J128" s="847">
        <f>'Output H2 S'!G38</f>
        <v>0</v>
      </c>
      <c r="K128" s="847">
        <f>'Output H2 S'!H38</f>
        <v>0</v>
      </c>
      <c r="L128" s="847">
        <f>'Output H2 S'!I38</f>
        <v>0</v>
      </c>
      <c r="M128" s="847">
        <f>'Output H2 S'!J38</f>
        <v>0</v>
      </c>
      <c r="N128" s="847">
        <f>'Output H2 S'!K38</f>
        <v>0</v>
      </c>
      <c r="O128" s="847">
        <f>'Output H2 S'!L38</f>
        <v>0</v>
      </c>
      <c r="P128" s="847">
        <f>'Output H2 S'!M38</f>
        <v>0</v>
      </c>
      <c r="Q128" s="847">
        <f>'Output H2 S'!N38</f>
        <v>-15878.511538359633</v>
      </c>
      <c r="R128" s="847">
        <f>'Output H2 S'!O38</f>
        <v>-537.01525710955298</v>
      </c>
      <c r="S128" s="847">
        <f>'Output H2 S'!P38</f>
        <v>-497.96297215603084</v>
      </c>
      <c r="T128" s="847">
        <f>'Output H2 S'!Q38</f>
        <v>-461.75060828211082</v>
      </c>
      <c r="U128" s="847">
        <f>'Output H2 S'!R38</f>
        <v>-428.17164359828274</v>
      </c>
      <c r="V128" s="847">
        <f>'Output H2 S'!S38</f>
        <v>0</v>
      </c>
      <c r="W128" s="847">
        <f>'Output H2 S'!T38</f>
        <v>0</v>
      </c>
      <c r="X128" s="847">
        <f>'Output H2 S'!U38</f>
        <v>0</v>
      </c>
      <c r="Y128" s="847">
        <f>'Output H2 S'!V38</f>
        <v>0</v>
      </c>
      <c r="Z128" s="847">
        <f>'Output H2 S'!W38</f>
        <v>0</v>
      </c>
      <c r="AA128" s="847">
        <f>'Output H2 S'!X38</f>
        <v>0</v>
      </c>
      <c r="AB128" s="847">
        <f>'Output H2 S'!Y38</f>
        <v>0</v>
      </c>
      <c r="AC128" s="847">
        <f>'Output H2 S'!Z38</f>
        <v>0</v>
      </c>
      <c r="AD128" s="847">
        <f>'Output H2 S'!AA38</f>
        <v>0</v>
      </c>
      <c r="AE128" s="847">
        <f>'Output H2 S'!AB38</f>
        <v>0</v>
      </c>
      <c r="AF128" s="847">
        <f>'Output H2 S'!AC38</f>
        <v>0</v>
      </c>
      <c r="AG128" s="847">
        <f>'Output H2 S'!AD38</f>
        <v>0</v>
      </c>
      <c r="AH128" s="847">
        <f>'Output H2 S'!AE38</f>
        <v>0</v>
      </c>
      <c r="AI128" s="847">
        <f>'Output H2 S'!AF38</f>
        <v>0</v>
      </c>
      <c r="AJ128" s="847">
        <f>'Output H2 S'!AG38</f>
        <v>0</v>
      </c>
      <c r="AK128" s="847">
        <f>'Output H2 S'!AH38</f>
        <v>0</v>
      </c>
      <c r="AL128" s="847">
        <f>'Output H2 S'!AI38</f>
        <v>0</v>
      </c>
      <c r="AM128" s="847">
        <f>'Output H2 S'!AJ38</f>
        <v>0</v>
      </c>
      <c r="AN128" s="847">
        <f>'Output H2 S'!AK38</f>
        <v>0</v>
      </c>
      <c r="AO128" s="847">
        <f>'Output H2 S'!AL38</f>
        <v>0</v>
      </c>
      <c r="AP128" s="847">
        <f>'Output H2 S'!AM38</f>
        <v>0</v>
      </c>
      <c r="AQ128" s="847">
        <f>'Output H2 S'!AN38</f>
        <v>0</v>
      </c>
      <c r="AR128" s="847">
        <f>'Output H2 S'!AO38</f>
        <v>0</v>
      </c>
      <c r="AS128" s="847">
        <f>'Output H2 S'!AP38</f>
        <v>0</v>
      </c>
      <c r="AT128" s="847">
        <f>'Output H2 S'!AQ38</f>
        <v>0</v>
      </c>
      <c r="AU128" s="847">
        <f>'Output H2 S'!AR38</f>
        <v>0</v>
      </c>
      <c r="AV128" s="847">
        <f>'Output H2 S'!AS38</f>
        <v>0</v>
      </c>
      <c r="AW128" s="847">
        <f>'Output H2 S'!AT38</f>
        <v>0</v>
      </c>
      <c r="AX128" s="847">
        <f>'Output H2 S'!AU38</f>
        <v>0</v>
      </c>
      <c r="AY128" s="847">
        <f>'Output H2 S'!AV38</f>
        <v>0</v>
      </c>
      <c r="AZ128" s="847">
        <f>'Output H2 S'!AW38</f>
        <v>0</v>
      </c>
      <c r="BA128" s="847">
        <f>'Output H2 S'!AX38</f>
        <v>0</v>
      </c>
      <c r="BB128" s="847">
        <f>'Output H2 S'!AY38</f>
        <v>0</v>
      </c>
      <c r="BC128" s="847">
        <f>'Output H2 S'!AZ38</f>
        <v>0</v>
      </c>
      <c r="BD128" s="847">
        <f>'Output H2 S'!BA38</f>
        <v>0</v>
      </c>
      <c r="BE128" s="847">
        <f>'Output H2 S'!BB38</f>
        <v>0</v>
      </c>
    </row>
    <row r="129" spans="2:57" x14ac:dyDescent="0.25">
      <c r="B129" s="908"/>
      <c r="C129" s="826"/>
      <c r="D129" s="826"/>
      <c r="E129" s="840"/>
      <c r="F129" s="848"/>
      <c r="G129" s="849"/>
      <c r="H129" s="849"/>
      <c r="I129" s="840"/>
      <c r="J129" s="847"/>
      <c r="K129" s="847"/>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c r="AM129" s="847"/>
      <c r="AN129" s="847"/>
      <c r="AO129" s="847"/>
      <c r="AP129" s="847"/>
      <c r="AQ129" s="847"/>
      <c r="AR129" s="847"/>
      <c r="AS129" s="847"/>
      <c r="AT129" s="847"/>
      <c r="AU129" s="847"/>
      <c r="AV129" s="847"/>
      <c r="AW129" s="847"/>
      <c r="AX129" s="847"/>
      <c r="AY129" s="847"/>
      <c r="AZ129" s="847"/>
      <c r="BA129" s="847"/>
      <c r="BB129" s="847"/>
      <c r="BC129" s="847"/>
      <c r="BD129" s="847"/>
      <c r="BE129" s="847"/>
    </row>
    <row r="130" spans="2:57" x14ac:dyDescent="0.25">
      <c r="B130" s="908"/>
      <c r="C130" s="826"/>
      <c r="D130" s="826"/>
      <c r="E130" s="840" t="str">
        <f>'Output H2 S'!B40</f>
        <v>Cumulative cashflow</v>
      </c>
      <c r="F130" s="833" t="str">
        <f>'Output H2 S'!C40</f>
        <v>[kEUR]</v>
      </c>
      <c r="G130" s="850">
        <f>'Output H2 S'!D40</f>
        <v>0</v>
      </c>
      <c r="H130" s="850">
        <f>'Output H2 S'!E40</f>
        <v>0</v>
      </c>
      <c r="I130" s="835"/>
      <c r="J130" s="835">
        <f>'Output H2 S'!G40</f>
        <v>0</v>
      </c>
      <c r="K130" s="835">
        <f>'Output H2 S'!H40</f>
        <v>0</v>
      </c>
      <c r="L130" s="835">
        <f>'Output H2 S'!I40</f>
        <v>0</v>
      </c>
      <c r="M130" s="835">
        <f>'Output H2 S'!J40</f>
        <v>0</v>
      </c>
      <c r="N130" s="835">
        <f>'Output H2 S'!K40</f>
        <v>0</v>
      </c>
      <c r="O130" s="835">
        <f>'Output H2 S'!L40</f>
        <v>0</v>
      </c>
      <c r="P130" s="835">
        <f>'Output H2 S'!M40</f>
        <v>0</v>
      </c>
      <c r="Q130" s="835">
        <f>'Output H2 S'!N40</f>
        <v>-30942.726957348743</v>
      </c>
      <c r="R130" s="835">
        <f>'Output H2 S'!O40</f>
        <v>-32093.866853288055</v>
      </c>
      <c r="S130" s="835">
        <f>'Output H2 S'!P40</f>
        <v>-33268.037493686868</v>
      </c>
      <c r="T130" s="835">
        <f>'Output H2 S'!Q40</f>
        <v>-34465.699652365183</v>
      </c>
      <c r="U130" s="835">
        <f>'Output H2 S'!R40</f>
        <v>-35687.323321798023</v>
      </c>
      <c r="V130" s="835">
        <f>'Output H2 S'!S40</f>
        <v>-35687.323321798023</v>
      </c>
      <c r="W130" s="835">
        <f>'Output H2 S'!T40</f>
        <v>-35687.323321798023</v>
      </c>
      <c r="X130" s="835">
        <f>'Output H2 S'!U40</f>
        <v>-35687.323321798023</v>
      </c>
      <c r="Y130" s="835">
        <f>'Output H2 S'!V40</f>
        <v>-35687.323321798023</v>
      </c>
      <c r="Z130" s="835">
        <f>'Output H2 S'!W40</f>
        <v>-35687.323321798023</v>
      </c>
      <c r="AA130" s="835">
        <f>'Output H2 S'!X40</f>
        <v>-35687.323321798023</v>
      </c>
      <c r="AB130" s="835">
        <f>'Output H2 S'!Y40</f>
        <v>-35687.323321798023</v>
      </c>
      <c r="AC130" s="835">
        <f>'Output H2 S'!Z40</f>
        <v>-35687.323321798023</v>
      </c>
      <c r="AD130" s="835">
        <f>'Output H2 S'!AA40</f>
        <v>-35687.323321798023</v>
      </c>
      <c r="AE130" s="835">
        <f>'Output H2 S'!AB40</f>
        <v>-35687.323321798023</v>
      </c>
      <c r="AF130" s="835">
        <f>'Output H2 S'!AC40</f>
        <v>-35687.323321798023</v>
      </c>
      <c r="AG130" s="835">
        <f>'Output H2 S'!AD40</f>
        <v>-35687.323321798023</v>
      </c>
      <c r="AH130" s="835">
        <f>'Output H2 S'!AE40</f>
        <v>-35687.323321798023</v>
      </c>
      <c r="AI130" s="835">
        <f>'Output H2 S'!AF40</f>
        <v>-35687.323321798023</v>
      </c>
      <c r="AJ130" s="835">
        <f>'Output H2 S'!AG40</f>
        <v>-35687.323321798023</v>
      </c>
      <c r="AK130" s="835">
        <f>'Output H2 S'!AH40</f>
        <v>-35687.323321798023</v>
      </c>
      <c r="AL130" s="835">
        <f>'Output H2 S'!AI40</f>
        <v>-35687.323321798023</v>
      </c>
      <c r="AM130" s="835">
        <f>'Output H2 S'!AJ40</f>
        <v>-35687.323321798023</v>
      </c>
      <c r="AN130" s="835">
        <f>'Output H2 S'!AK40</f>
        <v>-35687.323321798023</v>
      </c>
      <c r="AO130" s="835">
        <f>'Output H2 S'!AL40</f>
        <v>-35687.323321798023</v>
      </c>
      <c r="AP130" s="835">
        <f>'Output H2 S'!AM40</f>
        <v>-35687.323321798023</v>
      </c>
      <c r="AQ130" s="835">
        <f>'Output H2 S'!AN40</f>
        <v>-35687.323321798023</v>
      </c>
      <c r="AR130" s="835">
        <f>'Output H2 S'!AO40</f>
        <v>-35687.323321798023</v>
      </c>
      <c r="AS130" s="835">
        <f>'Output H2 S'!AP40</f>
        <v>-35687.323321798023</v>
      </c>
      <c r="AT130" s="835">
        <f>'Output H2 S'!AQ40</f>
        <v>-35687.323321798023</v>
      </c>
      <c r="AU130" s="835">
        <f>'Output H2 S'!AR40</f>
        <v>-35687.323321798023</v>
      </c>
      <c r="AV130" s="835">
        <f>'Output H2 S'!AS40</f>
        <v>-35687.323321798023</v>
      </c>
      <c r="AW130" s="835">
        <f>'Output H2 S'!AT40</f>
        <v>-35687.323321798023</v>
      </c>
      <c r="AX130" s="835">
        <f>'Output H2 S'!AU40</f>
        <v>-35687.323321798023</v>
      </c>
      <c r="AY130" s="835">
        <f>'Output H2 S'!AV40</f>
        <v>-35687.323321798023</v>
      </c>
      <c r="AZ130" s="835">
        <f>'Output H2 S'!AW40</f>
        <v>-35687.323321798023</v>
      </c>
      <c r="BA130" s="835">
        <f>'Output H2 S'!AX40</f>
        <v>-35687.323321798023</v>
      </c>
      <c r="BB130" s="835">
        <f>'Output H2 S'!AY40</f>
        <v>-35687.323321798023</v>
      </c>
      <c r="BC130" s="835">
        <f>'Output H2 S'!AZ40</f>
        <v>-35687.323321798023</v>
      </c>
      <c r="BD130" s="835">
        <f>'Output H2 S'!BA40</f>
        <v>-35687.323321798023</v>
      </c>
      <c r="BE130" s="835">
        <f>'Output H2 S'!BB40</f>
        <v>-35687.323321798023</v>
      </c>
    </row>
    <row r="131" spans="2:57" x14ac:dyDescent="0.25">
      <c r="B131" s="908"/>
      <c r="C131" s="826"/>
      <c r="D131" s="826"/>
      <c r="E131" s="840" t="str">
        <f>'Output H2 S'!B41</f>
        <v>Cumulative discounted cashflow</v>
      </c>
      <c r="F131" s="833" t="str">
        <f>'Output H2 S'!C41</f>
        <v>[MEUR]</v>
      </c>
      <c r="G131" s="850">
        <f>'Output H2 S'!D41</f>
        <v>0</v>
      </c>
      <c r="H131" s="850">
        <f>'Output H2 S'!E41</f>
        <v>0</v>
      </c>
      <c r="I131" s="835"/>
      <c r="J131" s="835">
        <f>'Output H2 S'!G41</f>
        <v>0</v>
      </c>
      <c r="K131" s="835">
        <f>'Output H2 S'!H41</f>
        <v>0</v>
      </c>
      <c r="L131" s="835">
        <f>'Output H2 S'!I41</f>
        <v>0</v>
      </c>
      <c r="M131" s="835">
        <f>'Output H2 S'!J41</f>
        <v>0</v>
      </c>
      <c r="N131" s="835">
        <f>'Output H2 S'!K41</f>
        <v>0</v>
      </c>
      <c r="O131" s="835">
        <f>'Output H2 S'!L41</f>
        <v>0</v>
      </c>
      <c r="P131" s="835">
        <f>'Output H2 S'!M41</f>
        <v>0</v>
      </c>
      <c r="Q131" s="835">
        <f>'Output H2 S'!N41</f>
        <v>-15.878511538359634</v>
      </c>
      <c r="R131" s="835">
        <f>'Output H2 S'!O41</f>
        <v>-16.415526795469184</v>
      </c>
      <c r="S131" s="835">
        <f>'Output H2 S'!P41</f>
        <v>-16.913489767625215</v>
      </c>
      <c r="T131" s="835">
        <f>'Output H2 S'!Q41</f>
        <v>-17.375240375907325</v>
      </c>
      <c r="U131" s="835">
        <f>'Output H2 S'!R41</f>
        <v>-17.803412019505604</v>
      </c>
      <c r="V131" s="835">
        <f>'Output H2 S'!S41</f>
        <v>-17.803412019505604</v>
      </c>
      <c r="W131" s="835">
        <f>'Output H2 S'!T41</f>
        <v>-17.803412019505604</v>
      </c>
      <c r="X131" s="835">
        <f>'Output H2 S'!U41</f>
        <v>-17.803412019505604</v>
      </c>
      <c r="Y131" s="835">
        <f>'Output H2 S'!V41</f>
        <v>-17.803412019505604</v>
      </c>
      <c r="Z131" s="835">
        <f>'Output H2 S'!W41</f>
        <v>-17.803412019505604</v>
      </c>
      <c r="AA131" s="835">
        <f>'Output H2 S'!X41</f>
        <v>-17.803412019505604</v>
      </c>
      <c r="AB131" s="835">
        <f>'Output H2 S'!Y41</f>
        <v>-17.803412019505604</v>
      </c>
      <c r="AC131" s="835">
        <f>'Output H2 S'!Z41</f>
        <v>-17.803412019505604</v>
      </c>
      <c r="AD131" s="835">
        <f>'Output H2 S'!AA41</f>
        <v>-17.803412019505604</v>
      </c>
      <c r="AE131" s="835">
        <f>'Output H2 S'!AB41</f>
        <v>-17.803412019505604</v>
      </c>
      <c r="AF131" s="835">
        <f>'Output H2 S'!AC41</f>
        <v>-17.803412019505604</v>
      </c>
      <c r="AG131" s="835">
        <f>'Output H2 S'!AD41</f>
        <v>-17.803412019505604</v>
      </c>
      <c r="AH131" s="835">
        <f>'Output H2 S'!AE41</f>
        <v>-17.803412019505604</v>
      </c>
      <c r="AI131" s="835">
        <f>'Output H2 S'!AF41</f>
        <v>-17.803412019505604</v>
      </c>
      <c r="AJ131" s="835">
        <f>'Output H2 S'!AG41</f>
        <v>-17.803412019505604</v>
      </c>
      <c r="AK131" s="835">
        <f>'Output H2 S'!AH41</f>
        <v>-17.803412019505604</v>
      </c>
      <c r="AL131" s="835">
        <f>'Output H2 S'!AI41</f>
        <v>-17.803412019505604</v>
      </c>
      <c r="AM131" s="835">
        <f>'Output H2 S'!AJ41</f>
        <v>-17.803412019505604</v>
      </c>
      <c r="AN131" s="835">
        <f>'Output H2 S'!AK41</f>
        <v>-17.803412019505604</v>
      </c>
      <c r="AO131" s="835">
        <f>'Output H2 S'!AL41</f>
        <v>-17.803412019505604</v>
      </c>
      <c r="AP131" s="835">
        <f>'Output H2 S'!AM41</f>
        <v>-17.803412019505604</v>
      </c>
      <c r="AQ131" s="835">
        <f>'Output H2 S'!AN41</f>
        <v>-17.803412019505604</v>
      </c>
      <c r="AR131" s="835">
        <f>'Output H2 S'!AO41</f>
        <v>-17.803412019505604</v>
      </c>
      <c r="AS131" s="835">
        <f>'Output H2 S'!AP41</f>
        <v>-17.803412019505604</v>
      </c>
      <c r="AT131" s="835">
        <f>'Output H2 S'!AQ41</f>
        <v>-17.803412019505604</v>
      </c>
      <c r="AU131" s="835">
        <f>'Output H2 S'!AR41</f>
        <v>-17.803412019505604</v>
      </c>
      <c r="AV131" s="835">
        <f>'Output H2 S'!AS41</f>
        <v>-17.803412019505604</v>
      </c>
      <c r="AW131" s="835">
        <f>'Output H2 S'!AT41</f>
        <v>-17.803412019505604</v>
      </c>
      <c r="AX131" s="835">
        <f>'Output H2 S'!AU41</f>
        <v>-17.803412019505604</v>
      </c>
      <c r="AY131" s="835">
        <f>'Output H2 S'!AV41</f>
        <v>-17.803412019505604</v>
      </c>
      <c r="AZ131" s="835">
        <f>'Output H2 S'!AW41</f>
        <v>-17.803412019505604</v>
      </c>
      <c r="BA131" s="835">
        <f>'Output H2 S'!AX41</f>
        <v>-17.803412019505604</v>
      </c>
      <c r="BB131" s="835">
        <f>'Output H2 S'!AY41</f>
        <v>-17.803412019505604</v>
      </c>
      <c r="BC131" s="835">
        <f>'Output H2 S'!AZ41</f>
        <v>-17.803412019505604</v>
      </c>
      <c r="BD131" s="835">
        <f>'Output H2 S'!BA41</f>
        <v>-17.803412019505604</v>
      </c>
      <c r="BE131" s="835">
        <f>'Output H2 S'!BB41</f>
        <v>-17.803412019505604</v>
      </c>
    </row>
    <row r="132" spans="2:57" x14ac:dyDescent="0.25">
      <c r="B132" s="908"/>
      <c r="C132" s="826"/>
      <c r="D132" s="826"/>
      <c r="E132" s="826"/>
      <c r="F132" s="826"/>
      <c r="G132" s="826"/>
      <c r="H132" s="826"/>
      <c r="I132" s="826"/>
      <c r="J132" s="826"/>
      <c r="K132" s="826"/>
      <c r="L132" s="826"/>
      <c r="M132" s="826"/>
      <c r="N132" s="826"/>
      <c r="O132" s="826"/>
      <c r="P132" s="826"/>
      <c r="Q132" s="826"/>
      <c r="R132" s="826"/>
      <c r="S132" s="826"/>
      <c r="T132" s="826"/>
      <c r="U132" s="826"/>
      <c r="V132" s="826"/>
      <c r="W132" s="826"/>
      <c r="X132" s="826"/>
      <c r="Y132" s="826"/>
      <c r="Z132" s="826"/>
      <c r="AA132" s="826"/>
      <c r="AB132" s="826"/>
      <c r="AC132" s="826"/>
      <c r="AD132" s="826"/>
      <c r="AE132" s="826"/>
      <c r="AF132" s="826"/>
      <c r="AG132" s="826"/>
      <c r="AH132" s="826"/>
      <c r="AI132" s="826"/>
      <c r="AJ132" s="826"/>
      <c r="AK132" s="826"/>
      <c r="AL132" s="826"/>
      <c r="AM132" s="826"/>
      <c r="AN132" s="826"/>
      <c r="AO132" s="826"/>
      <c r="AP132" s="826"/>
      <c r="AQ132" s="826"/>
      <c r="AR132" s="826"/>
      <c r="AS132" s="826"/>
      <c r="AT132" s="826"/>
      <c r="AU132" s="826"/>
      <c r="AV132" s="826"/>
      <c r="AW132" s="826"/>
      <c r="AX132" s="826"/>
      <c r="AY132" s="826"/>
      <c r="AZ132" s="826"/>
      <c r="BA132" s="826"/>
      <c r="BB132" s="826"/>
      <c r="BC132" s="826"/>
      <c r="BD132" s="826"/>
      <c r="BE132" s="826"/>
    </row>
    <row r="133" spans="2:57" x14ac:dyDescent="0.25">
      <c r="B133" s="908"/>
      <c r="C133" s="826"/>
      <c r="D133" s="826"/>
      <c r="E133" s="826"/>
      <c r="F133" s="826"/>
      <c r="G133" s="826"/>
      <c r="H133" s="826"/>
      <c r="I133" s="826"/>
      <c r="J133" s="826"/>
      <c r="K133" s="826"/>
      <c r="L133" s="826"/>
      <c r="M133" s="826"/>
      <c r="N133" s="826"/>
      <c r="O133" s="826"/>
      <c r="P133" s="826"/>
      <c r="Q133" s="826"/>
      <c r="R133" s="826"/>
      <c r="S133" s="826"/>
      <c r="T133" s="826"/>
      <c r="U133" s="826"/>
      <c r="V133" s="826"/>
      <c r="W133" s="826"/>
      <c r="X133" s="826"/>
      <c r="Y133" s="826"/>
      <c r="Z133" s="826"/>
      <c r="AA133" s="826"/>
      <c r="AB133" s="826"/>
      <c r="AC133" s="826"/>
      <c r="AD133" s="826"/>
      <c r="AE133" s="826"/>
      <c r="AF133" s="826"/>
      <c r="AG133" s="826"/>
      <c r="AH133" s="826"/>
      <c r="AI133" s="826"/>
      <c r="AJ133" s="826"/>
      <c r="AK133" s="826"/>
      <c r="AL133" s="826"/>
      <c r="AM133" s="826"/>
      <c r="AN133" s="826"/>
      <c r="AO133" s="826"/>
      <c r="AP133" s="826"/>
      <c r="AQ133" s="826"/>
      <c r="AR133" s="826"/>
      <c r="AS133" s="826"/>
      <c r="AT133" s="826"/>
      <c r="AU133" s="826"/>
      <c r="AV133" s="826"/>
      <c r="AW133" s="826"/>
      <c r="AX133" s="826"/>
      <c r="AY133" s="826"/>
      <c r="AZ133" s="826"/>
      <c r="BA133" s="826"/>
      <c r="BB133" s="826"/>
      <c r="BC133" s="826"/>
      <c r="BD133" s="826"/>
      <c r="BE133" s="826"/>
    </row>
    <row r="134" spans="2:57" x14ac:dyDescent="0.25">
      <c r="B134" s="908"/>
      <c r="C134" s="826"/>
      <c r="D134" s="826"/>
      <c r="E134" s="826"/>
      <c r="F134" s="826"/>
      <c r="G134" s="826"/>
      <c r="H134" s="826"/>
      <c r="I134" s="826"/>
      <c r="J134" s="826"/>
      <c r="K134" s="826"/>
      <c r="L134" s="826"/>
      <c r="M134" s="826"/>
      <c r="N134" s="826"/>
      <c r="O134" s="826"/>
      <c r="P134" s="826"/>
      <c r="Q134" s="826"/>
      <c r="R134" s="826"/>
      <c r="S134" s="826"/>
      <c r="T134" s="826"/>
      <c r="U134" s="826"/>
      <c r="V134" s="826"/>
      <c r="W134" s="826"/>
      <c r="X134" s="826"/>
      <c r="Y134" s="826"/>
      <c r="Z134" s="826"/>
      <c r="AA134" s="826"/>
      <c r="AB134" s="826"/>
      <c r="AC134" s="826"/>
      <c r="AD134" s="826"/>
      <c r="AE134" s="826"/>
      <c r="AF134" s="826"/>
      <c r="AG134" s="826"/>
      <c r="AH134" s="826"/>
      <c r="AI134" s="826"/>
      <c r="AJ134" s="826"/>
      <c r="AK134" s="826"/>
      <c r="AL134" s="826"/>
      <c r="AM134" s="826"/>
      <c r="AN134" s="826"/>
      <c r="AO134" s="826"/>
      <c r="AP134" s="826"/>
      <c r="AQ134" s="826"/>
      <c r="AR134" s="826"/>
      <c r="AS134" s="826"/>
      <c r="AT134" s="826"/>
      <c r="AU134" s="826"/>
      <c r="AV134" s="826"/>
      <c r="AW134" s="826"/>
      <c r="AX134" s="826"/>
      <c r="AY134" s="826"/>
      <c r="AZ134" s="826"/>
      <c r="BA134" s="826"/>
      <c r="BB134" s="826"/>
      <c r="BC134" s="826"/>
      <c r="BD134" s="826"/>
      <c r="BE134" s="826"/>
    </row>
    <row r="135" spans="2:57" s="881" customFormat="1" ht="15.75" thickBot="1" x14ac:dyDescent="0.3">
      <c r="B135" s="995"/>
      <c r="C135" s="880"/>
      <c r="D135" s="880"/>
      <c r="E135" s="880"/>
      <c r="F135" s="880"/>
      <c r="G135" s="880"/>
      <c r="H135" s="880"/>
      <c r="I135" s="880"/>
      <c r="J135" s="880"/>
      <c r="K135" s="880"/>
      <c r="L135" s="880"/>
      <c r="M135" s="880"/>
      <c r="N135" s="880"/>
      <c r="O135" s="880"/>
      <c r="P135" s="880"/>
      <c r="Q135" s="880"/>
      <c r="R135" s="880"/>
      <c r="S135" s="880"/>
      <c r="T135" s="880"/>
      <c r="U135" s="880"/>
      <c r="V135" s="880"/>
      <c r="W135" s="880"/>
      <c r="X135" s="880"/>
      <c r="Y135" s="880"/>
      <c r="Z135" s="880"/>
      <c r="AA135" s="880"/>
      <c r="AB135" s="880"/>
      <c r="AC135" s="880"/>
      <c r="AD135" s="880"/>
      <c r="AE135" s="880"/>
      <c r="AF135" s="880"/>
      <c r="AG135" s="880"/>
      <c r="AH135" s="880"/>
      <c r="AI135" s="880"/>
      <c r="AJ135" s="880"/>
      <c r="AK135" s="880"/>
      <c r="AL135" s="880"/>
      <c r="AM135" s="880"/>
      <c r="AN135" s="880"/>
      <c r="AO135" s="880"/>
      <c r="AP135" s="880"/>
      <c r="AQ135" s="880"/>
      <c r="AR135" s="880"/>
      <c r="AS135" s="880"/>
      <c r="AT135" s="880"/>
      <c r="AU135" s="880"/>
      <c r="AV135" s="880"/>
      <c r="AW135" s="880"/>
      <c r="AX135" s="880"/>
      <c r="AY135" s="880"/>
      <c r="AZ135" s="880"/>
      <c r="BA135" s="880"/>
      <c r="BB135" s="880"/>
      <c r="BC135" s="880"/>
      <c r="BD135" s="880"/>
      <c r="BE135" s="880"/>
    </row>
    <row r="136" spans="2:57" ht="24" thickTop="1" x14ac:dyDescent="0.35">
      <c r="B136" s="753" t="s">
        <v>1457</v>
      </c>
      <c r="C136" s="3"/>
      <c r="D136" s="3"/>
      <c r="E136" s="170" t="str">
        <f>'Output H2 L'!B9</f>
        <v>Investments (CAPEX)</v>
      </c>
      <c r="F136" s="170" t="str">
        <f>'Output H2 L'!C9</f>
        <v>[kEUR]</v>
      </c>
      <c r="G136" s="997">
        <f>-'Output H2 L'!D9</f>
        <v>-341583.48150326422</v>
      </c>
      <c r="H136" s="997">
        <f>-'Output H2 L'!E9</f>
        <v>-83481.365190950091</v>
      </c>
      <c r="I136" s="997"/>
      <c r="J136" s="997">
        <f>-'Output H2 L'!G9</f>
        <v>0</v>
      </c>
      <c r="K136" s="997">
        <f>-'Output H2 L'!H9</f>
        <v>0</v>
      </c>
      <c r="L136" s="997">
        <f>-'Output H2 L'!I9</f>
        <v>0</v>
      </c>
      <c r="M136" s="997">
        <f>-'Output H2 L'!J9</f>
        <v>0</v>
      </c>
      <c r="N136" s="997">
        <f>-'Output H2 L'!K9</f>
        <v>0</v>
      </c>
      <c r="O136" s="997">
        <f>-'Output H2 L'!L9</f>
        <v>0</v>
      </c>
      <c r="P136" s="997">
        <f>-'Output H2 L'!M9</f>
        <v>0</v>
      </c>
      <c r="Q136" s="997">
        <f>-'Output H2 L'!N9</f>
        <v>0</v>
      </c>
      <c r="R136" s="997">
        <f>-'Output H2 L'!O9</f>
        <v>0</v>
      </c>
      <c r="S136" s="997">
        <f>-'Output H2 L'!P9</f>
        <v>0</v>
      </c>
      <c r="T136" s="997">
        <f>-'Output H2 L'!Q9</f>
        <v>0</v>
      </c>
      <c r="U136" s="997">
        <f>-'Output H2 L'!R9</f>
        <v>0</v>
      </c>
      <c r="V136" s="997">
        <f>-'Output H2 L'!S9</f>
        <v>-243568.87491132191</v>
      </c>
      <c r="W136" s="997">
        <f>-'Output H2 L'!T9</f>
        <v>0</v>
      </c>
      <c r="X136" s="997">
        <f>-'Output H2 L'!U9</f>
        <v>0</v>
      </c>
      <c r="Y136" s="997">
        <f>-'Output H2 L'!V9</f>
        <v>0</v>
      </c>
      <c r="Z136" s="997">
        <f>-'Output H2 L'!W9</f>
        <v>0</v>
      </c>
      <c r="AA136" s="997">
        <f>-'Output H2 L'!X9</f>
        <v>0</v>
      </c>
      <c r="AB136" s="997">
        <f>-'Output H2 L'!Y9</f>
        <v>0</v>
      </c>
      <c r="AC136" s="997">
        <f>-'Output H2 L'!Z9</f>
        <v>0</v>
      </c>
      <c r="AD136" s="997">
        <f>-'Output H2 L'!AA9</f>
        <v>0</v>
      </c>
      <c r="AE136" s="997">
        <f>-'Output H2 L'!AB9</f>
        <v>0</v>
      </c>
      <c r="AF136" s="997">
        <f>-'Output H2 L'!AC9</f>
        <v>0</v>
      </c>
      <c r="AG136" s="997">
        <f>-'Output H2 L'!AD9</f>
        <v>-19133.805371163082</v>
      </c>
      <c r="AH136" s="997">
        <f>-'Output H2 L'!AE9</f>
        <v>0</v>
      </c>
      <c r="AI136" s="997">
        <f>-'Output H2 L'!AF9</f>
        <v>0</v>
      </c>
      <c r="AJ136" s="997">
        <f>-'Output H2 L'!AG9</f>
        <v>0</v>
      </c>
      <c r="AK136" s="997">
        <f>-'Output H2 L'!AH9</f>
        <v>0</v>
      </c>
      <c r="AL136" s="997">
        <f>-'Output H2 L'!AI9</f>
        <v>0</v>
      </c>
      <c r="AM136" s="997">
        <f>-'Output H2 L'!AJ9</f>
        <v>0</v>
      </c>
      <c r="AN136" s="997">
        <f>-'Output H2 L'!AK9</f>
        <v>0</v>
      </c>
      <c r="AO136" s="997">
        <f>-'Output H2 L'!AL9</f>
        <v>0</v>
      </c>
      <c r="AP136" s="997">
        <f>-'Output H2 L'!AM9</f>
        <v>-78880.801220779249</v>
      </c>
      <c r="AQ136" s="997">
        <f>-'Output H2 L'!AN9</f>
        <v>0</v>
      </c>
      <c r="AR136" s="997">
        <f>-'Output H2 L'!AO9</f>
        <v>0</v>
      </c>
      <c r="AS136" s="997">
        <f>-'Output H2 L'!AP9</f>
        <v>0</v>
      </c>
      <c r="AT136" s="997">
        <f>-'Output H2 L'!AQ9</f>
        <v>0</v>
      </c>
      <c r="AU136" s="997">
        <f>-'Output H2 L'!AR9</f>
        <v>0</v>
      </c>
      <c r="AV136" s="997">
        <f>-'Output H2 L'!AS9</f>
        <v>0</v>
      </c>
      <c r="AW136" s="997">
        <f>-'Output H2 L'!AT9</f>
        <v>0</v>
      </c>
      <c r="AX136" s="997">
        <f>-'Output H2 L'!AU9</f>
        <v>0</v>
      </c>
      <c r="AY136" s="997">
        <f>-'Output H2 L'!AV9</f>
        <v>0</v>
      </c>
      <c r="AZ136" s="1261">
        <f>-'Output H2 L'!AW9</f>
        <v>0</v>
      </c>
      <c r="BA136" s="997">
        <f>-'Output H2 L'!AX9</f>
        <v>0</v>
      </c>
      <c r="BB136" s="997">
        <f>-'Output H2 L'!AY9</f>
        <v>0</v>
      </c>
      <c r="BC136" s="997">
        <f>-'Output H2 L'!AZ9</f>
        <v>0</v>
      </c>
      <c r="BD136" s="997">
        <f>-'Output H2 L'!BA9</f>
        <v>0</v>
      </c>
      <c r="BE136" s="997">
        <f>-'Output H2 L'!BB9</f>
        <v>0</v>
      </c>
    </row>
    <row r="137" spans="2:57" x14ac:dyDescent="0.25">
      <c r="B137" s="316"/>
      <c r="C137" s="3"/>
      <c r="D137" s="3"/>
      <c r="E137" s="998" t="str">
        <f>'Output H2 L'!B10</f>
        <v>Capex electrolyser</v>
      </c>
      <c r="F137" s="999" t="str">
        <f>'Output H2 L'!C10</f>
        <v>[kEUR]</v>
      </c>
      <c r="G137" s="1000">
        <f>-'Output H2 L'!D10</f>
        <v>-99020.34028075861</v>
      </c>
      <c r="H137" s="1000">
        <f>-'Output H2 L'!E10</f>
        <v>-27591.140077736534</v>
      </c>
      <c r="I137" s="1000"/>
      <c r="J137" s="1000">
        <f>-'Output H2 L'!G10</f>
        <v>0</v>
      </c>
      <c r="K137" s="1000">
        <f>-'Output H2 L'!H10</f>
        <v>0</v>
      </c>
      <c r="L137" s="1000">
        <f>-'Output H2 L'!I10</f>
        <v>0</v>
      </c>
      <c r="M137" s="1000">
        <f>-'Output H2 L'!J10</f>
        <v>0</v>
      </c>
      <c r="N137" s="1000">
        <f>-'Output H2 L'!K10</f>
        <v>0</v>
      </c>
      <c r="O137" s="1000">
        <f>-'Output H2 L'!L10</f>
        <v>0</v>
      </c>
      <c r="P137" s="1000">
        <f>-'Output H2 L'!M10</f>
        <v>0</v>
      </c>
      <c r="Q137" s="1000">
        <f>-'Output H2 L'!N10</f>
        <v>0</v>
      </c>
      <c r="R137" s="1000">
        <f>-'Output H2 L'!O10</f>
        <v>0</v>
      </c>
      <c r="S137" s="1000">
        <f>-'Output H2 L'!P10</f>
        <v>0</v>
      </c>
      <c r="T137" s="1000">
        <f>-'Output H2 L'!Q10</f>
        <v>0</v>
      </c>
      <c r="U137" s="1000">
        <f>-'Output H2 L'!R10</f>
        <v>0</v>
      </c>
      <c r="V137" s="1000">
        <f>-'Output H2 L'!S10</f>
        <v>-79886.534909595532</v>
      </c>
      <c r="W137" s="1000">
        <f>-'Output H2 L'!T10</f>
        <v>0</v>
      </c>
      <c r="X137" s="1000">
        <f>-'Output H2 L'!U10</f>
        <v>0</v>
      </c>
      <c r="Y137" s="1000">
        <f>-'Output H2 L'!V10</f>
        <v>0</v>
      </c>
      <c r="Z137" s="1000">
        <f>-'Output H2 L'!W10</f>
        <v>0</v>
      </c>
      <c r="AA137" s="1000">
        <f>-'Output H2 L'!X10</f>
        <v>0</v>
      </c>
      <c r="AB137" s="1000">
        <f>-'Output H2 L'!Y10</f>
        <v>0</v>
      </c>
      <c r="AC137" s="1000">
        <f>-'Output H2 L'!Z10</f>
        <v>0</v>
      </c>
      <c r="AD137" s="1000">
        <f>-'Output H2 L'!AA10</f>
        <v>0</v>
      </c>
      <c r="AE137" s="1000">
        <f>-'Output H2 L'!AB10</f>
        <v>0</v>
      </c>
      <c r="AF137" s="1000">
        <f>-'Output H2 L'!AC10</f>
        <v>0</v>
      </c>
      <c r="AG137" s="1000">
        <f>-'Output H2 L'!AD10</f>
        <v>-19133.805371163082</v>
      </c>
      <c r="AH137" s="1000">
        <f>-'Output H2 L'!AE10</f>
        <v>0</v>
      </c>
      <c r="AI137" s="1000">
        <f>-'Output H2 L'!AF10</f>
        <v>0</v>
      </c>
      <c r="AJ137" s="1000">
        <f>-'Output H2 L'!AG10</f>
        <v>0</v>
      </c>
      <c r="AK137" s="1000">
        <f>-'Output H2 L'!AH10</f>
        <v>0</v>
      </c>
      <c r="AL137" s="1000">
        <f>-'Output H2 L'!AI10</f>
        <v>0</v>
      </c>
      <c r="AM137" s="1000">
        <f>-'Output H2 L'!AJ10</f>
        <v>0</v>
      </c>
      <c r="AN137" s="1000">
        <f>-'Output H2 L'!AK10</f>
        <v>0</v>
      </c>
      <c r="AO137" s="1000">
        <f>-'Output H2 L'!AL10</f>
        <v>0</v>
      </c>
      <c r="AP137" s="1000">
        <f>-'Output H2 L'!AM10</f>
        <v>0</v>
      </c>
      <c r="AQ137" s="1000">
        <f>-'Output H2 L'!AN10</f>
        <v>0</v>
      </c>
      <c r="AR137" s="1000">
        <f>-'Output H2 L'!AO10</f>
        <v>0</v>
      </c>
      <c r="AS137" s="1000">
        <f>-'Output H2 L'!AP10</f>
        <v>0</v>
      </c>
      <c r="AT137" s="1000">
        <f>-'Output H2 L'!AQ10</f>
        <v>0</v>
      </c>
      <c r="AU137" s="1000">
        <f>-'Output H2 L'!AR10</f>
        <v>0</v>
      </c>
      <c r="AV137" s="1000">
        <f>-'Output H2 L'!AS10</f>
        <v>0</v>
      </c>
      <c r="AW137" s="1000">
        <f>-'Output H2 L'!AT10</f>
        <v>0</v>
      </c>
      <c r="AX137" s="1000">
        <f>-'Output H2 L'!AU10</f>
        <v>0</v>
      </c>
      <c r="AY137" s="1000">
        <f>-'Output H2 L'!AV10</f>
        <v>0</v>
      </c>
      <c r="AZ137" s="1000">
        <f>-'Output H2 L'!AW10</f>
        <v>0</v>
      </c>
      <c r="BA137" s="1000">
        <f>-'Output H2 L'!AX10</f>
        <v>0</v>
      </c>
      <c r="BB137" s="1000">
        <f>-'Output H2 L'!AY10</f>
        <v>0</v>
      </c>
      <c r="BC137" s="1000">
        <f>-'Output H2 L'!AZ10</f>
        <v>0</v>
      </c>
      <c r="BD137" s="1000">
        <f>-'Output H2 L'!BA10</f>
        <v>0</v>
      </c>
      <c r="BE137" s="1000">
        <f>-'Output H2 L'!BB10</f>
        <v>0</v>
      </c>
    </row>
    <row r="138" spans="2:57" x14ac:dyDescent="0.25">
      <c r="B138" s="316"/>
      <c r="C138" s="3"/>
      <c r="D138" s="3"/>
      <c r="E138" s="1001" t="str">
        <f>'Output H2 L'!B11</f>
        <v>Capex desalination unit</v>
      </c>
      <c r="F138" s="1002" t="str">
        <f>'Output H2 L'!C11</f>
        <v>[kEUR]</v>
      </c>
      <c r="G138" s="1003">
        <f>-'Output H2 L'!D11</f>
        <v>-1068.3668877394884</v>
      </c>
      <c r="H138" s="1003">
        <f>-'Output H2 L'!E11</f>
        <v>-340.41461505510182</v>
      </c>
      <c r="I138" s="1003"/>
      <c r="J138" s="1003">
        <f>-'Output H2 L'!G11</f>
        <v>0</v>
      </c>
      <c r="K138" s="1003">
        <f>-'Output H2 L'!H11</f>
        <v>0</v>
      </c>
      <c r="L138" s="1003">
        <f>-'Output H2 L'!I11</f>
        <v>0</v>
      </c>
      <c r="M138" s="1003">
        <f>-'Output H2 L'!J11</f>
        <v>0</v>
      </c>
      <c r="N138" s="1003">
        <f>-'Output H2 L'!K11</f>
        <v>0</v>
      </c>
      <c r="O138" s="1003">
        <f>-'Output H2 L'!L11</f>
        <v>0</v>
      </c>
      <c r="P138" s="1003">
        <f>-'Output H2 L'!M11</f>
        <v>0</v>
      </c>
      <c r="Q138" s="1003">
        <f>-'Output H2 L'!N11</f>
        <v>0</v>
      </c>
      <c r="R138" s="1003">
        <f>-'Output H2 L'!O11</f>
        <v>0</v>
      </c>
      <c r="S138" s="1003">
        <f>-'Output H2 L'!P11</f>
        <v>0</v>
      </c>
      <c r="T138" s="1003">
        <f>-'Output H2 L'!Q11</f>
        <v>0</v>
      </c>
      <c r="U138" s="1003">
        <f>-'Output H2 L'!R11</f>
        <v>0</v>
      </c>
      <c r="V138" s="1003">
        <f>-'Output H2 L'!S11</f>
        <v>-1068.3668877394884</v>
      </c>
      <c r="W138" s="1003">
        <f>-'Output H2 L'!T11</f>
        <v>0</v>
      </c>
      <c r="X138" s="1003">
        <f>-'Output H2 L'!U11</f>
        <v>0</v>
      </c>
      <c r="Y138" s="1003">
        <f>-'Output H2 L'!V11</f>
        <v>0</v>
      </c>
      <c r="Z138" s="1003">
        <f>-'Output H2 L'!W11</f>
        <v>0</v>
      </c>
      <c r="AA138" s="1003">
        <f>-'Output H2 L'!X11</f>
        <v>0</v>
      </c>
      <c r="AB138" s="1003">
        <f>-'Output H2 L'!Y11</f>
        <v>0</v>
      </c>
      <c r="AC138" s="1003">
        <f>-'Output H2 L'!Z11</f>
        <v>0</v>
      </c>
      <c r="AD138" s="1003">
        <f>-'Output H2 L'!AA11</f>
        <v>0</v>
      </c>
      <c r="AE138" s="1003">
        <f>-'Output H2 L'!AB11</f>
        <v>0</v>
      </c>
      <c r="AF138" s="1003">
        <f>-'Output H2 L'!AC11</f>
        <v>0</v>
      </c>
      <c r="AG138" s="1003">
        <f>-'Output H2 L'!AD11</f>
        <v>0</v>
      </c>
      <c r="AH138" s="1003">
        <f>-'Output H2 L'!AE11</f>
        <v>0</v>
      </c>
      <c r="AI138" s="1003">
        <f>-'Output H2 L'!AF11</f>
        <v>0</v>
      </c>
      <c r="AJ138" s="1003">
        <f>-'Output H2 L'!AG11</f>
        <v>0</v>
      </c>
      <c r="AK138" s="1003">
        <f>-'Output H2 L'!AH11</f>
        <v>0</v>
      </c>
      <c r="AL138" s="1003">
        <f>-'Output H2 L'!AI11</f>
        <v>0</v>
      </c>
      <c r="AM138" s="1003">
        <f>-'Output H2 L'!AJ11</f>
        <v>0</v>
      </c>
      <c r="AN138" s="1003">
        <f>-'Output H2 L'!AK11</f>
        <v>0</v>
      </c>
      <c r="AO138" s="1003">
        <f>-'Output H2 L'!AL11</f>
        <v>0</v>
      </c>
      <c r="AP138" s="1003">
        <f>-'Output H2 L'!AM11</f>
        <v>0</v>
      </c>
      <c r="AQ138" s="1003">
        <f>-'Output H2 L'!AN11</f>
        <v>0</v>
      </c>
      <c r="AR138" s="1003">
        <f>-'Output H2 L'!AO11</f>
        <v>0</v>
      </c>
      <c r="AS138" s="1003">
        <f>-'Output H2 L'!AP11</f>
        <v>0</v>
      </c>
      <c r="AT138" s="1003">
        <f>-'Output H2 L'!AQ11</f>
        <v>0</v>
      </c>
      <c r="AU138" s="1003">
        <f>-'Output H2 L'!AR11</f>
        <v>0</v>
      </c>
      <c r="AV138" s="1003">
        <f>-'Output H2 L'!AS11</f>
        <v>0</v>
      </c>
      <c r="AW138" s="1003">
        <f>-'Output H2 L'!AT11</f>
        <v>0</v>
      </c>
      <c r="AX138" s="1003">
        <f>-'Output H2 L'!AU11</f>
        <v>0</v>
      </c>
      <c r="AY138" s="1003">
        <f>-'Output H2 L'!AV11</f>
        <v>0</v>
      </c>
      <c r="AZ138" s="1003">
        <f>-'Output H2 L'!AW11</f>
        <v>0</v>
      </c>
      <c r="BA138" s="1003">
        <f>-'Output H2 L'!AX11</f>
        <v>0</v>
      </c>
      <c r="BB138" s="1003">
        <f>-'Output H2 L'!AY11</f>
        <v>0</v>
      </c>
      <c r="BC138" s="1003">
        <f>-'Output H2 L'!AZ11</f>
        <v>0</v>
      </c>
      <c r="BD138" s="1003">
        <f>-'Output H2 L'!BA11</f>
        <v>0</v>
      </c>
      <c r="BE138" s="1003">
        <f>-'Output H2 L'!BB11</f>
        <v>0</v>
      </c>
    </row>
    <row r="139" spans="2:57" x14ac:dyDescent="0.25">
      <c r="B139" s="316"/>
      <c r="C139" s="3"/>
      <c r="D139" s="3"/>
      <c r="E139" s="1001" t="str">
        <f>'Output H2 L'!B12</f>
        <v>Capex compressor</v>
      </c>
      <c r="F139" s="1002" t="str">
        <f>'Output H2 L'!C12</f>
        <v>[kEUR]</v>
      </c>
      <c r="G139" s="1003">
        <f>-'Output H2 L'!D12</f>
        <v>-2463.4084612246852</v>
      </c>
      <c r="H139" s="1003">
        <f>-'Output H2 L'!E12</f>
        <v>-784.91785235463237</v>
      </c>
      <c r="I139" s="1003"/>
      <c r="J139" s="1003">
        <f>-'Output H2 L'!G12</f>
        <v>0</v>
      </c>
      <c r="K139" s="1003">
        <f>-'Output H2 L'!H12</f>
        <v>0</v>
      </c>
      <c r="L139" s="1003">
        <f>-'Output H2 L'!I12</f>
        <v>0</v>
      </c>
      <c r="M139" s="1003">
        <f>-'Output H2 L'!J12</f>
        <v>0</v>
      </c>
      <c r="N139" s="1003">
        <f>-'Output H2 L'!K12</f>
        <v>0</v>
      </c>
      <c r="O139" s="1003">
        <f>-'Output H2 L'!L12</f>
        <v>0</v>
      </c>
      <c r="P139" s="1003">
        <f>-'Output H2 L'!M12</f>
        <v>0</v>
      </c>
      <c r="Q139" s="1003">
        <f>-'Output H2 L'!N12</f>
        <v>0</v>
      </c>
      <c r="R139" s="1003">
        <f>-'Output H2 L'!O12</f>
        <v>0</v>
      </c>
      <c r="S139" s="1003">
        <f>-'Output H2 L'!P12</f>
        <v>0</v>
      </c>
      <c r="T139" s="1003">
        <f>-'Output H2 L'!Q12</f>
        <v>0</v>
      </c>
      <c r="U139" s="1003">
        <f>-'Output H2 L'!R12</f>
        <v>0</v>
      </c>
      <c r="V139" s="1003">
        <f>-'Output H2 L'!S12</f>
        <v>-2463.4084612246852</v>
      </c>
      <c r="W139" s="1003">
        <f>-'Output H2 L'!T12</f>
        <v>0</v>
      </c>
      <c r="X139" s="1003">
        <f>-'Output H2 L'!U12</f>
        <v>0</v>
      </c>
      <c r="Y139" s="1003">
        <f>-'Output H2 L'!V12</f>
        <v>0</v>
      </c>
      <c r="Z139" s="1003">
        <f>-'Output H2 L'!W12</f>
        <v>0</v>
      </c>
      <c r="AA139" s="1003">
        <f>-'Output H2 L'!X12</f>
        <v>0</v>
      </c>
      <c r="AB139" s="1003">
        <f>-'Output H2 L'!Y12</f>
        <v>0</v>
      </c>
      <c r="AC139" s="1003">
        <f>-'Output H2 L'!Z12</f>
        <v>0</v>
      </c>
      <c r="AD139" s="1003">
        <f>-'Output H2 L'!AA12</f>
        <v>0</v>
      </c>
      <c r="AE139" s="1003">
        <f>-'Output H2 L'!AB12</f>
        <v>0</v>
      </c>
      <c r="AF139" s="1003">
        <f>-'Output H2 L'!AC12</f>
        <v>0</v>
      </c>
      <c r="AG139" s="1003">
        <f>-'Output H2 L'!AD12</f>
        <v>0</v>
      </c>
      <c r="AH139" s="1003">
        <f>-'Output H2 L'!AE12</f>
        <v>0</v>
      </c>
      <c r="AI139" s="1003">
        <f>-'Output H2 L'!AF12</f>
        <v>0</v>
      </c>
      <c r="AJ139" s="1003">
        <f>-'Output H2 L'!AG12</f>
        <v>0</v>
      </c>
      <c r="AK139" s="1003">
        <f>-'Output H2 L'!AH12</f>
        <v>0</v>
      </c>
      <c r="AL139" s="1003">
        <f>-'Output H2 L'!AI12</f>
        <v>0</v>
      </c>
      <c r="AM139" s="1003">
        <f>-'Output H2 L'!AJ12</f>
        <v>0</v>
      </c>
      <c r="AN139" s="1003">
        <f>-'Output H2 L'!AK12</f>
        <v>0</v>
      </c>
      <c r="AO139" s="1003">
        <f>-'Output H2 L'!AL12</f>
        <v>0</v>
      </c>
      <c r="AP139" s="1003">
        <f>-'Output H2 L'!AM12</f>
        <v>0</v>
      </c>
      <c r="AQ139" s="1003">
        <f>-'Output H2 L'!AN12</f>
        <v>0</v>
      </c>
      <c r="AR139" s="1003">
        <f>-'Output H2 L'!AO12</f>
        <v>0</v>
      </c>
      <c r="AS139" s="1003">
        <f>-'Output H2 L'!AP12</f>
        <v>0</v>
      </c>
      <c r="AT139" s="1003">
        <f>-'Output H2 L'!AQ12</f>
        <v>0</v>
      </c>
      <c r="AU139" s="1003">
        <f>-'Output H2 L'!AR12</f>
        <v>0</v>
      </c>
      <c r="AV139" s="1003">
        <f>-'Output H2 L'!AS12</f>
        <v>0</v>
      </c>
      <c r="AW139" s="1003">
        <f>-'Output H2 L'!AT12</f>
        <v>0</v>
      </c>
      <c r="AX139" s="1003">
        <f>-'Output H2 L'!AU12</f>
        <v>0</v>
      </c>
      <c r="AY139" s="1003">
        <f>-'Output H2 L'!AV12</f>
        <v>0</v>
      </c>
      <c r="AZ139" s="1003">
        <f>-'Output H2 L'!AW12</f>
        <v>0</v>
      </c>
      <c r="BA139" s="1003">
        <f>-'Output H2 L'!AX12</f>
        <v>0</v>
      </c>
      <c r="BB139" s="1003">
        <f>-'Output H2 L'!AY12</f>
        <v>0</v>
      </c>
      <c r="BC139" s="1003">
        <f>-'Output H2 L'!AZ12</f>
        <v>0</v>
      </c>
      <c r="BD139" s="1003">
        <f>-'Output H2 L'!BA12</f>
        <v>0</v>
      </c>
      <c r="BE139" s="1003">
        <f>-'Output H2 L'!BB12</f>
        <v>0</v>
      </c>
    </row>
    <row r="140" spans="2:57" x14ac:dyDescent="0.25">
      <c r="B140" s="316"/>
      <c r="C140" s="3"/>
      <c r="D140" s="3"/>
      <c r="E140" s="1001" t="str">
        <f>'Output H2 L'!B13</f>
        <v>Capex existing pipeline</v>
      </c>
      <c r="F140" s="1002" t="str">
        <f>'Output H2 L'!C13</f>
        <v>[kEUR]</v>
      </c>
      <c r="G140" s="1003">
        <f>-'Output H2 L'!D13</f>
        <v>0</v>
      </c>
      <c r="H140" s="1003">
        <f>-'Output H2 L'!E13</f>
        <v>0</v>
      </c>
      <c r="I140" s="1003"/>
      <c r="J140" s="1003">
        <f>-'Output H2 L'!G13</f>
        <v>0</v>
      </c>
      <c r="K140" s="1003">
        <f>-'Output H2 L'!H13</f>
        <v>0</v>
      </c>
      <c r="L140" s="1003">
        <f>-'Output H2 L'!I13</f>
        <v>0</v>
      </c>
      <c r="M140" s="1003">
        <f>-'Output H2 L'!J13</f>
        <v>0</v>
      </c>
      <c r="N140" s="1003">
        <f>-'Output H2 L'!K13</f>
        <v>0</v>
      </c>
      <c r="O140" s="1003">
        <f>-'Output H2 L'!L13</f>
        <v>0</v>
      </c>
      <c r="P140" s="1003">
        <f>-'Output H2 L'!M13</f>
        <v>0</v>
      </c>
      <c r="Q140" s="1003">
        <f>-'Output H2 L'!N13</f>
        <v>0</v>
      </c>
      <c r="R140" s="1003">
        <f>-'Output H2 L'!O13</f>
        <v>0</v>
      </c>
      <c r="S140" s="1003">
        <f>-'Output H2 L'!P13</f>
        <v>0</v>
      </c>
      <c r="T140" s="1003">
        <f>-'Output H2 L'!Q13</f>
        <v>0</v>
      </c>
      <c r="U140" s="1003">
        <f>-'Output H2 L'!R13</f>
        <v>0</v>
      </c>
      <c r="V140" s="1003">
        <f>-'Output H2 L'!S13</f>
        <v>0</v>
      </c>
      <c r="W140" s="1003">
        <f>-'Output H2 L'!T13</f>
        <v>0</v>
      </c>
      <c r="X140" s="1003">
        <f>-'Output H2 L'!U13</f>
        <v>0</v>
      </c>
      <c r="Y140" s="1003">
        <f>-'Output H2 L'!V13</f>
        <v>0</v>
      </c>
      <c r="Z140" s="1003">
        <f>-'Output H2 L'!W13</f>
        <v>0</v>
      </c>
      <c r="AA140" s="1003">
        <f>-'Output H2 L'!X13</f>
        <v>0</v>
      </c>
      <c r="AB140" s="1003">
        <f>-'Output H2 L'!Y13</f>
        <v>0</v>
      </c>
      <c r="AC140" s="1003">
        <f>-'Output H2 L'!Z13</f>
        <v>0</v>
      </c>
      <c r="AD140" s="1003">
        <f>-'Output H2 L'!AA13</f>
        <v>0</v>
      </c>
      <c r="AE140" s="1003">
        <f>-'Output H2 L'!AB13</f>
        <v>0</v>
      </c>
      <c r="AF140" s="1003">
        <f>-'Output H2 L'!AC13</f>
        <v>0</v>
      </c>
      <c r="AG140" s="1003">
        <f>-'Output H2 L'!AD13</f>
        <v>0</v>
      </c>
      <c r="AH140" s="1003">
        <f>-'Output H2 L'!AE13</f>
        <v>0</v>
      </c>
      <c r="AI140" s="1003">
        <f>-'Output H2 L'!AF13</f>
        <v>0</v>
      </c>
      <c r="AJ140" s="1003">
        <f>-'Output H2 L'!AG13</f>
        <v>0</v>
      </c>
      <c r="AK140" s="1003">
        <f>-'Output H2 L'!AH13</f>
        <v>0</v>
      </c>
      <c r="AL140" s="1003">
        <f>-'Output H2 L'!AI13</f>
        <v>0</v>
      </c>
      <c r="AM140" s="1003">
        <f>-'Output H2 L'!AJ13</f>
        <v>0</v>
      </c>
      <c r="AN140" s="1003">
        <f>-'Output H2 L'!AK13</f>
        <v>0</v>
      </c>
      <c r="AO140" s="1003">
        <f>-'Output H2 L'!AL13</f>
        <v>0</v>
      </c>
      <c r="AP140" s="1003">
        <f>-'Output H2 L'!AM13</f>
        <v>0</v>
      </c>
      <c r="AQ140" s="1003">
        <f>-'Output H2 L'!AN13</f>
        <v>0</v>
      </c>
      <c r="AR140" s="1003">
        <f>-'Output H2 L'!AO13</f>
        <v>0</v>
      </c>
      <c r="AS140" s="1003">
        <f>-'Output H2 L'!AP13</f>
        <v>0</v>
      </c>
      <c r="AT140" s="1003">
        <f>-'Output H2 L'!AQ13</f>
        <v>0</v>
      </c>
      <c r="AU140" s="1003">
        <f>-'Output H2 L'!AR13</f>
        <v>0</v>
      </c>
      <c r="AV140" s="1003">
        <f>-'Output H2 L'!AS13</f>
        <v>0</v>
      </c>
      <c r="AW140" s="1003">
        <f>-'Output H2 L'!AT13</f>
        <v>0</v>
      </c>
      <c r="AX140" s="1003">
        <f>-'Output H2 L'!AU13</f>
        <v>0</v>
      </c>
      <c r="AY140" s="1003">
        <f>-'Output H2 L'!AV13</f>
        <v>0</v>
      </c>
      <c r="AZ140" s="1003">
        <f>-'Output H2 L'!AW13</f>
        <v>0</v>
      </c>
      <c r="BA140" s="1003">
        <f>-'Output H2 L'!AX13</f>
        <v>0</v>
      </c>
      <c r="BB140" s="1003">
        <f>-'Output H2 L'!AY13</f>
        <v>0</v>
      </c>
      <c r="BC140" s="1003">
        <f>-'Output H2 L'!AZ13</f>
        <v>0</v>
      </c>
      <c r="BD140" s="1003">
        <f>-'Output H2 L'!BA13</f>
        <v>0</v>
      </c>
      <c r="BE140" s="1003">
        <f>-'Output H2 L'!BB13</f>
        <v>0</v>
      </c>
    </row>
    <row r="141" spans="2:57" x14ac:dyDescent="0.25">
      <c r="B141" s="316"/>
      <c r="C141" s="3"/>
      <c r="D141" s="3"/>
      <c r="E141" s="1001" t="str">
        <f>'Output H2 L'!B14</f>
        <v>Capex cable (H2)</v>
      </c>
      <c r="F141" s="1002" t="str">
        <f>'Output H2 L'!C14</f>
        <v>[kEUR]</v>
      </c>
      <c r="G141" s="1003">
        <f>-'Output H2 L'!D14</f>
        <v>-58691.221087758626</v>
      </c>
      <c r="H141" s="1003">
        <f>-'Output H2 L'!E14</f>
        <v>-18700.83176761185</v>
      </c>
      <c r="I141" s="1003"/>
      <c r="J141" s="1003">
        <f>-'Output H2 L'!G14</f>
        <v>0</v>
      </c>
      <c r="K141" s="1003">
        <f>-'Output H2 L'!H14</f>
        <v>0</v>
      </c>
      <c r="L141" s="1003">
        <f>-'Output H2 L'!I14</f>
        <v>0</v>
      </c>
      <c r="M141" s="1003">
        <f>-'Output H2 L'!J14</f>
        <v>0</v>
      </c>
      <c r="N141" s="1003">
        <f>-'Output H2 L'!K14</f>
        <v>0</v>
      </c>
      <c r="O141" s="1003">
        <f>-'Output H2 L'!L14</f>
        <v>0</v>
      </c>
      <c r="P141" s="1003">
        <f>-'Output H2 L'!M14</f>
        <v>0</v>
      </c>
      <c r="Q141" s="1003">
        <f>-'Output H2 L'!N14</f>
        <v>0</v>
      </c>
      <c r="R141" s="1003">
        <f>-'Output H2 L'!O14</f>
        <v>0</v>
      </c>
      <c r="S141" s="1003">
        <f>-'Output H2 L'!P14</f>
        <v>0</v>
      </c>
      <c r="T141" s="1003">
        <f>-'Output H2 L'!Q14</f>
        <v>0</v>
      </c>
      <c r="U141" s="1003">
        <f>-'Output H2 L'!R14</f>
        <v>0</v>
      </c>
      <c r="V141" s="1003">
        <f>-'Output H2 L'!S14</f>
        <v>-58691.221087758626</v>
      </c>
      <c r="W141" s="1003">
        <f>-'Output H2 L'!T14</f>
        <v>0</v>
      </c>
      <c r="X141" s="1003">
        <f>-'Output H2 L'!U14</f>
        <v>0</v>
      </c>
      <c r="Y141" s="1003">
        <f>-'Output H2 L'!V14</f>
        <v>0</v>
      </c>
      <c r="Z141" s="1003">
        <f>-'Output H2 L'!W14</f>
        <v>0</v>
      </c>
      <c r="AA141" s="1003">
        <f>-'Output H2 L'!X14</f>
        <v>0</v>
      </c>
      <c r="AB141" s="1003">
        <f>-'Output H2 L'!Y14</f>
        <v>0</v>
      </c>
      <c r="AC141" s="1003">
        <f>-'Output H2 L'!Z14</f>
        <v>0</v>
      </c>
      <c r="AD141" s="1003">
        <f>-'Output H2 L'!AA14</f>
        <v>0</v>
      </c>
      <c r="AE141" s="1003">
        <f>-'Output H2 L'!AB14</f>
        <v>0</v>
      </c>
      <c r="AF141" s="1003">
        <f>-'Output H2 L'!AC14</f>
        <v>0</v>
      </c>
      <c r="AG141" s="1003">
        <f>-'Output H2 L'!AD14</f>
        <v>0</v>
      </c>
      <c r="AH141" s="1003">
        <f>-'Output H2 L'!AE14</f>
        <v>0</v>
      </c>
      <c r="AI141" s="1003">
        <f>-'Output H2 L'!AF14</f>
        <v>0</v>
      </c>
      <c r="AJ141" s="1003">
        <f>-'Output H2 L'!AG14</f>
        <v>0</v>
      </c>
      <c r="AK141" s="1003">
        <f>-'Output H2 L'!AH14</f>
        <v>0</v>
      </c>
      <c r="AL141" s="1003">
        <f>-'Output H2 L'!AI14</f>
        <v>0</v>
      </c>
      <c r="AM141" s="1003">
        <f>-'Output H2 L'!AJ14</f>
        <v>0</v>
      </c>
      <c r="AN141" s="1003">
        <f>-'Output H2 L'!AK14</f>
        <v>0</v>
      </c>
      <c r="AO141" s="1003">
        <f>-'Output H2 L'!AL14</f>
        <v>0</v>
      </c>
      <c r="AP141" s="1003">
        <f>-'Output H2 L'!AM14</f>
        <v>0</v>
      </c>
      <c r="AQ141" s="1003">
        <f>-'Output H2 L'!AN14</f>
        <v>0</v>
      </c>
      <c r="AR141" s="1003">
        <f>-'Output H2 L'!AO14</f>
        <v>0</v>
      </c>
      <c r="AS141" s="1003">
        <f>-'Output H2 L'!AP14</f>
        <v>0</v>
      </c>
      <c r="AT141" s="1003">
        <f>-'Output H2 L'!AQ14</f>
        <v>0</v>
      </c>
      <c r="AU141" s="1003">
        <f>-'Output H2 L'!AR14</f>
        <v>0</v>
      </c>
      <c r="AV141" s="1003">
        <f>-'Output H2 L'!AS14</f>
        <v>0</v>
      </c>
      <c r="AW141" s="1003">
        <f>-'Output H2 L'!AT14</f>
        <v>0</v>
      </c>
      <c r="AX141" s="1003">
        <f>-'Output H2 L'!AU14</f>
        <v>0</v>
      </c>
      <c r="AY141" s="1003">
        <f>-'Output H2 L'!AV14</f>
        <v>0</v>
      </c>
      <c r="AZ141" s="1003">
        <f>-'Output H2 L'!AW14</f>
        <v>0</v>
      </c>
      <c r="BA141" s="1003">
        <f>-'Output H2 L'!AX14</f>
        <v>0</v>
      </c>
      <c r="BB141" s="1003">
        <f>-'Output H2 L'!AY14</f>
        <v>0</v>
      </c>
      <c r="BC141" s="1003">
        <f>-'Output H2 L'!AZ14</f>
        <v>0</v>
      </c>
      <c r="BD141" s="1003">
        <f>-'Output H2 L'!BA14</f>
        <v>0</v>
      </c>
      <c r="BE141" s="1003">
        <f>-'Output H2 L'!BB14</f>
        <v>0</v>
      </c>
    </row>
    <row r="142" spans="2:57" x14ac:dyDescent="0.25">
      <c r="B142" s="316"/>
      <c r="C142" s="3"/>
      <c r="D142" s="3"/>
      <c r="E142" s="1001" t="str">
        <f>'Output H2 L'!B15</f>
        <v>Capex adjustments H2 on platform</v>
      </c>
      <c r="F142" s="1002" t="str">
        <f>'Output H2 L'!C15</f>
        <v>[kEUR]</v>
      </c>
      <c r="G142" s="1003">
        <f>-'Output H2 L'!D15</f>
        <v>0</v>
      </c>
      <c r="H142" s="1003">
        <f>-'Output H2 L'!E15</f>
        <v>0</v>
      </c>
      <c r="I142" s="1003"/>
      <c r="J142" s="1003">
        <f>-'Output H2 L'!G15</f>
        <v>0</v>
      </c>
      <c r="K142" s="1003">
        <f>-'Output H2 L'!H15</f>
        <v>0</v>
      </c>
      <c r="L142" s="1003">
        <f>-'Output H2 L'!I15</f>
        <v>0</v>
      </c>
      <c r="M142" s="1003">
        <f>-'Output H2 L'!J15</f>
        <v>0</v>
      </c>
      <c r="N142" s="1003">
        <f>-'Output H2 L'!K15</f>
        <v>0</v>
      </c>
      <c r="O142" s="1003">
        <f>-'Output H2 L'!L15</f>
        <v>0</v>
      </c>
      <c r="P142" s="1003">
        <f>-'Output H2 L'!M15</f>
        <v>0</v>
      </c>
      <c r="Q142" s="1003">
        <f>-'Output H2 L'!N15</f>
        <v>0</v>
      </c>
      <c r="R142" s="1003">
        <f>-'Output H2 L'!O15</f>
        <v>0</v>
      </c>
      <c r="S142" s="1003">
        <f>-'Output H2 L'!P15</f>
        <v>0</v>
      </c>
      <c r="T142" s="1003">
        <f>-'Output H2 L'!Q15</f>
        <v>0</v>
      </c>
      <c r="U142" s="1003">
        <f>-'Output H2 L'!R15</f>
        <v>0</v>
      </c>
      <c r="V142" s="1003">
        <f>-'Output H2 L'!S15</f>
        <v>0</v>
      </c>
      <c r="W142" s="1003">
        <f>-'Output H2 L'!T15</f>
        <v>0</v>
      </c>
      <c r="X142" s="1003">
        <f>-'Output H2 L'!U15</f>
        <v>0</v>
      </c>
      <c r="Y142" s="1003">
        <f>-'Output H2 L'!V15</f>
        <v>0</v>
      </c>
      <c r="Z142" s="1003">
        <f>-'Output H2 L'!W15</f>
        <v>0</v>
      </c>
      <c r="AA142" s="1003">
        <f>-'Output H2 L'!X15</f>
        <v>0</v>
      </c>
      <c r="AB142" s="1003">
        <f>-'Output H2 L'!Y15</f>
        <v>0</v>
      </c>
      <c r="AC142" s="1003">
        <f>-'Output H2 L'!Z15</f>
        <v>0</v>
      </c>
      <c r="AD142" s="1003">
        <f>-'Output H2 L'!AA15</f>
        <v>0</v>
      </c>
      <c r="AE142" s="1003">
        <f>-'Output H2 L'!AB15</f>
        <v>0</v>
      </c>
      <c r="AF142" s="1003">
        <f>-'Output H2 L'!AC15</f>
        <v>0</v>
      </c>
      <c r="AG142" s="1003">
        <f>-'Output H2 L'!AD15</f>
        <v>0</v>
      </c>
      <c r="AH142" s="1003">
        <f>-'Output H2 L'!AE15</f>
        <v>0</v>
      </c>
      <c r="AI142" s="1003">
        <f>-'Output H2 L'!AF15</f>
        <v>0</v>
      </c>
      <c r="AJ142" s="1003">
        <f>-'Output H2 L'!AG15</f>
        <v>0</v>
      </c>
      <c r="AK142" s="1003">
        <f>-'Output H2 L'!AH15</f>
        <v>0</v>
      </c>
      <c r="AL142" s="1003">
        <f>-'Output H2 L'!AI15</f>
        <v>0</v>
      </c>
      <c r="AM142" s="1003">
        <f>-'Output H2 L'!AJ15</f>
        <v>0</v>
      </c>
      <c r="AN142" s="1003">
        <f>-'Output H2 L'!AK15</f>
        <v>0</v>
      </c>
      <c r="AO142" s="1003">
        <f>-'Output H2 L'!AL15</f>
        <v>0</v>
      </c>
      <c r="AP142" s="1003">
        <f>-'Output H2 L'!AM15</f>
        <v>0</v>
      </c>
      <c r="AQ142" s="1003">
        <f>-'Output H2 L'!AN15</f>
        <v>0</v>
      </c>
      <c r="AR142" s="1003">
        <f>-'Output H2 L'!AO15</f>
        <v>0</v>
      </c>
      <c r="AS142" s="1003">
        <f>-'Output H2 L'!AP15</f>
        <v>0</v>
      </c>
      <c r="AT142" s="1003">
        <f>-'Output H2 L'!AQ15</f>
        <v>0</v>
      </c>
      <c r="AU142" s="1003">
        <f>-'Output H2 L'!AR15</f>
        <v>0</v>
      </c>
      <c r="AV142" s="1003">
        <f>-'Output H2 L'!AS15</f>
        <v>0</v>
      </c>
      <c r="AW142" s="1003">
        <f>-'Output H2 L'!AT15</f>
        <v>0</v>
      </c>
      <c r="AX142" s="1003">
        <f>-'Output H2 L'!AU15</f>
        <v>0</v>
      </c>
      <c r="AY142" s="1003">
        <f>-'Output H2 L'!AV15</f>
        <v>0</v>
      </c>
      <c r="AZ142" s="1003">
        <f>-'Output H2 L'!AW15</f>
        <v>0</v>
      </c>
      <c r="BA142" s="1003">
        <f>-'Output H2 L'!AX15</f>
        <v>0</v>
      </c>
      <c r="BB142" s="1003">
        <f>-'Output H2 L'!AY15</f>
        <v>0</v>
      </c>
      <c r="BC142" s="1003">
        <f>-'Output H2 L'!AZ15</f>
        <v>0</v>
      </c>
      <c r="BD142" s="1003">
        <f>-'Output H2 L'!BA15</f>
        <v>0</v>
      </c>
      <c r="BE142" s="1003">
        <f>-'Output H2 L'!BB15</f>
        <v>0</v>
      </c>
    </row>
    <row r="143" spans="2:57" x14ac:dyDescent="0.25">
      <c r="B143" s="316"/>
      <c r="C143" s="3"/>
      <c r="D143" s="3"/>
      <c r="E143" s="1001" t="str">
        <f>'Output H2 L'!B18</f>
        <v>Decom cost H2 large phase</v>
      </c>
      <c r="F143" s="1002" t="str">
        <f>'Output H2 L'!C18</f>
        <v>[kEUR]</v>
      </c>
      <c r="G143" s="1003">
        <f>-'Output H2 L'!D18</f>
        <v>-78880.801220779249</v>
      </c>
      <c r="H143" s="1003">
        <f>-'Output H2 L'!E18</f>
        <v>-3735.9872737188948</v>
      </c>
      <c r="I143" s="1003">
        <f>-'Output H2 L'!F18</f>
        <v>0</v>
      </c>
      <c r="J143" s="1003">
        <f>-'Output H2 L'!G18</f>
        <v>0</v>
      </c>
      <c r="K143" s="1003">
        <f>-'Output H2 L'!H18</f>
        <v>0</v>
      </c>
      <c r="L143" s="1003">
        <f>-'Output H2 L'!I18</f>
        <v>0</v>
      </c>
      <c r="M143" s="1003">
        <f>-'Output H2 L'!J18</f>
        <v>0</v>
      </c>
      <c r="N143" s="1003">
        <f>-'Output H2 L'!K18</f>
        <v>0</v>
      </c>
      <c r="O143" s="1003">
        <f>-'Output H2 L'!L18</f>
        <v>0</v>
      </c>
      <c r="P143" s="1003">
        <f>-'Output H2 L'!M18</f>
        <v>0</v>
      </c>
      <c r="Q143" s="1003">
        <f>-'Output H2 L'!N18</f>
        <v>0</v>
      </c>
      <c r="R143" s="1003">
        <f>-'Output H2 L'!O18</f>
        <v>0</v>
      </c>
      <c r="S143" s="1003">
        <f>-'Output H2 L'!P18</f>
        <v>0</v>
      </c>
      <c r="T143" s="1003">
        <f>-'Output H2 L'!Q18</f>
        <v>0</v>
      </c>
      <c r="U143" s="1003">
        <f>-'Output H2 L'!R18</f>
        <v>0</v>
      </c>
      <c r="V143" s="1003">
        <f>-'Output H2 L'!S18</f>
        <v>0</v>
      </c>
      <c r="W143" s="1003">
        <f>-'Output H2 L'!T18</f>
        <v>0</v>
      </c>
      <c r="X143" s="1003">
        <f>-'Output H2 L'!U18</f>
        <v>0</v>
      </c>
      <c r="Y143" s="1003">
        <f>-'Output H2 L'!V18</f>
        <v>0</v>
      </c>
      <c r="Z143" s="1003">
        <f>-'Output H2 L'!W18</f>
        <v>0</v>
      </c>
      <c r="AA143" s="1003">
        <f>-'Output H2 L'!X18</f>
        <v>0</v>
      </c>
      <c r="AB143" s="1003">
        <f>-'Output H2 L'!Y18</f>
        <v>0</v>
      </c>
      <c r="AC143" s="1003">
        <f>-'Output H2 L'!Z18</f>
        <v>0</v>
      </c>
      <c r="AD143" s="1003">
        <f>-'Output H2 L'!AA18</f>
        <v>0</v>
      </c>
      <c r="AE143" s="1003">
        <f>-'Output H2 L'!AB18</f>
        <v>0</v>
      </c>
      <c r="AF143" s="1003">
        <f>-'Output H2 L'!AC18</f>
        <v>0</v>
      </c>
      <c r="AG143" s="1003">
        <f>-'Output H2 L'!AD18</f>
        <v>0</v>
      </c>
      <c r="AH143" s="1003">
        <f>-'Output H2 L'!AE18</f>
        <v>0</v>
      </c>
      <c r="AI143" s="1003">
        <f>-'Output H2 L'!AF18</f>
        <v>0</v>
      </c>
      <c r="AJ143" s="1003">
        <f>-'Output H2 L'!AG18</f>
        <v>0</v>
      </c>
      <c r="AK143" s="1003">
        <f>-'Output H2 L'!AH18</f>
        <v>0</v>
      </c>
      <c r="AL143" s="1003">
        <f>-'Output H2 L'!AI18</f>
        <v>0</v>
      </c>
      <c r="AM143" s="1003">
        <f>-'Output H2 L'!AJ18</f>
        <v>0</v>
      </c>
      <c r="AN143" s="1003">
        <f>-'Output H2 L'!AK18</f>
        <v>0</v>
      </c>
      <c r="AO143" s="1003">
        <f>-'Output H2 L'!AL18</f>
        <v>0</v>
      </c>
      <c r="AP143" s="1003">
        <f>-'Output H2 L'!AM18</f>
        <v>-78880.801220779249</v>
      </c>
      <c r="AQ143" s="1003">
        <f>-'Output H2 L'!AN18</f>
        <v>0</v>
      </c>
      <c r="AR143" s="1003">
        <f>-'Output H2 L'!AO18</f>
        <v>0</v>
      </c>
      <c r="AS143" s="1003">
        <f>-'Output H2 L'!AP18</f>
        <v>0</v>
      </c>
      <c r="AT143" s="1003">
        <f>-'Output H2 L'!AQ18</f>
        <v>0</v>
      </c>
      <c r="AU143" s="1003">
        <f>-'Output H2 L'!AR18</f>
        <v>0</v>
      </c>
      <c r="AV143" s="1003">
        <f>-'Output H2 L'!AS18</f>
        <v>0</v>
      </c>
      <c r="AW143" s="1003">
        <f>-'Output H2 L'!AT18</f>
        <v>0</v>
      </c>
      <c r="AX143" s="1003">
        <f>-'Output H2 L'!AU18</f>
        <v>0</v>
      </c>
      <c r="AY143" s="1003">
        <f>-'Output H2 L'!AV18</f>
        <v>0</v>
      </c>
      <c r="AZ143" s="1003">
        <f>-'Output H2 L'!AW18</f>
        <v>0</v>
      </c>
      <c r="BA143" s="1003">
        <f>-'Output H2 L'!AX18</f>
        <v>0</v>
      </c>
      <c r="BB143" s="1003">
        <f>-'Output H2 L'!AY18</f>
        <v>0</v>
      </c>
      <c r="BC143" s="1003">
        <f>-'Output H2 L'!AZ18</f>
        <v>0</v>
      </c>
      <c r="BD143" s="1003">
        <f>-'Output H2 L'!BA18</f>
        <v>0</v>
      </c>
      <c r="BE143" s="1003">
        <f>-'Output H2 L'!BB18</f>
        <v>0</v>
      </c>
    </row>
    <row r="144" spans="2:57" x14ac:dyDescent="0.25">
      <c r="B144" s="316"/>
      <c r="C144" s="3"/>
      <c r="D144" s="3"/>
      <c r="E144" s="1001" t="str">
        <f>'Output H2 L'!B17</f>
        <v>Total capex new platforms (LH2)</v>
      </c>
      <c r="F144" s="1002" t="str">
        <f>'Output H2 L'!C17</f>
        <v>[kEUR]</v>
      </c>
      <c r="G144" s="1003">
        <f>-'Output H2 L'!D17</f>
        <v>-101459.34356500361</v>
      </c>
      <c r="H144" s="1003">
        <f>-'Output H2 L'!E17</f>
        <v>-32328.073604473091</v>
      </c>
      <c r="I144" s="1003"/>
      <c r="J144" s="1003">
        <f>-'Output H2 L'!G17</f>
        <v>0</v>
      </c>
      <c r="K144" s="1003">
        <f>-'Output H2 L'!H17</f>
        <v>0</v>
      </c>
      <c r="L144" s="1003">
        <f>-'Output H2 L'!I17</f>
        <v>0</v>
      </c>
      <c r="M144" s="1003">
        <f>-'Output H2 L'!J17</f>
        <v>0</v>
      </c>
      <c r="N144" s="1003">
        <f>-'Output H2 L'!K17</f>
        <v>0</v>
      </c>
      <c r="O144" s="1003">
        <f>-'Output H2 L'!L17</f>
        <v>0</v>
      </c>
      <c r="P144" s="1003">
        <f>-'Output H2 L'!M17</f>
        <v>0</v>
      </c>
      <c r="Q144" s="1003">
        <f>-'Output H2 L'!N17</f>
        <v>0</v>
      </c>
      <c r="R144" s="1003">
        <f>-'Output H2 L'!O17</f>
        <v>0</v>
      </c>
      <c r="S144" s="1003">
        <f>-'Output H2 L'!P17</f>
        <v>0</v>
      </c>
      <c r="T144" s="1003">
        <f>-'Output H2 L'!Q17</f>
        <v>0</v>
      </c>
      <c r="U144" s="1003">
        <f>-'Output H2 L'!R17</f>
        <v>0</v>
      </c>
      <c r="V144" s="1003">
        <f>-'Output H2 L'!S17</f>
        <v>-101459.34356500361</v>
      </c>
      <c r="W144" s="1003">
        <f>-'Output H2 L'!T17</f>
        <v>0</v>
      </c>
      <c r="X144" s="1003">
        <f>-'Output H2 L'!U17</f>
        <v>0</v>
      </c>
      <c r="Y144" s="1003">
        <f>-'Output H2 L'!V17</f>
        <v>0</v>
      </c>
      <c r="Z144" s="1003">
        <f>-'Output H2 L'!W17</f>
        <v>0</v>
      </c>
      <c r="AA144" s="1003">
        <f>-'Output H2 L'!X17</f>
        <v>0</v>
      </c>
      <c r="AB144" s="1003">
        <f>-'Output H2 L'!Y17</f>
        <v>0</v>
      </c>
      <c r="AC144" s="1003">
        <f>-'Output H2 L'!Z17</f>
        <v>0</v>
      </c>
      <c r="AD144" s="1003">
        <f>-'Output H2 L'!AA17</f>
        <v>0</v>
      </c>
      <c r="AE144" s="1003">
        <f>-'Output H2 L'!AB17</f>
        <v>0</v>
      </c>
      <c r="AF144" s="1003">
        <f>-'Output H2 L'!AC17</f>
        <v>0</v>
      </c>
      <c r="AG144" s="1003">
        <f>-'Output H2 L'!AD17</f>
        <v>0</v>
      </c>
      <c r="AH144" s="1003">
        <f>-'Output H2 L'!AE17</f>
        <v>0</v>
      </c>
      <c r="AI144" s="1003">
        <f>-'Output H2 L'!AF17</f>
        <v>0</v>
      </c>
      <c r="AJ144" s="1003">
        <f>-'Output H2 L'!AG17</f>
        <v>0</v>
      </c>
      <c r="AK144" s="1003">
        <f>-'Output H2 L'!AH17</f>
        <v>0</v>
      </c>
      <c r="AL144" s="1003">
        <f>-'Output H2 L'!AI17</f>
        <v>0</v>
      </c>
      <c r="AM144" s="1003">
        <f>-'Output H2 L'!AJ17</f>
        <v>0</v>
      </c>
      <c r="AN144" s="1003">
        <f>-'Output H2 L'!AK17</f>
        <v>0</v>
      </c>
      <c r="AO144" s="1003">
        <f>-'Output H2 L'!AL17</f>
        <v>0</v>
      </c>
      <c r="AP144" s="1003">
        <f>-'Output H2 L'!AM17</f>
        <v>0</v>
      </c>
      <c r="AQ144" s="1003">
        <f>-'Output H2 L'!AN17</f>
        <v>0</v>
      </c>
      <c r="AR144" s="1003">
        <f>-'Output H2 L'!AO17</f>
        <v>0</v>
      </c>
      <c r="AS144" s="1003">
        <f>-'Output H2 L'!AP17</f>
        <v>0</v>
      </c>
      <c r="AT144" s="1003">
        <f>-'Output H2 L'!AQ17</f>
        <v>0</v>
      </c>
      <c r="AU144" s="1003">
        <f>-'Output H2 L'!AR17</f>
        <v>0</v>
      </c>
      <c r="AV144" s="1003">
        <f>-'Output H2 L'!AS17</f>
        <v>0</v>
      </c>
      <c r="AW144" s="1003">
        <f>-'Output H2 L'!AT17</f>
        <v>0</v>
      </c>
      <c r="AX144" s="1003">
        <f>-'Output H2 L'!AU17</f>
        <v>0</v>
      </c>
      <c r="AY144" s="1003">
        <f>-'Output H2 L'!AV17</f>
        <v>0</v>
      </c>
      <c r="AZ144" s="1003">
        <f>-'Output H2 L'!AW17</f>
        <v>0</v>
      </c>
      <c r="BA144" s="1003">
        <f>-'Output H2 L'!AX17</f>
        <v>0</v>
      </c>
      <c r="BB144" s="1003">
        <f>-'Output H2 L'!AY17</f>
        <v>0</v>
      </c>
      <c r="BC144" s="1003">
        <f>-'Output H2 L'!AZ17</f>
        <v>0</v>
      </c>
      <c r="BD144" s="1003">
        <f>-'Output H2 L'!BA17</f>
        <v>0</v>
      </c>
      <c r="BE144" s="1003">
        <f>-'Output H2 L'!BB17</f>
        <v>0</v>
      </c>
    </row>
    <row r="145" spans="2:57" x14ac:dyDescent="0.25">
      <c r="B145" s="316"/>
      <c r="C145" s="3"/>
      <c r="D145" s="3"/>
      <c r="E145" s="1001" t="str">
        <f>'Output H2 L'!B16</f>
        <v>Capex H2 pipeline crossings &amp; landing</v>
      </c>
      <c r="F145" s="1002" t="str">
        <f>'Output H2 L'!C16</f>
        <v>[kEUR]</v>
      </c>
      <c r="G145" s="1003">
        <f>-'Output H2 L'!D16</f>
        <v>0</v>
      </c>
      <c r="H145" s="1003">
        <f>-'Output H2 L'!E16</f>
        <v>0</v>
      </c>
      <c r="I145" s="1003"/>
      <c r="J145" s="1003">
        <f>-'Output H2 L'!G16</f>
        <v>0</v>
      </c>
      <c r="K145" s="1003">
        <f>-'Output H2 L'!H16</f>
        <v>0</v>
      </c>
      <c r="L145" s="1003">
        <f>-'Output H2 L'!I16</f>
        <v>0</v>
      </c>
      <c r="M145" s="1003">
        <f>-'Output H2 L'!J16</f>
        <v>0</v>
      </c>
      <c r="N145" s="1003">
        <f>-'Output H2 L'!K16</f>
        <v>0</v>
      </c>
      <c r="O145" s="1003">
        <f>-'Output H2 L'!L16</f>
        <v>0</v>
      </c>
      <c r="P145" s="1003">
        <f>-'Output H2 L'!M16</f>
        <v>0</v>
      </c>
      <c r="Q145" s="1003">
        <f>-'Output H2 L'!N16</f>
        <v>0</v>
      </c>
      <c r="R145" s="1003">
        <f>-'Output H2 L'!O16</f>
        <v>0</v>
      </c>
      <c r="S145" s="1003">
        <f>-'Output H2 L'!P16</f>
        <v>0</v>
      </c>
      <c r="T145" s="1003">
        <f>-'Output H2 L'!Q16</f>
        <v>0</v>
      </c>
      <c r="U145" s="1003">
        <f>-'Output H2 L'!R16</f>
        <v>0</v>
      </c>
      <c r="V145" s="1003">
        <f>-'Output H2 L'!S16</f>
        <v>0</v>
      </c>
      <c r="W145" s="1003">
        <f>-'Output H2 L'!T16</f>
        <v>0</v>
      </c>
      <c r="X145" s="1003">
        <f>-'Output H2 L'!U16</f>
        <v>0</v>
      </c>
      <c r="Y145" s="1003">
        <f>-'Output H2 L'!V16</f>
        <v>0</v>
      </c>
      <c r="Z145" s="1003">
        <f>-'Output H2 L'!W16</f>
        <v>0</v>
      </c>
      <c r="AA145" s="1003">
        <f>-'Output H2 L'!X16</f>
        <v>0</v>
      </c>
      <c r="AB145" s="1003">
        <f>-'Output H2 L'!Y16</f>
        <v>0</v>
      </c>
      <c r="AC145" s="1003">
        <f>-'Output H2 L'!Z16</f>
        <v>0</v>
      </c>
      <c r="AD145" s="1003">
        <f>-'Output H2 L'!AA16</f>
        <v>0</v>
      </c>
      <c r="AE145" s="1003">
        <f>-'Output H2 L'!AB16</f>
        <v>0</v>
      </c>
      <c r="AF145" s="1003">
        <f>-'Output H2 L'!AC16</f>
        <v>0</v>
      </c>
      <c r="AG145" s="1003">
        <f>-'Output H2 L'!AD16</f>
        <v>0</v>
      </c>
      <c r="AH145" s="1003">
        <f>-'Output H2 L'!AE16</f>
        <v>0</v>
      </c>
      <c r="AI145" s="1003">
        <f>-'Output H2 L'!AF16</f>
        <v>0</v>
      </c>
      <c r="AJ145" s="1003">
        <f>-'Output H2 L'!AG16</f>
        <v>0</v>
      </c>
      <c r="AK145" s="1003">
        <f>-'Output H2 L'!AH16</f>
        <v>0</v>
      </c>
      <c r="AL145" s="1003">
        <f>-'Output H2 L'!AI16</f>
        <v>0</v>
      </c>
      <c r="AM145" s="1003">
        <f>-'Output H2 L'!AJ16</f>
        <v>0</v>
      </c>
      <c r="AN145" s="1003">
        <f>-'Output H2 L'!AK16</f>
        <v>0</v>
      </c>
      <c r="AO145" s="1003">
        <f>-'Output H2 L'!AL16</f>
        <v>0</v>
      </c>
      <c r="AP145" s="1003">
        <f>-'Output H2 L'!AM16</f>
        <v>0</v>
      </c>
      <c r="AQ145" s="1003">
        <f>-'Output H2 L'!AN16</f>
        <v>0</v>
      </c>
      <c r="AR145" s="1003">
        <f>-'Output H2 L'!AO16</f>
        <v>0</v>
      </c>
      <c r="AS145" s="1003">
        <f>-'Output H2 L'!AP16</f>
        <v>0</v>
      </c>
      <c r="AT145" s="1003">
        <f>-'Output H2 L'!AQ16</f>
        <v>0</v>
      </c>
      <c r="AU145" s="1003">
        <f>-'Output H2 L'!AR16</f>
        <v>0</v>
      </c>
      <c r="AV145" s="1003">
        <f>-'Output H2 L'!AS16</f>
        <v>0</v>
      </c>
      <c r="AW145" s="1003">
        <f>-'Output H2 L'!AT16</f>
        <v>0</v>
      </c>
      <c r="AX145" s="1003">
        <f>-'Output H2 L'!AU16</f>
        <v>0</v>
      </c>
      <c r="AY145" s="1003">
        <f>-'Output H2 L'!AV16</f>
        <v>0</v>
      </c>
      <c r="AZ145" s="1003">
        <f>-'Output H2 L'!AW16</f>
        <v>0</v>
      </c>
      <c r="BA145" s="1003">
        <f>-'Output H2 L'!AX16</f>
        <v>0</v>
      </c>
      <c r="BB145" s="1003">
        <f>-'Output H2 L'!AY16</f>
        <v>0</v>
      </c>
      <c r="BC145" s="1003">
        <f>-'Output H2 L'!AZ16</f>
        <v>0</v>
      </c>
      <c r="BD145" s="1003">
        <f>-'Output H2 L'!BA16</f>
        <v>0</v>
      </c>
      <c r="BE145" s="1003">
        <f>-'Output H2 L'!BB16</f>
        <v>0</v>
      </c>
    </row>
    <row r="146" spans="2:57" x14ac:dyDescent="0.25">
      <c r="B146" s="316"/>
      <c r="C146" s="3"/>
      <c r="D146" s="3"/>
      <c r="E146" s="1004"/>
      <c r="F146" s="1004"/>
      <c r="G146" s="1005"/>
      <c r="H146" s="1005"/>
      <c r="I146" s="1004"/>
      <c r="J146" s="1005"/>
      <c r="K146" s="1005"/>
      <c r="L146" s="1005"/>
      <c r="M146" s="1005"/>
      <c r="N146" s="1005"/>
      <c r="O146" s="1005"/>
      <c r="P146" s="1005"/>
      <c r="Q146" s="1005"/>
      <c r="R146" s="1005"/>
      <c r="S146" s="1005"/>
      <c r="T146" s="1005"/>
      <c r="U146" s="1005"/>
      <c r="V146" s="1005"/>
      <c r="W146" s="1005"/>
      <c r="X146" s="1005"/>
      <c r="Y146" s="1005"/>
      <c r="Z146" s="1005"/>
      <c r="AA146" s="1005"/>
      <c r="AB146" s="1005"/>
      <c r="AC146" s="1005"/>
      <c r="AD146" s="1005"/>
      <c r="AE146" s="1005"/>
      <c r="AF146" s="1005"/>
      <c r="AG146" s="1005"/>
      <c r="AH146" s="1005"/>
      <c r="AI146" s="1005"/>
      <c r="AJ146" s="1005"/>
      <c r="AK146" s="1005"/>
      <c r="AL146" s="1005"/>
      <c r="AM146" s="1005"/>
      <c r="AN146" s="1005"/>
      <c r="AO146" s="1005"/>
      <c r="AP146" s="1005"/>
      <c r="AQ146" s="1005"/>
      <c r="AR146" s="1005"/>
      <c r="AS146" s="1005"/>
      <c r="AT146" s="1005"/>
      <c r="AU146" s="1005"/>
      <c r="AV146" s="1005"/>
      <c r="AW146" s="1005"/>
      <c r="AX146" s="1005"/>
      <c r="AY146" s="1005"/>
      <c r="AZ146" s="1005"/>
      <c r="BA146" s="1005"/>
      <c r="BB146" s="1005"/>
      <c r="BC146" s="1005"/>
      <c r="BD146" s="1005"/>
      <c r="BE146" s="1005"/>
    </row>
    <row r="147" spans="2:57" x14ac:dyDescent="0.25">
      <c r="B147" s="316"/>
      <c r="C147" s="3"/>
      <c r="D147" s="3"/>
      <c r="E147" s="170" t="str">
        <f>'Output H2 L'!B20</f>
        <v>Exploitation (OPEX)</v>
      </c>
      <c r="F147" s="170" t="str">
        <f>'Output H2 L'!C20</f>
        <v>[kEUR]</v>
      </c>
      <c r="G147" s="997">
        <f>-'Output H2 L'!D20</f>
        <v>-709447.97461106465</v>
      </c>
      <c r="H147" s="997">
        <f>-'Output H2 L'!E20</f>
        <v>-94219.268753351309</v>
      </c>
      <c r="I147" s="997"/>
      <c r="J147" s="997">
        <f>-'Output H2 L'!G20</f>
        <v>0</v>
      </c>
      <c r="K147" s="997">
        <f>-'Output H2 L'!H20</f>
        <v>0</v>
      </c>
      <c r="L147" s="997">
        <f>-'Output H2 L'!I20</f>
        <v>0</v>
      </c>
      <c r="M147" s="997">
        <f>-'Output H2 L'!J20</f>
        <v>0</v>
      </c>
      <c r="N147" s="997">
        <f>-'Output H2 L'!K20</f>
        <v>0</v>
      </c>
      <c r="O147" s="997">
        <f>-'Output H2 L'!L20</f>
        <v>0</v>
      </c>
      <c r="P147" s="997">
        <f>-'Output H2 L'!M20</f>
        <v>0</v>
      </c>
      <c r="Q147" s="997">
        <f>-'Output H2 L'!N20</f>
        <v>0</v>
      </c>
      <c r="R147" s="997">
        <f>-'Output H2 L'!O20</f>
        <v>0</v>
      </c>
      <c r="S147" s="997">
        <f>-'Output H2 L'!P20</f>
        <v>0</v>
      </c>
      <c r="T147" s="997">
        <f>-'Output H2 L'!Q20</f>
        <v>0</v>
      </c>
      <c r="U147" s="997">
        <f>-'Output H2 L'!R20</f>
        <v>0</v>
      </c>
      <c r="V147" s="997">
        <f>-'Output H2 L'!S20</f>
        <v>0</v>
      </c>
      <c r="W147" s="997">
        <f>-'Output H2 L'!T20</f>
        <v>-31023.224309678029</v>
      </c>
      <c r="X147" s="997">
        <f>-'Output H2 L'!U20</f>
        <v>-31649.23921768595</v>
      </c>
      <c r="Y147" s="997">
        <f>-'Output H2 L'!V20</f>
        <v>-32287.885432290299</v>
      </c>
      <c r="Z147" s="997">
        <f>-'Output H2 L'!W20</f>
        <v>-32939.417799791772</v>
      </c>
      <c r="AA147" s="997">
        <f>-'Output H2 L'!X20</f>
        <v>-33604.096307820379</v>
      </c>
      <c r="AB147" s="997">
        <f>-'Output H2 L'!Y20</f>
        <v>-34282.186189050204</v>
      </c>
      <c r="AC147" s="997">
        <f>-'Output H2 L'!Z20</f>
        <v>-34973.958027006098</v>
      </c>
      <c r="AD147" s="997">
        <f>-'Output H2 L'!AA20</f>
        <v>-35679.68786400462</v>
      </c>
      <c r="AE147" s="997">
        <f>-'Output H2 L'!AB20</f>
        <v>-36399.657311272269</v>
      </c>
      <c r="AF147" s="997">
        <f>-'Output H2 L'!AC20</f>
        <v>-37134.153661285025</v>
      </c>
      <c r="AG147" s="997">
        <f>-'Output H2 L'!AD20</f>
        <v>-37876.836734510711</v>
      </c>
      <c r="AH147" s="997">
        <f>-'Output H2 L'!AE20</f>
        <v>-38634.373469200924</v>
      </c>
      <c r="AI147" s="997">
        <f>-'Output H2 L'!AF20</f>
        <v>-39407.060938584946</v>
      </c>
      <c r="AJ147" s="997">
        <f>-'Output H2 L'!AG20</f>
        <v>-40195.202157356645</v>
      </c>
      <c r="AK147" s="997">
        <f>-'Output H2 L'!AH20</f>
        <v>-40999.106200503775</v>
      </c>
      <c r="AL147" s="997">
        <f>-'Output H2 L'!AI20</f>
        <v>-41819.088324513854</v>
      </c>
      <c r="AM147" s="997">
        <f>-'Output H2 L'!AJ20</f>
        <v>-42655.470091004128</v>
      </c>
      <c r="AN147" s="997">
        <f>-'Output H2 L'!AK20</f>
        <v>-43508.57949282421</v>
      </c>
      <c r="AO147" s="997">
        <f>-'Output H2 L'!AL20</f>
        <v>-44378.75108268069</v>
      </c>
      <c r="AP147" s="997">
        <f>-'Output H2 L'!AM20</f>
        <v>0</v>
      </c>
      <c r="AQ147" s="997">
        <f>-'Output H2 L'!AN20</f>
        <v>0</v>
      </c>
      <c r="AR147" s="997">
        <f>-'Output H2 L'!AO20</f>
        <v>0</v>
      </c>
      <c r="AS147" s="997">
        <f>-'Output H2 L'!AP20</f>
        <v>0</v>
      </c>
      <c r="AT147" s="997">
        <f>-'Output H2 L'!AQ20</f>
        <v>0</v>
      </c>
      <c r="AU147" s="997">
        <f>-'Output H2 L'!AR20</f>
        <v>0</v>
      </c>
      <c r="AV147" s="997">
        <f>-'Output H2 L'!AS20</f>
        <v>0</v>
      </c>
      <c r="AW147" s="997">
        <f>-'Output H2 L'!AT20</f>
        <v>0</v>
      </c>
      <c r="AX147" s="997">
        <f>-'Output H2 L'!AU20</f>
        <v>0</v>
      </c>
      <c r="AY147" s="997">
        <f>-'Output H2 L'!AV20</f>
        <v>0</v>
      </c>
      <c r="AZ147" s="997">
        <f>-'Output H2 L'!AW20</f>
        <v>0</v>
      </c>
      <c r="BA147" s="997">
        <f>-'Output H2 L'!AX20</f>
        <v>0</v>
      </c>
      <c r="BB147" s="997">
        <f>-'Output H2 L'!AY20</f>
        <v>0</v>
      </c>
      <c r="BC147" s="997">
        <f>-'Output H2 L'!AZ20</f>
        <v>0</v>
      </c>
      <c r="BD147" s="997">
        <f>-'Output H2 L'!BA20</f>
        <v>0</v>
      </c>
      <c r="BE147" s="997">
        <f>-'Output H2 L'!BB20</f>
        <v>0</v>
      </c>
    </row>
    <row r="148" spans="2:57" x14ac:dyDescent="0.25">
      <c r="B148" s="316"/>
      <c r="C148" s="3"/>
      <c r="D148" s="3"/>
      <c r="E148" s="998" t="str">
        <f>'Output H2 L'!B21</f>
        <v>Energy requirement desalination unit</v>
      </c>
      <c r="F148" s="999" t="str">
        <f>'Output H2 L'!C21</f>
        <v>[kEUR]</v>
      </c>
      <c r="G148" s="1006">
        <f>-'Output H2 L'!D21</f>
        <v>-1715.2212804211908</v>
      </c>
      <c r="H148" s="1006">
        <f>-'Output H2 L'!E21</f>
        <v>-223.12800769670153</v>
      </c>
      <c r="I148" s="1006"/>
      <c r="J148" s="1006">
        <f>-'Output H2 L'!G21</f>
        <v>0</v>
      </c>
      <c r="K148" s="1006">
        <f>-'Output H2 L'!H21</f>
        <v>0</v>
      </c>
      <c r="L148" s="1006">
        <f>-'Output H2 L'!I21</f>
        <v>0</v>
      </c>
      <c r="M148" s="1006">
        <f>-'Output H2 L'!J21</f>
        <v>0</v>
      </c>
      <c r="N148" s="1006">
        <f>-'Output H2 L'!K21</f>
        <v>0</v>
      </c>
      <c r="O148" s="1006">
        <f>-'Output H2 L'!L21</f>
        <v>0</v>
      </c>
      <c r="P148" s="1006">
        <f>-'Output H2 L'!M21</f>
        <v>0</v>
      </c>
      <c r="Q148" s="1006">
        <f>-'Output H2 L'!N21</f>
        <v>0</v>
      </c>
      <c r="R148" s="1006">
        <f>-'Output H2 L'!O21</f>
        <v>0</v>
      </c>
      <c r="S148" s="1006">
        <f>-'Output H2 L'!P21</f>
        <v>0</v>
      </c>
      <c r="T148" s="1006">
        <f>-'Output H2 L'!Q21</f>
        <v>0</v>
      </c>
      <c r="U148" s="1006">
        <f>-'Output H2 L'!R21</f>
        <v>0</v>
      </c>
      <c r="V148" s="1006">
        <f>-'Output H2 L'!S21</f>
        <v>0</v>
      </c>
      <c r="W148" s="1006">
        <f>-'Output H2 L'!T21</f>
        <v>-67.821089195561683</v>
      </c>
      <c r="X148" s="1006">
        <f>-'Output H2 L'!U21</f>
        <v>-70.249587187163215</v>
      </c>
      <c r="Y148" s="1006">
        <f>-'Output H2 L'!V21</f>
        <v>-72.748096662750569</v>
      </c>
      <c r="Z148" s="1006">
        <f>-'Output H2 L'!W21</f>
        <v>-75.318446682486567</v>
      </c>
      <c r="AA148" s="1006">
        <f>-'Output H2 L'!X21</f>
        <v>-77.962511464346903</v>
      </c>
      <c r="AB148" s="1006">
        <f>-'Output H2 L'!Y21</f>
        <v>-80.682211458808638</v>
      </c>
      <c r="AC148" s="1006">
        <f>-'Output H2 L'!Z21</f>
        <v>-83.479514448463135</v>
      </c>
      <c r="AD148" s="1006">
        <f>-'Output H2 L'!AA21</f>
        <v>-86.356436673120271</v>
      </c>
      <c r="AE148" s="1006">
        <f>-'Output H2 L'!AB21</f>
        <v>-89.315043980984314</v>
      </c>
      <c r="AF148" s="1006">
        <f>-'Output H2 L'!AC21</f>
        <v>-92.357453006493657</v>
      </c>
      <c r="AG148" s="1006">
        <f>-'Output H2 L'!AD21</f>
        <v>-94.204602066623508</v>
      </c>
      <c r="AH148" s="1006">
        <f>-'Output H2 L'!AE21</f>
        <v>-96.088694107955973</v>
      </c>
      <c r="AI148" s="1006">
        <f>-'Output H2 L'!AF21</f>
        <v>-98.010467990115089</v>
      </c>
      <c r="AJ148" s="1006">
        <f>-'Output H2 L'!AG21</f>
        <v>-99.970677349917409</v>
      </c>
      <c r="AK148" s="1006">
        <f>-'Output H2 L'!AH21</f>
        <v>-101.97009089691575</v>
      </c>
      <c r="AL148" s="1006">
        <f>-'Output H2 L'!AI21</f>
        <v>-104.00949271485408</v>
      </c>
      <c r="AM148" s="1006">
        <f>-'Output H2 L'!AJ21</f>
        <v>-106.08968256915115</v>
      </c>
      <c r="AN148" s="1006">
        <f>-'Output H2 L'!AK21</f>
        <v>-108.21147622053418</v>
      </c>
      <c r="AO148" s="1006">
        <f>-'Output H2 L'!AL21</f>
        <v>-110.37570574494484</v>
      </c>
      <c r="AP148" s="1006">
        <f>-'Output H2 L'!AM21</f>
        <v>0</v>
      </c>
      <c r="AQ148" s="1006">
        <f>-'Output H2 L'!AN21</f>
        <v>0</v>
      </c>
      <c r="AR148" s="1006">
        <f>-'Output H2 L'!AO21</f>
        <v>0</v>
      </c>
      <c r="AS148" s="1006">
        <f>-'Output H2 L'!AP21</f>
        <v>0</v>
      </c>
      <c r="AT148" s="1006">
        <f>-'Output H2 L'!AQ21</f>
        <v>0</v>
      </c>
      <c r="AU148" s="1006">
        <f>-'Output H2 L'!AR21</f>
        <v>0</v>
      </c>
      <c r="AV148" s="1006">
        <f>-'Output H2 L'!AS21</f>
        <v>0</v>
      </c>
      <c r="AW148" s="1006">
        <f>-'Output H2 L'!AT21</f>
        <v>0</v>
      </c>
      <c r="AX148" s="1006">
        <f>-'Output H2 L'!AU21</f>
        <v>0</v>
      </c>
      <c r="AY148" s="1006">
        <f>-'Output H2 L'!AV21</f>
        <v>0</v>
      </c>
      <c r="AZ148" s="1006">
        <f>-'Output H2 L'!AW21</f>
        <v>0</v>
      </c>
      <c r="BA148" s="1006">
        <f>-'Output H2 L'!AX21</f>
        <v>0</v>
      </c>
      <c r="BB148" s="1006">
        <f>-'Output H2 L'!AY21</f>
        <v>0</v>
      </c>
      <c r="BC148" s="1006">
        <f>-'Output H2 L'!AZ21</f>
        <v>0</v>
      </c>
      <c r="BD148" s="1006">
        <f>-'Output H2 L'!BA21</f>
        <v>0</v>
      </c>
      <c r="BE148" s="1006">
        <f>-'Output H2 L'!BB21</f>
        <v>0</v>
      </c>
    </row>
    <row r="149" spans="2:57" x14ac:dyDescent="0.25">
      <c r="B149" s="316"/>
      <c r="C149" s="3"/>
      <c r="D149" s="3"/>
      <c r="E149" s="1001" t="str">
        <f>'Output H2 L'!B22</f>
        <v>Electricity costs electrolysis</v>
      </c>
      <c r="F149" s="1002" t="str">
        <f>'Output H2 L'!C22</f>
        <v>[kEUR]</v>
      </c>
      <c r="G149" s="1007">
        <f>-'Output H2 L'!D22</f>
        <v>-358514.19510834542</v>
      </c>
      <c r="H149" s="1007">
        <f>-'Output H2 L'!E22</f>
        <v>-47625.356667328502</v>
      </c>
      <c r="I149" s="1007"/>
      <c r="J149" s="1007">
        <f>-'Output H2 L'!G22</f>
        <v>0</v>
      </c>
      <c r="K149" s="1007">
        <f>-'Output H2 L'!H22</f>
        <v>0</v>
      </c>
      <c r="L149" s="1007">
        <f>-'Output H2 L'!I22</f>
        <v>0</v>
      </c>
      <c r="M149" s="1007">
        <f>-'Output H2 L'!J22</f>
        <v>0</v>
      </c>
      <c r="N149" s="1007">
        <f>-'Output H2 L'!K22</f>
        <v>0</v>
      </c>
      <c r="O149" s="1007">
        <f>-'Output H2 L'!L22</f>
        <v>0</v>
      </c>
      <c r="P149" s="1007">
        <f>-'Output H2 L'!M22</f>
        <v>0</v>
      </c>
      <c r="Q149" s="1007">
        <f>-'Output H2 L'!N22</f>
        <v>0</v>
      </c>
      <c r="R149" s="1007">
        <f>-'Output H2 L'!O22</f>
        <v>0</v>
      </c>
      <c r="S149" s="1007">
        <f>-'Output H2 L'!P22</f>
        <v>0</v>
      </c>
      <c r="T149" s="1007">
        <f>-'Output H2 L'!Q22</f>
        <v>0</v>
      </c>
      <c r="U149" s="1007">
        <f>-'Output H2 L'!R22</f>
        <v>0</v>
      </c>
      <c r="V149" s="1007">
        <f>-'Output H2 L'!S22</f>
        <v>0</v>
      </c>
      <c r="W149" s="1007">
        <f>-'Output H2 L'!T22</f>
        <v>-15696.384706375749</v>
      </c>
      <c r="X149" s="1007">
        <f>-'Output H2 L'!U22</f>
        <v>-16010.312400503266</v>
      </c>
      <c r="Y149" s="1007">
        <f>-'Output H2 L'!V22</f>
        <v>-16330.518648513329</v>
      </c>
      <c r="Z149" s="1007">
        <f>-'Output H2 L'!W22</f>
        <v>-16657.129021483597</v>
      </c>
      <c r="AA149" s="1007">
        <f>-'Output H2 L'!X22</f>
        <v>-16990.271601913271</v>
      </c>
      <c r="AB149" s="1007">
        <f>-'Output H2 L'!Y22</f>
        <v>-17330.077033951533</v>
      </c>
      <c r="AC149" s="1007">
        <f>-'Output H2 L'!Z22</f>
        <v>-17676.678574630561</v>
      </c>
      <c r="AD149" s="1007">
        <f>-'Output H2 L'!AA22</f>
        <v>-18030.21214612318</v>
      </c>
      <c r="AE149" s="1007">
        <f>-'Output H2 L'!AB22</f>
        <v>-18390.816389045642</v>
      </c>
      <c r="AF149" s="1007">
        <f>-'Output H2 L'!AC22</f>
        <v>-18758.632716826556</v>
      </c>
      <c r="AG149" s="1007">
        <f>-'Output H2 L'!AD22</f>
        <v>-19133.805371163082</v>
      </c>
      <c r="AH149" s="1007">
        <f>-'Output H2 L'!AE22</f>
        <v>-19516.481478586342</v>
      </c>
      <c r="AI149" s="1007">
        <f>-'Output H2 L'!AF22</f>
        <v>-19906.811108158072</v>
      </c>
      <c r="AJ149" s="1007">
        <f>-'Output H2 L'!AG22</f>
        <v>-20304.947330321233</v>
      </c>
      <c r="AK149" s="1007">
        <f>-'Output H2 L'!AH22</f>
        <v>-20711.046276927653</v>
      </c>
      <c r="AL149" s="1007">
        <f>-'Output H2 L'!AI22</f>
        <v>-21125.267202466213</v>
      </c>
      <c r="AM149" s="1007">
        <f>-'Output H2 L'!AJ22</f>
        <v>-21547.772546515531</v>
      </c>
      <c r="AN149" s="1007">
        <f>-'Output H2 L'!AK22</f>
        <v>-21978.727997445843</v>
      </c>
      <c r="AO149" s="1007">
        <f>-'Output H2 L'!AL22</f>
        <v>-22418.302557394756</v>
      </c>
      <c r="AP149" s="1007">
        <f>-'Output H2 L'!AM22</f>
        <v>0</v>
      </c>
      <c r="AQ149" s="1007">
        <f>-'Output H2 L'!AN22</f>
        <v>0</v>
      </c>
      <c r="AR149" s="1007">
        <f>-'Output H2 L'!AO22</f>
        <v>0</v>
      </c>
      <c r="AS149" s="1007">
        <f>-'Output H2 L'!AP22</f>
        <v>0</v>
      </c>
      <c r="AT149" s="1007">
        <f>-'Output H2 L'!AQ22</f>
        <v>0</v>
      </c>
      <c r="AU149" s="1007">
        <f>-'Output H2 L'!AR22</f>
        <v>0</v>
      </c>
      <c r="AV149" s="1007">
        <f>-'Output H2 L'!AS22</f>
        <v>0</v>
      </c>
      <c r="AW149" s="1007">
        <f>-'Output H2 L'!AT22</f>
        <v>0</v>
      </c>
      <c r="AX149" s="1007">
        <f>-'Output H2 L'!AU22</f>
        <v>0</v>
      </c>
      <c r="AY149" s="1007">
        <f>-'Output H2 L'!AV22</f>
        <v>0</v>
      </c>
      <c r="AZ149" s="1007">
        <f>-'Output H2 L'!AW22</f>
        <v>0</v>
      </c>
      <c r="BA149" s="1007">
        <f>-'Output H2 L'!AX22</f>
        <v>0</v>
      </c>
      <c r="BB149" s="1007">
        <f>-'Output H2 L'!AY22</f>
        <v>0</v>
      </c>
      <c r="BC149" s="1007">
        <f>-'Output H2 L'!AZ22</f>
        <v>0</v>
      </c>
      <c r="BD149" s="1007">
        <f>-'Output H2 L'!BA22</f>
        <v>0</v>
      </c>
      <c r="BE149" s="1007">
        <f>-'Output H2 L'!BB22</f>
        <v>0</v>
      </c>
    </row>
    <row r="150" spans="2:57" x14ac:dyDescent="0.25">
      <c r="B150" s="316"/>
      <c r="C150" s="3"/>
      <c r="D150" s="3"/>
      <c r="E150" s="1001" t="str">
        <f>'Output H2 L'!B23</f>
        <v>Electricity demand H2 compressor</v>
      </c>
      <c r="F150" s="1002" t="str">
        <f>'Output H2 L'!C23</f>
        <v>[kEUR]</v>
      </c>
      <c r="G150" s="1007">
        <f>-'Output H2 L'!D23</f>
        <v>-7164.9325211514024</v>
      </c>
      <c r="H150" s="1007">
        <f>-'Output H2 L'!E23</f>
        <v>-932.06464785303956</v>
      </c>
      <c r="I150" s="1007"/>
      <c r="J150" s="1007">
        <f>-'Output H2 L'!G23</f>
        <v>0</v>
      </c>
      <c r="K150" s="1007">
        <f>-'Output H2 L'!H23</f>
        <v>0</v>
      </c>
      <c r="L150" s="1007">
        <f>-'Output H2 L'!I23</f>
        <v>0</v>
      </c>
      <c r="M150" s="1007">
        <f>-'Output H2 L'!J23</f>
        <v>0</v>
      </c>
      <c r="N150" s="1007">
        <f>-'Output H2 L'!K23</f>
        <v>0</v>
      </c>
      <c r="O150" s="1007">
        <f>-'Output H2 L'!L23</f>
        <v>0</v>
      </c>
      <c r="P150" s="1007">
        <f>-'Output H2 L'!M23</f>
        <v>0</v>
      </c>
      <c r="Q150" s="1007">
        <f>-'Output H2 L'!N23</f>
        <v>0</v>
      </c>
      <c r="R150" s="1007">
        <f>-'Output H2 L'!O23</f>
        <v>0</v>
      </c>
      <c r="S150" s="1007">
        <f>-'Output H2 L'!P23</f>
        <v>0</v>
      </c>
      <c r="T150" s="1007">
        <f>-'Output H2 L'!Q23</f>
        <v>0</v>
      </c>
      <c r="U150" s="1007">
        <f>-'Output H2 L'!R23</f>
        <v>0</v>
      </c>
      <c r="V150" s="1007">
        <f>-'Output H2 L'!S23</f>
        <v>0</v>
      </c>
      <c r="W150" s="1007">
        <f>-'Output H2 L'!T23</f>
        <v>-283.30661072364012</v>
      </c>
      <c r="X150" s="1007">
        <f>-'Output H2 L'!U23</f>
        <v>-293.45108854477814</v>
      </c>
      <c r="Y150" s="1007">
        <f>-'Output H2 L'!V23</f>
        <v>-303.88802283447205</v>
      </c>
      <c r="Z150" s="1007">
        <f>-'Output H2 L'!W23</f>
        <v>-314.62505406033603</v>
      </c>
      <c r="AA150" s="1007">
        <f>-'Output H2 L'!X23</f>
        <v>-325.67001132610068</v>
      </c>
      <c r="AB150" s="1007">
        <f>-'Output H2 L'!Y23</f>
        <v>-337.03091686087174</v>
      </c>
      <c r="AC150" s="1007">
        <f>-'Output H2 L'!Z23</f>
        <v>-348.71599061250322</v>
      </c>
      <c r="AD150" s="1007">
        <f>-'Output H2 L'!AA23</f>
        <v>-360.7336549474557</v>
      </c>
      <c r="AE150" s="1007">
        <f>-'Output H2 L'!AB23</f>
        <v>-373.09253945956118</v>
      </c>
      <c r="AF150" s="1007">
        <f>-'Output H2 L'!AC23</f>
        <v>-385.80148589017188</v>
      </c>
      <c r="AG150" s="1007">
        <f>-'Output H2 L'!AD23</f>
        <v>-393.51751560797527</v>
      </c>
      <c r="AH150" s="1007">
        <f>-'Output H2 L'!AE23</f>
        <v>-401.38786592013474</v>
      </c>
      <c r="AI150" s="1007">
        <f>-'Output H2 L'!AF23</f>
        <v>-409.41562323853748</v>
      </c>
      <c r="AJ150" s="1007">
        <f>-'Output H2 L'!AG23</f>
        <v>-417.60393570330825</v>
      </c>
      <c r="AK150" s="1007">
        <f>-'Output H2 L'!AH23</f>
        <v>-425.95601441737438</v>
      </c>
      <c r="AL150" s="1007">
        <f>-'Output H2 L'!AI23</f>
        <v>-434.47513470572193</v>
      </c>
      <c r="AM150" s="1007">
        <f>-'Output H2 L'!AJ23</f>
        <v>-443.16463739983635</v>
      </c>
      <c r="AN150" s="1007">
        <f>-'Output H2 L'!AK23</f>
        <v>-452.02793014783305</v>
      </c>
      <c r="AO150" s="1007">
        <f>-'Output H2 L'!AL23</f>
        <v>-461.06848875078958</v>
      </c>
      <c r="AP150" s="1007">
        <f>-'Output H2 L'!AM23</f>
        <v>0</v>
      </c>
      <c r="AQ150" s="1007">
        <f>-'Output H2 L'!AN23</f>
        <v>0</v>
      </c>
      <c r="AR150" s="1007">
        <f>-'Output H2 L'!AO23</f>
        <v>0</v>
      </c>
      <c r="AS150" s="1007">
        <f>-'Output H2 L'!AP23</f>
        <v>0</v>
      </c>
      <c r="AT150" s="1007">
        <f>-'Output H2 L'!AQ23</f>
        <v>0</v>
      </c>
      <c r="AU150" s="1007">
        <f>-'Output H2 L'!AR23</f>
        <v>0</v>
      </c>
      <c r="AV150" s="1007">
        <f>-'Output H2 L'!AS23</f>
        <v>0</v>
      </c>
      <c r="AW150" s="1007">
        <f>-'Output H2 L'!AT23</f>
        <v>0</v>
      </c>
      <c r="AX150" s="1007">
        <f>-'Output H2 L'!AU23</f>
        <v>0</v>
      </c>
      <c r="AY150" s="1007">
        <f>-'Output H2 L'!AV23</f>
        <v>0</v>
      </c>
      <c r="AZ150" s="1007">
        <f>-'Output H2 L'!AW23</f>
        <v>0</v>
      </c>
      <c r="BA150" s="1007">
        <f>-'Output H2 L'!AX23</f>
        <v>0</v>
      </c>
      <c r="BB150" s="1007">
        <f>-'Output H2 L'!AY23</f>
        <v>0</v>
      </c>
      <c r="BC150" s="1007">
        <f>-'Output H2 L'!AZ23</f>
        <v>0</v>
      </c>
      <c r="BD150" s="1007">
        <f>-'Output H2 L'!BA23</f>
        <v>0</v>
      </c>
      <c r="BE150" s="1007">
        <f>-'Output H2 L'!BB23</f>
        <v>0</v>
      </c>
    </row>
    <row r="151" spans="2:57" x14ac:dyDescent="0.25">
      <c r="B151" s="316"/>
      <c r="C151" s="3"/>
      <c r="D151" s="3"/>
      <c r="E151" s="1001" t="str">
        <f>'Output H2 L'!B24</f>
        <v>OPEX desalination unit</v>
      </c>
      <c r="F151" s="1002" t="str">
        <f>'Output H2 L'!C24</f>
        <v>[kEUR]</v>
      </c>
      <c r="G151" s="1007">
        <f>-'Output H2 L'!D24</f>
        <v>-622.25346161464165</v>
      </c>
      <c r="H151" s="1007">
        <f>-'Output H2 L'!E24</f>
        <v>-82.660724320612204</v>
      </c>
      <c r="I151" s="1007"/>
      <c r="J151" s="1007">
        <f>-'Output H2 L'!G24</f>
        <v>0</v>
      </c>
      <c r="K151" s="1007">
        <f>-'Output H2 L'!H24</f>
        <v>0</v>
      </c>
      <c r="L151" s="1007">
        <f>-'Output H2 L'!I24</f>
        <v>0</v>
      </c>
      <c r="M151" s="1007">
        <f>-'Output H2 L'!J24</f>
        <v>0</v>
      </c>
      <c r="N151" s="1007">
        <f>-'Output H2 L'!K24</f>
        <v>0</v>
      </c>
      <c r="O151" s="1007">
        <f>-'Output H2 L'!L24</f>
        <v>0</v>
      </c>
      <c r="P151" s="1007">
        <f>-'Output H2 L'!M24</f>
        <v>0</v>
      </c>
      <c r="Q151" s="1007">
        <f>-'Output H2 L'!N24</f>
        <v>0</v>
      </c>
      <c r="R151" s="1007">
        <f>-'Output H2 L'!O24</f>
        <v>0</v>
      </c>
      <c r="S151" s="1007">
        <f>-'Output H2 L'!P24</f>
        <v>0</v>
      </c>
      <c r="T151" s="1007">
        <f>-'Output H2 L'!Q24</f>
        <v>0</v>
      </c>
      <c r="U151" s="1007">
        <f>-'Output H2 L'!R24</f>
        <v>0</v>
      </c>
      <c r="V151" s="1007">
        <f>-'Output H2 L'!S24</f>
        <v>0</v>
      </c>
      <c r="W151" s="1007">
        <f>-'Output H2 L'!T24</f>
        <v>-27.243355637356952</v>
      </c>
      <c r="X151" s="1007">
        <f>-'Output H2 L'!U24</f>
        <v>-27.78822275010409</v>
      </c>
      <c r="Y151" s="1007">
        <f>-'Output H2 L'!V24</f>
        <v>-28.343987205106163</v>
      </c>
      <c r="Z151" s="1007">
        <f>-'Output H2 L'!W24</f>
        <v>-28.910866949208295</v>
      </c>
      <c r="AA151" s="1007">
        <f>-'Output H2 L'!X24</f>
        <v>-29.489084288192462</v>
      </c>
      <c r="AB151" s="1007">
        <f>-'Output H2 L'!Y24</f>
        <v>-30.078865973956308</v>
      </c>
      <c r="AC151" s="1007">
        <f>-'Output H2 L'!Z24</f>
        <v>-30.680443293435435</v>
      </c>
      <c r="AD151" s="1007">
        <f>-'Output H2 L'!AA24</f>
        <v>-31.294052159304144</v>
      </c>
      <c r="AE151" s="1007">
        <f>-'Output H2 L'!AB24</f>
        <v>-31.919933202490224</v>
      </c>
      <c r="AF151" s="1007">
        <f>-'Output H2 L'!AC24</f>
        <v>-32.55833186654003</v>
      </c>
      <c r="AG151" s="1007">
        <f>-'Output H2 L'!AD24</f>
        <v>-33.209498503870826</v>
      </c>
      <c r="AH151" s="1007">
        <f>-'Output H2 L'!AE24</f>
        <v>-33.873688473948249</v>
      </c>
      <c r="AI151" s="1007">
        <f>-'Output H2 L'!AF24</f>
        <v>-34.551162243427207</v>
      </c>
      <c r="AJ151" s="1007">
        <f>-'Output H2 L'!AG24</f>
        <v>-35.242185488295753</v>
      </c>
      <c r="AK151" s="1007">
        <f>-'Output H2 L'!AH24</f>
        <v>-35.947029198061671</v>
      </c>
      <c r="AL151" s="1007">
        <f>-'Output H2 L'!AI24</f>
        <v>-36.665969782022906</v>
      </c>
      <c r="AM151" s="1007">
        <f>-'Output H2 L'!AJ24</f>
        <v>-37.399289177663363</v>
      </c>
      <c r="AN151" s="1007">
        <f>-'Output H2 L'!AK24</f>
        <v>-38.147274961216631</v>
      </c>
      <c r="AO151" s="1007">
        <f>-'Output H2 L'!AL24</f>
        <v>-38.910220460440954</v>
      </c>
      <c r="AP151" s="1007">
        <f>-'Output H2 L'!AM24</f>
        <v>0</v>
      </c>
      <c r="AQ151" s="1007">
        <f>-'Output H2 L'!AN24</f>
        <v>0</v>
      </c>
      <c r="AR151" s="1007">
        <f>-'Output H2 L'!AO24</f>
        <v>0</v>
      </c>
      <c r="AS151" s="1007">
        <f>-'Output H2 L'!AP24</f>
        <v>0</v>
      </c>
      <c r="AT151" s="1007">
        <f>-'Output H2 L'!AQ24</f>
        <v>0</v>
      </c>
      <c r="AU151" s="1007">
        <f>-'Output H2 L'!AR24</f>
        <v>0</v>
      </c>
      <c r="AV151" s="1007">
        <f>-'Output H2 L'!AS24</f>
        <v>0</v>
      </c>
      <c r="AW151" s="1007">
        <f>-'Output H2 L'!AT24</f>
        <v>0</v>
      </c>
      <c r="AX151" s="1007">
        <f>-'Output H2 L'!AU24</f>
        <v>0</v>
      </c>
      <c r="AY151" s="1007">
        <f>-'Output H2 L'!AV24</f>
        <v>0</v>
      </c>
      <c r="AZ151" s="1007">
        <f>-'Output H2 L'!AW24</f>
        <v>0</v>
      </c>
      <c r="BA151" s="1007">
        <f>-'Output H2 L'!AX24</f>
        <v>0</v>
      </c>
      <c r="BB151" s="1007">
        <f>-'Output H2 L'!AY24</f>
        <v>0</v>
      </c>
      <c r="BC151" s="1007">
        <f>-'Output H2 L'!AZ24</f>
        <v>0</v>
      </c>
      <c r="BD151" s="1007">
        <f>-'Output H2 L'!BA24</f>
        <v>0</v>
      </c>
      <c r="BE151" s="1007">
        <f>-'Output H2 L'!BB24</f>
        <v>0</v>
      </c>
    </row>
    <row r="152" spans="2:57" x14ac:dyDescent="0.25">
      <c r="B152" s="316"/>
      <c r="C152" s="3"/>
      <c r="D152" s="3"/>
      <c r="E152" s="1001" t="str">
        <f>'Output H2 L'!B25</f>
        <v>Opex electrolyser</v>
      </c>
      <c r="F152" s="1002" t="str">
        <f>'Output H2 L'!C25</f>
        <v>[kEUR]</v>
      </c>
      <c r="G152" s="1007">
        <f>-'Output H2 L'!D25</f>
        <v>-46528.653643574915</v>
      </c>
      <c r="H152" s="1007">
        <f>-'Output H2 L'!E25</f>
        <v>-6180.9093064116369</v>
      </c>
      <c r="I152" s="1007"/>
      <c r="J152" s="1007">
        <f>-'Output H2 L'!G25</f>
        <v>0</v>
      </c>
      <c r="K152" s="1007">
        <f>-'Output H2 L'!H25</f>
        <v>0</v>
      </c>
      <c r="L152" s="1007">
        <f>-'Output H2 L'!I25</f>
        <v>0</v>
      </c>
      <c r="M152" s="1007">
        <f>-'Output H2 L'!J25</f>
        <v>0</v>
      </c>
      <c r="N152" s="1007">
        <f>-'Output H2 L'!K25</f>
        <v>0</v>
      </c>
      <c r="O152" s="1007">
        <f>-'Output H2 L'!L25</f>
        <v>0</v>
      </c>
      <c r="P152" s="1007">
        <f>-'Output H2 L'!M25</f>
        <v>0</v>
      </c>
      <c r="Q152" s="1007">
        <f>-'Output H2 L'!N25</f>
        <v>0</v>
      </c>
      <c r="R152" s="1007">
        <f>-'Output H2 L'!O25</f>
        <v>0</v>
      </c>
      <c r="S152" s="1007">
        <f>-'Output H2 L'!P25</f>
        <v>0</v>
      </c>
      <c r="T152" s="1007">
        <f>-'Output H2 L'!Q25</f>
        <v>0</v>
      </c>
      <c r="U152" s="1007">
        <f>-'Output H2 L'!R25</f>
        <v>0</v>
      </c>
      <c r="V152" s="1007">
        <f>-'Output H2 L'!S25</f>
        <v>0</v>
      </c>
      <c r="W152" s="1007">
        <f>-'Output H2 L'!T25</f>
        <v>-2037.1066401946862</v>
      </c>
      <c r="X152" s="1007">
        <f>-'Output H2 L'!U25</f>
        <v>-2077.84877299858</v>
      </c>
      <c r="Y152" s="1007">
        <f>-'Output H2 L'!V25</f>
        <v>-2119.4057484585514</v>
      </c>
      <c r="Z152" s="1007">
        <f>-'Output H2 L'!W25</f>
        <v>-2161.7938634277225</v>
      </c>
      <c r="AA152" s="1007">
        <f>-'Output H2 L'!X25</f>
        <v>-2205.0297406962768</v>
      </c>
      <c r="AB152" s="1007">
        <f>-'Output H2 L'!Y25</f>
        <v>-2249.1303355102023</v>
      </c>
      <c r="AC152" s="1007">
        <f>-'Output H2 L'!Z25</f>
        <v>-2294.1129422204062</v>
      </c>
      <c r="AD152" s="1007">
        <f>-'Output H2 L'!AA25</f>
        <v>-2339.9952010648149</v>
      </c>
      <c r="AE152" s="1007">
        <f>-'Output H2 L'!AB25</f>
        <v>-2386.7951050861111</v>
      </c>
      <c r="AF152" s="1007">
        <f>-'Output H2 L'!AC25</f>
        <v>-2434.531007187833</v>
      </c>
      <c r="AG152" s="1007">
        <f>-'Output H2 L'!AD25</f>
        <v>-2483.2216273315894</v>
      </c>
      <c r="AH152" s="1007">
        <f>-'Output H2 L'!AE25</f>
        <v>-2532.8860598782212</v>
      </c>
      <c r="AI152" s="1007">
        <f>-'Output H2 L'!AF25</f>
        <v>-2583.5437810757858</v>
      </c>
      <c r="AJ152" s="1007">
        <f>-'Output H2 L'!AG25</f>
        <v>-2635.2146566973015</v>
      </c>
      <c r="AK152" s="1007">
        <f>-'Output H2 L'!AH25</f>
        <v>-2687.9189498312471</v>
      </c>
      <c r="AL152" s="1007">
        <f>-'Output H2 L'!AI25</f>
        <v>-2741.6773288278728</v>
      </c>
      <c r="AM152" s="1007">
        <f>-'Output H2 L'!AJ25</f>
        <v>-2796.5108754044295</v>
      </c>
      <c r="AN152" s="1007">
        <f>-'Output H2 L'!AK25</f>
        <v>-2852.4410929125183</v>
      </c>
      <c r="AO152" s="1007">
        <f>-'Output H2 L'!AL25</f>
        <v>-2909.4899147707683</v>
      </c>
      <c r="AP152" s="1007">
        <f>-'Output H2 L'!AM25</f>
        <v>0</v>
      </c>
      <c r="AQ152" s="1007">
        <f>-'Output H2 L'!AN25</f>
        <v>0</v>
      </c>
      <c r="AR152" s="1007">
        <f>-'Output H2 L'!AO25</f>
        <v>0</v>
      </c>
      <c r="AS152" s="1007">
        <f>-'Output H2 L'!AP25</f>
        <v>0</v>
      </c>
      <c r="AT152" s="1007">
        <f>-'Output H2 L'!AQ25</f>
        <v>0</v>
      </c>
      <c r="AU152" s="1007">
        <f>-'Output H2 L'!AR25</f>
        <v>0</v>
      </c>
      <c r="AV152" s="1007">
        <f>-'Output H2 L'!AS25</f>
        <v>0</v>
      </c>
      <c r="AW152" s="1007">
        <f>-'Output H2 L'!AT25</f>
        <v>0</v>
      </c>
      <c r="AX152" s="1007">
        <f>-'Output H2 L'!AU25</f>
        <v>0</v>
      </c>
      <c r="AY152" s="1007">
        <f>-'Output H2 L'!AV25</f>
        <v>0</v>
      </c>
      <c r="AZ152" s="1007">
        <f>-'Output H2 L'!AW25</f>
        <v>0</v>
      </c>
      <c r="BA152" s="1007">
        <f>-'Output H2 L'!AX25</f>
        <v>0</v>
      </c>
      <c r="BB152" s="1007">
        <f>-'Output H2 L'!AY25</f>
        <v>0</v>
      </c>
      <c r="BC152" s="1007">
        <f>-'Output H2 L'!AZ25</f>
        <v>0</v>
      </c>
      <c r="BD152" s="1007">
        <f>-'Output H2 L'!BA25</f>
        <v>0</v>
      </c>
      <c r="BE152" s="1007">
        <f>-'Output H2 L'!BB25</f>
        <v>0</v>
      </c>
    </row>
    <row r="153" spans="2:57" x14ac:dyDescent="0.25">
      <c r="B153" s="316"/>
      <c r="C153" s="3"/>
      <c r="D153" s="3"/>
      <c r="E153" s="1001" t="str">
        <f>'Output H2 L'!B26</f>
        <v>Opex compressor</v>
      </c>
      <c r="F153" s="1002" t="str">
        <f>'Output H2 L'!C26</f>
        <v>[kEUR]</v>
      </c>
      <c r="G153" s="1007">
        <f>-'Output H2 L'!D26</f>
        <v>-1434.7734471733586</v>
      </c>
      <c r="H153" s="1007">
        <f>-'Output H2 L'!E26</f>
        <v>-190.59662934069689</v>
      </c>
      <c r="I153" s="1007"/>
      <c r="J153" s="1007">
        <f>-'Output H2 L'!G26</f>
        <v>0</v>
      </c>
      <c r="K153" s="1007">
        <f>-'Output H2 L'!H26</f>
        <v>0</v>
      </c>
      <c r="L153" s="1007">
        <f>-'Output H2 L'!I26</f>
        <v>0</v>
      </c>
      <c r="M153" s="1007">
        <f>-'Output H2 L'!J26</f>
        <v>0</v>
      </c>
      <c r="N153" s="1007">
        <f>-'Output H2 L'!K26</f>
        <v>0</v>
      </c>
      <c r="O153" s="1007">
        <f>-'Output H2 L'!L26</f>
        <v>0</v>
      </c>
      <c r="P153" s="1007">
        <f>-'Output H2 L'!M26</f>
        <v>0</v>
      </c>
      <c r="Q153" s="1007">
        <f>-'Output H2 L'!N26</f>
        <v>0</v>
      </c>
      <c r="R153" s="1007">
        <f>-'Output H2 L'!O26</f>
        <v>0</v>
      </c>
      <c r="S153" s="1007">
        <f>-'Output H2 L'!P26</f>
        <v>0</v>
      </c>
      <c r="T153" s="1007">
        <f>-'Output H2 L'!Q26</f>
        <v>0</v>
      </c>
      <c r="U153" s="1007">
        <f>-'Output H2 L'!R26</f>
        <v>0</v>
      </c>
      <c r="V153" s="1007">
        <f>-'Output H2 L'!S26</f>
        <v>0</v>
      </c>
      <c r="W153" s="1007">
        <f>-'Output H2 L'!T26</f>
        <v>-62.816915761229474</v>
      </c>
      <c r="X153" s="1007">
        <f>-'Output H2 L'!U26</f>
        <v>-64.073254076454063</v>
      </c>
      <c r="Y153" s="1007">
        <f>-'Output H2 L'!V26</f>
        <v>-65.354719157983141</v>
      </c>
      <c r="Z153" s="1007">
        <f>-'Output H2 L'!W26</f>
        <v>-66.661813541142806</v>
      </c>
      <c r="AA153" s="1007">
        <f>-'Output H2 L'!X26</f>
        <v>-67.995049811965671</v>
      </c>
      <c r="AB153" s="1007">
        <f>-'Output H2 L'!Y26</f>
        <v>-69.354950808204975</v>
      </c>
      <c r="AC153" s="1007">
        <f>-'Output H2 L'!Z26</f>
        <v>-70.742049824369062</v>
      </c>
      <c r="AD153" s="1007">
        <f>-'Output H2 L'!AA26</f>
        <v>-72.156890820856475</v>
      </c>
      <c r="AE153" s="1007">
        <f>-'Output H2 L'!AB26</f>
        <v>-73.600028637273581</v>
      </c>
      <c r="AF153" s="1007">
        <f>-'Output H2 L'!AC26</f>
        <v>-75.072029210019053</v>
      </c>
      <c r="AG153" s="1007">
        <f>-'Output H2 L'!AD26</f>
        <v>-76.573469794219434</v>
      </c>
      <c r="AH153" s="1007">
        <f>-'Output H2 L'!AE26</f>
        <v>-78.104939190103821</v>
      </c>
      <c r="AI153" s="1007">
        <f>-'Output H2 L'!AF26</f>
        <v>-79.667037973905906</v>
      </c>
      <c r="AJ153" s="1007">
        <f>-'Output H2 L'!AG26</f>
        <v>-81.26037873338403</v>
      </c>
      <c r="AK153" s="1007">
        <f>-'Output H2 L'!AH26</f>
        <v>-82.885586308051685</v>
      </c>
      <c r="AL153" s="1007">
        <f>-'Output H2 L'!AI26</f>
        <v>-84.543298034212739</v>
      </c>
      <c r="AM153" s="1007">
        <f>-'Output H2 L'!AJ26</f>
        <v>-86.234163994896988</v>
      </c>
      <c r="AN153" s="1007">
        <f>-'Output H2 L'!AK26</f>
        <v>-87.958847274794934</v>
      </c>
      <c r="AO153" s="1007">
        <f>-'Output H2 L'!AL26</f>
        <v>-89.718024220290815</v>
      </c>
      <c r="AP153" s="1007">
        <f>-'Output H2 L'!AM26</f>
        <v>0</v>
      </c>
      <c r="AQ153" s="1007">
        <f>-'Output H2 L'!AN26</f>
        <v>0</v>
      </c>
      <c r="AR153" s="1007">
        <f>-'Output H2 L'!AO26</f>
        <v>0</v>
      </c>
      <c r="AS153" s="1007">
        <f>-'Output H2 L'!AP26</f>
        <v>0</v>
      </c>
      <c r="AT153" s="1007">
        <f>-'Output H2 L'!AQ26</f>
        <v>0</v>
      </c>
      <c r="AU153" s="1007">
        <f>-'Output H2 L'!AR26</f>
        <v>0</v>
      </c>
      <c r="AV153" s="1007">
        <f>-'Output H2 L'!AS26</f>
        <v>0</v>
      </c>
      <c r="AW153" s="1007">
        <f>-'Output H2 L'!AT26</f>
        <v>0</v>
      </c>
      <c r="AX153" s="1007">
        <f>-'Output H2 L'!AU26</f>
        <v>0</v>
      </c>
      <c r="AY153" s="1007">
        <f>-'Output H2 L'!AV26</f>
        <v>0</v>
      </c>
      <c r="AZ153" s="1007">
        <f>-'Output H2 L'!AW26</f>
        <v>0</v>
      </c>
      <c r="BA153" s="1007">
        <f>-'Output H2 L'!AX26</f>
        <v>0</v>
      </c>
      <c r="BB153" s="1007">
        <f>-'Output H2 L'!AY26</f>
        <v>0</v>
      </c>
      <c r="BC153" s="1007">
        <f>-'Output H2 L'!AZ26</f>
        <v>0</v>
      </c>
      <c r="BD153" s="1007">
        <f>-'Output H2 L'!BA26</f>
        <v>0</v>
      </c>
      <c r="BE153" s="1007">
        <f>-'Output H2 L'!BB26</f>
        <v>0</v>
      </c>
    </row>
    <row r="154" spans="2:57" x14ac:dyDescent="0.25">
      <c r="B154" s="316"/>
      <c r="C154" s="3"/>
      <c r="D154" s="3"/>
      <c r="E154" s="1001" t="str">
        <f>'Output H2 L'!B27</f>
        <v>Opex existing pipeline</v>
      </c>
      <c r="F154" s="1002" t="str">
        <f>'Output H2 L'!C27</f>
        <v>[kEUR]</v>
      </c>
      <c r="G154" s="1007">
        <f>-'Output H2 L'!D27</f>
        <v>-16132.249774439373</v>
      </c>
      <c r="H154" s="1007">
        <f>-'Output H2 L'!E27</f>
        <v>-2143.0229537268901</v>
      </c>
      <c r="I154" s="1007"/>
      <c r="J154" s="1007">
        <f>-'Output H2 L'!G27</f>
        <v>0</v>
      </c>
      <c r="K154" s="1007">
        <f>-'Output H2 L'!H27</f>
        <v>0</v>
      </c>
      <c r="L154" s="1007">
        <f>-'Output H2 L'!I27</f>
        <v>0</v>
      </c>
      <c r="M154" s="1007">
        <f>-'Output H2 L'!J27</f>
        <v>0</v>
      </c>
      <c r="N154" s="1007">
        <f>-'Output H2 L'!K27</f>
        <v>0</v>
      </c>
      <c r="O154" s="1007">
        <f>-'Output H2 L'!L27</f>
        <v>0</v>
      </c>
      <c r="P154" s="1007">
        <f>-'Output H2 L'!M27</f>
        <v>0</v>
      </c>
      <c r="Q154" s="1007">
        <f>-'Output H2 L'!N27</f>
        <v>0</v>
      </c>
      <c r="R154" s="1007">
        <f>-'Output H2 L'!O27</f>
        <v>0</v>
      </c>
      <c r="S154" s="1007">
        <f>-'Output H2 L'!P27</f>
        <v>0</v>
      </c>
      <c r="T154" s="1007">
        <f>-'Output H2 L'!Q27</f>
        <v>0</v>
      </c>
      <c r="U154" s="1007">
        <f>-'Output H2 L'!R27</f>
        <v>0</v>
      </c>
      <c r="V154" s="1007">
        <f>-'Output H2 L'!S27</f>
        <v>0</v>
      </c>
      <c r="W154" s="1007">
        <f>-'Output H2 L'!T27</f>
        <v>-706.29838955866069</v>
      </c>
      <c r="X154" s="1007">
        <f>-'Output H2 L'!U27</f>
        <v>-720.42435734983394</v>
      </c>
      <c r="Y154" s="1007">
        <f>-'Output H2 L'!V27</f>
        <v>-734.83284449683049</v>
      </c>
      <c r="Z154" s="1007">
        <f>-'Output H2 L'!W27</f>
        <v>-749.52950138676715</v>
      </c>
      <c r="AA154" s="1007">
        <f>-'Output H2 L'!X27</f>
        <v>-764.52009141450264</v>
      </c>
      <c r="AB154" s="1007">
        <f>-'Output H2 L'!Y27</f>
        <v>-779.81049324279252</v>
      </c>
      <c r="AC154" s="1007">
        <f>-'Output H2 L'!Z27</f>
        <v>-795.40670310764847</v>
      </c>
      <c r="AD154" s="1007">
        <f>-'Output H2 L'!AA27</f>
        <v>-811.31483716980142</v>
      </c>
      <c r="AE154" s="1007">
        <f>-'Output H2 L'!AB27</f>
        <v>-827.54113391319743</v>
      </c>
      <c r="AF154" s="1007">
        <f>-'Output H2 L'!AC27</f>
        <v>-844.09195659146144</v>
      </c>
      <c r="AG154" s="1007">
        <f>-'Output H2 L'!AD27</f>
        <v>-860.97379572329044</v>
      </c>
      <c r="AH154" s="1007">
        <f>-'Output H2 L'!AE27</f>
        <v>-878.19327163775631</v>
      </c>
      <c r="AI154" s="1007">
        <f>-'Output H2 L'!AF27</f>
        <v>-895.75713707051148</v>
      </c>
      <c r="AJ154" s="1007">
        <f>-'Output H2 L'!AG27</f>
        <v>-913.67227981192173</v>
      </c>
      <c r="AK154" s="1007">
        <f>-'Output H2 L'!AH27</f>
        <v>-931.94572540816</v>
      </c>
      <c r="AL154" s="1007">
        <f>-'Output H2 L'!AI27</f>
        <v>-950.58463991632345</v>
      </c>
      <c r="AM154" s="1007">
        <f>-'Output H2 L'!AJ27</f>
        <v>-969.59633271464975</v>
      </c>
      <c r="AN154" s="1007">
        <f>-'Output H2 L'!AK27</f>
        <v>-988.98825936894286</v>
      </c>
      <c r="AO154" s="1007">
        <f>-'Output H2 L'!AL27</f>
        <v>-1008.7680245563214</v>
      </c>
      <c r="AP154" s="1007">
        <f>-'Output H2 L'!AM27</f>
        <v>0</v>
      </c>
      <c r="AQ154" s="1007">
        <f>-'Output H2 L'!AN27</f>
        <v>0</v>
      </c>
      <c r="AR154" s="1007">
        <f>-'Output H2 L'!AO27</f>
        <v>0</v>
      </c>
      <c r="AS154" s="1007">
        <f>-'Output H2 L'!AP27</f>
        <v>0</v>
      </c>
      <c r="AT154" s="1007">
        <f>-'Output H2 L'!AQ27</f>
        <v>0</v>
      </c>
      <c r="AU154" s="1007">
        <f>-'Output H2 L'!AR27</f>
        <v>0</v>
      </c>
      <c r="AV154" s="1007">
        <f>-'Output H2 L'!AS27</f>
        <v>0</v>
      </c>
      <c r="AW154" s="1007">
        <f>-'Output H2 L'!AT27</f>
        <v>0</v>
      </c>
      <c r="AX154" s="1007">
        <f>-'Output H2 L'!AU27</f>
        <v>0</v>
      </c>
      <c r="AY154" s="1007">
        <f>-'Output H2 L'!AV27</f>
        <v>0</v>
      </c>
      <c r="AZ154" s="1007">
        <f>-'Output H2 L'!AW27</f>
        <v>0</v>
      </c>
      <c r="BA154" s="1007">
        <f>-'Output H2 L'!AX27</f>
        <v>0</v>
      </c>
      <c r="BB154" s="1007">
        <f>-'Output H2 L'!AY27</f>
        <v>0</v>
      </c>
      <c r="BC154" s="1007">
        <f>-'Output H2 L'!AZ27</f>
        <v>0</v>
      </c>
      <c r="BD154" s="1007">
        <f>-'Output H2 L'!BA27</f>
        <v>0</v>
      </c>
      <c r="BE154" s="1007">
        <f>-'Output H2 L'!BB27</f>
        <v>0</v>
      </c>
    </row>
    <row r="155" spans="2:57" x14ac:dyDescent="0.25">
      <c r="B155" s="316"/>
      <c r="C155" s="3"/>
      <c r="D155" s="3"/>
      <c r="E155" s="1001" t="str">
        <f>'Output H2 L'!B28</f>
        <v>Cost of hydrogen extraction (admix)</v>
      </c>
      <c r="F155" s="1002" t="str">
        <f>'Output H2 L'!C28</f>
        <v>[kEUR]</v>
      </c>
      <c r="G155" s="1007">
        <f>-'Output H2 L'!D28</f>
        <v>-42829.289104876174</v>
      </c>
      <c r="H155" s="1007">
        <f>-'Output H2 L'!E28</f>
        <v>-5689.4823057464282</v>
      </c>
      <c r="I155" s="1007"/>
      <c r="J155" s="1007">
        <f>-'Output H2 L'!G28</f>
        <v>0</v>
      </c>
      <c r="K155" s="1007">
        <f>-'Output H2 L'!H28</f>
        <v>0</v>
      </c>
      <c r="L155" s="1007">
        <f>-'Output H2 L'!I28</f>
        <v>0</v>
      </c>
      <c r="M155" s="1007">
        <f>-'Output H2 L'!J28</f>
        <v>0</v>
      </c>
      <c r="N155" s="1007">
        <f>-'Output H2 L'!K28</f>
        <v>0</v>
      </c>
      <c r="O155" s="1007">
        <f>-'Output H2 L'!L28</f>
        <v>0</v>
      </c>
      <c r="P155" s="1007">
        <f>-'Output H2 L'!M28</f>
        <v>0</v>
      </c>
      <c r="Q155" s="1007">
        <f>-'Output H2 L'!N28</f>
        <v>0</v>
      </c>
      <c r="R155" s="1007">
        <f>-'Output H2 L'!O28</f>
        <v>0</v>
      </c>
      <c r="S155" s="1007">
        <f>-'Output H2 L'!P28</f>
        <v>0</v>
      </c>
      <c r="T155" s="1007">
        <f>-'Output H2 L'!Q28</f>
        <v>0</v>
      </c>
      <c r="U155" s="1007">
        <f>-'Output H2 L'!R28</f>
        <v>0</v>
      </c>
      <c r="V155" s="1007">
        <f>-'Output H2 L'!S28</f>
        <v>0</v>
      </c>
      <c r="W155" s="1007">
        <f>-'Output H2 L'!T28</f>
        <v>-1875.1419264934848</v>
      </c>
      <c r="X155" s="1007">
        <f>-'Output H2 L'!U28</f>
        <v>-1912.6447650233547</v>
      </c>
      <c r="Y155" s="1007">
        <f>-'Output H2 L'!V28</f>
        <v>-1950.8976603238211</v>
      </c>
      <c r="Z155" s="1007">
        <f>-'Output H2 L'!W28</f>
        <v>-1989.9156135302981</v>
      </c>
      <c r="AA155" s="1007">
        <f>-'Output H2 L'!X28</f>
        <v>-2029.7139258009042</v>
      </c>
      <c r="AB155" s="1007">
        <f>-'Output H2 L'!Y28</f>
        <v>-2070.308204316922</v>
      </c>
      <c r="AC155" s="1007">
        <f>-'Output H2 L'!Z28</f>
        <v>-2111.7143684032603</v>
      </c>
      <c r="AD155" s="1007">
        <f>-'Output H2 L'!AA28</f>
        <v>-2153.9486557713258</v>
      </c>
      <c r="AE155" s="1007">
        <f>-'Output H2 L'!AB28</f>
        <v>-2197.0276288867522</v>
      </c>
      <c r="AF155" s="1007">
        <f>-'Output H2 L'!AC28</f>
        <v>-2240.9681814644873</v>
      </c>
      <c r="AG155" s="1007">
        <f>-'Output H2 L'!AD28</f>
        <v>-2285.7875450937768</v>
      </c>
      <c r="AH155" s="1007">
        <f>-'Output H2 L'!AE28</f>
        <v>-2331.503295995652</v>
      </c>
      <c r="AI155" s="1007">
        <f>-'Output H2 L'!AF28</f>
        <v>-2378.1333619155653</v>
      </c>
      <c r="AJ155" s="1007">
        <f>-'Output H2 L'!AG28</f>
        <v>-2425.6960291538771</v>
      </c>
      <c r="AK155" s="1007">
        <f>-'Output H2 L'!AH28</f>
        <v>-2474.2099497369536</v>
      </c>
      <c r="AL155" s="1007">
        <f>-'Output H2 L'!AI28</f>
        <v>-2523.6941487316935</v>
      </c>
      <c r="AM155" s="1007">
        <f>-'Output H2 L'!AJ28</f>
        <v>-2574.1680317063269</v>
      </c>
      <c r="AN155" s="1007">
        <f>-'Output H2 L'!AK28</f>
        <v>-2625.6513923404536</v>
      </c>
      <c r="AO155" s="1007">
        <f>-'Output H2 L'!AL28</f>
        <v>-2678.1644201872623</v>
      </c>
      <c r="AP155" s="1007">
        <f>-'Output H2 L'!AM28</f>
        <v>0</v>
      </c>
      <c r="AQ155" s="1007">
        <f>-'Output H2 L'!AN28</f>
        <v>0</v>
      </c>
      <c r="AR155" s="1007">
        <f>-'Output H2 L'!AO28</f>
        <v>0</v>
      </c>
      <c r="AS155" s="1007">
        <f>-'Output H2 L'!AP28</f>
        <v>0</v>
      </c>
      <c r="AT155" s="1007">
        <f>-'Output H2 L'!AQ28</f>
        <v>0</v>
      </c>
      <c r="AU155" s="1007">
        <f>-'Output H2 L'!AR28</f>
        <v>0</v>
      </c>
      <c r="AV155" s="1007">
        <f>-'Output H2 L'!AS28</f>
        <v>0</v>
      </c>
      <c r="AW155" s="1007">
        <f>-'Output H2 L'!AT28</f>
        <v>0</v>
      </c>
      <c r="AX155" s="1007">
        <f>-'Output H2 L'!AU28</f>
        <v>0</v>
      </c>
      <c r="AY155" s="1007">
        <f>-'Output H2 L'!AV28</f>
        <v>0</v>
      </c>
      <c r="AZ155" s="1007">
        <f>-'Output H2 L'!AW28</f>
        <v>0</v>
      </c>
      <c r="BA155" s="1007">
        <f>-'Output H2 L'!AX28</f>
        <v>0</v>
      </c>
      <c r="BB155" s="1007">
        <f>-'Output H2 L'!AY28</f>
        <v>0</v>
      </c>
      <c r="BC155" s="1007">
        <f>-'Output H2 L'!AZ28</f>
        <v>0</v>
      </c>
      <c r="BD155" s="1007">
        <f>-'Output H2 L'!BA28</f>
        <v>0</v>
      </c>
      <c r="BE155" s="1007">
        <f>-'Output H2 L'!BB28</f>
        <v>0</v>
      </c>
    </row>
    <row r="156" spans="2:57" x14ac:dyDescent="0.25">
      <c r="B156" s="316"/>
      <c r="C156" s="3"/>
      <c r="D156" s="3"/>
      <c r="E156" s="1001" t="str">
        <f>'Output H2 L'!B29</f>
        <v>Opex cable (H2)</v>
      </c>
      <c r="F156" s="1002" t="str">
        <f>'Output H2 L'!C29</f>
        <v>[kEUR]</v>
      </c>
      <c r="G156" s="1007">
        <f>-'Output H2 L'!D29</f>
        <v>0</v>
      </c>
      <c r="H156" s="1007">
        <f>-'Output H2 L'!E29</f>
        <v>0</v>
      </c>
      <c r="I156" s="1007"/>
      <c r="J156" s="1007">
        <f>-'Output H2 L'!G29</f>
        <v>0</v>
      </c>
      <c r="K156" s="1007">
        <f>-'Output H2 L'!H29</f>
        <v>0</v>
      </c>
      <c r="L156" s="1007">
        <f>-'Output H2 L'!I29</f>
        <v>0</v>
      </c>
      <c r="M156" s="1007">
        <f>-'Output H2 L'!J29</f>
        <v>0</v>
      </c>
      <c r="N156" s="1007">
        <f>-'Output H2 L'!K29</f>
        <v>0</v>
      </c>
      <c r="O156" s="1007">
        <f>-'Output H2 L'!L29</f>
        <v>0</v>
      </c>
      <c r="P156" s="1007">
        <f>-'Output H2 L'!M29</f>
        <v>0</v>
      </c>
      <c r="Q156" s="1007">
        <f>-'Output H2 L'!N29</f>
        <v>0</v>
      </c>
      <c r="R156" s="1007">
        <f>-'Output H2 L'!O29</f>
        <v>0</v>
      </c>
      <c r="S156" s="1007">
        <f>-'Output H2 L'!P29</f>
        <v>0</v>
      </c>
      <c r="T156" s="1007">
        <f>-'Output H2 L'!Q29</f>
        <v>0</v>
      </c>
      <c r="U156" s="1007">
        <f>-'Output H2 L'!R29</f>
        <v>0</v>
      </c>
      <c r="V156" s="1007">
        <f>-'Output H2 L'!S29</f>
        <v>0</v>
      </c>
      <c r="W156" s="1007">
        <f>-'Output H2 L'!T29</f>
        <v>0</v>
      </c>
      <c r="X156" s="1007">
        <f>-'Output H2 L'!U29</f>
        <v>0</v>
      </c>
      <c r="Y156" s="1007">
        <f>-'Output H2 L'!V29</f>
        <v>0</v>
      </c>
      <c r="Z156" s="1007">
        <f>-'Output H2 L'!W29</f>
        <v>0</v>
      </c>
      <c r="AA156" s="1007">
        <f>-'Output H2 L'!X29</f>
        <v>0</v>
      </c>
      <c r="AB156" s="1007">
        <f>-'Output H2 L'!Y29</f>
        <v>0</v>
      </c>
      <c r="AC156" s="1007">
        <f>-'Output H2 L'!Z29</f>
        <v>0</v>
      </c>
      <c r="AD156" s="1007">
        <f>-'Output H2 L'!AA29</f>
        <v>0</v>
      </c>
      <c r="AE156" s="1007">
        <f>-'Output H2 L'!AB29</f>
        <v>0</v>
      </c>
      <c r="AF156" s="1007">
        <f>-'Output H2 L'!AC29</f>
        <v>0</v>
      </c>
      <c r="AG156" s="1007">
        <f>-'Output H2 L'!AD29</f>
        <v>0</v>
      </c>
      <c r="AH156" s="1007">
        <f>-'Output H2 L'!AE29</f>
        <v>0</v>
      </c>
      <c r="AI156" s="1007">
        <f>-'Output H2 L'!AF29</f>
        <v>0</v>
      </c>
      <c r="AJ156" s="1007">
        <f>-'Output H2 L'!AG29</f>
        <v>0</v>
      </c>
      <c r="AK156" s="1007">
        <f>-'Output H2 L'!AH29</f>
        <v>0</v>
      </c>
      <c r="AL156" s="1007">
        <f>-'Output H2 L'!AI29</f>
        <v>0</v>
      </c>
      <c r="AM156" s="1007">
        <f>-'Output H2 L'!AJ29</f>
        <v>0</v>
      </c>
      <c r="AN156" s="1007">
        <f>-'Output H2 L'!AK29</f>
        <v>0</v>
      </c>
      <c r="AO156" s="1007">
        <f>-'Output H2 L'!AL29</f>
        <v>0</v>
      </c>
      <c r="AP156" s="1007">
        <f>-'Output H2 L'!AM29</f>
        <v>0</v>
      </c>
      <c r="AQ156" s="1007">
        <f>-'Output H2 L'!AN29</f>
        <v>0</v>
      </c>
      <c r="AR156" s="1007">
        <f>-'Output H2 L'!AO29</f>
        <v>0</v>
      </c>
      <c r="AS156" s="1007">
        <f>-'Output H2 L'!AP29</f>
        <v>0</v>
      </c>
      <c r="AT156" s="1007">
        <f>-'Output H2 L'!AQ29</f>
        <v>0</v>
      </c>
      <c r="AU156" s="1007">
        <f>-'Output H2 L'!AR29</f>
        <v>0</v>
      </c>
      <c r="AV156" s="1007">
        <f>-'Output H2 L'!AS29</f>
        <v>0</v>
      </c>
      <c r="AW156" s="1007">
        <f>-'Output H2 L'!AT29</f>
        <v>0</v>
      </c>
      <c r="AX156" s="1007">
        <f>-'Output H2 L'!AU29</f>
        <v>0</v>
      </c>
      <c r="AY156" s="1007">
        <f>-'Output H2 L'!AV29</f>
        <v>0</v>
      </c>
      <c r="AZ156" s="1007">
        <f>-'Output H2 L'!AW29</f>
        <v>0</v>
      </c>
      <c r="BA156" s="1007">
        <f>-'Output H2 L'!AX29</f>
        <v>0</v>
      </c>
      <c r="BB156" s="1007">
        <f>-'Output H2 L'!AY29</f>
        <v>0</v>
      </c>
      <c r="BC156" s="1007">
        <f>-'Output H2 L'!AZ29</f>
        <v>0</v>
      </c>
      <c r="BD156" s="1007">
        <f>-'Output H2 L'!BA29</f>
        <v>0</v>
      </c>
      <c r="BE156" s="1007">
        <f>-'Output H2 L'!BB29</f>
        <v>0</v>
      </c>
    </row>
    <row r="157" spans="2:57" x14ac:dyDescent="0.25">
      <c r="B157" s="316"/>
      <c r="C157" s="3"/>
      <c r="D157" s="3"/>
      <c r="E157" s="1001" t="str">
        <f>'Output H2 L'!B30</f>
        <v>Opex platform</v>
      </c>
      <c r="F157" s="1002" t="str">
        <f>'Output H2 L'!C30</f>
        <v>[kEUR]</v>
      </c>
      <c r="G157" s="1007">
        <f>-'Output H2 L'!D30</f>
        <v>-234506.40626946808</v>
      </c>
      <c r="H157" s="1007">
        <f>-'Output H2 L'!E30</f>
        <v>-31152.047510926797</v>
      </c>
      <c r="I157" s="1007"/>
      <c r="J157" s="1007">
        <f>-'Output H2 L'!G30</f>
        <v>0</v>
      </c>
      <c r="K157" s="1007">
        <f>-'Output H2 L'!H30</f>
        <v>0</v>
      </c>
      <c r="L157" s="1007">
        <f>-'Output H2 L'!I30</f>
        <v>0</v>
      </c>
      <c r="M157" s="1007">
        <f>-'Output H2 L'!J30</f>
        <v>0</v>
      </c>
      <c r="N157" s="1007">
        <f>-'Output H2 L'!K30</f>
        <v>0</v>
      </c>
      <c r="O157" s="1007">
        <f>-'Output H2 L'!L30</f>
        <v>0</v>
      </c>
      <c r="P157" s="1007">
        <f>-'Output H2 L'!M30</f>
        <v>0</v>
      </c>
      <c r="Q157" s="1007">
        <f>-'Output H2 L'!N30</f>
        <v>0</v>
      </c>
      <c r="R157" s="1007">
        <f>-'Output H2 L'!O30</f>
        <v>0</v>
      </c>
      <c r="S157" s="1007">
        <f>-'Output H2 L'!P30</f>
        <v>0</v>
      </c>
      <c r="T157" s="1007">
        <f>-'Output H2 L'!Q30</f>
        <v>0</v>
      </c>
      <c r="U157" s="1007">
        <f>-'Output H2 L'!R30</f>
        <v>0</v>
      </c>
      <c r="V157" s="1007">
        <f>-'Output H2 L'!S30</f>
        <v>0</v>
      </c>
      <c r="W157" s="1007">
        <f>-'Output H2 L'!T30</f>
        <v>-10267.104675737659</v>
      </c>
      <c r="X157" s="1007">
        <f>-'Output H2 L'!U30</f>
        <v>-10472.446769252414</v>
      </c>
      <c r="Y157" s="1007">
        <f>-'Output H2 L'!V30</f>
        <v>-10681.895704637458</v>
      </c>
      <c r="Z157" s="1007">
        <f>-'Output H2 L'!W30</f>
        <v>-10895.533618730209</v>
      </c>
      <c r="AA157" s="1007">
        <f>-'Output H2 L'!X30</f>
        <v>-11113.444291104814</v>
      </c>
      <c r="AB157" s="1007">
        <f>-'Output H2 L'!Y30</f>
        <v>-11335.713176926909</v>
      </c>
      <c r="AC157" s="1007">
        <f>-'Output H2 L'!Z30</f>
        <v>-11562.427440465446</v>
      </c>
      <c r="AD157" s="1007">
        <f>-'Output H2 L'!AA30</f>
        <v>-11793.675989274758</v>
      </c>
      <c r="AE157" s="1007">
        <f>-'Output H2 L'!AB30</f>
        <v>-12029.549509060253</v>
      </c>
      <c r="AF157" s="1007">
        <f>-'Output H2 L'!AC30</f>
        <v>-12270.140499241459</v>
      </c>
      <c r="AG157" s="1007">
        <f>-'Output H2 L'!AD30</f>
        <v>-12515.543309226285</v>
      </c>
      <c r="AH157" s="1007">
        <f>-'Output H2 L'!AE30</f>
        <v>-12765.85417541081</v>
      </c>
      <c r="AI157" s="1007">
        <f>-'Output H2 L'!AF30</f>
        <v>-13021.171258919027</v>
      </c>
      <c r="AJ157" s="1007">
        <f>-'Output H2 L'!AG30</f>
        <v>-13281.594684097408</v>
      </c>
      <c r="AK157" s="1007">
        <f>-'Output H2 L'!AH30</f>
        <v>-13547.226577779355</v>
      </c>
      <c r="AL157" s="1007">
        <f>-'Output H2 L'!AI30</f>
        <v>-13818.171109334944</v>
      </c>
      <c r="AM157" s="1007">
        <f>-'Output H2 L'!AJ30</f>
        <v>-14094.53453152164</v>
      </c>
      <c r="AN157" s="1007">
        <f>-'Output H2 L'!AK30</f>
        <v>-14376.425222152075</v>
      </c>
      <c r="AO157" s="1007">
        <f>-'Output H2 L'!AL30</f>
        <v>-14663.953726595113</v>
      </c>
      <c r="AP157" s="1007">
        <f>-'Output H2 L'!AM30</f>
        <v>0</v>
      </c>
      <c r="AQ157" s="1007">
        <f>-'Output H2 L'!AN30</f>
        <v>0</v>
      </c>
      <c r="AR157" s="1007">
        <f>-'Output H2 L'!AO30</f>
        <v>0</v>
      </c>
      <c r="AS157" s="1007">
        <f>-'Output H2 L'!AP30</f>
        <v>0</v>
      </c>
      <c r="AT157" s="1007">
        <f>-'Output H2 L'!AQ30</f>
        <v>0</v>
      </c>
      <c r="AU157" s="1007">
        <f>-'Output H2 L'!AR30</f>
        <v>0</v>
      </c>
      <c r="AV157" s="1007">
        <f>-'Output H2 L'!AS30</f>
        <v>0</v>
      </c>
      <c r="AW157" s="1007">
        <f>-'Output H2 L'!AT30</f>
        <v>0</v>
      </c>
      <c r="AX157" s="1007">
        <f>-'Output H2 L'!AU30</f>
        <v>0</v>
      </c>
      <c r="AY157" s="1007">
        <f>-'Output H2 L'!AV30</f>
        <v>0</v>
      </c>
      <c r="AZ157" s="1007">
        <f>-'Output H2 L'!AW30</f>
        <v>0</v>
      </c>
      <c r="BA157" s="1007">
        <f>-'Output H2 L'!AX30</f>
        <v>0</v>
      </c>
      <c r="BB157" s="1007">
        <f>-'Output H2 L'!AY30</f>
        <v>0</v>
      </c>
      <c r="BC157" s="1007">
        <f>-'Output H2 L'!AZ30</f>
        <v>0</v>
      </c>
      <c r="BD157" s="1007">
        <f>-'Output H2 L'!BA30</f>
        <v>0</v>
      </c>
      <c r="BE157" s="1007">
        <f>-'Output H2 L'!BB30</f>
        <v>0</v>
      </c>
    </row>
    <row r="158" spans="2:57" x14ac:dyDescent="0.25">
      <c r="B158" s="316"/>
      <c r="C158" s="3"/>
      <c r="D158" s="3"/>
      <c r="E158" s="1004"/>
      <c r="F158" s="1004"/>
      <c r="G158" s="1005"/>
      <c r="H158" s="1005"/>
      <c r="I158" s="1004"/>
      <c r="J158" s="1005"/>
      <c r="K158" s="1005"/>
      <c r="L158" s="1005"/>
      <c r="M158" s="1005"/>
      <c r="N158" s="1005"/>
      <c r="O158" s="1005"/>
      <c r="P158" s="1005"/>
      <c r="Q158" s="1005"/>
      <c r="R158" s="1005"/>
      <c r="S158" s="1005"/>
      <c r="T158" s="1005"/>
      <c r="U158" s="1005"/>
      <c r="V158" s="1005"/>
      <c r="W158" s="1005"/>
      <c r="X158" s="1005"/>
      <c r="Y158" s="1005"/>
      <c r="Z158" s="1005"/>
      <c r="AA158" s="1005"/>
      <c r="AB158" s="1005"/>
      <c r="AC158" s="1005"/>
      <c r="AD158" s="1005"/>
      <c r="AE158" s="1005"/>
      <c r="AF158" s="1005"/>
      <c r="AG158" s="1005"/>
      <c r="AH158" s="1005"/>
      <c r="AI158" s="1005"/>
      <c r="AJ158" s="1005"/>
      <c r="AK158" s="1005"/>
      <c r="AL158" s="1005"/>
      <c r="AM158" s="1005"/>
      <c r="AN158" s="1005"/>
      <c r="AO158" s="1005"/>
      <c r="AP158" s="1005"/>
      <c r="AQ158" s="1005"/>
      <c r="AR158" s="1005"/>
      <c r="AS158" s="1005"/>
      <c r="AT158" s="1005"/>
      <c r="AU158" s="1005"/>
      <c r="AV158" s="1005"/>
      <c r="AW158" s="1005"/>
      <c r="AX158" s="1005"/>
      <c r="AY158" s="1005"/>
      <c r="AZ158" s="1005"/>
      <c r="BA158" s="1005"/>
      <c r="BB158" s="1005"/>
      <c r="BC158" s="1005"/>
      <c r="BD158" s="1005"/>
      <c r="BE158" s="1005"/>
    </row>
    <row r="159" spans="2:57" x14ac:dyDescent="0.25">
      <c r="B159" s="316"/>
      <c r="C159" s="3"/>
      <c r="D159" s="3"/>
      <c r="E159" s="170" t="str">
        <f>'Output H2 L'!B32</f>
        <v>Revenues / avoided costs</v>
      </c>
      <c r="F159" s="170" t="str">
        <f>'Output H2 L'!C32</f>
        <v>[kEUR]</v>
      </c>
      <c r="G159" s="997">
        <f>'Output H2 L'!D32</f>
        <v>442828.84366893937</v>
      </c>
      <c r="H159" s="997">
        <f>'Output H2 L'!E32</f>
        <v>58825.792423478197</v>
      </c>
      <c r="I159" s="170"/>
      <c r="J159" s="997">
        <f>'Output H2 L'!G32</f>
        <v>0</v>
      </c>
      <c r="K159" s="997">
        <f>'Output H2 L'!H32</f>
        <v>0</v>
      </c>
      <c r="L159" s="997">
        <f>'Output H2 L'!I32</f>
        <v>0</v>
      </c>
      <c r="M159" s="997">
        <f>'Output H2 L'!J32</f>
        <v>0</v>
      </c>
      <c r="N159" s="997">
        <f>'Output H2 L'!K32</f>
        <v>0</v>
      </c>
      <c r="O159" s="997">
        <f>'Output H2 L'!L32</f>
        <v>0</v>
      </c>
      <c r="P159" s="997">
        <f>'Output H2 L'!M32</f>
        <v>0</v>
      </c>
      <c r="Q159" s="997">
        <f>'Output H2 L'!N32</f>
        <v>0</v>
      </c>
      <c r="R159" s="997">
        <f>'Output H2 L'!O32</f>
        <v>0</v>
      </c>
      <c r="S159" s="997">
        <f>'Output H2 L'!P32</f>
        <v>0</v>
      </c>
      <c r="T159" s="997">
        <f>'Output H2 L'!Q32</f>
        <v>0</v>
      </c>
      <c r="U159" s="997">
        <f>'Output H2 L'!R32</f>
        <v>0</v>
      </c>
      <c r="V159" s="997">
        <f>'Output H2 L'!S32</f>
        <v>0</v>
      </c>
      <c r="W159" s="997">
        <f>'Output H2 L'!T32</f>
        <v>19387.828945536217</v>
      </c>
      <c r="X159" s="997">
        <f>'Output H2 L'!U32</f>
        <v>19775.585524446942</v>
      </c>
      <c r="Y159" s="997">
        <f>'Output H2 L'!V32</f>
        <v>20171.097234935874</v>
      </c>
      <c r="Z159" s="997">
        <f>'Output H2 L'!W32</f>
        <v>20574.519179634597</v>
      </c>
      <c r="AA159" s="997">
        <f>'Output H2 L'!X32</f>
        <v>20986.009563227293</v>
      </c>
      <c r="AB159" s="997">
        <f>'Output H2 L'!Y32</f>
        <v>21405.729754491837</v>
      </c>
      <c r="AC159" s="997">
        <f>'Output H2 L'!Z32</f>
        <v>21833.844349581668</v>
      </c>
      <c r="AD159" s="997">
        <f>'Output H2 L'!AA32</f>
        <v>22270.521236573306</v>
      </c>
      <c r="AE159" s="997">
        <f>'Output H2 L'!AB32</f>
        <v>22715.93166130477</v>
      </c>
      <c r="AF159" s="997">
        <f>'Output H2 L'!AC32</f>
        <v>23170.25029453087</v>
      </c>
      <c r="AG159" s="997">
        <f>'Output H2 L'!AD32</f>
        <v>23633.65530042148</v>
      </c>
      <c r="AH159" s="997">
        <f>'Output H2 L'!AE32</f>
        <v>24106.328406429911</v>
      </c>
      <c r="AI159" s="997">
        <f>'Output H2 L'!AF32</f>
        <v>24588.45497455851</v>
      </c>
      <c r="AJ159" s="997">
        <f>'Output H2 L'!AG32</f>
        <v>25080.224074049682</v>
      </c>
      <c r="AK159" s="997">
        <f>'Output H2 L'!AH32</f>
        <v>25581.828555530672</v>
      </c>
      <c r="AL159" s="997">
        <f>'Output H2 L'!AI32</f>
        <v>26093.465126641291</v>
      </c>
      <c r="AM159" s="997">
        <f>'Output H2 L'!AJ32</f>
        <v>26615.334429174112</v>
      </c>
      <c r="AN159" s="997">
        <f>'Output H2 L'!AK32</f>
        <v>27147.641117757597</v>
      </c>
      <c r="AO159" s="997">
        <f>'Output H2 L'!AL32</f>
        <v>27690.593940112743</v>
      </c>
      <c r="AP159" s="997">
        <f>'Output H2 L'!AM32</f>
        <v>0</v>
      </c>
      <c r="AQ159" s="997">
        <f>'Output H2 L'!AN32</f>
        <v>0</v>
      </c>
      <c r="AR159" s="997">
        <f>'Output H2 L'!AO32</f>
        <v>0</v>
      </c>
      <c r="AS159" s="997">
        <f>'Output H2 L'!AP32</f>
        <v>0</v>
      </c>
      <c r="AT159" s="997">
        <f>'Output H2 L'!AQ32</f>
        <v>0</v>
      </c>
      <c r="AU159" s="997">
        <f>'Output H2 L'!AR32</f>
        <v>0</v>
      </c>
      <c r="AV159" s="997">
        <f>'Output H2 L'!AS32</f>
        <v>0</v>
      </c>
      <c r="AW159" s="997">
        <f>'Output H2 L'!AT32</f>
        <v>0</v>
      </c>
      <c r="AX159" s="997">
        <f>'Output H2 L'!AU32</f>
        <v>0</v>
      </c>
      <c r="AY159" s="997">
        <f>'Output H2 L'!AV32</f>
        <v>0</v>
      </c>
      <c r="AZ159" s="997">
        <f>'Output H2 L'!AW32</f>
        <v>0</v>
      </c>
      <c r="BA159" s="997">
        <f>'Output H2 L'!AX32</f>
        <v>0</v>
      </c>
      <c r="BB159" s="997">
        <f>'Output H2 L'!AY32</f>
        <v>0</v>
      </c>
      <c r="BC159" s="997">
        <f>'Output H2 L'!AZ32</f>
        <v>0</v>
      </c>
      <c r="BD159" s="997">
        <f>'Output H2 L'!BA32</f>
        <v>0</v>
      </c>
      <c r="BE159" s="997">
        <f>'Output H2 L'!BB32</f>
        <v>0</v>
      </c>
    </row>
    <row r="160" spans="2:57" x14ac:dyDescent="0.25">
      <c r="B160" s="316"/>
      <c r="C160" s="3"/>
      <c r="D160" s="3"/>
      <c r="E160" s="1008" t="str">
        <f>'Output H2 L'!B33</f>
        <v>H2 processing revenue</v>
      </c>
      <c r="F160" s="999" t="str">
        <f>'Output H2 L'!C33</f>
        <v>[kEUR]</v>
      </c>
      <c r="G160" s="1006">
        <f>'Output H2 L'!D33</f>
        <v>442828.84366893937</v>
      </c>
      <c r="H160" s="1006">
        <f>'Output H2 L'!E33</f>
        <v>58825.792423478197</v>
      </c>
      <c r="I160" s="998"/>
      <c r="J160" s="1006">
        <f>'Output H2 L'!G33</f>
        <v>0</v>
      </c>
      <c r="K160" s="1006">
        <f>'Output H2 L'!H33</f>
        <v>0</v>
      </c>
      <c r="L160" s="1006">
        <f>'Output H2 L'!I33</f>
        <v>0</v>
      </c>
      <c r="M160" s="1006">
        <f>'Output H2 L'!J33</f>
        <v>0</v>
      </c>
      <c r="N160" s="1006">
        <f>'Output H2 L'!K33</f>
        <v>0</v>
      </c>
      <c r="O160" s="1006">
        <f>'Output H2 L'!L33</f>
        <v>0</v>
      </c>
      <c r="P160" s="1006">
        <f>'Output H2 L'!M33</f>
        <v>0</v>
      </c>
      <c r="Q160" s="1006">
        <f>'Output H2 L'!N33</f>
        <v>0</v>
      </c>
      <c r="R160" s="1006">
        <f>'Output H2 L'!O33</f>
        <v>0</v>
      </c>
      <c r="S160" s="1006">
        <f>'Output H2 L'!P33</f>
        <v>0</v>
      </c>
      <c r="T160" s="1006">
        <f>'Output H2 L'!Q33</f>
        <v>0</v>
      </c>
      <c r="U160" s="1006">
        <f>'Output H2 L'!R33</f>
        <v>0</v>
      </c>
      <c r="V160" s="1006">
        <f>'Output H2 L'!S33</f>
        <v>0</v>
      </c>
      <c r="W160" s="1006">
        <f>'Output H2 L'!T33</f>
        <v>19387.828945536217</v>
      </c>
      <c r="X160" s="1006">
        <f>'Output H2 L'!U33</f>
        <v>19775.585524446942</v>
      </c>
      <c r="Y160" s="1006">
        <f>'Output H2 L'!V33</f>
        <v>20171.097234935874</v>
      </c>
      <c r="Z160" s="1006">
        <f>'Output H2 L'!W33</f>
        <v>20574.519179634597</v>
      </c>
      <c r="AA160" s="1006">
        <f>'Output H2 L'!X33</f>
        <v>20986.009563227293</v>
      </c>
      <c r="AB160" s="1006">
        <f>'Output H2 L'!Y33</f>
        <v>21405.729754491837</v>
      </c>
      <c r="AC160" s="1006">
        <f>'Output H2 L'!Z33</f>
        <v>21833.844349581668</v>
      </c>
      <c r="AD160" s="1006">
        <f>'Output H2 L'!AA33</f>
        <v>22270.521236573306</v>
      </c>
      <c r="AE160" s="1006">
        <f>'Output H2 L'!AB33</f>
        <v>22715.93166130477</v>
      </c>
      <c r="AF160" s="1006">
        <f>'Output H2 L'!AC33</f>
        <v>23170.25029453087</v>
      </c>
      <c r="AG160" s="1006">
        <f>'Output H2 L'!AD33</f>
        <v>23633.65530042148</v>
      </c>
      <c r="AH160" s="1006">
        <f>'Output H2 L'!AE33</f>
        <v>24106.328406429911</v>
      </c>
      <c r="AI160" s="1006">
        <f>'Output H2 L'!AF33</f>
        <v>24588.45497455851</v>
      </c>
      <c r="AJ160" s="1006">
        <f>'Output H2 L'!AG33</f>
        <v>25080.224074049682</v>
      </c>
      <c r="AK160" s="1006">
        <f>'Output H2 L'!AH33</f>
        <v>25581.828555530672</v>
      </c>
      <c r="AL160" s="1006">
        <f>'Output H2 L'!AI33</f>
        <v>26093.465126641291</v>
      </c>
      <c r="AM160" s="1006">
        <f>'Output H2 L'!AJ33</f>
        <v>26615.334429174112</v>
      </c>
      <c r="AN160" s="1006">
        <f>'Output H2 L'!AK33</f>
        <v>27147.641117757597</v>
      </c>
      <c r="AO160" s="1006">
        <f>'Output H2 L'!AL33</f>
        <v>27690.593940112743</v>
      </c>
      <c r="AP160" s="1006">
        <f>'Output H2 L'!AM33</f>
        <v>0</v>
      </c>
      <c r="AQ160" s="1006">
        <f>'Output H2 L'!AN33</f>
        <v>0</v>
      </c>
      <c r="AR160" s="1006">
        <f>'Output H2 L'!AO33</f>
        <v>0</v>
      </c>
      <c r="AS160" s="1006">
        <f>'Output H2 L'!AP33</f>
        <v>0</v>
      </c>
      <c r="AT160" s="1006">
        <f>'Output H2 L'!AQ33</f>
        <v>0</v>
      </c>
      <c r="AU160" s="1006">
        <f>'Output H2 L'!AR33</f>
        <v>0</v>
      </c>
      <c r="AV160" s="1006">
        <f>'Output H2 L'!AS33</f>
        <v>0</v>
      </c>
      <c r="AW160" s="1006">
        <f>'Output H2 L'!AT33</f>
        <v>0</v>
      </c>
      <c r="AX160" s="1006">
        <f>'Output H2 L'!AU33</f>
        <v>0</v>
      </c>
      <c r="AY160" s="1006">
        <f>'Output H2 L'!AV33</f>
        <v>0</v>
      </c>
      <c r="AZ160" s="1006">
        <f>'Output H2 L'!AW33</f>
        <v>0</v>
      </c>
      <c r="BA160" s="1006">
        <f>'Output H2 L'!AX33</f>
        <v>0</v>
      </c>
      <c r="BB160" s="1006">
        <f>'Output H2 L'!AY33</f>
        <v>0</v>
      </c>
      <c r="BC160" s="1006">
        <f>'Output H2 L'!AZ33</f>
        <v>0</v>
      </c>
      <c r="BD160" s="1006">
        <f>'Output H2 L'!BA33</f>
        <v>0</v>
      </c>
      <c r="BE160" s="1006">
        <f>'Output H2 L'!BB33</f>
        <v>0</v>
      </c>
    </row>
    <row r="161" spans="2:57" x14ac:dyDescent="0.25">
      <c r="B161" s="316"/>
      <c r="C161" s="3"/>
      <c r="D161" s="3"/>
      <c r="E161" s="1009">
        <f>'Output H2 L'!B34</f>
        <v>0</v>
      </c>
      <c r="F161" s="1002">
        <f>'Output H2 L'!C34</f>
        <v>0</v>
      </c>
      <c r="G161" s="1007">
        <f>'Output H2 L'!D34</f>
        <v>0</v>
      </c>
      <c r="H161" s="1007">
        <f>'Output H2 L'!E34</f>
        <v>0</v>
      </c>
      <c r="I161" s="1001"/>
      <c r="J161" s="1010">
        <f>'Output H2 L'!G34</f>
        <v>0</v>
      </c>
      <c r="K161" s="1010">
        <f>'Output H2 L'!H34</f>
        <v>0</v>
      </c>
      <c r="L161" s="1010">
        <f>'Output H2 L'!I34</f>
        <v>0</v>
      </c>
      <c r="M161" s="1010">
        <f>'Output H2 L'!J34</f>
        <v>0</v>
      </c>
      <c r="N161" s="1010">
        <f>'Output H2 L'!K34</f>
        <v>0</v>
      </c>
      <c r="O161" s="1010">
        <f>'Output H2 L'!L34</f>
        <v>0</v>
      </c>
      <c r="P161" s="1010">
        <f>'Output H2 L'!M34</f>
        <v>0</v>
      </c>
      <c r="Q161" s="1010">
        <f>'Output H2 L'!N34</f>
        <v>0</v>
      </c>
      <c r="R161" s="1010">
        <f>'Output H2 L'!O34</f>
        <v>0</v>
      </c>
      <c r="S161" s="1010">
        <f>'Output H2 L'!P34</f>
        <v>0</v>
      </c>
      <c r="T161" s="1010">
        <f>'Output H2 L'!Q34</f>
        <v>0</v>
      </c>
      <c r="U161" s="1010">
        <f>'Output H2 L'!R34</f>
        <v>0</v>
      </c>
      <c r="V161" s="1010">
        <f>'Output H2 L'!S34</f>
        <v>0</v>
      </c>
      <c r="W161" s="1010">
        <f>'Output H2 L'!T34</f>
        <v>0</v>
      </c>
      <c r="X161" s="1010">
        <f>'Output H2 L'!U34</f>
        <v>0</v>
      </c>
      <c r="Y161" s="1010">
        <f>'Output H2 L'!V34</f>
        <v>0</v>
      </c>
      <c r="Z161" s="1010">
        <f>'Output H2 L'!W34</f>
        <v>0</v>
      </c>
      <c r="AA161" s="1010">
        <f>'Output H2 L'!X34</f>
        <v>0</v>
      </c>
      <c r="AB161" s="1010">
        <f>'Output H2 L'!Y34</f>
        <v>0</v>
      </c>
      <c r="AC161" s="1010">
        <f>'Output H2 L'!Z34</f>
        <v>0</v>
      </c>
      <c r="AD161" s="1010">
        <f>'Output H2 L'!AA34</f>
        <v>0</v>
      </c>
      <c r="AE161" s="1010">
        <f>'Output H2 L'!AB34</f>
        <v>0</v>
      </c>
      <c r="AF161" s="1010">
        <f>'Output H2 L'!AC34</f>
        <v>0</v>
      </c>
      <c r="AG161" s="1010">
        <f>'Output H2 L'!AD34</f>
        <v>0</v>
      </c>
      <c r="AH161" s="1010">
        <f>'Output H2 L'!AE34</f>
        <v>0</v>
      </c>
      <c r="AI161" s="1010">
        <f>'Output H2 L'!AF34</f>
        <v>0</v>
      </c>
      <c r="AJ161" s="1010">
        <f>'Output H2 L'!AG34</f>
        <v>0</v>
      </c>
      <c r="AK161" s="1010">
        <f>'Output H2 L'!AH34</f>
        <v>0</v>
      </c>
      <c r="AL161" s="1010">
        <f>'Output H2 L'!AI34</f>
        <v>0</v>
      </c>
      <c r="AM161" s="1010">
        <f>'Output H2 L'!AJ34</f>
        <v>0</v>
      </c>
      <c r="AN161" s="1010">
        <f>'Output H2 L'!AK34</f>
        <v>0</v>
      </c>
      <c r="AO161" s="1010">
        <f>'Output H2 L'!AL34</f>
        <v>0</v>
      </c>
      <c r="AP161" s="1010">
        <f>'Output H2 L'!AM34</f>
        <v>0</v>
      </c>
      <c r="AQ161" s="1010">
        <f>'Output H2 L'!AN34</f>
        <v>0</v>
      </c>
      <c r="AR161" s="1010">
        <f>'Output H2 L'!AO34</f>
        <v>0</v>
      </c>
      <c r="AS161" s="1010">
        <f>'Output H2 L'!AP34</f>
        <v>0</v>
      </c>
      <c r="AT161" s="1010">
        <f>'Output H2 L'!AQ34</f>
        <v>0</v>
      </c>
      <c r="AU161" s="1010">
        <f>'Output H2 L'!AR34</f>
        <v>0</v>
      </c>
      <c r="AV161" s="1010">
        <f>'Output H2 L'!AS34</f>
        <v>0</v>
      </c>
      <c r="AW161" s="1010">
        <f>'Output H2 L'!AT34</f>
        <v>0</v>
      </c>
      <c r="AX161" s="1010">
        <f>'Output H2 L'!AU34</f>
        <v>0</v>
      </c>
      <c r="AY161" s="1010">
        <f>'Output H2 L'!AV34</f>
        <v>0</v>
      </c>
      <c r="AZ161" s="1010">
        <f>'Output H2 L'!AW34</f>
        <v>0</v>
      </c>
      <c r="BA161" s="1010">
        <f>'Output H2 L'!AX34</f>
        <v>0</v>
      </c>
      <c r="BB161" s="1010">
        <f>'Output H2 L'!AY34</f>
        <v>0</v>
      </c>
      <c r="BC161" s="1010">
        <f>'Output H2 L'!AZ34</f>
        <v>0</v>
      </c>
      <c r="BD161" s="1010">
        <f>'Output H2 L'!BA34</f>
        <v>0</v>
      </c>
      <c r="BE161" s="1010">
        <f>'Output H2 L'!BB34</f>
        <v>0</v>
      </c>
    </row>
    <row r="162" spans="2:57" x14ac:dyDescent="0.25">
      <c r="B162" s="316"/>
      <c r="C162" s="3"/>
      <c r="D162" s="3"/>
      <c r="E162" s="1001"/>
      <c r="F162" s="1002"/>
      <c r="G162" s="1007"/>
      <c r="H162" s="1007"/>
      <c r="I162" s="1001"/>
      <c r="J162" s="1007"/>
      <c r="K162" s="1007"/>
      <c r="L162" s="1007"/>
      <c r="M162" s="1007"/>
      <c r="N162" s="1007"/>
      <c r="O162" s="1007"/>
      <c r="P162" s="1007"/>
      <c r="Q162" s="1007"/>
      <c r="R162" s="1007"/>
      <c r="S162" s="1007"/>
      <c r="T162" s="1007"/>
      <c r="U162" s="1007"/>
      <c r="V162" s="1007"/>
      <c r="W162" s="1007"/>
      <c r="X162" s="1007"/>
      <c r="Y162" s="1007"/>
      <c r="Z162" s="1007"/>
      <c r="AA162" s="1007"/>
      <c r="AB162" s="1007"/>
      <c r="AC162" s="1007"/>
      <c r="AD162" s="1007"/>
      <c r="AE162" s="1007"/>
      <c r="AF162" s="1007"/>
      <c r="AG162" s="1007"/>
      <c r="AH162" s="1007"/>
      <c r="AI162" s="1007"/>
      <c r="AJ162" s="1007"/>
      <c r="AK162" s="1007"/>
      <c r="AL162" s="1007"/>
      <c r="AM162" s="1007"/>
      <c r="AN162" s="1007"/>
      <c r="AO162" s="1007"/>
      <c r="AP162" s="1007"/>
      <c r="AQ162" s="1007"/>
      <c r="AR162" s="1007"/>
      <c r="AS162" s="1007"/>
      <c r="AT162" s="1007"/>
      <c r="AU162" s="1007"/>
      <c r="AV162" s="1007"/>
      <c r="AW162" s="1007"/>
      <c r="AX162" s="1007"/>
      <c r="AY162" s="1007"/>
      <c r="AZ162" s="1007"/>
      <c r="BA162" s="1007"/>
      <c r="BB162" s="1007"/>
      <c r="BC162" s="1007"/>
      <c r="BD162" s="1007"/>
      <c r="BE162" s="1007"/>
    </row>
    <row r="163" spans="2:57" x14ac:dyDescent="0.25">
      <c r="B163" s="316"/>
      <c r="C163" s="3"/>
      <c r="D163" s="3"/>
      <c r="E163" s="1011"/>
      <c r="F163" s="1011"/>
      <c r="G163" s="1012"/>
      <c r="H163" s="1012"/>
      <c r="I163" s="1011"/>
      <c r="J163" s="1012"/>
      <c r="K163" s="1012"/>
      <c r="L163" s="1012"/>
      <c r="M163" s="1012"/>
      <c r="N163" s="1012"/>
      <c r="O163" s="1012"/>
      <c r="P163" s="1012"/>
      <c r="Q163" s="1012"/>
      <c r="R163" s="1012"/>
      <c r="S163" s="1012"/>
      <c r="T163" s="1012"/>
      <c r="U163" s="1012"/>
      <c r="V163" s="1012"/>
      <c r="W163" s="1012"/>
      <c r="X163" s="1012"/>
      <c r="Y163" s="1012"/>
      <c r="Z163" s="1012"/>
      <c r="AA163" s="1012"/>
      <c r="AB163" s="1012"/>
      <c r="AC163" s="1012"/>
      <c r="AD163" s="1012"/>
      <c r="AE163" s="1012"/>
      <c r="AF163" s="1012"/>
      <c r="AG163" s="1012"/>
      <c r="AH163" s="1012"/>
      <c r="AI163" s="1012"/>
      <c r="AJ163" s="1012"/>
      <c r="AK163" s="1012"/>
      <c r="AL163" s="1012"/>
      <c r="AM163" s="1012"/>
      <c r="AN163" s="1012"/>
      <c r="AO163" s="1012"/>
      <c r="AP163" s="1012"/>
      <c r="AQ163" s="1012"/>
      <c r="AR163" s="1012"/>
      <c r="AS163" s="1012"/>
      <c r="AT163" s="1012"/>
      <c r="AU163" s="1012"/>
      <c r="AV163" s="1012"/>
      <c r="AW163" s="1012"/>
      <c r="AX163" s="1012"/>
      <c r="AY163" s="1012"/>
      <c r="AZ163" s="1012"/>
      <c r="BA163" s="1012"/>
      <c r="BB163" s="1012"/>
      <c r="BC163" s="1012"/>
      <c r="BD163" s="1012"/>
      <c r="BE163" s="1012"/>
    </row>
    <row r="164" spans="2:57" x14ac:dyDescent="0.25">
      <c r="B164" s="316"/>
      <c r="C164" s="3"/>
      <c r="D164" s="3"/>
      <c r="E164" s="1013" t="str">
        <f>'Output H2 L'!B37</f>
        <v>Total</v>
      </c>
      <c r="F164" s="1013" t="str">
        <f>'Output H2 L'!C37</f>
        <v>[kEUR]</v>
      </c>
      <c r="G164" s="1014">
        <f>'Output H2 L'!D37</f>
        <v>-608202.61244538939</v>
      </c>
      <c r="H164" s="1014">
        <f>'Output H2 L'!E37</f>
        <v>-118874.84152082319</v>
      </c>
      <c r="I164" s="1013"/>
      <c r="J164" s="1014">
        <f>'Output H2 L'!G37</f>
        <v>0</v>
      </c>
      <c r="K164" s="1014">
        <f>'Output H2 L'!H37</f>
        <v>0</v>
      </c>
      <c r="L164" s="1014">
        <f>'Output H2 L'!I37</f>
        <v>0</v>
      </c>
      <c r="M164" s="1014">
        <f>'Output H2 L'!J37</f>
        <v>0</v>
      </c>
      <c r="N164" s="1014">
        <f>'Output H2 L'!K37</f>
        <v>0</v>
      </c>
      <c r="O164" s="1014">
        <f>'Output H2 L'!L37</f>
        <v>0</v>
      </c>
      <c r="P164" s="1014">
        <f>'Output H2 L'!M37</f>
        <v>0</v>
      </c>
      <c r="Q164" s="1014">
        <f>'Output H2 L'!N37</f>
        <v>0</v>
      </c>
      <c r="R164" s="1014">
        <f>'Output H2 L'!O37</f>
        <v>0</v>
      </c>
      <c r="S164" s="1014">
        <f>'Output H2 L'!P37</f>
        <v>0</v>
      </c>
      <c r="T164" s="1014">
        <f>'Output H2 L'!Q37</f>
        <v>0</v>
      </c>
      <c r="U164" s="1014">
        <f>'Output H2 L'!R37</f>
        <v>0</v>
      </c>
      <c r="V164" s="1014">
        <f>'Output H2 L'!S37</f>
        <v>-243568.87491132191</v>
      </c>
      <c r="W164" s="1014">
        <f>'Output H2 L'!T37</f>
        <v>-11635.395364141812</v>
      </c>
      <c r="X164" s="1014">
        <f>'Output H2 L'!U37</f>
        <v>-11873.653693239008</v>
      </c>
      <c r="Y164" s="1014">
        <f>'Output H2 L'!V37</f>
        <v>-12116.788197354424</v>
      </c>
      <c r="Z164" s="1014">
        <f>'Output H2 L'!W37</f>
        <v>-12364.898620157175</v>
      </c>
      <c r="AA164" s="1014">
        <f>'Output H2 L'!X37</f>
        <v>-12618.086744593085</v>
      </c>
      <c r="AB164" s="1014">
        <f>'Output H2 L'!Y37</f>
        <v>-12876.456434558368</v>
      </c>
      <c r="AC164" s="1014">
        <f>'Output H2 L'!Z37</f>
        <v>-13140.11367742443</v>
      </c>
      <c r="AD164" s="1014">
        <f>'Output H2 L'!AA37</f>
        <v>-13409.166627431314</v>
      </c>
      <c r="AE164" s="1014">
        <f>'Output H2 L'!AB37</f>
        <v>-13683.725649967499</v>
      </c>
      <c r="AF164" s="1014">
        <f>'Output H2 L'!AC37</f>
        <v>-13963.903366754155</v>
      </c>
      <c r="AG164" s="1014">
        <f>'Output H2 L'!AD37</f>
        <v>-33376.986805252309</v>
      </c>
      <c r="AH164" s="1014">
        <f>'Output H2 L'!AE37</f>
        <v>-14528.045062771012</v>
      </c>
      <c r="AI164" s="1014">
        <f>'Output H2 L'!AF37</f>
        <v>-14818.605964026436</v>
      </c>
      <c r="AJ164" s="1014">
        <f>'Output H2 L'!AG37</f>
        <v>-15114.978083306964</v>
      </c>
      <c r="AK164" s="1014">
        <f>'Output H2 L'!AH37</f>
        <v>-15417.277644973103</v>
      </c>
      <c r="AL164" s="1014">
        <f>'Output H2 L'!AI37</f>
        <v>-15725.623197872563</v>
      </c>
      <c r="AM164" s="1014">
        <f>'Output H2 L'!AJ37</f>
        <v>-16040.135661830016</v>
      </c>
      <c r="AN164" s="1014">
        <f>'Output H2 L'!AK37</f>
        <v>-16360.938375066613</v>
      </c>
      <c r="AO164" s="1014">
        <f>'Output H2 L'!AL37</f>
        <v>-16688.157142567947</v>
      </c>
      <c r="AP164" s="1014">
        <f>'Output H2 L'!AM37</f>
        <v>-78880.801220779249</v>
      </c>
      <c r="AQ164" s="1014">
        <f>'Output H2 L'!AN37</f>
        <v>0</v>
      </c>
      <c r="AR164" s="1014">
        <f>'Output H2 L'!AO37</f>
        <v>0</v>
      </c>
      <c r="AS164" s="1014">
        <f>'Output H2 L'!AP37</f>
        <v>0</v>
      </c>
      <c r="AT164" s="1014">
        <f>'Output H2 L'!AQ37</f>
        <v>0</v>
      </c>
      <c r="AU164" s="1014">
        <f>'Output H2 L'!AR37</f>
        <v>0</v>
      </c>
      <c r="AV164" s="1014">
        <f>'Output H2 L'!AS37</f>
        <v>0</v>
      </c>
      <c r="AW164" s="1014">
        <f>'Output H2 L'!AT37</f>
        <v>0</v>
      </c>
      <c r="AX164" s="1014">
        <f>'Output H2 L'!AU37</f>
        <v>0</v>
      </c>
      <c r="AY164" s="1014">
        <f>'Output H2 L'!AV37</f>
        <v>0</v>
      </c>
      <c r="AZ164" s="1014">
        <f>'Output H2 L'!AW37</f>
        <v>0</v>
      </c>
      <c r="BA164" s="1014">
        <f>'Output H2 L'!AX37</f>
        <v>0</v>
      </c>
      <c r="BB164" s="1014">
        <f>'Output H2 L'!AY37</f>
        <v>0</v>
      </c>
      <c r="BC164" s="1014">
        <f>'Output H2 L'!AZ37</f>
        <v>0</v>
      </c>
      <c r="BD164" s="1014">
        <f>'Output H2 L'!BA37</f>
        <v>0</v>
      </c>
      <c r="BE164" s="1014">
        <f>'Output H2 L'!BB37</f>
        <v>0</v>
      </c>
    </row>
    <row r="165" spans="2:57" x14ac:dyDescent="0.25">
      <c r="B165" s="316"/>
      <c r="C165" s="3"/>
      <c r="D165" s="3"/>
      <c r="E165" s="1015" t="str">
        <f>'Output H2 L'!B38</f>
        <v>Net Present</v>
      </c>
      <c r="F165" s="1016" t="str">
        <f>'Output H2 L'!C38</f>
        <v>[kEUR]</v>
      </c>
      <c r="G165" s="1017">
        <f>'Output H2 L'!D38</f>
        <v>-118874.84152082322</v>
      </c>
      <c r="H165" s="1017">
        <f>'Output H2 L'!E38</f>
        <v>0</v>
      </c>
      <c r="I165" s="1011"/>
      <c r="J165" s="1018">
        <f>'Output H2 L'!G38</f>
        <v>0</v>
      </c>
      <c r="K165" s="1018">
        <f>'Output H2 L'!H38</f>
        <v>0</v>
      </c>
      <c r="L165" s="1018">
        <f>'Output H2 L'!I38</f>
        <v>0</v>
      </c>
      <c r="M165" s="1018">
        <f>'Output H2 L'!J38</f>
        <v>0</v>
      </c>
      <c r="N165" s="1018">
        <f>'Output H2 L'!K38</f>
        <v>0</v>
      </c>
      <c r="O165" s="1018">
        <f>'Output H2 L'!L38</f>
        <v>0</v>
      </c>
      <c r="P165" s="1018">
        <f>'Output H2 L'!M38</f>
        <v>0</v>
      </c>
      <c r="Q165" s="1018">
        <f>'Output H2 L'!N38</f>
        <v>0</v>
      </c>
      <c r="R165" s="1018">
        <f>'Output H2 L'!O38</f>
        <v>0</v>
      </c>
      <c r="S165" s="1018">
        <f>'Output H2 L'!P38</f>
        <v>0</v>
      </c>
      <c r="T165" s="1018">
        <f>'Output H2 L'!Q38</f>
        <v>0</v>
      </c>
      <c r="U165" s="1018">
        <f>'Output H2 L'!R38</f>
        <v>0</v>
      </c>
      <c r="V165" s="1018">
        <f>'Output H2 L'!S38</f>
        <v>-77608.549781786045</v>
      </c>
      <c r="W165" s="1018">
        <f>'Output H2 L'!T38</f>
        <v>-3370.3595811452701</v>
      </c>
      <c r="X165" s="1018">
        <f>'Output H2 L'!U38</f>
        <v>-3126.704120236644</v>
      </c>
      <c r="Y165" s="1018">
        <f>'Output H2 L'!V38</f>
        <v>-2900.6627583367667</v>
      </c>
      <c r="Z165" s="1018">
        <f>'Output H2 L'!W38</f>
        <v>-2690.9622008376064</v>
      </c>
      <c r="AA165" s="1018">
        <f>'Output H2 L'!X38</f>
        <v>-2496.4211941372018</v>
      </c>
      <c r="AB165" s="1018">
        <f>'Output H2 L'!Y38</f>
        <v>-2315.9438726383755</v>
      </c>
      <c r="AC165" s="1018">
        <f>'Output H2 L'!Z38</f>
        <v>-2148.5135866282408</v>
      </c>
      <c r="AD165" s="1018">
        <f>'Output H2 L'!AA38</f>
        <v>-1993.1871762816588</v>
      </c>
      <c r="AE165" s="1018">
        <f>'Output H2 L'!AB38</f>
        <v>-1849.089659543818</v>
      </c>
      <c r="AF165" s="1018">
        <f>'Output H2 L'!AC38</f>
        <v>-1715.4093039775942</v>
      </c>
      <c r="AG165" s="1018">
        <f>'Output H2 L'!AD38</f>
        <v>-3727.4803991334843</v>
      </c>
      <c r="AH165" s="1018">
        <f>'Output H2 L'!AE38</f>
        <v>-1474.9684626927999</v>
      </c>
      <c r="AI165" s="1018">
        <f>'Output H2 L'!AF38</f>
        <v>-1367.6980290424144</v>
      </c>
      <c r="AJ165" s="1018">
        <f>'Output H2 L'!AG38</f>
        <v>-1268.2290814756932</v>
      </c>
      <c r="AK165" s="1018">
        <f>'Output H2 L'!AH38</f>
        <v>-1175.9942391865518</v>
      </c>
      <c r="AL165" s="1018">
        <f>'Output H2 L'!AI38</f>
        <v>-1090.4673854275297</v>
      </c>
      <c r="AM165" s="1018">
        <f>'Output H2 L'!AJ38</f>
        <v>-1011.1606664873458</v>
      </c>
      <c r="AN165" s="1018">
        <f>'Output H2 L'!AK38</f>
        <v>-937.62170892462939</v>
      </c>
      <c r="AO165" s="1018">
        <f>'Output H2 L'!AL38</f>
        <v>-869.43103918465636</v>
      </c>
      <c r="AP165" s="1018">
        <f>'Output H2 L'!AM38</f>
        <v>-3735.9872737188944</v>
      </c>
      <c r="AQ165" s="1018">
        <f>'Output H2 L'!AN38</f>
        <v>0</v>
      </c>
      <c r="AR165" s="1018">
        <f>'Output H2 L'!AO38</f>
        <v>0</v>
      </c>
      <c r="AS165" s="1018">
        <f>'Output H2 L'!AP38</f>
        <v>0</v>
      </c>
      <c r="AT165" s="1018">
        <f>'Output H2 L'!AQ38</f>
        <v>0</v>
      </c>
      <c r="AU165" s="1018">
        <f>'Output H2 L'!AR38</f>
        <v>0</v>
      </c>
      <c r="AV165" s="1018">
        <f>'Output H2 L'!AS38</f>
        <v>0</v>
      </c>
      <c r="AW165" s="1018">
        <f>'Output H2 L'!AT38</f>
        <v>0</v>
      </c>
      <c r="AX165" s="1018">
        <f>'Output H2 L'!AU38</f>
        <v>0</v>
      </c>
      <c r="AY165" s="1018">
        <f>'Output H2 L'!AV38</f>
        <v>0</v>
      </c>
      <c r="AZ165" s="1018">
        <f>'Output H2 L'!AW38</f>
        <v>0</v>
      </c>
      <c r="BA165" s="1018">
        <f>'Output H2 L'!AX38</f>
        <v>0</v>
      </c>
      <c r="BB165" s="1018">
        <f>'Output H2 L'!AY38</f>
        <v>0</v>
      </c>
      <c r="BC165" s="1018">
        <f>'Output H2 L'!AZ38</f>
        <v>0</v>
      </c>
      <c r="BD165" s="1018">
        <f>'Output H2 L'!BA38</f>
        <v>0</v>
      </c>
      <c r="BE165" s="1018">
        <f>'Output H2 L'!BB38</f>
        <v>0</v>
      </c>
    </row>
    <row r="166" spans="2:57" x14ac:dyDescent="0.25">
      <c r="B166" s="316"/>
      <c r="C166" s="3"/>
      <c r="D166" s="3"/>
      <c r="E166" s="1011"/>
      <c r="F166" s="1019"/>
      <c r="G166" s="1020"/>
      <c r="H166" s="1020"/>
      <c r="I166" s="1011"/>
      <c r="J166" s="1018"/>
      <c r="K166" s="1018"/>
      <c r="L166" s="1018"/>
      <c r="M166" s="1018"/>
      <c r="N166" s="1018"/>
      <c r="O166" s="1018"/>
      <c r="P166" s="1018"/>
      <c r="Q166" s="1018"/>
      <c r="R166" s="1018"/>
      <c r="S166" s="1018"/>
      <c r="T166" s="1018"/>
      <c r="U166" s="1018"/>
      <c r="V166" s="1018"/>
      <c r="W166" s="1018"/>
      <c r="X166" s="1018"/>
      <c r="Y166" s="1018"/>
      <c r="Z166" s="1018"/>
      <c r="AA166" s="1018"/>
      <c r="AB166" s="1018"/>
      <c r="AC166" s="1018"/>
      <c r="AD166" s="1018"/>
      <c r="AE166" s="1018"/>
      <c r="AF166" s="1018"/>
      <c r="AG166" s="1018"/>
      <c r="AH166" s="1018"/>
      <c r="AI166" s="1018"/>
      <c r="AJ166" s="1018"/>
      <c r="AK166" s="1018"/>
      <c r="AL166" s="1018"/>
      <c r="AM166" s="1018"/>
      <c r="AN166" s="1018"/>
      <c r="AO166" s="1018"/>
      <c r="AP166" s="1018"/>
      <c r="AQ166" s="1018"/>
      <c r="AR166" s="1018"/>
      <c r="AS166" s="1018"/>
      <c r="AT166" s="1018"/>
      <c r="AU166" s="1018"/>
      <c r="AV166" s="1018"/>
      <c r="AW166" s="1018"/>
      <c r="AX166" s="1018"/>
      <c r="AY166" s="1018"/>
      <c r="AZ166" s="1018"/>
      <c r="BA166" s="1018"/>
      <c r="BB166" s="1018"/>
      <c r="BC166" s="1018"/>
      <c r="BD166" s="1018"/>
      <c r="BE166" s="1018"/>
    </row>
    <row r="167" spans="2:57" x14ac:dyDescent="0.25">
      <c r="B167" s="316"/>
      <c r="C167" s="3"/>
      <c r="D167" s="3"/>
      <c r="E167" s="1011" t="str">
        <f>'Output H2 L'!B40</f>
        <v>Cumulative cashflow</v>
      </c>
      <c r="F167" s="1002" t="str">
        <f>'Output H2 L'!C40</f>
        <v>[kEUR]</v>
      </c>
      <c r="G167" s="1021">
        <f>'Output H2 L'!D40</f>
        <v>0</v>
      </c>
      <c r="H167" s="1021">
        <f>'Output H2 L'!E40</f>
        <v>0</v>
      </c>
      <c r="I167" s="1010"/>
      <c r="J167" s="1010">
        <f>'Output H2 L'!G40</f>
        <v>0</v>
      </c>
      <c r="K167" s="1010">
        <f>'Output H2 L'!H40</f>
        <v>0</v>
      </c>
      <c r="L167" s="1010">
        <f>'Output H2 L'!I40</f>
        <v>0</v>
      </c>
      <c r="M167" s="1010">
        <f>'Output H2 L'!J40</f>
        <v>0</v>
      </c>
      <c r="N167" s="1010">
        <f>'Output H2 L'!K40</f>
        <v>0</v>
      </c>
      <c r="O167" s="1010">
        <f>'Output H2 L'!L40</f>
        <v>0</v>
      </c>
      <c r="P167" s="1010">
        <f>'Output H2 L'!M40</f>
        <v>0</v>
      </c>
      <c r="Q167" s="1010">
        <f>'Output H2 L'!N40</f>
        <v>0</v>
      </c>
      <c r="R167" s="1010">
        <f>'Output H2 L'!O40</f>
        <v>0</v>
      </c>
      <c r="S167" s="1010">
        <f>'Output H2 L'!P40</f>
        <v>0</v>
      </c>
      <c r="T167" s="1010">
        <f>'Output H2 L'!Q40</f>
        <v>0</v>
      </c>
      <c r="U167" s="1010">
        <f>'Output H2 L'!R40</f>
        <v>0</v>
      </c>
      <c r="V167" s="1010">
        <f>'Output H2 L'!S40</f>
        <v>-243568.87491132191</v>
      </c>
      <c r="W167" s="1010">
        <f>'Output H2 L'!T40</f>
        <v>-255204.27027546373</v>
      </c>
      <c r="X167" s="1010">
        <f>'Output H2 L'!U40</f>
        <v>-267077.92396870273</v>
      </c>
      <c r="Y167" s="1010">
        <f>'Output H2 L'!V40</f>
        <v>-279194.71216605714</v>
      </c>
      <c r="Z167" s="1010">
        <f>'Output H2 L'!W40</f>
        <v>-291559.6107862143</v>
      </c>
      <c r="AA167" s="1010">
        <f>'Output H2 L'!X40</f>
        <v>-304177.6975308074</v>
      </c>
      <c r="AB167" s="1010">
        <f>'Output H2 L'!Y40</f>
        <v>-317054.15396536578</v>
      </c>
      <c r="AC167" s="1010">
        <f>'Output H2 L'!Z40</f>
        <v>-330194.26764279022</v>
      </c>
      <c r="AD167" s="1010">
        <f>'Output H2 L'!AA40</f>
        <v>-343603.43427022151</v>
      </c>
      <c r="AE167" s="1010">
        <f>'Output H2 L'!AB40</f>
        <v>-357287.15992018901</v>
      </c>
      <c r="AF167" s="1010">
        <f>'Output H2 L'!AC40</f>
        <v>-371251.06328694319</v>
      </c>
      <c r="AG167" s="1010">
        <f>'Output H2 L'!AD40</f>
        <v>-404628.05009219551</v>
      </c>
      <c r="AH167" s="1010">
        <f>'Output H2 L'!AE40</f>
        <v>-419156.09515496652</v>
      </c>
      <c r="AI167" s="1010">
        <f>'Output H2 L'!AF40</f>
        <v>-433974.70111899293</v>
      </c>
      <c r="AJ167" s="1010">
        <f>'Output H2 L'!AG40</f>
        <v>-449089.67920229991</v>
      </c>
      <c r="AK167" s="1010">
        <f>'Output H2 L'!AH40</f>
        <v>-464506.95684727305</v>
      </c>
      <c r="AL167" s="1010">
        <f>'Output H2 L'!AI40</f>
        <v>-480232.58004514559</v>
      </c>
      <c r="AM167" s="1010">
        <f>'Output H2 L'!AJ40</f>
        <v>-496272.71570697561</v>
      </c>
      <c r="AN167" s="1010">
        <f>'Output H2 L'!AK40</f>
        <v>-512633.65408204222</v>
      </c>
      <c r="AO167" s="1010">
        <f>'Output H2 L'!AL40</f>
        <v>-529321.8112246102</v>
      </c>
      <c r="AP167" s="1010">
        <f>'Output H2 L'!AM40</f>
        <v>-608202.61244538939</v>
      </c>
      <c r="AQ167" s="1010">
        <f>'Output H2 L'!AN40</f>
        <v>-608202.61244538939</v>
      </c>
      <c r="AR167" s="1010">
        <f>'Output H2 L'!AO40</f>
        <v>-608202.61244538939</v>
      </c>
      <c r="AS167" s="1010">
        <f>'Output H2 L'!AP40</f>
        <v>-608202.61244538939</v>
      </c>
      <c r="AT167" s="1010">
        <f>'Output H2 L'!AQ40</f>
        <v>-608202.61244538939</v>
      </c>
      <c r="AU167" s="1010">
        <f>'Output H2 L'!AR40</f>
        <v>-608202.61244538939</v>
      </c>
      <c r="AV167" s="1010">
        <f>'Output H2 L'!AS40</f>
        <v>-608202.61244538939</v>
      </c>
      <c r="AW167" s="1010">
        <f>'Output H2 L'!AT40</f>
        <v>-608202.61244538939</v>
      </c>
      <c r="AX167" s="1010">
        <f>'Output H2 L'!AU40</f>
        <v>-608202.61244538939</v>
      </c>
      <c r="AY167" s="1010">
        <f>'Output H2 L'!AV40</f>
        <v>-608202.61244538939</v>
      </c>
      <c r="AZ167" s="1010">
        <f>'Output H2 L'!AW40</f>
        <v>-608202.61244538939</v>
      </c>
      <c r="BA167" s="1010">
        <f>'Output H2 L'!AX40</f>
        <v>-608202.61244538939</v>
      </c>
      <c r="BB167" s="1010">
        <f>'Output H2 L'!AY40</f>
        <v>-608202.61244538939</v>
      </c>
      <c r="BC167" s="1010">
        <f>'Output H2 L'!AZ40</f>
        <v>-608202.61244538939</v>
      </c>
      <c r="BD167" s="1010">
        <f>'Output H2 L'!BA40</f>
        <v>-608202.61244538939</v>
      </c>
      <c r="BE167" s="1010">
        <f>'Output H2 L'!BB40</f>
        <v>-608202.61244538939</v>
      </c>
    </row>
    <row r="168" spans="2:57" x14ac:dyDescent="0.25">
      <c r="B168" s="316"/>
      <c r="C168" s="3"/>
      <c r="D168" s="3"/>
      <c r="E168" s="1011" t="str">
        <f>'Output H2 L'!B41</f>
        <v>Cumulative discounted cashflow</v>
      </c>
      <c r="F168" s="1002" t="str">
        <f>'Output H2 L'!C41</f>
        <v>[MEUR]</v>
      </c>
      <c r="G168" s="1021">
        <f>'Output H2 L'!D41</f>
        <v>0</v>
      </c>
      <c r="H168" s="1021">
        <f>'Output H2 L'!E41</f>
        <v>0</v>
      </c>
      <c r="I168" s="1010"/>
      <c r="J168" s="1010">
        <f>'Output H2 L'!G41</f>
        <v>0</v>
      </c>
      <c r="K168" s="1010">
        <f>'Output H2 L'!H41</f>
        <v>0</v>
      </c>
      <c r="L168" s="1010">
        <f>'Output H2 L'!I41</f>
        <v>0</v>
      </c>
      <c r="M168" s="1010">
        <f>'Output H2 L'!J41</f>
        <v>0</v>
      </c>
      <c r="N168" s="1010">
        <f>'Output H2 L'!K41</f>
        <v>0</v>
      </c>
      <c r="O168" s="1010">
        <f>'Output H2 L'!L41</f>
        <v>0</v>
      </c>
      <c r="P168" s="1010">
        <f>'Output H2 L'!M41</f>
        <v>0</v>
      </c>
      <c r="Q168" s="1010">
        <f>'Output H2 L'!N41</f>
        <v>0</v>
      </c>
      <c r="R168" s="1010">
        <f>'Output H2 L'!O41</f>
        <v>0</v>
      </c>
      <c r="S168" s="1010">
        <f>'Output H2 L'!P41</f>
        <v>0</v>
      </c>
      <c r="T168" s="1010">
        <f>'Output H2 L'!Q41</f>
        <v>0</v>
      </c>
      <c r="U168" s="1010">
        <f>'Output H2 L'!R41</f>
        <v>0</v>
      </c>
      <c r="V168" s="1010">
        <f>'Output H2 L'!S41</f>
        <v>-77.608549781786039</v>
      </c>
      <c r="W168" s="1010">
        <f>'Output H2 L'!T41</f>
        <v>-80.978909362931319</v>
      </c>
      <c r="X168" s="1010">
        <f>'Output H2 L'!U41</f>
        <v>-84.105613483167957</v>
      </c>
      <c r="Y168" s="1010">
        <f>'Output H2 L'!V41</f>
        <v>-87.006276241504722</v>
      </c>
      <c r="Z168" s="1010">
        <f>'Output H2 L'!W41</f>
        <v>-89.697238442342325</v>
      </c>
      <c r="AA168" s="1010">
        <f>'Output H2 L'!X41</f>
        <v>-92.193659636479524</v>
      </c>
      <c r="AB168" s="1010">
        <f>'Output H2 L'!Y41</f>
        <v>-94.509603509117909</v>
      </c>
      <c r="AC168" s="1010">
        <f>'Output H2 L'!Z41</f>
        <v>-96.65811709574615</v>
      </c>
      <c r="AD168" s="1010">
        <f>'Output H2 L'!AA41</f>
        <v>-98.651304272027801</v>
      </c>
      <c r="AE168" s="1010">
        <f>'Output H2 L'!AB41</f>
        <v>-100.50039393157162</v>
      </c>
      <c r="AF168" s="1010">
        <f>'Output H2 L'!AC41</f>
        <v>-102.21580323554922</v>
      </c>
      <c r="AG168" s="1010">
        <f>'Output H2 L'!AD41</f>
        <v>-105.9432836346827</v>
      </c>
      <c r="AH168" s="1010">
        <f>'Output H2 L'!AE41</f>
        <v>-107.4182520973755</v>
      </c>
      <c r="AI168" s="1010">
        <f>'Output H2 L'!AF41</f>
        <v>-108.78595012641792</v>
      </c>
      <c r="AJ168" s="1010">
        <f>'Output H2 L'!AG41</f>
        <v>-110.05417920789361</v>
      </c>
      <c r="AK168" s="1010">
        <f>'Output H2 L'!AH41</f>
        <v>-111.23017344708016</v>
      </c>
      <c r="AL168" s="1010">
        <f>'Output H2 L'!AI41</f>
        <v>-112.32064083250769</v>
      </c>
      <c r="AM168" s="1010">
        <f>'Output H2 L'!AJ41</f>
        <v>-113.33180149899503</v>
      </c>
      <c r="AN168" s="1010">
        <f>'Output H2 L'!AK41</f>
        <v>-114.26942320791967</v>
      </c>
      <c r="AO168" s="1010">
        <f>'Output H2 L'!AL41</f>
        <v>-115.13885424710432</v>
      </c>
      <c r="AP168" s="1010">
        <f>'Output H2 L'!AM41</f>
        <v>-118.87484152082322</v>
      </c>
      <c r="AQ168" s="1010">
        <f>'Output H2 L'!AN41</f>
        <v>-118.87484152082322</v>
      </c>
      <c r="AR168" s="1010">
        <f>'Output H2 L'!AO41</f>
        <v>-118.87484152082322</v>
      </c>
      <c r="AS168" s="1010">
        <f>'Output H2 L'!AP41</f>
        <v>-118.87484152082322</v>
      </c>
      <c r="AT168" s="1010">
        <f>'Output H2 L'!AQ41</f>
        <v>-118.87484152082322</v>
      </c>
      <c r="AU168" s="1010">
        <f>'Output H2 L'!AR41</f>
        <v>-118.87484152082322</v>
      </c>
      <c r="AV168" s="1010">
        <f>'Output H2 L'!AS41</f>
        <v>-118.87484152082322</v>
      </c>
      <c r="AW168" s="1010">
        <f>'Output H2 L'!AT41</f>
        <v>-118.87484152082322</v>
      </c>
      <c r="AX168" s="1010">
        <f>'Output H2 L'!AU41</f>
        <v>-118.87484152082322</v>
      </c>
      <c r="AY168" s="1010">
        <f>'Output H2 L'!AV41</f>
        <v>-118.87484152082322</v>
      </c>
      <c r="AZ168" s="1010">
        <f>'Output H2 L'!AW41</f>
        <v>-118.87484152082322</v>
      </c>
      <c r="BA168" s="1010">
        <f>'Output H2 L'!AX41</f>
        <v>-118.87484152082322</v>
      </c>
      <c r="BB168" s="1010">
        <f>'Output H2 L'!AY41</f>
        <v>-118.87484152082322</v>
      </c>
      <c r="BC168" s="1010">
        <f>'Output H2 L'!AZ41</f>
        <v>-118.87484152082322</v>
      </c>
      <c r="BD168" s="1010">
        <f>'Output H2 L'!BA41</f>
        <v>-118.87484152082322</v>
      </c>
      <c r="BE168" s="1010">
        <f>'Output H2 L'!BB41</f>
        <v>-118.87484152082322</v>
      </c>
    </row>
    <row r="169" spans="2:57" x14ac:dyDescent="0.25">
      <c r="B169" s="316"/>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row>
    <row r="170" spans="2:57" x14ac:dyDescent="0.25">
      <c r="B170" s="316"/>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row>
    <row r="171" spans="2:57" x14ac:dyDescent="0.25">
      <c r="B171" s="316"/>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row>
    <row r="172" spans="2:57" s="881" customFormat="1" ht="15.75" thickBot="1" x14ac:dyDescent="0.3">
      <c r="B172" s="879"/>
      <c r="C172" s="1022"/>
      <c r="D172" s="1022"/>
      <c r="E172" s="1022"/>
      <c r="F172" s="1022"/>
      <c r="G172" s="1022"/>
      <c r="H172" s="1022"/>
      <c r="I172" s="1022"/>
      <c r="J172" s="1022"/>
      <c r="K172" s="1022"/>
      <c r="L172" s="1022"/>
      <c r="M172" s="1022"/>
      <c r="N172" s="1022"/>
      <c r="O172" s="1022"/>
      <c r="P172" s="1022"/>
      <c r="Q172" s="1022"/>
      <c r="R172" s="1022"/>
      <c r="S172" s="1022"/>
      <c r="T172" s="1022"/>
      <c r="U172" s="1022"/>
      <c r="V172" s="1022"/>
      <c r="W172" s="1022"/>
      <c r="X172" s="1022"/>
      <c r="Y172" s="1022"/>
      <c r="Z172" s="1022"/>
      <c r="AA172" s="1022"/>
      <c r="AB172" s="1022"/>
      <c r="AC172" s="1022"/>
      <c r="AD172" s="1022"/>
      <c r="AE172" s="1022"/>
      <c r="AF172" s="1022"/>
      <c r="AG172" s="1022"/>
      <c r="AH172" s="1022"/>
      <c r="AI172" s="1022"/>
      <c r="AJ172" s="1022"/>
      <c r="AK172" s="1022"/>
      <c r="AL172" s="1022"/>
      <c r="AM172" s="1022"/>
      <c r="AN172" s="1022"/>
      <c r="AO172" s="1022"/>
      <c r="AP172" s="1022"/>
      <c r="AQ172" s="1022"/>
      <c r="AR172" s="1022"/>
      <c r="AS172" s="1022"/>
      <c r="AT172" s="1022"/>
      <c r="AU172" s="1022"/>
      <c r="AV172" s="1022"/>
      <c r="AW172" s="1022"/>
      <c r="AX172" s="1022"/>
      <c r="AY172" s="1022"/>
      <c r="AZ172" s="1022"/>
      <c r="BA172" s="1022"/>
      <c r="BB172" s="1022"/>
      <c r="BC172" s="1022"/>
      <c r="BD172" s="1022"/>
      <c r="BE172" s="1022"/>
    </row>
    <row r="173" spans="2:57" ht="15.75" thickTop="1" x14ac:dyDescent="0.25">
      <c r="B173" s="860"/>
    </row>
    <row r="174" spans="2:57" ht="18.75" x14ac:dyDescent="0.3">
      <c r="B174" s="1333" t="s">
        <v>1220</v>
      </c>
      <c r="D174" s="873"/>
      <c r="E174" s="874" t="s">
        <v>978</v>
      </c>
      <c r="F174" s="874" t="s">
        <v>979</v>
      </c>
      <c r="G174" s="875">
        <f>G175+G182+G205+G195</f>
        <v>-690113.09225268336</v>
      </c>
      <c r="H174" s="875">
        <f>H175+H182+H205+H195</f>
        <v>-215915.8923311386</v>
      </c>
      <c r="I174" s="875"/>
      <c r="J174" s="875">
        <f t="shared" ref="J174:BE174" si="0">J175+J182+J205+J195</f>
        <v>0</v>
      </c>
      <c r="K174" s="875">
        <f t="shared" si="0"/>
        <v>0</v>
      </c>
      <c r="L174" s="875">
        <f t="shared" si="0"/>
        <v>0</v>
      </c>
      <c r="M174" s="875">
        <f t="shared" si="0"/>
        <v>-64189.426769135316</v>
      </c>
      <c r="N174" s="875">
        <f t="shared" si="0"/>
        <v>0</v>
      </c>
      <c r="O174" s="875">
        <f t="shared" si="0"/>
        <v>0</v>
      </c>
      <c r="P174" s="875">
        <f t="shared" si="0"/>
        <v>0</v>
      </c>
      <c r="Q174" s="875">
        <f t="shared" si="0"/>
        <v>-30942.726957348743</v>
      </c>
      <c r="R174" s="875">
        <f t="shared" si="0"/>
        <v>0</v>
      </c>
      <c r="S174" s="875">
        <f t="shared" si="0"/>
        <v>0</v>
      </c>
      <c r="T174" s="875">
        <f t="shared" si="0"/>
        <v>0</v>
      </c>
      <c r="U174" s="875">
        <f t="shared" si="0"/>
        <v>0</v>
      </c>
      <c r="V174" s="875">
        <f t="shared" si="0"/>
        <v>-243568.87491132191</v>
      </c>
      <c r="W174" s="875">
        <f t="shared" si="0"/>
        <v>-231574.59988007782</v>
      </c>
      <c r="X174" s="875">
        <f t="shared" si="0"/>
        <v>0</v>
      </c>
      <c r="Y174" s="875">
        <f t="shared" si="0"/>
        <v>0</v>
      </c>
      <c r="Z174" s="875">
        <f t="shared" si="0"/>
        <v>0</v>
      </c>
      <c r="AA174" s="875">
        <f t="shared" si="0"/>
        <v>0</v>
      </c>
      <c r="AB174" s="875">
        <f t="shared" si="0"/>
        <v>0</v>
      </c>
      <c r="AC174" s="875">
        <f t="shared" si="0"/>
        <v>0</v>
      </c>
      <c r="AD174" s="875">
        <f t="shared" si="0"/>
        <v>0</v>
      </c>
      <c r="AE174" s="875">
        <f t="shared" si="0"/>
        <v>0</v>
      </c>
      <c r="AF174" s="875">
        <f t="shared" si="0"/>
        <v>0</v>
      </c>
      <c r="AG174" s="875">
        <f t="shared" si="0"/>
        <v>-19133.805371163082</v>
      </c>
      <c r="AH174" s="875">
        <f t="shared" si="0"/>
        <v>0</v>
      </c>
      <c r="AI174" s="875">
        <f t="shared" si="0"/>
        <v>0</v>
      </c>
      <c r="AJ174" s="875">
        <f t="shared" si="0"/>
        <v>0</v>
      </c>
      <c r="AK174" s="875">
        <f t="shared" si="0"/>
        <v>0</v>
      </c>
      <c r="AL174" s="875">
        <f t="shared" si="0"/>
        <v>0</v>
      </c>
      <c r="AM174" s="875">
        <f t="shared" si="0"/>
        <v>0</v>
      </c>
      <c r="AN174" s="875">
        <f t="shared" si="0"/>
        <v>-21822.857142857145</v>
      </c>
      <c r="AO174" s="875">
        <f t="shared" si="0"/>
        <v>0</v>
      </c>
      <c r="AP174" s="875">
        <f t="shared" si="0"/>
        <v>-78880.801220779249</v>
      </c>
      <c r="AQ174" s="875">
        <f t="shared" si="0"/>
        <v>0</v>
      </c>
      <c r="AR174" s="875">
        <f t="shared" si="0"/>
        <v>0</v>
      </c>
      <c r="AS174" s="875">
        <f t="shared" si="0"/>
        <v>0</v>
      </c>
      <c r="AT174" s="875">
        <f t="shared" si="0"/>
        <v>0</v>
      </c>
      <c r="AU174" s="875">
        <f t="shared" si="0"/>
        <v>0</v>
      </c>
      <c r="AV174" s="875">
        <f t="shared" si="0"/>
        <v>0</v>
      </c>
      <c r="AW174" s="875">
        <f t="shared" si="0"/>
        <v>0</v>
      </c>
      <c r="AX174" s="875">
        <f t="shared" si="0"/>
        <v>0</v>
      </c>
      <c r="AY174" s="875">
        <f t="shared" si="0"/>
        <v>0</v>
      </c>
      <c r="AZ174" s="875">
        <f t="shared" si="0"/>
        <v>0</v>
      </c>
      <c r="BA174" s="875">
        <f t="shared" si="0"/>
        <v>0</v>
      </c>
      <c r="BB174" s="875">
        <f t="shared" si="0"/>
        <v>0</v>
      </c>
      <c r="BC174" s="875">
        <f t="shared" si="0"/>
        <v>0</v>
      </c>
      <c r="BD174" s="875">
        <f t="shared" si="0"/>
        <v>0</v>
      </c>
      <c r="BE174" s="875">
        <f t="shared" si="0"/>
        <v>0</v>
      </c>
    </row>
    <row r="175" spans="2:57" s="749" customFormat="1" x14ac:dyDescent="0.25">
      <c r="B175" s="1333"/>
      <c r="D175" s="750"/>
      <c r="E175" s="865" t="str">
        <f>$B$30</f>
        <v>Electrification</v>
      </c>
      <c r="F175" s="865" t="s">
        <v>979</v>
      </c>
      <c r="G175" s="863">
        <f>SUM(G176:G181)</f>
        <v>-64189.426769135316</v>
      </c>
      <c r="H175" s="863">
        <f>SUM(H176:H181)</f>
        <v>-48226.466393039293</v>
      </c>
      <c r="I175" s="863"/>
      <c r="J175" s="863">
        <f>SUM(J176:J181)</f>
        <v>0</v>
      </c>
      <c r="K175" s="863">
        <f t="shared" ref="K175:BE175" si="1">SUM(K176:K181)</f>
        <v>0</v>
      </c>
      <c r="L175" s="863">
        <f t="shared" si="1"/>
        <v>0</v>
      </c>
      <c r="M175" s="863">
        <f t="shared" si="1"/>
        <v>-64189.426769135316</v>
      </c>
      <c r="N175" s="863">
        <f t="shared" si="1"/>
        <v>0</v>
      </c>
      <c r="O175" s="863">
        <f t="shared" si="1"/>
        <v>0</v>
      </c>
      <c r="P175" s="863">
        <f t="shared" si="1"/>
        <v>0</v>
      </c>
      <c r="Q175" s="863">
        <f t="shared" si="1"/>
        <v>0</v>
      </c>
      <c r="R175" s="863">
        <f t="shared" si="1"/>
        <v>0</v>
      </c>
      <c r="S175" s="863">
        <f t="shared" si="1"/>
        <v>0</v>
      </c>
      <c r="T175" s="863">
        <f t="shared" si="1"/>
        <v>0</v>
      </c>
      <c r="U175" s="863">
        <f t="shared" si="1"/>
        <v>0</v>
      </c>
      <c r="V175" s="863">
        <f t="shared" si="1"/>
        <v>0</v>
      </c>
      <c r="W175" s="863">
        <f t="shared" si="1"/>
        <v>0</v>
      </c>
      <c r="X175" s="863">
        <f t="shared" si="1"/>
        <v>0</v>
      </c>
      <c r="Y175" s="863">
        <f t="shared" si="1"/>
        <v>0</v>
      </c>
      <c r="Z175" s="863">
        <f t="shared" si="1"/>
        <v>0</v>
      </c>
      <c r="AA175" s="863">
        <f t="shared" si="1"/>
        <v>0</v>
      </c>
      <c r="AB175" s="863">
        <f t="shared" si="1"/>
        <v>0</v>
      </c>
      <c r="AC175" s="863">
        <f t="shared" si="1"/>
        <v>0</v>
      </c>
      <c r="AD175" s="863">
        <f t="shared" si="1"/>
        <v>0</v>
      </c>
      <c r="AE175" s="863">
        <f t="shared" si="1"/>
        <v>0</v>
      </c>
      <c r="AF175" s="863">
        <f t="shared" si="1"/>
        <v>0</v>
      </c>
      <c r="AG175" s="863">
        <f t="shared" si="1"/>
        <v>0</v>
      </c>
      <c r="AH175" s="863">
        <f t="shared" si="1"/>
        <v>0</v>
      </c>
      <c r="AI175" s="863">
        <f t="shared" si="1"/>
        <v>0</v>
      </c>
      <c r="AJ175" s="863">
        <f t="shared" si="1"/>
        <v>0</v>
      </c>
      <c r="AK175" s="863">
        <f t="shared" si="1"/>
        <v>0</v>
      </c>
      <c r="AL175" s="863">
        <f t="shared" si="1"/>
        <v>0</v>
      </c>
      <c r="AM175" s="863">
        <f t="shared" si="1"/>
        <v>0</v>
      </c>
      <c r="AN175" s="863">
        <f t="shared" si="1"/>
        <v>0</v>
      </c>
      <c r="AO175" s="863">
        <f t="shared" si="1"/>
        <v>0</v>
      </c>
      <c r="AP175" s="863">
        <f t="shared" si="1"/>
        <v>0</v>
      </c>
      <c r="AQ175" s="863">
        <f t="shared" si="1"/>
        <v>0</v>
      </c>
      <c r="AR175" s="863">
        <f t="shared" si="1"/>
        <v>0</v>
      </c>
      <c r="AS175" s="863">
        <f t="shared" si="1"/>
        <v>0</v>
      </c>
      <c r="AT175" s="863">
        <f t="shared" si="1"/>
        <v>0</v>
      </c>
      <c r="AU175" s="863">
        <f t="shared" si="1"/>
        <v>0</v>
      </c>
      <c r="AV175" s="863">
        <f t="shared" si="1"/>
        <v>0</v>
      </c>
      <c r="AW175" s="863">
        <f t="shared" si="1"/>
        <v>0</v>
      </c>
      <c r="AX175" s="863">
        <f t="shared" si="1"/>
        <v>0</v>
      </c>
      <c r="AY175" s="863">
        <f t="shared" si="1"/>
        <v>0</v>
      </c>
      <c r="AZ175" s="863">
        <f t="shared" si="1"/>
        <v>0</v>
      </c>
      <c r="BA175" s="863">
        <f t="shared" si="1"/>
        <v>0</v>
      </c>
      <c r="BB175" s="863">
        <f t="shared" si="1"/>
        <v>0</v>
      </c>
      <c r="BC175" s="863">
        <f t="shared" si="1"/>
        <v>0</v>
      </c>
      <c r="BD175" s="863">
        <f t="shared" si="1"/>
        <v>0</v>
      </c>
      <c r="BE175" s="863">
        <f t="shared" si="1"/>
        <v>0</v>
      </c>
    </row>
    <row r="176" spans="2:57" x14ac:dyDescent="0.25">
      <c r="B176" s="1333"/>
      <c r="D176" s="314"/>
      <c r="E176" s="866" t="str">
        <f>E31</f>
        <v>Cable costs</v>
      </c>
      <c r="F176" s="866" t="str">
        <f>F31</f>
        <v>[kEUR]</v>
      </c>
      <c r="G176" s="867">
        <f>G31</f>
        <v>-45800.499390515339</v>
      </c>
      <c r="H176" s="867">
        <f>H31</f>
        <v>-34410.593080777857</v>
      </c>
      <c r="I176" s="867"/>
      <c r="J176" s="867">
        <f t="shared" ref="J176:BE176" si="2">J31</f>
        <v>0</v>
      </c>
      <c r="K176" s="867">
        <f t="shared" si="2"/>
        <v>0</v>
      </c>
      <c r="L176" s="867">
        <f t="shared" si="2"/>
        <v>0</v>
      </c>
      <c r="M176" s="867">
        <f t="shared" si="2"/>
        <v>-45800.499390515339</v>
      </c>
      <c r="N176" s="867">
        <f t="shared" si="2"/>
        <v>0</v>
      </c>
      <c r="O176" s="867">
        <f t="shared" si="2"/>
        <v>0</v>
      </c>
      <c r="P176" s="867">
        <f t="shared" si="2"/>
        <v>0</v>
      </c>
      <c r="Q176" s="867">
        <f t="shared" si="2"/>
        <v>0</v>
      </c>
      <c r="R176" s="867">
        <f t="shared" si="2"/>
        <v>0</v>
      </c>
      <c r="S176" s="867">
        <f t="shared" si="2"/>
        <v>0</v>
      </c>
      <c r="T176" s="867">
        <f t="shared" si="2"/>
        <v>0</v>
      </c>
      <c r="U176" s="867">
        <f t="shared" si="2"/>
        <v>0</v>
      </c>
      <c r="V176" s="867">
        <f t="shared" si="2"/>
        <v>0</v>
      </c>
      <c r="W176" s="867">
        <f t="shared" si="2"/>
        <v>0</v>
      </c>
      <c r="X176" s="867">
        <f t="shared" si="2"/>
        <v>0</v>
      </c>
      <c r="Y176" s="867">
        <f t="shared" si="2"/>
        <v>0</v>
      </c>
      <c r="Z176" s="867">
        <f t="shared" si="2"/>
        <v>0</v>
      </c>
      <c r="AA176" s="867">
        <f t="shared" si="2"/>
        <v>0</v>
      </c>
      <c r="AB176" s="867">
        <f t="shared" si="2"/>
        <v>0</v>
      </c>
      <c r="AC176" s="867">
        <f t="shared" si="2"/>
        <v>0</v>
      </c>
      <c r="AD176" s="867">
        <f t="shared" si="2"/>
        <v>0</v>
      </c>
      <c r="AE176" s="867">
        <f t="shared" si="2"/>
        <v>0</v>
      </c>
      <c r="AF176" s="867">
        <f t="shared" si="2"/>
        <v>0</v>
      </c>
      <c r="AG176" s="867">
        <f t="shared" si="2"/>
        <v>0</v>
      </c>
      <c r="AH176" s="867">
        <f t="shared" si="2"/>
        <v>0</v>
      </c>
      <c r="AI176" s="867">
        <f t="shared" si="2"/>
        <v>0</v>
      </c>
      <c r="AJ176" s="867">
        <f t="shared" si="2"/>
        <v>0</v>
      </c>
      <c r="AK176" s="867">
        <f t="shared" si="2"/>
        <v>0</v>
      </c>
      <c r="AL176" s="867">
        <f t="shared" si="2"/>
        <v>0</v>
      </c>
      <c r="AM176" s="867">
        <f t="shared" si="2"/>
        <v>0</v>
      </c>
      <c r="AN176" s="867">
        <f t="shared" si="2"/>
        <v>0</v>
      </c>
      <c r="AO176" s="867">
        <f t="shared" si="2"/>
        <v>0</v>
      </c>
      <c r="AP176" s="867">
        <f t="shared" si="2"/>
        <v>0</v>
      </c>
      <c r="AQ176" s="867">
        <f t="shared" si="2"/>
        <v>0</v>
      </c>
      <c r="AR176" s="867">
        <f t="shared" si="2"/>
        <v>0</v>
      </c>
      <c r="AS176" s="867">
        <f t="shared" si="2"/>
        <v>0</v>
      </c>
      <c r="AT176" s="867">
        <f t="shared" si="2"/>
        <v>0</v>
      </c>
      <c r="AU176" s="867">
        <f t="shared" si="2"/>
        <v>0</v>
      </c>
      <c r="AV176" s="867">
        <f t="shared" si="2"/>
        <v>0</v>
      </c>
      <c r="AW176" s="867">
        <f t="shared" si="2"/>
        <v>0</v>
      </c>
      <c r="AX176" s="867">
        <f t="shared" si="2"/>
        <v>0</v>
      </c>
      <c r="AY176" s="867">
        <f t="shared" si="2"/>
        <v>0</v>
      </c>
      <c r="AZ176" s="867">
        <f t="shared" si="2"/>
        <v>0</v>
      </c>
      <c r="BA176" s="867">
        <f t="shared" si="2"/>
        <v>0</v>
      </c>
      <c r="BB176" s="867">
        <f t="shared" si="2"/>
        <v>0</v>
      </c>
      <c r="BC176" s="867">
        <f t="shared" si="2"/>
        <v>0</v>
      </c>
      <c r="BD176" s="867">
        <f t="shared" si="2"/>
        <v>0</v>
      </c>
      <c r="BE176" s="867">
        <f t="shared" si="2"/>
        <v>0</v>
      </c>
    </row>
    <row r="177" spans="2:57" x14ac:dyDescent="0.25">
      <c r="B177" s="1333"/>
      <c r="D177" s="314"/>
      <c r="E177" s="866" t="str">
        <f t="shared" ref="E177:H179" si="3">E33</f>
        <v>Refurbishment costs</v>
      </c>
      <c r="F177" s="866" t="str">
        <f t="shared" si="3"/>
        <v>[kEUR]</v>
      </c>
      <c r="G177" s="867">
        <f t="shared" si="3"/>
        <v>-14963.032799999999</v>
      </c>
      <c r="H177" s="867">
        <f t="shared" si="3"/>
        <v>-11241.948009015774</v>
      </c>
      <c r="I177" s="867"/>
      <c r="J177" s="867">
        <f t="shared" ref="J177:BE177" si="4">J33</f>
        <v>0</v>
      </c>
      <c r="K177" s="867">
        <f t="shared" si="4"/>
        <v>0</v>
      </c>
      <c r="L177" s="867">
        <f t="shared" si="4"/>
        <v>0</v>
      </c>
      <c r="M177" s="867">
        <f t="shared" si="4"/>
        <v>-14963.032799999999</v>
      </c>
      <c r="N177" s="867">
        <f t="shared" si="4"/>
        <v>0</v>
      </c>
      <c r="O177" s="867">
        <f t="shared" si="4"/>
        <v>0</v>
      </c>
      <c r="P177" s="867">
        <f t="shared" si="4"/>
        <v>0</v>
      </c>
      <c r="Q177" s="867">
        <f t="shared" si="4"/>
        <v>0</v>
      </c>
      <c r="R177" s="867">
        <f t="shared" si="4"/>
        <v>0</v>
      </c>
      <c r="S177" s="867">
        <f t="shared" si="4"/>
        <v>0</v>
      </c>
      <c r="T177" s="867">
        <f t="shared" si="4"/>
        <v>0</v>
      </c>
      <c r="U177" s="867">
        <f t="shared" si="4"/>
        <v>0</v>
      </c>
      <c r="V177" s="867">
        <f t="shared" si="4"/>
        <v>0</v>
      </c>
      <c r="W177" s="867">
        <f t="shared" si="4"/>
        <v>0</v>
      </c>
      <c r="X177" s="867">
        <f t="shared" si="4"/>
        <v>0</v>
      </c>
      <c r="Y177" s="867">
        <f t="shared" si="4"/>
        <v>0</v>
      </c>
      <c r="Z177" s="867">
        <f t="shared" si="4"/>
        <v>0</v>
      </c>
      <c r="AA177" s="867">
        <f t="shared" si="4"/>
        <v>0</v>
      </c>
      <c r="AB177" s="867">
        <f t="shared" si="4"/>
        <v>0</v>
      </c>
      <c r="AC177" s="867">
        <f t="shared" si="4"/>
        <v>0</v>
      </c>
      <c r="AD177" s="867">
        <f t="shared" si="4"/>
        <v>0</v>
      </c>
      <c r="AE177" s="867">
        <f t="shared" si="4"/>
        <v>0</v>
      </c>
      <c r="AF177" s="867">
        <f t="shared" si="4"/>
        <v>0</v>
      </c>
      <c r="AG177" s="867">
        <f t="shared" si="4"/>
        <v>0</v>
      </c>
      <c r="AH177" s="867">
        <f t="shared" si="4"/>
        <v>0</v>
      </c>
      <c r="AI177" s="867">
        <f t="shared" si="4"/>
        <v>0</v>
      </c>
      <c r="AJ177" s="867">
        <f t="shared" si="4"/>
        <v>0</v>
      </c>
      <c r="AK177" s="867">
        <f t="shared" si="4"/>
        <v>0</v>
      </c>
      <c r="AL177" s="867">
        <f t="shared" si="4"/>
        <v>0</v>
      </c>
      <c r="AM177" s="867">
        <f t="shared" si="4"/>
        <v>0</v>
      </c>
      <c r="AN177" s="867">
        <f t="shared" si="4"/>
        <v>0</v>
      </c>
      <c r="AO177" s="867">
        <f t="shared" si="4"/>
        <v>0</v>
      </c>
      <c r="AP177" s="867">
        <f t="shared" si="4"/>
        <v>0</v>
      </c>
      <c r="AQ177" s="867">
        <f t="shared" si="4"/>
        <v>0</v>
      </c>
      <c r="AR177" s="867">
        <f t="shared" si="4"/>
        <v>0</v>
      </c>
      <c r="AS177" s="867">
        <f t="shared" si="4"/>
        <v>0</v>
      </c>
      <c r="AT177" s="867">
        <f t="shared" si="4"/>
        <v>0</v>
      </c>
      <c r="AU177" s="867">
        <f t="shared" si="4"/>
        <v>0</v>
      </c>
      <c r="AV177" s="867">
        <f t="shared" si="4"/>
        <v>0</v>
      </c>
      <c r="AW177" s="867">
        <f t="shared" si="4"/>
        <v>0</v>
      </c>
      <c r="AX177" s="867">
        <f t="shared" si="4"/>
        <v>0</v>
      </c>
      <c r="AY177" s="867">
        <f t="shared" si="4"/>
        <v>0</v>
      </c>
      <c r="AZ177" s="867">
        <f t="shared" si="4"/>
        <v>0</v>
      </c>
      <c r="BA177" s="867">
        <f t="shared" si="4"/>
        <v>0</v>
      </c>
      <c r="BB177" s="867">
        <f t="shared" si="4"/>
        <v>0</v>
      </c>
      <c r="BC177" s="867">
        <f t="shared" si="4"/>
        <v>0</v>
      </c>
      <c r="BD177" s="867">
        <f t="shared" si="4"/>
        <v>0</v>
      </c>
      <c r="BE177" s="867">
        <f t="shared" si="4"/>
        <v>0</v>
      </c>
    </row>
    <row r="178" spans="2:57" x14ac:dyDescent="0.25">
      <c r="B178" s="1333"/>
      <c r="D178" s="314"/>
      <c r="E178" s="866" t="str">
        <f t="shared" si="3"/>
        <v>Platform downtime</v>
      </c>
      <c r="F178" s="866" t="str">
        <f t="shared" si="3"/>
        <v>[kEUR]</v>
      </c>
      <c r="G178" s="867">
        <f t="shared" si="3"/>
        <v>-3425.8945786199793</v>
      </c>
      <c r="H178" s="867">
        <f t="shared" si="3"/>
        <v>-2573.9253032456641</v>
      </c>
      <c r="I178" s="867"/>
      <c r="J178" s="867">
        <f t="shared" ref="J178:BE178" si="5">J34</f>
        <v>0</v>
      </c>
      <c r="K178" s="867">
        <f t="shared" si="5"/>
        <v>0</v>
      </c>
      <c r="L178" s="867">
        <f t="shared" si="5"/>
        <v>0</v>
      </c>
      <c r="M178" s="867">
        <f t="shared" si="5"/>
        <v>-3425.8945786199793</v>
      </c>
      <c r="N178" s="867">
        <f t="shared" si="5"/>
        <v>0</v>
      </c>
      <c r="O178" s="867">
        <f t="shared" si="5"/>
        <v>0</v>
      </c>
      <c r="P178" s="867">
        <f t="shared" si="5"/>
        <v>0</v>
      </c>
      <c r="Q178" s="867">
        <f t="shared" si="5"/>
        <v>0</v>
      </c>
      <c r="R178" s="867">
        <f t="shared" si="5"/>
        <v>0</v>
      </c>
      <c r="S178" s="867">
        <f t="shared" si="5"/>
        <v>0</v>
      </c>
      <c r="T178" s="867">
        <f t="shared" si="5"/>
        <v>0</v>
      </c>
      <c r="U178" s="867">
        <f t="shared" si="5"/>
        <v>0</v>
      </c>
      <c r="V178" s="867">
        <f t="shared" si="5"/>
        <v>0</v>
      </c>
      <c r="W178" s="867">
        <f t="shared" si="5"/>
        <v>0</v>
      </c>
      <c r="X178" s="867">
        <f t="shared" si="5"/>
        <v>0</v>
      </c>
      <c r="Y178" s="867">
        <f t="shared" si="5"/>
        <v>0</v>
      </c>
      <c r="Z178" s="867">
        <f t="shared" si="5"/>
        <v>0</v>
      </c>
      <c r="AA178" s="867">
        <f t="shared" si="5"/>
        <v>0</v>
      </c>
      <c r="AB178" s="867">
        <f t="shared" si="5"/>
        <v>0</v>
      </c>
      <c r="AC178" s="867">
        <f t="shared" si="5"/>
        <v>0</v>
      </c>
      <c r="AD178" s="867">
        <f t="shared" si="5"/>
        <v>0</v>
      </c>
      <c r="AE178" s="867">
        <f t="shared" si="5"/>
        <v>0</v>
      </c>
      <c r="AF178" s="867">
        <f t="shared" si="5"/>
        <v>0</v>
      </c>
      <c r="AG178" s="867">
        <f t="shared" si="5"/>
        <v>0</v>
      </c>
      <c r="AH178" s="867">
        <f t="shared" si="5"/>
        <v>0</v>
      </c>
      <c r="AI178" s="867">
        <f t="shared" si="5"/>
        <v>0</v>
      </c>
      <c r="AJ178" s="867">
        <f t="shared" si="5"/>
        <v>0</v>
      </c>
      <c r="AK178" s="867">
        <f t="shared" si="5"/>
        <v>0</v>
      </c>
      <c r="AL178" s="867">
        <f t="shared" si="5"/>
        <v>0</v>
      </c>
      <c r="AM178" s="867">
        <f t="shared" si="5"/>
        <v>0</v>
      </c>
      <c r="AN178" s="867">
        <f t="shared" si="5"/>
        <v>0</v>
      </c>
      <c r="AO178" s="867">
        <f t="shared" si="5"/>
        <v>0</v>
      </c>
      <c r="AP178" s="867">
        <f t="shared" si="5"/>
        <v>0</v>
      </c>
      <c r="AQ178" s="867">
        <f t="shared" si="5"/>
        <v>0</v>
      </c>
      <c r="AR178" s="867">
        <f t="shared" si="5"/>
        <v>0</v>
      </c>
      <c r="AS178" s="867">
        <f t="shared" si="5"/>
        <v>0</v>
      </c>
      <c r="AT178" s="867">
        <f t="shared" si="5"/>
        <v>0</v>
      </c>
      <c r="AU178" s="867">
        <f t="shared" si="5"/>
        <v>0</v>
      </c>
      <c r="AV178" s="867">
        <f t="shared" si="5"/>
        <v>0</v>
      </c>
      <c r="AW178" s="867">
        <f t="shared" si="5"/>
        <v>0</v>
      </c>
      <c r="AX178" s="867">
        <f t="shared" si="5"/>
        <v>0</v>
      </c>
      <c r="AY178" s="867">
        <f t="shared" si="5"/>
        <v>0</v>
      </c>
      <c r="AZ178" s="867">
        <f t="shared" si="5"/>
        <v>0</v>
      </c>
      <c r="BA178" s="867">
        <f t="shared" si="5"/>
        <v>0</v>
      </c>
      <c r="BB178" s="867">
        <f t="shared" si="5"/>
        <v>0</v>
      </c>
      <c r="BC178" s="867">
        <f t="shared" si="5"/>
        <v>0</v>
      </c>
      <c r="BD178" s="867">
        <f t="shared" si="5"/>
        <v>0</v>
      </c>
      <c r="BE178" s="867">
        <f t="shared" si="5"/>
        <v>0</v>
      </c>
    </row>
    <row r="179" spans="2:57" x14ac:dyDescent="0.25">
      <c r="B179" s="1333"/>
      <c r="D179" s="1189"/>
      <c r="E179" s="866" t="str">
        <f t="shared" si="3"/>
        <v>Additional pipeline CAPEX</v>
      </c>
      <c r="F179" s="866" t="str">
        <f t="shared" si="3"/>
        <v>[kEUR]</v>
      </c>
      <c r="G179" s="867">
        <f t="shared" si="3"/>
        <v>0</v>
      </c>
      <c r="H179" s="867">
        <f t="shared" si="3"/>
        <v>0</v>
      </c>
      <c r="I179" s="867"/>
      <c r="J179" s="867">
        <f t="shared" ref="J179:BE179" si="6">J35</f>
        <v>0</v>
      </c>
      <c r="K179" s="867">
        <f t="shared" si="6"/>
        <v>0</v>
      </c>
      <c r="L179" s="867">
        <f t="shared" si="6"/>
        <v>0</v>
      </c>
      <c r="M179" s="867">
        <f t="shared" si="6"/>
        <v>0</v>
      </c>
      <c r="N179" s="867">
        <f t="shared" si="6"/>
        <v>0</v>
      </c>
      <c r="O179" s="867">
        <f t="shared" si="6"/>
        <v>0</v>
      </c>
      <c r="P179" s="867">
        <f t="shared" si="6"/>
        <v>0</v>
      </c>
      <c r="Q179" s="867">
        <f t="shared" si="6"/>
        <v>0</v>
      </c>
      <c r="R179" s="867">
        <f t="shared" si="6"/>
        <v>0</v>
      </c>
      <c r="S179" s="867">
        <f t="shared" si="6"/>
        <v>0</v>
      </c>
      <c r="T179" s="867">
        <f t="shared" si="6"/>
        <v>0</v>
      </c>
      <c r="U179" s="867">
        <f t="shared" si="6"/>
        <v>0</v>
      </c>
      <c r="V179" s="867">
        <f t="shared" si="6"/>
        <v>0</v>
      </c>
      <c r="W179" s="867">
        <f t="shared" si="6"/>
        <v>0</v>
      </c>
      <c r="X179" s="867">
        <f t="shared" si="6"/>
        <v>0</v>
      </c>
      <c r="Y179" s="867">
        <f t="shared" si="6"/>
        <v>0</v>
      </c>
      <c r="Z179" s="867">
        <f t="shared" si="6"/>
        <v>0</v>
      </c>
      <c r="AA179" s="867">
        <f t="shared" si="6"/>
        <v>0</v>
      </c>
      <c r="AB179" s="867">
        <f t="shared" si="6"/>
        <v>0</v>
      </c>
      <c r="AC179" s="867">
        <f t="shared" si="6"/>
        <v>0</v>
      </c>
      <c r="AD179" s="867">
        <f t="shared" si="6"/>
        <v>0</v>
      </c>
      <c r="AE179" s="867">
        <f t="shared" si="6"/>
        <v>0</v>
      </c>
      <c r="AF179" s="867">
        <f t="shared" si="6"/>
        <v>0</v>
      </c>
      <c r="AG179" s="867">
        <f t="shared" si="6"/>
        <v>0</v>
      </c>
      <c r="AH179" s="867">
        <f t="shared" si="6"/>
        <v>0</v>
      </c>
      <c r="AI179" s="867">
        <f t="shared" si="6"/>
        <v>0</v>
      </c>
      <c r="AJ179" s="867">
        <f t="shared" si="6"/>
        <v>0</v>
      </c>
      <c r="AK179" s="867">
        <f t="shared" si="6"/>
        <v>0</v>
      </c>
      <c r="AL179" s="867">
        <f t="shared" si="6"/>
        <v>0</v>
      </c>
      <c r="AM179" s="867">
        <f t="shared" si="6"/>
        <v>0</v>
      </c>
      <c r="AN179" s="867">
        <f t="shared" si="6"/>
        <v>0</v>
      </c>
      <c r="AO179" s="867">
        <f t="shared" si="6"/>
        <v>0</v>
      </c>
      <c r="AP179" s="867">
        <f t="shared" si="6"/>
        <v>0</v>
      </c>
      <c r="AQ179" s="867">
        <f t="shared" si="6"/>
        <v>0</v>
      </c>
      <c r="AR179" s="867">
        <f t="shared" si="6"/>
        <v>0</v>
      </c>
      <c r="AS179" s="867">
        <f t="shared" si="6"/>
        <v>0</v>
      </c>
      <c r="AT179" s="867">
        <f t="shared" si="6"/>
        <v>0</v>
      </c>
      <c r="AU179" s="867">
        <f t="shared" si="6"/>
        <v>0</v>
      </c>
      <c r="AV179" s="867">
        <f t="shared" si="6"/>
        <v>0</v>
      </c>
      <c r="AW179" s="867">
        <f t="shared" si="6"/>
        <v>0</v>
      </c>
      <c r="AX179" s="867">
        <f t="shared" si="6"/>
        <v>0</v>
      </c>
      <c r="AY179" s="867">
        <f t="shared" si="6"/>
        <v>0</v>
      </c>
      <c r="AZ179" s="867">
        <f t="shared" si="6"/>
        <v>0</v>
      </c>
      <c r="BA179" s="867">
        <f t="shared" si="6"/>
        <v>0</v>
      </c>
      <c r="BB179" s="867">
        <f t="shared" si="6"/>
        <v>0</v>
      </c>
      <c r="BC179" s="867">
        <f t="shared" si="6"/>
        <v>0</v>
      </c>
      <c r="BD179" s="867">
        <f t="shared" si="6"/>
        <v>0</v>
      </c>
      <c r="BE179" s="867">
        <f t="shared" si="6"/>
        <v>0</v>
      </c>
    </row>
    <row r="180" spans="2:57" x14ac:dyDescent="0.25">
      <c r="B180" s="1333"/>
      <c r="D180" s="314"/>
      <c r="E180" s="866" t="str">
        <f>E32</f>
        <v>Cable costs shared</v>
      </c>
      <c r="F180" s="866" t="str">
        <f>F32</f>
        <v>[kEUR]</v>
      </c>
      <c r="G180" s="867">
        <f>G32</f>
        <v>0</v>
      </c>
      <c r="H180" s="867">
        <f>H32</f>
        <v>0</v>
      </c>
      <c r="I180" s="867"/>
      <c r="J180" s="867">
        <f t="shared" ref="J180:BE180" si="7">J32</f>
        <v>0</v>
      </c>
      <c r="K180" s="867">
        <f t="shared" si="7"/>
        <v>0</v>
      </c>
      <c r="L180" s="867">
        <f t="shared" si="7"/>
        <v>0</v>
      </c>
      <c r="M180" s="867">
        <f t="shared" si="7"/>
        <v>0</v>
      </c>
      <c r="N180" s="867">
        <f t="shared" si="7"/>
        <v>0</v>
      </c>
      <c r="O180" s="867">
        <f t="shared" si="7"/>
        <v>0</v>
      </c>
      <c r="P180" s="867">
        <f t="shared" si="7"/>
        <v>0</v>
      </c>
      <c r="Q180" s="867">
        <f t="shared" si="7"/>
        <v>0</v>
      </c>
      <c r="R180" s="867">
        <f t="shared" si="7"/>
        <v>0</v>
      </c>
      <c r="S180" s="867">
        <f t="shared" si="7"/>
        <v>0</v>
      </c>
      <c r="T180" s="867">
        <f t="shared" si="7"/>
        <v>0</v>
      </c>
      <c r="U180" s="867">
        <f t="shared" si="7"/>
        <v>0</v>
      </c>
      <c r="V180" s="867">
        <f t="shared" si="7"/>
        <v>0</v>
      </c>
      <c r="W180" s="867">
        <f t="shared" si="7"/>
        <v>0</v>
      </c>
      <c r="X180" s="867">
        <f t="shared" si="7"/>
        <v>0</v>
      </c>
      <c r="Y180" s="867">
        <f t="shared" si="7"/>
        <v>0</v>
      </c>
      <c r="Z180" s="867">
        <f t="shared" si="7"/>
        <v>0</v>
      </c>
      <c r="AA180" s="867">
        <f t="shared" si="7"/>
        <v>0</v>
      </c>
      <c r="AB180" s="867">
        <f t="shared" si="7"/>
        <v>0</v>
      </c>
      <c r="AC180" s="867">
        <f t="shared" si="7"/>
        <v>0</v>
      </c>
      <c r="AD180" s="867">
        <f t="shared" si="7"/>
        <v>0</v>
      </c>
      <c r="AE180" s="867">
        <f t="shared" si="7"/>
        <v>0</v>
      </c>
      <c r="AF180" s="867">
        <f t="shared" si="7"/>
        <v>0</v>
      </c>
      <c r="AG180" s="867">
        <f t="shared" si="7"/>
        <v>0</v>
      </c>
      <c r="AH180" s="867">
        <f t="shared" si="7"/>
        <v>0</v>
      </c>
      <c r="AI180" s="867">
        <f t="shared" si="7"/>
        <v>0</v>
      </c>
      <c r="AJ180" s="867">
        <f t="shared" si="7"/>
        <v>0</v>
      </c>
      <c r="AK180" s="867">
        <f t="shared" si="7"/>
        <v>0</v>
      </c>
      <c r="AL180" s="867">
        <f t="shared" si="7"/>
        <v>0</v>
      </c>
      <c r="AM180" s="867">
        <f t="shared" si="7"/>
        <v>0</v>
      </c>
      <c r="AN180" s="867">
        <f t="shared" si="7"/>
        <v>0</v>
      </c>
      <c r="AO180" s="867">
        <f t="shared" si="7"/>
        <v>0</v>
      </c>
      <c r="AP180" s="867">
        <f t="shared" si="7"/>
        <v>0</v>
      </c>
      <c r="AQ180" s="867">
        <f t="shared" si="7"/>
        <v>0</v>
      </c>
      <c r="AR180" s="867">
        <f t="shared" si="7"/>
        <v>0</v>
      </c>
      <c r="AS180" s="867">
        <f t="shared" si="7"/>
        <v>0</v>
      </c>
      <c r="AT180" s="867">
        <f t="shared" si="7"/>
        <v>0</v>
      </c>
      <c r="AU180" s="867">
        <f t="shared" si="7"/>
        <v>0</v>
      </c>
      <c r="AV180" s="867">
        <f t="shared" si="7"/>
        <v>0</v>
      </c>
      <c r="AW180" s="867">
        <f t="shared" si="7"/>
        <v>0</v>
      </c>
      <c r="AX180" s="867">
        <f t="shared" si="7"/>
        <v>0</v>
      </c>
      <c r="AY180" s="867">
        <f t="shared" si="7"/>
        <v>0</v>
      </c>
      <c r="AZ180" s="867">
        <f t="shared" si="7"/>
        <v>0</v>
      </c>
      <c r="BA180" s="867">
        <f t="shared" si="7"/>
        <v>0</v>
      </c>
      <c r="BB180" s="867">
        <f t="shared" si="7"/>
        <v>0</v>
      </c>
      <c r="BC180" s="867">
        <f t="shared" si="7"/>
        <v>0</v>
      </c>
      <c r="BD180" s="867">
        <f t="shared" si="7"/>
        <v>0</v>
      </c>
      <c r="BE180" s="867">
        <f t="shared" si="7"/>
        <v>0</v>
      </c>
    </row>
    <row r="181" spans="2:57" x14ac:dyDescent="0.25">
      <c r="B181" s="1333"/>
      <c r="D181" s="314"/>
      <c r="E181" s="868" t="str">
        <f>E36</f>
        <v>Decom cost E &amp; NG phase</v>
      </c>
      <c r="F181" s="868" t="str">
        <f>F36</f>
        <v>[kEUR]</v>
      </c>
      <c r="G181" s="869">
        <f>G36</f>
        <v>0</v>
      </c>
      <c r="H181" s="869">
        <f>H36</f>
        <v>0</v>
      </c>
      <c r="I181" s="869"/>
      <c r="J181" s="869">
        <f t="shared" ref="J181:BE181" si="8">J36</f>
        <v>0</v>
      </c>
      <c r="K181" s="869">
        <f t="shared" si="8"/>
        <v>0</v>
      </c>
      <c r="L181" s="869">
        <f t="shared" si="8"/>
        <v>0</v>
      </c>
      <c r="M181" s="869">
        <f t="shared" si="8"/>
        <v>0</v>
      </c>
      <c r="N181" s="869">
        <f t="shared" si="8"/>
        <v>0</v>
      </c>
      <c r="O181" s="869">
        <f t="shared" si="8"/>
        <v>0</v>
      </c>
      <c r="P181" s="869">
        <f t="shared" si="8"/>
        <v>0</v>
      </c>
      <c r="Q181" s="869">
        <f t="shared" si="8"/>
        <v>0</v>
      </c>
      <c r="R181" s="869">
        <f t="shared" si="8"/>
        <v>0</v>
      </c>
      <c r="S181" s="869">
        <f t="shared" si="8"/>
        <v>0</v>
      </c>
      <c r="T181" s="869">
        <f t="shared" si="8"/>
        <v>0</v>
      </c>
      <c r="U181" s="869">
        <f t="shared" si="8"/>
        <v>0</v>
      </c>
      <c r="V181" s="869">
        <f t="shared" si="8"/>
        <v>0</v>
      </c>
      <c r="W181" s="869">
        <f t="shared" si="8"/>
        <v>0</v>
      </c>
      <c r="X181" s="869">
        <f t="shared" si="8"/>
        <v>0</v>
      </c>
      <c r="Y181" s="869">
        <f t="shared" si="8"/>
        <v>0</v>
      </c>
      <c r="Z181" s="869">
        <f t="shared" si="8"/>
        <v>0</v>
      </c>
      <c r="AA181" s="869">
        <f t="shared" si="8"/>
        <v>0</v>
      </c>
      <c r="AB181" s="869">
        <f t="shared" si="8"/>
        <v>0</v>
      </c>
      <c r="AC181" s="869">
        <f t="shared" si="8"/>
        <v>0</v>
      </c>
      <c r="AD181" s="869">
        <f t="shared" si="8"/>
        <v>0</v>
      </c>
      <c r="AE181" s="869">
        <f t="shared" si="8"/>
        <v>0</v>
      </c>
      <c r="AF181" s="869">
        <f t="shared" si="8"/>
        <v>0</v>
      </c>
      <c r="AG181" s="869">
        <f t="shared" si="8"/>
        <v>0</v>
      </c>
      <c r="AH181" s="869">
        <f t="shared" si="8"/>
        <v>0</v>
      </c>
      <c r="AI181" s="869">
        <f t="shared" si="8"/>
        <v>0</v>
      </c>
      <c r="AJ181" s="869">
        <f t="shared" si="8"/>
        <v>0</v>
      </c>
      <c r="AK181" s="869">
        <f t="shared" si="8"/>
        <v>0</v>
      </c>
      <c r="AL181" s="869">
        <f t="shared" si="8"/>
        <v>0</v>
      </c>
      <c r="AM181" s="869">
        <f t="shared" si="8"/>
        <v>0</v>
      </c>
      <c r="AN181" s="869">
        <f t="shared" si="8"/>
        <v>0</v>
      </c>
      <c r="AO181" s="869">
        <f t="shared" si="8"/>
        <v>0</v>
      </c>
      <c r="AP181" s="869">
        <f t="shared" si="8"/>
        <v>0</v>
      </c>
      <c r="AQ181" s="869">
        <f t="shared" si="8"/>
        <v>0</v>
      </c>
      <c r="AR181" s="869">
        <f t="shared" si="8"/>
        <v>0</v>
      </c>
      <c r="AS181" s="869">
        <f t="shared" si="8"/>
        <v>0</v>
      </c>
      <c r="AT181" s="869">
        <f t="shared" si="8"/>
        <v>0</v>
      </c>
      <c r="AU181" s="869">
        <f t="shared" si="8"/>
        <v>0</v>
      </c>
      <c r="AV181" s="869">
        <f t="shared" si="8"/>
        <v>0</v>
      </c>
      <c r="AW181" s="869">
        <f t="shared" si="8"/>
        <v>0</v>
      </c>
      <c r="AX181" s="869">
        <f t="shared" si="8"/>
        <v>0</v>
      </c>
      <c r="AY181" s="869">
        <f t="shared" si="8"/>
        <v>0</v>
      </c>
      <c r="AZ181" s="869">
        <f t="shared" si="8"/>
        <v>0</v>
      </c>
      <c r="BA181" s="869">
        <f t="shared" si="8"/>
        <v>0</v>
      </c>
      <c r="BB181" s="869">
        <f t="shared" si="8"/>
        <v>0</v>
      </c>
      <c r="BC181" s="869">
        <f t="shared" si="8"/>
        <v>0</v>
      </c>
      <c r="BD181" s="869">
        <f t="shared" si="8"/>
        <v>0</v>
      </c>
      <c r="BE181" s="869">
        <f t="shared" si="8"/>
        <v>0</v>
      </c>
    </row>
    <row r="182" spans="2:57" s="749" customFormat="1" x14ac:dyDescent="0.25">
      <c r="B182" s="1333"/>
      <c r="D182" s="861"/>
      <c r="E182" s="865" t="str">
        <f>$B$60</f>
        <v>CCS</v>
      </c>
      <c r="F182" s="865" t="s">
        <v>979</v>
      </c>
      <c r="G182" s="863">
        <f>SUM(G183:G194)</f>
        <v>-253397.45702293498</v>
      </c>
      <c r="H182" s="863">
        <f>SUM(H183:H194)</f>
        <v>-68329.549208789569</v>
      </c>
      <c r="I182" s="863"/>
      <c r="J182" s="863">
        <f t="shared" ref="J182:BE182" si="9">SUM(J183:J194)</f>
        <v>0</v>
      </c>
      <c r="K182" s="863">
        <f t="shared" si="9"/>
        <v>0</v>
      </c>
      <c r="L182" s="863">
        <f t="shared" si="9"/>
        <v>0</v>
      </c>
      <c r="M182" s="863">
        <f t="shared" si="9"/>
        <v>0</v>
      </c>
      <c r="N182" s="863">
        <f t="shared" si="9"/>
        <v>0</v>
      </c>
      <c r="O182" s="863">
        <f t="shared" si="9"/>
        <v>0</v>
      </c>
      <c r="P182" s="863">
        <f t="shared" si="9"/>
        <v>0</v>
      </c>
      <c r="Q182" s="863">
        <f t="shared" si="9"/>
        <v>0</v>
      </c>
      <c r="R182" s="863">
        <f t="shared" si="9"/>
        <v>0</v>
      </c>
      <c r="S182" s="863">
        <f t="shared" si="9"/>
        <v>0</v>
      </c>
      <c r="T182" s="863">
        <f t="shared" si="9"/>
        <v>0</v>
      </c>
      <c r="U182" s="863">
        <f t="shared" si="9"/>
        <v>0</v>
      </c>
      <c r="V182" s="863">
        <f t="shared" si="9"/>
        <v>0</v>
      </c>
      <c r="W182" s="863">
        <f t="shared" si="9"/>
        <v>-231574.59988007782</v>
      </c>
      <c r="X182" s="863">
        <f t="shared" si="9"/>
        <v>0</v>
      </c>
      <c r="Y182" s="863">
        <f t="shared" si="9"/>
        <v>0</v>
      </c>
      <c r="Z182" s="863">
        <f t="shared" si="9"/>
        <v>0</v>
      </c>
      <c r="AA182" s="863">
        <f t="shared" si="9"/>
        <v>0</v>
      </c>
      <c r="AB182" s="863">
        <f t="shared" si="9"/>
        <v>0</v>
      </c>
      <c r="AC182" s="863">
        <f t="shared" si="9"/>
        <v>0</v>
      </c>
      <c r="AD182" s="863">
        <f t="shared" si="9"/>
        <v>0</v>
      </c>
      <c r="AE182" s="863">
        <f t="shared" si="9"/>
        <v>0</v>
      </c>
      <c r="AF182" s="863">
        <f t="shared" si="9"/>
        <v>0</v>
      </c>
      <c r="AG182" s="863">
        <f t="shared" si="9"/>
        <v>0</v>
      </c>
      <c r="AH182" s="863">
        <f t="shared" si="9"/>
        <v>0</v>
      </c>
      <c r="AI182" s="863">
        <f t="shared" si="9"/>
        <v>0</v>
      </c>
      <c r="AJ182" s="863">
        <f t="shared" si="9"/>
        <v>0</v>
      </c>
      <c r="AK182" s="863">
        <f t="shared" si="9"/>
        <v>0</v>
      </c>
      <c r="AL182" s="863">
        <f t="shared" si="9"/>
        <v>0</v>
      </c>
      <c r="AM182" s="863">
        <f t="shared" si="9"/>
        <v>0</v>
      </c>
      <c r="AN182" s="863">
        <f t="shared" si="9"/>
        <v>-21822.857142857145</v>
      </c>
      <c r="AO182" s="863">
        <f t="shared" si="9"/>
        <v>0</v>
      </c>
      <c r="AP182" s="863">
        <f t="shared" si="9"/>
        <v>0</v>
      </c>
      <c r="AQ182" s="863">
        <f t="shared" si="9"/>
        <v>0</v>
      </c>
      <c r="AR182" s="863">
        <f t="shared" si="9"/>
        <v>0</v>
      </c>
      <c r="AS182" s="863">
        <f t="shared" si="9"/>
        <v>0</v>
      </c>
      <c r="AT182" s="863">
        <f t="shared" si="9"/>
        <v>0</v>
      </c>
      <c r="AU182" s="863">
        <f t="shared" si="9"/>
        <v>0</v>
      </c>
      <c r="AV182" s="863">
        <f t="shared" si="9"/>
        <v>0</v>
      </c>
      <c r="AW182" s="863">
        <f t="shared" si="9"/>
        <v>0</v>
      </c>
      <c r="AX182" s="863">
        <f t="shared" si="9"/>
        <v>0</v>
      </c>
      <c r="AY182" s="863">
        <f t="shared" si="9"/>
        <v>0</v>
      </c>
      <c r="AZ182" s="863">
        <f t="shared" si="9"/>
        <v>0</v>
      </c>
      <c r="BA182" s="863">
        <f t="shared" si="9"/>
        <v>0</v>
      </c>
      <c r="BB182" s="863">
        <f t="shared" si="9"/>
        <v>0</v>
      </c>
      <c r="BC182" s="863">
        <f t="shared" si="9"/>
        <v>0</v>
      </c>
      <c r="BD182" s="863">
        <f t="shared" si="9"/>
        <v>0</v>
      </c>
      <c r="BE182" s="863">
        <f t="shared" si="9"/>
        <v>0</v>
      </c>
    </row>
    <row r="183" spans="2:57" x14ac:dyDescent="0.25">
      <c r="B183" s="1333"/>
      <c r="D183" s="315"/>
      <c r="E183" s="870" t="str">
        <f t="shared" ref="E183:H191" si="10">E61</f>
        <v>Capex compressor &amp; pump onshore</v>
      </c>
      <c r="F183" s="870" t="str">
        <f t="shared" si="10"/>
        <v>[kEUR]</v>
      </c>
      <c r="G183" s="867">
        <f t="shared" si="10"/>
        <v>-67643.575459610132</v>
      </c>
      <c r="H183" s="867">
        <f t="shared" si="10"/>
        <v>-19593.934328679796</v>
      </c>
      <c r="I183" s="867"/>
      <c r="J183" s="867">
        <f t="shared" ref="J183:AX183" si="11">J61</f>
        <v>0</v>
      </c>
      <c r="K183" s="867">
        <f t="shared" si="11"/>
        <v>0</v>
      </c>
      <c r="L183" s="867">
        <f t="shared" si="11"/>
        <v>0</v>
      </c>
      <c r="M183" s="867">
        <f t="shared" si="11"/>
        <v>0</v>
      </c>
      <c r="N183" s="867">
        <f t="shared" si="11"/>
        <v>0</v>
      </c>
      <c r="O183" s="867">
        <f t="shared" si="11"/>
        <v>0</v>
      </c>
      <c r="P183" s="867">
        <f t="shared" si="11"/>
        <v>0</v>
      </c>
      <c r="Q183" s="867">
        <f t="shared" si="11"/>
        <v>0</v>
      </c>
      <c r="R183" s="867">
        <f t="shared" si="11"/>
        <v>0</v>
      </c>
      <c r="S183" s="867">
        <f t="shared" si="11"/>
        <v>0</v>
      </c>
      <c r="T183" s="867">
        <f t="shared" si="11"/>
        <v>0</v>
      </c>
      <c r="U183" s="867">
        <f t="shared" si="11"/>
        <v>0</v>
      </c>
      <c r="V183" s="867">
        <f t="shared" si="11"/>
        <v>0</v>
      </c>
      <c r="W183" s="867">
        <f t="shared" si="11"/>
        <v>-67643.575459610132</v>
      </c>
      <c r="X183" s="867">
        <f t="shared" si="11"/>
        <v>0</v>
      </c>
      <c r="Y183" s="867">
        <f t="shared" si="11"/>
        <v>0</v>
      </c>
      <c r="Z183" s="867">
        <f t="shared" si="11"/>
        <v>0</v>
      </c>
      <c r="AA183" s="867">
        <f t="shared" si="11"/>
        <v>0</v>
      </c>
      <c r="AB183" s="867">
        <f t="shared" si="11"/>
        <v>0</v>
      </c>
      <c r="AC183" s="867">
        <f t="shared" si="11"/>
        <v>0</v>
      </c>
      <c r="AD183" s="867">
        <f t="shared" si="11"/>
        <v>0</v>
      </c>
      <c r="AE183" s="867">
        <f t="shared" si="11"/>
        <v>0</v>
      </c>
      <c r="AF183" s="867">
        <f t="shared" si="11"/>
        <v>0</v>
      </c>
      <c r="AG183" s="867">
        <f t="shared" si="11"/>
        <v>0</v>
      </c>
      <c r="AH183" s="867">
        <f t="shared" si="11"/>
        <v>0</v>
      </c>
      <c r="AI183" s="867">
        <f t="shared" si="11"/>
        <v>0</v>
      </c>
      <c r="AJ183" s="867">
        <f t="shared" si="11"/>
        <v>0</v>
      </c>
      <c r="AK183" s="867">
        <f t="shared" si="11"/>
        <v>0</v>
      </c>
      <c r="AL183" s="867">
        <f t="shared" si="11"/>
        <v>0</v>
      </c>
      <c r="AM183" s="867">
        <f t="shared" si="11"/>
        <v>0</v>
      </c>
      <c r="AN183" s="867">
        <f t="shared" si="11"/>
        <v>0</v>
      </c>
      <c r="AO183" s="867">
        <f t="shared" si="11"/>
        <v>0</v>
      </c>
      <c r="AP183" s="867">
        <f t="shared" si="11"/>
        <v>0</v>
      </c>
      <c r="AQ183" s="867">
        <f t="shared" si="11"/>
        <v>0</v>
      </c>
      <c r="AR183" s="867">
        <f t="shared" si="11"/>
        <v>0</v>
      </c>
      <c r="AS183" s="867">
        <f t="shared" si="11"/>
        <v>0</v>
      </c>
      <c r="AT183" s="867">
        <f t="shared" si="11"/>
        <v>0</v>
      </c>
      <c r="AU183" s="867">
        <f t="shared" si="11"/>
        <v>0</v>
      </c>
      <c r="AV183" s="867">
        <f t="shared" si="11"/>
        <v>0</v>
      </c>
      <c r="AW183" s="867">
        <f t="shared" si="11"/>
        <v>0</v>
      </c>
      <c r="AX183" s="867">
        <f t="shared" si="11"/>
        <v>0</v>
      </c>
      <c r="AY183" s="867">
        <f t="shared" ref="AY183:BE183" si="12">AY61</f>
        <v>0</v>
      </c>
      <c r="AZ183" s="867">
        <f t="shared" si="12"/>
        <v>0</v>
      </c>
      <c r="BA183" s="867">
        <f t="shared" si="12"/>
        <v>0</v>
      </c>
      <c r="BB183" s="867">
        <f t="shared" si="12"/>
        <v>0</v>
      </c>
      <c r="BC183" s="867">
        <f t="shared" si="12"/>
        <v>0</v>
      </c>
      <c r="BD183" s="867">
        <f t="shared" si="12"/>
        <v>0</v>
      </c>
      <c r="BE183" s="867">
        <f t="shared" si="12"/>
        <v>0</v>
      </c>
    </row>
    <row r="184" spans="2:57" x14ac:dyDescent="0.25">
      <c r="B184" s="851"/>
      <c r="D184" s="315"/>
      <c r="E184" s="870" t="str">
        <f t="shared" si="10"/>
        <v>Capex pipeline</v>
      </c>
      <c r="F184" s="870" t="str">
        <f t="shared" si="10"/>
        <v>[kEUR]</v>
      </c>
      <c r="G184" s="867">
        <f t="shared" si="10"/>
        <v>-44631.746278617604</v>
      </c>
      <c r="H184" s="867">
        <f t="shared" si="10"/>
        <v>-12928.227102360986</v>
      </c>
      <c r="I184" s="867"/>
      <c r="J184" s="867">
        <f t="shared" ref="J184:AX184" si="13">J62</f>
        <v>0</v>
      </c>
      <c r="K184" s="867">
        <f t="shared" si="13"/>
        <v>0</v>
      </c>
      <c r="L184" s="867">
        <f t="shared" si="13"/>
        <v>0</v>
      </c>
      <c r="M184" s="867">
        <f t="shared" si="13"/>
        <v>0</v>
      </c>
      <c r="N184" s="867">
        <f t="shared" si="13"/>
        <v>0</v>
      </c>
      <c r="O184" s="867">
        <f t="shared" si="13"/>
        <v>0</v>
      </c>
      <c r="P184" s="867">
        <f t="shared" si="13"/>
        <v>0</v>
      </c>
      <c r="Q184" s="867">
        <f t="shared" si="13"/>
        <v>0</v>
      </c>
      <c r="R184" s="867">
        <f t="shared" si="13"/>
        <v>0</v>
      </c>
      <c r="S184" s="867">
        <f t="shared" si="13"/>
        <v>0</v>
      </c>
      <c r="T184" s="867">
        <f t="shared" si="13"/>
        <v>0</v>
      </c>
      <c r="U184" s="867">
        <f t="shared" si="13"/>
        <v>0</v>
      </c>
      <c r="V184" s="867">
        <f t="shared" si="13"/>
        <v>0</v>
      </c>
      <c r="W184" s="867">
        <f t="shared" si="13"/>
        <v>-44631.746278617604</v>
      </c>
      <c r="X184" s="867">
        <f t="shared" si="13"/>
        <v>0</v>
      </c>
      <c r="Y184" s="867">
        <f t="shared" si="13"/>
        <v>0</v>
      </c>
      <c r="Z184" s="867">
        <f t="shared" si="13"/>
        <v>0</v>
      </c>
      <c r="AA184" s="867">
        <f t="shared" si="13"/>
        <v>0</v>
      </c>
      <c r="AB184" s="867">
        <f t="shared" si="13"/>
        <v>0</v>
      </c>
      <c r="AC184" s="867">
        <f t="shared" si="13"/>
        <v>0</v>
      </c>
      <c r="AD184" s="867">
        <f t="shared" si="13"/>
        <v>0</v>
      </c>
      <c r="AE184" s="867">
        <f t="shared" si="13"/>
        <v>0</v>
      </c>
      <c r="AF184" s="867">
        <f t="shared" si="13"/>
        <v>0</v>
      </c>
      <c r="AG184" s="867">
        <f t="shared" si="13"/>
        <v>0</v>
      </c>
      <c r="AH184" s="867">
        <f t="shared" si="13"/>
        <v>0</v>
      </c>
      <c r="AI184" s="867">
        <f t="shared" si="13"/>
        <v>0</v>
      </c>
      <c r="AJ184" s="867">
        <f t="shared" si="13"/>
        <v>0</v>
      </c>
      <c r="AK184" s="867">
        <f t="shared" si="13"/>
        <v>0</v>
      </c>
      <c r="AL184" s="867">
        <f t="shared" si="13"/>
        <v>0</v>
      </c>
      <c r="AM184" s="867">
        <f t="shared" si="13"/>
        <v>0</v>
      </c>
      <c r="AN184" s="867">
        <f t="shared" si="13"/>
        <v>0</v>
      </c>
      <c r="AO184" s="867">
        <f t="shared" si="13"/>
        <v>0</v>
      </c>
      <c r="AP184" s="867">
        <f t="shared" si="13"/>
        <v>0</v>
      </c>
      <c r="AQ184" s="867">
        <f t="shared" si="13"/>
        <v>0</v>
      </c>
      <c r="AR184" s="867">
        <f t="shared" si="13"/>
        <v>0</v>
      </c>
      <c r="AS184" s="867">
        <f t="shared" si="13"/>
        <v>0</v>
      </c>
      <c r="AT184" s="867">
        <f t="shared" si="13"/>
        <v>0</v>
      </c>
      <c r="AU184" s="867">
        <f t="shared" si="13"/>
        <v>0</v>
      </c>
      <c r="AV184" s="867">
        <f t="shared" si="13"/>
        <v>0</v>
      </c>
      <c r="AW184" s="867">
        <f t="shared" si="13"/>
        <v>0</v>
      </c>
      <c r="AX184" s="867">
        <f t="shared" si="13"/>
        <v>0</v>
      </c>
      <c r="AY184" s="867">
        <f t="shared" ref="AY184:BE184" si="14">AY62</f>
        <v>0</v>
      </c>
      <c r="AZ184" s="867">
        <f t="shared" si="14"/>
        <v>0</v>
      </c>
      <c r="BA184" s="867">
        <f t="shared" si="14"/>
        <v>0</v>
      </c>
      <c r="BB184" s="867">
        <f t="shared" si="14"/>
        <v>0</v>
      </c>
      <c r="BC184" s="867">
        <f t="shared" si="14"/>
        <v>0</v>
      </c>
      <c r="BD184" s="867">
        <f t="shared" si="14"/>
        <v>0</v>
      </c>
      <c r="BE184" s="867">
        <f t="shared" si="14"/>
        <v>0</v>
      </c>
    </row>
    <row r="185" spans="2:57" x14ac:dyDescent="0.25">
      <c r="B185" s="851"/>
      <c r="D185" s="315"/>
      <c r="E185" s="870" t="str">
        <f t="shared" si="10"/>
        <v>Capex crossings &amp; landing</v>
      </c>
      <c r="F185" s="870" t="str">
        <f t="shared" si="10"/>
        <v>[kEUR]</v>
      </c>
      <c r="G185" s="867">
        <f t="shared" si="10"/>
        <v>-45276.232065882861</v>
      </c>
      <c r="H185" s="867">
        <f t="shared" si="10"/>
        <v>-13114.911678178287</v>
      </c>
      <c r="I185" s="867"/>
      <c r="J185" s="867">
        <f t="shared" ref="J185:AX185" si="15">J63</f>
        <v>0</v>
      </c>
      <c r="K185" s="867">
        <f t="shared" si="15"/>
        <v>0</v>
      </c>
      <c r="L185" s="867">
        <f t="shared" si="15"/>
        <v>0</v>
      </c>
      <c r="M185" s="867">
        <f t="shared" si="15"/>
        <v>0</v>
      </c>
      <c r="N185" s="867">
        <f t="shared" si="15"/>
        <v>0</v>
      </c>
      <c r="O185" s="867">
        <f t="shared" si="15"/>
        <v>0</v>
      </c>
      <c r="P185" s="867">
        <f t="shared" si="15"/>
        <v>0</v>
      </c>
      <c r="Q185" s="867">
        <f t="shared" si="15"/>
        <v>0</v>
      </c>
      <c r="R185" s="867">
        <f t="shared" si="15"/>
        <v>0</v>
      </c>
      <c r="S185" s="867">
        <f t="shared" si="15"/>
        <v>0</v>
      </c>
      <c r="T185" s="867">
        <f t="shared" si="15"/>
        <v>0</v>
      </c>
      <c r="U185" s="867">
        <f t="shared" si="15"/>
        <v>0</v>
      </c>
      <c r="V185" s="867">
        <f t="shared" si="15"/>
        <v>0</v>
      </c>
      <c r="W185" s="867">
        <f t="shared" si="15"/>
        <v>-45276.232065882861</v>
      </c>
      <c r="X185" s="867">
        <f t="shared" si="15"/>
        <v>0</v>
      </c>
      <c r="Y185" s="867">
        <f t="shared" si="15"/>
        <v>0</v>
      </c>
      <c r="Z185" s="867">
        <f t="shared" si="15"/>
        <v>0</v>
      </c>
      <c r="AA185" s="867">
        <f t="shared" si="15"/>
        <v>0</v>
      </c>
      <c r="AB185" s="867">
        <f t="shared" si="15"/>
        <v>0</v>
      </c>
      <c r="AC185" s="867">
        <f t="shared" si="15"/>
        <v>0</v>
      </c>
      <c r="AD185" s="867">
        <f t="shared" si="15"/>
        <v>0</v>
      </c>
      <c r="AE185" s="867">
        <f t="shared" si="15"/>
        <v>0</v>
      </c>
      <c r="AF185" s="867">
        <f t="shared" si="15"/>
        <v>0</v>
      </c>
      <c r="AG185" s="867">
        <f t="shared" si="15"/>
        <v>0</v>
      </c>
      <c r="AH185" s="867">
        <f t="shared" si="15"/>
        <v>0</v>
      </c>
      <c r="AI185" s="867">
        <f t="shared" si="15"/>
        <v>0</v>
      </c>
      <c r="AJ185" s="867">
        <f t="shared" si="15"/>
        <v>0</v>
      </c>
      <c r="AK185" s="867">
        <f t="shared" si="15"/>
        <v>0</v>
      </c>
      <c r="AL185" s="867">
        <f t="shared" si="15"/>
        <v>0</v>
      </c>
      <c r="AM185" s="867">
        <f t="shared" si="15"/>
        <v>0</v>
      </c>
      <c r="AN185" s="867">
        <f t="shared" si="15"/>
        <v>0</v>
      </c>
      <c r="AO185" s="867">
        <f t="shared" si="15"/>
        <v>0</v>
      </c>
      <c r="AP185" s="867">
        <f t="shared" si="15"/>
        <v>0</v>
      </c>
      <c r="AQ185" s="867">
        <f t="shared" si="15"/>
        <v>0</v>
      </c>
      <c r="AR185" s="867">
        <f t="shared" si="15"/>
        <v>0</v>
      </c>
      <c r="AS185" s="867">
        <f t="shared" si="15"/>
        <v>0</v>
      </c>
      <c r="AT185" s="867">
        <f t="shared" si="15"/>
        <v>0</v>
      </c>
      <c r="AU185" s="867">
        <f t="shared" si="15"/>
        <v>0</v>
      </c>
      <c r="AV185" s="867">
        <f t="shared" si="15"/>
        <v>0</v>
      </c>
      <c r="AW185" s="867">
        <f t="shared" si="15"/>
        <v>0</v>
      </c>
      <c r="AX185" s="867">
        <f t="shared" si="15"/>
        <v>0</v>
      </c>
      <c r="AY185" s="867">
        <f t="shared" ref="AY185:BE185" si="16">AY63</f>
        <v>0</v>
      </c>
      <c r="AZ185" s="867">
        <f t="shared" si="16"/>
        <v>0</v>
      </c>
      <c r="BA185" s="867">
        <f t="shared" si="16"/>
        <v>0</v>
      </c>
      <c r="BB185" s="867">
        <f t="shared" si="16"/>
        <v>0</v>
      </c>
      <c r="BC185" s="867">
        <f t="shared" si="16"/>
        <v>0</v>
      </c>
      <c r="BD185" s="867">
        <f t="shared" si="16"/>
        <v>0</v>
      </c>
      <c r="BE185" s="867">
        <f t="shared" si="16"/>
        <v>0</v>
      </c>
    </row>
    <row r="186" spans="2:57" x14ac:dyDescent="0.25">
      <c r="B186" s="851"/>
      <c r="D186" s="315"/>
      <c r="E186" s="870" t="str">
        <f t="shared" si="10"/>
        <v>Capex new offshore wells</v>
      </c>
      <c r="F186" s="870" t="str">
        <f t="shared" si="10"/>
        <v>[kEUR]</v>
      </c>
      <c r="G186" s="867">
        <f t="shared" si="10"/>
        <v>0</v>
      </c>
      <c r="H186" s="867">
        <f t="shared" si="10"/>
        <v>0</v>
      </c>
      <c r="I186" s="867"/>
      <c r="J186" s="867">
        <f t="shared" ref="J186:AX186" si="17">J64</f>
        <v>0</v>
      </c>
      <c r="K186" s="867">
        <f t="shared" si="17"/>
        <v>0</v>
      </c>
      <c r="L186" s="867">
        <f t="shared" si="17"/>
        <v>0</v>
      </c>
      <c r="M186" s="867">
        <f t="shared" si="17"/>
        <v>0</v>
      </c>
      <c r="N186" s="867">
        <f t="shared" si="17"/>
        <v>0</v>
      </c>
      <c r="O186" s="867">
        <f t="shared" si="17"/>
        <v>0</v>
      </c>
      <c r="P186" s="867">
        <f t="shared" si="17"/>
        <v>0</v>
      </c>
      <c r="Q186" s="867">
        <f t="shared" si="17"/>
        <v>0</v>
      </c>
      <c r="R186" s="867">
        <f t="shared" si="17"/>
        <v>0</v>
      </c>
      <c r="S186" s="867">
        <f t="shared" si="17"/>
        <v>0</v>
      </c>
      <c r="T186" s="867">
        <f t="shared" si="17"/>
        <v>0</v>
      </c>
      <c r="U186" s="867">
        <f t="shared" si="17"/>
        <v>0</v>
      </c>
      <c r="V186" s="867">
        <f t="shared" si="17"/>
        <v>0</v>
      </c>
      <c r="W186" s="867">
        <f t="shared" si="17"/>
        <v>0</v>
      </c>
      <c r="X186" s="867">
        <f t="shared" si="17"/>
        <v>0</v>
      </c>
      <c r="Y186" s="867">
        <f t="shared" si="17"/>
        <v>0</v>
      </c>
      <c r="Z186" s="867">
        <f t="shared" si="17"/>
        <v>0</v>
      </c>
      <c r="AA186" s="867">
        <f t="shared" si="17"/>
        <v>0</v>
      </c>
      <c r="AB186" s="867">
        <f t="shared" si="17"/>
        <v>0</v>
      </c>
      <c r="AC186" s="867">
        <f t="shared" si="17"/>
        <v>0</v>
      </c>
      <c r="AD186" s="867">
        <f t="shared" si="17"/>
        <v>0</v>
      </c>
      <c r="AE186" s="867">
        <f t="shared" si="17"/>
        <v>0</v>
      </c>
      <c r="AF186" s="867">
        <f t="shared" si="17"/>
        <v>0</v>
      </c>
      <c r="AG186" s="867">
        <f t="shared" si="17"/>
        <v>0</v>
      </c>
      <c r="AH186" s="867">
        <f t="shared" si="17"/>
        <v>0</v>
      </c>
      <c r="AI186" s="867">
        <f t="shared" si="17"/>
        <v>0</v>
      </c>
      <c r="AJ186" s="867">
        <f t="shared" si="17"/>
        <v>0</v>
      </c>
      <c r="AK186" s="867">
        <f t="shared" si="17"/>
        <v>0</v>
      </c>
      <c r="AL186" s="867">
        <f t="shared" si="17"/>
        <v>0</v>
      </c>
      <c r="AM186" s="867">
        <f t="shared" si="17"/>
        <v>0</v>
      </c>
      <c r="AN186" s="867">
        <f t="shared" si="17"/>
        <v>0</v>
      </c>
      <c r="AO186" s="867">
        <f t="shared" si="17"/>
        <v>0</v>
      </c>
      <c r="AP186" s="867">
        <f t="shared" si="17"/>
        <v>0</v>
      </c>
      <c r="AQ186" s="867">
        <f t="shared" si="17"/>
        <v>0</v>
      </c>
      <c r="AR186" s="867">
        <f t="shared" si="17"/>
        <v>0</v>
      </c>
      <c r="AS186" s="867">
        <f t="shared" si="17"/>
        <v>0</v>
      </c>
      <c r="AT186" s="867">
        <f t="shared" si="17"/>
        <v>0</v>
      </c>
      <c r="AU186" s="867">
        <f t="shared" si="17"/>
        <v>0</v>
      </c>
      <c r="AV186" s="867">
        <f t="shared" si="17"/>
        <v>0</v>
      </c>
      <c r="AW186" s="867">
        <f t="shared" si="17"/>
        <v>0</v>
      </c>
      <c r="AX186" s="867">
        <f t="shared" si="17"/>
        <v>0</v>
      </c>
      <c r="AY186" s="867">
        <f t="shared" ref="AY186:BE186" si="18">AY64</f>
        <v>0</v>
      </c>
      <c r="AZ186" s="867">
        <f t="shared" si="18"/>
        <v>0</v>
      </c>
      <c r="BA186" s="867">
        <f t="shared" si="18"/>
        <v>0</v>
      </c>
      <c r="BB186" s="867">
        <f t="shared" si="18"/>
        <v>0</v>
      </c>
      <c r="BC186" s="867">
        <f t="shared" si="18"/>
        <v>0</v>
      </c>
      <c r="BD186" s="867">
        <f t="shared" si="18"/>
        <v>0</v>
      </c>
      <c r="BE186" s="867">
        <f t="shared" si="18"/>
        <v>0</v>
      </c>
    </row>
    <row r="187" spans="2:57" x14ac:dyDescent="0.25">
      <c r="B187" s="851"/>
      <c r="D187" s="315"/>
      <c r="E187" s="870" t="str">
        <f t="shared" si="10"/>
        <v>Capex workover wells</v>
      </c>
      <c r="F187" s="870" t="str">
        <f t="shared" si="10"/>
        <v>[kEUR]</v>
      </c>
      <c r="G187" s="867">
        <f t="shared" si="10"/>
        <v>-45276.232065882861</v>
      </c>
      <c r="H187" s="867">
        <f t="shared" si="10"/>
        <v>-13114.911678178287</v>
      </c>
      <c r="I187" s="867"/>
      <c r="J187" s="867">
        <f t="shared" ref="J187:AX187" si="19">J65</f>
        <v>0</v>
      </c>
      <c r="K187" s="867">
        <f t="shared" si="19"/>
        <v>0</v>
      </c>
      <c r="L187" s="867">
        <f t="shared" si="19"/>
        <v>0</v>
      </c>
      <c r="M187" s="867">
        <f t="shared" si="19"/>
        <v>0</v>
      </c>
      <c r="N187" s="867">
        <f t="shared" si="19"/>
        <v>0</v>
      </c>
      <c r="O187" s="867">
        <f t="shared" si="19"/>
        <v>0</v>
      </c>
      <c r="P187" s="867">
        <f t="shared" si="19"/>
        <v>0</v>
      </c>
      <c r="Q187" s="867">
        <f t="shared" si="19"/>
        <v>0</v>
      </c>
      <c r="R187" s="867">
        <f t="shared" si="19"/>
        <v>0</v>
      </c>
      <c r="S187" s="867">
        <f t="shared" si="19"/>
        <v>0</v>
      </c>
      <c r="T187" s="867">
        <f t="shared" si="19"/>
        <v>0</v>
      </c>
      <c r="U187" s="867">
        <f t="shared" si="19"/>
        <v>0</v>
      </c>
      <c r="V187" s="867">
        <f t="shared" si="19"/>
        <v>0</v>
      </c>
      <c r="W187" s="867">
        <f t="shared" si="19"/>
        <v>-45276.232065882861</v>
      </c>
      <c r="X187" s="867">
        <f t="shared" si="19"/>
        <v>0</v>
      </c>
      <c r="Y187" s="867">
        <f t="shared" si="19"/>
        <v>0</v>
      </c>
      <c r="Z187" s="867">
        <f t="shared" si="19"/>
        <v>0</v>
      </c>
      <c r="AA187" s="867">
        <f t="shared" si="19"/>
        <v>0</v>
      </c>
      <c r="AB187" s="867">
        <f t="shared" si="19"/>
        <v>0</v>
      </c>
      <c r="AC187" s="867">
        <f t="shared" si="19"/>
        <v>0</v>
      </c>
      <c r="AD187" s="867">
        <f t="shared" si="19"/>
        <v>0</v>
      </c>
      <c r="AE187" s="867">
        <f t="shared" si="19"/>
        <v>0</v>
      </c>
      <c r="AF187" s="867">
        <f t="shared" si="19"/>
        <v>0</v>
      </c>
      <c r="AG187" s="867">
        <f t="shared" si="19"/>
        <v>0</v>
      </c>
      <c r="AH187" s="867">
        <f t="shared" si="19"/>
        <v>0</v>
      </c>
      <c r="AI187" s="867">
        <f t="shared" si="19"/>
        <v>0</v>
      </c>
      <c r="AJ187" s="867">
        <f t="shared" si="19"/>
        <v>0</v>
      </c>
      <c r="AK187" s="867">
        <f t="shared" si="19"/>
        <v>0</v>
      </c>
      <c r="AL187" s="867">
        <f t="shared" si="19"/>
        <v>0</v>
      </c>
      <c r="AM187" s="867">
        <f t="shared" si="19"/>
        <v>0</v>
      </c>
      <c r="AN187" s="867">
        <f t="shared" si="19"/>
        <v>0</v>
      </c>
      <c r="AO187" s="867">
        <f t="shared" si="19"/>
        <v>0</v>
      </c>
      <c r="AP187" s="867">
        <f t="shared" si="19"/>
        <v>0</v>
      </c>
      <c r="AQ187" s="867">
        <f t="shared" si="19"/>
        <v>0</v>
      </c>
      <c r="AR187" s="867">
        <f t="shared" si="19"/>
        <v>0</v>
      </c>
      <c r="AS187" s="867">
        <f t="shared" si="19"/>
        <v>0</v>
      </c>
      <c r="AT187" s="867">
        <f t="shared" si="19"/>
        <v>0</v>
      </c>
      <c r="AU187" s="867">
        <f t="shared" si="19"/>
        <v>0</v>
      </c>
      <c r="AV187" s="867">
        <f t="shared" si="19"/>
        <v>0</v>
      </c>
      <c r="AW187" s="867">
        <f t="shared" si="19"/>
        <v>0</v>
      </c>
      <c r="AX187" s="867">
        <f t="shared" si="19"/>
        <v>0</v>
      </c>
      <c r="AY187" s="867">
        <f t="shared" ref="AY187:BE187" si="20">AY65</f>
        <v>0</v>
      </c>
      <c r="AZ187" s="867">
        <f t="shared" si="20"/>
        <v>0</v>
      </c>
      <c r="BA187" s="867">
        <f t="shared" si="20"/>
        <v>0</v>
      </c>
      <c r="BB187" s="867">
        <f t="shared" si="20"/>
        <v>0</v>
      </c>
      <c r="BC187" s="867">
        <f t="shared" si="20"/>
        <v>0</v>
      </c>
      <c r="BD187" s="867">
        <f t="shared" si="20"/>
        <v>0</v>
      </c>
      <c r="BE187" s="867">
        <f t="shared" si="20"/>
        <v>0</v>
      </c>
    </row>
    <row r="188" spans="2:57" x14ac:dyDescent="0.25">
      <c r="B188" s="851"/>
      <c r="D188" s="315"/>
      <c r="E188" s="870" t="str">
        <f t="shared" si="10"/>
        <v>Decommissioning (P&amp;A) natural gas wells</v>
      </c>
      <c r="F188" s="870" t="str">
        <f t="shared" si="10"/>
        <v>[kEUR]</v>
      </c>
      <c r="G188" s="867">
        <f t="shared" si="10"/>
        <v>-28746.814010084359</v>
      </c>
      <c r="H188" s="867">
        <f t="shared" si="10"/>
        <v>-8326.9280496370102</v>
      </c>
      <c r="I188" s="867"/>
      <c r="J188" s="867">
        <f t="shared" ref="J188:AX188" si="21">J66</f>
        <v>0</v>
      </c>
      <c r="K188" s="867">
        <f t="shared" si="21"/>
        <v>0</v>
      </c>
      <c r="L188" s="867">
        <f t="shared" si="21"/>
        <v>0</v>
      </c>
      <c r="M188" s="867">
        <f t="shared" si="21"/>
        <v>0</v>
      </c>
      <c r="N188" s="867">
        <f t="shared" si="21"/>
        <v>0</v>
      </c>
      <c r="O188" s="867">
        <f t="shared" si="21"/>
        <v>0</v>
      </c>
      <c r="P188" s="867">
        <f t="shared" si="21"/>
        <v>0</v>
      </c>
      <c r="Q188" s="867">
        <f t="shared" si="21"/>
        <v>0</v>
      </c>
      <c r="R188" s="867">
        <f t="shared" si="21"/>
        <v>0</v>
      </c>
      <c r="S188" s="867">
        <f t="shared" si="21"/>
        <v>0</v>
      </c>
      <c r="T188" s="867">
        <f t="shared" si="21"/>
        <v>0</v>
      </c>
      <c r="U188" s="867">
        <f t="shared" si="21"/>
        <v>0</v>
      </c>
      <c r="V188" s="867">
        <f t="shared" si="21"/>
        <v>0</v>
      </c>
      <c r="W188" s="867">
        <f t="shared" si="21"/>
        <v>-28746.814010084359</v>
      </c>
      <c r="X188" s="867">
        <f t="shared" si="21"/>
        <v>0</v>
      </c>
      <c r="Y188" s="867">
        <f t="shared" si="21"/>
        <v>0</v>
      </c>
      <c r="Z188" s="867">
        <f t="shared" si="21"/>
        <v>0</v>
      </c>
      <c r="AA188" s="867">
        <f t="shared" si="21"/>
        <v>0</v>
      </c>
      <c r="AB188" s="867">
        <f t="shared" si="21"/>
        <v>0</v>
      </c>
      <c r="AC188" s="867">
        <f t="shared" si="21"/>
        <v>0</v>
      </c>
      <c r="AD188" s="867">
        <f t="shared" si="21"/>
        <v>0</v>
      </c>
      <c r="AE188" s="867">
        <f t="shared" si="21"/>
        <v>0</v>
      </c>
      <c r="AF188" s="867">
        <f t="shared" si="21"/>
        <v>0</v>
      </c>
      <c r="AG188" s="867">
        <f t="shared" si="21"/>
        <v>0</v>
      </c>
      <c r="AH188" s="867">
        <f t="shared" si="21"/>
        <v>0</v>
      </c>
      <c r="AI188" s="867">
        <f t="shared" si="21"/>
        <v>0</v>
      </c>
      <c r="AJ188" s="867">
        <f t="shared" si="21"/>
        <v>0</v>
      </c>
      <c r="AK188" s="867">
        <f t="shared" si="21"/>
        <v>0</v>
      </c>
      <c r="AL188" s="867">
        <f t="shared" si="21"/>
        <v>0</v>
      </c>
      <c r="AM188" s="867">
        <f t="shared" si="21"/>
        <v>0</v>
      </c>
      <c r="AN188" s="867">
        <f t="shared" si="21"/>
        <v>0</v>
      </c>
      <c r="AO188" s="867">
        <f t="shared" si="21"/>
        <v>0</v>
      </c>
      <c r="AP188" s="867">
        <f t="shared" si="21"/>
        <v>0</v>
      </c>
      <c r="AQ188" s="867">
        <f t="shared" si="21"/>
        <v>0</v>
      </c>
      <c r="AR188" s="867">
        <f t="shared" si="21"/>
        <v>0</v>
      </c>
      <c r="AS188" s="867">
        <f t="shared" si="21"/>
        <v>0</v>
      </c>
      <c r="AT188" s="867">
        <f t="shared" si="21"/>
        <v>0</v>
      </c>
      <c r="AU188" s="867">
        <f t="shared" si="21"/>
        <v>0</v>
      </c>
      <c r="AV188" s="867">
        <f t="shared" si="21"/>
        <v>0</v>
      </c>
      <c r="AW188" s="867">
        <f t="shared" si="21"/>
        <v>0</v>
      </c>
      <c r="AX188" s="867">
        <f t="shared" si="21"/>
        <v>0</v>
      </c>
      <c r="AY188" s="867">
        <f t="shared" ref="AY188:BE188" si="22">AY66</f>
        <v>0</v>
      </c>
      <c r="AZ188" s="867">
        <f t="shared" si="22"/>
        <v>0</v>
      </c>
      <c r="BA188" s="867">
        <f t="shared" si="22"/>
        <v>0</v>
      </c>
      <c r="BB188" s="867">
        <f t="shared" si="22"/>
        <v>0</v>
      </c>
      <c r="BC188" s="867">
        <f t="shared" si="22"/>
        <v>0</v>
      </c>
      <c r="BD188" s="867">
        <f t="shared" si="22"/>
        <v>0</v>
      </c>
      <c r="BE188" s="867">
        <f t="shared" si="22"/>
        <v>0</v>
      </c>
    </row>
    <row r="189" spans="2:57" x14ac:dyDescent="0.25">
      <c r="B189" s="851"/>
      <c r="D189" s="315"/>
      <c r="E189" s="870" t="str">
        <f t="shared" si="10"/>
        <v>Heating and power generator</v>
      </c>
      <c r="F189" s="870" t="str">
        <f t="shared" si="10"/>
        <v>[kEUR]</v>
      </c>
      <c r="G189" s="867">
        <f t="shared" si="10"/>
        <v>0</v>
      </c>
      <c r="H189" s="867">
        <f t="shared" si="10"/>
        <v>0</v>
      </c>
      <c r="I189" s="867"/>
      <c r="J189" s="867">
        <f t="shared" ref="J189:AX189" si="23">J67</f>
        <v>0</v>
      </c>
      <c r="K189" s="867">
        <f t="shared" si="23"/>
        <v>0</v>
      </c>
      <c r="L189" s="867">
        <f t="shared" si="23"/>
        <v>0</v>
      </c>
      <c r="M189" s="867">
        <f t="shared" si="23"/>
        <v>0</v>
      </c>
      <c r="N189" s="867">
        <f t="shared" si="23"/>
        <v>0</v>
      </c>
      <c r="O189" s="867">
        <f t="shared" si="23"/>
        <v>0</v>
      </c>
      <c r="P189" s="867">
        <f t="shared" si="23"/>
        <v>0</v>
      </c>
      <c r="Q189" s="867">
        <f t="shared" si="23"/>
        <v>0</v>
      </c>
      <c r="R189" s="867">
        <f t="shared" si="23"/>
        <v>0</v>
      </c>
      <c r="S189" s="867">
        <f t="shared" si="23"/>
        <v>0</v>
      </c>
      <c r="T189" s="867">
        <f t="shared" si="23"/>
        <v>0</v>
      </c>
      <c r="U189" s="867">
        <f t="shared" si="23"/>
        <v>0</v>
      </c>
      <c r="V189" s="867">
        <f t="shared" si="23"/>
        <v>0</v>
      </c>
      <c r="W189" s="867">
        <f t="shared" si="23"/>
        <v>0</v>
      </c>
      <c r="X189" s="867">
        <f t="shared" si="23"/>
        <v>0</v>
      </c>
      <c r="Y189" s="867">
        <f t="shared" si="23"/>
        <v>0</v>
      </c>
      <c r="Z189" s="867">
        <f t="shared" si="23"/>
        <v>0</v>
      </c>
      <c r="AA189" s="867">
        <f t="shared" si="23"/>
        <v>0</v>
      </c>
      <c r="AB189" s="867">
        <f t="shared" si="23"/>
        <v>0</v>
      </c>
      <c r="AC189" s="867">
        <f t="shared" si="23"/>
        <v>0</v>
      </c>
      <c r="AD189" s="867">
        <f t="shared" si="23"/>
        <v>0</v>
      </c>
      <c r="AE189" s="867">
        <f t="shared" si="23"/>
        <v>0</v>
      </c>
      <c r="AF189" s="867">
        <f t="shared" si="23"/>
        <v>0</v>
      </c>
      <c r="AG189" s="867">
        <f t="shared" si="23"/>
        <v>0</v>
      </c>
      <c r="AH189" s="867">
        <f t="shared" si="23"/>
        <v>0</v>
      </c>
      <c r="AI189" s="867">
        <f t="shared" si="23"/>
        <v>0</v>
      </c>
      <c r="AJ189" s="867">
        <f t="shared" si="23"/>
        <v>0</v>
      </c>
      <c r="AK189" s="867">
        <f t="shared" si="23"/>
        <v>0</v>
      </c>
      <c r="AL189" s="867">
        <f t="shared" si="23"/>
        <v>0</v>
      </c>
      <c r="AM189" s="867">
        <f t="shared" si="23"/>
        <v>0</v>
      </c>
      <c r="AN189" s="867">
        <f t="shared" si="23"/>
        <v>0</v>
      </c>
      <c r="AO189" s="867">
        <f t="shared" si="23"/>
        <v>0</v>
      </c>
      <c r="AP189" s="867">
        <f t="shared" si="23"/>
        <v>0</v>
      </c>
      <c r="AQ189" s="867">
        <f t="shared" si="23"/>
        <v>0</v>
      </c>
      <c r="AR189" s="867">
        <f t="shared" si="23"/>
        <v>0</v>
      </c>
      <c r="AS189" s="867">
        <f t="shared" si="23"/>
        <v>0</v>
      </c>
      <c r="AT189" s="867">
        <f t="shared" si="23"/>
        <v>0</v>
      </c>
      <c r="AU189" s="867">
        <f t="shared" si="23"/>
        <v>0</v>
      </c>
      <c r="AV189" s="867">
        <f t="shared" si="23"/>
        <v>0</v>
      </c>
      <c r="AW189" s="867">
        <f t="shared" si="23"/>
        <v>0</v>
      </c>
      <c r="AX189" s="867">
        <f t="shared" si="23"/>
        <v>0</v>
      </c>
      <c r="AY189" s="867">
        <f t="shared" ref="AY189:BE189" si="24">AY67</f>
        <v>0</v>
      </c>
      <c r="AZ189" s="867">
        <f t="shared" si="24"/>
        <v>0</v>
      </c>
      <c r="BA189" s="867">
        <f t="shared" si="24"/>
        <v>0</v>
      </c>
      <c r="BB189" s="867">
        <f t="shared" si="24"/>
        <v>0</v>
      </c>
      <c r="BC189" s="867">
        <f t="shared" si="24"/>
        <v>0</v>
      </c>
      <c r="BD189" s="867">
        <f t="shared" si="24"/>
        <v>0</v>
      </c>
      <c r="BE189" s="867">
        <f t="shared" si="24"/>
        <v>0</v>
      </c>
    </row>
    <row r="190" spans="2:57" x14ac:dyDescent="0.25">
      <c r="B190" s="851"/>
      <c r="D190" s="315"/>
      <c r="E190" s="870" t="str">
        <f t="shared" si="10"/>
        <v>Capex adjustments CCS on platform</v>
      </c>
      <c r="F190" s="870" t="str">
        <f t="shared" si="10"/>
        <v>[kEUR]</v>
      </c>
      <c r="G190" s="867">
        <f t="shared" si="10"/>
        <v>0</v>
      </c>
      <c r="H190" s="867">
        <f t="shared" si="10"/>
        <v>0</v>
      </c>
      <c r="I190" s="867"/>
      <c r="J190" s="867">
        <f t="shared" ref="J190:AX190" si="25">J68</f>
        <v>0</v>
      </c>
      <c r="K190" s="867">
        <f t="shared" si="25"/>
        <v>0</v>
      </c>
      <c r="L190" s="867">
        <f t="shared" si="25"/>
        <v>0</v>
      </c>
      <c r="M190" s="867">
        <f t="shared" si="25"/>
        <v>0</v>
      </c>
      <c r="N190" s="867">
        <f t="shared" si="25"/>
        <v>0</v>
      </c>
      <c r="O190" s="867">
        <f t="shared" si="25"/>
        <v>0</v>
      </c>
      <c r="P190" s="867">
        <f t="shared" si="25"/>
        <v>0</v>
      </c>
      <c r="Q190" s="867">
        <f t="shared" si="25"/>
        <v>0</v>
      </c>
      <c r="R190" s="867">
        <f t="shared" si="25"/>
        <v>0</v>
      </c>
      <c r="S190" s="867">
        <f t="shared" si="25"/>
        <v>0</v>
      </c>
      <c r="T190" s="867">
        <f t="shared" si="25"/>
        <v>0</v>
      </c>
      <c r="U190" s="867">
        <f t="shared" si="25"/>
        <v>0</v>
      </c>
      <c r="V190" s="867">
        <f t="shared" si="25"/>
        <v>0</v>
      </c>
      <c r="W190" s="867">
        <f t="shared" si="25"/>
        <v>0</v>
      </c>
      <c r="X190" s="867">
        <f t="shared" si="25"/>
        <v>0</v>
      </c>
      <c r="Y190" s="867">
        <f t="shared" si="25"/>
        <v>0</v>
      </c>
      <c r="Z190" s="867">
        <f t="shared" si="25"/>
        <v>0</v>
      </c>
      <c r="AA190" s="867">
        <f t="shared" si="25"/>
        <v>0</v>
      </c>
      <c r="AB190" s="867">
        <f t="shared" si="25"/>
        <v>0</v>
      </c>
      <c r="AC190" s="867">
        <f t="shared" si="25"/>
        <v>0</v>
      </c>
      <c r="AD190" s="867">
        <f t="shared" si="25"/>
        <v>0</v>
      </c>
      <c r="AE190" s="867">
        <f t="shared" si="25"/>
        <v>0</v>
      </c>
      <c r="AF190" s="867">
        <f t="shared" si="25"/>
        <v>0</v>
      </c>
      <c r="AG190" s="867">
        <f t="shared" si="25"/>
        <v>0</v>
      </c>
      <c r="AH190" s="867">
        <f t="shared" si="25"/>
        <v>0</v>
      </c>
      <c r="AI190" s="867">
        <f t="shared" si="25"/>
        <v>0</v>
      </c>
      <c r="AJ190" s="867">
        <f t="shared" si="25"/>
        <v>0</v>
      </c>
      <c r="AK190" s="867">
        <f t="shared" si="25"/>
        <v>0</v>
      </c>
      <c r="AL190" s="867">
        <f t="shared" si="25"/>
        <v>0</v>
      </c>
      <c r="AM190" s="867">
        <f t="shared" si="25"/>
        <v>0</v>
      </c>
      <c r="AN190" s="867">
        <f t="shared" si="25"/>
        <v>0</v>
      </c>
      <c r="AO190" s="867">
        <f t="shared" si="25"/>
        <v>0</v>
      </c>
      <c r="AP190" s="867">
        <f t="shared" si="25"/>
        <v>0</v>
      </c>
      <c r="AQ190" s="867">
        <f t="shared" si="25"/>
        <v>0</v>
      </c>
      <c r="AR190" s="867">
        <f t="shared" si="25"/>
        <v>0</v>
      </c>
      <c r="AS190" s="867">
        <f t="shared" si="25"/>
        <v>0</v>
      </c>
      <c r="AT190" s="867">
        <f t="shared" si="25"/>
        <v>0</v>
      </c>
      <c r="AU190" s="867">
        <f t="shared" si="25"/>
        <v>0</v>
      </c>
      <c r="AV190" s="867">
        <f t="shared" si="25"/>
        <v>0</v>
      </c>
      <c r="AW190" s="867">
        <f t="shared" si="25"/>
        <v>0</v>
      </c>
      <c r="AX190" s="867">
        <f t="shared" si="25"/>
        <v>0</v>
      </c>
      <c r="AY190" s="867">
        <f t="shared" ref="AY190:BE190" si="26">AY68</f>
        <v>0</v>
      </c>
      <c r="AZ190" s="867">
        <f t="shared" si="26"/>
        <v>0</v>
      </c>
      <c r="BA190" s="867">
        <f t="shared" si="26"/>
        <v>0</v>
      </c>
      <c r="BB190" s="867">
        <f t="shared" si="26"/>
        <v>0</v>
      </c>
      <c r="BC190" s="867">
        <f t="shared" si="26"/>
        <v>0</v>
      </c>
      <c r="BD190" s="867">
        <f t="shared" si="26"/>
        <v>0</v>
      </c>
      <c r="BE190" s="867">
        <f t="shared" si="26"/>
        <v>0</v>
      </c>
    </row>
    <row r="191" spans="2:57" x14ac:dyDescent="0.25">
      <c r="B191" s="851"/>
      <c r="D191" s="315"/>
      <c r="E191" s="870" t="str">
        <f t="shared" si="10"/>
        <v>Capex cable (CCS)</v>
      </c>
      <c r="F191" s="870" t="str">
        <f t="shared" si="10"/>
        <v>[kEUR]</v>
      </c>
      <c r="G191" s="867">
        <f t="shared" si="10"/>
        <v>0</v>
      </c>
      <c r="H191" s="867">
        <f t="shared" si="10"/>
        <v>0</v>
      </c>
      <c r="I191" s="867"/>
      <c r="J191" s="867">
        <f t="shared" ref="J191:BE191" si="27">J69</f>
        <v>0</v>
      </c>
      <c r="K191" s="867">
        <f t="shared" si="27"/>
        <v>0</v>
      </c>
      <c r="L191" s="867">
        <f t="shared" si="27"/>
        <v>0</v>
      </c>
      <c r="M191" s="867">
        <f t="shared" si="27"/>
        <v>0</v>
      </c>
      <c r="N191" s="867">
        <f t="shared" si="27"/>
        <v>0</v>
      </c>
      <c r="O191" s="867">
        <f t="shared" si="27"/>
        <v>0</v>
      </c>
      <c r="P191" s="867">
        <f t="shared" si="27"/>
        <v>0</v>
      </c>
      <c r="Q191" s="867">
        <f t="shared" si="27"/>
        <v>0</v>
      </c>
      <c r="R191" s="867">
        <f t="shared" si="27"/>
        <v>0</v>
      </c>
      <c r="S191" s="867">
        <f t="shared" si="27"/>
        <v>0</v>
      </c>
      <c r="T191" s="867">
        <f t="shared" si="27"/>
        <v>0</v>
      </c>
      <c r="U191" s="867">
        <f t="shared" si="27"/>
        <v>0</v>
      </c>
      <c r="V191" s="867">
        <f t="shared" si="27"/>
        <v>0</v>
      </c>
      <c r="W191" s="867">
        <f t="shared" si="27"/>
        <v>0</v>
      </c>
      <c r="X191" s="867">
        <f t="shared" si="27"/>
        <v>0</v>
      </c>
      <c r="Y191" s="867">
        <f t="shared" si="27"/>
        <v>0</v>
      </c>
      <c r="Z191" s="867">
        <f t="shared" si="27"/>
        <v>0</v>
      </c>
      <c r="AA191" s="867">
        <f t="shared" si="27"/>
        <v>0</v>
      </c>
      <c r="AB191" s="867">
        <f t="shared" si="27"/>
        <v>0</v>
      </c>
      <c r="AC191" s="867">
        <f t="shared" si="27"/>
        <v>0</v>
      </c>
      <c r="AD191" s="867">
        <f t="shared" si="27"/>
        <v>0</v>
      </c>
      <c r="AE191" s="867">
        <f t="shared" si="27"/>
        <v>0</v>
      </c>
      <c r="AF191" s="867">
        <f t="shared" si="27"/>
        <v>0</v>
      </c>
      <c r="AG191" s="867">
        <f t="shared" si="27"/>
        <v>0</v>
      </c>
      <c r="AH191" s="867">
        <f t="shared" si="27"/>
        <v>0</v>
      </c>
      <c r="AI191" s="867">
        <f t="shared" si="27"/>
        <v>0</v>
      </c>
      <c r="AJ191" s="867">
        <f t="shared" si="27"/>
        <v>0</v>
      </c>
      <c r="AK191" s="867">
        <f t="shared" si="27"/>
        <v>0</v>
      </c>
      <c r="AL191" s="867">
        <f t="shared" si="27"/>
        <v>0</v>
      </c>
      <c r="AM191" s="867">
        <f t="shared" si="27"/>
        <v>0</v>
      </c>
      <c r="AN191" s="867">
        <f t="shared" si="27"/>
        <v>0</v>
      </c>
      <c r="AO191" s="867">
        <f t="shared" si="27"/>
        <v>0</v>
      </c>
      <c r="AP191" s="867">
        <f t="shared" si="27"/>
        <v>0</v>
      </c>
      <c r="AQ191" s="867">
        <f t="shared" si="27"/>
        <v>0</v>
      </c>
      <c r="AR191" s="867">
        <f t="shared" si="27"/>
        <v>0</v>
      </c>
      <c r="AS191" s="867">
        <f t="shared" si="27"/>
        <v>0</v>
      </c>
      <c r="AT191" s="867">
        <f t="shared" si="27"/>
        <v>0</v>
      </c>
      <c r="AU191" s="867">
        <f t="shared" si="27"/>
        <v>0</v>
      </c>
      <c r="AV191" s="867">
        <f t="shared" si="27"/>
        <v>0</v>
      </c>
      <c r="AW191" s="867">
        <f t="shared" si="27"/>
        <v>0</v>
      </c>
      <c r="AX191" s="867">
        <f t="shared" si="27"/>
        <v>0</v>
      </c>
      <c r="AY191" s="867">
        <f t="shared" si="27"/>
        <v>0</v>
      </c>
      <c r="AZ191" s="867">
        <f t="shared" si="27"/>
        <v>0</v>
      </c>
      <c r="BA191" s="867">
        <f t="shared" si="27"/>
        <v>0</v>
      </c>
      <c r="BB191" s="867">
        <f t="shared" si="27"/>
        <v>0</v>
      </c>
      <c r="BC191" s="867">
        <f t="shared" si="27"/>
        <v>0</v>
      </c>
      <c r="BD191" s="867">
        <f t="shared" si="27"/>
        <v>0</v>
      </c>
      <c r="BE191" s="867">
        <f t="shared" si="27"/>
        <v>0</v>
      </c>
    </row>
    <row r="192" spans="2:57" x14ac:dyDescent="0.25">
      <c r="B192" s="851"/>
      <c r="D192" s="315"/>
      <c r="E192" s="870" t="str">
        <f>E72</f>
        <v>Decom cost CCS phase</v>
      </c>
      <c r="F192" s="870" t="str">
        <f>F70</f>
        <v>[kEUR]</v>
      </c>
      <c r="G192" s="867">
        <f>G72</f>
        <v>-21822.857142857145</v>
      </c>
      <c r="H192" s="867">
        <f>H72</f>
        <v>-1250.6363717552026</v>
      </c>
      <c r="I192" s="867"/>
      <c r="J192" s="867">
        <f t="shared" ref="J192:BE192" si="28">J72</f>
        <v>0</v>
      </c>
      <c r="K192" s="867">
        <f t="shared" si="28"/>
        <v>0</v>
      </c>
      <c r="L192" s="867">
        <f t="shared" si="28"/>
        <v>0</v>
      </c>
      <c r="M192" s="867">
        <f t="shared" si="28"/>
        <v>0</v>
      </c>
      <c r="N192" s="867">
        <f t="shared" si="28"/>
        <v>0</v>
      </c>
      <c r="O192" s="867">
        <f t="shared" si="28"/>
        <v>0</v>
      </c>
      <c r="P192" s="867">
        <f t="shared" si="28"/>
        <v>0</v>
      </c>
      <c r="Q192" s="867">
        <f t="shared" si="28"/>
        <v>0</v>
      </c>
      <c r="R192" s="867">
        <f t="shared" si="28"/>
        <v>0</v>
      </c>
      <c r="S192" s="867">
        <f t="shared" si="28"/>
        <v>0</v>
      </c>
      <c r="T192" s="867">
        <f t="shared" si="28"/>
        <v>0</v>
      </c>
      <c r="U192" s="867">
        <f t="shared" si="28"/>
        <v>0</v>
      </c>
      <c r="V192" s="867">
        <f t="shared" si="28"/>
        <v>0</v>
      </c>
      <c r="W192" s="867">
        <f t="shared" si="28"/>
        <v>0</v>
      </c>
      <c r="X192" s="867">
        <f t="shared" si="28"/>
        <v>0</v>
      </c>
      <c r="Y192" s="867">
        <f t="shared" si="28"/>
        <v>0</v>
      </c>
      <c r="Z192" s="867">
        <f t="shared" si="28"/>
        <v>0</v>
      </c>
      <c r="AA192" s="867">
        <f t="shared" si="28"/>
        <v>0</v>
      </c>
      <c r="AB192" s="867">
        <f t="shared" si="28"/>
        <v>0</v>
      </c>
      <c r="AC192" s="867">
        <f t="shared" si="28"/>
        <v>0</v>
      </c>
      <c r="AD192" s="867">
        <f t="shared" si="28"/>
        <v>0</v>
      </c>
      <c r="AE192" s="867">
        <f t="shared" si="28"/>
        <v>0</v>
      </c>
      <c r="AF192" s="867">
        <f t="shared" si="28"/>
        <v>0</v>
      </c>
      <c r="AG192" s="867">
        <f t="shared" si="28"/>
        <v>0</v>
      </c>
      <c r="AH192" s="867">
        <f t="shared" si="28"/>
        <v>0</v>
      </c>
      <c r="AI192" s="867">
        <f t="shared" si="28"/>
        <v>0</v>
      </c>
      <c r="AJ192" s="867">
        <f t="shared" si="28"/>
        <v>0</v>
      </c>
      <c r="AK192" s="867">
        <f t="shared" si="28"/>
        <v>0</v>
      </c>
      <c r="AL192" s="867">
        <f t="shared" si="28"/>
        <v>0</v>
      </c>
      <c r="AM192" s="867">
        <f t="shared" si="28"/>
        <v>0</v>
      </c>
      <c r="AN192" s="867">
        <f t="shared" si="28"/>
        <v>-21822.857142857145</v>
      </c>
      <c r="AO192" s="867">
        <f t="shared" si="28"/>
        <v>0</v>
      </c>
      <c r="AP192" s="867">
        <f t="shared" si="28"/>
        <v>0</v>
      </c>
      <c r="AQ192" s="867">
        <f t="shared" si="28"/>
        <v>0</v>
      </c>
      <c r="AR192" s="867">
        <f t="shared" si="28"/>
        <v>0</v>
      </c>
      <c r="AS192" s="867">
        <f t="shared" si="28"/>
        <v>0</v>
      </c>
      <c r="AT192" s="867">
        <f t="shared" si="28"/>
        <v>0</v>
      </c>
      <c r="AU192" s="867">
        <f t="shared" si="28"/>
        <v>0</v>
      </c>
      <c r="AV192" s="867">
        <f t="shared" si="28"/>
        <v>0</v>
      </c>
      <c r="AW192" s="867">
        <f t="shared" si="28"/>
        <v>0</v>
      </c>
      <c r="AX192" s="867">
        <f t="shared" si="28"/>
        <v>0</v>
      </c>
      <c r="AY192" s="867">
        <f t="shared" si="28"/>
        <v>0</v>
      </c>
      <c r="AZ192" s="867">
        <f t="shared" si="28"/>
        <v>0</v>
      </c>
      <c r="BA192" s="867">
        <f t="shared" si="28"/>
        <v>0</v>
      </c>
      <c r="BB192" s="867">
        <f t="shared" si="28"/>
        <v>0</v>
      </c>
      <c r="BC192" s="867">
        <f t="shared" si="28"/>
        <v>0</v>
      </c>
      <c r="BD192" s="867">
        <f t="shared" si="28"/>
        <v>0</v>
      </c>
      <c r="BE192" s="867">
        <f t="shared" si="28"/>
        <v>0</v>
      </c>
    </row>
    <row r="193" spans="2:57" x14ac:dyDescent="0.25">
      <c r="B193" s="851"/>
      <c r="D193" s="315"/>
      <c r="E193" s="870" t="str">
        <f>E71</f>
        <v>Total capex new platforms (CCS)</v>
      </c>
      <c r="F193" s="870" t="str">
        <f t="shared" ref="F193:BE193" si="29">F71</f>
        <v>[kEUR]</v>
      </c>
      <c r="G193" s="870">
        <f t="shared" si="29"/>
        <v>0</v>
      </c>
      <c r="H193" s="870">
        <f t="shared" si="29"/>
        <v>0</v>
      </c>
      <c r="I193" s="870"/>
      <c r="J193" s="870">
        <f t="shared" si="29"/>
        <v>0</v>
      </c>
      <c r="K193" s="870">
        <f t="shared" si="29"/>
        <v>0</v>
      </c>
      <c r="L193" s="870">
        <f t="shared" si="29"/>
        <v>0</v>
      </c>
      <c r="M193" s="870">
        <f t="shared" si="29"/>
        <v>0</v>
      </c>
      <c r="N193" s="870">
        <f t="shared" si="29"/>
        <v>0</v>
      </c>
      <c r="O193" s="870">
        <f t="shared" si="29"/>
        <v>0</v>
      </c>
      <c r="P193" s="870">
        <f t="shared" si="29"/>
        <v>0</v>
      </c>
      <c r="Q193" s="870">
        <f t="shared" si="29"/>
        <v>0</v>
      </c>
      <c r="R193" s="870">
        <f t="shared" si="29"/>
        <v>0</v>
      </c>
      <c r="S193" s="870">
        <f t="shared" si="29"/>
        <v>0</v>
      </c>
      <c r="T193" s="870">
        <f t="shared" si="29"/>
        <v>0</v>
      </c>
      <c r="U193" s="870">
        <f t="shared" si="29"/>
        <v>0</v>
      </c>
      <c r="V193" s="870">
        <f t="shared" si="29"/>
        <v>0</v>
      </c>
      <c r="W193" s="870">
        <f t="shared" si="29"/>
        <v>0</v>
      </c>
      <c r="X193" s="870">
        <f t="shared" si="29"/>
        <v>0</v>
      </c>
      <c r="Y193" s="870">
        <f t="shared" si="29"/>
        <v>0</v>
      </c>
      <c r="Z193" s="870">
        <f t="shared" si="29"/>
        <v>0</v>
      </c>
      <c r="AA193" s="870">
        <f t="shared" si="29"/>
        <v>0</v>
      </c>
      <c r="AB193" s="870">
        <f t="shared" si="29"/>
        <v>0</v>
      </c>
      <c r="AC193" s="870">
        <f t="shared" si="29"/>
        <v>0</v>
      </c>
      <c r="AD193" s="870">
        <f t="shared" si="29"/>
        <v>0</v>
      </c>
      <c r="AE193" s="870">
        <f t="shared" si="29"/>
        <v>0</v>
      </c>
      <c r="AF193" s="870">
        <f t="shared" si="29"/>
        <v>0</v>
      </c>
      <c r="AG193" s="870">
        <f t="shared" si="29"/>
        <v>0</v>
      </c>
      <c r="AH193" s="870">
        <f t="shared" si="29"/>
        <v>0</v>
      </c>
      <c r="AI193" s="870">
        <f t="shared" si="29"/>
        <v>0</v>
      </c>
      <c r="AJ193" s="870">
        <f t="shared" si="29"/>
        <v>0</v>
      </c>
      <c r="AK193" s="870">
        <f t="shared" si="29"/>
        <v>0</v>
      </c>
      <c r="AL193" s="870">
        <f t="shared" si="29"/>
        <v>0</v>
      </c>
      <c r="AM193" s="870">
        <f t="shared" si="29"/>
        <v>0</v>
      </c>
      <c r="AN193" s="870">
        <f t="shared" si="29"/>
        <v>0</v>
      </c>
      <c r="AO193" s="870">
        <f t="shared" si="29"/>
        <v>0</v>
      </c>
      <c r="AP193" s="870">
        <f t="shared" si="29"/>
        <v>0</v>
      </c>
      <c r="AQ193" s="870">
        <f t="shared" si="29"/>
        <v>0</v>
      </c>
      <c r="AR193" s="870">
        <f t="shared" si="29"/>
        <v>0</v>
      </c>
      <c r="AS193" s="870">
        <f t="shared" si="29"/>
        <v>0</v>
      </c>
      <c r="AT193" s="870">
        <f t="shared" si="29"/>
        <v>0</v>
      </c>
      <c r="AU193" s="870">
        <f t="shared" si="29"/>
        <v>0</v>
      </c>
      <c r="AV193" s="870">
        <f t="shared" si="29"/>
        <v>0</v>
      </c>
      <c r="AW193" s="870">
        <f t="shared" si="29"/>
        <v>0</v>
      </c>
      <c r="AX193" s="870">
        <f t="shared" si="29"/>
        <v>0</v>
      </c>
      <c r="AY193" s="870">
        <f t="shared" si="29"/>
        <v>0</v>
      </c>
      <c r="AZ193" s="870">
        <f t="shared" si="29"/>
        <v>0</v>
      </c>
      <c r="BA193" s="870">
        <f t="shared" si="29"/>
        <v>0</v>
      </c>
      <c r="BB193" s="870">
        <f t="shared" si="29"/>
        <v>0</v>
      </c>
      <c r="BC193" s="870">
        <f t="shared" si="29"/>
        <v>0</v>
      </c>
      <c r="BD193" s="870">
        <f t="shared" si="29"/>
        <v>0</v>
      </c>
      <c r="BE193" s="870">
        <f t="shared" si="29"/>
        <v>0</v>
      </c>
    </row>
    <row r="194" spans="2:57" x14ac:dyDescent="0.25">
      <c r="B194" s="851"/>
      <c r="D194" s="315"/>
      <c r="E194" s="1163" t="str">
        <f>E70</f>
        <v>Capex booster</v>
      </c>
      <c r="F194" s="1164" t="str">
        <f>F70</f>
        <v>[kEUR]</v>
      </c>
      <c r="G194" s="1163">
        <f>G70</f>
        <v>0</v>
      </c>
      <c r="H194" s="1163">
        <f>H70</f>
        <v>0</v>
      </c>
      <c r="I194" s="1163"/>
      <c r="J194" s="1163">
        <f t="shared" ref="J194:BE194" si="30">J70</f>
        <v>0</v>
      </c>
      <c r="K194" s="1163">
        <f t="shared" si="30"/>
        <v>0</v>
      </c>
      <c r="L194" s="1163">
        <f t="shared" si="30"/>
        <v>0</v>
      </c>
      <c r="M194" s="1163">
        <f t="shared" si="30"/>
        <v>0</v>
      </c>
      <c r="N194" s="1163">
        <f t="shared" si="30"/>
        <v>0</v>
      </c>
      <c r="O194" s="1163">
        <f t="shared" si="30"/>
        <v>0</v>
      </c>
      <c r="P194" s="1163">
        <f t="shared" si="30"/>
        <v>0</v>
      </c>
      <c r="Q194" s="1163">
        <f t="shared" si="30"/>
        <v>0</v>
      </c>
      <c r="R194" s="1163">
        <f t="shared" si="30"/>
        <v>0</v>
      </c>
      <c r="S194" s="1163">
        <f t="shared" si="30"/>
        <v>0</v>
      </c>
      <c r="T194" s="1163">
        <f t="shared" si="30"/>
        <v>0</v>
      </c>
      <c r="U194" s="1163">
        <f t="shared" si="30"/>
        <v>0</v>
      </c>
      <c r="V194" s="1163">
        <f t="shared" si="30"/>
        <v>0</v>
      </c>
      <c r="W194" s="1163">
        <f t="shared" si="30"/>
        <v>0</v>
      </c>
      <c r="X194" s="1163">
        <f t="shared" si="30"/>
        <v>0</v>
      </c>
      <c r="Y194" s="1163">
        <f t="shared" si="30"/>
        <v>0</v>
      </c>
      <c r="Z194" s="1163">
        <f t="shared" si="30"/>
        <v>0</v>
      </c>
      <c r="AA194" s="1163">
        <f t="shared" si="30"/>
        <v>0</v>
      </c>
      <c r="AB194" s="1163">
        <f t="shared" si="30"/>
        <v>0</v>
      </c>
      <c r="AC194" s="1163">
        <f t="shared" si="30"/>
        <v>0</v>
      </c>
      <c r="AD194" s="1163">
        <f t="shared" si="30"/>
        <v>0</v>
      </c>
      <c r="AE194" s="1163">
        <f t="shared" si="30"/>
        <v>0</v>
      </c>
      <c r="AF194" s="1163">
        <f t="shared" si="30"/>
        <v>0</v>
      </c>
      <c r="AG194" s="1163">
        <f t="shared" si="30"/>
        <v>0</v>
      </c>
      <c r="AH194" s="1163">
        <f t="shared" si="30"/>
        <v>0</v>
      </c>
      <c r="AI194" s="1163">
        <f t="shared" si="30"/>
        <v>0</v>
      </c>
      <c r="AJ194" s="1163">
        <f t="shared" si="30"/>
        <v>0</v>
      </c>
      <c r="AK194" s="1163">
        <f t="shared" si="30"/>
        <v>0</v>
      </c>
      <c r="AL194" s="1163">
        <f t="shared" si="30"/>
        <v>0</v>
      </c>
      <c r="AM194" s="1163">
        <f t="shared" si="30"/>
        <v>0</v>
      </c>
      <c r="AN194" s="1163">
        <f t="shared" si="30"/>
        <v>0</v>
      </c>
      <c r="AO194" s="1163">
        <f t="shared" si="30"/>
        <v>0</v>
      </c>
      <c r="AP194" s="1163">
        <f t="shared" si="30"/>
        <v>0</v>
      </c>
      <c r="AQ194" s="1163">
        <f t="shared" si="30"/>
        <v>0</v>
      </c>
      <c r="AR194" s="1163">
        <f t="shared" si="30"/>
        <v>0</v>
      </c>
      <c r="AS194" s="1163">
        <f t="shared" si="30"/>
        <v>0</v>
      </c>
      <c r="AT194" s="1163">
        <f t="shared" si="30"/>
        <v>0</v>
      </c>
      <c r="AU194" s="1163">
        <f t="shared" si="30"/>
        <v>0</v>
      </c>
      <c r="AV194" s="1163">
        <f t="shared" si="30"/>
        <v>0</v>
      </c>
      <c r="AW194" s="1163">
        <f t="shared" si="30"/>
        <v>0</v>
      </c>
      <c r="AX194" s="1163">
        <f t="shared" si="30"/>
        <v>0</v>
      </c>
      <c r="AY194" s="1163">
        <f t="shared" si="30"/>
        <v>0</v>
      </c>
      <c r="AZ194" s="1163">
        <f t="shared" si="30"/>
        <v>0</v>
      </c>
      <c r="BA194" s="1163">
        <f t="shared" si="30"/>
        <v>0</v>
      </c>
      <c r="BB194" s="1163">
        <f t="shared" si="30"/>
        <v>0</v>
      </c>
      <c r="BC194" s="1163">
        <f t="shared" si="30"/>
        <v>0</v>
      </c>
      <c r="BD194" s="1163">
        <f t="shared" si="30"/>
        <v>0</v>
      </c>
      <c r="BE194" s="1163">
        <f t="shared" si="30"/>
        <v>0</v>
      </c>
    </row>
    <row r="195" spans="2:57" x14ac:dyDescent="0.25">
      <c r="B195" s="851"/>
      <c r="D195" s="996"/>
      <c r="E195" s="864" t="str">
        <f>B99</f>
        <v>Small H2</v>
      </c>
      <c r="F195" s="864" t="s">
        <v>979</v>
      </c>
      <c r="G195" s="863">
        <f>SUM(G196:G204)</f>
        <v>-30942.726957348743</v>
      </c>
      <c r="H195" s="863">
        <f t="shared" ref="H195" si="31">SUM(H196:H204)</f>
        <v>-15878.511538359631</v>
      </c>
      <c r="I195" s="863"/>
      <c r="J195" s="863">
        <f t="shared" ref="J195:AX195" si="32">SUM(J196:J204)</f>
        <v>0</v>
      </c>
      <c r="K195" s="863">
        <f t="shared" si="32"/>
        <v>0</v>
      </c>
      <c r="L195" s="863">
        <f t="shared" si="32"/>
        <v>0</v>
      </c>
      <c r="M195" s="863">
        <f t="shared" si="32"/>
        <v>0</v>
      </c>
      <c r="N195" s="863">
        <f t="shared" si="32"/>
        <v>0</v>
      </c>
      <c r="O195" s="863">
        <f t="shared" si="32"/>
        <v>0</v>
      </c>
      <c r="P195" s="863">
        <f t="shared" si="32"/>
        <v>0</v>
      </c>
      <c r="Q195" s="863">
        <f t="shared" si="32"/>
        <v>-30942.726957348743</v>
      </c>
      <c r="R195" s="863">
        <f t="shared" si="32"/>
        <v>0</v>
      </c>
      <c r="S195" s="863">
        <f t="shared" si="32"/>
        <v>0</v>
      </c>
      <c r="T195" s="863">
        <f t="shared" si="32"/>
        <v>0</v>
      </c>
      <c r="U195" s="863">
        <f t="shared" si="32"/>
        <v>0</v>
      </c>
      <c r="V195" s="863">
        <f t="shared" si="32"/>
        <v>0</v>
      </c>
      <c r="W195" s="863">
        <f t="shared" si="32"/>
        <v>0</v>
      </c>
      <c r="X195" s="863">
        <f t="shared" si="32"/>
        <v>0</v>
      </c>
      <c r="Y195" s="863">
        <f t="shared" si="32"/>
        <v>0</v>
      </c>
      <c r="Z195" s="863">
        <f t="shared" si="32"/>
        <v>0</v>
      </c>
      <c r="AA195" s="863">
        <f t="shared" si="32"/>
        <v>0</v>
      </c>
      <c r="AB195" s="863">
        <f t="shared" si="32"/>
        <v>0</v>
      </c>
      <c r="AC195" s="863">
        <f t="shared" si="32"/>
        <v>0</v>
      </c>
      <c r="AD195" s="863">
        <f t="shared" si="32"/>
        <v>0</v>
      </c>
      <c r="AE195" s="863">
        <f t="shared" si="32"/>
        <v>0</v>
      </c>
      <c r="AF195" s="863">
        <f t="shared" si="32"/>
        <v>0</v>
      </c>
      <c r="AG195" s="863">
        <f t="shared" si="32"/>
        <v>0</v>
      </c>
      <c r="AH195" s="863">
        <f t="shared" si="32"/>
        <v>0</v>
      </c>
      <c r="AI195" s="863">
        <f t="shared" si="32"/>
        <v>0</v>
      </c>
      <c r="AJ195" s="863">
        <f t="shared" si="32"/>
        <v>0</v>
      </c>
      <c r="AK195" s="863">
        <f t="shared" si="32"/>
        <v>0</v>
      </c>
      <c r="AL195" s="863">
        <f t="shared" si="32"/>
        <v>0</v>
      </c>
      <c r="AM195" s="863">
        <f t="shared" si="32"/>
        <v>0</v>
      </c>
      <c r="AN195" s="863">
        <f t="shared" si="32"/>
        <v>0</v>
      </c>
      <c r="AO195" s="863">
        <f t="shared" si="32"/>
        <v>0</v>
      </c>
      <c r="AP195" s="863">
        <f t="shared" si="32"/>
        <v>0</v>
      </c>
      <c r="AQ195" s="863">
        <f t="shared" si="32"/>
        <v>0</v>
      </c>
      <c r="AR195" s="863">
        <f t="shared" si="32"/>
        <v>0</v>
      </c>
      <c r="AS195" s="863">
        <f t="shared" si="32"/>
        <v>0</v>
      </c>
      <c r="AT195" s="863">
        <f t="shared" si="32"/>
        <v>0</v>
      </c>
      <c r="AU195" s="863">
        <f t="shared" si="32"/>
        <v>0</v>
      </c>
      <c r="AV195" s="863">
        <f t="shared" si="32"/>
        <v>0</v>
      </c>
      <c r="AW195" s="863">
        <f t="shared" si="32"/>
        <v>0</v>
      </c>
      <c r="AX195" s="863">
        <f t="shared" si="32"/>
        <v>0</v>
      </c>
      <c r="AY195" s="863">
        <f t="shared" ref="AY195:BE195" si="33">SUM(AY196:AY204)</f>
        <v>0</v>
      </c>
      <c r="AZ195" s="863">
        <f t="shared" si="33"/>
        <v>0</v>
      </c>
      <c r="BA195" s="863">
        <f t="shared" si="33"/>
        <v>0</v>
      </c>
      <c r="BB195" s="863">
        <f t="shared" si="33"/>
        <v>0</v>
      </c>
      <c r="BC195" s="863">
        <f t="shared" si="33"/>
        <v>0</v>
      </c>
      <c r="BD195" s="863">
        <f t="shared" si="33"/>
        <v>0</v>
      </c>
      <c r="BE195" s="863">
        <f t="shared" si="33"/>
        <v>0</v>
      </c>
    </row>
    <row r="196" spans="2:57" x14ac:dyDescent="0.25">
      <c r="B196" s="851"/>
      <c r="D196" s="908"/>
      <c r="E196" s="866" t="str">
        <f t="shared" ref="E196:H204" si="34">E100</f>
        <v>Capex electrolyser</v>
      </c>
      <c r="F196" s="866" t="str">
        <f t="shared" si="34"/>
        <v>[kEUR]</v>
      </c>
      <c r="G196" s="867">
        <f t="shared" si="34"/>
        <v>-9017.1824910468458</v>
      </c>
      <c r="H196" s="867">
        <f t="shared" si="34"/>
        <v>-4627.240398848473</v>
      </c>
      <c r="I196" s="867"/>
      <c r="J196" s="867">
        <f t="shared" ref="J196:BE196" si="35">J100</f>
        <v>0</v>
      </c>
      <c r="K196" s="867">
        <f t="shared" si="35"/>
        <v>0</v>
      </c>
      <c r="L196" s="867">
        <f t="shared" si="35"/>
        <v>0</v>
      </c>
      <c r="M196" s="867">
        <f t="shared" si="35"/>
        <v>0</v>
      </c>
      <c r="N196" s="867">
        <f t="shared" si="35"/>
        <v>0</v>
      </c>
      <c r="O196" s="867">
        <f t="shared" si="35"/>
        <v>0</v>
      </c>
      <c r="P196" s="867">
        <f t="shared" si="35"/>
        <v>0</v>
      </c>
      <c r="Q196" s="867">
        <f t="shared" si="35"/>
        <v>-9017.1824910468458</v>
      </c>
      <c r="R196" s="867">
        <f t="shared" si="35"/>
        <v>0</v>
      </c>
      <c r="S196" s="867">
        <f t="shared" si="35"/>
        <v>0</v>
      </c>
      <c r="T196" s="867">
        <f t="shared" si="35"/>
        <v>0</v>
      </c>
      <c r="U196" s="867">
        <f t="shared" si="35"/>
        <v>0</v>
      </c>
      <c r="V196" s="867">
        <f t="shared" si="35"/>
        <v>0</v>
      </c>
      <c r="W196" s="867">
        <f t="shared" si="35"/>
        <v>0</v>
      </c>
      <c r="X196" s="867">
        <f t="shared" si="35"/>
        <v>0</v>
      </c>
      <c r="Y196" s="867">
        <f t="shared" si="35"/>
        <v>0</v>
      </c>
      <c r="Z196" s="867">
        <f t="shared" si="35"/>
        <v>0</v>
      </c>
      <c r="AA196" s="867">
        <f t="shared" si="35"/>
        <v>0</v>
      </c>
      <c r="AB196" s="867">
        <f t="shared" si="35"/>
        <v>0</v>
      </c>
      <c r="AC196" s="867">
        <f t="shared" si="35"/>
        <v>0</v>
      </c>
      <c r="AD196" s="867">
        <f t="shared" si="35"/>
        <v>0</v>
      </c>
      <c r="AE196" s="867">
        <f t="shared" si="35"/>
        <v>0</v>
      </c>
      <c r="AF196" s="867">
        <f t="shared" si="35"/>
        <v>0</v>
      </c>
      <c r="AG196" s="867">
        <f t="shared" si="35"/>
        <v>0</v>
      </c>
      <c r="AH196" s="867">
        <f t="shared" si="35"/>
        <v>0</v>
      </c>
      <c r="AI196" s="867">
        <f t="shared" si="35"/>
        <v>0</v>
      </c>
      <c r="AJ196" s="867">
        <f t="shared" si="35"/>
        <v>0</v>
      </c>
      <c r="AK196" s="867">
        <f t="shared" si="35"/>
        <v>0</v>
      </c>
      <c r="AL196" s="867">
        <f t="shared" si="35"/>
        <v>0</v>
      </c>
      <c r="AM196" s="867">
        <f t="shared" si="35"/>
        <v>0</v>
      </c>
      <c r="AN196" s="867">
        <f t="shared" si="35"/>
        <v>0</v>
      </c>
      <c r="AO196" s="867">
        <f t="shared" si="35"/>
        <v>0</v>
      </c>
      <c r="AP196" s="867">
        <f t="shared" si="35"/>
        <v>0</v>
      </c>
      <c r="AQ196" s="867">
        <f t="shared" si="35"/>
        <v>0</v>
      </c>
      <c r="AR196" s="867">
        <f t="shared" si="35"/>
        <v>0</v>
      </c>
      <c r="AS196" s="867">
        <f t="shared" si="35"/>
        <v>0</v>
      </c>
      <c r="AT196" s="867">
        <f t="shared" si="35"/>
        <v>0</v>
      </c>
      <c r="AU196" s="867">
        <f t="shared" si="35"/>
        <v>0</v>
      </c>
      <c r="AV196" s="867">
        <f t="shared" si="35"/>
        <v>0</v>
      </c>
      <c r="AW196" s="867">
        <f t="shared" si="35"/>
        <v>0</v>
      </c>
      <c r="AX196" s="867">
        <f t="shared" si="35"/>
        <v>0</v>
      </c>
      <c r="AY196" s="867">
        <f t="shared" si="35"/>
        <v>0</v>
      </c>
      <c r="AZ196" s="867">
        <f t="shared" si="35"/>
        <v>0</v>
      </c>
      <c r="BA196" s="867">
        <f t="shared" si="35"/>
        <v>0</v>
      </c>
      <c r="BB196" s="867">
        <f t="shared" si="35"/>
        <v>0</v>
      </c>
      <c r="BC196" s="867">
        <f t="shared" si="35"/>
        <v>0</v>
      </c>
      <c r="BD196" s="867">
        <f t="shared" si="35"/>
        <v>0</v>
      </c>
      <c r="BE196" s="867">
        <f t="shared" si="35"/>
        <v>0</v>
      </c>
    </row>
    <row r="197" spans="2:57" x14ac:dyDescent="0.25">
      <c r="B197" s="851"/>
      <c r="D197" s="908"/>
      <c r="E197" s="866" t="str">
        <f t="shared" si="34"/>
        <v>Capex desalination unit</v>
      </c>
      <c r="F197" s="866" t="str">
        <f t="shared" si="34"/>
        <v>[kEUR]</v>
      </c>
      <c r="G197" s="867">
        <f t="shared" si="34"/>
        <v>-96.765280642775352</v>
      </c>
      <c r="H197" s="867">
        <f t="shared" si="34"/>
        <v>-49.655889324712803</v>
      </c>
      <c r="I197" s="867"/>
      <c r="J197" s="867">
        <f t="shared" ref="J197:BE197" si="36">J101</f>
        <v>0</v>
      </c>
      <c r="K197" s="867">
        <f t="shared" si="36"/>
        <v>0</v>
      </c>
      <c r="L197" s="867">
        <f t="shared" si="36"/>
        <v>0</v>
      </c>
      <c r="M197" s="867">
        <f t="shared" si="36"/>
        <v>0</v>
      </c>
      <c r="N197" s="867">
        <f t="shared" si="36"/>
        <v>0</v>
      </c>
      <c r="O197" s="867">
        <f t="shared" si="36"/>
        <v>0</v>
      </c>
      <c r="P197" s="867">
        <f t="shared" si="36"/>
        <v>0</v>
      </c>
      <c r="Q197" s="867">
        <f t="shared" si="36"/>
        <v>-96.765280642775352</v>
      </c>
      <c r="R197" s="867">
        <f t="shared" si="36"/>
        <v>0</v>
      </c>
      <c r="S197" s="867">
        <f t="shared" si="36"/>
        <v>0</v>
      </c>
      <c r="T197" s="867">
        <f t="shared" si="36"/>
        <v>0</v>
      </c>
      <c r="U197" s="867">
        <f t="shared" si="36"/>
        <v>0</v>
      </c>
      <c r="V197" s="867">
        <f t="shared" si="36"/>
        <v>0</v>
      </c>
      <c r="W197" s="867">
        <f t="shared" si="36"/>
        <v>0</v>
      </c>
      <c r="X197" s="867">
        <f t="shared" si="36"/>
        <v>0</v>
      </c>
      <c r="Y197" s="867">
        <f t="shared" si="36"/>
        <v>0</v>
      </c>
      <c r="Z197" s="867">
        <f t="shared" si="36"/>
        <v>0</v>
      </c>
      <c r="AA197" s="867">
        <f t="shared" si="36"/>
        <v>0</v>
      </c>
      <c r="AB197" s="867">
        <f t="shared" si="36"/>
        <v>0</v>
      </c>
      <c r="AC197" s="867">
        <f t="shared" si="36"/>
        <v>0</v>
      </c>
      <c r="AD197" s="867">
        <f t="shared" si="36"/>
        <v>0</v>
      </c>
      <c r="AE197" s="867">
        <f t="shared" si="36"/>
        <v>0</v>
      </c>
      <c r="AF197" s="867">
        <f t="shared" si="36"/>
        <v>0</v>
      </c>
      <c r="AG197" s="867">
        <f t="shared" si="36"/>
        <v>0</v>
      </c>
      <c r="AH197" s="867">
        <f t="shared" si="36"/>
        <v>0</v>
      </c>
      <c r="AI197" s="867">
        <f t="shared" si="36"/>
        <v>0</v>
      </c>
      <c r="AJ197" s="867">
        <f t="shared" si="36"/>
        <v>0</v>
      </c>
      <c r="AK197" s="867">
        <f t="shared" si="36"/>
        <v>0</v>
      </c>
      <c r="AL197" s="867">
        <f t="shared" si="36"/>
        <v>0</v>
      </c>
      <c r="AM197" s="867">
        <f t="shared" si="36"/>
        <v>0</v>
      </c>
      <c r="AN197" s="867">
        <f t="shared" si="36"/>
        <v>0</v>
      </c>
      <c r="AO197" s="867">
        <f t="shared" si="36"/>
        <v>0</v>
      </c>
      <c r="AP197" s="867">
        <f t="shared" si="36"/>
        <v>0</v>
      </c>
      <c r="AQ197" s="867">
        <f t="shared" si="36"/>
        <v>0</v>
      </c>
      <c r="AR197" s="867">
        <f t="shared" si="36"/>
        <v>0</v>
      </c>
      <c r="AS197" s="867">
        <f t="shared" si="36"/>
        <v>0</v>
      </c>
      <c r="AT197" s="867">
        <f t="shared" si="36"/>
        <v>0</v>
      </c>
      <c r="AU197" s="867">
        <f t="shared" si="36"/>
        <v>0</v>
      </c>
      <c r="AV197" s="867">
        <f t="shared" si="36"/>
        <v>0</v>
      </c>
      <c r="AW197" s="867">
        <f t="shared" si="36"/>
        <v>0</v>
      </c>
      <c r="AX197" s="867">
        <f t="shared" si="36"/>
        <v>0</v>
      </c>
      <c r="AY197" s="867">
        <f t="shared" si="36"/>
        <v>0</v>
      </c>
      <c r="AZ197" s="867">
        <f t="shared" si="36"/>
        <v>0</v>
      </c>
      <c r="BA197" s="867">
        <f t="shared" si="36"/>
        <v>0</v>
      </c>
      <c r="BB197" s="867">
        <f t="shared" si="36"/>
        <v>0</v>
      </c>
      <c r="BC197" s="867">
        <f t="shared" si="36"/>
        <v>0</v>
      </c>
      <c r="BD197" s="867">
        <f t="shared" si="36"/>
        <v>0</v>
      </c>
      <c r="BE197" s="867">
        <f t="shared" si="36"/>
        <v>0</v>
      </c>
    </row>
    <row r="198" spans="2:57" x14ac:dyDescent="0.25">
      <c r="B198" s="851"/>
      <c r="D198" s="908"/>
      <c r="E198" s="866" t="str">
        <f t="shared" si="34"/>
        <v>Capex compressor</v>
      </c>
      <c r="F198" s="866" t="str">
        <f t="shared" si="34"/>
        <v>[kEUR]</v>
      </c>
      <c r="G198" s="867">
        <f t="shared" si="34"/>
        <v>-209.73138440952872</v>
      </c>
      <c r="H198" s="867">
        <f t="shared" si="34"/>
        <v>-107.62536255751468</v>
      </c>
      <c r="I198" s="867"/>
      <c r="J198" s="867">
        <f t="shared" ref="J198:BE198" si="37">J102</f>
        <v>0</v>
      </c>
      <c r="K198" s="867">
        <f t="shared" si="37"/>
        <v>0</v>
      </c>
      <c r="L198" s="867">
        <f t="shared" si="37"/>
        <v>0</v>
      </c>
      <c r="M198" s="867">
        <f t="shared" si="37"/>
        <v>0</v>
      </c>
      <c r="N198" s="867">
        <f t="shared" si="37"/>
        <v>0</v>
      </c>
      <c r="O198" s="867">
        <f t="shared" si="37"/>
        <v>0</v>
      </c>
      <c r="P198" s="867">
        <f t="shared" si="37"/>
        <v>0</v>
      </c>
      <c r="Q198" s="867">
        <f t="shared" si="37"/>
        <v>-209.73138440952872</v>
      </c>
      <c r="R198" s="867">
        <f t="shared" si="37"/>
        <v>0</v>
      </c>
      <c r="S198" s="867">
        <f t="shared" si="37"/>
        <v>0</v>
      </c>
      <c r="T198" s="867">
        <f t="shared" si="37"/>
        <v>0</v>
      </c>
      <c r="U198" s="867">
        <f t="shared" si="37"/>
        <v>0</v>
      </c>
      <c r="V198" s="867">
        <f t="shared" si="37"/>
        <v>0</v>
      </c>
      <c r="W198" s="867">
        <f t="shared" si="37"/>
        <v>0</v>
      </c>
      <c r="X198" s="867">
        <f t="shared" si="37"/>
        <v>0</v>
      </c>
      <c r="Y198" s="867">
        <f t="shared" si="37"/>
        <v>0</v>
      </c>
      <c r="Z198" s="867">
        <f t="shared" si="37"/>
        <v>0</v>
      </c>
      <c r="AA198" s="867">
        <f t="shared" si="37"/>
        <v>0</v>
      </c>
      <c r="AB198" s="867">
        <f t="shared" si="37"/>
        <v>0</v>
      </c>
      <c r="AC198" s="867">
        <f t="shared" si="37"/>
        <v>0</v>
      </c>
      <c r="AD198" s="867">
        <f t="shared" si="37"/>
        <v>0</v>
      </c>
      <c r="AE198" s="867">
        <f t="shared" si="37"/>
        <v>0</v>
      </c>
      <c r="AF198" s="867">
        <f t="shared" si="37"/>
        <v>0</v>
      </c>
      <c r="AG198" s="867">
        <f t="shared" si="37"/>
        <v>0</v>
      </c>
      <c r="AH198" s="867">
        <f t="shared" si="37"/>
        <v>0</v>
      </c>
      <c r="AI198" s="867">
        <f t="shared" si="37"/>
        <v>0</v>
      </c>
      <c r="AJ198" s="867">
        <f t="shared" si="37"/>
        <v>0</v>
      </c>
      <c r="AK198" s="867">
        <f t="shared" si="37"/>
        <v>0</v>
      </c>
      <c r="AL198" s="867">
        <f t="shared" si="37"/>
        <v>0</v>
      </c>
      <c r="AM198" s="867">
        <f t="shared" si="37"/>
        <v>0</v>
      </c>
      <c r="AN198" s="867">
        <f t="shared" si="37"/>
        <v>0</v>
      </c>
      <c r="AO198" s="867">
        <f t="shared" si="37"/>
        <v>0</v>
      </c>
      <c r="AP198" s="867">
        <f t="shared" si="37"/>
        <v>0</v>
      </c>
      <c r="AQ198" s="867">
        <f t="shared" si="37"/>
        <v>0</v>
      </c>
      <c r="AR198" s="867">
        <f t="shared" si="37"/>
        <v>0</v>
      </c>
      <c r="AS198" s="867">
        <f t="shared" si="37"/>
        <v>0</v>
      </c>
      <c r="AT198" s="867">
        <f t="shared" si="37"/>
        <v>0</v>
      </c>
      <c r="AU198" s="867">
        <f t="shared" si="37"/>
        <v>0</v>
      </c>
      <c r="AV198" s="867">
        <f t="shared" si="37"/>
        <v>0</v>
      </c>
      <c r="AW198" s="867">
        <f t="shared" si="37"/>
        <v>0</v>
      </c>
      <c r="AX198" s="867">
        <f t="shared" si="37"/>
        <v>0</v>
      </c>
      <c r="AY198" s="867">
        <f t="shared" si="37"/>
        <v>0</v>
      </c>
      <c r="AZ198" s="867">
        <f t="shared" si="37"/>
        <v>0</v>
      </c>
      <c r="BA198" s="867">
        <f t="shared" si="37"/>
        <v>0</v>
      </c>
      <c r="BB198" s="867">
        <f t="shared" si="37"/>
        <v>0</v>
      </c>
      <c r="BC198" s="867">
        <f t="shared" si="37"/>
        <v>0</v>
      </c>
      <c r="BD198" s="867">
        <f t="shared" si="37"/>
        <v>0</v>
      </c>
      <c r="BE198" s="867">
        <f t="shared" si="37"/>
        <v>0</v>
      </c>
    </row>
    <row r="199" spans="2:57" x14ac:dyDescent="0.25">
      <c r="B199" s="851"/>
      <c r="D199" s="908"/>
      <c r="E199" s="866" t="str">
        <f t="shared" si="34"/>
        <v>Capex existing pipeline</v>
      </c>
      <c r="F199" s="866" t="str">
        <f t="shared" si="34"/>
        <v>[kEUR]</v>
      </c>
      <c r="G199" s="867">
        <f t="shared" si="34"/>
        <v>0</v>
      </c>
      <c r="H199" s="867">
        <f t="shared" si="34"/>
        <v>0</v>
      </c>
      <c r="I199" s="867"/>
      <c r="J199" s="867">
        <f t="shared" ref="J199:BE199" si="38">J103</f>
        <v>0</v>
      </c>
      <c r="K199" s="867">
        <f t="shared" si="38"/>
        <v>0</v>
      </c>
      <c r="L199" s="867">
        <f t="shared" si="38"/>
        <v>0</v>
      </c>
      <c r="M199" s="867">
        <f t="shared" si="38"/>
        <v>0</v>
      </c>
      <c r="N199" s="867">
        <f t="shared" si="38"/>
        <v>0</v>
      </c>
      <c r="O199" s="867">
        <f t="shared" si="38"/>
        <v>0</v>
      </c>
      <c r="P199" s="867">
        <f t="shared" si="38"/>
        <v>0</v>
      </c>
      <c r="Q199" s="867">
        <f t="shared" si="38"/>
        <v>0</v>
      </c>
      <c r="R199" s="867">
        <f t="shared" si="38"/>
        <v>0</v>
      </c>
      <c r="S199" s="867">
        <f t="shared" si="38"/>
        <v>0</v>
      </c>
      <c r="T199" s="867">
        <f t="shared" si="38"/>
        <v>0</v>
      </c>
      <c r="U199" s="867">
        <f t="shared" si="38"/>
        <v>0</v>
      </c>
      <c r="V199" s="867">
        <f t="shared" si="38"/>
        <v>0</v>
      </c>
      <c r="W199" s="867">
        <f t="shared" si="38"/>
        <v>0</v>
      </c>
      <c r="X199" s="867">
        <f t="shared" si="38"/>
        <v>0</v>
      </c>
      <c r="Y199" s="867">
        <f t="shared" si="38"/>
        <v>0</v>
      </c>
      <c r="Z199" s="867">
        <f t="shared" si="38"/>
        <v>0</v>
      </c>
      <c r="AA199" s="867">
        <f t="shared" si="38"/>
        <v>0</v>
      </c>
      <c r="AB199" s="867">
        <f t="shared" si="38"/>
        <v>0</v>
      </c>
      <c r="AC199" s="867">
        <f t="shared" si="38"/>
        <v>0</v>
      </c>
      <c r="AD199" s="867">
        <f t="shared" si="38"/>
        <v>0</v>
      </c>
      <c r="AE199" s="867">
        <f t="shared" si="38"/>
        <v>0</v>
      </c>
      <c r="AF199" s="867">
        <f t="shared" si="38"/>
        <v>0</v>
      </c>
      <c r="AG199" s="867">
        <f t="shared" si="38"/>
        <v>0</v>
      </c>
      <c r="AH199" s="867">
        <f t="shared" si="38"/>
        <v>0</v>
      </c>
      <c r="AI199" s="867">
        <f t="shared" si="38"/>
        <v>0</v>
      </c>
      <c r="AJ199" s="867">
        <f t="shared" si="38"/>
        <v>0</v>
      </c>
      <c r="AK199" s="867">
        <f t="shared" si="38"/>
        <v>0</v>
      </c>
      <c r="AL199" s="867">
        <f t="shared" si="38"/>
        <v>0</v>
      </c>
      <c r="AM199" s="867">
        <f t="shared" si="38"/>
        <v>0</v>
      </c>
      <c r="AN199" s="867">
        <f t="shared" si="38"/>
        <v>0</v>
      </c>
      <c r="AO199" s="867">
        <f t="shared" si="38"/>
        <v>0</v>
      </c>
      <c r="AP199" s="867">
        <f t="shared" si="38"/>
        <v>0</v>
      </c>
      <c r="AQ199" s="867">
        <f t="shared" si="38"/>
        <v>0</v>
      </c>
      <c r="AR199" s="867">
        <f t="shared" si="38"/>
        <v>0</v>
      </c>
      <c r="AS199" s="867">
        <f t="shared" si="38"/>
        <v>0</v>
      </c>
      <c r="AT199" s="867">
        <f t="shared" si="38"/>
        <v>0</v>
      </c>
      <c r="AU199" s="867">
        <f t="shared" si="38"/>
        <v>0</v>
      </c>
      <c r="AV199" s="867">
        <f t="shared" si="38"/>
        <v>0</v>
      </c>
      <c r="AW199" s="867">
        <f t="shared" si="38"/>
        <v>0</v>
      </c>
      <c r="AX199" s="867">
        <f t="shared" si="38"/>
        <v>0</v>
      </c>
      <c r="AY199" s="867">
        <f t="shared" si="38"/>
        <v>0</v>
      </c>
      <c r="AZ199" s="867">
        <f t="shared" si="38"/>
        <v>0</v>
      </c>
      <c r="BA199" s="867">
        <f t="shared" si="38"/>
        <v>0</v>
      </c>
      <c r="BB199" s="867">
        <f t="shared" si="38"/>
        <v>0</v>
      </c>
      <c r="BC199" s="867">
        <f t="shared" si="38"/>
        <v>0</v>
      </c>
      <c r="BD199" s="867">
        <f t="shared" si="38"/>
        <v>0</v>
      </c>
      <c r="BE199" s="867">
        <f t="shared" si="38"/>
        <v>0</v>
      </c>
    </row>
    <row r="200" spans="2:57" x14ac:dyDescent="0.25">
      <c r="B200" s="851"/>
      <c r="D200" s="908"/>
      <c r="E200" s="866" t="str">
        <f t="shared" si="34"/>
        <v>Capex cable (H2)</v>
      </c>
      <c r="F200" s="866" t="str">
        <f t="shared" si="34"/>
        <v>[kEUR]</v>
      </c>
      <c r="G200" s="867">
        <f t="shared" si="34"/>
        <v>-21619.047801249591</v>
      </c>
      <c r="H200" s="867">
        <f t="shared" si="34"/>
        <v>-11093.989887628932</v>
      </c>
      <c r="I200" s="867"/>
      <c r="J200" s="867">
        <f t="shared" ref="J200:BE200" si="39">J104</f>
        <v>0</v>
      </c>
      <c r="K200" s="867">
        <f t="shared" si="39"/>
        <v>0</v>
      </c>
      <c r="L200" s="867">
        <f t="shared" si="39"/>
        <v>0</v>
      </c>
      <c r="M200" s="867">
        <f t="shared" si="39"/>
        <v>0</v>
      </c>
      <c r="N200" s="867">
        <f t="shared" si="39"/>
        <v>0</v>
      </c>
      <c r="O200" s="867">
        <f t="shared" si="39"/>
        <v>0</v>
      </c>
      <c r="P200" s="867">
        <f t="shared" si="39"/>
        <v>0</v>
      </c>
      <c r="Q200" s="867">
        <f t="shared" si="39"/>
        <v>-21619.047801249591</v>
      </c>
      <c r="R200" s="867">
        <f t="shared" si="39"/>
        <v>0</v>
      </c>
      <c r="S200" s="867">
        <f t="shared" si="39"/>
        <v>0</v>
      </c>
      <c r="T200" s="867">
        <f t="shared" si="39"/>
        <v>0</v>
      </c>
      <c r="U200" s="867">
        <f t="shared" si="39"/>
        <v>0</v>
      </c>
      <c r="V200" s="867">
        <f t="shared" si="39"/>
        <v>0</v>
      </c>
      <c r="W200" s="867">
        <f t="shared" si="39"/>
        <v>0</v>
      </c>
      <c r="X200" s="867">
        <f t="shared" si="39"/>
        <v>0</v>
      </c>
      <c r="Y200" s="867">
        <f t="shared" si="39"/>
        <v>0</v>
      </c>
      <c r="Z200" s="867">
        <f t="shared" si="39"/>
        <v>0</v>
      </c>
      <c r="AA200" s="867">
        <f t="shared" si="39"/>
        <v>0</v>
      </c>
      <c r="AB200" s="867">
        <f t="shared" si="39"/>
        <v>0</v>
      </c>
      <c r="AC200" s="867">
        <f t="shared" si="39"/>
        <v>0</v>
      </c>
      <c r="AD200" s="867">
        <f t="shared" si="39"/>
        <v>0</v>
      </c>
      <c r="AE200" s="867">
        <f t="shared" si="39"/>
        <v>0</v>
      </c>
      <c r="AF200" s="867">
        <f t="shared" si="39"/>
        <v>0</v>
      </c>
      <c r="AG200" s="867">
        <f t="shared" si="39"/>
        <v>0</v>
      </c>
      <c r="AH200" s="867">
        <f t="shared" si="39"/>
        <v>0</v>
      </c>
      <c r="AI200" s="867">
        <f t="shared" si="39"/>
        <v>0</v>
      </c>
      <c r="AJ200" s="867">
        <f t="shared" si="39"/>
        <v>0</v>
      </c>
      <c r="AK200" s="867">
        <f t="shared" si="39"/>
        <v>0</v>
      </c>
      <c r="AL200" s="867">
        <f t="shared" si="39"/>
        <v>0</v>
      </c>
      <c r="AM200" s="867">
        <f t="shared" si="39"/>
        <v>0</v>
      </c>
      <c r="AN200" s="867">
        <f t="shared" si="39"/>
        <v>0</v>
      </c>
      <c r="AO200" s="867">
        <f t="shared" si="39"/>
        <v>0</v>
      </c>
      <c r="AP200" s="867">
        <f t="shared" si="39"/>
        <v>0</v>
      </c>
      <c r="AQ200" s="867">
        <f t="shared" si="39"/>
        <v>0</v>
      </c>
      <c r="AR200" s="867">
        <f t="shared" si="39"/>
        <v>0</v>
      </c>
      <c r="AS200" s="867">
        <f t="shared" si="39"/>
        <v>0</v>
      </c>
      <c r="AT200" s="867">
        <f t="shared" si="39"/>
        <v>0</v>
      </c>
      <c r="AU200" s="867">
        <f t="shared" si="39"/>
        <v>0</v>
      </c>
      <c r="AV200" s="867">
        <f t="shared" si="39"/>
        <v>0</v>
      </c>
      <c r="AW200" s="867">
        <f t="shared" si="39"/>
        <v>0</v>
      </c>
      <c r="AX200" s="867">
        <f t="shared" si="39"/>
        <v>0</v>
      </c>
      <c r="AY200" s="867">
        <f t="shared" si="39"/>
        <v>0</v>
      </c>
      <c r="AZ200" s="867">
        <f t="shared" si="39"/>
        <v>0</v>
      </c>
      <c r="BA200" s="867">
        <f t="shared" si="39"/>
        <v>0</v>
      </c>
      <c r="BB200" s="867">
        <f t="shared" si="39"/>
        <v>0</v>
      </c>
      <c r="BC200" s="867">
        <f t="shared" si="39"/>
        <v>0</v>
      </c>
      <c r="BD200" s="867">
        <f t="shared" si="39"/>
        <v>0</v>
      </c>
      <c r="BE200" s="867">
        <f t="shared" si="39"/>
        <v>0</v>
      </c>
    </row>
    <row r="201" spans="2:57" x14ac:dyDescent="0.25">
      <c r="B201" s="851"/>
      <c r="D201" s="908"/>
      <c r="E201" s="866" t="str">
        <f t="shared" si="34"/>
        <v>Capex adjustments H2 on platform</v>
      </c>
      <c r="F201" s="866" t="str">
        <f t="shared" si="34"/>
        <v>[kEUR]</v>
      </c>
      <c r="G201" s="867">
        <f t="shared" si="34"/>
        <v>0</v>
      </c>
      <c r="H201" s="867">
        <f t="shared" si="34"/>
        <v>0</v>
      </c>
      <c r="I201" s="867"/>
      <c r="J201" s="867">
        <f t="shared" ref="J201:BE201" si="40">J105</f>
        <v>0</v>
      </c>
      <c r="K201" s="867">
        <f t="shared" si="40"/>
        <v>0</v>
      </c>
      <c r="L201" s="867">
        <f t="shared" si="40"/>
        <v>0</v>
      </c>
      <c r="M201" s="867">
        <f t="shared" si="40"/>
        <v>0</v>
      </c>
      <c r="N201" s="867">
        <f t="shared" si="40"/>
        <v>0</v>
      </c>
      <c r="O201" s="867">
        <f t="shared" si="40"/>
        <v>0</v>
      </c>
      <c r="P201" s="867">
        <f t="shared" si="40"/>
        <v>0</v>
      </c>
      <c r="Q201" s="867">
        <f t="shared" si="40"/>
        <v>0</v>
      </c>
      <c r="R201" s="867">
        <f t="shared" si="40"/>
        <v>0</v>
      </c>
      <c r="S201" s="867">
        <f t="shared" si="40"/>
        <v>0</v>
      </c>
      <c r="T201" s="867">
        <f t="shared" si="40"/>
        <v>0</v>
      </c>
      <c r="U201" s="867">
        <f t="shared" si="40"/>
        <v>0</v>
      </c>
      <c r="V201" s="867">
        <f t="shared" si="40"/>
        <v>0</v>
      </c>
      <c r="W201" s="867">
        <f t="shared" si="40"/>
        <v>0</v>
      </c>
      <c r="X201" s="867">
        <f t="shared" si="40"/>
        <v>0</v>
      </c>
      <c r="Y201" s="867">
        <f t="shared" si="40"/>
        <v>0</v>
      </c>
      <c r="Z201" s="867">
        <f t="shared" si="40"/>
        <v>0</v>
      </c>
      <c r="AA201" s="867">
        <f t="shared" si="40"/>
        <v>0</v>
      </c>
      <c r="AB201" s="867">
        <f t="shared" si="40"/>
        <v>0</v>
      </c>
      <c r="AC201" s="867">
        <f t="shared" si="40"/>
        <v>0</v>
      </c>
      <c r="AD201" s="867">
        <f t="shared" si="40"/>
        <v>0</v>
      </c>
      <c r="AE201" s="867">
        <f t="shared" si="40"/>
        <v>0</v>
      </c>
      <c r="AF201" s="867">
        <f t="shared" si="40"/>
        <v>0</v>
      </c>
      <c r="AG201" s="867">
        <f t="shared" si="40"/>
        <v>0</v>
      </c>
      <c r="AH201" s="867">
        <f t="shared" si="40"/>
        <v>0</v>
      </c>
      <c r="AI201" s="867">
        <f t="shared" si="40"/>
        <v>0</v>
      </c>
      <c r="AJ201" s="867">
        <f t="shared" si="40"/>
        <v>0</v>
      </c>
      <c r="AK201" s="867">
        <f t="shared" si="40"/>
        <v>0</v>
      </c>
      <c r="AL201" s="867">
        <f t="shared" si="40"/>
        <v>0</v>
      </c>
      <c r="AM201" s="867">
        <f t="shared" si="40"/>
        <v>0</v>
      </c>
      <c r="AN201" s="867">
        <f t="shared" si="40"/>
        <v>0</v>
      </c>
      <c r="AO201" s="867">
        <f t="shared" si="40"/>
        <v>0</v>
      </c>
      <c r="AP201" s="867">
        <f t="shared" si="40"/>
        <v>0</v>
      </c>
      <c r="AQ201" s="867">
        <f t="shared" si="40"/>
        <v>0</v>
      </c>
      <c r="AR201" s="867">
        <f t="shared" si="40"/>
        <v>0</v>
      </c>
      <c r="AS201" s="867">
        <f t="shared" si="40"/>
        <v>0</v>
      </c>
      <c r="AT201" s="867">
        <f t="shared" si="40"/>
        <v>0</v>
      </c>
      <c r="AU201" s="867">
        <f t="shared" si="40"/>
        <v>0</v>
      </c>
      <c r="AV201" s="867">
        <f t="shared" si="40"/>
        <v>0</v>
      </c>
      <c r="AW201" s="867">
        <f t="shared" si="40"/>
        <v>0</v>
      </c>
      <c r="AX201" s="867">
        <f t="shared" si="40"/>
        <v>0</v>
      </c>
      <c r="AY201" s="867">
        <f t="shared" si="40"/>
        <v>0</v>
      </c>
      <c r="AZ201" s="867">
        <f t="shared" si="40"/>
        <v>0</v>
      </c>
      <c r="BA201" s="867">
        <f t="shared" si="40"/>
        <v>0</v>
      </c>
      <c r="BB201" s="867">
        <f t="shared" si="40"/>
        <v>0</v>
      </c>
      <c r="BC201" s="867">
        <f t="shared" si="40"/>
        <v>0</v>
      </c>
      <c r="BD201" s="867">
        <f t="shared" si="40"/>
        <v>0</v>
      </c>
      <c r="BE201" s="867">
        <f t="shared" si="40"/>
        <v>0</v>
      </c>
    </row>
    <row r="202" spans="2:57" x14ac:dyDescent="0.25">
      <c r="B202" s="851"/>
      <c r="D202" s="908"/>
      <c r="E202" s="866" t="str">
        <f t="shared" si="34"/>
        <v>Decom cost H2 small phase</v>
      </c>
      <c r="F202" s="866" t="str">
        <f t="shared" si="34"/>
        <v>[kEUR]</v>
      </c>
      <c r="G202" s="867">
        <f t="shared" si="34"/>
        <v>0</v>
      </c>
      <c r="H202" s="867">
        <f t="shared" si="34"/>
        <v>0</v>
      </c>
      <c r="I202" s="867"/>
      <c r="J202" s="867">
        <f t="shared" ref="J202:BE202" si="41">J106</f>
        <v>0</v>
      </c>
      <c r="K202" s="867">
        <f t="shared" si="41"/>
        <v>0</v>
      </c>
      <c r="L202" s="867">
        <f t="shared" si="41"/>
        <v>0</v>
      </c>
      <c r="M202" s="867">
        <f t="shared" si="41"/>
        <v>0</v>
      </c>
      <c r="N202" s="867">
        <f t="shared" si="41"/>
        <v>0</v>
      </c>
      <c r="O202" s="867">
        <f t="shared" si="41"/>
        <v>0</v>
      </c>
      <c r="P202" s="867">
        <f t="shared" si="41"/>
        <v>0</v>
      </c>
      <c r="Q202" s="867">
        <f t="shared" si="41"/>
        <v>0</v>
      </c>
      <c r="R202" s="867">
        <f t="shared" si="41"/>
        <v>0</v>
      </c>
      <c r="S202" s="867">
        <f t="shared" si="41"/>
        <v>0</v>
      </c>
      <c r="T202" s="867">
        <f t="shared" si="41"/>
        <v>0</v>
      </c>
      <c r="U202" s="867">
        <f t="shared" si="41"/>
        <v>0</v>
      </c>
      <c r="V202" s="867">
        <f t="shared" si="41"/>
        <v>0</v>
      </c>
      <c r="W202" s="867">
        <f t="shared" si="41"/>
        <v>0</v>
      </c>
      <c r="X202" s="867">
        <f t="shared" si="41"/>
        <v>0</v>
      </c>
      <c r="Y202" s="867">
        <f t="shared" si="41"/>
        <v>0</v>
      </c>
      <c r="Z202" s="867">
        <f t="shared" si="41"/>
        <v>0</v>
      </c>
      <c r="AA202" s="867">
        <f t="shared" si="41"/>
        <v>0</v>
      </c>
      <c r="AB202" s="867">
        <f t="shared" si="41"/>
        <v>0</v>
      </c>
      <c r="AC202" s="867">
        <f t="shared" si="41"/>
        <v>0</v>
      </c>
      <c r="AD202" s="867">
        <f t="shared" si="41"/>
        <v>0</v>
      </c>
      <c r="AE202" s="867">
        <f t="shared" si="41"/>
        <v>0</v>
      </c>
      <c r="AF202" s="867">
        <f t="shared" si="41"/>
        <v>0</v>
      </c>
      <c r="AG202" s="867">
        <f t="shared" si="41"/>
        <v>0</v>
      </c>
      <c r="AH202" s="867">
        <f t="shared" si="41"/>
        <v>0</v>
      </c>
      <c r="AI202" s="867">
        <f t="shared" si="41"/>
        <v>0</v>
      </c>
      <c r="AJ202" s="867">
        <f t="shared" si="41"/>
        <v>0</v>
      </c>
      <c r="AK202" s="867">
        <f t="shared" si="41"/>
        <v>0</v>
      </c>
      <c r="AL202" s="867">
        <f t="shared" si="41"/>
        <v>0</v>
      </c>
      <c r="AM202" s="867">
        <f t="shared" si="41"/>
        <v>0</v>
      </c>
      <c r="AN202" s="867">
        <f t="shared" si="41"/>
        <v>0</v>
      </c>
      <c r="AO202" s="867">
        <f t="shared" si="41"/>
        <v>0</v>
      </c>
      <c r="AP202" s="867">
        <f t="shared" si="41"/>
        <v>0</v>
      </c>
      <c r="AQ202" s="867">
        <f t="shared" si="41"/>
        <v>0</v>
      </c>
      <c r="AR202" s="867">
        <f t="shared" si="41"/>
        <v>0</v>
      </c>
      <c r="AS202" s="867">
        <f t="shared" si="41"/>
        <v>0</v>
      </c>
      <c r="AT202" s="867">
        <f t="shared" si="41"/>
        <v>0</v>
      </c>
      <c r="AU202" s="867">
        <f t="shared" si="41"/>
        <v>0</v>
      </c>
      <c r="AV202" s="867">
        <f t="shared" si="41"/>
        <v>0</v>
      </c>
      <c r="AW202" s="867">
        <f t="shared" si="41"/>
        <v>0</v>
      </c>
      <c r="AX202" s="867">
        <f t="shared" si="41"/>
        <v>0</v>
      </c>
      <c r="AY202" s="867">
        <f t="shared" si="41"/>
        <v>0</v>
      </c>
      <c r="AZ202" s="867">
        <f t="shared" si="41"/>
        <v>0</v>
      </c>
      <c r="BA202" s="867">
        <f t="shared" si="41"/>
        <v>0</v>
      </c>
      <c r="BB202" s="867">
        <f t="shared" si="41"/>
        <v>0</v>
      </c>
      <c r="BC202" s="867">
        <f t="shared" si="41"/>
        <v>0</v>
      </c>
      <c r="BD202" s="867">
        <f t="shared" si="41"/>
        <v>0</v>
      </c>
      <c r="BE202" s="867">
        <f t="shared" si="41"/>
        <v>0</v>
      </c>
    </row>
    <row r="203" spans="2:57" x14ac:dyDescent="0.25">
      <c r="B203" s="851"/>
      <c r="D203" s="908"/>
      <c r="E203" s="866" t="str">
        <f t="shared" si="34"/>
        <v>Total capex new platforms (SH2)</v>
      </c>
      <c r="F203" s="866" t="str">
        <f t="shared" si="34"/>
        <v>[kEUR]</v>
      </c>
      <c r="G203" s="867">
        <f t="shared" si="34"/>
        <v>0</v>
      </c>
      <c r="H203" s="867">
        <f t="shared" si="34"/>
        <v>0</v>
      </c>
      <c r="I203" s="867"/>
      <c r="J203" s="867">
        <f t="shared" ref="J203:BE203" si="42">J107</f>
        <v>0</v>
      </c>
      <c r="K203" s="867">
        <f t="shared" si="42"/>
        <v>0</v>
      </c>
      <c r="L203" s="867">
        <f t="shared" si="42"/>
        <v>0</v>
      </c>
      <c r="M203" s="867">
        <f t="shared" si="42"/>
        <v>0</v>
      </c>
      <c r="N203" s="867">
        <f t="shared" si="42"/>
        <v>0</v>
      </c>
      <c r="O203" s="867">
        <f t="shared" si="42"/>
        <v>0</v>
      </c>
      <c r="P203" s="867">
        <f t="shared" si="42"/>
        <v>0</v>
      </c>
      <c r="Q203" s="867">
        <f t="shared" si="42"/>
        <v>0</v>
      </c>
      <c r="R203" s="867">
        <f t="shared" si="42"/>
        <v>0</v>
      </c>
      <c r="S203" s="867">
        <f t="shared" si="42"/>
        <v>0</v>
      </c>
      <c r="T203" s="867">
        <f t="shared" si="42"/>
        <v>0</v>
      </c>
      <c r="U203" s="867">
        <f t="shared" si="42"/>
        <v>0</v>
      </c>
      <c r="V203" s="867">
        <f t="shared" si="42"/>
        <v>0</v>
      </c>
      <c r="W203" s="867">
        <f t="shared" si="42"/>
        <v>0</v>
      </c>
      <c r="X203" s="867">
        <f t="shared" si="42"/>
        <v>0</v>
      </c>
      <c r="Y203" s="867">
        <f t="shared" si="42"/>
        <v>0</v>
      </c>
      <c r="Z203" s="867">
        <f t="shared" si="42"/>
        <v>0</v>
      </c>
      <c r="AA203" s="867">
        <f t="shared" si="42"/>
        <v>0</v>
      </c>
      <c r="AB203" s="867">
        <f t="shared" si="42"/>
        <v>0</v>
      </c>
      <c r="AC203" s="867">
        <f t="shared" si="42"/>
        <v>0</v>
      </c>
      <c r="AD203" s="867">
        <f t="shared" si="42"/>
        <v>0</v>
      </c>
      <c r="AE203" s="867">
        <f t="shared" si="42"/>
        <v>0</v>
      </c>
      <c r="AF203" s="867">
        <f t="shared" si="42"/>
        <v>0</v>
      </c>
      <c r="AG203" s="867">
        <f t="shared" si="42"/>
        <v>0</v>
      </c>
      <c r="AH203" s="867">
        <f t="shared" si="42"/>
        <v>0</v>
      </c>
      <c r="AI203" s="867">
        <f t="shared" si="42"/>
        <v>0</v>
      </c>
      <c r="AJ203" s="867">
        <f t="shared" si="42"/>
        <v>0</v>
      </c>
      <c r="AK203" s="867">
        <f t="shared" si="42"/>
        <v>0</v>
      </c>
      <c r="AL203" s="867">
        <f t="shared" si="42"/>
        <v>0</v>
      </c>
      <c r="AM203" s="867">
        <f t="shared" si="42"/>
        <v>0</v>
      </c>
      <c r="AN203" s="867">
        <f t="shared" si="42"/>
        <v>0</v>
      </c>
      <c r="AO203" s="867">
        <f t="shared" si="42"/>
        <v>0</v>
      </c>
      <c r="AP203" s="867">
        <f t="shared" si="42"/>
        <v>0</v>
      </c>
      <c r="AQ203" s="867">
        <f t="shared" si="42"/>
        <v>0</v>
      </c>
      <c r="AR203" s="867">
        <f t="shared" si="42"/>
        <v>0</v>
      </c>
      <c r="AS203" s="867">
        <f t="shared" si="42"/>
        <v>0</v>
      </c>
      <c r="AT203" s="867">
        <f t="shared" si="42"/>
        <v>0</v>
      </c>
      <c r="AU203" s="867">
        <f t="shared" si="42"/>
        <v>0</v>
      </c>
      <c r="AV203" s="867">
        <f t="shared" si="42"/>
        <v>0</v>
      </c>
      <c r="AW203" s="867">
        <f t="shared" si="42"/>
        <v>0</v>
      </c>
      <c r="AX203" s="867">
        <f t="shared" si="42"/>
        <v>0</v>
      </c>
      <c r="AY203" s="867">
        <f t="shared" si="42"/>
        <v>0</v>
      </c>
      <c r="AZ203" s="867">
        <f t="shared" si="42"/>
        <v>0</v>
      </c>
      <c r="BA203" s="867">
        <f t="shared" si="42"/>
        <v>0</v>
      </c>
      <c r="BB203" s="867">
        <f t="shared" si="42"/>
        <v>0</v>
      </c>
      <c r="BC203" s="867">
        <f t="shared" si="42"/>
        <v>0</v>
      </c>
      <c r="BD203" s="867">
        <f t="shared" si="42"/>
        <v>0</v>
      </c>
      <c r="BE203" s="867">
        <f t="shared" si="42"/>
        <v>0</v>
      </c>
    </row>
    <row r="204" spans="2:57" x14ac:dyDescent="0.25">
      <c r="B204" s="851"/>
      <c r="D204" s="908"/>
      <c r="E204" s="866" t="str">
        <f t="shared" si="34"/>
        <v>Capex H2 pipeline crossings &amp; landing</v>
      </c>
      <c r="F204" s="866" t="str">
        <f t="shared" si="34"/>
        <v>[kEUR]</v>
      </c>
      <c r="G204" s="867">
        <f t="shared" si="34"/>
        <v>0</v>
      </c>
      <c r="H204" s="867">
        <f t="shared" si="34"/>
        <v>0</v>
      </c>
      <c r="I204" s="867"/>
      <c r="J204" s="867">
        <f t="shared" ref="J204:BE204" si="43">J108</f>
        <v>0</v>
      </c>
      <c r="K204" s="867">
        <f t="shared" si="43"/>
        <v>0</v>
      </c>
      <c r="L204" s="867">
        <f t="shared" si="43"/>
        <v>0</v>
      </c>
      <c r="M204" s="867">
        <f t="shared" si="43"/>
        <v>0</v>
      </c>
      <c r="N204" s="867">
        <f t="shared" si="43"/>
        <v>0</v>
      </c>
      <c r="O204" s="867">
        <f t="shared" si="43"/>
        <v>0</v>
      </c>
      <c r="P204" s="867">
        <f t="shared" si="43"/>
        <v>0</v>
      </c>
      <c r="Q204" s="867">
        <f t="shared" si="43"/>
        <v>0</v>
      </c>
      <c r="R204" s="867">
        <f t="shared" si="43"/>
        <v>0</v>
      </c>
      <c r="S204" s="867">
        <f t="shared" si="43"/>
        <v>0</v>
      </c>
      <c r="T204" s="867">
        <f t="shared" si="43"/>
        <v>0</v>
      </c>
      <c r="U204" s="867">
        <f t="shared" si="43"/>
        <v>0</v>
      </c>
      <c r="V204" s="867">
        <f t="shared" si="43"/>
        <v>0</v>
      </c>
      <c r="W204" s="867">
        <f t="shared" si="43"/>
        <v>0</v>
      </c>
      <c r="X204" s="867">
        <f t="shared" si="43"/>
        <v>0</v>
      </c>
      <c r="Y204" s="867">
        <f t="shared" si="43"/>
        <v>0</v>
      </c>
      <c r="Z204" s="867">
        <f t="shared" si="43"/>
        <v>0</v>
      </c>
      <c r="AA204" s="867">
        <f t="shared" si="43"/>
        <v>0</v>
      </c>
      <c r="AB204" s="867">
        <f t="shared" si="43"/>
        <v>0</v>
      </c>
      <c r="AC204" s="867">
        <f t="shared" si="43"/>
        <v>0</v>
      </c>
      <c r="AD204" s="867">
        <f t="shared" si="43"/>
        <v>0</v>
      </c>
      <c r="AE204" s="867">
        <f t="shared" si="43"/>
        <v>0</v>
      </c>
      <c r="AF204" s="867">
        <f t="shared" si="43"/>
        <v>0</v>
      </c>
      <c r="AG204" s="867">
        <f t="shared" si="43"/>
        <v>0</v>
      </c>
      <c r="AH204" s="867">
        <f t="shared" si="43"/>
        <v>0</v>
      </c>
      <c r="AI204" s="867">
        <f t="shared" si="43"/>
        <v>0</v>
      </c>
      <c r="AJ204" s="867">
        <f t="shared" si="43"/>
        <v>0</v>
      </c>
      <c r="AK204" s="867">
        <f t="shared" si="43"/>
        <v>0</v>
      </c>
      <c r="AL204" s="867">
        <f t="shared" si="43"/>
        <v>0</v>
      </c>
      <c r="AM204" s="867">
        <f t="shared" si="43"/>
        <v>0</v>
      </c>
      <c r="AN204" s="867">
        <f t="shared" si="43"/>
        <v>0</v>
      </c>
      <c r="AO204" s="867">
        <f t="shared" si="43"/>
        <v>0</v>
      </c>
      <c r="AP204" s="867">
        <f t="shared" si="43"/>
        <v>0</v>
      </c>
      <c r="AQ204" s="867">
        <f t="shared" si="43"/>
        <v>0</v>
      </c>
      <c r="AR204" s="867">
        <f t="shared" si="43"/>
        <v>0</v>
      </c>
      <c r="AS204" s="867">
        <f t="shared" si="43"/>
        <v>0</v>
      </c>
      <c r="AT204" s="867">
        <f t="shared" si="43"/>
        <v>0</v>
      </c>
      <c r="AU204" s="867">
        <f t="shared" si="43"/>
        <v>0</v>
      </c>
      <c r="AV204" s="867">
        <f t="shared" si="43"/>
        <v>0</v>
      </c>
      <c r="AW204" s="867">
        <f t="shared" si="43"/>
        <v>0</v>
      </c>
      <c r="AX204" s="867">
        <f t="shared" si="43"/>
        <v>0</v>
      </c>
      <c r="AY204" s="867">
        <f t="shared" si="43"/>
        <v>0</v>
      </c>
      <c r="AZ204" s="867">
        <f t="shared" si="43"/>
        <v>0</v>
      </c>
      <c r="BA204" s="867">
        <f t="shared" si="43"/>
        <v>0</v>
      </c>
      <c r="BB204" s="867">
        <f t="shared" si="43"/>
        <v>0</v>
      </c>
      <c r="BC204" s="867">
        <f t="shared" si="43"/>
        <v>0</v>
      </c>
      <c r="BD204" s="867">
        <f t="shared" si="43"/>
        <v>0</v>
      </c>
      <c r="BE204" s="867">
        <f t="shared" si="43"/>
        <v>0</v>
      </c>
    </row>
    <row r="205" spans="2:57" s="749" customFormat="1" x14ac:dyDescent="0.25">
      <c r="B205" s="860"/>
      <c r="D205" s="862"/>
      <c r="E205" s="864" t="str">
        <f>$B$136</f>
        <v>Large H2</v>
      </c>
      <c r="F205" s="864" t="s">
        <v>979</v>
      </c>
      <c r="G205" s="1023">
        <f>SUM(G206:G214)</f>
        <v>-341583.48150326428</v>
      </c>
      <c r="H205" s="1023">
        <f t="shared" ref="H205:AX205" si="44">SUM(H206:H214)</f>
        <v>-83481.365190950106</v>
      </c>
      <c r="I205" s="1023"/>
      <c r="J205" s="1023">
        <f t="shared" si="44"/>
        <v>0</v>
      </c>
      <c r="K205" s="1023">
        <f t="shared" si="44"/>
        <v>0</v>
      </c>
      <c r="L205" s="1023">
        <f t="shared" si="44"/>
        <v>0</v>
      </c>
      <c r="M205" s="1023">
        <f t="shared" si="44"/>
        <v>0</v>
      </c>
      <c r="N205" s="1023">
        <f t="shared" si="44"/>
        <v>0</v>
      </c>
      <c r="O205" s="1023">
        <f t="shared" si="44"/>
        <v>0</v>
      </c>
      <c r="P205" s="1023">
        <f t="shared" si="44"/>
        <v>0</v>
      </c>
      <c r="Q205" s="1023">
        <f t="shared" si="44"/>
        <v>0</v>
      </c>
      <c r="R205" s="1023">
        <f t="shared" si="44"/>
        <v>0</v>
      </c>
      <c r="S205" s="1023">
        <f t="shared" si="44"/>
        <v>0</v>
      </c>
      <c r="T205" s="1023">
        <f t="shared" si="44"/>
        <v>0</v>
      </c>
      <c r="U205" s="1023">
        <f t="shared" si="44"/>
        <v>0</v>
      </c>
      <c r="V205" s="1023">
        <f t="shared" si="44"/>
        <v>-243568.87491132191</v>
      </c>
      <c r="W205" s="1023">
        <f t="shared" si="44"/>
        <v>0</v>
      </c>
      <c r="X205" s="1023">
        <f t="shared" si="44"/>
        <v>0</v>
      </c>
      <c r="Y205" s="1023">
        <f t="shared" si="44"/>
        <v>0</v>
      </c>
      <c r="Z205" s="1023">
        <f t="shared" si="44"/>
        <v>0</v>
      </c>
      <c r="AA205" s="1023">
        <f t="shared" si="44"/>
        <v>0</v>
      </c>
      <c r="AB205" s="1023">
        <f t="shared" si="44"/>
        <v>0</v>
      </c>
      <c r="AC205" s="1023">
        <f t="shared" si="44"/>
        <v>0</v>
      </c>
      <c r="AD205" s="1023">
        <f t="shared" si="44"/>
        <v>0</v>
      </c>
      <c r="AE205" s="1023">
        <f t="shared" si="44"/>
        <v>0</v>
      </c>
      <c r="AF205" s="1023">
        <f t="shared" si="44"/>
        <v>0</v>
      </c>
      <c r="AG205" s="1023">
        <f t="shared" si="44"/>
        <v>-19133.805371163082</v>
      </c>
      <c r="AH205" s="1023">
        <f t="shared" si="44"/>
        <v>0</v>
      </c>
      <c r="AI205" s="1023">
        <f t="shared" si="44"/>
        <v>0</v>
      </c>
      <c r="AJ205" s="1023">
        <f t="shared" si="44"/>
        <v>0</v>
      </c>
      <c r="AK205" s="1023">
        <f t="shared" si="44"/>
        <v>0</v>
      </c>
      <c r="AL205" s="1023">
        <f t="shared" si="44"/>
        <v>0</v>
      </c>
      <c r="AM205" s="1023">
        <f t="shared" si="44"/>
        <v>0</v>
      </c>
      <c r="AN205" s="1023">
        <f t="shared" si="44"/>
        <v>0</v>
      </c>
      <c r="AO205" s="1023">
        <f t="shared" si="44"/>
        <v>0</v>
      </c>
      <c r="AP205" s="1023">
        <f t="shared" si="44"/>
        <v>-78880.801220779249</v>
      </c>
      <c r="AQ205" s="1023">
        <f t="shared" si="44"/>
        <v>0</v>
      </c>
      <c r="AR205" s="1023">
        <f t="shared" si="44"/>
        <v>0</v>
      </c>
      <c r="AS205" s="1023">
        <f t="shared" si="44"/>
        <v>0</v>
      </c>
      <c r="AT205" s="1023">
        <f t="shared" si="44"/>
        <v>0</v>
      </c>
      <c r="AU205" s="1023">
        <f t="shared" si="44"/>
        <v>0</v>
      </c>
      <c r="AV205" s="1023">
        <f t="shared" si="44"/>
        <v>0</v>
      </c>
      <c r="AW205" s="1023">
        <f t="shared" si="44"/>
        <v>0</v>
      </c>
      <c r="AX205" s="1023">
        <f t="shared" si="44"/>
        <v>0</v>
      </c>
      <c r="AY205" s="1023">
        <f t="shared" ref="AY205:BE205" si="45">SUM(AY206:AY214)</f>
        <v>0</v>
      </c>
      <c r="AZ205" s="1023">
        <f t="shared" si="45"/>
        <v>0</v>
      </c>
      <c r="BA205" s="1023">
        <f t="shared" si="45"/>
        <v>0</v>
      </c>
      <c r="BB205" s="1023">
        <f t="shared" si="45"/>
        <v>0</v>
      </c>
      <c r="BC205" s="1023">
        <f t="shared" si="45"/>
        <v>0</v>
      </c>
      <c r="BD205" s="1023">
        <f t="shared" si="45"/>
        <v>0</v>
      </c>
      <c r="BE205" s="1023">
        <f t="shared" si="45"/>
        <v>0</v>
      </c>
    </row>
    <row r="206" spans="2:57" x14ac:dyDescent="0.25">
      <c r="B206" s="851"/>
      <c r="D206" s="316"/>
      <c r="E206" s="866" t="str">
        <f t="shared" ref="E206:H214" si="46">E137</f>
        <v>Capex electrolyser</v>
      </c>
      <c r="F206" s="866" t="str">
        <f t="shared" si="46"/>
        <v>[kEUR]</v>
      </c>
      <c r="G206" s="867">
        <f t="shared" si="46"/>
        <v>-99020.34028075861</v>
      </c>
      <c r="H206" s="867">
        <f t="shared" si="46"/>
        <v>-27591.140077736534</v>
      </c>
      <c r="I206" s="867"/>
      <c r="J206" s="867">
        <f t="shared" ref="J206:BE206" si="47">J137</f>
        <v>0</v>
      </c>
      <c r="K206" s="867">
        <f t="shared" si="47"/>
        <v>0</v>
      </c>
      <c r="L206" s="867">
        <f t="shared" si="47"/>
        <v>0</v>
      </c>
      <c r="M206" s="867">
        <f t="shared" si="47"/>
        <v>0</v>
      </c>
      <c r="N206" s="867">
        <f t="shared" si="47"/>
        <v>0</v>
      </c>
      <c r="O206" s="867">
        <f t="shared" si="47"/>
        <v>0</v>
      </c>
      <c r="P206" s="867">
        <f t="shared" si="47"/>
        <v>0</v>
      </c>
      <c r="Q206" s="867">
        <f t="shared" si="47"/>
        <v>0</v>
      </c>
      <c r="R206" s="867">
        <f t="shared" si="47"/>
        <v>0</v>
      </c>
      <c r="S206" s="867">
        <f t="shared" si="47"/>
        <v>0</v>
      </c>
      <c r="T206" s="867">
        <f t="shared" si="47"/>
        <v>0</v>
      </c>
      <c r="U206" s="867">
        <f t="shared" si="47"/>
        <v>0</v>
      </c>
      <c r="V206" s="867">
        <f t="shared" si="47"/>
        <v>-79886.534909595532</v>
      </c>
      <c r="W206" s="867">
        <f t="shared" si="47"/>
        <v>0</v>
      </c>
      <c r="X206" s="867">
        <f t="shared" si="47"/>
        <v>0</v>
      </c>
      <c r="Y206" s="867">
        <f t="shared" si="47"/>
        <v>0</v>
      </c>
      <c r="Z206" s="867">
        <f t="shared" si="47"/>
        <v>0</v>
      </c>
      <c r="AA206" s="867">
        <f t="shared" si="47"/>
        <v>0</v>
      </c>
      <c r="AB206" s="867">
        <f t="shared" si="47"/>
        <v>0</v>
      </c>
      <c r="AC206" s="867">
        <f t="shared" si="47"/>
        <v>0</v>
      </c>
      <c r="AD206" s="867">
        <f t="shared" si="47"/>
        <v>0</v>
      </c>
      <c r="AE206" s="867">
        <f t="shared" si="47"/>
        <v>0</v>
      </c>
      <c r="AF206" s="867">
        <f t="shared" si="47"/>
        <v>0</v>
      </c>
      <c r="AG206" s="867">
        <f t="shared" si="47"/>
        <v>-19133.805371163082</v>
      </c>
      <c r="AH206" s="867">
        <f t="shared" si="47"/>
        <v>0</v>
      </c>
      <c r="AI206" s="867">
        <f t="shared" si="47"/>
        <v>0</v>
      </c>
      <c r="AJ206" s="867">
        <f t="shared" si="47"/>
        <v>0</v>
      </c>
      <c r="AK206" s="867">
        <f t="shared" si="47"/>
        <v>0</v>
      </c>
      <c r="AL206" s="867">
        <f t="shared" si="47"/>
        <v>0</v>
      </c>
      <c r="AM206" s="867">
        <f t="shared" si="47"/>
        <v>0</v>
      </c>
      <c r="AN206" s="867">
        <f t="shared" si="47"/>
        <v>0</v>
      </c>
      <c r="AO206" s="867">
        <f t="shared" si="47"/>
        <v>0</v>
      </c>
      <c r="AP206" s="867">
        <f t="shared" si="47"/>
        <v>0</v>
      </c>
      <c r="AQ206" s="867">
        <f t="shared" si="47"/>
        <v>0</v>
      </c>
      <c r="AR206" s="867">
        <f t="shared" si="47"/>
        <v>0</v>
      </c>
      <c r="AS206" s="867">
        <f t="shared" si="47"/>
        <v>0</v>
      </c>
      <c r="AT206" s="867">
        <f t="shared" si="47"/>
        <v>0</v>
      </c>
      <c r="AU206" s="867">
        <f t="shared" si="47"/>
        <v>0</v>
      </c>
      <c r="AV206" s="867">
        <f t="shared" si="47"/>
        <v>0</v>
      </c>
      <c r="AW206" s="867">
        <f t="shared" si="47"/>
        <v>0</v>
      </c>
      <c r="AX206" s="867">
        <f t="shared" si="47"/>
        <v>0</v>
      </c>
      <c r="AY206" s="867">
        <f t="shared" si="47"/>
        <v>0</v>
      </c>
      <c r="AZ206" s="867">
        <f t="shared" si="47"/>
        <v>0</v>
      </c>
      <c r="BA206" s="867">
        <f t="shared" si="47"/>
        <v>0</v>
      </c>
      <c r="BB206" s="867">
        <f t="shared" si="47"/>
        <v>0</v>
      </c>
      <c r="BC206" s="867">
        <f t="shared" si="47"/>
        <v>0</v>
      </c>
      <c r="BD206" s="867">
        <f t="shared" si="47"/>
        <v>0</v>
      </c>
      <c r="BE206" s="867">
        <f t="shared" si="47"/>
        <v>0</v>
      </c>
    </row>
    <row r="207" spans="2:57" x14ac:dyDescent="0.25">
      <c r="B207" s="851"/>
      <c r="D207" s="316"/>
      <c r="E207" s="866" t="str">
        <f t="shared" si="46"/>
        <v>Capex desalination unit</v>
      </c>
      <c r="F207" s="866" t="str">
        <f t="shared" si="46"/>
        <v>[kEUR]</v>
      </c>
      <c r="G207" s="867">
        <f t="shared" si="46"/>
        <v>-1068.3668877394884</v>
      </c>
      <c r="H207" s="867">
        <f t="shared" si="46"/>
        <v>-340.41461505510182</v>
      </c>
      <c r="I207" s="867"/>
      <c r="J207" s="867">
        <f t="shared" ref="J207:BE207" si="48">J138</f>
        <v>0</v>
      </c>
      <c r="K207" s="867">
        <f t="shared" si="48"/>
        <v>0</v>
      </c>
      <c r="L207" s="867">
        <f t="shared" si="48"/>
        <v>0</v>
      </c>
      <c r="M207" s="867">
        <f t="shared" si="48"/>
        <v>0</v>
      </c>
      <c r="N207" s="867">
        <f t="shared" si="48"/>
        <v>0</v>
      </c>
      <c r="O207" s="867">
        <f t="shared" si="48"/>
        <v>0</v>
      </c>
      <c r="P207" s="867">
        <f t="shared" si="48"/>
        <v>0</v>
      </c>
      <c r="Q207" s="867">
        <f t="shared" si="48"/>
        <v>0</v>
      </c>
      <c r="R207" s="867">
        <f t="shared" si="48"/>
        <v>0</v>
      </c>
      <c r="S207" s="867">
        <f t="shared" si="48"/>
        <v>0</v>
      </c>
      <c r="T207" s="867">
        <f t="shared" si="48"/>
        <v>0</v>
      </c>
      <c r="U207" s="867">
        <f t="shared" si="48"/>
        <v>0</v>
      </c>
      <c r="V207" s="867">
        <f t="shared" si="48"/>
        <v>-1068.3668877394884</v>
      </c>
      <c r="W207" s="867">
        <f t="shared" si="48"/>
        <v>0</v>
      </c>
      <c r="X207" s="867">
        <f t="shared" si="48"/>
        <v>0</v>
      </c>
      <c r="Y207" s="867">
        <f t="shared" si="48"/>
        <v>0</v>
      </c>
      <c r="Z207" s="867">
        <f t="shared" si="48"/>
        <v>0</v>
      </c>
      <c r="AA207" s="867">
        <f t="shared" si="48"/>
        <v>0</v>
      </c>
      <c r="AB207" s="867">
        <f t="shared" si="48"/>
        <v>0</v>
      </c>
      <c r="AC207" s="867">
        <f t="shared" si="48"/>
        <v>0</v>
      </c>
      <c r="AD207" s="867">
        <f t="shared" si="48"/>
        <v>0</v>
      </c>
      <c r="AE207" s="867">
        <f t="shared" si="48"/>
        <v>0</v>
      </c>
      <c r="AF207" s="867">
        <f t="shared" si="48"/>
        <v>0</v>
      </c>
      <c r="AG207" s="867">
        <f t="shared" si="48"/>
        <v>0</v>
      </c>
      <c r="AH207" s="867">
        <f t="shared" si="48"/>
        <v>0</v>
      </c>
      <c r="AI207" s="867">
        <f t="shared" si="48"/>
        <v>0</v>
      </c>
      <c r="AJ207" s="867">
        <f t="shared" si="48"/>
        <v>0</v>
      </c>
      <c r="AK207" s="867">
        <f t="shared" si="48"/>
        <v>0</v>
      </c>
      <c r="AL207" s="867">
        <f t="shared" si="48"/>
        <v>0</v>
      </c>
      <c r="AM207" s="867">
        <f t="shared" si="48"/>
        <v>0</v>
      </c>
      <c r="AN207" s="867">
        <f t="shared" si="48"/>
        <v>0</v>
      </c>
      <c r="AO207" s="867">
        <f t="shared" si="48"/>
        <v>0</v>
      </c>
      <c r="AP207" s="867">
        <f t="shared" si="48"/>
        <v>0</v>
      </c>
      <c r="AQ207" s="867">
        <f t="shared" si="48"/>
        <v>0</v>
      </c>
      <c r="AR207" s="867">
        <f t="shared" si="48"/>
        <v>0</v>
      </c>
      <c r="AS207" s="867">
        <f t="shared" si="48"/>
        <v>0</v>
      </c>
      <c r="AT207" s="867">
        <f t="shared" si="48"/>
        <v>0</v>
      </c>
      <c r="AU207" s="867">
        <f t="shared" si="48"/>
        <v>0</v>
      </c>
      <c r="AV207" s="867">
        <f t="shared" si="48"/>
        <v>0</v>
      </c>
      <c r="AW207" s="867">
        <f t="shared" si="48"/>
        <v>0</v>
      </c>
      <c r="AX207" s="867">
        <f t="shared" si="48"/>
        <v>0</v>
      </c>
      <c r="AY207" s="867">
        <f t="shared" si="48"/>
        <v>0</v>
      </c>
      <c r="AZ207" s="867">
        <f t="shared" si="48"/>
        <v>0</v>
      </c>
      <c r="BA207" s="867">
        <f t="shared" si="48"/>
        <v>0</v>
      </c>
      <c r="BB207" s="867">
        <f t="shared" si="48"/>
        <v>0</v>
      </c>
      <c r="BC207" s="867">
        <f t="shared" si="48"/>
        <v>0</v>
      </c>
      <c r="BD207" s="867">
        <f t="shared" si="48"/>
        <v>0</v>
      </c>
      <c r="BE207" s="867">
        <f t="shared" si="48"/>
        <v>0</v>
      </c>
    </row>
    <row r="208" spans="2:57" x14ac:dyDescent="0.25">
      <c r="B208" s="851"/>
      <c r="D208" s="316"/>
      <c r="E208" s="866" t="str">
        <f t="shared" si="46"/>
        <v>Capex compressor</v>
      </c>
      <c r="F208" s="866" t="str">
        <f t="shared" si="46"/>
        <v>[kEUR]</v>
      </c>
      <c r="G208" s="867">
        <f t="shared" si="46"/>
        <v>-2463.4084612246852</v>
      </c>
      <c r="H208" s="867">
        <f t="shared" si="46"/>
        <v>-784.91785235463237</v>
      </c>
      <c r="I208" s="867"/>
      <c r="J208" s="867">
        <f t="shared" ref="J208:BE208" si="49">J139</f>
        <v>0</v>
      </c>
      <c r="K208" s="867">
        <f t="shared" si="49"/>
        <v>0</v>
      </c>
      <c r="L208" s="867">
        <f t="shared" si="49"/>
        <v>0</v>
      </c>
      <c r="M208" s="867">
        <f t="shared" si="49"/>
        <v>0</v>
      </c>
      <c r="N208" s="867">
        <f t="shared" si="49"/>
        <v>0</v>
      </c>
      <c r="O208" s="867">
        <f t="shared" si="49"/>
        <v>0</v>
      </c>
      <c r="P208" s="867">
        <f t="shared" si="49"/>
        <v>0</v>
      </c>
      <c r="Q208" s="867">
        <f t="shared" si="49"/>
        <v>0</v>
      </c>
      <c r="R208" s="867">
        <f t="shared" si="49"/>
        <v>0</v>
      </c>
      <c r="S208" s="867">
        <f t="shared" si="49"/>
        <v>0</v>
      </c>
      <c r="T208" s="867">
        <f t="shared" si="49"/>
        <v>0</v>
      </c>
      <c r="U208" s="867">
        <f t="shared" si="49"/>
        <v>0</v>
      </c>
      <c r="V208" s="867">
        <f t="shared" si="49"/>
        <v>-2463.4084612246852</v>
      </c>
      <c r="W208" s="867">
        <f t="shared" si="49"/>
        <v>0</v>
      </c>
      <c r="X208" s="867">
        <f t="shared" si="49"/>
        <v>0</v>
      </c>
      <c r="Y208" s="867">
        <f t="shared" si="49"/>
        <v>0</v>
      </c>
      <c r="Z208" s="867">
        <f t="shared" si="49"/>
        <v>0</v>
      </c>
      <c r="AA208" s="867">
        <f t="shared" si="49"/>
        <v>0</v>
      </c>
      <c r="AB208" s="867">
        <f t="shared" si="49"/>
        <v>0</v>
      </c>
      <c r="AC208" s="867">
        <f t="shared" si="49"/>
        <v>0</v>
      </c>
      <c r="AD208" s="867">
        <f t="shared" si="49"/>
        <v>0</v>
      </c>
      <c r="AE208" s="867">
        <f t="shared" si="49"/>
        <v>0</v>
      </c>
      <c r="AF208" s="867">
        <f t="shared" si="49"/>
        <v>0</v>
      </c>
      <c r="AG208" s="867">
        <f t="shared" si="49"/>
        <v>0</v>
      </c>
      <c r="AH208" s="867">
        <f t="shared" si="49"/>
        <v>0</v>
      </c>
      <c r="AI208" s="867">
        <f t="shared" si="49"/>
        <v>0</v>
      </c>
      <c r="AJ208" s="867">
        <f t="shared" si="49"/>
        <v>0</v>
      </c>
      <c r="AK208" s="867">
        <f t="shared" si="49"/>
        <v>0</v>
      </c>
      <c r="AL208" s="867">
        <f t="shared" si="49"/>
        <v>0</v>
      </c>
      <c r="AM208" s="867">
        <f t="shared" si="49"/>
        <v>0</v>
      </c>
      <c r="AN208" s="867">
        <f t="shared" si="49"/>
        <v>0</v>
      </c>
      <c r="AO208" s="867">
        <f t="shared" si="49"/>
        <v>0</v>
      </c>
      <c r="AP208" s="867">
        <f t="shared" si="49"/>
        <v>0</v>
      </c>
      <c r="AQ208" s="867">
        <f t="shared" si="49"/>
        <v>0</v>
      </c>
      <c r="AR208" s="867">
        <f t="shared" si="49"/>
        <v>0</v>
      </c>
      <c r="AS208" s="867">
        <f t="shared" si="49"/>
        <v>0</v>
      </c>
      <c r="AT208" s="867">
        <f t="shared" si="49"/>
        <v>0</v>
      </c>
      <c r="AU208" s="867">
        <f t="shared" si="49"/>
        <v>0</v>
      </c>
      <c r="AV208" s="867">
        <f t="shared" si="49"/>
        <v>0</v>
      </c>
      <c r="AW208" s="867">
        <f t="shared" si="49"/>
        <v>0</v>
      </c>
      <c r="AX208" s="867">
        <f t="shared" si="49"/>
        <v>0</v>
      </c>
      <c r="AY208" s="867">
        <f t="shared" si="49"/>
        <v>0</v>
      </c>
      <c r="AZ208" s="867">
        <f t="shared" si="49"/>
        <v>0</v>
      </c>
      <c r="BA208" s="867">
        <f t="shared" si="49"/>
        <v>0</v>
      </c>
      <c r="BB208" s="867">
        <f t="shared" si="49"/>
        <v>0</v>
      </c>
      <c r="BC208" s="867">
        <f t="shared" si="49"/>
        <v>0</v>
      </c>
      <c r="BD208" s="867">
        <f t="shared" si="49"/>
        <v>0</v>
      </c>
      <c r="BE208" s="867">
        <f t="shared" si="49"/>
        <v>0</v>
      </c>
    </row>
    <row r="209" spans="2:57" x14ac:dyDescent="0.25">
      <c r="B209" s="851"/>
      <c r="D209" s="316"/>
      <c r="E209" s="866" t="str">
        <f t="shared" si="46"/>
        <v>Capex existing pipeline</v>
      </c>
      <c r="F209" s="866" t="str">
        <f t="shared" si="46"/>
        <v>[kEUR]</v>
      </c>
      <c r="G209" s="867">
        <f t="shared" si="46"/>
        <v>0</v>
      </c>
      <c r="H209" s="867">
        <f t="shared" si="46"/>
        <v>0</v>
      </c>
      <c r="I209" s="867"/>
      <c r="J209" s="867">
        <f t="shared" ref="J209:BE209" si="50">J140</f>
        <v>0</v>
      </c>
      <c r="K209" s="867">
        <f t="shared" si="50"/>
        <v>0</v>
      </c>
      <c r="L209" s="867">
        <f t="shared" si="50"/>
        <v>0</v>
      </c>
      <c r="M209" s="867">
        <f t="shared" si="50"/>
        <v>0</v>
      </c>
      <c r="N209" s="867">
        <f t="shared" si="50"/>
        <v>0</v>
      </c>
      <c r="O209" s="867">
        <f t="shared" si="50"/>
        <v>0</v>
      </c>
      <c r="P209" s="867">
        <f t="shared" si="50"/>
        <v>0</v>
      </c>
      <c r="Q209" s="867">
        <f t="shared" si="50"/>
        <v>0</v>
      </c>
      <c r="R209" s="867">
        <f t="shared" si="50"/>
        <v>0</v>
      </c>
      <c r="S209" s="867">
        <f t="shared" si="50"/>
        <v>0</v>
      </c>
      <c r="T209" s="867">
        <f t="shared" si="50"/>
        <v>0</v>
      </c>
      <c r="U209" s="867">
        <f t="shared" si="50"/>
        <v>0</v>
      </c>
      <c r="V209" s="867">
        <f t="shared" si="50"/>
        <v>0</v>
      </c>
      <c r="W209" s="867">
        <f t="shared" si="50"/>
        <v>0</v>
      </c>
      <c r="X209" s="867">
        <f t="shared" si="50"/>
        <v>0</v>
      </c>
      <c r="Y209" s="867">
        <f t="shared" si="50"/>
        <v>0</v>
      </c>
      <c r="Z209" s="867">
        <f t="shared" si="50"/>
        <v>0</v>
      </c>
      <c r="AA209" s="867">
        <f t="shared" si="50"/>
        <v>0</v>
      </c>
      <c r="AB209" s="867">
        <f t="shared" si="50"/>
        <v>0</v>
      </c>
      <c r="AC209" s="867">
        <f t="shared" si="50"/>
        <v>0</v>
      </c>
      <c r="AD209" s="867">
        <f t="shared" si="50"/>
        <v>0</v>
      </c>
      <c r="AE209" s="867">
        <f t="shared" si="50"/>
        <v>0</v>
      </c>
      <c r="AF209" s="867">
        <f t="shared" si="50"/>
        <v>0</v>
      </c>
      <c r="AG209" s="867">
        <f t="shared" si="50"/>
        <v>0</v>
      </c>
      <c r="AH209" s="867">
        <f t="shared" si="50"/>
        <v>0</v>
      </c>
      <c r="AI209" s="867">
        <f t="shared" si="50"/>
        <v>0</v>
      </c>
      <c r="AJ209" s="867">
        <f t="shared" si="50"/>
        <v>0</v>
      </c>
      <c r="AK209" s="867">
        <f t="shared" si="50"/>
        <v>0</v>
      </c>
      <c r="AL209" s="867">
        <f t="shared" si="50"/>
        <v>0</v>
      </c>
      <c r="AM209" s="867">
        <f t="shared" si="50"/>
        <v>0</v>
      </c>
      <c r="AN209" s="867">
        <f t="shared" si="50"/>
        <v>0</v>
      </c>
      <c r="AO209" s="867">
        <f t="shared" si="50"/>
        <v>0</v>
      </c>
      <c r="AP209" s="867">
        <f t="shared" si="50"/>
        <v>0</v>
      </c>
      <c r="AQ209" s="867">
        <f t="shared" si="50"/>
        <v>0</v>
      </c>
      <c r="AR209" s="867">
        <f t="shared" si="50"/>
        <v>0</v>
      </c>
      <c r="AS209" s="867">
        <f t="shared" si="50"/>
        <v>0</v>
      </c>
      <c r="AT209" s="867">
        <f t="shared" si="50"/>
        <v>0</v>
      </c>
      <c r="AU209" s="867">
        <f t="shared" si="50"/>
        <v>0</v>
      </c>
      <c r="AV209" s="867">
        <f t="shared" si="50"/>
        <v>0</v>
      </c>
      <c r="AW209" s="867">
        <f t="shared" si="50"/>
        <v>0</v>
      </c>
      <c r="AX209" s="867">
        <f t="shared" si="50"/>
        <v>0</v>
      </c>
      <c r="AY209" s="867">
        <f t="shared" si="50"/>
        <v>0</v>
      </c>
      <c r="AZ209" s="867">
        <f t="shared" si="50"/>
        <v>0</v>
      </c>
      <c r="BA209" s="867">
        <f t="shared" si="50"/>
        <v>0</v>
      </c>
      <c r="BB209" s="867">
        <f t="shared" si="50"/>
        <v>0</v>
      </c>
      <c r="BC209" s="867">
        <f t="shared" si="50"/>
        <v>0</v>
      </c>
      <c r="BD209" s="867">
        <f t="shared" si="50"/>
        <v>0</v>
      </c>
      <c r="BE209" s="867">
        <f t="shared" si="50"/>
        <v>0</v>
      </c>
    </row>
    <row r="210" spans="2:57" x14ac:dyDescent="0.25">
      <c r="B210" s="851"/>
      <c r="D210" s="316"/>
      <c r="E210" s="866" t="str">
        <f t="shared" si="46"/>
        <v>Capex cable (H2)</v>
      </c>
      <c r="F210" s="866" t="str">
        <f t="shared" si="46"/>
        <v>[kEUR]</v>
      </c>
      <c r="G210" s="867">
        <f t="shared" si="46"/>
        <v>-58691.221087758626</v>
      </c>
      <c r="H210" s="867">
        <f t="shared" si="46"/>
        <v>-18700.83176761185</v>
      </c>
      <c r="I210" s="867"/>
      <c r="J210" s="867">
        <f t="shared" ref="J210:BE210" si="51">J141</f>
        <v>0</v>
      </c>
      <c r="K210" s="867">
        <f t="shared" si="51"/>
        <v>0</v>
      </c>
      <c r="L210" s="867">
        <f t="shared" si="51"/>
        <v>0</v>
      </c>
      <c r="M210" s="867">
        <f t="shared" si="51"/>
        <v>0</v>
      </c>
      <c r="N210" s="867">
        <f t="shared" si="51"/>
        <v>0</v>
      </c>
      <c r="O210" s="867">
        <f t="shared" si="51"/>
        <v>0</v>
      </c>
      <c r="P210" s="867">
        <f t="shared" si="51"/>
        <v>0</v>
      </c>
      <c r="Q210" s="867">
        <f t="shared" si="51"/>
        <v>0</v>
      </c>
      <c r="R210" s="867">
        <f t="shared" si="51"/>
        <v>0</v>
      </c>
      <c r="S210" s="867">
        <f t="shared" si="51"/>
        <v>0</v>
      </c>
      <c r="T210" s="867">
        <f t="shared" si="51"/>
        <v>0</v>
      </c>
      <c r="U210" s="867">
        <f t="shared" si="51"/>
        <v>0</v>
      </c>
      <c r="V210" s="867">
        <f t="shared" si="51"/>
        <v>-58691.221087758626</v>
      </c>
      <c r="W210" s="867">
        <f t="shared" si="51"/>
        <v>0</v>
      </c>
      <c r="X210" s="867">
        <f t="shared" si="51"/>
        <v>0</v>
      </c>
      <c r="Y210" s="867">
        <f t="shared" si="51"/>
        <v>0</v>
      </c>
      <c r="Z210" s="867">
        <f t="shared" si="51"/>
        <v>0</v>
      </c>
      <c r="AA210" s="867">
        <f t="shared" si="51"/>
        <v>0</v>
      </c>
      <c r="AB210" s="867">
        <f t="shared" si="51"/>
        <v>0</v>
      </c>
      <c r="AC210" s="867">
        <f t="shared" si="51"/>
        <v>0</v>
      </c>
      <c r="AD210" s="867">
        <f t="shared" si="51"/>
        <v>0</v>
      </c>
      <c r="AE210" s="867">
        <f t="shared" si="51"/>
        <v>0</v>
      </c>
      <c r="AF210" s="867">
        <f t="shared" si="51"/>
        <v>0</v>
      </c>
      <c r="AG210" s="867">
        <f t="shared" si="51"/>
        <v>0</v>
      </c>
      <c r="AH210" s="867">
        <f t="shared" si="51"/>
        <v>0</v>
      </c>
      <c r="AI210" s="867">
        <f t="shared" si="51"/>
        <v>0</v>
      </c>
      <c r="AJ210" s="867">
        <f t="shared" si="51"/>
        <v>0</v>
      </c>
      <c r="AK210" s="867">
        <f t="shared" si="51"/>
        <v>0</v>
      </c>
      <c r="AL210" s="867">
        <f t="shared" si="51"/>
        <v>0</v>
      </c>
      <c r="AM210" s="867">
        <f t="shared" si="51"/>
        <v>0</v>
      </c>
      <c r="AN210" s="867">
        <f t="shared" si="51"/>
        <v>0</v>
      </c>
      <c r="AO210" s="867">
        <f t="shared" si="51"/>
        <v>0</v>
      </c>
      <c r="AP210" s="867">
        <f t="shared" si="51"/>
        <v>0</v>
      </c>
      <c r="AQ210" s="867">
        <f t="shared" si="51"/>
        <v>0</v>
      </c>
      <c r="AR210" s="867">
        <f t="shared" si="51"/>
        <v>0</v>
      </c>
      <c r="AS210" s="867">
        <f t="shared" si="51"/>
        <v>0</v>
      </c>
      <c r="AT210" s="867">
        <f t="shared" si="51"/>
        <v>0</v>
      </c>
      <c r="AU210" s="867">
        <f t="shared" si="51"/>
        <v>0</v>
      </c>
      <c r="AV210" s="867">
        <f t="shared" si="51"/>
        <v>0</v>
      </c>
      <c r="AW210" s="867">
        <f t="shared" si="51"/>
        <v>0</v>
      </c>
      <c r="AX210" s="867">
        <f t="shared" si="51"/>
        <v>0</v>
      </c>
      <c r="AY210" s="867">
        <f t="shared" si="51"/>
        <v>0</v>
      </c>
      <c r="AZ210" s="867">
        <f t="shared" si="51"/>
        <v>0</v>
      </c>
      <c r="BA210" s="867">
        <f t="shared" si="51"/>
        <v>0</v>
      </c>
      <c r="BB210" s="867">
        <f t="shared" si="51"/>
        <v>0</v>
      </c>
      <c r="BC210" s="867">
        <f t="shared" si="51"/>
        <v>0</v>
      </c>
      <c r="BD210" s="867">
        <f t="shared" si="51"/>
        <v>0</v>
      </c>
      <c r="BE210" s="867">
        <f t="shared" si="51"/>
        <v>0</v>
      </c>
    </row>
    <row r="211" spans="2:57" x14ac:dyDescent="0.25">
      <c r="B211" s="851"/>
      <c r="D211" s="316"/>
      <c r="E211" s="866" t="str">
        <f t="shared" si="46"/>
        <v>Capex adjustments H2 on platform</v>
      </c>
      <c r="F211" s="866" t="str">
        <f t="shared" si="46"/>
        <v>[kEUR]</v>
      </c>
      <c r="G211" s="867">
        <f t="shared" si="46"/>
        <v>0</v>
      </c>
      <c r="H211" s="867">
        <f t="shared" si="46"/>
        <v>0</v>
      </c>
      <c r="I211" s="867"/>
      <c r="J211" s="867">
        <f t="shared" ref="J211:BE211" si="52">J142</f>
        <v>0</v>
      </c>
      <c r="K211" s="867">
        <f t="shared" si="52"/>
        <v>0</v>
      </c>
      <c r="L211" s="867">
        <f t="shared" si="52"/>
        <v>0</v>
      </c>
      <c r="M211" s="867">
        <f t="shared" si="52"/>
        <v>0</v>
      </c>
      <c r="N211" s="867">
        <f t="shared" si="52"/>
        <v>0</v>
      </c>
      <c r="O211" s="867">
        <f t="shared" si="52"/>
        <v>0</v>
      </c>
      <c r="P211" s="867">
        <f t="shared" si="52"/>
        <v>0</v>
      </c>
      <c r="Q211" s="867">
        <f t="shared" si="52"/>
        <v>0</v>
      </c>
      <c r="R211" s="867">
        <f t="shared" si="52"/>
        <v>0</v>
      </c>
      <c r="S211" s="867">
        <f t="shared" si="52"/>
        <v>0</v>
      </c>
      <c r="T211" s="867">
        <f t="shared" si="52"/>
        <v>0</v>
      </c>
      <c r="U211" s="867">
        <f t="shared" si="52"/>
        <v>0</v>
      </c>
      <c r="V211" s="867">
        <f t="shared" si="52"/>
        <v>0</v>
      </c>
      <c r="W211" s="867">
        <f t="shared" si="52"/>
        <v>0</v>
      </c>
      <c r="X211" s="867">
        <f t="shared" si="52"/>
        <v>0</v>
      </c>
      <c r="Y211" s="867">
        <f t="shared" si="52"/>
        <v>0</v>
      </c>
      <c r="Z211" s="867">
        <f t="shared" si="52"/>
        <v>0</v>
      </c>
      <c r="AA211" s="867">
        <f t="shared" si="52"/>
        <v>0</v>
      </c>
      <c r="AB211" s="867">
        <f t="shared" si="52"/>
        <v>0</v>
      </c>
      <c r="AC211" s="867">
        <f t="shared" si="52"/>
        <v>0</v>
      </c>
      <c r="AD211" s="867">
        <f t="shared" si="52"/>
        <v>0</v>
      </c>
      <c r="AE211" s="867">
        <f t="shared" si="52"/>
        <v>0</v>
      </c>
      <c r="AF211" s="867">
        <f t="shared" si="52"/>
        <v>0</v>
      </c>
      <c r="AG211" s="867">
        <f t="shared" si="52"/>
        <v>0</v>
      </c>
      <c r="AH211" s="867">
        <f t="shared" si="52"/>
        <v>0</v>
      </c>
      <c r="AI211" s="867">
        <f t="shared" si="52"/>
        <v>0</v>
      </c>
      <c r="AJ211" s="867">
        <f t="shared" si="52"/>
        <v>0</v>
      </c>
      <c r="AK211" s="867">
        <f t="shared" si="52"/>
        <v>0</v>
      </c>
      <c r="AL211" s="867">
        <f t="shared" si="52"/>
        <v>0</v>
      </c>
      <c r="AM211" s="867">
        <f t="shared" si="52"/>
        <v>0</v>
      </c>
      <c r="AN211" s="867">
        <f t="shared" si="52"/>
        <v>0</v>
      </c>
      <c r="AO211" s="867">
        <f t="shared" si="52"/>
        <v>0</v>
      </c>
      <c r="AP211" s="867">
        <f t="shared" si="52"/>
        <v>0</v>
      </c>
      <c r="AQ211" s="867">
        <f t="shared" si="52"/>
        <v>0</v>
      </c>
      <c r="AR211" s="867">
        <f t="shared" si="52"/>
        <v>0</v>
      </c>
      <c r="AS211" s="867">
        <f t="shared" si="52"/>
        <v>0</v>
      </c>
      <c r="AT211" s="867">
        <f t="shared" si="52"/>
        <v>0</v>
      </c>
      <c r="AU211" s="867">
        <f t="shared" si="52"/>
        <v>0</v>
      </c>
      <c r="AV211" s="867">
        <f t="shared" si="52"/>
        <v>0</v>
      </c>
      <c r="AW211" s="867">
        <f t="shared" si="52"/>
        <v>0</v>
      </c>
      <c r="AX211" s="867">
        <f t="shared" si="52"/>
        <v>0</v>
      </c>
      <c r="AY211" s="867">
        <f t="shared" si="52"/>
        <v>0</v>
      </c>
      <c r="AZ211" s="867">
        <f t="shared" si="52"/>
        <v>0</v>
      </c>
      <c r="BA211" s="867">
        <f t="shared" si="52"/>
        <v>0</v>
      </c>
      <c r="BB211" s="867">
        <f t="shared" si="52"/>
        <v>0</v>
      </c>
      <c r="BC211" s="867">
        <f t="shared" si="52"/>
        <v>0</v>
      </c>
      <c r="BD211" s="867">
        <f t="shared" si="52"/>
        <v>0</v>
      </c>
      <c r="BE211" s="867">
        <f t="shared" si="52"/>
        <v>0</v>
      </c>
    </row>
    <row r="212" spans="2:57" x14ac:dyDescent="0.25">
      <c r="B212" s="851"/>
      <c r="D212" s="316"/>
      <c r="E212" s="866" t="str">
        <f t="shared" si="46"/>
        <v>Decom cost H2 large phase</v>
      </c>
      <c r="F212" s="866" t="str">
        <f t="shared" si="46"/>
        <v>[kEUR]</v>
      </c>
      <c r="G212" s="867">
        <f t="shared" si="46"/>
        <v>-78880.801220779249</v>
      </c>
      <c r="H212" s="867">
        <f t="shared" si="46"/>
        <v>-3735.9872737188948</v>
      </c>
      <c r="I212" s="867"/>
      <c r="J212" s="867">
        <f t="shared" ref="J212:BE212" si="53">J143</f>
        <v>0</v>
      </c>
      <c r="K212" s="867">
        <f t="shared" si="53"/>
        <v>0</v>
      </c>
      <c r="L212" s="867">
        <f t="shared" si="53"/>
        <v>0</v>
      </c>
      <c r="M212" s="867">
        <f t="shared" si="53"/>
        <v>0</v>
      </c>
      <c r="N212" s="867">
        <f t="shared" si="53"/>
        <v>0</v>
      </c>
      <c r="O212" s="867">
        <f t="shared" si="53"/>
        <v>0</v>
      </c>
      <c r="P212" s="867">
        <f t="shared" si="53"/>
        <v>0</v>
      </c>
      <c r="Q212" s="867">
        <f t="shared" si="53"/>
        <v>0</v>
      </c>
      <c r="R212" s="867">
        <f t="shared" si="53"/>
        <v>0</v>
      </c>
      <c r="S212" s="867">
        <f t="shared" si="53"/>
        <v>0</v>
      </c>
      <c r="T212" s="867">
        <f t="shared" si="53"/>
        <v>0</v>
      </c>
      <c r="U212" s="867">
        <f t="shared" si="53"/>
        <v>0</v>
      </c>
      <c r="V212" s="867">
        <f t="shared" si="53"/>
        <v>0</v>
      </c>
      <c r="W212" s="867">
        <f t="shared" si="53"/>
        <v>0</v>
      </c>
      <c r="X212" s="867">
        <f t="shared" si="53"/>
        <v>0</v>
      </c>
      <c r="Y212" s="867">
        <f t="shared" si="53"/>
        <v>0</v>
      </c>
      <c r="Z212" s="867">
        <f t="shared" si="53"/>
        <v>0</v>
      </c>
      <c r="AA212" s="867">
        <f t="shared" si="53"/>
        <v>0</v>
      </c>
      <c r="AB212" s="867">
        <f t="shared" si="53"/>
        <v>0</v>
      </c>
      <c r="AC212" s="867">
        <f t="shared" si="53"/>
        <v>0</v>
      </c>
      <c r="AD212" s="867">
        <f t="shared" si="53"/>
        <v>0</v>
      </c>
      <c r="AE212" s="867">
        <f t="shared" si="53"/>
        <v>0</v>
      </c>
      <c r="AF212" s="867">
        <f t="shared" si="53"/>
        <v>0</v>
      </c>
      <c r="AG212" s="867">
        <f t="shared" si="53"/>
        <v>0</v>
      </c>
      <c r="AH212" s="867">
        <f t="shared" si="53"/>
        <v>0</v>
      </c>
      <c r="AI212" s="867">
        <f t="shared" si="53"/>
        <v>0</v>
      </c>
      <c r="AJ212" s="867">
        <f t="shared" si="53"/>
        <v>0</v>
      </c>
      <c r="AK212" s="867">
        <f t="shared" si="53"/>
        <v>0</v>
      </c>
      <c r="AL212" s="867">
        <f t="shared" si="53"/>
        <v>0</v>
      </c>
      <c r="AM212" s="867">
        <f t="shared" si="53"/>
        <v>0</v>
      </c>
      <c r="AN212" s="867">
        <f t="shared" si="53"/>
        <v>0</v>
      </c>
      <c r="AO212" s="867">
        <f t="shared" si="53"/>
        <v>0</v>
      </c>
      <c r="AP212" s="867">
        <f t="shared" si="53"/>
        <v>-78880.801220779249</v>
      </c>
      <c r="AQ212" s="867">
        <f t="shared" si="53"/>
        <v>0</v>
      </c>
      <c r="AR212" s="867">
        <f t="shared" si="53"/>
        <v>0</v>
      </c>
      <c r="AS212" s="867">
        <f t="shared" si="53"/>
        <v>0</v>
      </c>
      <c r="AT212" s="867">
        <f t="shared" si="53"/>
        <v>0</v>
      </c>
      <c r="AU212" s="867">
        <f t="shared" si="53"/>
        <v>0</v>
      </c>
      <c r="AV212" s="867">
        <f t="shared" si="53"/>
        <v>0</v>
      </c>
      <c r="AW212" s="867">
        <f t="shared" si="53"/>
        <v>0</v>
      </c>
      <c r="AX212" s="867">
        <f t="shared" si="53"/>
        <v>0</v>
      </c>
      <c r="AY212" s="867">
        <f t="shared" si="53"/>
        <v>0</v>
      </c>
      <c r="AZ212" s="867">
        <f t="shared" si="53"/>
        <v>0</v>
      </c>
      <c r="BA212" s="867">
        <f t="shared" si="53"/>
        <v>0</v>
      </c>
      <c r="BB212" s="867">
        <f t="shared" si="53"/>
        <v>0</v>
      </c>
      <c r="BC212" s="867">
        <f t="shared" si="53"/>
        <v>0</v>
      </c>
      <c r="BD212" s="867">
        <f t="shared" si="53"/>
        <v>0</v>
      </c>
      <c r="BE212" s="867">
        <f t="shared" si="53"/>
        <v>0</v>
      </c>
    </row>
    <row r="213" spans="2:57" x14ac:dyDescent="0.25">
      <c r="B213" s="851"/>
      <c r="D213" s="316"/>
      <c r="E213" s="866" t="str">
        <f t="shared" si="46"/>
        <v>Total capex new platforms (LH2)</v>
      </c>
      <c r="F213" s="866" t="str">
        <f t="shared" si="46"/>
        <v>[kEUR]</v>
      </c>
      <c r="G213" s="867">
        <f t="shared" si="46"/>
        <v>-101459.34356500361</v>
      </c>
      <c r="H213" s="867">
        <f t="shared" si="46"/>
        <v>-32328.073604473091</v>
      </c>
      <c r="I213" s="867"/>
      <c r="J213" s="867">
        <f t="shared" ref="J213:BE213" si="54">J144</f>
        <v>0</v>
      </c>
      <c r="K213" s="867">
        <f t="shared" si="54"/>
        <v>0</v>
      </c>
      <c r="L213" s="867">
        <f t="shared" si="54"/>
        <v>0</v>
      </c>
      <c r="M213" s="867">
        <f t="shared" si="54"/>
        <v>0</v>
      </c>
      <c r="N213" s="867">
        <f t="shared" si="54"/>
        <v>0</v>
      </c>
      <c r="O213" s="867">
        <f t="shared" si="54"/>
        <v>0</v>
      </c>
      <c r="P213" s="867">
        <f t="shared" si="54"/>
        <v>0</v>
      </c>
      <c r="Q213" s="867">
        <f t="shared" si="54"/>
        <v>0</v>
      </c>
      <c r="R213" s="867">
        <f t="shared" si="54"/>
        <v>0</v>
      </c>
      <c r="S213" s="867">
        <f t="shared" si="54"/>
        <v>0</v>
      </c>
      <c r="T213" s="867">
        <f t="shared" si="54"/>
        <v>0</v>
      </c>
      <c r="U213" s="867">
        <f t="shared" si="54"/>
        <v>0</v>
      </c>
      <c r="V213" s="867">
        <f t="shared" si="54"/>
        <v>-101459.34356500361</v>
      </c>
      <c r="W213" s="867">
        <f t="shared" si="54"/>
        <v>0</v>
      </c>
      <c r="X213" s="867">
        <f t="shared" si="54"/>
        <v>0</v>
      </c>
      <c r="Y213" s="867">
        <f t="shared" si="54"/>
        <v>0</v>
      </c>
      <c r="Z213" s="867">
        <f t="shared" si="54"/>
        <v>0</v>
      </c>
      <c r="AA213" s="867">
        <f t="shared" si="54"/>
        <v>0</v>
      </c>
      <c r="AB213" s="867">
        <f t="shared" si="54"/>
        <v>0</v>
      </c>
      <c r="AC213" s="867">
        <f t="shared" si="54"/>
        <v>0</v>
      </c>
      <c r="AD213" s="867">
        <f t="shared" si="54"/>
        <v>0</v>
      </c>
      <c r="AE213" s="867">
        <f t="shared" si="54"/>
        <v>0</v>
      </c>
      <c r="AF213" s="867">
        <f t="shared" si="54"/>
        <v>0</v>
      </c>
      <c r="AG213" s="867">
        <f t="shared" si="54"/>
        <v>0</v>
      </c>
      <c r="AH213" s="867">
        <f t="shared" si="54"/>
        <v>0</v>
      </c>
      <c r="AI213" s="867">
        <f t="shared" si="54"/>
        <v>0</v>
      </c>
      <c r="AJ213" s="867">
        <f t="shared" si="54"/>
        <v>0</v>
      </c>
      <c r="AK213" s="867">
        <f t="shared" si="54"/>
        <v>0</v>
      </c>
      <c r="AL213" s="867">
        <f t="shared" si="54"/>
        <v>0</v>
      </c>
      <c r="AM213" s="867">
        <f t="shared" si="54"/>
        <v>0</v>
      </c>
      <c r="AN213" s="867">
        <f t="shared" si="54"/>
        <v>0</v>
      </c>
      <c r="AO213" s="867">
        <f t="shared" si="54"/>
        <v>0</v>
      </c>
      <c r="AP213" s="867">
        <f t="shared" si="54"/>
        <v>0</v>
      </c>
      <c r="AQ213" s="867">
        <f t="shared" si="54"/>
        <v>0</v>
      </c>
      <c r="AR213" s="867">
        <f t="shared" si="54"/>
        <v>0</v>
      </c>
      <c r="AS213" s="867">
        <f t="shared" si="54"/>
        <v>0</v>
      </c>
      <c r="AT213" s="867">
        <f t="shared" si="54"/>
        <v>0</v>
      </c>
      <c r="AU213" s="867">
        <f t="shared" si="54"/>
        <v>0</v>
      </c>
      <c r="AV213" s="867">
        <f t="shared" si="54"/>
        <v>0</v>
      </c>
      <c r="AW213" s="867">
        <f t="shared" si="54"/>
        <v>0</v>
      </c>
      <c r="AX213" s="867">
        <f t="shared" si="54"/>
        <v>0</v>
      </c>
      <c r="AY213" s="867">
        <f t="shared" si="54"/>
        <v>0</v>
      </c>
      <c r="AZ213" s="867">
        <f t="shared" si="54"/>
        <v>0</v>
      </c>
      <c r="BA213" s="867">
        <f t="shared" si="54"/>
        <v>0</v>
      </c>
      <c r="BB213" s="867">
        <f t="shared" si="54"/>
        <v>0</v>
      </c>
      <c r="BC213" s="867">
        <f t="shared" si="54"/>
        <v>0</v>
      </c>
      <c r="BD213" s="867">
        <f t="shared" si="54"/>
        <v>0</v>
      </c>
      <c r="BE213" s="867">
        <f t="shared" si="54"/>
        <v>0</v>
      </c>
    </row>
    <row r="214" spans="2:57" x14ac:dyDescent="0.25">
      <c r="B214" s="851"/>
      <c r="D214" s="316"/>
      <c r="E214" s="866" t="str">
        <f t="shared" si="46"/>
        <v>Capex H2 pipeline crossings &amp; landing</v>
      </c>
      <c r="F214" s="866" t="str">
        <f t="shared" si="46"/>
        <v>[kEUR]</v>
      </c>
      <c r="G214" s="867">
        <f t="shared" si="46"/>
        <v>0</v>
      </c>
      <c r="H214" s="867">
        <f t="shared" si="46"/>
        <v>0</v>
      </c>
      <c r="I214" s="867"/>
      <c r="J214" s="867">
        <f t="shared" ref="J214:BE214" si="55">J145</f>
        <v>0</v>
      </c>
      <c r="K214" s="867">
        <f t="shared" si="55"/>
        <v>0</v>
      </c>
      <c r="L214" s="867">
        <f t="shared" si="55"/>
        <v>0</v>
      </c>
      <c r="M214" s="867">
        <f t="shared" si="55"/>
        <v>0</v>
      </c>
      <c r="N214" s="867">
        <f t="shared" si="55"/>
        <v>0</v>
      </c>
      <c r="O214" s="867">
        <f t="shared" si="55"/>
        <v>0</v>
      </c>
      <c r="P214" s="867">
        <f t="shared" si="55"/>
        <v>0</v>
      </c>
      <c r="Q214" s="867">
        <f t="shared" si="55"/>
        <v>0</v>
      </c>
      <c r="R214" s="867">
        <f t="shared" si="55"/>
        <v>0</v>
      </c>
      <c r="S214" s="867">
        <f t="shared" si="55"/>
        <v>0</v>
      </c>
      <c r="T214" s="867">
        <f t="shared" si="55"/>
        <v>0</v>
      </c>
      <c r="U214" s="867">
        <f t="shared" si="55"/>
        <v>0</v>
      </c>
      <c r="V214" s="867">
        <f t="shared" si="55"/>
        <v>0</v>
      </c>
      <c r="W214" s="867">
        <f t="shared" si="55"/>
        <v>0</v>
      </c>
      <c r="X214" s="867">
        <f t="shared" si="55"/>
        <v>0</v>
      </c>
      <c r="Y214" s="867">
        <f t="shared" si="55"/>
        <v>0</v>
      </c>
      <c r="Z214" s="867">
        <f t="shared" si="55"/>
        <v>0</v>
      </c>
      <c r="AA214" s="867">
        <f t="shared" si="55"/>
        <v>0</v>
      </c>
      <c r="AB214" s="867">
        <f t="shared" si="55"/>
        <v>0</v>
      </c>
      <c r="AC214" s="867">
        <f t="shared" si="55"/>
        <v>0</v>
      </c>
      <c r="AD214" s="867">
        <f t="shared" si="55"/>
        <v>0</v>
      </c>
      <c r="AE214" s="867">
        <f t="shared" si="55"/>
        <v>0</v>
      </c>
      <c r="AF214" s="867">
        <f t="shared" si="55"/>
        <v>0</v>
      </c>
      <c r="AG214" s="867">
        <f t="shared" si="55"/>
        <v>0</v>
      </c>
      <c r="AH214" s="867">
        <f t="shared" si="55"/>
        <v>0</v>
      </c>
      <c r="AI214" s="867">
        <f t="shared" si="55"/>
        <v>0</v>
      </c>
      <c r="AJ214" s="867">
        <f t="shared" si="55"/>
        <v>0</v>
      </c>
      <c r="AK214" s="867">
        <f t="shared" si="55"/>
        <v>0</v>
      </c>
      <c r="AL214" s="867">
        <f t="shared" si="55"/>
        <v>0</v>
      </c>
      <c r="AM214" s="867">
        <f t="shared" si="55"/>
        <v>0</v>
      </c>
      <c r="AN214" s="867">
        <f t="shared" si="55"/>
        <v>0</v>
      </c>
      <c r="AO214" s="867">
        <f t="shared" si="55"/>
        <v>0</v>
      </c>
      <c r="AP214" s="867">
        <f t="shared" si="55"/>
        <v>0</v>
      </c>
      <c r="AQ214" s="867">
        <f t="shared" si="55"/>
        <v>0</v>
      </c>
      <c r="AR214" s="867">
        <f t="shared" si="55"/>
        <v>0</v>
      </c>
      <c r="AS214" s="867">
        <f t="shared" si="55"/>
        <v>0</v>
      </c>
      <c r="AT214" s="867">
        <f t="shared" si="55"/>
        <v>0</v>
      </c>
      <c r="AU214" s="867">
        <f t="shared" si="55"/>
        <v>0</v>
      </c>
      <c r="AV214" s="867">
        <f t="shared" si="55"/>
        <v>0</v>
      </c>
      <c r="AW214" s="867">
        <f t="shared" si="55"/>
        <v>0</v>
      </c>
      <c r="AX214" s="867">
        <f t="shared" si="55"/>
        <v>0</v>
      </c>
      <c r="AY214" s="867">
        <f t="shared" si="55"/>
        <v>0</v>
      </c>
      <c r="AZ214" s="867">
        <f t="shared" si="55"/>
        <v>0</v>
      </c>
      <c r="BA214" s="867">
        <f t="shared" si="55"/>
        <v>0</v>
      </c>
      <c r="BB214" s="867">
        <f t="shared" si="55"/>
        <v>0</v>
      </c>
      <c r="BC214" s="867">
        <f t="shared" si="55"/>
        <v>0</v>
      </c>
      <c r="BD214" s="867">
        <f t="shared" si="55"/>
        <v>0</v>
      </c>
      <c r="BE214" s="867">
        <f t="shared" si="55"/>
        <v>0</v>
      </c>
    </row>
    <row r="215" spans="2:57" ht="18.75" x14ac:dyDescent="0.3">
      <c r="B215" s="851"/>
      <c r="D215" s="873"/>
      <c r="E215" s="874" t="s">
        <v>982</v>
      </c>
      <c r="F215" s="874"/>
      <c r="G215" s="875">
        <f>G216+G221+G242+G231</f>
        <v>-1230558.811550376</v>
      </c>
      <c r="H215" s="875">
        <f>H216+H221+H242+H231</f>
        <v>-255100.01438022498</v>
      </c>
      <c r="I215" s="875"/>
      <c r="J215" s="875">
        <f t="shared" ref="J215:BE215" si="56">J216+J221+J242+J231</f>
        <v>0</v>
      </c>
      <c r="K215" s="875">
        <f t="shared" si="56"/>
        <v>0</v>
      </c>
      <c r="L215" s="875">
        <f t="shared" si="56"/>
        <v>0</v>
      </c>
      <c r="M215" s="875">
        <f t="shared" si="56"/>
        <v>0</v>
      </c>
      <c r="N215" s="875">
        <f t="shared" si="56"/>
        <v>-28700.054801301532</v>
      </c>
      <c r="O215" s="875">
        <f t="shared" si="56"/>
        <v>-29763.870673881116</v>
      </c>
      <c r="P215" s="875">
        <f t="shared" si="56"/>
        <v>-30432.25531839348</v>
      </c>
      <c r="Q215" s="875">
        <f t="shared" si="56"/>
        <v>-31193.371668917243</v>
      </c>
      <c r="R215" s="875">
        <f t="shared" si="56"/>
        <v>-34284.384533951044</v>
      </c>
      <c r="S215" s="875">
        <f t="shared" si="56"/>
        <v>-35133.659047114597</v>
      </c>
      <c r="T215" s="875">
        <f t="shared" si="56"/>
        <v>-36052.612373709293</v>
      </c>
      <c r="U215" s="875">
        <f t="shared" si="56"/>
        <v>-36981.22105925918</v>
      </c>
      <c r="V215" s="875">
        <f t="shared" si="56"/>
        <v>0</v>
      </c>
      <c r="W215" s="875">
        <f t="shared" si="56"/>
        <v>-31023.224309678029</v>
      </c>
      <c r="X215" s="875">
        <f t="shared" si="56"/>
        <v>-31649.23921768595</v>
      </c>
      <c r="Y215" s="875">
        <f t="shared" si="56"/>
        <v>-46281.372604060489</v>
      </c>
      <c r="Z215" s="875">
        <f t="shared" si="56"/>
        <v>-47213.284644454434</v>
      </c>
      <c r="AA215" s="875">
        <f t="shared" si="56"/>
        <v>-48163.960617422505</v>
      </c>
      <c r="AB215" s="875">
        <f t="shared" si="56"/>
        <v>-49133.778315451498</v>
      </c>
      <c r="AC215" s="875">
        <f t="shared" si="56"/>
        <v>-50123.123137154689</v>
      </c>
      <c r="AD215" s="875">
        <f t="shared" si="56"/>
        <v>-51132.388240399843</v>
      </c>
      <c r="AE215" s="875">
        <f t="shared" si="56"/>
        <v>-52161.974698519931</v>
      </c>
      <c r="AF215" s="875">
        <f t="shared" si="56"/>
        <v>-53212.291659668663</v>
      </c>
      <c r="AG215" s="875">
        <f t="shared" si="56"/>
        <v>-54276.537492862015</v>
      </c>
      <c r="AH215" s="875">
        <f t="shared" si="56"/>
        <v>-55362.068242719251</v>
      </c>
      <c r="AI215" s="875">
        <f t="shared" si="56"/>
        <v>-56469.309607573647</v>
      </c>
      <c r="AJ215" s="875">
        <f t="shared" si="56"/>
        <v>-57598.695799725123</v>
      </c>
      <c r="AK215" s="875">
        <f t="shared" si="56"/>
        <v>-58750.669715719618</v>
      </c>
      <c r="AL215" s="875">
        <f t="shared" si="56"/>
        <v>-59925.683110034021</v>
      </c>
      <c r="AM215" s="875">
        <f t="shared" si="56"/>
        <v>-61124.196772234689</v>
      </c>
      <c r="AN215" s="875">
        <f t="shared" si="56"/>
        <v>-45018.047479577006</v>
      </c>
      <c r="AO215" s="875">
        <f t="shared" si="56"/>
        <v>-45918.408429168543</v>
      </c>
      <c r="AP215" s="875">
        <f t="shared" si="56"/>
        <v>-1570.450493417607</v>
      </c>
      <c r="AQ215" s="875">
        <f t="shared" si="56"/>
        <v>-1601.8595032859596</v>
      </c>
      <c r="AR215" s="875">
        <f t="shared" si="56"/>
        <v>-1633.8966933516786</v>
      </c>
      <c r="AS215" s="875">
        <f t="shared" si="56"/>
        <v>-1666.5746272187121</v>
      </c>
      <c r="AT215" s="875">
        <f t="shared" si="56"/>
        <v>-1699.9061197630863</v>
      </c>
      <c r="AU215" s="875">
        <f t="shared" si="56"/>
        <v>-1733.9042421583481</v>
      </c>
      <c r="AV215" s="875">
        <f t="shared" si="56"/>
        <v>-1768.5823270015153</v>
      </c>
      <c r="AW215" s="875">
        <f t="shared" si="56"/>
        <v>-1803.9539735415449</v>
      </c>
      <c r="AX215" s="875">
        <f t="shared" si="56"/>
        <v>0</v>
      </c>
      <c r="AY215" s="875">
        <f t="shared" si="56"/>
        <v>0</v>
      </c>
      <c r="AZ215" s="875">
        <f t="shared" si="56"/>
        <v>0</v>
      </c>
      <c r="BA215" s="875">
        <f t="shared" si="56"/>
        <v>0</v>
      </c>
      <c r="BB215" s="875">
        <f t="shared" si="56"/>
        <v>0</v>
      </c>
      <c r="BC215" s="875">
        <f t="shared" si="56"/>
        <v>0</v>
      </c>
      <c r="BD215" s="875">
        <f t="shared" si="56"/>
        <v>0</v>
      </c>
      <c r="BE215" s="875">
        <f t="shared" si="56"/>
        <v>0</v>
      </c>
    </row>
    <row r="216" spans="2:57" x14ac:dyDescent="0.25">
      <c r="B216" s="851"/>
      <c r="D216" s="750"/>
      <c r="E216" s="865" t="s">
        <v>958</v>
      </c>
      <c r="F216" s="865" t="s">
        <v>979</v>
      </c>
      <c r="G216" s="871">
        <f t="shared" ref="G216:H220" si="57">G38</f>
        <v>-252985.88845242397</v>
      </c>
      <c r="H216" s="871">
        <f t="shared" si="57"/>
        <v>-125147.72662004079</v>
      </c>
      <c r="I216" s="865"/>
      <c r="J216" s="871">
        <f>SUM(J217:J220)</f>
        <v>0</v>
      </c>
      <c r="K216" s="871">
        <f t="shared" ref="K216:BE216" si="58">SUM(K217:K220)</f>
        <v>0</v>
      </c>
      <c r="L216" s="871">
        <f t="shared" si="58"/>
        <v>0</v>
      </c>
      <c r="M216" s="871">
        <f t="shared" si="58"/>
        <v>0</v>
      </c>
      <c r="N216" s="871">
        <f t="shared" si="58"/>
        <v>-28700.054801301532</v>
      </c>
      <c r="O216" s="871">
        <f t="shared" si="58"/>
        <v>-29763.870673881116</v>
      </c>
      <c r="P216" s="871">
        <f t="shared" si="58"/>
        <v>-30432.25531839348</v>
      </c>
      <c r="Q216" s="871">
        <f t="shared" si="58"/>
        <v>-31193.371668917243</v>
      </c>
      <c r="R216" s="871">
        <f t="shared" si="58"/>
        <v>-31965.995190792528</v>
      </c>
      <c r="S216" s="871">
        <f t="shared" si="58"/>
        <v>-32768.893970552199</v>
      </c>
      <c r="T216" s="871">
        <f t="shared" si="58"/>
        <v>-33640.543890144116</v>
      </c>
      <c r="U216" s="871">
        <f t="shared" si="58"/>
        <v>-34520.902938441744</v>
      </c>
      <c r="V216" s="871">
        <f t="shared" si="58"/>
        <v>0</v>
      </c>
      <c r="W216" s="871">
        <f t="shared" si="58"/>
        <v>0</v>
      </c>
      <c r="X216" s="871">
        <f t="shared" si="58"/>
        <v>0</v>
      </c>
      <c r="Y216" s="871">
        <f t="shared" si="58"/>
        <v>0</v>
      </c>
      <c r="Z216" s="871">
        <f t="shared" si="58"/>
        <v>0</v>
      </c>
      <c r="AA216" s="871">
        <f t="shared" si="58"/>
        <v>0</v>
      </c>
      <c r="AB216" s="871">
        <f t="shared" si="58"/>
        <v>0</v>
      </c>
      <c r="AC216" s="871">
        <f t="shared" si="58"/>
        <v>0</v>
      </c>
      <c r="AD216" s="871">
        <f t="shared" si="58"/>
        <v>0</v>
      </c>
      <c r="AE216" s="871">
        <f t="shared" si="58"/>
        <v>0</v>
      </c>
      <c r="AF216" s="871">
        <f t="shared" si="58"/>
        <v>0</v>
      </c>
      <c r="AG216" s="871">
        <f t="shared" si="58"/>
        <v>0</v>
      </c>
      <c r="AH216" s="871">
        <f t="shared" si="58"/>
        <v>0</v>
      </c>
      <c r="AI216" s="871">
        <f t="shared" si="58"/>
        <v>0</v>
      </c>
      <c r="AJ216" s="871">
        <f t="shared" si="58"/>
        <v>0</v>
      </c>
      <c r="AK216" s="871">
        <f t="shared" si="58"/>
        <v>0</v>
      </c>
      <c r="AL216" s="871">
        <f t="shared" si="58"/>
        <v>0</v>
      </c>
      <c r="AM216" s="871">
        <f t="shared" si="58"/>
        <v>0</v>
      </c>
      <c r="AN216" s="871">
        <f t="shared" si="58"/>
        <v>0</v>
      </c>
      <c r="AO216" s="871">
        <f t="shared" si="58"/>
        <v>0</v>
      </c>
      <c r="AP216" s="871">
        <f t="shared" si="58"/>
        <v>0</v>
      </c>
      <c r="AQ216" s="871">
        <f t="shared" si="58"/>
        <v>0</v>
      </c>
      <c r="AR216" s="871">
        <f t="shared" si="58"/>
        <v>0</v>
      </c>
      <c r="AS216" s="871">
        <f t="shared" si="58"/>
        <v>0</v>
      </c>
      <c r="AT216" s="871">
        <f t="shared" si="58"/>
        <v>0</v>
      </c>
      <c r="AU216" s="871">
        <f t="shared" si="58"/>
        <v>0</v>
      </c>
      <c r="AV216" s="871">
        <f t="shared" si="58"/>
        <v>0</v>
      </c>
      <c r="AW216" s="871">
        <f t="shared" si="58"/>
        <v>0</v>
      </c>
      <c r="AX216" s="871">
        <f t="shared" si="58"/>
        <v>0</v>
      </c>
      <c r="AY216" s="871">
        <f t="shared" si="58"/>
        <v>0</v>
      </c>
      <c r="AZ216" s="871">
        <f t="shared" si="58"/>
        <v>0</v>
      </c>
      <c r="BA216" s="871">
        <f t="shared" si="58"/>
        <v>0</v>
      </c>
      <c r="BB216" s="871">
        <f t="shared" si="58"/>
        <v>0</v>
      </c>
      <c r="BC216" s="871">
        <f t="shared" si="58"/>
        <v>0</v>
      </c>
      <c r="BD216" s="871">
        <f t="shared" si="58"/>
        <v>0</v>
      </c>
      <c r="BE216" s="871">
        <f t="shared" si="58"/>
        <v>0</v>
      </c>
    </row>
    <row r="217" spans="2:57" x14ac:dyDescent="0.25">
      <c r="B217" s="851"/>
      <c r="D217" s="314"/>
      <c r="E217" s="872" t="str">
        <f>E39</f>
        <v>Electricity consumption</v>
      </c>
      <c r="F217" s="872" t="s">
        <v>979</v>
      </c>
      <c r="G217" s="872">
        <f t="shared" si="57"/>
        <v>-66165.568083105667</v>
      </c>
      <c r="H217" s="872">
        <f t="shared" si="57"/>
        <v>-32761.557893968991</v>
      </c>
      <c r="I217" s="872"/>
      <c r="J217" s="872">
        <f t="shared" ref="J217:BE217" si="59">J39</f>
        <v>0</v>
      </c>
      <c r="K217" s="872">
        <f t="shared" si="59"/>
        <v>0</v>
      </c>
      <c r="L217" s="872">
        <f t="shared" si="59"/>
        <v>0</v>
      </c>
      <c r="M217" s="872">
        <f t="shared" si="59"/>
        <v>0</v>
      </c>
      <c r="N217" s="872">
        <f t="shared" si="59"/>
        <v>-7417.1740127418498</v>
      </c>
      <c r="O217" s="872">
        <f t="shared" si="59"/>
        <v>-7895.7583359449554</v>
      </c>
      <c r="P217" s="872">
        <f t="shared" si="59"/>
        <v>-8055.8608121431243</v>
      </c>
      <c r="Q217" s="872">
        <f t="shared" si="59"/>
        <v>-8219.2090840548371</v>
      </c>
      <c r="R217" s="872">
        <f t="shared" si="59"/>
        <v>-8385.8689425181656</v>
      </c>
      <c r="S217" s="872">
        <f t="shared" si="59"/>
        <v>-8555.9075116864042</v>
      </c>
      <c r="T217" s="872">
        <f t="shared" si="59"/>
        <v>-8729.3932760443604</v>
      </c>
      <c r="U217" s="872">
        <f t="shared" si="59"/>
        <v>-8906.3961079719684</v>
      </c>
      <c r="V217" s="872">
        <f t="shared" si="59"/>
        <v>0</v>
      </c>
      <c r="W217" s="872">
        <f t="shared" si="59"/>
        <v>0</v>
      </c>
      <c r="X217" s="872">
        <f t="shared" si="59"/>
        <v>0</v>
      </c>
      <c r="Y217" s="872">
        <f t="shared" si="59"/>
        <v>0</v>
      </c>
      <c r="Z217" s="872">
        <f t="shared" si="59"/>
        <v>0</v>
      </c>
      <c r="AA217" s="872">
        <f t="shared" si="59"/>
        <v>0</v>
      </c>
      <c r="AB217" s="872">
        <f t="shared" si="59"/>
        <v>0</v>
      </c>
      <c r="AC217" s="872">
        <f t="shared" si="59"/>
        <v>0</v>
      </c>
      <c r="AD217" s="872">
        <f t="shared" si="59"/>
        <v>0</v>
      </c>
      <c r="AE217" s="872">
        <f t="shared" si="59"/>
        <v>0</v>
      </c>
      <c r="AF217" s="872">
        <f t="shared" si="59"/>
        <v>0</v>
      </c>
      <c r="AG217" s="872">
        <f t="shared" si="59"/>
        <v>0</v>
      </c>
      <c r="AH217" s="872">
        <f t="shared" si="59"/>
        <v>0</v>
      </c>
      <c r="AI217" s="872">
        <f t="shared" si="59"/>
        <v>0</v>
      </c>
      <c r="AJ217" s="872">
        <f t="shared" si="59"/>
        <v>0</v>
      </c>
      <c r="AK217" s="872">
        <f t="shared" si="59"/>
        <v>0</v>
      </c>
      <c r="AL217" s="872">
        <f t="shared" si="59"/>
        <v>0</v>
      </c>
      <c r="AM217" s="872">
        <f t="shared" si="59"/>
        <v>0</v>
      </c>
      <c r="AN217" s="872">
        <f t="shared" si="59"/>
        <v>0</v>
      </c>
      <c r="AO217" s="872">
        <f t="shared" si="59"/>
        <v>0</v>
      </c>
      <c r="AP217" s="872">
        <f t="shared" si="59"/>
        <v>0</v>
      </c>
      <c r="AQ217" s="872">
        <f t="shared" si="59"/>
        <v>0</v>
      </c>
      <c r="AR217" s="872">
        <f t="shared" si="59"/>
        <v>0</v>
      </c>
      <c r="AS217" s="872">
        <f t="shared" si="59"/>
        <v>0</v>
      </c>
      <c r="AT217" s="872">
        <f t="shared" si="59"/>
        <v>0</v>
      </c>
      <c r="AU217" s="872">
        <f t="shared" si="59"/>
        <v>0</v>
      </c>
      <c r="AV217" s="872">
        <f t="shared" si="59"/>
        <v>0</v>
      </c>
      <c r="AW217" s="872">
        <f t="shared" si="59"/>
        <v>0</v>
      </c>
      <c r="AX217" s="872">
        <f t="shared" si="59"/>
        <v>0</v>
      </c>
      <c r="AY217" s="872">
        <f t="shared" si="59"/>
        <v>0</v>
      </c>
      <c r="AZ217" s="872">
        <f t="shared" si="59"/>
        <v>0</v>
      </c>
      <c r="BA217" s="872">
        <f t="shared" si="59"/>
        <v>0</v>
      </c>
      <c r="BB217" s="872">
        <f t="shared" si="59"/>
        <v>0</v>
      </c>
      <c r="BC217" s="872">
        <f t="shared" si="59"/>
        <v>0</v>
      </c>
      <c r="BD217" s="872">
        <f t="shared" si="59"/>
        <v>0</v>
      </c>
      <c r="BE217" s="872">
        <f t="shared" si="59"/>
        <v>0</v>
      </c>
    </row>
    <row r="218" spans="2:57" x14ac:dyDescent="0.25">
      <c r="B218" s="851"/>
      <c r="D218" s="1189"/>
      <c r="E218" s="872" t="str">
        <f>E40</f>
        <v>Pipeline</v>
      </c>
      <c r="F218" s="872" t="s">
        <v>979</v>
      </c>
      <c r="G218" s="872">
        <f t="shared" si="57"/>
        <v>-19008.207010501123</v>
      </c>
      <c r="H218" s="872">
        <f t="shared" si="57"/>
        <v>-9131.0453262271421</v>
      </c>
      <c r="I218" s="872"/>
      <c r="J218" s="872">
        <f t="shared" ref="J218:BE218" si="60">J40</f>
        <v>0</v>
      </c>
      <c r="K218" s="872">
        <f t="shared" si="60"/>
        <v>0</v>
      </c>
      <c r="L218" s="872">
        <f t="shared" si="60"/>
        <v>0</v>
      </c>
      <c r="M218" s="872">
        <f t="shared" si="60"/>
        <v>0</v>
      </c>
      <c r="N218" s="872">
        <f t="shared" si="60"/>
        <v>-1731.1251689116834</v>
      </c>
      <c r="O218" s="872">
        <f t="shared" si="60"/>
        <v>-1925.3216058952012</v>
      </c>
      <c r="P218" s="872">
        <f t="shared" si="60"/>
        <v>-2034.7479595685727</v>
      </c>
      <c r="Q218" s="872">
        <f t="shared" si="60"/>
        <v>-2225.6831072469972</v>
      </c>
      <c r="R218" s="872">
        <f t="shared" si="60"/>
        <v>-2416.6771811066415</v>
      </c>
      <c r="S218" s="872">
        <f t="shared" si="60"/>
        <v>-2626.2684103547158</v>
      </c>
      <c r="T218" s="872">
        <f t="shared" si="60"/>
        <v>-2892.6982046184544</v>
      </c>
      <c r="U218" s="872">
        <f t="shared" si="60"/>
        <v>-3155.6853727988578</v>
      </c>
      <c r="V218" s="872">
        <f t="shared" si="60"/>
        <v>0</v>
      </c>
      <c r="W218" s="872">
        <f t="shared" si="60"/>
        <v>0</v>
      </c>
      <c r="X218" s="872">
        <f t="shared" si="60"/>
        <v>0</v>
      </c>
      <c r="Y218" s="872">
        <f t="shared" si="60"/>
        <v>0</v>
      </c>
      <c r="Z218" s="872">
        <f t="shared" si="60"/>
        <v>0</v>
      </c>
      <c r="AA218" s="872">
        <f t="shared" si="60"/>
        <v>0</v>
      </c>
      <c r="AB218" s="872">
        <f t="shared" si="60"/>
        <v>0</v>
      </c>
      <c r="AC218" s="872">
        <f t="shared" si="60"/>
        <v>0</v>
      </c>
      <c r="AD218" s="872">
        <f t="shared" si="60"/>
        <v>0</v>
      </c>
      <c r="AE218" s="872">
        <f t="shared" si="60"/>
        <v>0</v>
      </c>
      <c r="AF218" s="872">
        <f t="shared" si="60"/>
        <v>0</v>
      </c>
      <c r="AG218" s="872">
        <f t="shared" si="60"/>
        <v>0</v>
      </c>
      <c r="AH218" s="872">
        <f t="shared" si="60"/>
        <v>0</v>
      </c>
      <c r="AI218" s="872">
        <f t="shared" si="60"/>
        <v>0</v>
      </c>
      <c r="AJ218" s="872">
        <f t="shared" si="60"/>
        <v>0</v>
      </c>
      <c r="AK218" s="872">
        <f t="shared" si="60"/>
        <v>0</v>
      </c>
      <c r="AL218" s="872">
        <f t="shared" si="60"/>
        <v>0</v>
      </c>
      <c r="AM218" s="872">
        <f t="shared" si="60"/>
        <v>0</v>
      </c>
      <c r="AN218" s="872">
        <f t="shared" si="60"/>
        <v>0</v>
      </c>
      <c r="AO218" s="872">
        <f t="shared" si="60"/>
        <v>0</v>
      </c>
      <c r="AP218" s="872">
        <f t="shared" si="60"/>
        <v>0</v>
      </c>
      <c r="AQ218" s="872">
        <f t="shared" si="60"/>
        <v>0</v>
      </c>
      <c r="AR218" s="872">
        <f t="shared" si="60"/>
        <v>0</v>
      </c>
      <c r="AS218" s="872">
        <f t="shared" si="60"/>
        <v>0</v>
      </c>
      <c r="AT218" s="872">
        <f t="shared" si="60"/>
        <v>0</v>
      </c>
      <c r="AU218" s="872">
        <f t="shared" si="60"/>
        <v>0</v>
      </c>
      <c r="AV218" s="872">
        <f t="shared" si="60"/>
        <v>0</v>
      </c>
      <c r="AW218" s="872">
        <f t="shared" si="60"/>
        <v>0</v>
      </c>
      <c r="AX218" s="872">
        <f t="shared" si="60"/>
        <v>0</v>
      </c>
      <c r="AY218" s="872">
        <f t="shared" si="60"/>
        <v>0</v>
      </c>
      <c r="AZ218" s="872">
        <f t="shared" si="60"/>
        <v>0</v>
      </c>
      <c r="BA218" s="872">
        <f t="shared" si="60"/>
        <v>0</v>
      </c>
      <c r="BB218" s="872">
        <f t="shared" si="60"/>
        <v>0</v>
      </c>
      <c r="BC218" s="872">
        <f t="shared" si="60"/>
        <v>0</v>
      </c>
      <c r="BD218" s="872">
        <f t="shared" si="60"/>
        <v>0</v>
      </c>
      <c r="BE218" s="872">
        <f t="shared" si="60"/>
        <v>0</v>
      </c>
    </row>
    <row r="219" spans="2:57" x14ac:dyDescent="0.25">
      <c r="B219" s="851"/>
      <c r="D219" s="1189"/>
      <c r="E219" s="872" t="str">
        <f>E41</f>
        <v>Cable</v>
      </c>
      <c r="F219" s="872" t="s">
        <v>979</v>
      </c>
      <c r="G219" s="872">
        <f t="shared" si="57"/>
        <v>-2441.5385981518452</v>
      </c>
      <c r="H219" s="872">
        <f t="shared" si="57"/>
        <v>-1211.298715009809</v>
      </c>
      <c r="I219" s="872"/>
      <c r="J219" s="872">
        <f t="shared" ref="J219:BE219" si="61">J41</f>
        <v>0</v>
      </c>
      <c r="K219" s="872">
        <f t="shared" si="61"/>
        <v>0</v>
      </c>
      <c r="L219" s="872">
        <f t="shared" si="61"/>
        <v>0</v>
      </c>
      <c r="M219" s="872">
        <f t="shared" si="61"/>
        <v>0</v>
      </c>
      <c r="N219" s="872">
        <f t="shared" si="61"/>
        <v>-284.46317164800001</v>
      </c>
      <c r="O219" s="872">
        <f t="shared" si="61"/>
        <v>-290.15243508096</v>
      </c>
      <c r="P219" s="872">
        <f t="shared" si="61"/>
        <v>-295.95548378257917</v>
      </c>
      <c r="Q219" s="872">
        <f t="shared" si="61"/>
        <v>-301.87459345823072</v>
      </c>
      <c r="R219" s="872">
        <f t="shared" si="61"/>
        <v>-307.91208532739535</v>
      </c>
      <c r="S219" s="872">
        <f t="shared" si="61"/>
        <v>-314.07032703394327</v>
      </c>
      <c r="T219" s="872">
        <f t="shared" si="61"/>
        <v>-320.35173357462219</v>
      </c>
      <c r="U219" s="872">
        <f t="shared" si="61"/>
        <v>-326.75876824611453</v>
      </c>
      <c r="V219" s="872">
        <f t="shared" si="61"/>
        <v>0</v>
      </c>
      <c r="W219" s="872">
        <f t="shared" si="61"/>
        <v>0</v>
      </c>
      <c r="X219" s="872">
        <f t="shared" si="61"/>
        <v>0</v>
      </c>
      <c r="Y219" s="872">
        <f t="shared" si="61"/>
        <v>0</v>
      </c>
      <c r="Z219" s="872">
        <f t="shared" si="61"/>
        <v>0</v>
      </c>
      <c r="AA219" s="872">
        <f t="shared" si="61"/>
        <v>0</v>
      </c>
      <c r="AB219" s="872">
        <f t="shared" si="61"/>
        <v>0</v>
      </c>
      <c r="AC219" s="872">
        <f t="shared" si="61"/>
        <v>0</v>
      </c>
      <c r="AD219" s="872">
        <f t="shared" si="61"/>
        <v>0</v>
      </c>
      <c r="AE219" s="872">
        <f t="shared" si="61"/>
        <v>0</v>
      </c>
      <c r="AF219" s="872">
        <f t="shared" si="61"/>
        <v>0</v>
      </c>
      <c r="AG219" s="872">
        <f t="shared" si="61"/>
        <v>0</v>
      </c>
      <c r="AH219" s="872">
        <f t="shared" si="61"/>
        <v>0</v>
      </c>
      <c r="AI219" s="872">
        <f t="shared" si="61"/>
        <v>0</v>
      </c>
      <c r="AJ219" s="872">
        <f t="shared" si="61"/>
        <v>0</v>
      </c>
      <c r="AK219" s="872">
        <f t="shared" si="61"/>
        <v>0</v>
      </c>
      <c r="AL219" s="872">
        <f t="shared" si="61"/>
        <v>0</v>
      </c>
      <c r="AM219" s="872">
        <f t="shared" si="61"/>
        <v>0</v>
      </c>
      <c r="AN219" s="872">
        <f t="shared" si="61"/>
        <v>0</v>
      </c>
      <c r="AO219" s="872">
        <f t="shared" si="61"/>
        <v>0</v>
      </c>
      <c r="AP219" s="872">
        <f t="shared" si="61"/>
        <v>0</v>
      </c>
      <c r="AQ219" s="872">
        <f t="shared" si="61"/>
        <v>0</v>
      </c>
      <c r="AR219" s="872">
        <f t="shared" si="61"/>
        <v>0</v>
      </c>
      <c r="AS219" s="872">
        <f t="shared" si="61"/>
        <v>0</v>
      </c>
      <c r="AT219" s="872">
        <f t="shared" si="61"/>
        <v>0</v>
      </c>
      <c r="AU219" s="872">
        <f t="shared" si="61"/>
        <v>0</v>
      </c>
      <c r="AV219" s="872">
        <f t="shared" si="61"/>
        <v>0</v>
      </c>
      <c r="AW219" s="872">
        <f t="shared" si="61"/>
        <v>0</v>
      </c>
      <c r="AX219" s="872">
        <f t="shared" si="61"/>
        <v>0</v>
      </c>
      <c r="AY219" s="872">
        <f t="shared" si="61"/>
        <v>0</v>
      </c>
      <c r="AZ219" s="872">
        <f t="shared" si="61"/>
        <v>0</v>
      </c>
      <c r="BA219" s="872">
        <f t="shared" si="61"/>
        <v>0</v>
      </c>
      <c r="BB219" s="872">
        <f t="shared" si="61"/>
        <v>0</v>
      </c>
      <c r="BC219" s="872">
        <f t="shared" si="61"/>
        <v>0</v>
      </c>
      <c r="BD219" s="872">
        <f t="shared" si="61"/>
        <v>0</v>
      </c>
      <c r="BE219" s="872">
        <f t="shared" si="61"/>
        <v>0</v>
      </c>
    </row>
    <row r="220" spans="2:57" x14ac:dyDescent="0.25">
      <c r="B220" s="851"/>
      <c r="D220" s="1189"/>
      <c r="E220" s="868" t="str">
        <f>E42</f>
        <v>Platform</v>
      </c>
      <c r="F220" s="868" t="s">
        <v>979</v>
      </c>
      <c r="G220" s="869">
        <f t="shared" si="57"/>
        <v>-165370.57476066533</v>
      </c>
      <c r="H220" s="869">
        <f t="shared" si="57"/>
        <v>-82043.82468483485</v>
      </c>
      <c r="I220" s="869"/>
      <c r="J220" s="869">
        <f t="shared" ref="J220:BE220" si="62">J42</f>
        <v>0</v>
      </c>
      <c r="K220" s="869">
        <f t="shared" si="62"/>
        <v>0</v>
      </c>
      <c r="L220" s="869">
        <f t="shared" si="62"/>
        <v>0</v>
      </c>
      <c r="M220" s="869">
        <f t="shared" si="62"/>
        <v>0</v>
      </c>
      <c r="N220" s="869">
        <f t="shared" si="62"/>
        <v>-19267.292448</v>
      </c>
      <c r="O220" s="869">
        <f t="shared" si="62"/>
        <v>-19652.638296960002</v>
      </c>
      <c r="P220" s="869">
        <f t="shared" si="62"/>
        <v>-20045.691062899201</v>
      </c>
      <c r="Q220" s="869">
        <f t="shared" si="62"/>
        <v>-20446.604884157179</v>
      </c>
      <c r="R220" s="869">
        <f t="shared" si="62"/>
        <v>-20855.536981840327</v>
      </c>
      <c r="S220" s="869">
        <f t="shared" si="62"/>
        <v>-21272.647721477133</v>
      </c>
      <c r="T220" s="869">
        <f t="shared" si="62"/>
        <v>-21698.100675906677</v>
      </c>
      <c r="U220" s="869">
        <f t="shared" si="62"/>
        <v>-22132.062689424805</v>
      </c>
      <c r="V220" s="869">
        <f t="shared" si="62"/>
        <v>0</v>
      </c>
      <c r="W220" s="869">
        <f t="shared" si="62"/>
        <v>0</v>
      </c>
      <c r="X220" s="869">
        <f t="shared" si="62"/>
        <v>0</v>
      </c>
      <c r="Y220" s="869">
        <f t="shared" si="62"/>
        <v>0</v>
      </c>
      <c r="Z220" s="869">
        <f t="shared" si="62"/>
        <v>0</v>
      </c>
      <c r="AA220" s="869">
        <f t="shared" si="62"/>
        <v>0</v>
      </c>
      <c r="AB220" s="869">
        <f t="shared" si="62"/>
        <v>0</v>
      </c>
      <c r="AC220" s="869">
        <f t="shared" si="62"/>
        <v>0</v>
      </c>
      <c r="AD220" s="869">
        <f t="shared" si="62"/>
        <v>0</v>
      </c>
      <c r="AE220" s="869">
        <f t="shared" si="62"/>
        <v>0</v>
      </c>
      <c r="AF220" s="869">
        <f t="shared" si="62"/>
        <v>0</v>
      </c>
      <c r="AG220" s="869">
        <f t="shared" si="62"/>
        <v>0</v>
      </c>
      <c r="AH220" s="869">
        <f t="shared" si="62"/>
        <v>0</v>
      </c>
      <c r="AI220" s="869">
        <f t="shared" si="62"/>
        <v>0</v>
      </c>
      <c r="AJ220" s="869">
        <f t="shared" si="62"/>
        <v>0</v>
      </c>
      <c r="AK220" s="869">
        <f t="shared" si="62"/>
        <v>0</v>
      </c>
      <c r="AL220" s="869">
        <f t="shared" si="62"/>
        <v>0</v>
      </c>
      <c r="AM220" s="869">
        <f t="shared" si="62"/>
        <v>0</v>
      </c>
      <c r="AN220" s="869">
        <f t="shared" si="62"/>
        <v>0</v>
      </c>
      <c r="AO220" s="869">
        <f t="shared" si="62"/>
        <v>0</v>
      </c>
      <c r="AP220" s="869">
        <f t="shared" si="62"/>
        <v>0</v>
      </c>
      <c r="AQ220" s="869">
        <f t="shared" si="62"/>
        <v>0</v>
      </c>
      <c r="AR220" s="869">
        <f t="shared" si="62"/>
        <v>0</v>
      </c>
      <c r="AS220" s="869">
        <f t="shared" si="62"/>
        <v>0</v>
      </c>
      <c r="AT220" s="869">
        <f t="shared" si="62"/>
        <v>0</v>
      </c>
      <c r="AU220" s="869">
        <f t="shared" si="62"/>
        <v>0</v>
      </c>
      <c r="AV220" s="869">
        <f t="shared" si="62"/>
        <v>0</v>
      </c>
      <c r="AW220" s="869">
        <f t="shared" si="62"/>
        <v>0</v>
      </c>
      <c r="AX220" s="869">
        <f t="shared" si="62"/>
        <v>0</v>
      </c>
      <c r="AY220" s="869">
        <f t="shared" si="62"/>
        <v>0</v>
      </c>
      <c r="AZ220" s="869">
        <f t="shared" si="62"/>
        <v>0</v>
      </c>
      <c r="BA220" s="869">
        <f t="shared" si="62"/>
        <v>0</v>
      </c>
      <c r="BB220" s="869">
        <f t="shared" si="62"/>
        <v>0</v>
      </c>
      <c r="BC220" s="869">
        <f t="shared" si="62"/>
        <v>0</v>
      </c>
      <c r="BD220" s="869">
        <f t="shared" si="62"/>
        <v>0</v>
      </c>
      <c r="BE220" s="869">
        <f t="shared" si="62"/>
        <v>0</v>
      </c>
    </row>
    <row r="221" spans="2:57" x14ac:dyDescent="0.25">
      <c r="B221" s="851"/>
      <c r="D221" s="861"/>
      <c r="E221" s="865" t="s">
        <v>1218</v>
      </c>
      <c r="F221" s="865" t="s">
        <v>979</v>
      </c>
      <c r="G221" s="871">
        <f t="shared" ref="G221:H230" si="63">G74</f>
        <v>-258569.40746278386</v>
      </c>
      <c r="H221" s="871">
        <f t="shared" si="63"/>
        <v>-31856.298721456205</v>
      </c>
      <c r="I221" s="865"/>
      <c r="J221" s="871">
        <f>SUM(J222:J230)</f>
        <v>0</v>
      </c>
      <c r="K221" s="871">
        <f t="shared" ref="K221:AX221" si="64">SUM(K222:K230)</f>
        <v>0</v>
      </c>
      <c r="L221" s="871">
        <f t="shared" si="64"/>
        <v>0</v>
      </c>
      <c r="M221" s="871">
        <f t="shared" si="64"/>
        <v>0</v>
      </c>
      <c r="N221" s="871">
        <f t="shared" si="64"/>
        <v>0</v>
      </c>
      <c r="O221" s="871">
        <f t="shared" si="64"/>
        <v>0</v>
      </c>
      <c r="P221" s="871">
        <f t="shared" si="64"/>
        <v>0</v>
      </c>
      <c r="Q221" s="871">
        <f t="shared" si="64"/>
        <v>0</v>
      </c>
      <c r="R221" s="871">
        <f t="shared" si="64"/>
        <v>0</v>
      </c>
      <c r="S221" s="871">
        <f t="shared" si="64"/>
        <v>0</v>
      </c>
      <c r="T221" s="871">
        <f t="shared" si="64"/>
        <v>0</v>
      </c>
      <c r="U221" s="871">
        <f t="shared" si="64"/>
        <v>0</v>
      </c>
      <c r="V221" s="871">
        <f t="shared" si="64"/>
        <v>0</v>
      </c>
      <c r="W221" s="871">
        <f t="shared" si="64"/>
        <v>0</v>
      </c>
      <c r="X221" s="871">
        <f t="shared" si="64"/>
        <v>0</v>
      </c>
      <c r="Y221" s="871">
        <f t="shared" si="64"/>
        <v>-13993.487171770188</v>
      </c>
      <c r="Z221" s="871">
        <f t="shared" si="64"/>
        <v>-14273.86684466266</v>
      </c>
      <c r="AA221" s="871">
        <f t="shared" si="64"/>
        <v>-14559.864309602122</v>
      </c>
      <c r="AB221" s="871">
        <f t="shared" si="64"/>
        <v>-14851.592126401292</v>
      </c>
      <c r="AC221" s="871">
        <f t="shared" si="64"/>
        <v>-15149.165110148591</v>
      </c>
      <c r="AD221" s="871">
        <f t="shared" si="64"/>
        <v>-15452.700376395223</v>
      </c>
      <c r="AE221" s="871">
        <f t="shared" si="64"/>
        <v>-15762.317387247662</v>
      </c>
      <c r="AF221" s="871">
        <f t="shared" si="64"/>
        <v>-16078.137998383638</v>
      </c>
      <c r="AG221" s="871">
        <f t="shared" si="64"/>
        <v>-16399.700758351304</v>
      </c>
      <c r="AH221" s="871">
        <f t="shared" si="64"/>
        <v>-16727.694773518331</v>
      </c>
      <c r="AI221" s="871">
        <f t="shared" si="64"/>
        <v>-17062.248668988701</v>
      </c>
      <c r="AJ221" s="871">
        <f t="shared" si="64"/>
        <v>-17403.493642368478</v>
      </c>
      <c r="AK221" s="871">
        <f t="shared" si="64"/>
        <v>-17751.563515215843</v>
      </c>
      <c r="AL221" s="871">
        <f t="shared" si="64"/>
        <v>-18106.594785520163</v>
      </c>
      <c r="AM221" s="871">
        <f t="shared" si="64"/>
        <v>-18468.726681230564</v>
      </c>
      <c r="AN221" s="871">
        <f t="shared" si="64"/>
        <v>-1509.4679867527943</v>
      </c>
      <c r="AO221" s="871">
        <f t="shared" si="64"/>
        <v>-1539.65734648785</v>
      </c>
      <c r="AP221" s="871">
        <f t="shared" si="64"/>
        <v>-1570.450493417607</v>
      </c>
      <c r="AQ221" s="871">
        <f t="shared" si="64"/>
        <v>-1601.8595032859596</v>
      </c>
      <c r="AR221" s="871">
        <f t="shared" si="64"/>
        <v>-1633.8966933516786</v>
      </c>
      <c r="AS221" s="871">
        <f t="shared" si="64"/>
        <v>-1666.5746272187121</v>
      </c>
      <c r="AT221" s="871">
        <f t="shared" si="64"/>
        <v>-1699.9061197630863</v>
      </c>
      <c r="AU221" s="871">
        <f t="shared" si="64"/>
        <v>-1733.9042421583481</v>
      </c>
      <c r="AV221" s="871">
        <f t="shared" si="64"/>
        <v>-1768.5823270015153</v>
      </c>
      <c r="AW221" s="871">
        <f t="shared" si="64"/>
        <v>-1803.9539735415449</v>
      </c>
      <c r="AX221" s="871">
        <f t="shared" si="64"/>
        <v>0</v>
      </c>
      <c r="AY221" s="871">
        <f t="shared" ref="AY221:BE221" si="65">SUM(AY222:AY230)</f>
        <v>0</v>
      </c>
      <c r="AZ221" s="871">
        <f t="shared" si="65"/>
        <v>0</v>
      </c>
      <c r="BA221" s="871">
        <f t="shared" si="65"/>
        <v>0</v>
      </c>
      <c r="BB221" s="871">
        <f t="shared" si="65"/>
        <v>0</v>
      </c>
      <c r="BC221" s="871">
        <f t="shared" si="65"/>
        <v>0</v>
      </c>
      <c r="BD221" s="871">
        <f t="shared" si="65"/>
        <v>0</v>
      </c>
      <c r="BE221" s="871">
        <f t="shared" si="65"/>
        <v>0</v>
      </c>
    </row>
    <row r="222" spans="2:57" x14ac:dyDescent="0.25">
      <c r="B222" s="851"/>
      <c r="D222" s="861"/>
      <c r="E222" s="870" t="str">
        <f t="shared" ref="E222:F230" si="66">E75</f>
        <v>Electricity used combined onshore</v>
      </c>
      <c r="F222" s="870" t="str">
        <f t="shared" si="66"/>
        <v>[kEUR]</v>
      </c>
      <c r="G222" s="867">
        <f t="shared" si="63"/>
        <v>-621.10355723121711</v>
      </c>
      <c r="H222" s="867">
        <f t="shared" si="63"/>
        <v>-79.106141162112039</v>
      </c>
      <c r="I222" s="867"/>
      <c r="J222" s="867">
        <f t="shared" ref="J222:BE222" si="67">J75</f>
        <v>0</v>
      </c>
      <c r="K222" s="867">
        <f t="shared" si="67"/>
        <v>0</v>
      </c>
      <c r="L222" s="867">
        <f t="shared" si="67"/>
        <v>0</v>
      </c>
      <c r="M222" s="867">
        <f t="shared" si="67"/>
        <v>0</v>
      </c>
      <c r="N222" s="867">
        <f t="shared" si="67"/>
        <v>0</v>
      </c>
      <c r="O222" s="867">
        <f t="shared" si="67"/>
        <v>0</v>
      </c>
      <c r="P222" s="867">
        <f t="shared" si="67"/>
        <v>0</v>
      </c>
      <c r="Q222" s="867">
        <f t="shared" si="67"/>
        <v>0</v>
      </c>
      <c r="R222" s="867">
        <f t="shared" si="67"/>
        <v>0</v>
      </c>
      <c r="S222" s="867">
        <f t="shared" si="67"/>
        <v>0</v>
      </c>
      <c r="T222" s="867">
        <f t="shared" si="67"/>
        <v>0</v>
      </c>
      <c r="U222" s="867">
        <f t="shared" si="67"/>
        <v>0</v>
      </c>
      <c r="V222" s="867">
        <f t="shared" si="67"/>
        <v>0</v>
      </c>
      <c r="W222" s="867">
        <f t="shared" si="67"/>
        <v>0</v>
      </c>
      <c r="X222" s="867">
        <f t="shared" si="67"/>
        <v>0</v>
      </c>
      <c r="Y222" s="867">
        <f t="shared" si="67"/>
        <v>-33.258735576797648</v>
      </c>
      <c r="Z222" s="867">
        <f t="shared" si="67"/>
        <v>-34.433839745399055</v>
      </c>
      <c r="AA222" s="867">
        <f t="shared" si="67"/>
        <v>-35.642644586513796</v>
      </c>
      <c r="AB222" s="867">
        <f t="shared" si="67"/>
        <v>-36.88602808537496</v>
      </c>
      <c r="AC222" s="867">
        <f t="shared" si="67"/>
        <v>-38.164889866355971</v>
      </c>
      <c r="AD222" s="867">
        <f t="shared" si="67"/>
        <v>-39.480151707342074</v>
      </c>
      <c r="AE222" s="867">
        <f t="shared" si="67"/>
        <v>-40.832758066021071</v>
      </c>
      <c r="AF222" s="867">
        <f t="shared" si="67"/>
        <v>-42.223676618364294</v>
      </c>
      <c r="AG222" s="867">
        <f t="shared" si="67"/>
        <v>-43.068150150731576</v>
      </c>
      <c r="AH222" s="867">
        <f t="shared" si="67"/>
        <v>-43.929513153746207</v>
      </c>
      <c r="AI222" s="867">
        <f t="shared" si="67"/>
        <v>-44.808103416821133</v>
      </c>
      <c r="AJ222" s="867">
        <f t="shared" si="67"/>
        <v>-45.704265485157556</v>
      </c>
      <c r="AK222" s="867">
        <f t="shared" si="67"/>
        <v>-46.618350794860703</v>
      </c>
      <c r="AL222" s="867">
        <f t="shared" si="67"/>
        <v>-47.550717810757924</v>
      </c>
      <c r="AM222" s="867">
        <f t="shared" si="67"/>
        <v>-48.501732166973078</v>
      </c>
      <c r="AN222" s="867">
        <f t="shared" si="67"/>
        <v>0</v>
      </c>
      <c r="AO222" s="867">
        <f t="shared" si="67"/>
        <v>0</v>
      </c>
      <c r="AP222" s="867">
        <f t="shared" si="67"/>
        <v>0</v>
      </c>
      <c r="AQ222" s="867">
        <f t="shared" si="67"/>
        <v>0</v>
      </c>
      <c r="AR222" s="867">
        <f t="shared" si="67"/>
        <v>0</v>
      </c>
      <c r="AS222" s="867">
        <f t="shared" si="67"/>
        <v>0</v>
      </c>
      <c r="AT222" s="867">
        <f t="shared" si="67"/>
        <v>0</v>
      </c>
      <c r="AU222" s="867">
        <f t="shared" si="67"/>
        <v>0</v>
      </c>
      <c r="AV222" s="867">
        <f t="shared" si="67"/>
        <v>0</v>
      </c>
      <c r="AW222" s="867">
        <f t="shared" si="67"/>
        <v>0</v>
      </c>
      <c r="AX222" s="867">
        <f t="shared" si="67"/>
        <v>0</v>
      </c>
      <c r="AY222" s="867">
        <f t="shared" si="67"/>
        <v>0</v>
      </c>
      <c r="AZ222" s="867">
        <f t="shared" si="67"/>
        <v>0</v>
      </c>
      <c r="BA222" s="867">
        <f t="shared" si="67"/>
        <v>0</v>
      </c>
      <c r="BB222" s="867">
        <f t="shared" si="67"/>
        <v>0</v>
      </c>
      <c r="BC222" s="867">
        <f t="shared" si="67"/>
        <v>0</v>
      </c>
      <c r="BD222" s="867">
        <f t="shared" si="67"/>
        <v>0</v>
      </c>
      <c r="BE222" s="867">
        <f t="shared" si="67"/>
        <v>0</v>
      </c>
    </row>
    <row r="223" spans="2:57" x14ac:dyDescent="0.25">
      <c r="B223" s="851"/>
      <c r="D223" s="861"/>
      <c r="E223" s="867" t="str">
        <f t="shared" si="66"/>
        <v>Energy for CO2 heating</v>
      </c>
      <c r="F223" s="867" t="str">
        <f t="shared" si="66"/>
        <v>[kEUR]</v>
      </c>
      <c r="G223" s="867">
        <f t="shared" si="63"/>
        <v>0</v>
      </c>
      <c r="H223" s="867">
        <f t="shared" si="63"/>
        <v>0</v>
      </c>
      <c r="I223" s="867"/>
      <c r="J223" s="867">
        <f t="shared" ref="J223:BE223" si="68">J76</f>
        <v>0</v>
      </c>
      <c r="K223" s="867">
        <f t="shared" si="68"/>
        <v>0</v>
      </c>
      <c r="L223" s="867">
        <f t="shared" si="68"/>
        <v>0</v>
      </c>
      <c r="M223" s="867">
        <f t="shared" si="68"/>
        <v>0</v>
      </c>
      <c r="N223" s="867">
        <f t="shared" si="68"/>
        <v>0</v>
      </c>
      <c r="O223" s="867">
        <f t="shared" si="68"/>
        <v>0</v>
      </c>
      <c r="P223" s="867">
        <f t="shared" si="68"/>
        <v>0</v>
      </c>
      <c r="Q223" s="867">
        <f t="shared" si="68"/>
        <v>0</v>
      </c>
      <c r="R223" s="867">
        <f t="shared" si="68"/>
        <v>0</v>
      </c>
      <c r="S223" s="867">
        <f t="shared" si="68"/>
        <v>0</v>
      </c>
      <c r="T223" s="867">
        <f t="shared" si="68"/>
        <v>0</v>
      </c>
      <c r="U223" s="867">
        <f t="shared" si="68"/>
        <v>0</v>
      </c>
      <c r="V223" s="867">
        <f t="shared" si="68"/>
        <v>0</v>
      </c>
      <c r="W223" s="867">
        <f t="shared" si="68"/>
        <v>0</v>
      </c>
      <c r="X223" s="867">
        <f t="shared" si="68"/>
        <v>0</v>
      </c>
      <c r="Y223" s="867">
        <f t="shared" si="68"/>
        <v>0</v>
      </c>
      <c r="Z223" s="867">
        <f t="shared" si="68"/>
        <v>0</v>
      </c>
      <c r="AA223" s="867">
        <f t="shared" si="68"/>
        <v>0</v>
      </c>
      <c r="AB223" s="867">
        <f t="shared" si="68"/>
        <v>0</v>
      </c>
      <c r="AC223" s="867">
        <f t="shared" si="68"/>
        <v>0</v>
      </c>
      <c r="AD223" s="867">
        <f t="shared" si="68"/>
        <v>0</v>
      </c>
      <c r="AE223" s="867">
        <f t="shared" si="68"/>
        <v>0</v>
      </c>
      <c r="AF223" s="867">
        <f t="shared" si="68"/>
        <v>0</v>
      </c>
      <c r="AG223" s="867">
        <f t="shared" si="68"/>
        <v>0</v>
      </c>
      <c r="AH223" s="867">
        <f t="shared" si="68"/>
        <v>0</v>
      </c>
      <c r="AI223" s="867">
        <f t="shared" si="68"/>
        <v>0</v>
      </c>
      <c r="AJ223" s="867">
        <f t="shared" si="68"/>
        <v>0</v>
      </c>
      <c r="AK223" s="867">
        <f t="shared" si="68"/>
        <v>0</v>
      </c>
      <c r="AL223" s="867">
        <f t="shared" si="68"/>
        <v>0</v>
      </c>
      <c r="AM223" s="867">
        <f t="shared" si="68"/>
        <v>0</v>
      </c>
      <c r="AN223" s="867">
        <f t="shared" si="68"/>
        <v>0</v>
      </c>
      <c r="AO223" s="867">
        <f t="shared" si="68"/>
        <v>0</v>
      </c>
      <c r="AP223" s="867">
        <f t="shared" si="68"/>
        <v>0</v>
      </c>
      <c r="AQ223" s="867">
        <f t="shared" si="68"/>
        <v>0</v>
      </c>
      <c r="AR223" s="867">
        <f t="shared" si="68"/>
        <v>0</v>
      </c>
      <c r="AS223" s="867">
        <f t="shared" si="68"/>
        <v>0</v>
      </c>
      <c r="AT223" s="867">
        <f t="shared" si="68"/>
        <v>0</v>
      </c>
      <c r="AU223" s="867">
        <f t="shared" si="68"/>
        <v>0</v>
      </c>
      <c r="AV223" s="867">
        <f t="shared" si="68"/>
        <v>0</v>
      </c>
      <c r="AW223" s="867">
        <f t="shared" si="68"/>
        <v>0</v>
      </c>
      <c r="AX223" s="867">
        <f t="shared" si="68"/>
        <v>0</v>
      </c>
      <c r="AY223" s="867">
        <f t="shared" si="68"/>
        <v>0</v>
      </c>
      <c r="AZ223" s="867">
        <f t="shared" si="68"/>
        <v>0</v>
      </c>
      <c r="BA223" s="867">
        <f t="shared" si="68"/>
        <v>0</v>
      </c>
      <c r="BB223" s="867">
        <f t="shared" si="68"/>
        <v>0</v>
      </c>
      <c r="BC223" s="867">
        <f t="shared" si="68"/>
        <v>0</v>
      </c>
      <c r="BD223" s="867">
        <f t="shared" si="68"/>
        <v>0</v>
      </c>
      <c r="BE223" s="867">
        <f t="shared" si="68"/>
        <v>0</v>
      </c>
    </row>
    <row r="224" spans="2:57" x14ac:dyDescent="0.25">
      <c r="B224" s="851"/>
      <c r="D224" s="315"/>
      <c r="E224" s="867" t="str">
        <f t="shared" si="66"/>
        <v>OPEX compressor &amp; pump onshore</v>
      </c>
      <c r="F224" s="867" t="str">
        <f t="shared" si="66"/>
        <v>[kEUR]</v>
      </c>
      <c r="G224" s="867">
        <f t="shared" si="63"/>
        <v>-24340.960192635965</v>
      </c>
      <c r="H224" s="867">
        <f t="shared" si="63"/>
        <v>-3140.3436216226992</v>
      </c>
      <c r="I224" s="867"/>
      <c r="J224" s="867">
        <f t="shared" ref="J224:BE224" si="69">J77</f>
        <v>0</v>
      </c>
      <c r="K224" s="867">
        <f t="shared" si="69"/>
        <v>0</v>
      </c>
      <c r="L224" s="867">
        <f t="shared" si="69"/>
        <v>0</v>
      </c>
      <c r="M224" s="867">
        <f t="shared" si="69"/>
        <v>0</v>
      </c>
      <c r="N224" s="867">
        <f t="shared" si="69"/>
        <v>0</v>
      </c>
      <c r="O224" s="867">
        <f t="shared" si="69"/>
        <v>0</v>
      </c>
      <c r="P224" s="867">
        <f t="shared" si="69"/>
        <v>0</v>
      </c>
      <c r="Q224" s="867">
        <f t="shared" si="69"/>
        <v>0</v>
      </c>
      <c r="R224" s="867">
        <f t="shared" si="69"/>
        <v>0</v>
      </c>
      <c r="S224" s="867">
        <f t="shared" si="69"/>
        <v>0</v>
      </c>
      <c r="T224" s="867">
        <f t="shared" si="69"/>
        <v>0</v>
      </c>
      <c r="U224" s="867">
        <f t="shared" si="69"/>
        <v>0</v>
      </c>
      <c r="V224" s="867">
        <f t="shared" si="69"/>
        <v>0</v>
      </c>
      <c r="W224" s="867">
        <f t="shared" si="69"/>
        <v>0</v>
      </c>
      <c r="X224" s="867">
        <f t="shared" si="69"/>
        <v>0</v>
      </c>
      <c r="Y224" s="867">
        <f t="shared" si="69"/>
        <v>-1407.5275181635675</v>
      </c>
      <c r="Z224" s="867">
        <f t="shared" si="69"/>
        <v>-1435.6780685268388</v>
      </c>
      <c r="AA224" s="867">
        <f t="shared" si="69"/>
        <v>-1464.3916298973759</v>
      </c>
      <c r="AB224" s="867">
        <f t="shared" si="69"/>
        <v>-1493.6794624953234</v>
      </c>
      <c r="AC224" s="867">
        <f t="shared" si="69"/>
        <v>-1523.5530517452296</v>
      </c>
      <c r="AD224" s="867">
        <f t="shared" si="69"/>
        <v>-1554.0241127801344</v>
      </c>
      <c r="AE224" s="867">
        <f t="shared" si="69"/>
        <v>-1585.104595035737</v>
      </c>
      <c r="AF224" s="867">
        <f t="shared" si="69"/>
        <v>-1616.8066869364518</v>
      </c>
      <c r="AG224" s="867">
        <f t="shared" si="69"/>
        <v>-1649.1428206751805</v>
      </c>
      <c r="AH224" s="867">
        <f t="shared" si="69"/>
        <v>-1682.1256770886841</v>
      </c>
      <c r="AI224" s="867">
        <f t="shared" si="69"/>
        <v>-1715.7681906304579</v>
      </c>
      <c r="AJ224" s="867">
        <f t="shared" si="69"/>
        <v>-1750.0835544430672</v>
      </c>
      <c r="AK224" s="867">
        <f t="shared" si="69"/>
        <v>-1785.0852255319282</v>
      </c>
      <c r="AL224" s="867">
        <f t="shared" si="69"/>
        <v>-1820.7869300425673</v>
      </c>
      <c r="AM224" s="867">
        <f t="shared" si="69"/>
        <v>-1857.2026686434183</v>
      </c>
      <c r="AN224" s="867">
        <f t="shared" si="69"/>
        <v>0</v>
      </c>
      <c r="AO224" s="867">
        <f t="shared" si="69"/>
        <v>0</v>
      </c>
      <c r="AP224" s="867">
        <f t="shared" si="69"/>
        <v>0</v>
      </c>
      <c r="AQ224" s="867">
        <f t="shared" si="69"/>
        <v>0</v>
      </c>
      <c r="AR224" s="867">
        <f t="shared" si="69"/>
        <v>0</v>
      </c>
      <c r="AS224" s="867">
        <f t="shared" si="69"/>
        <v>0</v>
      </c>
      <c r="AT224" s="867">
        <f t="shared" si="69"/>
        <v>0</v>
      </c>
      <c r="AU224" s="867">
        <f t="shared" si="69"/>
        <v>0</v>
      </c>
      <c r="AV224" s="867">
        <f t="shared" si="69"/>
        <v>0</v>
      </c>
      <c r="AW224" s="867">
        <f t="shared" si="69"/>
        <v>0</v>
      </c>
      <c r="AX224" s="867">
        <f t="shared" si="69"/>
        <v>0</v>
      </c>
      <c r="AY224" s="867">
        <f t="shared" si="69"/>
        <v>0</v>
      </c>
      <c r="AZ224" s="867">
        <f t="shared" si="69"/>
        <v>0</v>
      </c>
      <c r="BA224" s="867">
        <f t="shared" si="69"/>
        <v>0</v>
      </c>
      <c r="BB224" s="867">
        <f t="shared" si="69"/>
        <v>0</v>
      </c>
      <c r="BC224" s="867">
        <f t="shared" si="69"/>
        <v>0</v>
      </c>
      <c r="BD224" s="867">
        <f t="shared" si="69"/>
        <v>0</v>
      </c>
      <c r="BE224" s="867">
        <f t="shared" si="69"/>
        <v>0</v>
      </c>
    </row>
    <row r="225" spans="2:57" x14ac:dyDescent="0.25">
      <c r="B225" s="851"/>
      <c r="D225" s="315"/>
      <c r="E225" s="867" t="str">
        <f t="shared" si="66"/>
        <v>Opex pipeline</v>
      </c>
      <c r="F225" s="867" t="str">
        <f t="shared" si="66"/>
        <v>[kEUR]</v>
      </c>
      <c r="G225" s="867">
        <f t="shared" si="63"/>
        <v>-16060.350921933965</v>
      </c>
      <c r="H225" s="867">
        <f t="shared" si="63"/>
        <v>-2072.0226391880801</v>
      </c>
      <c r="I225" s="867"/>
      <c r="J225" s="867">
        <f t="shared" ref="J225:BE225" si="70">J78</f>
        <v>0</v>
      </c>
      <c r="K225" s="867">
        <f t="shared" si="70"/>
        <v>0</v>
      </c>
      <c r="L225" s="867">
        <f t="shared" si="70"/>
        <v>0</v>
      </c>
      <c r="M225" s="867">
        <f t="shared" si="70"/>
        <v>0</v>
      </c>
      <c r="N225" s="867">
        <f t="shared" si="70"/>
        <v>0</v>
      </c>
      <c r="O225" s="867">
        <f t="shared" si="70"/>
        <v>0</v>
      </c>
      <c r="P225" s="867">
        <f t="shared" si="70"/>
        <v>0</v>
      </c>
      <c r="Q225" s="867">
        <f t="shared" si="70"/>
        <v>0</v>
      </c>
      <c r="R225" s="867">
        <f t="shared" si="70"/>
        <v>0</v>
      </c>
      <c r="S225" s="867">
        <f t="shared" si="70"/>
        <v>0</v>
      </c>
      <c r="T225" s="867">
        <f t="shared" si="70"/>
        <v>0</v>
      </c>
      <c r="U225" s="867">
        <f t="shared" si="70"/>
        <v>0</v>
      </c>
      <c r="V225" s="867">
        <f t="shared" si="70"/>
        <v>0</v>
      </c>
      <c r="W225" s="867">
        <f t="shared" si="70"/>
        <v>0</v>
      </c>
      <c r="X225" s="867">
        <f t="shared" si="70"/>
        <v>0</v>
      </c>
      <c r="Y225" s="867">
        <f t="shared" si="70"/>
        <v>-928.69737656547488</v>
      </c>
      <c r="Z225" s="867">
        <f t="shared" si="70"/>
        <v>-947.27132409678461</v>
      </c>
      <c r="AA225" s="867">
        <f t="shared" si="70"/>
        <v>-966.21675057872039</v>
      </c>
      <c r="AB225" s="867">
        <f t="shared" si="70"/>
        <v>-985.54108559029464</v>
      </c>
      <c r="AC225" s="867">
        <f t="shared" si="70"/>
        <v>-1005.2519073021006</v>
      </c>
      <c r="AD225" s="867">
        <f t="shared" si="70"/>
        <v>-1025.3569454481426</v>
      </c>
      <c r="AE225" s="867">
        <f t="shared" si="70"/>
        <v>-1045.8640843571054</v>
      </c>
      <c r="AF225" s="867">
        <f t="shared" si="70"/>
        <v>-1066.7813660442475</v>
      </c>
      <c r="AG225" s="867">
        <f t="shared" si="70"/>
        <v>-1088.1169933651322</v>
      </c>
      <c r="AH225" s="867">
        <f t="shared" si="70"/>
        <v>-1109.8793332324349</v>
      </c>
      <c r="AI225" s="867">
        <f t="shared" si="70"/>
        <v>-1132.0769198970836</v>
      </c>
      <c r="AJ225" s="867">
        <f t="shared" si="70"/>
        <v>-1154.7184582950256</v>
      </c>
      <c r="AK225" s="867">
        <f t="shared" si="70"/>
        <v>-1177.8128274609257</v>
      </c>
      <c r="AL225" s="867">
        <f t="shared" si="70"/>
        <v>-1201.3690840101444</v>
      </c>
      <c r="AM225" s="867">
        <f t="shared" si="70"/>
        <v>-1225.3964656903474</v>
      </c>
      <c r="AN225" s="867">
        <f t="shared" si="70"/>
        <v>0</v>
      </c>
      <c r="AO225" s="867">
        <f t="shared" si="70"/>
        <v>0</v>
      </c>
      <c r="AP225" s="867">
        <f t="shared" si="70"/>
        <v>0</v>
      </c>
      <c r="AQ225" s="867">
        <f t="shared" si="70"/>
        <v>0</v>
      </c>
      <c r="AR225" s="867">
        <f t="shared" si="70"/>
        <v>0</v>
      </c>
      <c r="AS225" s="867">
        <f t="shared" si="70"/>
        <v>0</v>
      </c>
      <c r="AT225" s="867">
        <f t="shared" si="70"/>
        <v>0</v>
      </c>
      <c r="AU225" s="867">
        <f t="shared" si="70"/>
        <v>0</v>
      </c>
      <c r="AV225" s="867">
        <f t="shared" si="70"/>
        <v>0</v>
      </c>
      <c r="AW225" s="867">
        <f t="shared" si="70"/>
        <v>0</v>
      </c>
      <c r="AX225" s="867">
        <f t="shared" si="70"/>
        <v>0</v>
      </c>
      <c r="AY225" s="867">
        <f t="shared" si="70"/>
        <v>0</v>
      </c>
      <c r="AZ225" s="867">
        <f t="shared" si="70"/>
        <v>0</v>
      </c>
      <c r="BA225" s="867">
        <f t="shared" si="70"/>
        <v>0</v>
      </c>
      <c r="BB225" s="867">
        <f t="shared" si="70"/>
        <v>0</v>
      </c>
      <c r="BC225" s="867">
        <f t="shared" si="70"/>
        <v>0</v>
      </c>
      <c r="BD225" s="867">
        <f t="shared" si="70"/>
        <v>0</v>
      </c>
      <c r="BE225" s="867">
        <f t="shared" si="70"/>
        <v>0</v>
      </c>
    </row>
    <row r="226" spans="2:57" x14ac:dyDescent="0.25">
      <c r="B226" s="851"/>
      <c r="D226" s="315"/>
      <c r="E226" s="872" t="str">
        <f t="shared" si="66"/>
        <v>Opex platform</v>
      </c>
      <c r="F226" s="867" t="str">
        <f t="shared" si="66"/>
        <v>[kEUR]</v>
      </c>
      <c r="G226" s="867">
        <f t="shared" si="63"/>
        <v>-184726.47587573077</v>
      </c>
      <c r="H226" s="867">
        <f t="shared" si="63"/>
        <v>-23832.445625406905</v>
      </c>
      <c r="I226" s="867"/>
      <c r="J226" s="867">
        <f t="shared" ref="J226:BE226" si="71">J79</f>
        <v>0</v>
      </c>
      <c r="K226" s="867">
        <f t="shared" si="71"/>
        <v>0</v>
      </c>
      <c r="L226" s="867">
        <f t="shared" si="71"/>
        <v>0</v>
      </c>
      <c r="M226" s="867">
        <f t="shared" si="71"/>
        <v>0</v>
      </c>
      <c r="N226" s="867">
        <f t="shared" si="71"/>
        <v>0</v>
      </c>
      <c r="O226" s="867">
        <f t="shared" si="71"/>
        <v>0</v>
      </c>
      <c r="P226" s="867">
        <f t="shared" si="71"/>
        <v>0</v>
      </c>
      <c r="Q226" s="867">
        <f t="shared" si="71"/>
        <v>0</v>
      </c>
      <c r="R226" s="867">
        <f t="shared" si="71"/>
        <v>0</v>
      </c>
      <c r="S226" s="867">
        <f t="shared" si="71"/>
        <v>0</v>
      </c>
      <c r="T226" s="867">
        <f t="shared" si="71"/>
        <v>0</v>
      </c>
      <c r="U226" s="867">
        <f t="shared" si="71"/>
        <v>0</v>
      </c>
      <c r="V226" s="867">
        <f t="shared" si="71"/>
        <v>0</v>
      </c>
      <c r="W226" s="867">
        <f t="shared" si="71"/>
        <v>0</v>
      </c>
      <c r="X226" s="867">
        <f t="shared" si="71"/>
        <v>0</v>
      </c>
      <c r="Y226" s="867">
        <f t="shared" si="71"/>
        <v>-10681.895704637458</v>
      </c>
      <c r="Z226" s="867">
        <f t="shared" si="71"/>
        <v>-10895.533618730209</v>
      </c>
      <c r="AA226" s="867">
        <f t="shared" si="71"/>
        <v>-11113.444291104814</v>
      </c>
      <c r="AB226" s="867">
        <f t="shared" si="71"/>
        <v>-11335.713176926909</v>
      </c>
      <c r="AC226" s="867">
        <f t="shared" si="71"/>
        <v>-11562.427440465446</v>
      </c>
      <c r="AD226" s="867">
        <f t="shared" si="71"/>
        <v>-11793.675989274758</v>
      </c>
      <c r="AE226" s="867">
        <f t="shared" si="71"/>
        <v>-12029.549509060253</v>
      </c>
      <c r="AF226" s="867">
        <f t="shared" si="71"/>
        <v>-12270.140499241459</v>
      </c>
      <c r="AG226" s="867">
        <f t="shared" si="71"/>
        <v>-12515.543309226285</v>
      </c>
      <c r="AH226" s="867">
        <f t="shared" si="71"/>
        <v>-12765.85417541081</v>
      </c>
      <c r="AI226" s="867">
        <f t="shared" si="71"/>
        <v>-13021.171258919027</v>
      </c>
      <c r="AJ226" s="867">
        <f t="shared" si="71"/>
        <v>-13281.594684097408</v>
      </c>
      <c r="AK226" s="867">
        <f t="shared" si="71"/>
        <v>-13547.226577779355</v>
      </c>
      <c r="AL226" s="867">
        <f t="shared" si="71"/>
        <v>-13818.171109334944</v>
      </c>
      <c r="AM226" s="867">
        <f t="shared" si="71"/>
        <v>-14094.53453152164</v>
      </c>
      <c r="AN226" s="867">
        <f t="shared" si="71"/>
        <v>0</v>
      </c>
      <c r="AO226" s="867">
        <f t="shared" si="71"/>
        <v>0</v>
      </c>
      <c r="AP226" s="867">
        <f t="shared" si="71"/>
        <v>0</v>
      </c>
      <c r="AQ226" s="867">
        <f t="shared" si="71"/>
        <v>0</v>
      </c>
      <c r="AR226" s="867">
        <f t="shared" si="71"/>
        <v>0</v>
      </c>
      <c r="AS226" s="867">
        <f t="shared" si="71"/>
        <v>0</v>
      </c>
      <c r="AT226" s="867">
        <f t="shared" si="71"/>
        <v>0</v>
      </c>
      <c r="AU226" s="867">
        <f t="shared" si="71"/>
        <v>0</v>
      </c>
      <c r="AV226" s="867">
        <f t="shared" si="71"/>
        <v>0</v>
      </c>
      <c r="AW226" s="867">
        <f t="shared" si="71"/>
        <v>0</v>
      </c>
      <c r="AX226" s="867">
        <f t="shared" si="71"/>
        <v>0</v>
      </c>
      <c r="AY226" s="867">
        <f t="shared" si="71"/>
        <v>0</v>
      </c>
      <c r="AZ226" s="867">
        <f t="shared" si="71"/>
        <v>0</v>
      </c>
      <c r="BA226" s="867">
        <f t="shared" si="71"/>
        <v>0</v>
      </c>
      <c r="BB226" s="867">
        <f t="shared" si="71"/>
        <v>0</v>
      </c>
      <c r="BC226" s="867">
        <f t="shared" si="71"/>
        <v>0</v>
      </c>
      <c r="BD226" s="867">
        <f t="shared" si="71"/>
        <v>0</v>
      </c>
      <c r="BE226" s="867">
        <f t="shared" si="71"/>
        <v>0</v>
      </c>
    </row>
    <row r="227" spans="2:57" x14ac:dyDescent="0.25">
      <c r="B227" s="851"/>
      <c r="D227" s="315"/>
      <c r="E227" s="872" t="str">
        <f t="shared" si="66"/>
        <v>Opex booster</v>
      </c>
      <c r="F227" s="872" t="str">
        <f t="shared" si="66"/>
        <v>[kEUR]</v>
      </c>
      <c r="G227" s="872">
        <f t="shared" si="63"/>
        <v>0</v>
      </c>
      <c r="H227" s="872">
        <f t="shared" si="63"/>
        <v>0</v>
      </c>
      <c r="I227" s="872"/>
      <c r="J227" s="872">
        <f t="shared" ref="J227:BE227" si="72">J80</f>
        <v>0</v>
      </c>
      <c r="K227" s="872">
        <f t="shared" si="72"/>
        <v>0</v>
      </c>
      <c r="L227" s="872">
        <f t="shared" si="72"/>
        <v>0</v>
      </c>
      <c r="M227" s="872">
        <f t="shared" si="72"/>
        <v>0</v>
      </c>
      <c r="N227" s="872">
        <f t="shared" si="72"/>
        <v>0</v>
      </c>
      <c r="O227" s="872">
        <f t="shared" si="72"/>
        <v>0</v>
      </c>
      <c r="P227" s="872">
        <f t="shared" si="72"/>
        <v>0</v>
      </c>
      <c r="Q227" s="872">
        <f t="shared" si="72"/>
        <v>0</v>
      </c>
      <c r="R227" s="872">
        <f t="shared" si="72"/>
        <v>0</v>
      </c>
      <c r="S227" s="872">
        <f t="shared" si="72"/>
        <v>0</v>
      </c>
      <c r="T227" s="872">
        <f t="shared" si="72"/>
        <v>0</v>
      </c>
      <c r="U227" s="872">
        <f t="shared" si="72"/>
        <v>0</v>
      </c>
      <c r="V227" s="872">
        <f t="shared" si="72"/>
        <v>0</v>
      </c>
      <c r="W227" s="872">
        <f t="shared" si="72"/>
        <v>0</v>
      </c>
      <c r="X227" s="872">
        <f t="shared" si="72"/>
        <v>0</v>
      </c>
      <c r="Y227" s="872">
        <f t="shared" si="72"/>
        <v>0</v>
      </c>
      <c r="Z227" s="872">
        <f t="shared" si="72"/>
        <v>0</v>
      </c>
      <c r="AA227" s="872">
        <f t="shared" si="72"/>
        <v>0</v>
      </c>
      <c r="AB227" s="872">
        <f t="shared" si="72"/>
        <v>0</v>
      </c>
      <c r="AC227" s="872">
        <f t="shared" si="72"/>
        <v>0</v>
      </c>
      <c r="AD227" s="872">
        <f t="shared" si="72"/>
        <v>0</v>
      </c>
      <c r="AE227" s="872">
        <f t="shared" si="72"/>
        <v>0</v>
      </c>
      <c r="AF227" s="872">
        <f t="shared" si="72"/>
        <v>0</v>
      </c>
      <c r="AG227" s="872">
        <f t="shared" si="72"/>
        <v>0</v>
      </c>
      <c r="AH227" s="872">
        <f t="shared" si="72"/>
        <v>0</v>
      </c>
      <c r="AI227" s="872">
        <f t="shared" si="72"/>
        <v>0</v>
      </c>
      <c r="AJ227" s="872">
        <f t="shared" si="72"/>
        <v>0</v>
      </c>
      <c r="AK227" s="872">
        <f t="shared" si="72"/>
        <v>0</v>
      </c>
      <c r="AL227" s="872">
        <f t="shared" si="72"/>
        <v>0</v>
      </c>
      <c r="AM227" s="872">
        <f t="shared" si="72"/>
        <v>0</v>
      </c>
      <c r="AN227" s="872">
        <f t="shared" si="72"/>
        <v>0</v>
      </c>
      <c r="AO227" s="872">
        <f t="shared" si="72"/>
        <v>0</v>
      </c>
      <c r="AP227" s="872">
        <f t="shared" si="72"/>
        <v>0</v>
      </c>
      <c r="AQ227" s="872">
        <f t="shared" si="72"/>
        <v>0</v>
      </c>
      <c r="AR227" s="872">
        <f t="shared" si="72"/>
        <v>0</v>
      </c>
      <c r="AS227" s="872">
        <f t="shared" si="72"/>
        <v>0</v>
      </c>
      <c r="AT227" s="872">
        <f t="shared" si="72"/>
        <v>0</v>
      </c>
      <c r="AU227" s="872">
        <f t="shared" si="72"/>
        <v>0</v>
      </c>
      <c r="AV227" s="872">
        <f t="shared" si="72"/>
        <v>0</v>
      </c>
      <c r="AW227" s="872">
        <f t="shared" si="72"/>
        <v>0</v>
      </c>
      <c r="AX227" s="872">
        <f t="shared" si="72"/>
        <v>0</v>
      </c>
      <c r="AY227" s="872">
        <f t="shared" si="72"/>
        <v>0</v>
      </c>
      <c r="AZ227" s="872">
        <f t="shared" si="72"/>
        <v>0</v>
      </c>
      <c r="BA227" s="872">
        <f t="shared" si="72"/>
        <v>0</v>
      </c>
      <c r="BB227" s="872">
        <f t="shared" si="72"/>
        <v>0</v>
      </c>
      <c r="BC227" s="872">
        <f t="shared" si="72"/>
        <v>0</v>
      </c>
      <c r="BD227" s="872">
        <f t="shared" si="72"/>
        <v>0</v>
      </c>
      <c r="BE227" s="872">
        <f t="shared" si="72"/>
        <v>0</v>
      </c>
    </row>
    <row r="228" spans="2:57" x14ac:dyDescent="0.25">
      <c r="B228" s="851"/>
      <c r="D228" s="315"/>
      <c r="E228" s="872" t="str">
        <f t="shared" si="66"/>
        <v>Total Opex wells</v>
      </c>
      <c r="F228" s="872" t="str">
        <f t="shared" si="66"/>
        <v>[kEUR]</v>
      </c>
      <c r="G228" s="872">
        <f t="shared" si="63"/>
        <v>-16292.263602272842</v>
      </c>
      <c r="H228" s="872">
        <f t="shared" si="63"/>
        <v>-2101.9428025962579</v>
      </c>
      <c r="I228" s="872"/>
      <c r="J228" s="872">
        <f t="shared" ref="J228:BE228" si="73">J81</f>
        <v>0</v>
      </c>
      <c r="K228" s="872">
        <f t="shared" si="73"/>
        <v>0</v>
      </c>
      <c r="L228" s="872">
        <f t="shared" si="73"/>
        <v>0</v>
      </c>
      <c r="M228" s="872">
        <f t="shared" si="73"/>
        <v>0</v>
      </c>
      <c r="N228" s="872">
        <f t="shared" si="73"/>
        <v>0</v>
      </c>
      <c r="O228" s="872">
        <f t="shared" si="73"/>
        <v>0</v>
      </c>
      <c r="P228" s="872">
        <f t="shared" si="73"/>
        <v>0</v>
      </c>
      <c r="Q228" s="872">
        <f t="shared" si="73"/>
        <v>0</v>
      </c>
      <c r="R228" s="872">
        <f t="shared" si="73"/>
        <v>0</v>
      </c>
      <c r="S228" s="872">
        <f t="shared" si="73"/>
        <v>0</v>
      </c>
      <c r="T228" s="872">
        <f t="shared" si="73"/>
        <v>0</v>
      </c>
      <c r="U228" s="872">
        <f t="shared" si="73"/>
        <v>0</v>
      </c>
      <c r="V228" s="872">
        <f t="shared" si="73"/>
        <v>0</v>
      </c>
      <c r="W228" s="872">
        <f t="shared" si="73"/>
        <v>0</v>
      </c>
      <c r="X228" s="872">
        <f t="shared" si="73"/>
        <v>0</v>
      </c>
      <c r="Y228" s="872">
        <f t="shared" si="73"/>
        <v>-942.10783682689043</v>
      </c>
      <c r="Z228" s="872">
        <f t="shared" si="73"/>
        <v>-960.94999356342839</v>
      </c>
      <c r="AA228" s="872">
        <f t="shared" si="73"/>
        <v>-980.16899343469709</v>
      </c>
      <c r="AB228" s="872">
        <f t="shared" si="73"/>
        <v>-999.77237330339096</v>
      </c>
      <c r="AC228" s="872">
        <f t="shared" si="73"/>
        <v>-1019.7678207694587</v>
      </c>
      <c r="AD228" s="872">
        <f t="shared" si="73"/>
        <v>-1040.1631771848481</v>
      </c>
      <c r="AE228" s="872">
        <f t="shared" si="73"/>
        <v>-1060.966440728545</v>
      </c>
      <c r="AF228" s="872">
        <f t="shared" si="73"/>
        <v>-1082.1857695431158</v>
      </c>
      <c r="AG228" s="872">
        <f t="shared" si="73"/>
        <v>-1103.8294849339779</v>
      </c>
      <c r="AH228" s="872">
        <f t="shared" si="73"/>
        <v>-1125.9060746326575</v>
      </c>
      <c r="AI228" s="872">
        <f t="shared" si="73"/>
        <v>-1148.4241961253106</v>
      </c>
      <c r="AJ228" s="872">
        <f t="shared" si="73"/>
        <v>-1171.3926800478171</v>
      </c>
      <c r="AK228" s="872">
        <f t="shared" si="73"/>
        <v>-1194.8205336487731</v>
      </c>
      <c r="AL228" s="872">
        <f t="shared" si="73"/>
        <v>-1218.7169443217488</v>
      </c>
      <c r="AM228" s="872">
        <f t="shared" si="73"/>
        <v>-1243.0912832081838</v>
      </c>
      <c r="AN228" s="872">
        <f t="shared" si="73"/>
        <v>0</v>
      </c>
      <c r="AO228" s="872">
        <f t="shared" si="73"/>
        <v>0</v>
      </c>
      <c r="AP228" s="872">
        <f t="shared" si="73"/>
        <v>0</v>
      </c>
      <c r="AQ228" s="872">
        <f t="shared" si="73"/>
        <v>0</v>
      </c>
      <c r="AR228" s="872">
        <f t="shared" si="73"/>
        <v>0</v>
      </c>
      <c r="AS228" s="872">
        <f t="shared" si="73"/>
        <v>0</v>
      </c>
      <c r="AT228" s="872">
        <f t="shared" si="73"/>
        <v>0</v>
      </c>
      <c r="AU228" s="872">
        <f t="shared" si="73"/>
        <v>0</v>
      </c>
      <c r="AV228" s="872">
        <f t="shared" si="73"/>
        <v>0</v>
      </c>
      <c r="AW228" s="872">
        <f t="shared" si="73"/>
        <v>0</v>
      </c>
      <c r="AX228" s="872">
        <f t="shared" si="73"/>
        <v>0</v>
      </c>
      <c r="AY228" s="872">
        <f t="shared" si="73"/>
        <v>0</v>
      </c>
      <c r="AZ228" s="872">
        <f t="shared" si="73"/>
        <v>0</v>
      </c>
      <c r="BA228" s="872">
        <f t="shared" si="73"/>
        <v>0</v>
      </c>
      <c r="BB228" s="872">
        <f t="shared" si="73"/>
        <v>0</v>
      </c>
      <c r="BC228" s="872">
        <f t="shared" si="73"/>
        <v>0</v>
      </c>
      <c r="BD228" s="872">
        <f t="shared" si="73"/>
        <v>0</v>
      </c>
      <c r="BE228" s="872">
        <f t="shared" si="73"/>
        <v>0</v>
      </c>
    </row>
    <row r="229" spans="2:57" x14ac:dyDescent="0.25">
      <c r="B229" s="851"/>
      <c r="D229" s="315"/>
      <c r="E229" s="872" t="str">
        <f t="shared" si="66"/>
        <v>Opex monitoring abandoned CO2 wells</v>
      </c>
      <c r="F229" s="872" t="str">
        <f t="shared" si="66"/>
        <v>[kEUR]</v>
      </c>
      <c r="G229" s="872">
        <f t="shared" si="63"/>
        <v>-16528.253312979094</v>
      </c>
      <c r="H229" s="872">
        <f t="shared" si="63"/>
        <v>-630.43789148016106</v>
      </c>
      <c r="I229" s="872"/>
      <c r="J229" s="872">
        <f t="shared" ref="J229:BE229" si="74">J82</f>
        <v>0</v>
      </c>
      <c r="K229" s="872">
        <f t="shared" si="74"/>
        <v>0</v>
      </c>
      <c r="L229" s="872">
        <f t="shared" si="74"/>
        <v>0</v>
      </c>
      <c r="M229" s="872">
        <f t="shared" si="74"/>
        <v>0</v>
      </c>
      <c r="N229" s="872">
        <f t="shared" si="74"/>
        <v>0</v>
      </c>
      <c r="O229" s="872">
        <f t="shared" si="74"/>
        <v>0</v>
      </c>
      <c r="P229" s="872">
        <f t="shared" si="74"/>
        <v>0</v>
      </c>
      <c r="Q229" s="872">
        <f t="shared" si="74"/>
        <v>0</v>
      </c>
      <c r="R229" s="872">
        <f t="shared" si="74"/>
        <v>0</v>
      </c>
      <c r="S229" s="872">
        <f t="shared" si="74"/>
        <v>0</v>
      </c>
      <c r="T229" s="872">
        <f t="shared" si="74"/>
        <v>0</v>
      </c>
      <c r="U229" s="872">
        <f t="shared" si="74"/>
        <v>0</v>
      </c>
      <c r="V229" s="872">
        <f t="shared" si="74"/>
        <v>0</v>
      </c>
      <c r="W229" s="872">
        <f t="shared" si="74"/>
        <v>0</v>
      </c>
      <c r="X229" s="872">
        <f t="shared" si="74"/>
        <v>0</v>
      </c>
      <c r="Y229" s="872">
        <f t="shared" si="74"/>
        <v>0</v>
      </c>
      <c r="Z229" s="872">
        <f t="shared" si="74"/>
        <v>0</v>
      </c>
      <c r="AA229" s="872">
        <f t="shared" si="74"/>
        <v>0</v>
      </c>
      <c r="AB229" s="872">
        <f t="shared" si="74"/>
        <v>0</v>
      </c>
      <c r="AC229" s="872">
        <f t="shared" si="74"/>
        <v>0</v>
      </c>
      <c r="AD229" s="872">
        <f t="shared" si="74"/>
        <v>0</v>
      </c>
      <c r="AE229" s="872">
        <f t="shared" si="74"/>
        <v>0</v>
      </c>
      <c r="AF229" s="872">
        <f t="shared" si="74"/>
        <v>0</v>
      </c>
      <c r="AG229" s="872">
        <f t="shared" si="74"/>
        <v>0</v>
      </c>
      <c r="AH229" s="872">
        <f t="shared" si="74"/>
        <v>0</v>
      </c>
      <c r="AI229" s="872">
        <f t="shared" si="74"/>
        <v>0</v>
      </c>
      <c r="AJ229" s="872">
        <f t="shared" si="74"/>
        <v>0</v>
      </c>
      <c r="AK229" s="872">
        <f t="shared" si="74"/>
        <v>0</v>
      </c>
      <c r="AL229" s="872">
        <f t="shared" si="74"/>
        <v>0</v>
      </c>
      <c r="AM229" s="872">
        <f t="shared" si="74"/>
        <v>0</v>
      </c>
      <c r="AN229" s="872">
        <f t="shared" si="74"/>
        <v>-1509.4679867527943</v>
      </c>
      <c r="AO229" s="872">
        <f t="shared" si="74"/>
        <v>-1539.65734648785</v>
      </c>
      <c r="AP229" s="872">
        <f t="shared" si="74"/>
        <v>-1570.450493417607</v>
      </c>
      <c r="AQ229" s="872">
        <f t="shared" si="74"/>
        <v>-1601.8595032859596</v>
      </c>
      <c r="AR229" s="872">
        <f t="shared" si="74"/>
        <v>-1633.8966933516786</v>
      </c>
      <c r="AS229" s="872">
        <f t="shared" si="74"/>
        <v>-1666.5746272187121</v>
      </c>
      <c r="AT229" s="872">
        <f t="shared" si="74"/>
        <v>-1699.9061197630863</v>
      </c>
      <c r="AU229" s="872">
        <f t="shared" si="74"/>
        <v>-1733.9042421583481</v>
      </c>
      <c r="AV229" s="872">
        <f t="shared" si="74"/>
        <v>-1768.5823270015153</v>
      </c>
      <c r="AW229" s="872">
        <f t="shared" si="74"/>
        <v>-1803.9539735415449</v>
      </c>
      <c r="AX229" s="872">
        <f t="shared" si="74"/>
        <v>0</v>
      </c>
      <c r="AY229" s="872">
        <f t="shared" si="74"/>
        <v>0</v>
      </c>
      <c r="AZ229" s="872">
        <f t="shared" si="74"/>
        <v>0</v>
      </c>
      <c r="BA229" s="872">
        <f t="shared" si="74"/>
        <v>0</v>
      </c>
      <c r="BB229" s="872">
        <f t="shared" si="74"/>
        <v>0</v>
      </c>
      <c r="BC229" s="872">
        <f t="shared" si="74"/>
        <v>0</v>
      </c>
      <c r="BD229" s="872">
        <f t="shared" si="74"/>
        <v>0</v>
      </c>
      <c r="BE229" s="872">
        <f t="shared" si="74"/>
        <v>0</v>
      </c>
    </row>
    <row r="230" spans="2:57" x14ac:dyDescent="0.25">
      <c r="B230" s="851"/>
      <c r="D230" s="315"/>
      <c r="E230" s="868" t="str">
        <f t="shared" si="66"/>
        <v>Opex cable (CCS)</v>
      </c>
      <c r="F230" s="868" t="str">
        <f t="shared" si="66"/>
        <v>[kEUR]</v>
      </c>
      <c r="G230" s="869">
        <f t="shared" si="63"/>
        <v>0</v>
      </c>
      <c r="H230" s="869">
        <f t="shared" si="63"/>
        <v>0</v>
      </c>
      <c r="I230" s="869"/>
      <c r="J230" s="869">
        <f t="shared" ref="J230:BE230" si="75">J83</f>
        <v>0</v>
      </c>
      <c r="K230" s="869">
        <f t="shared" si="75"/>
        <v>0</v>
      </c>
      <c r="L230" s="869">
        <f t="shared" si="75"/>
        <v>0</v>
      </c>
      <c r="M230" s="869">
        <f t="shared" si="75"/>
        <v>0</v>
      </c>
      <c r="N230" s="869">
        <f t="shared" si="75"/>
        <v>0</v>
      </c>
      <c r="O230" s="869">
        <f t="shared" si="75"/>
        <v>0</v>
      </c>
      <c r="P230" s="869">
        <f t="shared" si="75"/>
        <v>0</v>
      </c>
      <c r="Q230" s="869">
        <f t="shared" si="75"/>
        <v>0</v>
      </c>
      <c r="R230" s="869">
        <f t="shared" si="75"/>
        <v>0</v>
      </c>
      <c r="S230" s="869">
        <f t="shared" si="75"/>
        <v>0</v>
      </c>
      <c r="T230" s="869">
        <f t="shared" si="75"/>
        <v>0</v>
      </c>
      <c r="U230" s="869">
        <f t="shared" si="75"/>
        <v>0</v>
      </c>
      <c r="V230" s="869">
        <f t="shared" si="75"/>
        <v>0</v>
      </c>
      <c r="W230" s="869">
        <f t="shared" si="75"/>
        <v>0</v>
      </c>
      <c r="X230" s="869">
        <f t="shared" si="75"/>
        <v>0</v>
      </c>
      <c r="Y230" s="869">
        <f t="shared" si="75"/>
        <v>0</v>
      </c>
      <c r="Z230" s="869">
        <f t="shared" si="75"/>
        <v>0</v>
      </c>
      <c r="AA230" s="869">
        <f t="shared" si="75"/>
        <v>0</v>
      </c>
      <c r="AB230" s="869">
        <f t="shared" si="75"/>
        <v>0</v>
      </c>
      <c r="AC230" s="869">
        <f t="shared" si="75"/>
        <v>0</v>
      </c>
      <c r="AD230" s="869">
        <f t="shared" si="75"/>
        <v>0</v>
      </c>
      <c r="AE230" s="869">
        <f t="shared" si="75"/>
        <v>0</v>
      </c>
      <c r="AF230" s="869">
        <f t="shared" si="75"/>
        <v>0</v>
      </c>
      <c r="AG230" s="869">
        <f t="shared" si="75"/>
        <v>0</v>
      </c>
      <c r="AH230" s="869">
        <f t="shared" si="75"/>
        <v>0</v>
      </c>
      <c r="AI230" s="869">
        <f t="shared" si="75"/>
        <v>0</v>
      </c>
      <c r="AJ230" s="869">
        <f t="shared" si="75"/>
        <v>0</v>
      </c>
      <c r="AK230" s="869">
        <f t="shared" si="75"/>
        <v>0</v>
      </c>
      <c r="AL230" s="869">
        <f t="shared" si="75"/>
        <v>0</v>
      </c>
      <c r="AM230" s="869">
        <f t="shared" si="75"/>
        <v>0</v>
      </c>
      <c r="AN230" s="869">
        <f t="shared" si="75"/>
        <v>0</v>
      </c>
      <c r="AO230" s="869">
        <f t="shared" si="75"/>
        <v>0</v>
      </c>
      <c r="AP230" s="869">
        <f t="shared" si="75"/>
        <v>0</v>
      </c>
      <c r="AQ230" s="869">
        <f t="shared" si="75"/>
        <v>0</v>
      </c>
      <c r="AR230" s="869">
        <f t="shared" si="75"/>
        <v>0</v>
      </c>
      <c r="AS230" s="869">
        <f t="shared" si="75"/>
        <v>0</v>
      </c>
      <c r="AT230" s="869">
        <f t="shared" si="75"/>
        <v>0</v>
      </c>
      <c r="AU230" s="869">
        <f t="shared" si="75"/>
        <v>0</v>
      </c>
      <c r="AV230" s="869">
        <f t="shared" si="75"/>
        <v>0</v>
      </c>
      <c r="AW230" s="869">
        <f t="shared" si="75"/>
        <v>0</v>
      </c>
      <c r="AX230" s="869">
        <f t="shared" si="75"/>
        <v>0</v>
      </c>
      <c r="AY230" s="869">
        <f t="shared" si="75"/>
        <v>0</v>
      </c>
      <c r="AZ230" s="869">
        <f t="shared" si="75"/>
        <v>0</v>
      </c>
      <c r="BA230" s="869">
        <f t="shared" si="75"/>
        <v>0</v>
      </c>
      <c r="BB230" s="869">
        <f t="shared" si="75"/>
        <v>0</v>
      </c>
      <c r="BC230" s="869">
        <f t="shared" si="75"/>
        <v>0</v>
      </c>
      <c r="BD230" s="869">
        <f t="shared" si="75"/>
        <v>0</v>
      </c>
      <c r="BE230" s="869">
        <f t="shared" si="75"/>
        <v>0</v>
      </c>
    </row>
    <row r="231" spans="2:57" x14ac:dyDescent="0.25">
      <c r="B231" s="851"/>
      <c r="D231" s="996"/>
      <c r="E231" s="865" t="str">
        <f>B99</f>
        <v>Small H2</v>
      </c>
      <c r="F231" s="865" t="s">
        <v>979</v>
      </c>
      <c r="G231" s="871">
        <f>SUM(G232:G241)</f>
        <v>-9555.5410241035352</v>
      </c>
      <c r="H231" s="871">
        <f>SUM(H232:H241)</f>
        <v>-3876.7202853766389</v>
      </c>
      <c r="I231" s="865"/>
      <c r="J231" s="871">
        <f t="shared" ref="J231:AX231" si="76">SUM(J232:J241)</f>
        <v>0</v>
      </c>
      <c r="K231" s="871">
        <f t="shared" si="76"/>
        <v>0</v>
      </c>
      <c r="L231" s="871">
        <f t="shared" si="76"/>
        <v>0</v>
      </c>
      <c r="M231" s="871">
        <f t="shared" si="76"/>
        <v>0</v>
      </c>
      <c r="N231" s="871">
        <f t="shared" si="76"/>
        <v>0</v>
      </c>
      <c r="O231" s="871">
        <f t="shared" si="76"/>
        <v>0</v>
      </c>
      <c r="P231" s="871">
        <f t="shared" si="76"/>
        <v>0</v>
      </c>
      <c r="Q231" s="871">
        <f t="shared" si="76"/>
        <v>0</v>
      </c>
      <c r="R231" s="871">
        <f t="shared" si="76"/>
        <v>-2318.3893431585179</v>
      </c>
      <c r="S231" s="871">
        <f t="shared" si="76"/>
        <v>-2364.7650765624016</v>
      </c>
      <c r="T231" s="871">
        <f t="shared" si="76"/>
        <v>-2412.0684835651768</v>
      </c>
      <c r="U231" s="871">
        <f t="shared" si="76"/>
        <v>-2460.3181208174378</v>
      </c>
      <c r="V231" s="871">
        <f t="shared" si="76"/>
        <v>0</v>
      </c>
      <c r="W231" s="871">
        <f t="shared" si="76"/>
        <v>0</v>
      </c>
      <c r="X231" s="871">
        <f t="shared" si="76"/>
        <v>0</v>
      </c>
      <c r="Y231" s="871">
        <f t="shared" si="76"/>
        <v>0</v>
      </c>
      <c r="Z231" s="871">
        <f t="shared" si="76"/>
        <v>0</v>
      </c>
      <c r="AA231" s="871">
        <f t="shared" si="76"/>
        <v>0</v>
      </c>
      <c r="AB231" s="871">
        <f t="shared" si="76"/>
        <v>0</v>
      </c>
      <c r="AC231" s="871">
        <f t="shared" si="76"/>
        <v>0</v>
      </c>
      <c r="AD231" s="871">
        <f t="shared" si="76"/>
        <v>0</v>
      </c>
      <c r="AE231" s="871">
        <f t="shared" si="76"/>
        <v>0</v>
      </c>
      <c r="AF231" s="871">
        <f t="shared" si="76"/>
        <v>0</v>
      </c>
      <c r="AG231" s="871">
        <f t="shared" si="76"/>
        <v>0</v>
      </c>
      <c r="AH231" s="871">
        <f t="shared" si="76"/>
        <v>0</v>
      </c>
      <c r="AI231" s="871">
        <f t="shared" si="76"/>
        <v>0</v>
      </c>
      <c r="AJ231" s="871">
        <f t="shared" si="76"/>
        <v>0</v>
      </c>
      <c r="AK231" s="871">
        <f t="shared" si="76"/>
        <v>0</v>
      </c>
      <c r="AL231" s="871">
        <f t="shared" si="76"/>
        <v>0</v>
      </c>
      <c r="AM231" s="871">
        <f t="shared" si="76"/>
        <v>0</v>
      </c>
      <c r="AN231" s="871">
        <f t="shared" si="76"/>
        <v>0</v>
      </c>
      <c r="AO231" s="871">
        <f t="shared" si="76"/>
        <v>0</v>
      </c>
      <c r="AP231" s="871">
        <f t="shared" si="76"/>
        <v>0</v>
      </c>
      <c r="AQ231" s="871">
        <f t="shared" si="76"/>
        <v>0</v>
      </c>
      <c r="AR231" s="871">
        <f t="shared" si="76"/>
        <v>0</v>
      </c>
      <c r="AS231" s="871">
        <f t="shared" si="76"/>
        <v>0</v>
      </c>
      <c r="AT231" s="871">
        <f t="shared" si="76"/>
        <v>0</v>
      </c>
      <c r="AU231" s="871">
        <f t="shared" si="76"/>
        <v>0</v>
      </c>
      <c r="AV231" s="871">
        <f t="shared" si="76"/>
        <v>0</v>
      </c>
      <c r="AW231" s="871">
        <f t="shared" si="76"/>
        <v>0</v>
      </c>
      <c r="AX231" s="871">
        <f t="shared" si="76"/>
        <v>0</v>
      </c>
      <c r="AY231" s="871">
        <f t="shared" ref="AY231:BE231" si="77">SUM(AY232:AY241)</f>
        <v>0</v>
      </c>
      <c r="AZ231" s="871">
        <f t="shared" si="77"/>
        <v>0</v>
      </c>
      <c r="BA231" s="871">
        <f t="shared" si="77"/>
        <v>0</v>
      </c>
      <c r="BB231" s="871">
        <f t="shared" si="77"/>
        <v>0</v>
      </c>
      <c r="BC231" s="871">
        <f t="shared" si="77"/>
        <v>0</v>
      </c>
      <c r="BD231" s="871">
        <f t="shared" si="77"/>
        <v>0</v>
      </c>
      <c r="BE231" s="871">
        <f t="shared" si="77"/>
        <v>0</v>
      </c>
    </row>
    <row r="232" spans="2:57" x14ac:dyDescent="0.25">
      <c r="B232" s="851"/>
      <c r="D232" s="908"/>
      <c r="E232" s="870" t="str">
        <f t="shared" ref="E232:H241" si="78">E111</f>
        <v>Energy requirement desalination unit</v>
      </c>
      <c r="F232" s="870" t="str">
        <f t="shared" si="78"/>
        <v>[kEUR]</v>
      </c>
      <c r="G232" s="867">
        <f t="shared" si="78"/>
        <v>-24.909570482631814</v>
      </c>
      <c r="H232" s="867">
        <f t="shared" si="78"/>
        <v>-10.105599377103347</v>
      </c>
      <c r="I232" s="867"/>
      <c r="J232" s="867">
        <f t="shared" ref="J232:BE232" si="79">J111</f>
        <v>0</v>
      </c>
      <c r="K232" s="867">
        <f t="shared" si="79"/>
        <v>0</v>
      </c>
      <c r="L232" s="867">
        <f t="shared" si="79"/>
        <v>0</v>
      </c>
      <c r="M232" s="867">
        <f t="shared" si="79"/>
        <v>0</v>
      </c>
      <c r="N232" s="867">
        <f t="shared" si="79"/>
        <v>0</v>
      </c>
      <c r="O232" s="867">
        <f t="shared" si="79"/>
        <v>0</v>
      </c>
      <c r="P232" s="867">
        <f t="shared" si="79"/>
        <v>0</v>
      </c>
      <c r="Q232" s="867">
        <f t="shared" si="79"/>
        <v>0</v>
      </c>
      <c r="R232" s="867">
        <f t="shared" si="79"/>
        <v>-6.0412423029292599</v>
      </c>
      <c r="S232" s="867">
        <f t="shared" si="79"/>
        <v>-6.1636801264825127</v>
      </c>
      <c r="T232" s="867">
        <f t="shared" si="79"/>
        <v>-6.2885989660567247</v>
      </c>
      <c r="U232" s="867">
        <f t="shared" si="79"/>
        <v>-6.416049087163314</v>
      </c>
      <c r="V232" s="867">
        <f t="shared" si="79"/>
        <v>0</v>
      </c>
      <c r="W232" s="867">
        <f t="shared" si="79"/>
        <v>0</v>
      </c>
      <c r="X232" s="867">
        <f t="shared" si="79"/>
        <v>0</v>
      </c>
      <c r="Y232" s="867">
        <f t="shared" si="79"/>
        <v>0</v>
      </c>
      <c r="Z232" s="867">
        <f t="shared" si="79"/>
        <v>0</v>
      </c>
      <c r="AA232" s="867">
        <f t="shared" si="79"/>
        <v>0</v>
      </c>
      <c r="AB232" s="867">
        <f t="shared" si="79"/>
        <v>0</v>
      </c>
      <c r="AC232" s="867">
        <f t="shared" si="79"/>
        <v>0</v>
      </c>
      <c r="AD232" s="867">
        <f t="shared" si="79"/>
        <v>0</v>
      </c>
      <c r="AE232" s="867">
        <f t="shared" si="79"/>
        <v>0</v>
      </c>
      <c r="AF232" s="867">
        <f t="shared" si="79"/>
        <v>0</v>
      </c>
      <c r="AG232" s="867">
        <f t="shared" si="79"/>
        <v>0</v>
      </c>
      <c r="AH232" s="867">
        <f t="shared" si="79"/>
        <v>0</v>
      </c>
      <c r="AI232" s="867">
        <f t="shared" si="79"/>
        <v>0</v>
      </c>
      <c r="AJ232" s="867">
        <f t="shared" si="79"/>
        <v>0</v>
      </c>
      <c r="AK232" s="867">
        <f t="shared" si="79"/>
        <v>0</v>
      </c>
      <c r="AL232" s="867">
        <f t="shared" si="79"/>
        <v>0</v>
      </c>
      <c r="AM232" s="867">
        <f t="shared" si="79"/>
        <v>0</v>
      </c>
      <c r="AN232" s="867">
        <f t="shared" si="79"/>
        <v>0</v>
      </c>
      <c r="AO232" s="867">
        <f t="shared" si="79"/>
        <v>0</v>
      </c>
      <c r="AP232" s="867">
        <f t="shared" si="79"/>
        <v>0</v>
      </c>
      <c r="AQ232" s="867">
        <f t="shared" si="79"/>
        <v>0</v>
      </c>
      <c r="AR232" s="867">
        <f t="shared" si="79"/>
        <v>0</v>
      </c>
      <c r="AS232" s="867">
        <f t="shared" si="79"/>
        <v>0</v>
      </c>
      <c r="AT232" s="867">
        <f t="shared" si="79"/>
        <v>0</v>
      </c>
      <c r="AU232" s="867">
        <f t="shared" si="79"/>
        <v>0</v>
      </c>
      <c r="AV232" s="867">
        <f t="shared" si="79"/>
        <v>0</v>
      </c>
      <c r="AW232" s="867">
        <f t="shared" si="79"/>
        <v>0</v>
      </c>
      <c r="AX232" s="867">
        <f t="shared" si="79"/>
        <v>0</v>
      </c>
      <c r="AY232" s="867">
        <f t="shared" si="79"/>
        <v>0</v>
      </c>
      <c r="AZ232" s="867">
        <f t="shared" si="79"/>
        <v>0</v>
      </c>
      <c r="BA232" s="867">
        <f t="shared" si="79"/>
        <v>0</v>
      </c>
      <c r="BB232" s="867">
        <f t="shared" si="79"/>
        <v>0</v>
      </c>
      <c r="BC232" s="867">
        <f t="shared" si="79"/>
        <v>0</v>
      </c>
      <c r="BD232" s="867">
        <f t="shared" si="79"/>
        <v>0</v>
      </c>
      <c r="BE232" s="867">
        <f t="shared" si="79"/>
        <v>0</v>
      </c>
    </row>
    <row r="233" spans="2:57" x14ac:dyDescent="0.25">
      <c r="B233" s="851"/>
      <c r="D233" s="996"/>
      <c r="E233" s="867" t="str">
        <f t="shared" si="78"/>
        <v>Electricity costs electrolysis</v>
      </c>
      <c r="F233" s="867" t="str">
        <f t="shared" si="78"/>
        <v>[kEUR]</v>
      </c>
      <c r="G233" s="867">
        <f t="shared" si="78"/>
        <v>-5496.6513088171596</v>
      </c>
      <c r="H233" s="867">
        <f t="shared" si="78"/>
        <v>-2230.0137790965</v>
      </c>
      <c r="I233" s="867"/>
      <c r="J233" s="867">
        <f t="shared" ref="J233:BE233" si="80">J112</f>
        <v>0</v>
      </c>
      <c r="K233" s="867">
        <f t="shared" si="80"/>
        <v>0</v>
      </c>
      <c r="L233" s="867">
        <f t="shared" si="80"/>
        <v>0</v>
      </c>
      <c r="M233" s="867">
        <f t="shared" si="80"/>
        <v>0</v>
      </c>
      <c r="N233" s="867">
        <f t="shared" si="80"/>
        <v>0</v>
      </c>
      <c r="O233" s="867">
        <f t="shared" si="80"/>
        <v>0</v>
      </c>
      <c r="P233" s="867">
        <f t="shared" si="80"/>
        <v>0</v>
      </c>
      <c r="Q233" s="867">
        <f t="shared" si="80"/>
        <v>0</v>
      </c>
      <c r="R233" s="867">
        <f t="shared" si="80"/>
        <v>-1333.6181676707633</v>
      </c>
      <c r="S233" s="867">
        <f t="shared" si="80"/>
        <v>-1360.2905310241786</v>
      </c>
      <c r="T233" s="867">
        <f t="shared" si="80"/>
        <v>-1387.4963416446622</v>
      </c>
      <c r="U233" s="867">
        <f t="shared" si="80"/>
        <v>-1415.2462684775551</v>
      </c>
      <c r="V233" s="867">
        <f t="shared" si="80"/>
        <v>0</v>
      </c>
      <c r="W233" s="867">
        <f t="shared" si="80"/>
        <v>0</v>
      </c>
      <c r="X233" s="867">
        <f t="shared" si="80"/>
        <v>0</v>
      </c>
      <c r="Y233" s="867">
        <f t="shared" si="80"/>
        <v>0</v>
      </c>
      <c r="Z233" s="867">
        <f t="shared" si="80"/>
        <v>0</v>
      </c>
      <c r="AA233" s="867">
        <f t="shared" si="80"/>
        <v>0</v>
      </c>
      <c r="AB233" s="867">
        <f t="shared" si="80"/>
        <v>0</v>
      </c>
      <c r="AC233" s="867">
        <f t="shared" si="80"/>
        <v>0</v>
      </c>
      <c r="AD233" s="867">
        <f t="shared" si="80"/>
        <v>0</v>
      </c>
      <c r="AE233" s="867">
        <f t="shared" si="80"/>
        <v>0</v>
      </c>
      <c r="AF233" s="867">
        <f t="shared" si="80"/>
        <v>0</v>
      </c>
      <c r="AG233" s="867">
        <f t="shared" si="80"/>
        <v>0</v>
      </c>
      <c r="AH233" s="867">
        <f t="shared" si="80"/>
        <v>0</v>
      </c>
      <c r="AI233" s="867">
        <f t="shared" si="80"/>
        <v>0</v>
      </c>
      <c r="AJ233" s="867">
        <f t="shared" si="80"/>
        <v>0</v>
      </c>
      <c r="AK233" s="867">
        <f t="shared" si="80"/>
        <v>0</v>
      </c>
      <c r="AL233" s="867">
        <f t="shared" si="80"/>
        <v>0</v>
      </c>
      <c r="AM233" s="867">
        <f t="shared" si="80"/>
        <v>0</v>
      </c>
      <c r="AN233" s="867">
        <f t="shared" si="80"/>
        <v>0</v>
      </c>
      <c r="AO233" s="867">
        <f t="shared" si="80"/>
        <v>0</v>
      </c>
      <c r="AP233" s="867">
        <f t="shared" si="80"/>
        <v>0</v>
      </c>
      <c r="AQ233" s="867">
        <f t="shared" si="80"/>
        <v>0</v>
      </c>
      <c r="AR233" s="867">
        <f t="shared" si="80"/>
        <v>0</v>
      </c>
      <c r="AS233" s="867">
        <f t="shared" si="80"/>
        <v>0</v>
      </c>
      <c r="AT233" s="867">
        <f t="shared" si="80"/>
        <v>0</v>
      </c>
      <c r="AU233" s="867">
        <f t="shared" si="80"/>
        <v>0</v>
      </c>
      <c r="AV233" s="867">
        <f t="shared" si="80"/>
        <v>0</v>
      </c>
      <c r="AW233" s="867">
        <f t="shared" si="80"/>
        <v>0</v>
      </c>
      <c r="AX233" s="867">
        <f t="shared" si="80"/>
        <v>0</v>
      </c>
      <c r="AY233" s="867">
        <f t="shared" si="80"/>
        <v>0</v>
      </c>
      <c r="AZ233" s="867">
        <f t="shared" si="80"/>
        <v>0</v>
      </c>
      <c r="BA233" s="867">
        <f t="shared" si="80"/>
        <v>0</v>
      </c>
      <c r="BB233" s="867">
        <f t="shared" si="80"/>
        <v>0</v>
      </c>
      <c r="BC233" s="867">
        <f t="shared" si="80"/>
        <v>0</v>
      </c>
      <c r="BD233" s="867">
        <f t="shared" si="80"/>
        <v>0</v>
      </c>
      <c r="BE233" s="867">
        <f t="shared" si="80"/>
        <v>0</v>
      </c>
    </row>
    <row r="234" spans="2:57" x14ac:dyDescent="0.25">
      <c r="B234" s="851"/>
      <c r="D234" s="908"/>
      <c r="E234" s="867" t="str">
        <f t="shared" si="78"/>
        <v>Electricity demand H2 compressor</v>
      </c>
      <c r="F234" s="867" t="str">
        <f t="shared" si="78"/>
        <v>[kEUR]</v>
      </c>
      <c r="G234" s="867">
        <f t="shared" si="78"/>
        <v>-97.810626567896492</v>
      </c>
      <c r="H234" s="867">
        <f t="shared" si="78"/>
        <v>-39.680933382926405</v>
      </c>
      <c r="I234" s="867"/>
      <c r="J234" s="867">
        <f t="shared" ref="J234:BE234" si="81">J113</f>
        <v>0</v>
      </c>
      <c r="K234" s="867">
        <f t="shared" si="81"/>
        <v>0</v>
      </c>
      <c r="L234" s="867">
        <f t="shared" si="81"/>
        <v>0</v>
      </c>
      <c r="M234" s="867">
        <f t="shared" si="81"/>
        <v>0</v>
      </c>
      <c r="N234" s="867">
        <f t="shared" si="81"/>
        <v>0</v>
      </c>
      <c r="O234" s="867">
        <f t="shared" si="81"/>
        <v>0</v>
      </c>
      <c r="P234" s="867">
        <f t="shared" si="81"/>
        <v>0</v>
      </c>
      <c r="Q234" s="867">
        <f t="shared" si="81"/>
        <v>0</v>
      </c>
      <c r="R234" s="867">
        <f t="shared" si="81"/>
        <v>-23.721713520110516</v>
      </c>
      <c r="S234" s="867">
        <f t="shared" si="81"/>
        <v>-24.202481353731066</v>
      </c>
      <c r="T234" s="867">
        <f t="shared" si="81"/>
        <v>-24.692991215288391</v>
      </c>
      <c r="U234" s="867">
        <f t="shared" si="81"/>
        <v>-25.193440478766526</v>
      </c>
      <c r="V234" s="867">
        <f t="shared" si="81"/>
        <v>0</v>
      </c>
      <c r="W234" s="867">
        <f t="shared" si="81"/>
        <v>0</v>
      </c>
      <c r="X234" s="867">
        <f t="shared" si="81"/>
        <v>0</v>
      </c>
      <c r="Y234" s="867">
        <f t="shared" si="81"/>
        <v>0</v>
      </c>
      <c r="Z234" s="867">
        <f t="shared" si="81"/>
        <v>0</v>
      </c>
      <c r="AA234" s="867">
        <f t="shared" si="81"/>
        <v>0</v>
      </c>
      <c r="AB234" s="867">
        <f t="shared" si="81"/>
        <v>0</v>
      </c>
      <c r="AC234" s="867">
        <f t="shared" si="81"/>
        <v>0</v>
      </c>
      <c r="AD234" s="867">
        <f t="shared" si="81"/>
        <v>0</v>
      </c>
      <c r="AE234" s="867">
        <f t="shared" si="81"/>
        <v>0</v>
      </c>
      <c r="AF234" s="867">
        <f t="shared" si="81"/>
        <v>0</v>
      </c>
      <c r="AG234" s="867">
        <f t="shared" si="81"/>
        <v>0</v>
      </c>
      <c r="AH234" s="867">
        <f t="shared" si="81"/>
        <v>0</v>
      </c>
      <c r="AI234" s="867">
        <f t="shared" si="81"/>
        <v>0</v>
      </c>
      <c r="AJ234" s="867">
        <f t="shared" si="81"/>
        <v>0</v>
      </c>
      <c r="AK234" s="867">
        <f t="shared" si="81"/>
        <v>0</v>
      </c>
      <c r="AL234" s="867">
        <f t="shared" si="81"/>
        <v>0</v>
      </c>
      <c r="AM234" s="867">
        <f t="shared" si="81"/>
        <v>0</v>
      </c>
      <c r="AN234" s="867">
        <f t="shared" si="81"/>
        <v>0</v>
      </c>
      <c r="AO234" s="867">
        <f t="shared" si="81"/>
        <v>0</v>
      </c>
      <c r="AP234" s="867">
        <f t="shared" si="81"/>
        <v>0</v>
      </c>
      <c r="AQ234" s="867">
        <f t="shared" si="81"/>
        <v>0</v>
      </c>
      <c r="AR234" s="867">
        <f t="shared" si="81"/>
        <v>0</v>
      </c>
      <c r="AS234" s="867">
        <f t="shared" si="81"/>
        <v>0</v>
      </c>
      <c r="AT234" s="867">
        <f t="shared" si="81"/>
        <v>0</v>
      </c>
      <c r="AU234" s="867">
        <f t="shared" si="81"/>
        <v>0</v>
      </c>
      <c r="AV234" s="867">
        <f t="shared" si="81"/>
        <v>0</v>
      </c>
      <c r="AW234" s="867">
        <f t="shared" si="81"/>
        <v>0</v>
      </c>
      <c r="AX234" s="867">
        <f t="shared" si="81"/>
        <v>0</v>
      </c>
      <c r="AY234" s="867">
        <f t="shared" si="81"/>
        <v>0</v>
      </c>
      <c r="AZ234" s="867">
        <f t="shared" si="81"/>
        <v>0</v>
      </c>
      <c r="BA234" s="867">
        <f t="shared" si="81"/>
        <v>0</v>
      </c>
      <c r="BB234" s="867">
        <f t="shared" si="81"/>
        <v>0</v>
      </c>
      <c r="BC234" s="867">
        <f t="shared" si="81"/>
        <v>0</v>
      </c>
      <c r="BD234" s="867">
        <f t="shared" si="81"/>
        <v>0</v>
      </c>
      <c r="BE234" s="867">
        <f t="shared" si="81"/>
        <v>0</v>
      </c>
    </row>
    <row r="235" spans="2:57" x14ac:dyDescent="0.25">
      <c r="B235" s="851"/>
      <c r="D235" s="908"/>
      <c r="E235" s="867" t="str">
        <f t="shared" si="78"/>
        <v>OPEX desalination unit</v>
      </c>
      <c r="F235" s="867" t="str">
        <f t="shared" si="78"/>
        <v>[kEUR]</v>
      </c>
      <c r="G235" s="867">
        <f t="shared" si="78"/>
        <v>-10.170128147897456</v>
      </c>
      <c r="H235" s="867">
        <f t="shared" si="78"/>
        <v>-4.1260623297330774</v>
      </c>
      <c r="I235" s="867"/>
      <c r="J235" s="867">
        <f t="shared" ref="J235:BE235" si="82">J114</f>
        <v>0</v>
      </c>
      <c r="K235" s="867">
        <f t="shared" si="82"/>
        <v>0</v>
      </c>
      <c r="L235" s="867">
        <f t="shared" si="82"/>
        <v>0</v>
      </c>
      <c r="M235" s="867">
        <f t="shared" si="82"/>
        <v>0</v>
      </c>
      <c r="N235" s="867">
        <f t="shared" si="82"/>
        <v>0</v>
      </c>
      <c r="O235" s="867">
        <f t="shared" si="82"/>
        <v>0</v>
      </c>
      <c r="P235" s="867">
        <f t="shared" si="82"/>
        <v>0</v>
      </c>
      <c r="Q235" s="867">
        <f t="shared" si="82"/>
        <v>0</v>
      </c>
      <c r="R235" s="867">
        <f t="shared" si="82"/>
        <v>-2.4675146563907715</v>
      </c>
      <c r="S235" s="867">
        <f t="shared" si="82"/>
        <v>-2.5168649495185873</v>
      </c>
      <c r="T235" s="867">
        <f t="shared" si="82"/>
        <v>-2.5672022485089592</v>
      </c>
      <c r="U235" s="867">
        <f t="shared" si="82"/>
        <v>-2.6185462934791377</v>
      </c>
      <c r="V235" s="867">
        <f t="shared" si="82"/>
        <v>0</v>
      </c>
      <c r="W235" s="867">
        <f t="shared" si="82"/>
        <v>0</v>
      </c>
      <c r="X235" s="867">
        <f t="shared" si="82"/>
        <v>0</v>
      </c>
      <c r="Y235" s="867">
        <f t="shared" si="82"/>
        <v>0</v>
      </c>
      <c r="Z235" s="867">
        <f t="shared" si="82"/>
        <v>0</v>
      </c>
      <c r="AA235" s="867">
        <f t="shared" si="82"/>
        <v>0</v>
      </c>
      <c r="AB235" s="867">
        <f t="shared" si="82"/>
        <v>0</v>
      </c>
      <c r="AC235" s="867">
        <f t="shared" si="82"/>
        <v>0</v>
      </c>
      <c r="AD235" s="867">
        <f t="shared" si="82"/>
        <v>0</v>
      </c>
      <c r="AE235" s="867">
        <f t="shared" si="82"/>
        <v>0</v>
      </c>
      <c r="AF235" s="867">
        <f t="shared" si="82"/>
        <v>0</v>
      </c>
      <c r="AG235" s="867">
        <f t="shared" si="82"/>
        <v>0</v>
      </c>
      <c r="AH235" s="867">
        <f t="shared" si="82"/>
        <v>0</v>
      </c>
      <c r="AI235" s="867">
        <f t="shared" si="82"/>
        <v>0</v>
      </c>
      <c r="AJ235" s="867">
        <f t="shared" si="82"/>
        <v>0</v>
      </c>
      <c r="AK235" s="867">
        <f t="shared" si="82"/>
        <v>0</v>
      </c>
      <c r="AL235" s="867">
        <f t="shared" si="82"/>
        <v>0</v>
      </c>
      <c r="AM235" s="867">
        <f t="shared" si="82"/>
        <v>0</v>
      </c>
      <c r="AN235" s="867">
        <f t="shared" si="82"/>
        <v>0</v>
      </c>
      <c r="AO235" s="867">
        <f t="shared" si="82"/>
        <v>0</v>
      </c>
      <c r="AP235" s="867">
        <f t="shared" si="82"/>
        <v>0</v>
      </c>
      <c r="AQ235" s="867">
        <f t="shared" si="82"/>
        <v>0</v>
      </c>
      <c r="AR235" s="867">
        <f t="shared" si="82"/>
        <v>0</v>
      </c>
      <c r="AS235" s="867">
        <f t="shared" si="82"/>
        <v>0</v>
      </c>
      <c r="AT235" s="867">
        <f t="shared" si="82"/>
        <v>0</v>
      </c>
      <c r="AU235" s="867">
        <f t="shared" si="82"/>
        <v>0</v>
      </c>
      <c r="AV235" s="867">
        <f t="shared" si="82"/>
        <v>0</v>
      </c>
      <c r="AW235" s="867">
        <f t="shared" si="82"/>
        <v>0</v>
      </c>
      <c r="AX235" s="867">
        <f t="shared" si="82"/>
        <v>0</v>
      </c>
      <c r="AY235" s="867">
        <f t="shared" si="82"/>
        <v>0</v>
      </c>
      <c r="AZ235" s="867">
        <f t="shared" si="82"/>
        <v>0</v>
      </c>
      <c r="BA235" s="867">
        <f t="shared" si="82"/>
        <v>0</v>
      </c>
      <c r="BB235" s="867">
        <f t="shared" si="82"/>
        <v>0</v>
      </c>
      <c r="BC235" s="867">
        <f t="shared" si="82"/>
        <v>0</v>
      </c>
      <c r="BD235" s="867">
        <f t="shared" si="82"/>
        <v>0</v>
      </c>
      <c r="BE235" s="867">
        <f t="shared" si="82"/>
        <v>0</v>
      </c>
    </row>
    <row r="236" spans="2:57" x14ac:dyDescent="0.25">
      <c r="B236" s="851"/>
      <c r="D236" s="908"/>
      <c r="E236" s="867" t="str">
        <f t="shared" si="78"/>
        <v>Opex electrolyser</v>
      </c>
      <c r="F236" s="867" t="str">
        <f t="shared" si="78"/>
        <v>[kEUR]</v>
      </c>
      <c r="G236" s="867">
        <f t="shared" si="78"/>
        <v>-947.71493306024456</v>
      </c>
      <c r="H236" s="867">
        <f t="shared" si="78"/>
        <v>-384.49180066957086</v>
      </c>
      <c r="I236" s="867"/>
      <c r="J236" s="867">
        <f t="shared" ref="J236:BE236" si="83">J115</f>
        <v>0</v>
      </c>
      <c r="K236" s="867">
        <f t="shared" si="83"/>
        <v>0</v>
      </c>
      <c r="L236" s="867">
        <f t="shared" si="83"/>
        <v>0</v>
      </c>
      <c r="M236" s="867">
        <f t="shared" si="83"/>
        <v>0</v>
      </c>
      <c r="N236" s="867">
        <f t="shared" si="83"/>
        <v>0</v>
      </c>
      <c r="O236" s="867">
        <f t="shared" si="83"/>
        <v>0</v>
      </c>
      <c r="P236" s="867">
        <f t="shared" si="83"/>
        <v>0</v>
      </c>
      <c r="Q236" s="867">
        <f t="shared" si="83"/>
        <v>0</v>
      </c>
      <c r="R236" s="867">
        <f t="shared" si="83"/>
        <v>-229.93815352169463</v>
      </c>
      <c r="S236" s="867">
        <f t="shared" si="83"/>
        <v>-234.53691659212848</v>
      </c>
      <c r="T236" s="867">
        <f t="shared" si="83"/>
        <v>-239.22765492397107</v>
      </c>
      <c r="U236" s="867">
        <f t="shared" si="83"/>
        <v>-244.01220802245044</v>
      </c>
      <c r="V236" s="867">
        <f t="shared" si="83"/>
        <v>0</v>
      </c>
      <c r="W236" s="867">
        <f t="shared" si="83"/>
        <v>0</v>
      </c>
      <c r="X236" s="867">
        <f t="shared" si="83"/>
        <v>0</v>
      </c>
      <c r="Y236" s="867">
        <f t="shared" si="83"/>
        <v>0</v>
      </c>
      <c r="Z236" s="867">
        <f t="shared" si="83"/>
        <v>0</v>
      </c>
      <c r="AA236" s="867">
        <f t="shared" si="83"/>
        <v>0</v>
      </c>
      <c r="AB236" s="867">
        <f t="shared" si="83"/>
        <v>0</v>
      </c>
      <c r="AC236" s="867">
        <f t="shared" si="83"/>
        <v>0</v>
      </c>
      <c r="AD236" s="867">
        <f t="shared" si="83"/>
        <v>0</v>
      </c>
      <c r="AE236" s="867">
        <f t="shared" si="83"/>
        <v>0</v>
      </c>
      <c r="AF236" s="867">
        <f t="shared" si="83"/>
        <v>0</v>
      </c>
      <c r="AG236" s="867">
        <f t="shared" si="83"/>
        <v>0</v>
      </c>
      <c r="AH236" s="867">
        <f t="shared" si="83"/>
        <v>0</v>
      </c>
      <c r="AI236" s="867">
        <f t="shared" si="83"/>
        <v>0</v>
      </c>
      <c r="AJ236" s="867">
        <f t="shared" si="83"/>
        <v>0</v>
      </c>
      <c r="AK236" s="867">
        <f t="shared" si="83"/>
        <v>0</v>
      </c>
      <c r="AL236" s="867">
        <f t="shared" si="83"/>
        <v>0</v>
      </c>
      <c r="AM236" s="867">
        <f t="shared" si="83"/>
        <v>0</v>
      </c>
      <c r="AN236" s="867">
        <f t="shared" si="83"/>
        <v>0</v>
      </c>
      <c r="AO236" s="867">
        <f t="shared" si="83"/>
        <v>0</v>
      </c>
      <c r="AP236" s="867">
        <f t="shared" si="83"/>
        <v>0</v>
      </c>
      <c r="AQ236" s="867">
        <f t="shared" si="83"/>
        <v>0</v>
      </c>
      <c r="AR236" s="867">
        <f t="shared" si="83"/>
        <v>0</v>
      </c>
      <c r="AS236" s="867">
        <f t="shared" si="83"/>
        <v>0</v>
      </c>
      <c r="AT236" s="867">
        <f t="shared" si="83"/>
        <v>0</v>
      </c>
      <c r="AU236" s="867">
        <f t="shared" si="83"/>
        <v>0</v>
      </c>
      <c r="AV236" s="867">
        <f t="shared" si="83"/>
        <v>0</v>
      </c>
      <c r="AW236" s="867">
        <f t="shared" si="83"/>
        <v>0</v>
      </c>
      <c r="AX236" s="867">
        <f t="shared" si="83"/>
        <v>0</v>
      </c>
      <c r="AY236" s="867">
        <f t="shared" si="83"/>
        <v>0</v>
      </c>
      <c r="AZ236" s="867">
        <f t="shared" si="83"/>
        <v>0</v>
      </c>
      <c r="BA236" s="867">
        <f t="shared" si="83"/>
        <v>0</v>
      </c>
      <c r="BB236" s="867">
        <f t="shared" si="83"/>
        <v>0</v>
      </c>
      <c r="BC236" s="867">
        <f t="shared" si="83"/>
        <v>0</v>
      </c>
      <c r="BD236" s="867">
        <f t="shared" si="83"/>
        <v>0</v>
      </c>
      <c r="BE236" s="867">
        <f t="shared" si="83"/>
        <v>0</v>
      </c>
    </row>
    <row r="237" spans="2:57" x14ac:dyDescent="0.25">
      <c r="B237" s="851"/>
      <c r="D237" s="908"/>
      <c r="E237" s="867" t="str">
        <f t="shared" si="78"/>
        <v>Opex compressor</v>
      </c>
      <c r="F237" s="867" t="str">
        <f t="shared" si="78"/>
        <v>[kEUR]</v>
      </c>
      <c r="G237" s="867">
        <f t="shared" si="78"/>
        <v>-22.042979071751411</v>
      </c>
      <c r="H237" s="867">
        <f t="shared" si="78"/>
        <v>-8.9429262109987278</v>
      </c>
      <c r="I237" s="867"/>
      <c r="J237" s="867">
        <f t="shared" ref="J237:BE237" si="84">J116</f>
        <v>0</v>
      </c>
      <c r="K237" s="867">
        <f t="shared" si="84"/>
        <v>0</v>
      </c>
      <c r="L237" s="867">
        <f t="shared" si="84"/>
        <v>0</v>
      </c>
      <c r="M237" s="867">
        <f t="shared" si="84"/>
        <v>0</v>
      </c>
      <c r="N237" s="867">
        <f t="shared" si="84"/>
        <v>0</v>
      </c>
      <c r="O237" s="867">
        <f t="shared" si="84"/>
        <v>0</v>
      </c>
      <c r="P237" s="867">
        <f t="shared" si="84"/>
        <v>0</v>
      </c>
      <c r="Q237" s="867">
        <f t="shared" si="84"/>
        <v>0</v>
      </c>
      <c r="R237" s="867">
        <f t="shared" si="84"/>
        <v>-5.3481503024429822</v>
      </c>
      <c r="S237" s="867">
        <f t="shared" si="84"/>
        <v>-5.4551133084918417</v>
      </c>
      <c r="T237" s="867">
        <f t="shared" si="84"/>
        <v>-5.564215574661679</v>
      </c>
      <c r="U237" s="867">
        <f t="shared" si="84"/>
        <v>-5.6754998861549115</v>
      </c>
      <c r="V237" s="867">
        <f t="shared" si="84"/>
        <v>0</v>
      </c>
      <c r="W237" s="867">
        <f t="shared" si="84"/>
        <v>0</v>
      </c>
      <c r="X237" s="867">
        <f t="shared" si="84"/>
        <v>0</v>
      </c>
      <c r="Y237" s="867">
        <f t="shared" si="84"/>
        <v>0</v>
      </c>
      <c r="Z237" s="867">
        <f t="shared" si="84"/>
        <v>0</v>
      </c>
      <c r="AA237" s="867">
        <f t="shared" si="84"/>
        <v>0</v>
      </c>
      <c r="AB237" s="867">
        <f t="shared" si="84"/>
        <v>0</v>
      </c>
      <c r="AC237" s="867">
        <f t="shared" si="84"/>
        <v>0</v>
      </c>
      <c r="AD237" s="867">
        <f t="shared" si="84"/>
        <v>0</v>
      </c>
      <c r="AE237" s="867">
        <f t="shared" si="84"/>
        <v>0</v>
      </c>
      <c r="AF237" s="867">
        <f t="shared" si="84"/>
        <v>0</v>
      </c>
      <c r="AG237" s="867">
        <f t="shared" si="84"/>
        <v>0</v>
      </c>
      <c r="AH237" s="867">
        <f t="shared" si="84"/>
        <v>0</v>
      </c>
      <c r="AI237" s="867">
        <f t="shared" si="84"/>
        <v>0</v>
      </c>
      <c r="AJ237" s="867">
        <f t="shared" si="84"/>
        <v>0</v>
      </c>
      <c r="AK237" s="867">
        <f t="shared" si="84"/>
        <v>0</v>
      </c>
      <c r="AL237" s="867">
        <f t="shared" si="84"/>
        <v>0</v>
      </c>
      <c r="AM237" s="867">
        <f t="shared" si="84"/>
        <v>0</v>
      </c>
      <c r="AN237" s="867">
        <f t="shared" si="84"/>
        <v>0</v>
      </c>
      <c r="AO237" s="867">
        <f t="shared" si="84"/>
        <v>0</v>
      </c>
      <c r="AP237" s="867">
        <f t="shared" si="84"/>
        <v>0</v>
      </c>
      <c r="AQ237" s="867">
        <f t="shared" si="84"/>
        <v>0</v>
      </c>
      <c r="AR237" s="867">
        <f t="shared" si="84"/>
        <v>0</v>
      </c>
      <c r="AS237" s="867">
        <f t="shared" si="84"/>
        <v>0</v>
      </c>
      <c r="AT237" s="867">
        <f t="shared" si="84"/>
        <v>0</v>
      </c>
      <c r="AU237" s="867">
        <f t="shared" si="84"/>
        <v>0</v>
      </c>
      <c r="AV237" s="867">
        <f t="shared" si="84"/>
        <v>0</v>
      </c>
      <c r="AW237" s="867">
        <f t="shared" si="84"/>
        <v>0</v>
      </c>
      <c r="AX237" s="867">
        <f t="shared" si="84"/>
        <v>0</v>
      </c>
      <c r="AY237" s="867">
        <f t="shared" si="84"/>
        <v>0</v>
      </c>
      <c r="AZ237" s="867">
        <f t="shared" si="84"/>
        <v>0</v>
      </c>
      <c r="BA237" s="867">
        <f t="shared" si="84"/>
        <v>0</v>
      </c>
      <c r="BB237" s="867">
        <f t="shared" si="84"/>
        <v>0</v>
      </c>
      <c r="BC237" s="867">
        <f t="shared" si="84"/>
        <v>0</v>
      </c>
      <c r="BD237" s="867">
        <f t="shared" si="84"/>
        <v>0</v>
      </c>
      <c r="BE237" s="867">
        <f t="shared" si="84"/>
        <v>0</v>
      </c>
    </row>
    <row r="238" spans="2:57" x14ac:dyDescent="0.25">
      <c r="B238" s="852"/>
      <c r="D238" s="908"/>
      <c r="E238" s="867" t="str">
        <f t="shared" si="78"/>
        <v>Opex existing pipeline</v>
      </c>
      <c r="F238" s="867" t="str">
        <f t="shared" si="78"/>
        <v>[kEUR]</v>
      </c>
      <c r="G238" s="867">
        <f t="shared" si="78"/>
        <v>-2298.2385540401851</v>
      </c>
      <c r="H238" s="867">
        <f t="shared" si="78"/>
        <v>-932.40472338845098</v>
      </c>
      <c r="I238" s="867"/>
      <c r="J238" s="867">
        <f t="shared" ref="J238:BE238" si="85">J117</f>
        <v>0</v>
      </c>
      <c r="K238" s="867">
        <f t="shared" si="85"/>
        <v>0</v>
      </c>
      <c r="L238" s="867">
        <f t="shared" si="85"/>
        <v>0</v>
      </c>
      <c r="M238" s="867">
        <f t="shared" si="85"/>
        <v>0</v>
      </c>
      <c r="N238" s="867">
        <f t="shared" si="85"/>
        <v>0</v>
      </c>
      <c r="O238" s="867">
        <f t="shared" si="85"/>
        <v>0</v>
      </c>
      <c r="P238" s="867">
        <f t="shared" si="85"/>
        <v>0</v>
      </c>
      <c r="Q238" s="867">
        <f t="shared" si="85"/>
        <v>0</v>
      </c>
      <c r="R238" s="867">
        <f t="shared" si="85"/>
        <v>-557.60726251506344</v>
      </c>
      <c r="S238" s="867">
        <f t="shared" si="85"/>
        <v>-568.7594077653647</v>
      </c>
      <c r="T238" s="867">
        <f t="shared" si="85"/>
        <v>-580.13459592067204</v>
      </c>
      <c r="U238" s="867">
        <f t="shared" si="85"/>
        <v>-591.7372878390853</v>
      </c>
      <c r="V238" s="867">
        <f t="shared" si="85"/>
        <v>0</v>
      </c>
      <c r="W238" s="867">
        <f t="shared" si="85"/>
        <v>0</v>
      </c>
      <c r="X238" s="867">
        <f t="shared" si="85"/>
        <v>0</v>
      </c>
      <c r="Y238" s="867">
        <f t="shared" si="85"/>
        <v>0</v>
      </c>
      <c r="Z238" s="867">
        <f t="shared" si="85"/>
        <v>0</v>
      </c>
      <c r="AA238" s="867">
        <f t="shared" si="85"/>
        <v>0</v>
      </c>
      <c r="AB238" s="867">
        <f t="shared" si="85"/>
        <v>0</v>
      </c>
      <c r="AC238" s="867">
        <f t="shared" si="85"/>
        <v>0</v>
      </c>
      <c r="AD238" s="867">
        <f t="shared" si="85"/>
        <v>0</v>
      </c>
      <c r="AE238" s="867">
        <f t="shared" si="85"/>
        <v>0</v>
      </c>
      <c r="AF238" s="867">
        <f t="shared" si="85"/>
        <v>0</v>
      </c>
      <c r="AG238" s="867">
        <f t="shared" si="85"/>
        <v>0</v>
      </c>
      <c r="AH238" s="867">
        <f t="shared" si="85"/>
        <v>0</v>
      </c>
      <c r="AI238" s="867">
        <f t="shared" si="85"/>
        <v>0</v>
      </c>
      <c r="AJ238" s="867">
        <f t="shared" si="85"/>
        <v>0</v>
      </c>
      <c r="AK238" s="867">
        <f t="shared" si="85"/>
        <v>0</v>
      </c>
      <c r="AL238" s="867">
        <f t="shared" si="85"/>
        <v>0</v>
      </c>
      <c r="AM238" s="867">
        <f t="shared" si="85"/>
        <v>0</v>
      </c>
      <c r="AN238" s="867">
        <f t="shared" si="85"/>
        <v>0</v>
      </c>
      <c r="AO238" s="867">
        <f t="shared" si="85"/>
        <v>0</v>
      </c>
      <c r="AP238" s="867">
        <f t="shared" si="85"/>
        <v>0</v>
      </c>
      <c r="AQ238" s="867">
        <f t="shared" si="85"/>
        <v>0</v>
      </c>
      <c r="AR238" s="867">
        <f t="shared" si="85"/>
        <v>0</v>
      </c>
      <c r="AS238" s="867">
        <f t="shared" si="85"/>
        <v>0</v>
      </c>
      <c r="AT238" s="867">
        <f t="shared" si="85"/>
        <v>0</v>
      </c>
      <c r="AU238" s="867">
        <f t="shared" si="85"/>
        <v>0</v>
      </c>
      <c r="AV238" s="867">
        <f t="shared" si="85"/>
        <v>0</v>
      </c>
      <c r="AW238" s="867">
        <f t="shared" si="85"/>
        <v>0</v>
      </c>
      <c r="AX238" s="867">
        <f t="shared" si="85"/>
        <v>0</v>
      </c>
      <c r="AY238" s="867">
        <f t="shared" si="85"/>
        <v>0</v>
      </c>
      <c r="AZ238" s="867">
        <f t="shared" si="85"/>
        <v>0</v>
      </c>
      <c r="BA238" s="867">
        <f t="shared" si="85"/>
        <v>0</v>
      </c>
      <c r="BB238" s="867">
        <f t="shared" si="85"/>
        <v>0</v>
      </c>
      <c r="BC238" s="867">
        <f t="shared" si="85"/>
        <v>0</v>
      </c>
      <c r="BD238" s="867">
        <f t="shared" si="85"/>
        <v>0</v>
      </c>
      <c r="BE238" s="867">
        <f t="shared" si="85"/>
        <v>0</v>
      </c>
    </row>
    <row r="239" spans="2:57" x14ac:dyDescent="0.25">
      <c r="B239" s="852"/>
      <c r="D239" s="908"/>
      <c r="E239" s="867" t="str">
        <f t="shared" si="78"/>
        <v>Cost of hydrogen extraction (admix)</v>
      </c>
      <c r="F239" s="867" t="str">
        <f t="shared" si="78"/>
        <v>[kEUR]</v>
      </c>
      <c r="G239" s="867">
        <f t="shared" si="78"/>
        <v>-658.00292391576818</v>
      </c>
      <c r="H239" s="867">
        <f t="shared" si="78"/>
        <v>-266.95446092135575</v>
      </c>
      <c r="I239" s="867"/>
      <c r="J239" s="867">
        <f t="shared" ref="J239:BE239" si="86">J118</f>
        <v>0</v>
      </c>
      <c r="K239" s="867">
        <f t="shared" si="86"/>
        <v>0</v>
      </c>
      <c r="L239" s="867">
        <f t="shared" si="86"/>
        <v>0</v>
      </c>
      <c r="M239" s="867">
        <f t="shared" si="86"/>
        <v>0</v>
      </c>
      <c r="N239" s="867">
        <f t="shared" si="86"/>
        <v>0</v>
      </c>
      <c r="O239" s="867">
        <f t="shared" si="86"/>
        <v>0</v>
      </c>
      <c r="P239" s="867">
        <f t="shared" si="86"/>
        <v>0</v>
      </c>
      <c r="Q239" s="867">
        <f t="shared" si="86"/>
        <v>0</v>
      </c>
      <c r="R239" s="867">
        <f t="shared" si="86"/>
        <v>-159.64713866912336</v>
      </c>
      <c r="S239" s="867">
        <f t="shared" si="86"/>
        <v>-162.84008144250586</v>
      </c>
      <c r="T239" s="867">
        <f t="shared" si="86"/>
        <v>-166.09688307135599</v>
      </c>
      <c r="U239" s="867">
        <f t="shared" si="86"/>
        <v>-169.41882073278305</v>
      </c>
      <c r="V239" s="867">
        <f t="shared" si="86"/>
        <v>0</v>
      </c>
      <c r="W239" s="867">
        <f t="shared" si="86"/>
        <v>0</v>
      </c>
      <c r="X239" s="867">
        <f t="shared" si="86"/>
        <v>0</v>
      </c>
      <c r="Y239" s="867">
        <f t="shared" si="86"/>
        <v>0</v>
      </c>
      <c r="Z239" s="867">
        <f t="shared" si="86"/>
        <v>0</v>
      </c>
      <c r="AA239" s="867">
        <f t="shared" si="86"/>
        <v>0</v>
      </c>
      <c r="AB239" s="867">
        <f t="shared" si="86"/>
        <v>0</v>
      </c>
      <c r="AC239" s="867">
        <f t="shared" si="86"/>
        <v>0</v>
      </c>
      <c r="AD239" s="867">
        <f t="shared" si="86"/>
        <v>0</v>
      </c>
      <c r="AE239" s="867">
        <f t="shared" si="86"/>
        <v>0</v>
      </c>
      <c r="AF239" s="867">
        <f t="shared" si="86"/>
        <v>0</v>
      </c>
      <c r="AG239" s="867">
        <f t="shared" si="86"/>
        <v>0</v>
      </c>
      <c r="AH239" s="867">
        <f t="shared" si="86"/>
        <v>0</v>
      </c>
      <c r="AI239" s="867">
        <f t="shared" si="86"/>
        <v>0</v>
      </c>
      <c r="AJ239" s="867">
        <f t="shared" si="86"/>
        <v>0</v>
      </c>
      <c r="AK239" s="867">
        <f t="shared" si="86"/>
        <v>0</v>
      </c>
      <c r="AL239" s="867">
        <f t="shared" si="86"/>
        <v>0</v>
      </c>
      <c r="AM239" s="867">
        <f t="shared" si="86"/>
        <v>0</v>
      </c>
      <c r="AN239" s="867">
        <f t="shared" si="86"/>
        <v>0</v>
      </c>
      <c r="AO239" s="867">
        <f t="shared" si="86"/>
        <v>0</v>
      </c>
      <c r="AP239" s="867">
        <f t="shared" si="86"/>
        <v>0</v>
      </c>
      <c r="AQ239" s="867">
        <f t="shared" si="86"/>
        <v>0</v>
      </c>
      <c r="AR239" s="867">
        <f t="shared" si="86"/>
        <v>0</v>
      </c>
      <c r="AS239" s="867">
        <f t="shared" si="86"/>
        <v>0</v>
      </c>
      <c r="AT239" s="867">
        <f t="shared" si="86"/>
        <v>0</v>
      </c>
      <c r="AU239" s="867">
        <f t="shared" si="86"/>
        <v>0</v>
      </c>
      <c r="AV239" s="867">
        <f t="shared" si="86"/>
        <v>0</v>
      </c>
      <c r="AW239" s="867">
        <f t="shared" si="86"/>
        <v>0</v>
      </c>
      <c r="AX239" s="867">
        <f t="shared" si="86"/>
        <v>0</v>
      </c>
      <c r="AY239" s="867">
        <f t="shared" si="86"/>
        <v>0</v>
      </c>
      <c r="AZ239" s="867">
        <f t="shared" si="86"/>
        <v>0</v>
      </c>
      <c r="BA239" s="867">
        <f t="shared" si="86"/>
        <v>0</v>
      </c>
      <c r="BB239" s="867">
        <f t="shared" si="86"/>
        <v>0</v>
      </c>
      <c r="BC239" s="867">
        <f t="shared" si="86"/>
        <v>0</v>
      </c>
      <c r="BD239" s="867">
        <f t="shared" si="86"/>
        <v>0</v>
      </c>
      <c r="BE239" s="867">
        <f t="shared" si="86"/>
        <v>0</v>
      </c>
    </row>
    <row r="240" spans="2:57" x14ac:dyDescent="0.25">
      <c r="B240" s="852"/>
      <c r="D240" s="908"/>
      <c r="E240" s="867" t="str">
        <f t="shared" si="78"/>
        <v>Opex cable (H2)</v>
      </c>
      <c r="F240" s="867" t="str">
        <f t="shared" si="78"/>
        <v>[kEUR]</v>
      </c>
      <c r="G240" s="867">
        <f t="shared" si="78"/>
        <v>0</v>
      </c>
      <c r="H240" s="867">
        <f t="shared" si="78"/>
        <v>0</v>
      </c>
      <c r="I240" s="867"/>
      <c r="J240" s="867">
        <f t="shared" ref="J240:BE240" si="87">J119</f>
        <v>0</v>
      </c>
      <c r="K240" s="867">
        <f t="shared" si="87"/>
        <v>0</v>
      </c>
      <c r="L240" s="867">
        <f t="shared" si="87"/>
        <v>0</v>
      </c>
      <c r="M240" s="867">
        <f t="shared" si="87"/>
        <v>0</v>
      </c>
      <c r="N240" s="867">
        <f t="shared" si="87"/>
        <v>0</v>
      </c>
      <c r="O240" s="867">
        <f t="shared" si="87"/>
        <v>0</v>
      </c>
      <c r="P240" s="867">
        <f t="shared" si="87"/>
        <v>0</v>
      </c>
      <c r="Q240" s="867">
        <f t="shared" si="87"/>
        <v>0</v>
      </c>
      <c r="R240" s="867">
        <f t="shared" si="87"/>
        <v>0</v>
      </c>
      <c r="S240" s="867">
        <f t="shared" si="87"/>
        <v>0</v>
      </c>
      <c r="T240" s="867">
        <f t="shared" si="87"/>
        <v>0</v>
      </c>
      <c r="U240" s="867">
        <f t="shared" si="87"/>
        <v>0</v>
      </c>
      <c r="V240" s="867">
        <f t="shared" si="87"/>
        <v>0</v>
      </c>
      <c r="W240" s="867">
        <f t="shared" si="87"/>
        <v>0</v>
      </c>
      <c r="X240" s="867">
        <f t="shared" si="87"/>
        <v>0</v>
      </c>
      <c r="Y240" s="867">
        <f t="shared" si="87"/>
        <v>0</v>
      </c>
      <c r="Z240" s="867">
        <f t="shared" si="87"/>
        <v>0</v>
      </c>
      <c r="AA240" s="867">
        <f t="shared" si="87"/>
        <v>0</v>
      </c>
      <c r="AB240" s="867">
        <f t="shared" si="87"/>
        <v>0</v>
      </c>
      <c r="AC240" s="867">
        <f t="shared" si="87"/>
        <v>0</v>
      </c>
      <c r="AD240" s="867">
        <f t="shared" si="87"/>
        <v>0</v>
      </c>
      <c r="AE240" s="867">
        <f t="shared" si="87"/>
        <v>0</v>
      </c>
      <c r="AF240" s="867">
        <f t="shared" si="87"/>
        <v>0</v>
      </c>
      <c r="AG240" s="867">
        <f t="shared" si="87"/>
        <v>0</v>
      </c>
      <c r="AH240" s="867">
        <f t="shared" si="87"/>
        <v>0</v>
      </c>
      <c r="AI240" s="867">
        <f t="shared" si="87"/>
        <v>0</v>
      </c>
      <c r="AJ240" s="867">
        <f t="shared" si="87"/>
        <v>0</v>
      </c>
      <c r="AK240" s="867">
        <f t="shared" si="87"/>
        <v>0</v>
      </c>
      <c r="AL240" s="867">
        <f t="shared" si="87"/>
        <v>0</v>
      </c>
      <c r="AM240" s="867">
        <f t="shared" si="87"/>
        <v>0</v>
      </c>
      <c r="AN240" s="867">
        <f t="shared" si="87"/>
        <v>0</v>
      </c>
      <c r="AO240" s="867">
        <f t="shared" si="87"/>
        <v>0</v>
      </c>
      <c r="AP240" s="867">
        <f t="shared" si="87"/>
        <v>0</v>
      </c>
      <c r="AQ240" s="867">
        <f t="shared" si="87"/>
        <v>0</v>
      </c>
      <c r="AR240" s="867">
        <f t="shared" si="87"/>
        <v>0</v>
      </c>
      <c r="AS240" s="867">
        <f t="shared" si="87"/>
        <v>0</v>
      </c>
      <c r="AT240" s="867">
        <f t="shared" si="87"/>
        <v>0</v>
      </c>
      <c r="AU240" s="867">
        <f t="shared" si="87"/>
        <v>0</v>
      </c>
      <c r="AV240" s="867">
        <f t="shared" si="87"/>
        <v>0</v>
      </c>
      <c r="AW240" s="867">
        <f t="shared" si="87"/>
        <v>0</v>
      </c>
      <c r="AX240" s="867">
        <f t="shared" si="87"/>
        <v>0</v>
      </c>
      <c r="AY240" s="867">
        <f t="shared" si="87"/>
        <v>0</v>
      </c>
      <c r="AZ240" s="867">
        <f t="shared" si="87"/>
        <v>0</v>
      </c>
      <c r="BA240" s="867">
        <f t="shared" si="87"/>
        <v>0</v>
      </c>
      <c r="BB240" s="867">
        <f t="shared" si="87"/>
        <v>0</v>
      </c>
      <c r="BC240" s="867">
        <f t="shared" si="87"/>
        <v>0</v>
      </c>
      <c r="BD240" s="867">
        <f t="shared" si="87"/>
        <v>0</v>
      </c>
      <c r="BE240" s="867">
        <f t="shared" si="87"/>
        <v>0</v>
      </c>
    </row>
    <row r="241" spans="2:57" x14ac:dyDescent="0.25">
      <c r="B241" s="852"/>
      <c r="D241" s="908"/>
      <c r="E241" s="867" t="str">
        <f t="shared" si="78"/>
        <v>Opex platform</v>
      </c>
      <c r="F241" s="867" t="str">
        <f t="shared" si="78"/>
        <v>[kEUR]</v>
      </c>
      <c r="G241" s="867">
        <f t="shared" si="78"/>
        <v>0</v>
      </c>
      <c r="H241" s="867">
        <f t="shared" si="78"/>
        <v>0</v>
      </c>
      <c r="I241" s="867"/>
      <c r="J241" s="867">
        <f t="shared" ref="J241:BE241" si="88">J120</f>
        <v>0</v>
      </c>
      <c r="K241" s="867">
        <f t="shared" si="88"/>
        <v>0</v>
      </c>
      <c r="L241" s="867">
        <f t="shared" si="88"/>
        <v>0</v>
      </c>
      <c r="M241" s="867">
        <f t="shared" si="88"/>
        <v>0</v>
      </c>
      <c r="N241" s="867">
        <f t="shared" si="88"/>
        <v>0</v>
      </c>
      <c r="O241" s="867">
        <f t="shared" si="88"/>
        <v>0</v>
      </c>
      <c r="P241" s="867">
        <f t="shared" si="88"/>
        <v>0</v>
      </c>
      <c r="Q241" s="867">
        <f t="shared" si="88"/>
        <v>0</v>
      </c>
      <c r="R241" s="867">
        <f t="shared" si="88"/>
        <v>0</v>
      </c>
      <c r="S241" s="867">
        <f t="shared" si="88"/>
        <v>0</v>
      </c>
      <c r="T241" s="867">
        <f t="shared" si="88"/>
        <v>0</v>
      </c>
      <c r="U241" s="867">
        <f t="shared" si="88"/>
        <v>0</v>
      </c>
      <c r="V241" s="867">
        <f t="shared" si="88"/>
        <v>0</v>
      </c>
      <c r="W241" s="867">
        <f t="shared" si="88"/>
        <v>0</v>
      </c>
      <c r="X241" s="867">
        <f t="shared" si="88"/>
        <v>0</v>
      </c>
      <c r="Y241" s="867">
        <f t="shared" si="88"/>
        <v>0</v>
      </c>
      <c r="Z241" s="867">
        <f t="shared" si="88"/>
        <v>0</v>
      </c>
      <c r="AA241" s="867">
        <f t="shared" si="88"/>
        <v>0</v>
      </c>
      <c r="AB241" s="867">
        <f t="shared" si="88"/>
        <v>0</v>
      </c>
      <c r="AC241" s="867">
        <f t="shared" si="88"/>
        <v>0</v>
      </c>
      <c r="AD241" s="867">
        <f t="shared" si="88"/>
        <v>0</v>
      </c>
      <c r="AE241" s="867">
        <f t="shared" si="88"/>
        <v>0</v>
      </c>
      <c r="AF241" s="867">
        <f t="shared" si="88"/>
        <v>0</v>
      </c>
      <c r="AG241" s="867">
        <f t="shared" si="88"/>
        <v>0</v>
      </c>
      <c r="AH241" s="867">
        <f t="shared" si="88"/>
        <v>0</v>
      </c>
      <c r="AI241" s="867">
        <f t="shared" si="88"/>
        <v>0</v>
      </c>
      <c r="AJ241" s="867">
        <f t="shared" si="88"/>
        <v>0</v>
      </c>
      <c r="AK241" s="867">
        <f t="shared" si="88"/>
        <v>0</v>
      </c>
      <c r="AL241" s="867">
        <f t="shared" si="88"/>
        <v>0</v>
      </c>
      <c r="AM241" s="867">
        <f t="shared" si="88"/>
        <v>0</v>
      </c>
      <c r="AN241" s="867">
        <f t="shared" si="88"/>
        <v>0</v>
      </c>
      <c r="AO241" s="867">
        <f t="shared" si="88"/>
        <v>0</v>
      </c>
      <c r="AP241" s="867">
        <f t="shared" si="88"/>
        <v>0</v>
      </c>
      <c r="AQ241" s="867">
        <f t="shared" si="88"/>
        <v>0</v>
      </c>
      <c r="AR241" s="867">
        <f t="shared" si="88"/>
        <v>0</v>
      </c>
      <c r="AS241" s="867">
        <f t="shared" si="88"/>
        <v>0</v>
      </c>
      <c r="AT241" s="867">
        <f t="shared" si="88"/>
        <v>0</v>
      </c>
      <c r="AU241" s="867">
        <f t="shared" si="88"/>
        <v>0</v>
      </c>
      <c r="AV241" s="867">
        <f t="shared" si="88"/>
        <v>0</v>
      </c>
      <c r="AW241" s="867">
        <f t="shared" si="88"/>
        <v>0</v>
      </c>
      <c r="AX241" s="867">
        <f t="shared" si="88"/>
        <v>0</v>
      </c>
      <c r="AY241" s="867">
        <f t="shared" si="88"/>
        <v>0</v>
      </c>
      <c r="AZ241" s="867">
        <f t="shared" si="88"/>
        <v>0</v>
      </c>
      <c r="BA241" s="867">
        <f t="shared" si="88"/>
        <v>0</v>
      </c>
      <c r="BB241" s="867">
        <f t="shared" si="88"/>
        <v>0</v>
      </c>
      <c r="BC241" s="867">
        <f t="shared" si="88"/>
        <v>0</v>
      </c>
      <c r="BD241" s="867">
        <f t="shared" si="88"/>
        <v>0</v>
      </c>
      <c r="BE241" s="867">
        <f t="shared" si="88"/>
        <v>0</v>
      </c>
    </row>
    <row r="242" spans="2:57" x14ac:dyDescent="0.25">
      <c r="B242" s="851"/>
      <c r="D242" s="862"/>
      <c r="E242" s="864" t="str">
        <f>B136</f>
        <v>Large H2</v>
      </c>
      <c r="F242" s="864" t="s">
        <v>979</v>
      </c>
      <c r="G242" s="1024">
        <f t="shared" ref="G242:H252" si="89">G147</f>
        <v>-709447.97461106465</v>
      </c>
      <c r="H242" s="1024">
        <f t="shared" si="89"/>
        <v>-94219.268753351309</v>
      </c>
      <c r="I242" s="864"/>
      <c r="J242" s="1024">
        <f t="shared" ref="J242:AX242" si="90">SUM(J243:J252)</f>
        <v>0</v>
      </c>
      <c r="K242" s="1024">
        <f t="shared" si="90"/>
        <v>0</v>
      </c>
      <c r="L242" s="1024">
        <f t="shared" si="90"/>
        <v>0</v>
      </c>
      <c r="M242" s="1024">
        <f t="shared" si="90"/>
        <v>0</v>
      </c>
      <c r="N242" s="1024">
        <f t="shared" si="90"/>
        <v>0</v>
      </c>
      <c r="O242" s="1024">
        <f t="shared" si="90"/>
        <v>0</v>
      </c>
      <c r="P242" s="1024">
        <f t="shared" si="90"/>
        <v>0</v>
      </c>
      <c r="Q242" s="1024">
        <f t="shared" si="90"/>
        <v>0</v>
      </c>
      <c r="R242" s="1024">
        <f t="shared" si="90"/>
        <v>0</v>
      </c>
      <c r="S242" s="1024">
        <f t="shared" si="90"/>
        <v>0</v>
      </c>
      <c r="T242" s="1024">
        <f t="shared" si="90"/>
        <v>0</v>
      </c>
      <c r="U242" s="1024">
        <f t="shared" si="90"/>
        <v>0</v>
      </c>
      <c r="V242" s="1024">
        <f t="shared" si="90"/>
        <v>0</v>
      </c>
      <c r="W242" s="1024">
        <f t="shared" si="90"/>
        <v>-31023.224309678029</v>
      </c>
      <c r="X242" s="1024">
        <f t="shared" si="90"/>
        <v>-31649.23921768595</v>
      </c>
      <c r="Y242" s="1024">
        <f t="shared" si="90"/>
        <v>-32287.885432290299</v>
      </c>
      <c r="Z242" s="1024">
        <f t="shared" si="90"/>
        <v>-32939.417799791772</v>
      </c>
      <c r="AA242" s="1024">
        <f t="shared" si="90"/>
        <v>-33604.096307820379</v>
      </c>
      <c r="AB242" s="1024">
        <f t="shared" si="90"/>
        <v>-34282.186189050204</v>
      </c>
      <c r="AC242" s="1024">
        <f t="shared" si="90"/>
        <v>-34973.958027006098</v>
      </c>
      <c r="AD242" s="1024">
        <f t="shared" si="90"/>
        <v>-35679.68786400462</v>
      </c>
      <c r="AE242" s="1024">
        <f t="shared" si="90"/>
        <v>-36399.657311272269</v>
      </c>
      <c r="AF242" s="1024">
        <f t="shared" si="90"/>
        <v>-37134.153661285025</v>
      </c>
      <c r="AG242" s="1024">
        <f t="shared" si="90"/>
        <v>-37876.836734510711</v>
      </c>
      <c r="AH242" s="1024">
        <f t="shared" si="90"/>
        <v>-38634.373469200924</v>
      </c>
      <c r="AI242" s="1024">
        <f t="shared" si="90"/>
        <v>-39407.060938584946</v>
      </c>
      <c r="AJ242" s="1024">
        <f t="shared" si="90"/>
        <v>-40195.202157356645</v>
      </c>
      <c r="AK242" s="1024">
        <f t="shared" si="90"/>
        <v>-40999.106200503775</v>
      </c>
      <c r="AL242" s="1024">
        <f t="shared" si="90"/>
        <v>-41819.088324513854</v>
      </c>
      <c r="AM242" s="1024">
        <f t="shared" si="90"/>
        <v>-42655.470091004128</v>
      </c>
      <c r="AN242" s="1024">
        <f t="shared" si="90"/>
        <v>-43508.57949282421</v>
      </c>
      <c r="AO242" s="1024">
        <f t="shared" si="90"/>
        <v>-44378.75108268069</v>
      </c>
      <c r="AP242" s="1024">
        <f t="shared" si="90"/>
        <v>0</v>
      </c>
      <c r="AQ242" s="1024">
        <f t="shared" si="90"/>
        <v>0</v>
      </c>
      <c r="AR242" s="1024">
        <f t="shared" si="90"/>
        <v>0</v>
      </c>
      <c r="AS242" s="1024">
        <f t="shared" si="90"/>
        <v>0</v>
      </c>
      <c r="AT242" s="1024">
        <f t="shared" si="90"/>
        <v>0</v>
      </c>
      <c r="AU242" s="1024">
        <f t="shared" si="90"/>
        <v>0</v>
      </c>
      <c r="AV242" s="1024">
        <f t="shared" si="90"/>
        <v>0</v>
      </c>
      <c r="AW242" s="1024">
        <f t="shared" si="90"/>
        <v>0</v>
      </c>
      <c r="AX242" s="1024">
        <f t="shared" si="90"/>
        <v>0</v>
      </c>
      <c r="AY242" s="1024">
        <f t="shared" ref="AY242:BE242" si="91">SUM(AY243:AY252)</f>
        <v>0</v>
      </c>
      <c r="AZ242" s="1024">
        <f t="shared" si="91"/>
        <v>0</v>
      </c>
      <c r="BA242" s="1024">
        <f t="shared" si="91"/>
        <v>0</v>
      </c>
      <c r="BB242" s="1024">
        <f t="shared" si="91"/>
        <v>0</v>
      </c>
      <c r="BC242" s="1024">
        <f t="shared" si="91"/>
        <v>0</v>
      </c>
      <c r="BD242" s="1024">
        <f t="shared" si="91"/>
        <v>0</v>
      </c>
      <c r="BE242" s="1024">
        <f t="shared" si="91"/>
        <v>0</v>
      </c>
    </row>
    <row r="243" spans="2:57" x14ac:dyDescent="0.25">
      <c r="B243" s="851"/>
      <c r="D243" s="862"/>
      <c r="E243" s="870" t="str">
        <f t="shared" ref="E243:F252" si="92">E148</f>
        <v>Energy requirement desalination unit</v>
      </c>
      <c r="F243" s="870" t="str">
        <f t="shared" si="92"/>
        <v>[kEUR]</v>
      </c>
      <c r="G243" s="867">
        <f t="shared" si="89"/>
        <v>-1715.2212804211908</v>
      </c>
      <c r="H243" s="867">
        <f t="shared" si="89"/>
        <v>-223.12800769670153</v>
      </c>
      <c r="I243" s="867"/>
      <c r="J243" s="867">
        <f t="shared" ref="J243:BE243" si="93">J148</f>
        <v>0</v>
      </c>
      <c r="K243" s="867">
        <f t="shared" si="93"/>
        <v>0</v>
      </c>
      <c r="L243" s="867">
        <f t="shared" si="93"/>
        <v>0</v>
      </c>
      <c r="M243" s="867">
        <f t="shared" si="93"/>
        <v>0</v>
      </c>
      <c r="N243" s="867">
        <f t="shared" si="93"/>
        <v>0</v>
      </c>
      <c r="O243" s="867">
        <f t="shared" si="93"/>
        <v>0</v>
      </c>
      <c r="P243" s="867">
        <f t="shared" si="93"/>
        <v>0</v>
      </c>
      <c r="Q243" s="867">
        <f t="shared" si="93"/>
        <v>0</v>
      </c>
      <c r="R243" s="867">
        <f t="shared" si="93"/>
        <v>0</v>
      </c>
      <c r="S243" s="867">
        <f t="shared" si="93"/>
        <v>0</v>
      </c>
      <c r="T243" s="867">
        <f t="shared" si="93"/>
        <v>0</v>
      </c>
      <c r="U243" s="867">
        <f t="shared" si="93"/>
        <v>0</v>
      </c>
      <c r="V243" s="867">
        <f t="shared" si="93"/>
        <v>0</v>
      </c>
      <c r="W243" s="867">
        <f t="shared" si="93"/>
        <v>-67.821089195561683</v>
      </c>
      <c r="X243" s="867">
        <f t="shared" si="93"/>
        <v>-70.249587187163215</v>
      </c>
      <c r="Y243" s="867">
        <f t="shared" si="93"/>
        <v>-72.748096662750569</v>
      </c>
      <c r="Z243" s="867">
        <f t="shared" si="93"/>
        <v>-75.318446682486567</v>
      </c>
      <c r="AA243" s="867">
        <f t="shared" si="93"/>
        <v>-77.962511464346903</v>
      </c>
      <c r="AB243" s="867">
        <f t="shared" si="93"/>
        <v>-80.682211458808638</v>
      </c>
      <c r="AC243" s="867">
        <f t="shared" si="93"/>
        <v>-83.479514448463135</v>
      </c>
      <c r="AD243" s="867">
        <f t="shared" si="93"/>
        <v>-86.356436673120271</v>
      </c>
      <c r="AE243" s="867">
        <f t="shared" si="93"/>
        <v>-89.315043980984314</v>
      </c>
      <c r="AF243" s="867">
        <f t="shared" si="93"/>
        <v>-92.357453006493657</v>
      </c>
      <c r="AG243" s="867">
        <f t="shared" si="93"/>
        <v>-94.204602066623508</v>
      </c>
      <c r="AH243" s="867">
        <f t="shared" si="93"/>
        <v>-96.088694107955973</v>
      </c>
      <c r="AI243" s="867">
        <f t="shared" si="93"/>
        <v>-98.010467990115089</v>
      </c>
      <c r="AJ243" s="867">
        <f t="shared" si="93"/>
        <v>-99.970677349917409</v>
      </c>
      <c r="AK243" s="867">
        <f t="shared" si="93"/>
        <v>-101.97009089691575</v>
      </c>
      <c r="AL243" s="867">
        <f t="shared" si="93"/>
        <v>-104.00949271485408</v>
      </c>
      <c r="AM243" s="867">
        <f t="shared" si="93"/>
        <v>-106.08968256915115</v>
      </c>
      <c r="AN243" s="867">
        <f t="shared" si="93"/>
        <v>-108.21147622053418</v>
      </c>
      <c r="AO243" s="867">
        <f t="shared" si="93"/>
        <v>-110.37570574494484</v>
      </c>
      <c r="AP243" s="867">
        <f t="shared" si="93"/>
        <v>0</v>
      </c>
      <c r="AQ243" s="867">
        <f t="shared" si="93"/>
        <v>0</v>
      </c>
      <c r="AR243" s="867">
        <f t="shared" si="93"/>
        <v>0</v>
      </c>
      <c r="AS243" s="867">
        <f t="shared" si="93"/>
        <v>0</v>
      </c>
      <c r="AT243" s="867">
        <f t="shared" si="93"/>
        <v>0</v>
      </c>
      <c r="AU243" s="867">
        <f t="shared" si="93"/>
        <v>0</v>
      </c>
      <c r="AV243" s="867">
        <f t="shared" si="93"/>
        <v>0</v>
      </c>
      <c r="AW243" s="867">
        <f t="shared" si="93"/>
        <v>0</v>
      </c>
      <c r="AX243" s="867">
        <f t="shared" si="93"/>
        <v>0</v>
      </c>
      <c r="AY243" s="867">
        <f t="shared" si="93"/>
        <v>0</v>
      </c>
      <c r="AZ243" s="867">
        <f t="shared" si="93"/>
        <v>0</v>
      </c>
      <c r="BA243" s="867">
        <f t="shared" si="93"/>
        <v>0</v>
      </c>
      <c r="BB243" s="867">
        <f t="shared" si="93"/>
        <v>0</v>
      </c>
      <c r="BC243" s="867">
        <f t="shared" si="93"/>
        <v>0</v>
      </c>
      <c r="BD243" s="867">
        <f t="shared" si="93"/>
        <v>0</v>
      </c>
      <c r="BE243" s="867">
        <f t="shared" si="93"/>
        <v>0</v>
      </c>
    </row>
    <row r="244" spans="2:57" x14ac:dyDescent="0.25">
      <c r="B244" s="851"/>
      <c r="D244" s="316"/>
      <c r="E244" s="867" t="str">
        <f t="shared" si="92"/>
        <v>Electricity costs electrolysis</v>
      </c>
      <c r="F244" s="867" t="str">
        <f t="shared" si="92"/>
        <v>[kEUR]</v>
      </c>
      <c r="G244" s="867">
        <f t="shared" si="89"/>
        <v>-358514.19510834542</v>
      </c>
      <c r="H244" s="867">
        <f t="shared" si="89"/>
        <v>-47625.356667328502</v>
      </c>
      <c r="I244" s="867"/>
      <c r="J244" s="867">
        <f t="shared" ref="J244:BE244" si="94">J149</f>
        <v>0</v>
      </c>
      <c r="K244" s="867">
        <f t="shared" si="94"/>
        <v>0</v>
      </c>
      <c r="L244" s="867">
        <f t="shared" si="94"/>
        <v>0</v>
      </c>
      <c r="M244" s="867">
        <f t="shared" si="94"/>
        <v>0</v>
      </c>
      <c r="N244" s="867">
        <f t="shared" si="94"/>
        <v>0</v>
      </c>
      <c r="O244" s="867">
        <f t="shared" si="94"/>
        <v>0</v>
      </c>
      <c r="P244" s="867">
        <f t="shared" si="94"/>
        <v>0</v>
      </c>
      <c r="Q244" s="867">
        <f t="shared" si="94"/>
        <v>0</v>
      </c>
      <c r="R244" s="867">
        <f t="shared" si="94"/>
        <v>0</v>
      </c>
      <c r="S244" s="867">
        <f t="shared" si="94"/>
        <v>0</v>
      </c>
      <c r="T244" s="867">
        <f t="shared" si="94"/>
        <v>0</v>
      </c>
      <c r="U244" s="867">
        <f t="shared" si="94"/>
        <v>0</v>
      </c>
      <c r="V244" s="867">
        <f t="shared" si="94"/>
        <v>0</v>
      </c>
      <c r="W244" s="867">
        <f t="shared" si="94"/>
        <v>-15696.384706375749</v>
      </c>
      <c r="X244" s="867">
        <f t="shared" si="94"/>
        <v>-16010.312400503266</v>
      </c>
      <c r="Y244" s="867">
        <f t="shared" si="94"/>
        <v>-16330.518648513329</v>
      </c>
      <c r="Z244" s="867">
        <f t="shared" si="94"/>
        <v>-16657.129021483597</v>
      </c>
      <c r="AA244" s="867">
        <f t="shared" si="94"/>
        <v>-16990.271601913271</v>
      </c>
      <c r="AB244" s="867">
        <f t="shared" si="94"/>
        <v>-17330.077033951533</v>
      </c>
      <c r="AC244" s="867">
        <f t="shared" si="94"/>
        <v>-17676.678574630561</v>
      </c>
      <c r="AD244" s="867">
        <f t="shared" si="94"/>
        <v>-18030.21214612318</v>
      </c>
      <c r="AE244" s="867">
        <f t="shared" si="94"/>
        <v>-18390.816389045642</v>
      </c>
      <c r="AF244" s="867">
        <f t="shared" si="94"/>
        <v>-18758.632716826556</v>
      </c>
      <c r="AG244" s="867">
        <f t="shared" si="94"/>
        <v>-19133.805371163082</v>
      </c>
      <c r="AH244" s="867">
        <f t="shared" si="94"/>
        <v>-19516.481478586342</v>
      </c>
      <c r="AI244" s="867">
        <f t="shared" si="94"/>
        <v>-19906.811108158072</v>
      </c>
      <c r="AJ244" s="867">
        <f t="shared" si="94"/>
        <v>-20304.947330321233</v>
      </c>
      <c r="AK244" s="867">
        <f t="shared" si="94"/>
        <v>-20711.046276927653</v>
      </c>
      <c r="AL244" s="867">
        <f t="shared" si="94"/>
        <v>-21125.267202466213</v>
      </c>
      <c r="AM244" s="867">
        <f t="shared" si="94"/>
        <v>-21547.772546515531</v>
      </c>
      <c r="AN244" s="867">
        <f t="shared" si="94"/>
        <v>-21978.727997445843</v>
      </c>
      <c r="AO244" s="867">
        <f t="shared" si="94"/>
        <v>-22418.302557394756</v>
      </c>
      <c r="AP244" s="867">
        <f t="shared" si="94"/>
        <v>0</v>
      </c>
      <c r="AQ244" s="867">
        <f t="shared" si="94"/>
        <v>0</v>
      </c>
      <c r="AR244" s="867">
        <f t="shared" si="94"/>
        <v>0</v>
      </c>
      <c r="AS244" s="867">
        <f t="shared" si="94"/>
        <v>0</v>
      </c>
      <c r="AT244" s="867">
        <f t="shared" si="94"/>
        <v>0</v>
      </c>
      <c r="AU244" s="867">
        <f t="shared" si="94"/>
        <v>0</v>
      </c>
      <c r="AV244" s="867">
        <f t="shared" si="94"/>
        <v>0</v>
      </c>
      <c r="AW244" s="867">
        <f t="shared" si="94"/>
        <v>0</v>
      </c>
      <c r="AX244" s="867">
        <f t="shared" si="94"/>
        <v>0</v>
      </c>
      <c r="AY244" s="867">
        <f t="shared" si="94"/>
        <v>0</v>
      </c>
      <c r="AZ244" s="867">
        <f t="shared" si="94"/>
        <v>0</v>
      </c>
      <c r="BA244" s="867">
        <f t="shared" si="94"/>
        <v>0</v>
      </c>
      <c r="BB244" s="867">
        <f t="shared" si="94"/>
        <v>0</v>
      </c>
      <c r="BC244" s="867">
        <f t="shared" si="94"/>
        <v>0</v>
      </c>
      <c r="BD244" s="867">
        <f t="shared" si="94"/>
        <v>0</v>
      </c>
      <c r="BE244" s="867">
        <f t="shared" si="94"/>
        <v>0</v>
      </c>
    </row>
    <row r="245" spans="2:57" x14ac:dyDescent="0.25">
      <c r="B245" s="851"/>
      <c r="D245" s="316"/>
      <c r="E245" s="867" t="str">
        <f t="shared" si="92"/>
        <v>Electricity demand H2 compressor</v>
      </c>
      <c r="F245" s="867" t="str">
        <f t="shared" si="92"/>
        <v>[kEUR]</v>
      </c>
      <c r="G245" s="867">
        <f t="shared" si="89"/>
        <v>-7164.9325211514024</v>
      </c>
      <c r="H245" s="867">
        <f t="shared" si="89"/>
        <v>-932.06464785303956</v>
      </c>
      <c r="I245" s="867"/>
      <c r="J245" s="867">
        <f t="shared" ref="J245:BE245" si="95">J150</f>
        <v>0</v>
      </c>
      <c r="K245" s="867">
        <f t="shared" si="95"/>
        <v>0</v>
      </c>
      <c r="L245" s="867">
        <f t="shared" si="95"/>
        <v>0</v>
      </c>
      <c r="M245" s="867">
        <f t="shared" si="95"/>
        <v>0</v>
      </c>
      <c r="N245" s="867">
        <f t="shared" si="95"/>
        <v>0</v>
      </c>
      <c r="O245" s="867">
        <f t="shared" si="95"/>
        <v>0</v>
      </c>
      <c r="P245" s="867">
        <f t="shared" si="95"/>
        <v>0</v>
      </c>
      <c r="Q245" s="867">
        <f t="shared" si="95"/>
        <v>0</v>
      </c>
      <c r="R245" s="867">
        <f t="shared" si="95"/>
        <v>0</v>
      </c>
      <c r="S245" s="867">
        <f t="shared" si="95"/>
        <v>0</v>
      </c>
      <c r="T245" s="867">
        <f t="shared" si="95"/>
        <v>0</v>
      </c>
      <c r="U245" s="867">
        <f t="shared" si="95"/>
        <v>0</v>
      </c>
      <c r="V245" s="867">
        <f t="shared" si="95"/>
        <v>0</v>
      </c>
      <c r="W245" s="867">
        <f t="shared" si="95"/>
        <v>-283.30661072364012</v>
      </c>
      <c r="X245" s="867">
        <f t="shared" si="95"/>
        <v>-293.45108854477814</v>
      </c>
      <c r="Y245" s="867">
        <f t="shared" si="95"/>
        <v>-303.88802283447205</v>
      </c>
      <c r="Z245" s="867">
        <f t="shared" si="95"/>
        <v>-314.62505406033603</v>
      </c>
      <c r="AA245" s="867">
        <f t="shared" si="95"/>
        <v>-325.67001132610068</v>
      </c>
      <c r="AB245" s="867">
        <f t="shared" si="95"/>
        <v>-337.03091686087174</v>
      </c>
      <c r="AC245" s="867">
        <f t="shared" si="95"/>
        <v>-348.71599061250322</v>
      </c>
      <c r="AD245" s="867">
        <f t="shared" si="95"/>
        <v>-360.7336549474557</v>
      </c>
      <c r="AE245" s="867">
        <f t="shared" si="95"/>
        <v>-373.09253945956118</v>
      </c>
      <c r="AF245" s="867">
        <f t="shared" si="95"/>
        <v>-385.80148589017188</v>
      </c>
      <c r="AG245" s="867">
        <f t="shared" si="95"/>
        <v>-393.51751560797527</v>
      </c>
      <c r="AH245" s="867">
        <f t="shared" si="95"/>
        <v>-401.38786592013474</v>
      </c>
      <c r="AI245" s="867">
        <f t="shared" si="95"/>
        <v>-409.41562323853748</v>
      </c>
      <c r="AJ245" s="867">
        <f t="shared" si="95"/>
        <v>-417.60393570330825</v>
      </c>
      <c r="AK245" s="867">
        <f t="shared" si="95"/>
        <v>-425.95601441737438</v>
      </c>
      <c r="AL245" s="867">
        <f t="shared" si="95"/>
        <v>-434.47513470572193</v>
      </c>
      <c r="AM245" s="867">
        <f t="shared" si="95"/>
        <v>-443.16463739983635</v>
      </c>
      <c r="AN245" s="867">
        <f t="shared" si="95"/>
        <v>-452.02793014783305</v>
      </c>
      <c r="AO245" s="867">
        <f t="shared" si="95"/>
        <v>-461.06848875078958</v>
      </c>
      <c r="AP245" s="867">
        <f t="shared" si="95"/>
        <v>0</v>
      </c>
      <c r="AQ245" s="867">
        <f t="shared" si="95"/>
        <v>0</v>
      </c>
      <c r="AR245" s="867">
        <f t="shared" si="95"/>
        <v>0</v>
      </c>
      <c r="AS245" s="867">
        <f t="shared" si="95"/>
        <v>0</v>
      </c>
      <c r="AT245" s="867">
        <f t="shared" si="95"/>
        <v>0</v>
      </c>
      <c r="AU245" s="867">
        <f t="shared" si="95"/>
        <v>0</v>
      </c>
      <c r="AV245" s="867">
        <f t="shared" si="95"/>
        <v>0</v>
      </c>
      <c r="AW245" s="867">
        <f t="shared" si="95"/>
        <v>0</v>
      </c>
      <c r="AX245" s="867">
        <f t="shared" si="95"/>
        <v>0</v>
      </c>
      <c r="AY245" s="867">
        <f t="shared" si="95"/>
        <v>0</v>
      </c>
      <c r="AZ245" s="867">
        <f t="shared" si="95"/>
        <v>0</v>
      </c>
      <c r="BA245" s="867">
        <f t="shared" si="95"/>
        <v>0</v>
      </c>
      <c r="BB245" s="867">
        <f t="shared" si="95"/>
        <v>0</v>
      </c>
      <c r="BC245" s="867">
        <f t="shared" si="95"/>
        <v>0</v>
      </c>
      <c r="BD245" s="867">
        <f t="shared" si="95"/>
        <v>0</v>
      </c>
      <c r="BE245" s="867">
        <f t="shared" si="95"/>
        <v>0</v>
      </c>
    </row>
    <row r="246" spans="2:57" x14ac:dyDescent="0.25">
      <c r="B246" s="851"/>
      <c r="D246" s="316"/>
      <c r="E246" s="867" t="str">
        <f t="shared" si="92"/>
        <v>OPEX desalination unit</v>
      </c>
      <c r="F246" s="867" t="str">
        <f t="shared" si="92"/>
        <v>[kEUR]</v>
      </c>
      <c r="G246" s="867">
        <f t="shared" si="89"/>
        <v>-622.25346161464165</v>
      </c>
      <c r="H246" s="867">
        <f t="shared" si="89"/>
        <v>-82.660724320612204</v>
      </c>
      <c r="I246" s="867"/>
      <c r="J246" s="867">
        <f t="shared" ref="J246:BE246" si="96">J151</f>
        <v>0</v>
      </c>
      <c r="K246" s="867">
        <f t="shared" si="96"/>
        <v>0</v>
      </c>
      <c r="L246" s="867">
        <f t="shared" si="96"/>
        <v>0</v>
      </c>
      <c r="M246" s="867">
        <f t="shared" si="96"/>
        <v>0</v>
      </c>
      <c r="N246" s="867">
        <f t="shared" si="96"/>
        <v>0</v>
      </c>
      <c r="O246" s="867">
        <f t="shared" si="96"/>
        <v>0</v>
      </c>
      <c r="P246" s="867">
        <f t="shared" si="96"/>
        <v>0</v>
      </c>
      <c r="Q246" s="867">
        <f t="shared" si="96"/>
        <v>0</v>
      </c>
      <c r="R246" s="867">
        <f t="shared" si="96"/>
        <v>0</v>
      </c>
      <c r="S246" s="867">
        <f t="shared" si="96"/>
        <v>0</v>
      </c>
      <c r="T246" s="867">
        <f t="shared" si="96"/>
        <v>0</v>
      </c>
      <c r="U246" s="867">
        <f t="shared" si="96"/>
        <v>0</v>
      </c>
      <c r="V246" s="867">
        <f t="shared" si="96"/>
        <v>0</v>
      </c>
      <c r="W246" s="867">
        <f t="shared" si="96"/>
        <v>-27.243355637356952</v>
      </c>
      <c r="X246" s="867">
        <f t="shared" si="96"/>
        <v>-27.78822275010409</v>
      </c>
      <c r="Y246" s="867">
        <f t="shared" si="96"/>
        <v>-28.343987205106163</v>
      </c>
      <c r="Z246" s="867">
        <f t="shared" si="96"/>
        <v>-28.910866949208295</v>
      </c>
      <c r="AA246" s="867">
        <f t="shared" si="96"/>
        <v>-29.489084288192462</v>
      </c>
      <c r="AB246" s="867">
        <f t="shared" si="96"/>
        <v>-30.078865973956308</v>
      </c>
      <c r="AC246" s="867">
        <f t="shared" si="96"/>
        <v>-30.680443293435435</v>
      </c>
      <c r="AD246" s="867">
        <f t="shared" si="96"/>
        <v>-31.294052159304144</v>
      </c>
      <c r="AE246" s="867">
        <f t="shared" si="96"/>
        <v>-31.919933202490224</v>
      </c>
      <c r="AF246" s="867">
        <f t="shared" si="96"/>
        <v>-32.55833186654003</v>
      </c>
      <c r="AG246" s="867">
        <f t="shared" si="96"/>
        <v>-33.209498503870826</v>
      </c>
      <c r="AH246" s="867">
        <f t="shared" si="96"/>
        <v>-33.873688473948249</v>
      </c>
      <c r="AI246" s="867">
        <f t="shared" si="96"/>
        <v>-34.551162243427207</v>
      </c>
      <c r="AJ246" s="867">
        <f t="shared" si="96"/>
        <v>-35.242185488295753</v>
      </c>
      <c r="AK246" s="867">
        <f t="shared" si="96"/>
        <v>-35.947029198061671</v>
      </c>
      <c r="AL246" s="867">
        <f t="shared" si="96"/>
        <v>-36.665969782022906</v>
      </c>
      <c r="AM246" s="867">
        <f t="shared" si="96"/>
        <v>-37.399289177663363</v>
      </c>
      <c r="AN246" s="867">
        <f t="shared" si="96"/>
        <v>-38.147274961216631</v>
      </c>
      <c r="AO246" s="867">
        <f t="shared" si="96"/>
        <v>-38.910220460440954</v>
      </c>
      <c r="AP246" s="867">
        <f t="shared" si="96"/>
        <v>0</v>
      </c>
      <c r="AQ246" s="867">
        <f t="shared" si="96"/>
        <v>0</v>
      </c>
      <c r="AR246" s="867">
        <f t="shared" si="96"/>
        <v>0</v>
      </c>
      <c r="AS246" s="867">
        <f t="shared" si="96"/>
        <v>0</v>
      </c>
      <c r="AT246" s="867">
        <f t="shared" si="96"/>
        <v>0</v>
      </c>
      <c r="AU246" s="867">
        <f t="shared" si="96"/>
        <v>0</v>
      </c>
      <c r="AV246" s="867">
        <f t="shared" si="96"/>
        <v>0</v>
      </c>
      <c r="AW246" s="867">
        <f t="shared" si="96"/>
        <v>0</v>
      </c>
      <c r="AX246" s="867">
        <f t="shared" si="96"/>
        <v>0</v>
      </c>
      <c r="AY246" s="867">
        <f t="shared" si="96"/>
        <v>0</v>
      </c>
      <c r="AZ246" s="867">
        <f t="shared" si="96"/>
        <v>0</v>
      </c>
      <c r="BA246" s="867">
        <f t="shared" si="96"/>
        <v>0</v>
      </c>
      <c r="BB246" s="867">
        <f t="shared" si="96"/>
        <v>0</v>
      </c>
      <c r="BC246" s="867">
        <f t="shared" si="96"/>
        <v>0</v>
      </c>
      <c r="BD246" s="867">
        <f t="shared" si="96"/>
        <v>0</v>
      </c>
      <c r="BE246" s="867">
        <f t="shared" si="96"/>
        <v>0</v>
      </c>
    </row>
    <row r="247" spans="2:57" x14ac:dyDescent="0.25">
      <c r="B247" s="851"/>
      <c r="D247" s="316"/>
      <c r="E247" s="867" t="str">
        <f t="shared" si="92"/>
        <v>Opex electrolyser</v>
      </c>
      <c r="F247" s="867" t="str">
        <f t="shared" si="92"/>
        <v>[kEUR]</v>
      </c>
      <c r="G247" s="867">
        <f t="shared" si="89"/>
        <v>-46528.653643574915</v>
      </c>
      <c r="H247" s="867">
        <f t="shared" si="89"/>
        <v>-6180.9093064116369</v>
      </c>
      <c r="I247" s="867"/>
      <c r="J247" s="867">
        <f t="shared" ref="J247:BE247" si="97">J152</f>
        <v>0</v>
      </c>
      <c r="K247" s="867">
        <f t="shared" si="97"/>
        <v>0</v>
      </c>
      <c r="L247" s="867">
        <f t="shared" si="97"/>
        <v>0</v>
      </c>
      <c r="M247" s="867">
        <f t="shared" si="97"/>
        <v>0</v>
      </c>
      <c r="N247" s="867">
        <f t="shared" si="97"/>
        <v>0</v>
      </c>
      <c r="O247" s="867">
        <f t="shared" si="97"/>
        <v>0</v>
      </c>
      <c r="P247" s="867">
        <f t="shared" si="97"/>
        <v>0</v>
      </c>
      <c r="Q247" s="867">
        <f t="shared" si="97"/>
        <v>0</v>
      </c>
      <c r="R247" s="867">
        <f t="shared" si="97"/>
        <v>0</v>
      </c>
      <c r="S247" s="867">
        <f t="shared" si="97"/>
        <v>0</v>
      </c>
      <c r="T247" s="867">
        <f t="shared" si="97"/>
        <v>0</v>
      </c>
      <c r="U247" s="867">
        <f t="shared" si="97"/>
        <v>0</v>
      </c>
      <c r="V247" s="867">
        <f t="shared" si="97"/>
        <v>0</v>
      </c>
      <c r="W247" s="867">
        <f t="shared" si="97"/>
        <v>-2037.1066401946862</v>
      </c>
      <c r="X247" s="867">
        <f t="shared" si="97"/>
        <v>-2077.84877299858</v>
      </c>
      <c r="Y247" s="867">
        <f t="shared" si="97"/>
        <v>-2119.4057484585514</v>
      </c>
      <c r="Z247" s="867">
        <f t="shared" si="97"/>
        <v>-2161.7938634277225</v>
      </c>
      <c r="AA247" s="867">
        <f t="shared" si="97"/>
        <v>-2205.0297406962768</v>
      </c>
      <c r="AB247" s="867">
        <f t="shared" si="97"/>
        <v>-2249.1303355102023</v>
      </c>
      <c r="AC247" s="867">
        <f t="shared" si="97"/>
        <v>-2294.1129422204062</v>
      </c>
      <c r="AD247" s="867">
        <f t="shared" si="97"/>
        <v>-2339.9952010648149</v>
      </c>
      <c r="AE247" s="867">
        <f t="shared" si="97"/>
        <v>-2386.7951050861111</v>
      </c>
      <c r="AF247" s="867">
        <f t="shared" si="97"/>
        <v>-2434.531007187833</v>
      </c>
      <c r="AG247" s="867">
        <f t="shared" si="97"/>
        <v>-2483.2216273315894</v>
      </c>
      <c r="AH247" s="867">
        <f t="shared" si="97"/>
        <v>-2532.8860598782212</v>
      </c>
      <c r="AI247" s="867">
        <f t="shared" si="97"/>
        <v>-2583.5437810757858</v>
      </c>
      <c r="AJ247" s="867">
        <f t="shared" si="97"/>
        <v>-2635.2146566973015</v>
      </c>
      <c r="AK247" s="867">
        <f t="shared" si="97"/>
        <v>-2687.9189498312471</v>
      </c>
      <c r="AL247" s="867">
        <f t="shared" si="97"/>
        <v>-2741.6773288278728</v>
      </c>
      <c r="AM247" s="867">
        <f t="shared" si="97"/>
        <v>-2796.5108754044295</v>
      </c>
      <c r="AN247" s="867">
        <f t="shared" si="97"/>
        <v>-2852.4410929125183</v>
      </c>
      <c r="AO247" s="867">
        <f t="shared" si="97"/>
        <v>-2909.4899147707683</v>
      </c>
      <c r="AP247" s="867">
        <f t="shared" si="97"/>
        <v>0</v>
      </c>
      <c r="AQ247" s="867">
        <f t="shared" si="97"/>
        <v>0</v>
      </c>
      <c r="AR247" s="867">
        <f t="shared" si="97"/>
        <v>0</v>
      </c>
      <c r="AS247" s="867">
        <f t="shared" si="97"/>
        <v>0</v>
      </c>
      <c r="AT247" s="867">
        <f t="shared" si="97"/>
        <v>0</v>
      </c>
      <c r="AU247" s="867">
        <f t="shared" si="97"/>
        <v>0</v>
      </c>
      <c r="AV247" s="867">
        <f t="shared" si="97"/>
        <v>0</v>
      </c>
      <c r="AW247" s="867">
        <f t="shared" si="97"/>
        <v>0</v>
      </c>
      <c r="AX247" s="867">
        <f t="shared" si="97"/>
        <v>0</v>
      </c>
      <c r="AY247" s="867">
        <f t="shared" si="97"/>
        <v>0</v>
      </c>
      <c r="AZ247" s="867">
        <f t="shared" si="97"/>
        <v>0</v>
      </c>
      <c r="BA247" s="867">
        <f t="shared" si="97"/>
        <v>0</v>
      </c>
      <c r="BB247" s="867">
        <f t="shared" si="97"/>
        <v>0</v>
      </c>
      <c r="BC247" s="867">
        <f t="shared" si="97"/>
        <v>0</v>
      </c>
      <c r="BD247" s="867">
        <f t="shared" si="97"/>
        <v>0</v>
      </c>
      <c r="BE247" s="867">
        <f t="shared" si="97"/>
        <v>0</v>
      </c>
    </row>
    <row r="248" spans="2:57" x14ac:dyDescent="0.25">
      <c r="B248" s="851"/>
      <c r="D248" s="316"/>
      <c r="E248" s="867" t="str">
        <f t="shared" si="92"/>
        <v>Opex compressor</v>
      </c>
      <c r="F248" s="867" t="str">
        <f t="shared" si="92"/>
        <v>[kEUR]</v>
      </c>
      <c r="G248" s="867">
        <f t="shared" si="89"/>
        <v>-1434.7734471733586</v>
      </c>
      <c r="H248" s="867">
        <f t="shared" si="89"/>
        <v>-190.59662934069689</v>
      </c>
      <c r="I248" s="867"/>
      <c r="J248" s="867">
        <f t="shared" ref="J248:BE248" si="98">J153</f>
        <v>0</v>
      </c>
      <c r="K248" s="867">
        <f t="shared" si="98"/>
        <v>0</v>
      </c>
      <c r="L248" s="867">
        <f t="shared" si="98"/>
        <v>0</v>
      </c>
      <c r="M248" s="867">
        <f t="shared" si="98"/>
        <v>0</v>
      </c>
      <c r="N248" s="867">
        <f t="shared" si="98"/>
        <v>0</v>
      </c>
      <c r="O248" s="867">
        <f t="shared" si="98"/>
        <v>0</v>
      </c>
      <c r="P248" s="867">
        <f t="shared" si="98"/>
        <v>0</v>
      </c>
      <c r="Q248" s="867">
        <f t="shared" si="98"/>
        <v>0</v>
      </c>
      <c r="R248" s="867">
        <f t="shared" si="98"/>
        <v>0</v>
      </c>
      <c r="S248" s="867">
        <f t="shared" si="98"/>
        <v>0</v>
      </c>
      <c r="T248" s="867">
        <f t="shared" si="98"/>
        <v>0</v>
      </c>
      <c r="U248" s="867">
        <f t="shared" si="98"/>
        <v>0</v>
      </c>
      <c r="V248" s="867">
        <f t="shared" si="98"/>
        <v>0</v>
      </c>
      <c r="W248" s="867">
        <f t="shared" si="98"/>
        <v>-62.816915761229474</v>
      </c>
      <c r="X248" s="867">
        <f t="shared" si="98"/>
        <v>-64.073254076454063</v>
      </c>
      <c r="Y248" s="867">
        <f t="shared" si="98"/>
        <v>-65.354719157983141</v>
      </c>
      <c r="Z248" s="867">
        <f t="shared" si="98"/>
        <v>-66.661813541142806</v>
      </c>
      <c r="AA248" s="867">
        <f t="shared" si="98"/>
        <v>-67.995049811965671</v>
      </c>
      <c r="AB248" s="867">
        <f t="shared" si="98"/>
        <v>-69.354950808204975</v>
      </c>
      <c r="AC248" s="867">
        <f t="shared" si="98"/>
        <v>-70.742049824369062</v>
      </c>
      <c r="AD248" s="867">
        <f t="shared" si="98"/>
        <v>-72.156890820856475</v>
      </c>
      <c r="AE248" s="867">
        <f t="shared" si="98"/>
        <v>-73.600028637273581</v>
      </c>
      <c r="AF248" s="867">
        <f t="shared" si="98"/>
        <v>-75.072029210019053</v>
      </c>
      <c r="AG248" s="867">
        <f t="shared" si="98"/>
        <v>-76.573469794219434</v>
      </c>
      <c r="AH248" s="867">
        <f t="shared" si="98"/>
        <v>-78.104939190103821</v>
      </c>
      <c r="AI248" s="867">
        <f t="shared" si="98"/>
        <v>-79.667037973905906</v>
      </c>
      <c r="AJ248" s="867">
        <f t="shared" si="98"/>
        <v>-81.26037873338403</v>
      </c>
      <c r="AK248" s="867">
        <f t="shared" si="98"/>
        <v>-82.885586308051685</v>
      </c>
      <c r="AL248" s="867">
        <f t="shared" si="98"/>
        <v>-84.543298034212739</v>
      </c>
      <c r="AM248" s="867">
        <f t="shared" si="98"/>
        <v>-86.234163994896988</v>
      </c>
      <c r="AN248" s="867">
        <f t="shared" si="98"/>
        <v>-87.958847274794934</v>
      </c>
      <c r="AO248" s="867">
        <f t="shared" si="98"/>
        <v>-89.718024220290815</v>
      </c>
      <c r="AP248" s="867">
        <f t="shared" si="98"/>
        <v>0</v>
      </c>
      <c r="AQ248" s="867">
        <f t="shared" si="98"/>
        <v>0</v>
      </c>
      <c r="AR248" s="867">
        <f t="shared" si="98"/>
        <v>0</v>
      </c>
      <c r="AS248" s="867">
        <f t="shared" si="98"/>
        <v>0</v>
      </c>
      <c r="AT248" s="867">
        <f t="shared" si="98"/>
        <v>0</v>
      </c>
      <c r="AU248" s="867">
        <f t="shared" si="98"/>
        <v>0</v>
      </c>
      <c r="AV248" s="867">
        <f t="shared" si="98"/>
        <v>0</v>
      </c>
      <c r="AW248" s="867">
        <f t="shared" si="98"/>
        <v>0</v>
      </c>
      <c r="AX248" s="867">
        <f t="shared" si="98"/>
        <v>0</v>
      </c>
      <c r="AY248" s="867">
        <f t="shared" si="98"/>
        <v>0</v>
      </c>
      <c r="AZ248" s="867">
        <f t="shared" si="98"/>
        <v>0</v>
      </c>
      <c r="BA248" s="867">
        <f t="shared" si="98"/>
        <v>0</v>
      </c>
      <c r="BB248" s="867">
        <f t="shared" si="98"/>
        <v>0</v>
      </c>
      <c r="BC248" s="867">
        <f t="shared" si="98"/>
        <v>0</v>
      </c>
      <c r="BD248" s="867">
        <f t="shared" si="98"/>
        <v>0</v>
      </c>
      <c r="BE248" s="867">
        <f t="shared" si="98"/>
        <v>0</v>
      </c>
    </row>
    <row r="249" spans="2:57" x14ac:dyDescent="0.25">
      <c r="B249" s="852"/>
      <c r="D249" s="316"/>
      <c r="E249" s="867" t="str">
        <f t="shared" si="92"/>
        <v>Opex existing pipeline</v>
      </c>
      <c r="F249" s="867" t="str">
        <f t="shared" si="92"/>
        <v>[kEUR]</v>
      </c>
      <c r="G249" s="867">
        <f t="shared" si="89"/>
        <v>-16132.249774439373</v>
      </c>
      <c r="H249" s="867">
        <f t="shared" si="89"/>
        <v>-2143.0229537268901</v>
      </c>
      <c r="I249" s="867"/>
      <c r="J249" s="867">
        <f t="shared" ref="J249:BE249" si="99">J154</f>
        <v>0</v>
      </c>
      <c r="K249" s="867">
        <f t="shared" si="99"/>
        <v>0</v>
      </c>
      <c r="L249" s="867">
        <f t="shared" si="99"/>
        <v>0</v>
      </c>
      <c r="M249" s="867">
        <f t="shared" si="99"/>
        <v>0</v>
      </c>
      <c r="N249" s="867">
        <f t="shared" si="99"/>
        <v>0</v>
      </c>
      <c r="O249" s="867">
        <f t="shared" si="99"/>
        <v>0</v>
      </c>
      <c r="P249" s="867">
        <f t="shared" si="99"/>
        <v>0</v>
      </c>
      <c r="Q249" s="867">
        <f t="shared" si="99"/>
        <v>0</v>
      </c>
      <c r="R249" s="867">
        <f t="shared" si="99"/>
        <v>0</v>
      </c>
      <c r="S249" s="867">
        <f t="shared" si="99"/>
        <v>0</v>
      </c>
      <c r="T249" s="867">
        <f t="shared" si="99"/>
        <v>0</v>
      </c>
      <c r="U249" s="867">
        <f t="shared" si="99"/>
        <v>0</v>
      </c>
      <c r="V249" s="867">
        <f t="shared" si="99"/>
        <v>0</v>
      </c>
      <c r="W249" s="867">
        <f t="shared" si="99"/>
        <v>-706.29838955866069</v>
      </c>
      <c r="X249" s="867">
        <f t="shared" si="99"/>
        <v>-720.42435734983394</v>
      </c>
      <c r="Y249" s="867">
        <f t="shared" si="99"/>
        <v>-734.83284449683049</v>
      </c>
      <c r="Z249" s="867">
        <f t="shared" si="99"/>
        <v>-749.52950138676715</v>
      </c>
      <c r="AA249" s="867">
        <f t="shared" si="99"/>
        <v>-764.52009141450264</v>
      </c>
      <c r="AB249" s="867">
        <f t="shared" si="99"/>
        <v>-779.81049324279252</v>
      </c>
      <c r="AC249" s="867">
        <f t="shared" si="99"/>
        <v>-795.40670310764847</v>
      </c>
      <c r="AD249" s="867">
        <f t="shared" si="99"/>
        <v>-811.31483716980142</v>
      </c>
      <c r="AE249" s="867">
        <f t="shared" si="99"/>
        <v>-827.54113391319743</v>
      </c>
      <c r="AF249" s="867">
        <f t="shared" si="99"/>
        <v>-844.09195659146144</v>
      </c>
      <c r="AG249" s="867">
        <f t="shared" si="99"/>
        <v>-860.97379572329044</v>
      </c>
      <c r="AH249" s="867">
        <f t="shared" si="99"/>
        <v>-878.19327163775631</v>
      </c>
      <c r="AI249" s="867">
        <f t="shared" si="99"/>
        <v>-895.75713707051148</v>
      </c>
      <c r="AJ249" s="867">
        <f t="shared" si="99"/>
        <v>-913.67227981192173</v>
      </c>
      <c r="AK249" s="867">
        <f t="shared" si="99"/>
        <v>-931.94572540816</v>
      </c>
      <c r="AL249" s="867">
        <f t="shared" si="99"/>
        <v>-950.58463991632345</v>
      </c>
      <c r="AM249" s="867">
        <f t="shared" si="99"/>
        <v>-969.59633271464975</v>
      </c>
      <c r="AN249" s="867">
        <f t="shared" si="99"/>
        <v>-988.98825936894286</v>
      </c>
      <c r="AO249" s="867">
        <f t="shared" si="99"/>
        <v>-1008.7680245563214</v>
      </c>
      <c r="AP249" s="867">
        <f t="shared" si="99"/>
        <v>0</v>
      </c>
      <c r="AQ249" s="867">
        <f t="shared" si="99"/>
        <v>0</v>
      </c>
      <c r="AR249" s="867">
        <f t="shared" si="99"/>
        <v>0</v>
      </c>
      <c r="AS249" s="867">
        <f t="shared" si="99"/>
        <v>0</v>
      </c>
      <c r="AT249" s="867">
        <f t="shared" si="99"/>
        <v>0</v>
      </c>
      <c r="AU249" s="867">
        <f t="shared" si="99"/>
        <v>0</v>
      </c>
      <c r="AV249" s="867">
        <f t="shared" si="99"/>
        <v>0</v>
      </c>
      <c r="AW249" s="867">
        <f t="shared" si="99"/>
        <v>0</v>
      </c>
      <c r="AX249" s="867">
        <f t="shared" si="99"/>
        <v>0</v>
      </c>
      <c r="AY249" s="867">
        <f t="shared" si="99"/>
        <v>0</v>
      </c>
      <c r="AZ249" s="867">
        <f t="shared" si="99"/>
        <v>0</v>
      </c>
      <c r="BA249" s="867">
        <f t="shared" si="99"/>
        <v>0</v>
      </c>
      <c r="BB249" s="867">
        <f t="shared" si="99"/>
        <v>0</v>
      </c>
      <c r="BC249" s="867">
        <f t="shared" si="99"/>
        <v>0</v>
      </c>
      <c r="BD249" s="867">
        <f t="shared" si="99"/>
        <v>0</v>
      </c>
      <c r="BE249" s="867">
        <f t="shared" si="99"/>
        <v>0</v>
      </c>
    </row>
    <row r="250" spans="2:57" x14ac:dyDescent="0.25">
      <c r="B250" s="852"/>
      <c r="D250" s="316"/>
      <c r="E250" s="867" t="str">
        <f t="shared" si="92"/>
        <v>Cost of hydrogen extraction (admix)</v>
      </c>
      <c r="F250" s="867" t="str">
        <f t="shared" si="92"/>
        <v>[kEUR]</v>
      </c>
      <c r="G250" s="867">
        <f t="shared" si="89"/>
        <v>-42829.289104876174</v>
      </c>
      <c r="H250" s="867">
        <f t="shared" si="89"/>
        <v>-5689.4823057464282</v>
      </c>
      <c r="I250" s="867"/>
      <c r="J250" s="867">
        <f t="shared" ref="J250:BE250" si="100">J155</f>
        <v>0</v>
      </c>
      <c r="K250" s="867">
        <f t="shared" si="100"/>
        <v>0</v>
      </c>
      <c r="L250" s="867">
        <f t="shared" si="100"/>
        <v>0</v>
      </c>
      <c r="M250" s="867">
        <f t="shared" si="100"/>
        <v>0</v>
      </c>
      <c r="N250" s="867">
        <f t="shared" si="100"/>
        <v>0</v>
      </c>
      <c r="O250" s="867">
        <f t="shared" si="100"/>
        <v>0</v>
      </c>
      <c r="P250" s="867">
        <f t="shared" si="100"/>
        <v>0</v>
      </c>
      <c r="Q250" s="867">
        <f t="shared" si="100"/>
        <v>0</v>
      </c>
      <c r="R250" s="867">
        <f t="shared" si="100"/>
        <v>0</v>
      </c>
      <c r="S250" s="867">
        <f t="shared" si="100"/>
        <v>0</v>
      </c>
      <c r="T250" s="867">
        <f t="shared" si="100"/>
        <v>0</v>
      </c>
      <c r="U250" s="867">
        <f t="shared" si="100"/>
        <v>0</v>
      </c>
      <c r="V250" s="867">
        <f t="shared" si="100"/>
        <v>0</v>
      </c>
      <c r="W250" s="867">
        <f t="shared" si="100"/>
        <v>-1875.1419264934848</v>
      </c>
      <c r="X250" s="867">
        <f t="shared" si="100"/>
        <v>-1912.6447650233547</v>
      </c>
      <c r="Y250" s="867">
        <f t="shared" si="100"/>
        <v>-1950.8976603238211</v>
      </c>
      <c r="Z250" s="867">
        <f t="shared" si="100"/>
        <v>-1989.9156135302981</v>
      </c>
      <c r="AA250" s="867">
        <f t="shared" si="100"/>
        <v>-2029.7139258009042</v>
      </c>
      <c r="AB250" s="867">
        <f t="shared" si="100"/>
        <v>-2070.308204316922</v>
      </c>
      <c r="AC250" s="867">
        <f t="shared" si="100"/>
        <v>-2111.7143684032603</v>
      </c>
      <c r="AD250" s="867">
        <f t="shared" si="100"/>
        <v>-2153.9486557713258</v>
      </c>
      <c r="AE250" s="867">
        <f t="shared" si="100"/>
        <v>-2197.0276288867522</v>
      </c>
      <c r="AF250" s="867">
        <f t="shared" si="100"/>
        <v>-2240.9681814644873</v>
      </c>
      <c r="AG250" s="867">
        <f t="shared" si="100"/>
        <v>-2285.7875450937768</v>
      </c>
      <c r="AH250" s="867">
        <f t="shared" si="100"/>
        <v>-2331.503295995652</v>
      </c>
      <c r="AI250" s="867">
        <f t="shared" si="100"/>
        <v>-2378.1333619155653</v>
      </c>
      <c r="AJ250" s="867">
        <f t="shared" si="100"/>
        <v>-2425.6960291538771</v>
      </c>
      <c r="AK250" s="867">
        <f t="shared" si="100"/>
        <v>-2474.2099497369536</v>
      </c>
      <c r="AL250" s="867">
        <f t="shared" si="100"/>
        <v>-2523.6941487316935</v>
      </c>
      <c r="AM250" s="867">
        <f t="shared" si="100"/>
        <v>-2574.1680317063269</v>
      </c>
      <c r="AN250" s="867">
        <f t="shared" si="100"/>
        <v>-2625.6513923404536</v>
      </c>
      <c r="AO250" s="867">
        <f t="shared" si="100"/>
        <v>-2678.1644201872623</v>
      </c>
      <c r="AP250" s="867">
        <f t="shared" si="100"/>
        <v>0</v>
      </c>
      <c r="AQ250" s="867">
        <f t="shared" si="100"/>
        <v>0</v>
      </c>
      <c r="AR250" s="867">
        <f t="shared" si="100"/>
        <v>0</v>
      </c>
      <c r="AS250" s="867">
        <f t="shared" si="100"/>
        <v>0</v>
      </c>
      <c r="AT250" s="867">
        <f t="shared" si="100"/>
        <v>0</v>
      </c>
      <c r="AU250" s="867">
        <f t="shared" si="100"/>
        <v>0</v>
      </c>
      <c r="AV250" s="867">
        <f t="shared" si="100"/>
        <v>0</v>
      </c>
      <c r="AW250" s="867">
        <f t="shared" si="100"/>
        <v>0</v>
      </c>
      <c r="AX250" s="867">
        <f t="shared" si="100"/>
        <v>0</v>
      </c>
      <c r="AY250" s="867">
        <f t="shared" si="100"/>
        <v>0</v>
      </c>
      <c r="AZ250" s="867">
        <f t="shared" si="100"/>
        <v>0</v>
      </c>
      <c r="BA250" s="867">
        <f t="shared" si="100"/>
        <v>0</v>
      </c>
      <c r="BB250" s="867">
        <f t="shared" si="100"/>
        <v>0</v>
      </c>
      <c r="BC250" s="867">
        <f t="shared" si="100"/>
        <v>0</v>
      </c>
      <c r="BD250" s="867">
        <f t="shared" si="100"/>
        <v>0</v>
      </c>
      <c r="BE250" s="867">
        <f t="shared" si="100"/>
        <v>0</v>
      </c>
    </row>
    <row r="251" spans="2:57" x14ac:dyDescent="0.25">
      <c r="B251" s="852"/>
      <c r="D251" s="316"/>
      <c r="E251" s="867" t="str">
        <f t="shared" si="92"/>
        <v>Opex cable (H2)</v>
      </c>
      <c r="F251" s="867" t="str">
        <f t="shared" si="92"/>
        <v>[kEUR]</v>
      </c>
      <c r="G251" s="867">
        <f t="shared" si="89"/>
        <v>0</v>
      </c>
      <c r="H251" s="867">
        <f t="shared" si="89"/>
        <v>0</v>
      </c>
      <c r="I251" s="867"/>
      <c r="J251" s="867">
        <f t="shared" ref="J251:BE251" si="101">J156</f>
        <v>0</v>
      </c>
      <c r="K251" s="867">
        <f t="shared" si="101"/>
        <v>0</v>
      </c>
      <c r="L251" s="867">
        <f t="shared" si="101"/>
        <v>0</v>
      </c>
      <c r="M251" s="867">
        <f t="shared" si="101"/>
        <v>0</v>
      </c>
      <c r="N251" s="867">
        <f t="shared" si="101"/>
        <v>0</v>
      </c>
      <c r="O251" s="867">
        <f t="shared" si="101"/>
        <v>0</v>
      </c>
      <c r="P251" s="867">
        <f t="shared" si="101"/>
        <v>0</v>
      </c>
      <c r="Q251" s="867">
        <f t="shared" si="101"/>
        <v>0</v>
      </c>
      <c r="R251" s="867">
        <f t="shared" si="101"/>
        <v>0</v>
      </c>
      <c r="S251" s="867">
        <f t="shared" si="101"/>
        <v>0</v>
      </c>
      <c r="T251" s="867">
        <f t="shared" si="101"/>
        <v>0</v>
      </c>
      <c r="U251" s="867">
        <f t="shared" si="101"/>
        <v>0</v>
      </c>
      <c r="V251" s="867">
        <f t="shared" si="101"/>
        <v>0</v>
      </c>
      <c r="W251" s="867">
        <f t="shared" si="101"/>
        <v>0</v>
      </c>
      <c r="X251" s="867">
        <f t="shared" si="101"/>
        <v>0</v>
      </c>
      <c r="Y251" s="867">
        <f t="shared" si="101"/>
        <v>0</v>
      </c>
      <c r="Z251" s="867">
        <f t="shared" si="101"/>
        <v>0</v>
      </c>
      <c r="AA251" s="867">
        <f t="shared" si="101"/>
        <v>0</v>
      </c>
      <c r="AB251" s="867">
        <f t="shared" si="101"/>
        <v>0</v>
      </c>
      <c r="AC251" s="867">
        <f t="shared" si="101"/>
        <v>0</v>
      </c>
      <c r="AD251" s="867">
        <f t="shared" si="101"/>
        <v>0</v>
      </c>
      <c r="AE251" s="867">
        <f t="shared" si="101"/>
        <v>0</v>
      </c>
      <c r="AF251" s="867">
        <f t="shared" si="101"/>
        <v>0</v>
      </c>
      <c r="AG251" s="867">
        <f t="shared" si="101"/>
        <v>0</v>
      </c>
      <c r="AH251" s="867">
        <f t="shared" si="101"/>
        <v>0</v>
      </c>
      <c r="AI251" s="867">
        <f t="shared" si="101"/>
        <v>0</v>
      </c>
      <c r="AJ251" s="867">
        <f t="shared" si="101"/>
        <v>0</v>
      </c>
      <c r="AK251" s="867">
        <f t="shared" si="101"/>
        <v>0</v>
      </c>
      <c r="AL251" s="867">
        <f t="shared" si="101"/>
        <v>0</v>
      </c>
      <c r="AM251" s="867">
        <f t="shared" si="101"/>
        <v>0</v>
      </c>
      <c r="AN251" s="867">
        <f t="shared" si="101"/>
        <v>0</v>
      </c>
      <c r="AO251" s="867">
        <f t="shared" si="101"/>
        <v>0</v>
      </c>
      <c r="AP251" s="867">
        <f t="shared" si="101"/>
        <v>0</v>
      </c>
      <c r="AQ251" s="867">
        <f t="shared" si="101"/>
        <v>0</v>
      </c>
      <c r="AR251" s="867">
        <f t="shared" si="101"/>
        <v>0</v>
      </c>
      <c r="AS251" s="867">
        <f t="shared" si="101"/>
        <v>0</v>
      </c>
      <c r="AT251" s="867">
        <f t="shared" si="101"/>
        <v>0</v>
      </c>
      <c r="AU251" s="867">
        <f t="shared" si="101"/>
        <v>0</v>
      </c>
      <c r="AV251" s="867">
        <f t="shared" si="101"/>
        <v>0</v>
      </c>
      <c r="AW251" s="867">
        <f t="shared" si="101"/>
        <v>0</v>
      </c>
      <c r="AX251" s="867">
        <f t="shared" si="101"/>
        <v>0</v>
      </c>
      <c r="AY251" s="867">
        <f t="shared" si="101"/>
        <v>0</v>
      </c>
      <c r="AZ251" s="867">
        <f t="shared" si="101"/>
        <v>0</v>
      </c>
      <c r="BA251" s="867">
        <f t="shared" si="101"/>
        <v>0</v>
      </c>
      <c r="BB251" s="867">
        <f t="shared" si="101"/>
        <v>0</v>
      </c>
      <c r="BC251" s="867">
        <f t="shared" si="101"/>
        <v>0</v>
      </c>
      <c r="BD251" s="867">
        <f t="shared" si="101"/>
        <v>0</v>
      </c>
      <c r="BE251" s="867">
        <f t="shared" si="101"/>
        <v>0</v>
      </c>
    </row>
    <row r="252" spans="2:57" x14ac:dyDescent="0.25">
      <c r="B252" s="852"/>
      <c r="D252" s="316"/>
      <c r="E252" s="867" t="str">
        <f t="shared" si="92"/>
        <v>Opex platform</v>
      </c>
      <c r="F252" s="867" t="str">
        <f t="shared" si="92"/>
        <v>[kEUR]</v>
      </c>
      <c r="G252" s="867">
        <f t="shared" si="89"/>
        <v>-234506.40626946808</v>
      </c>
      <c r="H252" s="867">
        <f t="shared" si="89"/>
        <v>-31152.047510926797</v>
      </c>
      <c r="I252" s="867"/>
      <c r="J252" s="867">
        <f t="shared" ref="J252:BE252" si="102">J157</f>
        <v>0</v>
      </c>
      <c r="K252" s="867">
        <f t="shared" si="102"/>
        <v>0</v>
      </c>
      <c r="L252" s="867">
        <f t="shared" si="102"/>
        <v>0</v>
      </c>
      <c r="M252" s="867">
        <f t="shared" si="102"/>
        <v>0</v>
      </c>
      <c r="N252" s="867">
        <f t="shared" si="102"/>
        <v>0</v>
      </c>
      <c r="O252" s="867">
        <f t="shared" si="102"/>
        <v>0</v>
      </c>
      <c r="P252" s="867">
        <f t="shared" si="102"/>
        <v>0</v>
      </c>
      <c r="Q252" s="867">
        <f t="shared" si="102"/>
        <v>0</v>
      </c>
      <c r="R252" s="867">
        <f t="shared" si="102"/>
        <v>0</v>
      </c>
      <c r="S252" s="867">
        <f t="shared" si="102"/>
        <v>0</v>
      </c>
      <c r="T252" s="867">
        <f t="shared" si="102"/>
        <v>0</v>
      </c>
      <c r="U252" s="867">
        <f t="shared" si="102"/>
        <v>0</v>
      </c>
      <c r="V252" s="867">
        <f t="shared" si="102"/>
        <v>0</v>
      </c>
      <c r="W252" s="867">
        <f t="shared" si="102"/>
        <v>-10267.104675737659</v>
      </c>
      <c r="X252" s="867">
        <f t="shared" si="102"/>
        <v>-10472.446769252414</v>
      </c>
      <c r="Y252" s="867">
        <f t="shared" si="102"/>
        <v>-10681.895704637458</v>
      </c>
      <c r="Z252" s="867">
        <f t="shared" si="102"/>
        <v>-10895.533618730209</v>
      </c>
      <c r="AA252" s="867">
        <f t="shared" si="102"/>
        <v>-11113.444291104814</v>
      </c>
      <c r="AB252" s="867">
        <f t="shared" si="102"/>
        <v>-11335.713176926909</v>
      </c>
      <c r="AC252" s="867">
        <f t="shared" si="102"/>
        <v>-11562.427440465446</v>
      </c>
      <c r="AD252" s="867">
        <f t="shared" si="102"/>
        <v>-11793.675989274758</v>
      </c>
      <c r="AE252" s="867">
        <f t="shared" si="102"/>
        <v>-12029.549509060253</v>
      </c>
      <c r="AF252" s="867">
        <f t="shared" si="102"/>
        <v>-12270.140499241459</v>
      </c>
      <c r="AG252" s="867">
        <f t="shared" si="102"/>
        <v>-12515.543309226285</v>
      </c>
      <c r="AH252" s="867">
        <f t="shared" si="102"/>
        <v>-12765.85417541081</v>
      </c>
      <c r="AI252" s="867">
        <f t="shared" si="102"/>
        <v>-13021.171258919027</v>
      </c>
      <c r="AJ252" s="867">
        <f t="shared" si="102"/>
        <v>-13281.594684097408</v>
      </c>
      <c r="AK252" s="867">
        <f t="shared" si="102"/>
        <v>-13547.226577779355</v>
      </c>
      <c r="AL252" s="867">
        <f t="shared" si="102"/>
        <v>-13818.171109334944</v>
      </c>
      <c r="AM252" s="867">
        <f t="shared" si="102"/>
        <v>-14094.53453152164</v>
      </c>
      <c r="AN252" s="867">
        <f t="shared" si="102"/>
        <v>-14376.425222152075</v>
      </c>
      <c r="AO252" s="867">
        <f t="shared" si="102"/>
        <v>-14663.953726595113</v>
      </c>
      <c r="AP252" s="867">
        <f t="shared" si="102"/>
        <v>0</v>
      </c>
      <c r="AQ252" s="867">
        <f t="shared" si="102"/>
        <v>0</v>
      </c>
      <c r="AR252" s="867">
        <f t="shared" si="102"/>
        <v>0</v>
      </c>
      <c r="AS252" s="867">
        <f t="shared" si="102"/>
        <v>0</v>
      </c>
      <c r="AT252" s="867">
        <f t="shared" si="102"/>
        <v>0</v>
      </c>
      <c r="AU252" s="867">
        <f t="shared" si="102"/>
        <v>0</v>
      </c>
      <c r="AV252" s="867">
        <f t="shared" si="102"/>
        <v>0</v>
      </c>
      <c r="AW252" s="867">
        <f t="shared" si="102"/>
        <v>0</v>
      </c>
      <c r="AX252" s="867">
        <f t="shared" si="102"/>
        <v>0</v>
      </c>
      <c r="AY252" s="867">
        <f t="shared" si="102"/>
        <v>0</v>
      </c>
      <c r="AZ252" s="867">
        <f t="shared" si="102"/>
        <v>0</v>
      </c>
      <c r="BA252" s="867">
        <f t="shared" si="102"/>
        <v>0</v>
      </c>
      <c r="BB252" s="867">
        <f t="shared" si="102"/>
        <v>0</v>
      </c>
      <c r="BC252" s="867">
        <f t="shared" si="102"/>
        <v>0</v>
      </c>
      <c r="BD252" s="867">
        <f t="shared" si="102"/>
        <v>0</v>
      </c>
      <c r="BE252" s="867">
        <f t="shared" si="102"/>
        <v>0</v>
      </c>
    </row>
    <row r="253" spans="2:57" ht="18.75" x14ac:dyDescent="0.3">
      <c r="B253" s="852"/>
      <c r="D253" s="873"/>
      <c r="E253" s="874" t="s">
        <v>983</v>
      </c>
      <c r="F253" s="874"/>
      <c r="G253" s="875">
        <f>G254+G259+G264</f>
        <v>3732597.6279548774</v>
      </c>
      <c r="H253" s="875">
        <f>H254+H259+H264</f>
        <v>833825.39504893229</v>
      </c>
      <c r="I253" s="875"/>
      <c r="J253" s="875">
        <f t="shared" ref="J253:BE253" si="103">J254+J259+J264</f>
        <v>0</v>
      </c>
      <c r="K253" s="875">
        <f t="shared" si="103"/>
        <v>0</v>
      </c>
      <c r="L253" s="875">
        <f t="shared" si="103"/>
        <v>0</v>
      </c>
      <c r="M253" s="875">
        <f t="shared" si="103"/>
        <v>0</v>
      </c>
      <c r="N253" s="875">
        <f t="shared" si="103"/>
        <v>106059.96223554664</v>
      </c>
      <c r="O253" s="875">
        <f t="shared" si="103"/>
        <v>111901.67816081163</v>
      </c>
      <c r="P253" s="875">
        <f t="shared" si="103"/>
        <v>115223.97658521791</v>
      </c>
      <c r="Q253" s="875">
        <f t="shared" si="103"/>
        <v>118634.40627533611</v>
      </c>
      <c r="R253" s="875">
        <f t="shared" si="103"/>
        <v>122135.16356242495</v>
      </c>
      <c r="S253" s="875">
        <f t="shared" si="103"/>
        <v>125728.4973784872</v>
      </c>
      <c r="T253" s="875">
        <f t="shared" si="103"/>
        <v>129416.71048176699</v>
      </c>
      <c r="U253" s="875">
        <f t="shared" si="103"/>
        <v>133202.1607102266</v>
      </c>
      <c r="V253" s="875">
        <f t="shared" si="103"/>
        <v>0</v>
      </c>
      <c r="W253" s="875">
        <f t="shared" si="103"/>
        <v>19387.828945536217</v>
      </c>
      <c r="X253" s="875">
        <f t="shared" si="103"/>
        <v>19775.585524446942</v>
      </c>
      <c r="Y253" s="875">
        <f t="shared" si="103"/>
        <v>154757.93106734881</v>
      </c>
      <c r="Z253" s="875">
        <f t="shared" si="103"/>
        <v>157853.08968869582</v>
      </c>
      <c r="AA253" s="875">
        <f t="shared" si="103"/>
        <v>161010.15148246975</v>
      </c>
      <c r="AB253" s="875">
        <f t="shared" si="103"/>
        <v>164230.35451211911</v>
      </c>
      <c r="AC253" s="875">
        <f t="shared" si="103"/>
        <v>167514.96160236147</v>
      </c>
      <c r="AD253" s="875">
        <f t="shared" si="103"/>
        <v>170865.26083440875</v>
      </c>
      <c r="AE253" s="875">
        <f t="shared" si="103"/>
        <v>174282.56605109689</v>
      </c>
      <c r="AF253" s="875">
        <f t="shared" si="103"/>
        <v>177768.21737211884</v>
      </c>
      <c r="AG253" s="875">
        <f t="shared" si="103"/>
        <v>181323.58171956119</v>
      </c>
      <c r="AH253" s="875">
        <f t="shared" si="103"/>
        <v>184950.05335395239</v>
      </c>
      <c r="AI253" s="875">
        <f t="shared" si="103"/>
        <v>188649.05442103144</v>
      </c>
      <c r="AJ253" s="875">
        <f t="shared" si="103"/>
        <v>192422.03550945211</v>
      </c>
      <c r="AK253" s="875">
        <f t="shared" si="103"/>
        <v>196270.4762196411</v>
      </c>
      <c r="AL253" s="875">
        <f t="shared" si="103"/>
        <v>200195.88574403399</v>
      </c>
      <c r="AM253" s="875">
        <f t="shared" si="103"/>
        <v>204199.80345891463</v>
      </c>
      <c r="AN253" s="875">
        <f t="shared" si="103"/>
        <v>27147.641117757597</v>
      </c>
      <c r="AO253" s="875">
        <f t="shared" si="103"/>
        <v>27690.593940112743</v>
      </c>
      <c r="AP253" s="875">
        <f t="shared" si="103"/>
        <v>0</v>
      </c>
      <c r="AQ253" s="875">
        <f t="shared" si="103"/>
        <v>0</v>
      </c>
      <c r="AR253" s="875">
        <f t="shared" si="103"/>
        <v>0</v>
      </c>
      <c r="AS253" s="875">
        <f t="shared" si="103"/>
        <v>0</v>
      </c>
      <c r="AT253" s="875">
        <f t="shared" si="103"/>
        <v>0</v>
      </c>
      <c r="AU253" s="875">
        <f t="shared" si="103"/>
        <v>0</v>
      </c>
      <c r="AV253" s="875">
        <f t="shared" si="103"/>
        <v>0</v>
      </c>
      <c r="AW253" s="875">
        <f t="shared" si="103"/>
        <v>0</v>
      </c>
      <c r="AX253" s="875">
        <f t="shared" si="103"/>
        <v>0</v>
      </c>
      <c r="AY253" s="875">
        <f t="shared" si="103"/>
        <v>0</v>
      </c>
      <c r="AZ253" s="875">
        <f t="shared" si="103"/>
        <v>0</v>
      </c>
      <c r="BA253" s="875">
        <f t="shared" si="103"/>
        <v>0</v>
      </c>
      <c r="BB253" s="875">
        <f t="shared" si="103"/>
        <v>0</v>
      </c>
      <c r="BC253" s="875">
        <f t="shared" si="103"/>
        <v>0</v>
      </c>
      <c r="BD253" s="875">
        <f t="shared" si="103"/>
        <v>0</v>
      </c>
      <c r="BE253" s="875">
        <f t="shared" si="103"/>
        <v>0</v>
      </c>
    </row>
    <row r="254" spans="2:57" x14ac:dyDescent="0.25">
      <c r="B254" s="852"/>
      <c r="D254" s="314"/>
      <c r="E254" s="865" t="s">
        <v>958</v>
      </c>
      <c r="F254" s="865"/>
      <c r="G254" s="876">
        <f>SUM(G255:G258)</f>
        <v>962302.55538981792</v>
      </c>
      <c r="H254" s="876">
        <f>SUM(H255:H258)</f>
        <v>474722.0593974173</v>
      </c>
      <c r="I254" s="876"/>
      <c r="J254" s="876">
        <f t="shared" ref="J254:BE254" si="104">SUM(J255:J258)</f>
        <v>0</v>
      </c>
      <c r="K254" s="876">
        <f t="shared" si="104"/>
        <v>0</v>
      </c>
      <c r="L254" s="876">
        <f t="shared" si="104"/>
        <v>0</v>
      </c>
      <c r="M254" s="876">
        <f t="shared" si="104"/>
        <v>0</v>
      </c>
      <c r="N254" s="876">
        <f t="shared" si="104"/>
        <v>106059.96223554664</v>
      </c>
      <c r="O254" s="876">
        <f t="shared" si="104"/>
        <v>111901.67816081163</v>
      </c>
      <c r="P254" s="876">
        <f t="shared" si="104"/>
        <v>115223.97658521791</v>
      </c>
      <c r="Q254" s="876">
        <f t="shared" si="104"/>
        <v>118634.40627533611</v>
      </c>
      <c r="R254" s="876">
        <f t="shared" si="104"/>
        <v>122135.16356242495</v>
      </c>
      <c r="S254" s="876">
        <f t="shared" si="104"/>
        <v>125728.4973784872</v>
      </c>
      <c r="T254" s="876">
        <f t="shared" si="104"/>
        <v>129416.71048176699</v>
      </c>
      <c r="U254" s="876">
        <f t="shared" si="104"/>
        <v>133202.1607102266</v>
      </c>
      <c r="V254" s="876">
        <f t="shared" si="104"/>
        <v>0</v>
      </c>
      <c r="W254" s="876">
        <f t="shared" si="104"/>
        <v>0</v>
      </c>
      <c r="X254" s="876">
        <f t="shared" si="104"/>
        <v>0</v>
      </c>
      <c r="Y254" s="876">
        <f t="shared" si="104"/>
        <v>0</v>
      </c>
      <c r="Z254" s="876">
        <f t="shared" si="104"/>
        <v>0</v>
      </c>
      <c r="AA254" s="876">
        <f t="shared" si="104"/>
        <v>0</v>
      </c>
      <c r="AB254" s="876">
        <f t="shared" si="104"/>
        <v>0</v>
      </c>
      <c r="AC254" s="876">
        <f t="shared" si="104"/>
        <v>0</v>
      </c>
      <c r="AD254" s="876">
        <f t="shared" si="104"/>
        <v>0</v>
      </c>
      <c r="AE254" s="876">
        <f t="shared" si="104"/>
        <v>0</v>
      </c>
      <c r="AF254" s="876">
        <f t="shared" si="104"/>
        <v>0</v>
      </c>
      <c r="AG254" s="876">
        <f t="shared" si="104"/>
        <v>0</v>
      </c>
      <c r="AH254" s="876">
        <f t="shared" si="104"/>
        <v>0</v>
      </c>
      <c r="AI254" s="876">
        <f t="shared" si="104"/>
        <v>0</v>
      </c>
      <c r="AJ254" s="876">
        <f t="shared" si="104"/>
        <v>0</v>
      </c>
      <c r="AK254" s="876">
        <f t="shared" si="104"/>
        <v>0</v>
      </c>
      <c r="AL254" s="876">
        <f t="shared" si="104"/>
        <v>0</v>
      </c>
      <c r="AM254" s="876">
        <f t="shared" si="104"/>
        <v>0</v>
      </c>
      <c r="AN254" s="876">
        <f t="shared" si="104"/>
        <v>0</v>
      </c>
      <c r="AO254" s="876">
        <f t="shared" si="104"/>
        <v>0</v>
      </c>
      <c r="AP254" s="876">
        <f t="shared" si="104"/>
        <v>0</v>
      </c>
      <c r="AQ254" s="876">
        <f t="shared" si="104"/>
        <v>0</v>
      </c>
      <c r="AR254" s="876">
        <f t="shared" si="104"/>
        <v>0</v>
      </c>
      <c r="AS254" s="876">
        <f t="shared" si="104"/>
        <v>0</v>
      </c>
      <c r="AT254" s="876">
        <f t="shared" si="104"/>
        <v>0</v>
      </c>
      <c r="AU254" s="876">
        <f t="shared" si="104"/>
        <v>0</v>
      </c>
      <c r="AV254" s="876">
        <f t="shared" si="104"/>
        <v>0</v>
      </c>
      <c r="AW254" s="876">
        <f t="shared" si="104"/>
        <v>0</v>
      </c>
      <c r="AX254" s="876">
        <f t="shared" si="104"/>
        <v>0</v>
      </c>
      <c r="AY254" s="876">
        <f t="shared" si="104"/>
        <v>0</v>
      </c>
      <c r="AZ254" s="876">
        <f t="shared" si="104"/>
        <v>0</v>
      </c>
      <c r="BA254" s="876">
        <f t="shared" si="104"/>
        <v>0</v>
      </c>
      <c r="BB254" s="876">
        <f t="shared" si="104"/>
        <v>0</v>
      </c>
      <c r="BC254" s="876">
        <f t="shared" si="104"/>
        <v>0</v>
      </c>
      <c r="BD254" s="876">
        <f t="shared" si="104"/>
        <v>0</v>
      </c>
      <c r="BE254" s="876">
        <f t="shared" si="104"/>
        <v>0</v>
      </c>
    </row>
    <row r="255" spans="2:57" x14ac:dyDescent="0.25">
      <c r="B255" s="852"/>
      <c r="D255" s="314"/>
      <c r="E255" s="1" t="str">
        <f t="shared" ref="E255:H257" si="105">E45</f>
        <v>Increase in system reliability</v>
      </c>
      <c r="F255" s="1" t="str">
        <f t="shared" si="105"/>
        <v>[kEUR]</v>
      </c>
      <c r="G255" s="853">
        <f t="shared" si="105"/>
        <v>8562.5154086008606</v>
      </c>
      <c r="H255" s="853">
        <f t="shared" si="105"/>
        <v>4223.9906799439159</v>
      </c>
      <c r="I255" s="853"/>
      <c r="J255" s="853">
        <f t="shared" ref="J255:BE255" si="106">J45</f>
        <v>0</v>
      </c>
      <c r="K255" s="853">
        <f t="shared" si="106"/>
        <v>0</v>
      </c>
      <c r="L255" s="853">
        <f t="shared" si="106"/>
        <v>0</v>
      </c>
      <c r="M255" s="853">
        <f t="shared" si="106"/>
        <v>0</v>
      </c>
      <c r="N255" s="853">
        <f t="shared" si="106"/>
        <v>943.58051012720239</v>
      </c>
      <c r="O255" s="853">
        <f t="shared" si="106"/>
        <v>995.64012447904781</v>
      </c>
      <c r="P255" s="853">
        <f t="shared" si="106"/>
        <v>1025.2248596064253</v>
      </c>
      <c r="Q255" s="853">
        <f t="shared" si="106"/>
        <v>1055.5947280891062</v>
      </c>
      <c r="R255" s="853">
        <f t="shared" si="106"/>
        <v>1086.7693013672517</v>
      </c>
      <c r="S255" s="853">
        <f t="shared" si="106"/>
        <v>1118.7686196852874</v>
      </c>
      <c r="T255" s="853">
        <f t="shared" si="106"/>
        <v>1151.6132030154977</v>
      </c>
      <c r="U255" s="853">
        <f t="shared" si="106"/>
        <v>1185.3240622310425</v>
      </c>
      <c r="V255" s="853">
        <f t="shared" si="106"/>
        <v>0</v>
      </c>
      <c r="W255" s="853">
        <f t="shared" si="106"/>
        <v>0</v>
      </c>
      <c r="X255" s="853">
        <f t="shared" si="106"/>
        <v>0</v>
      </c>
      <c r="Y255" s="853">
        <f t="shared" si="106"/>
        <v>0</v>
      </c>
      <c r="Z255" s="853">
        <f t="shared" si="106"/>
        <v>0</v>
      </c>
      <c r="AA255" s="853">
        <f t="shared" si="106"/>
        <v>0</v>
      </c>
      <c r="AB255" s="853">
        <f t="shared" si="106"/>
        <v>0</v>
      </c>
      <c r="AC255" s="853">
        <f t="shared" si="106"/>
        <v>0</v>
      </c>
      <c r="AD255" s="853">
        <f t="shared" si="106"/>
        <v>0</v>
      </c>
      <c r="AE255" s="853">
        <f t="shared" si="106"/>
        <v>0</v>
      </c>
      <c r="AF255" s="853">
        <f t="shared" si="106"/>
        <v>0</v>
      </c>
      <c r="AG255" s="853">
        <f t="shared" si="106"/>
        <v>0</v>
      </c>
      <c r="AH255" s="853">
        <f t="shared" si="106"/>
        <v>0</v>
      </c>
      <c r="AI255" s="853">
        <f t="shared" si="106"/>
        <v>0</v>
      </c>
      <c r="AJ255" s="853">
        <f t="shared" si="106"/>
        <v>0</v>
      </c>
      <c r="AK255" s="853">
        <f t="shared" si="106"/>
        <v>0</v>
      </c>
      <c r="AL255" s="853">
        <f t="shared" si="106"/>
        <v>0</v>
      </c>
      <c r="AM255" s="853">
        <f t="shared" si="106"/>
        <v>0</v>
      </c>
      <c r="AN255" s="853">
        <f t="shared" si="106"/>
        <v>0</v>
      </c>
      <c r="AO255" s="853">
        <f t="shared" si="106"/>
        <v>0</v>
      </c>
      <c r="AP255" s="853">
        <f t="shared" si="106"/>
        <v>0</v>
      </c>
      <c r="AQ255" s="853">
        <f t="shared" si="106"/>
        <v>0</v>
      </c>
      <c r="AR255" s="853">
        <f t="shared" si="106"/>
        <v>0</v>
      </c>
      <c r="AS255" s="853">
        <f t="shared" si="106"/>
        <v>0</v>
      </c>
      <c r="AT255" s="853">
        <f t="shared" si="106"/>
        <v>0</v>
      </c>
      <c r="AU255" s="853">
        <f t="shared" si="106"/>
        <v>0</v>
      </c>
      <c r="AV255" s="853">
        <f t="shared" si="106"/>
        <v>0</v>
      </c>
      <c r="AW255" s="853">
        <f t="shared" si="106"/>
        <v>0</v>
      </c>
      <c r="AX255" s="853">
        <f t="shared" si="106"/>
        <v>0</v>
      </c>
      <c r="AY255" s="853">
        <f t="shared" si="106"/>
        <v>0</v>
      </c>
      <c r="AZ255" s="853">
        <f t="shared" si="106"/>
        <v>0</v>
      </c>
      <c r="BA255" s="853">
        <f t="shared" si="106"/>
        <v>0</v>
      </c>
      <c r="BB255" s="853">
        <f t="shared" si="106"/>
        <v>0</v>
      </c>
      <c r="BC255" s="853">
        <f t="shared" si="106"/>
        <v>0</v>
      </c>
      <c r="BD255" s="853">
        <f t="shared" si="106"/>
        <v>0</v>
      </c>
      <c r="BE255" s="853">
        <f t="shared" si="106"/>
        <v>0</v>
      </c>
    </row>
    <row r="256" spans="2:57" x14ac:dyDescent="0.25">
      <c r="B256" s="852"/>
      <c r="D256" s="314"/>
      <c r="E256" s="1" t="str">
        <f t="shared" si="105"/>
        <v>Sales of fuel gas</v>
      </c>
      <c r="F256" s="1" t="str">
        <f t="shared" si="105"/>
        <v>[kEUR]</v>
      </c>
      <c r="G256" s="853">
        <f t="shared" si="105"/>
        <v>97488.499121131113</v>
      </c>
      <c r="H256" s="853">
        <f t="shared" si="105"/>
        <v>48099.000723081794</v>
      </c>
      <c r="I256" s="853"/>
      <c r="J256" s="853">
        <f t="shared" ref="J256:BE256" si="107">J46</f>
        <v>0</v>
      </c>
      <c r="K256" s="853">
        <f t="shared" si="107"/>
        <v>0</v>
      </c>
      <c r="L256" s="853">
        <f t="shared" si="107"/>
        <v>0</v>
      </c>
      <c r="M256" s="853">
        <f t="shared" si="107"/>
        <v>0</v>
      </c>
      <c r="N256" s="853">
        <f t="shared" si="107"/>
        <v>10758.330712699204</v>
      </c>
      <c r="O256" s="853">
        <f t="shared" si="107"/>
        <v>11342.025588427803</v>
      </c>
      <c r="P256" s="853">
        <f t="shared" si="107"/>
        <v>11676.265764968961</v>
      </c>
      <c r="Q256" s="853">
        <f t="shared" si="107"/>
        <v>12019.338738336392</v>
      </c>
      <c r="R256" s="853">
        <f t="shared" si="107"/>
        <v>12371.464124332531</v>
      </c>
      <c r="S256" s="853">
        <f t="shared" si="107"/>
        <v>12732.866790273187</v>
      </c>
      <c r="T256" s="853">
        <f t="shared" si="107"/>
        <v>13103.776977201733</v>
      </c>
      <c r="U256" s="853">
        <f t="shared" si="107"/>
        <v>13484.430424891312</v>
      </c>
      <c r="V256" s="853">
        <f t="shared" si="107"/>
        <v>0</v>
      </c>
      <c r="W256" s="853">
        <f t="shared" si="107"/>
        <v>0</v>
      </c>
      <c r="X256" s="853">
        <f t="shared" si="107"/>
        <v>0</v>
      </c>
      <c r="Y256" s="853">
        <f t="shared" si="107"/>
        <v>0</v>
      </c>
      <c r="Z256" s="853">
        <f t="shared" si="107"/>
        <v>0</v>
      </c>
      <c r="AA256" s="853">
        <f t="shared" si="107"/>
        <v>0</v>
      </c>
      <c r="AB256" s="853">
        <f t="shared" si="107"/>
        <v>0</v>
      </c>
      <c r="AC256" s="853">
        <f t="shared" si="107"/>
        <v>0</v>
      </c>
      <c r="AD256" s="853">
        <f t="shared" si="107"/>
        <v>0</v>
      </c>
      <c r="AE256" s="853">
        <f t="shared" si="107"/>
        <v>0</v>
      </c>
      <c r="AF256" s="853">
        <f t="shared" si="107"/>
        <v>0</v>
      </c>
      <c r="AG256" s="853">
        <f t="shared" si="107"/>
        <v>0</v>
      </c>
      <c r="AH256" s="853">
        <f t="shared" si="107"/>
        <v>0</v>
      </c>
      <c r="AI256" s="853">
        <f t="shared" si="107"/>
        <v>0</v>
      </c>
      <c r="AJ256" s="853">
        <f t="shared" si="107"/>
        <v>0</v>
      </c>
      <c r="AK256" s="853">
        <f t="shared" si="107"/>
        <v>0</v>
      </c>
      <c r="AL256" s="853">
        <f t="shared" si="107"/>
        <v>0</v>
      </c>
      <c r="AM256" s="853">
        <f t="shared" si="107"/>
        <v>0</v>
      </c>
      <c r="AN256" s="853">
        <f t="shared" si="107"/>
        <v>0</v>
      </c>
      <c r="AO256" s="853">
        <f t="shared" si="107"/>
        <v>0</v>
      </c>
      <c r="AP256" s="853">
        <f t="shared" si="107"/>
        <v>0</v>
      </c>
      <c r="AQ256" s="853">
        <f t="shared" si="107"/>
        <v>0</v>
      </c>
      <c r="AR256" s="853">
        <f t="shared" si="107"/>
        <v>0</v>
      </c>
      <c r="AS256" s="853">
        <f t="shared" si="107"/>
        <v>0</v>
      </c>
      <c r="AT256" s="853">
        <f t="shared" si="107"/>
        <v>0</v>
      </c>
      <c r="AU256" s="853">
        <f t="shared" si="107"/>
        <v>0</v>
      </c>
      <c r="AV256" s="853">
        <f t="shared" si="107"/>
        <v>0</v>
      </c>
      <c r="AW256" s="853">
        <f t="shared" si="107"/>
        <v>0</v>
      </c>
      <c r="AX256" s="853">
        <f t="shared" si="107"/>
        <v>0</v>
      </c>
      <c r="AY256" s="853">
        <f t="shared" si="107"/>
        <v>0</v>
      </c>
      <c r="AZ256" s="853">
        <f t="shared" si="107"/>
        <v>0</v>
      </c>
      <c r="BA256" s="853">
        <f t="shared" si="107"/>
        <v>0</v>
      </c>
      <c r="BB256" s="853">
        <f t="shared" si="107"/>
        <v>0</v>
      </c>
      <c r="BC256" s="853">
        <f t="shared" si="107"/>
        <v>0</v>
      </c>
      <c r="BD256" s="853">
        <f t="shared" si="107"/>
        <v>0</v>
      </c>
      <c r="BE256" s="853">
        <f t="shared" si="107"/>
        <v>0</v>
      </c>
    </row>
    <row r="257" spans="2:57" x14ac:dyDescent="0.25">
      <c r="B257" s="852"/>
      <c r="D257" s="314"/>
      <c r="E257" s="1" t="str">
        <f t="shared" si="105"/>
        <v>Gas production</v>
      </c>
      <c r="F257" s="1" t="str">
        <f t="shared" si="105"/>
        <v>[kEUR]</v>
      </c>
      <c r="G257" s="853">
        <f t="shared" si="105"/>
        <v>856251.54086008598</v>
      </c>
      <c r="H257" s="853">
        <f t="shared" si="105"/>
        <v>422399.0679943916</v>
      </c>
      <c r="I257" s="853"/>
      <c r="J257" s="853">
        <f t="shared" ref="J257:BE257" si="108">J47</f>
        <v>0</v>
      </c>
      <c r="K257" s="853">
        <f t="shared" si="108"/>
        <v>0</v>
      </c>
      <c r="L257" s="853">
        <f t="shared" si="108"/>
        <v>0</v>
      </c>
      <c r="M257" s="853">
        <f t="shared" si="108"/>
        <v>0</v>
      </c>
      <c r="N257" s="853">
        <f t="shared" si="108"/>
        <v>94358.051012720229</v>
      </c>
      <c r="O257" s="853">
        <f t="shared" si="108"/>
        <v>99564.012447904781</v>
      </c>
      <c r="P257" s="853">
        <f t="shared" si="108"/>
        <v>102522.48596064253</v>
      </c>
      <c r="Q257" s="853">
        <f t="shared" si="108"/>
        <v>105559.47280891061</v>
      </c>
      <c r="R257" s="853">
        <f t="shared" si="108"/>
        <v>108676.93013672516</v>
      </c>
      <c r="S257" s="853">
        <f t="shared" si="108"/>
        <v>111876.86196852873</v>
      </c>
      <c r="T257" s="853">
        <f t="shared" si="108"/>
        <v>115161.32030154976</v>
      </c>
      <c r="U257" s="853">
        <f t="shared" si="108"/>
        <v>118532.40622310423</v>
      </c>
      <c r="V257" s="853">
        <f t="shared" si="108"/>
        <v>0</v>
      </c>
      <c r="W257" s="853">
        <f t="shared" si="108"/>
        <v>0</v>
      </c>
      <c r="X257" s="853">
        <f t="shared" si="108"/>
        <v>0</v>
      </c>
      <c r="Y257" s="853">
        <f t="shared" si="108"/>
        <v>0</v>
      </c>
      <c r="Z257" s="853">
        <f t="shared" si="108"/>
        <v>0</v>
      </c>
      <c r="AA257" s="853">
        <f t="shared" si="108"/>
        <v>0</v>
      </c>
      <c r="AB257" s="853">
        <f t="shared" si="108"/>
        <v>0</v>
      </c>
      <c r="AC257" s="853">
        <f t="shared" si="108"/>
        <v>0</v>
      </c>
      <c r="AD257" s="853">
        <f t="shared" si="108"/>
        <v>0</v>
      </c>
      <c r="AE257" s="853">
        <f t="shared" si="108"/>
        <v>0</v>
      </c>
      <c r="AF257" s="853">
        <f t="shared" si="108"/>
        <v>0</v>
      </c>
      <c r="AG257" s="853">
        <f t="shared" si="108"/>
        <v>0</v>
      </c>
      <c r="AH257" s="853">
        <f t="shared" si="108"/>
        <v>0</v>
      </c>
      <c r="AI257" s="853">
        <f t="shared" si="108"/>
        <v>0</v>
      </c>
      <c r="AJ257" s="853">
        <f t="shared" si="108"/>
        <v>0</v>
      </c>
      <c r="AK257" s="853">
        <f t="shared" si="108"/>
        <v>0</v>
      </c>
      <c r="AL257" s="853">
        <f t="shared" si="108"/>
        <v>0</v>
      </c>
      <c r="AM257" s="853">
        <f t="shared" si="108"/>
        <v>0</v>
      </c>
      <c r="AN257" s="853">
        <f t="shared" si="108"/>
        <v>0</v>
      </c>
      <c r="AO257" s="853">
        <f t="shared" si="108"/>
        <v>0</v>
      </c>
      <c r="AP257" s="853">
        <f t="shared" si="108"/>
        <v>0</v>
      </c>
      <c r="AQ257" s="853">
        <f t="shared" si="108"/>
        <v>0</v>
      </c>
      <c r="AR257" s="853">
        <f t="shared" si="108"/>
        <v>0</v>
      </c>
      <c r="AS257" s="853">
        <f t="shared" si="108"/>
        <v>0</v>
      </c>
      <c r="AT257" s="853">
        <f t="shared" si="108"/>
        <v>0</v>
      </c>
      <c r="AU257" s="853">
        <f t="shared" si="108"/>
        <v>0</v>
      </c>
      <c r="AV257" s="853">
        <f t="shared" si="108"/>
        <v>0</v>
      </c>
      <c r="AW257" s="853">
        <f t="shared" si="108"/>
        <v>0</v>
      </c>
      <c r="AX257" s="853">
        <f t="shared" si="108"/>
        <v>0</v>
      </c>
      <c r="AY257" s="853">
        <f t="shared" si="108"/>
        <v>0</v>
      </c>
      <c r="AZ257" s="853">
        <f t="shared" si="108"/>
        <v>0</v>
      </c>
      <c r="BA257" s="853">
        <f t="shared" si="108"/>
        <v>0</v>
      </c>
      <c r="BB257" s="853">
        <f t="shared" si="108"/>
        <v>0</v>
      </c>
      <c r="BC257" s="853">
        <f t="shared" si="108"/>
        <v>0</v>
      </c>
      <c r="BD257" s="853">
        <f t="shared" si="108"/>
        <v>0</v>
      </c>
      <c r="BE257" s="853">
        <f t="shared" si="108"/>
        <v>0</v>
      </c>
    </row>
    <row r="258" spans="2:57" x14ac:dyDescent="0.25">
      <c r="B258" s="852"/>
      <c r="D258" s="758"/>
      <c r="E258" s="37" t="str">
        <f>E50</f>
        <v>CO2</v>
      </c>
      <c r="F258" s="37" t="str">
        <f>F50</f>
        <v>[kEUR]</v>
      </c>
      <c r="G258" s="878">
        <f>G50</f>
        <v>0</v>
      </c>
      <c r="H258" s="878">
        <f>H50</f>
        <v>0</v>
      </c>
      <c r="I258" s="878"/>
      <c r="J258" s="878">
        <f t="shared" ref="J258:BE258" si="109">J50</f>
        <v>0</v>
      </c>
      <c r="K258" s="878">
        <f t="shared" si="109"/>
        <v>0</v>
      </c>
      <c r="L258" s="878">
        <f t="shared" si="109"/>
        <v>0</v>
      </c>
      <c r="M258" s="878">
        <f t="shared" si="109"/>
        <v>0</v>
      </c>
      <c r="N258" s="878">
        <f t="shared" si="109"/>
        <v>0</v>
      </c>
      <c r="O258" s="878">
        <f t="shared" si="109"/>
        <v>0</v>
      </c>
      <c r="P258" s="878">
        <f t="shared" si="109"/>
        <v>0</v>
      </c>
      <c r="Q258" s="878">
        <f t="shared" si="109"/>
        <v>0</v>
      </c>
      <c r="R258" s="878">
        <f t="shared" si="109"/>
        <v>0</v>
      </c>
      <c r="S258" s="878">
        <f t="shared" si="109"/>
        <v>0</v>
      </c>
      <c r="T258" s="878">
        <f t="shared" si="109"/>
        <v>0</v>
      </c>
      <c r="U258" s="878">
        <f t="shared" si="109"/>
        <v>0</v>
      </c>
      <c r="V258" s="878">
        <f t="shared" si="109"/>
        <v>0</v>
      </c>
      <c r="W258" s="878">
        <f t="shared" si="109"/>
        <v>0</v>
      </c>
      <c r="X258" s="878">
        <f t="shared" si="109"/>
        <v>0</v>
      </c>
      <c r="Y258" s="878">
        <f t="shared" si="109"/>
        <v>0</v>
      </c>
      <c r="Z258" s="878">
        <f t="shared" si="109"/>
        <v>0</v>
      </c>
      <c r="AA258" s="878">
        <f t="shared" si="109"/>
        <v>0</v>
      </c>
      <c r="AB258" s="878">
        <f t="shared" si="109"/>
        <v>0</v>
      </c>
      <c r="AC258" s="878">
        <f t="shared" si="109"/>
        <v>0</v>
      </c>
      <c r="AD258" s="878">
        <f t="shared" si="109"/>
        <v>0</v>
      </c>
      <c r="AE258" s="878">
        <f t="shared" si="109"/>
        <v>0</v>
      </c>
      <c r="AF258" s="878">
        <f t="shared" si="109"/>
        <v>0</v>
      </c>
      <c r="AG258" s="878">
        <f t="shared" si="109"/>
        <v>0</v>
      </c>
      <c r="AH258" s="878">
        <f t="shared" si="109"/>
        <v>0</v>
      </c>
      <c r="AI258" s="878">
        <f t="shared" si="109"/>
        <v>0</v>
      </c>
      <c r="AJ258" s="878">
        <f t="shared" si="109"/>
        <v>0</v>
      </c>
      <c r="AK258" s="878">
        <f t="shared" si="109"/>
        <v>0</v>
      </c>
      <c r="AL258" s="878">
        <f t="shared" si="109"/>
        <v>0</v>
      </c>
      <c r="AM258" s="878">
        <f t="shared" si="109"/>
        <v>0</v>
      </c>
      <c r="AN258" s="878">
        <f t="shared" si="109"/>
        <v>0</v>
      </c>
      <c r="AO258" s="878">
        <f t="shared" si="109"/>
        <v>0</v>
      </c>
      <c r="AP258" s="878">
        <f t="shared" si="109"/>
        <v>0</v>
      </c>
      <c r="AQ258" s="878">
        <f t="shared" si="109"/>
        <v>0</v>
      </c>
      <c r="AR258" s="878">
        <f t="shared" si="109"/>
        <v>0</v>
      </c>
      <c r="AS258" s="878">
        <f t="shared" si="109"/>
        <v>0</v>
      </c>
      <c r="AT258" s="878">
        <f t="shared" si="109"/>
        <v>0</v>
      </c>
      <c r="AU258" s="878">
        <f t="shared" si="109"/>
        <v>0</v>
      </c>
      <c r="AV258" s="878">
        <f t="shared" si="109"/>
        <v>0</v>
      </c>
      <c r="AW258" s="878">
        <f t="shared" si="109"/>
        <v>0</v>
      </c>
      <c r="AX258" s="878">
        <f t="shared" si="109"/>
        <v>0</v>
      </c>
      <c r="AY258" s="878">
        <f t="shared" si="109"/>
        <v>0</v>
      </c>
      <c r="AZ258" s="878">
        <f t="shared" si="109"/>
        <v>0</v>
      </c>
      <c r="BA258" s="878">
        <f t="shared" si="109"/>
        <v>0</v>
      </c>
      <c r="BB258" s="878">
        <f t="shared" si="109"/>
        <v>0</v>
      </c>
      <c r="BC258" s="878">
        <f t="shared" si="109"/>
        <v>0</v>
      </c>
      <c r="BD258" s="878">
        <f t="shared" si="109"/>
        <v>0</v>
      </c>
      <c r="BE258" s="878">
        <f t="shared" si="109"/>
        <v>0</v>
      </c>
    </row>
    <row r="259" spans="2:57" x14ac:dyDescent="0.25">
      <c r="B259" s="852"/>
      <c r="D259" s="861"/>
      <c r="E259" s="865" t="s">
        <v>1218</v>
      </c>
      <c r="F259" s="865"/>
      <c r="G259" s="876">
        <f>SUM(G260)</f>
        <v>2327466.2288961201</v>
      </c>
      <c r="H259" s="876">
        <f>SUM(H260)</f>
        <v>300277.54322803684</v>
      </c>
      <c r="I259" s="876"/>
      <c r="J259" s="876">
        <f>SUM(J260)</f>
        <v>0</v>
      </c>
      <c r="K259" s="876">
        <f t="shared" ref="K259:BE259" si="110">SUM(K260)</f>
        <v>0</v>
      </c>
      <c r="L259" s="876">
        <f t="shared" si="110"/>
        <v>0</v>
      </c>
      <c r="M259" s="876">
        <f t="shared" si="110"/>
        <v>0</v>
      </c>
      <c r="N259" s="876">
        <f t="shared" si="110"/>
        <v>0</v>
      </c>
      <c r="O259" s="876">
        <f t="shared" si="110"/>
        <v>0</v>
      </c>
      <c r="P259" s="876">
        <f t="shared" si="110"/>
        <v>0</v>
      </c>
      <c r="Q259" s="876">
        <f t="shared" si="110"/>
        <v>0</v>
      </c>
      <c r="R259" s="876">
        <f t="shared" si="110"/>
        <v>0</v>
      </c>
      <c r="S259" s="876">
        <f t="shared" si="110"/>
        <v>0</v>
      </c>
      <c r="T259" s="876">
        <f t="shared" si="110"/>
        <v>0</v>
      </c>
      <c r="U259" s="876">
        <f t="shared" si="110"/>
        <v>0</v>
      </c>
      <c r="V259" s="876">
        <f t="shared" si="110"/>
        <v>0</v>
      </c>
      <c r="W259" s="876">
        <f t="shared" si="110"/>
        <v>0</v>
      </c>
      <c r="X259" s="876">
        <f t="shared" si="110"/>
        <v>0</v>
      </c>
      <c r="Y259" s="876">
        <f t="shared" si="110"/>
        <v>134586.83383241293</v>
      </c>
      <c r="Z259" s="876">
        <f t="shared" si="110"/>
        <v>137278.57050906122</v>
      </c>
      <c r="AA259" s="876">
        <f t="shared" si="110"/>
        <v>140024.14191924245</v>
      </c>
      <c r="AB259" s="876">
        <f t="shared" si="110"/>
        <v>142824.62475762729</v>
      </c>
      <c r="AC259" s="876">
        <f t="shared" si="110"/>
        <v>145681.1172527798</v>
      </c>
      <c r="AD259" s="876">
        <f t="shared" si="110"/>
        <v>148594.73959783543</v>
      </c>
      <c r="AE259" s="876">
        <f t="shared" si="110"/>
        <v>151566.6343897921</v>
      </c>
      <c r="AF259" s="876">
        <f t="shared" si="110"/>
        <v>154597.96707758796</v>
      </c>
      <c r="AG259" s="876">
        <f t="shared" si="110"/>
        <v>157689.92641913972</v>
      </c>
      <c r="AH259" s="876">
        <f t="shared" si="110"/>
        <v>160843.72494752248</v>
      </c>
      <c r="AI259" s="876">
        <f t="shared" si="110"/>
        <v>164060.59944647294</v>
      </c>
      <c r="AJ259" s="876">
        <f t="shared" si="110"/>
        <v>167341.81143540243</v>
      </c>
      <c r="AK259" s="876">
        <f t="shared" si="110"/>
        <v>170688.64766411044</v>
      </c>
      <c r="AL259" s="876">
        <f t="shared" si="110"/>
        <v>174102.42061739269</v>
      </c>
      <c r="AM259" s="876">
        <f t="shared" si="110"/>
        <v>177584.46902974052</v>
      </c>
      <c r="AN259" s="876">
        <f t="shared" si="110"/>
        <v>0</v>
      </c>
      <c r="AO259" s="876">
        <f t="shared" si="110"/>
        <v>0</v>
      </c>
      <c r="AP259" s="876">
        <f t="shared" si="110"/>
        <v>0</v>
      </c>
      <c r="AQ259" s="876">
        <f t="shared" si="110"/>
        <v>0</v>
      </c>
      <c r="AR259" s="876">
        <f t="shared" si="110"/>
        <v>0</v>
      </c>
      <c r="AS259" s="876">
        <f t="shared" si="110"/>
        <v>0</v>
      </c>
      <c r="AT259" s="876">
        <f t="shared" si="110"/>
        <v>0</v>
      </c>
      <c r="AU259" s="876">
        <f t="shared" si="110"/>
        <v>0</v>
      </c>
      <c r="AV259" s="876">
        <f t="shared" si="110"/>
        <v>0</v>
      </c>
      <c r="AW259" s="876">
        <f t="shared" si="110"/>
        <v>0</v>
      </c>
      <c r="AX259" s="876">
        <f t="shared" si="110"/>
        <v>0</v>
      </c>
      <c r="AY259" s="876">
        <f t="shared" si="110"/>
        <v>0</v>
      </c>
      <c r="AZ259" s="876">
        <f t="shared" si="110"/>
        <v>0</v>
      </c>
      <c r="BA259" s="876">
        <f t="shared" si="110"/>
        <v>0</v>
      </c>
      <c r="BB259" s="876">
        <f t="shared" si="110"/>
        <v>0</v>
      </c>
      <c r="BC259" s="876">
        <f t="shared" si="110"/>
        <v>0</v>
      </c>
      <c r="BD259" s="876">
        <f t="shared" si="110"/>
        <v>0</v>
      </c>
      <c r="BE259" s="876">
        <f t="shared" si="110"/>
        <v>0</v>
      </c>
    </row>
    <row r="260" spans="2:57" x14ac:dyDescent="0.25">
      <c r="B260" s="852"/>
      <c r="D260" s="861"/>
      <c r="E260" s="1" t="str">
        <f>E87</f>
        <v xml:space="preserve">CCS revenue </v>
      </c>
      <c r="F260" s="1" t="str">
        <f>F87</f>
        <v>[kEUR]</v>
      </c>
      <c r="G260" s="853">
        <f>G87</f>
        <v>2327466.2288961201</v>
      </c>
      <c r="H260" s="853">
        <f>H87</f>
        <v>300277.54322803684</v>
      </c>
      <c r="I260" s="853"/>
      <c r="J260" s="853">
        <f t="shared" ref="J260:BE260" si="111">J87</f>
        <v>0</v>
      </c>
      <c r="K260" s="853">
        <f t="shared" si="111"/>
        <v>0</v>
      </c>
      <c r="L260" s="853">
        <f t="shared" si="111"/>
        <v>0</v>
      </c>
      <c r="M260" s="853">
        <f t="shared" si="111"/>
        <v>0</v>
      </c>
      <c r="N260" s="853">
        <f t="shared" si="111"/>
        <v>0</v>
      </c>
      <c r="O260" s="853">
        <f t="shared" si="111"/>
        <v>0</v>
      </c>
      <c r="P260" s="853">
        <f t="shared" si="111"/>
        <v>0</v>
      </c>
      <c r="Q260" s="853">
        <f t="shared" si="111"/>
        <v>0</v>
      </c>
      <c r="R260" s="853">
        <f t="shared" si="111"/>
        <v>0</v>
      </c>
      <c r="S260" s="853">
        <f t="shared" si="111"/>
        <v>0</v>
      </c>
      <c r="T260" s="853">
        <f t="shared" si="111"/>
        <v>0</v>
      </c>
      <c r="U260" s="853">
        <f t="shared" si="111"/>
        <v>0</v>
      </c>
      <c r="V260" s="853">
        <f t="shared" si="111"/>
        <v>0</v>
      </c>
      <c r="W260" s="853">
        <f t="shared" si="111"/>
        <v>0</v>
      </c>
      <c r="X260" s="853">
        <f t="shared" si="111"/>
        <v>0</v>
      </c>
      <c r="Y260" s="853">
        <f t="shared" si="111"/>
        <v>134586.83383241293</v>
      </c>
      <c r="Z260" s="853">
        <f t="shared" si="111"/>
        <v>137278.57050906122</v>
      </c>
      <c r="AA260" s="853">
        <f t="shared" si="111"/>
        <v>140024.14191924245</v>
      </c>
      <c r="AB260" s="853">
        <f t="shared" si="111"/>
        <v>142824.62475762729</v>
      </c>
      <c r="AC260" s="853">
        <f t="shared" si="111"/>
        <v>145681.1172527798</v>
      </c>
      <c r="AD260" s="853">
        <f t="shared" si="111"/>
        <v>148594.73959783543</v>
      </c>
      <c r="AE260" s="853">
        <f t="shared" si="111"/>
        <v>151566.6343897921</v>
      </c>
      <c r="AF260" s="853">
        <f t="shared" si="111"/>
        <v>154597.96707758796</v>
      </c>
      <c r="AG260" s="853">
        <f t="shared" si="111"/>
        <v>157689.92641913972</v>
      </c>
      <c r="AH260" s="853">
        <f t="shared" si="111"/>
        <v>160843.72494752248</v>
      </c>
      <c r="AI260" s="853">
        <f t="shared" si="111"/>
        <v>164060.59944647294</v>
      </c>
      <c r="AJ260" s="853">
        <f t="shared" si="111"/>
        <v>167341.81143540243</v>
      </c>
      <c r="AK260" s="853">
        <f t="shared" si="111"/>
        <v>170688.64766411044</v>
      </c>
      <c r="AL260" s="853">
        <f t="shared" si="111"/>
        <v>174102.42061739269</v>
      </c>
      <c r="AM260" s="853">
        <f t="shared" si="111"/>
        <v>177584.46902974052</v>
      </c>
      <c r="AN260" s="853">
        <f t="shared" si="111"/>
        <v>0</v>
      </c>
      <c r="AO260" s="853">
        <f t="shared" si="111"/>
        <v>0</v>
      </c>
      <c r="AP260" s="853">
        <f t="shared" si="111"/>
        <v>0</v>
      </c>
      <c r="AQ260" s="853">
        <f t="shared" si="111"/>
        <v>0</v>
      </c>
      <c r="AR260" s="853">
        <f t="shared" si="111"/>
        <v>0</v>
      </c>
      <c r="AS260" s="853">
        <f t="shared" si="111"/>
        <v>0</v>
      </c>
      <c r="AT260" s="853">
        <f t="shared" si="111"/>
        <v>0</v>
      </c>
      <c r="AU260" s="853">
        <f t="shared" si="111"/>
        <v>0</v>
      </c>
      <c r="AV260" s="853">
        <f t="shared" si="111"/>
        <v>0</v>
      </c>
      <c r="AW260" s="853">
        <f t="shared" si="111"/>
        <v>0</v>
      </c>
      <c r="AX260" s="853">
        <f t="shared" si="111"/>
        <v>0</v>
      </c>
      <c r="AY260" s="853">
        <f t="shared" si="111"/>
        <v>0</v>
      </c>
      <c r="AZ260" s="853">
        <f t="shared" si="111"/>
        <v>0</v>
      </c>
      <c r="BA260" s="853">
        <f t="shared" si="111"/>
        <v>0</v>
      </c>
      <c r="BB260" s="853">
        <f t="shared" si="111"/>
        <v>0</v>
      </c>
      <c r="BC260" s="853">
        <f t="shared" si="111"/>
        <v>0</v>
      </c>
      <c r="BD260" s="853">
        <f t="shared" si="111"/>
        <v>0</v>
      </c>
      <c r="BE260" s="853">
        <f t="shared" si="111"/>
        <v>0</v>
      </c>
    </row>
    <row r="261" spans="2:57" x14ac:dyDescent="0.25">
      <c r="B261" s="852"/>
      <c r="D261" s="996"/>
      <c r="E261" s="864" t="str">
        <f>B99</f>
        <v>Small H2</v>
      </c>
      <c r="F261" s="864"/>
      <c r="G261" s="877">
        <f>SUM(G262:G263)</f>
        <v>4810.9446596542593</v>
      </c>
      <c r="H261" s="877">
        <f>SUM(H262:H263)</f>
        <v>1951.8198042306622</v>
      </c>
      <c r="I261" s="877"/>
      <c r="J261" s="877">
        <f>SUM(J262:J263)</f>
        <v>0</v>
      </c>
      <c r="K261" s="877">
        <f t="shared" ref="K261:AX261" si="112">SUM(K262:K263)</f>
        <v>0</v>
      </c>
      <c r="L261" s="877">
        <f t="shared" si="112"/>
        <v>0</v>
      </c>
      <c r="M261" s="877">
        <f t="shared" si="112"/>
        <v>0</v>
      </c>
      <c r="N261" s="877">
        <f t="shared" si="112"/>
        <v>0</v>
      </c>
      <c r="O261" s="877">
        <f t="shared" si="112"/>
        <v>0</v>
      </c>
      <c r="P261" s="877">
        <f t="shared" si="112"/>
        <v>0</v>
      </c>
      <c r="Q261" s="877">
        <f t="shared" si="112"/>
        <v>0</v>
      </c>
      <c r="R261" s="877">
        <f t="shared" si="112"/>
        <v>1167.2494472192066</v>
      </c>
      <c r="S261" s="877">
        <f t="shared" si="112"/>
        <v>1190.5944361635907</v>
      </c>
      <c r="T261" s="877">
        <f t="shared" si="112"/>
        <v>1214.4063248868624</v>
      </c>
      <c r="U261" s="877">
        <f t="shared" si="112"/>
        <v>1238.6944513845995</v>
      </c>
      <c r="V261" s="877">
        <f t="shared" si="112"/>
        <v>0</v>
      </c>
      <c r="W261" s="877">
        <f t="shared" si="112"/>
        <v>0</v>
      </c>
      <c r="X261" s="877">
        <f t="shared" si="112"/>
        <v>0</v>
      </c>
      <c r="Y261" s="877">
        <f t="shared" si="112"/>
        <v>0</v>
      </c>
      <c r="Z261" s="877">
        <f t="shared" si="112"/>
        <v>0</v>
      </c>
      <c r="AA261" s="877">
        <f t="shared" si="112"/>
        <v>0</v>
      </c>
      <c r="AB261" s="877">
        <f t="shared" si="112"/>
        <v>0</v>
      </c>
      <c r="AC261" s="877">
        <f t="shared" si="112"/>
        <v>0</v>
      </c>
      <c r="AD261" s="877">
        <f t="shared" si="112"/>
        <v>0</v>
      </c>
      <c r="AE261" s="877">
        <f t="shared" si="112"/>
        <v>0</v>
      </c>
      <c r="AF261" s="877">
        <f t="shared" si="112"/>
        <v>0</v>
      </c>
      <c r="AG261" s="877">
        <f t="shared" si="112"/>
        <v>0</v>
      </c>
      <c r="AH261" s="877">
        <f t="shared" si="112"/>
        <v>0</v>
      </c>
      <c r="AI261" s="877">
        <f t="shared" si="112"/>
        <v>0</v>
      </c>
      <c r="AJ261" s="877">
        <f t="shared" si="112"/>
        <v>0</v>
      </c>
      <c r="AK261" s="877">
        <f t="shared" si="112"/>
        <v>0</v>
      </c>
      <c r="AL261" s="877">
        <f t="shared" si="112"/>
        <v>0</v>
      </c>
      <c r="AM261" s="877">
        <f t="shared" si="112"/>
        <v>0</v>
      </c>
      <c r="AN261" s="877">
        <f t="shared" si="112"/>
        <v>0</v>
      </c>
      <c r="AO261" s="877">
        <f t="shared" si="112"/>
        <v>0</v>
      </c>
      <c r="AP261" s="877">
        <f t="shared" si="112"/>
        <v>0</v>
      </c>
      <c r="AQ261" s="877">
        <f t="shared" si="112"/>
        <v>0</v>
      </c>
      <c r="AR261" s="877">
        <f t="shared" si="112"/>
        <v>0</v>
      </c>
      <c r="AS261" s="877">
        <f t="shared" si="112"/>
        <v>0</v>
      </c>
      <c r="AT261" s="877">
        <f t="shared" si="112"/>
        <v>0</v>
      </c>
      <c r="AU261" s="877">
        <f t="shared" si="112"/>
        <v>0</v>
      </c>
      <c r="AV261" s="877">
        <f t="shared" si="112"/>
        <v>0</v>
      </c>
      <c r="AW261" s="877">
        <f t="shared" si="112"/>
        <v>0</v>
      </c>
      <c r="AX261" s="877">
        <f t="shared" si="112"/>
        <v>0</v>
      </c>
      <c r="AY261" s="877">
        <f t="shared" ref="AY261:BE261" si="113">SUM(AY262:AY263)</f>
        <v>0</v>
      </c>
      <c r="AZ261" s="877">
        <f t="shared" si="113"/>
        <v>0</v>
      </c>
      <c r="BA261" s="877">
        <f t="shared" si="113"/>
        <v>0</v>
      </c>
      <c r="BB261" s="877">
        <f t="shared" si="113"/>
        <v>0</v>
      </c>
      <c r="BC261" s="877">
        <f t="shared" si="113"/>
        <v>0</v>
      </c>
      <c r="BD261" s="877">
        <f t="shared" si="113"/>
        <v>0</v>
      </c>
      <c r="BE261" s="877">
        <f t="shared" si="113"/>
        <v>0</v>
      </c>
    </row>
    <row r="262" spans="2:57" x14ac:dyDescent="0.25">
      <c r="B262" s="852"/>
      <c r="D262" s="996"/>
      <c r="E262" s="1" t="str">
        <f>E123</f>
        <v>H2 processing revenue</v>
      </c>
      <c r="F262" s="1" t="str">
        <f>F123</f>
        <v>[kEUR]</v>
      </c>
      <c r="G262" s="853">
        <f>G123</f>
        <v>4810.9446596542593</v>
      </c>
      <c r="H262" s="853">
        <f>H123</f>
        <v>1951.8198042306622</v>
      </c>
      <c r="I262" s="853"/>
      <c r="J262" s="853">
        <f t="shared" ref="J262:BE262" si="114">J123</f>
        <v>0</v>
      </c>
      <c r="K262" s="853">
        <f t="shared" si="114"/>
        <v>0</v>
      </c>
      <c r="L262" s="853">
        <f t="shared" si="114"/>
        <v>0</v>
      </c>
      <c r="M262" s="853">
        <f t="shared" si="114"/>
        <v>0</v>
      </c>
      <c r="N262" s="853">
        <f t="shared" si="114"/>
        <v>0</v>
      </c>
      <c r="O262" s="853">
        <f t="shared" si="114"/>
        <v>0</v>
      </c>
      <c r="P262" s="853">
        <f t="shared" si="114"/>
        <v>0</v>
      </c>
      <c r="Q262" s="853">
        <f t="shared" si="114"/>
        <v>0</v>
      </c>
      <c r="R262" s="853">
        <f t="shared" si="114"/>
        <v>1167.2494472192066</v>
      </c>
      <c r="S262" s="853">
        <f t="shared" si="114"/>
        <v>1190.5944361635907</v>
      </c>
      <c r="T262" s="853">
        <f t="shared" si="114"/>
        <v>1214.4063248868624</v>
      </c>
      <c r="U262" s="853">
        <f t="shared" si="114"/>
        <v>1238.6944513845995</v>
      </c>
      <c r="V262" s="853">
        <f t="shared" si="114"/>
        <v>0</v>
      </c>
      <c r="W262" s="853">
        <f t="shared" si="114"/>
        <v>0</v>
      </c>
      <c r="X262" s="853">
        <f t="shared" si="114"/>
        <v>0</v>
      </c>
      <c r="Y262" s="853">
        <f t="shared" si="114"/>
        <v>0</v>
      </c>
      <c r="Z262" s="853">
        <f t="shared" si="114"/>
        <v>0</v>
      </c>
      <c r="AA262" s="853">
        <f t="shared" si="114"/>
        <v>0</v>
      </c>
      <c r="AB262" s="853">
        <f t="shared" si="114"/>
        <v>0</v>
      </c>
      <c r="AC262" s="853">
        <f t="shared" si="114"/>
        <v>0</v>
      </c>
      <c r="AD262" s="853">
        <f t="shared" si="114"/>
        <v>0</v>
      </c>
      <c r="AE262" s="853">
        <f t="shared" si="114"/>
        <v>0</v>
      </c>
      <c r="AF262" s="853">
        <f t="shared" si="114"/>
        <v>0</v>
      </c>
      <c r="AG262" s="853">
        <f t="shared" si="114"/>
        <v>0</v>
      </c>
      <c r="AH262" s="853">
        <f t="shared" si="114"/>
        <v>0</v>
      </c>
      <c r="AI262" s="853">
        <f t="shared" si="114"/>
        <v>0</v>
      </c>
      <c r="AJ262" s="853">
        <f t="shared" si="114"/>
        <v>0</v>
      </c>
      <c r="AK262" s="853">
        <f t="shared" si="114"/>
        <v>0</v>
      </c>
      <c r="AL262" s="853">
        <f t="shared" si="114"/>
        <v>0</v>
      </c>
      <c r="AM262" s="853">
        <f t="shared" si="114"/>
        <v>0</v>
      </c>
      <c r="AN262" s="853">
        <f t="shared" si="114"/>
        <v>0</v>
      </c>
      <c r="AO262" s="853">
        <f t="shared" si="114"/>
        <v>0</v>
      </c>
      <c r="AP262" s="853">
        <f t="shared" si="114"/>
        <v>0</v>
      </c>
      <c r="AQ262" s="853">
        <f t="shared" si="114"/>
        <v>0</v>
      </c>
      <c r="AR262" s="853">
        <f t="shared" si="114"/>
        <v>0</v>
      </c>
      <c r="AS262" s="853">
        <f t="shared" si="114"/>
        <v>0</v>
      </c>
      <c r="AT262" s="853">
        <f t="shared" si="114"/>
        <v>0</v>
      </c>
      <c r="AU262" s="853">
        <f t="shared" si="114"/>
        <v>0</v>
      </c>
      <c r="AV262" s="853">
        <f t="shared" si="114"/>
        <v>0</v>
      </c>
      <c r="AW262" s="853">
        <f t="shared" si="114"/>
        <v>0</v>
      </c>
      <c r="AX262" s="853">
        <f t="shared" si="114"/>
        <v>0</v>
      </c>
      <c r="AY262" s="853">
        <f t="shared" si="114"/>
        <v>0</v>
      </c>
      <c r="AZ262" s="853">
        <f t="shared" si="114"/>
        <v>0</v>
      </c>
      <c r="BA262" s="853">
        <f t="shared" si="114"/>
        <v>0</v>
      </c>
      <c r="BB262" s="853">
        <f t="shared" si="114"/>
        <v>0</v>
      </c>
      <c r="BC262" s="853">
        <f t="shared" si="114"/>
        <v>0</v>
      </c>
      <c r="BD262" s="853">
        <f t="shared" si="114"/>
        <v>0</v>
      </c>
      <c r="BE262" s="853">
        <f t="shared" si="114"/>
        <v>0</v>
      </c>
    </row>
    <row r="263" spans="2:57" x14ac:dyDescent="0.25">
      <c r="B263" s="852"/>
      <c r="D263" s="996"/>
      <c r="G263" s="853"/>
      <c r="H263" s="853"/>
      <c r="I263" s="853"/>
      <c r="J263" s="853"/>
      <c r="K263" s="853"/>
      <c r="L263" s="853"/>
      <c r="M263" s="853"/>
      <c r="N263" s="853"/>
      <c r="O263" s="853"/>
      <c r="P263" s="853"/>
      <c r="Q263" s="853"/>
      <c r="R263" s="853"/>
      <c r="S263" s="853"/>
      <c r="T263" s="853"/>
      <c r="U263" s="853"/>
      <c r="V263" s="853"/>
      <c r="W263" s="853"/>
      <c r="X263" s="853"/>
      <c r="Y263" s="853"/>
      <c r="Z263" s="853"/>
      <c r="AA263" s="853"/>
      <c r="AB263" s="853"/>
      <c r="AC263" s="853"/>
      <c r="AD263" s="853"/>
      <c r="AE263" s="853"/>
      <c r="AF263" s="853"/>
      <c r="AG263" s="853"/>
      <c r="AH263" s="853"/>
      <c r="AI263" s="853"/>
      <c r="AJ263" s="853"/>
      <c r="AK263" s="853"/>
      <c r="AL263" s="853"/>
      <c r="AM263" s="853"/>
      <c r="AN263" s="853"/>
      <c r="AO263" s="853"/>
      <c r="AP263" s="853"/>
      <c r="AQ263" s="853"/>
      <c r="AR263" s="853"/>
      <c r="AS263" s="853"/>
      <c r="AT263" s="853"/>
      <c r="AU263" s="853"/>
      <c r="AV263" s="853"/>
      <c r="AW263" s="853"/>
      <c r="AX263" s="853"/>
      <c r="AY263" s="853"/>
      <c r="AZ263" s="853"/>
      <c r="BA263" s="853"/>
      <c r="BB263" s="853"/>
      <c r="BC263" s="853"/>
      <c r="BD263" s="853"/>
      <c r="BE263" s="853"/>
    </row>
    <row r="264" spans="2:57" x14ac:dyDescent="0.25">
      <c r="B264" s="852"/>
      <c r="D264" s="862"/>
      <c r="E264" s="864" t="str">
        <f>B136</f>
        <v>Large H2</v>
      </c>
      <c r="F264" s="864"/>
      <c r="G264" s="877">
        <f>SUM(G265:G266)</f>
        <v>442828.84366893937</v>
      </c>
      <c r="H264" s="877">
        <f>SUM(H265:H266)</f>
        <v>58825.792423478197</v>
      </c>
      <c r="I264" s="877"/>
      <c r="J264" s="877">
        <f>SUM(J265:J266)</f>
        <v>0</v>
      </c>
      <c r="K264" s="877">
        <f t="shared" ref="K264:AX264" si="115">SUM(K265:K266)</f>
        <v>0</v>
      </c>
      <c r="L264" s="877">
        <f t="shared" si="115"/>
        <v>0</v>
      </c>
      <c r="M264" s="877">
        <f t="shared" si="115"/>
        <v>0</v>
      </c>
      <c r="N264" s="877">
        <f t="shared" si="115"/>
        <v>0</v>
      </c>
      <c r="O264" s="877">
        <f t="shared" si="115"/>
        <v>0</v>
      </c>
      <c r="P264" s="877">
        <f t="shared" si="115"/>
        <v>0</v>
      </c>
      <c r="Q264" s="877">
        <f t="shared" si="115"/>
        <v>0</v>
      </c>
      <c r="R264" s="877">
        <f t="shared" si="115"/>
        <v>0</v>
      </c>
      <c r="S264" s="877">
        <f t="shared" si="115"/>
        <v>0</v>
      </c>
      <c r="T264" s="877">
        <f t="shared" si="115"/>
        <v>0</v>
      </c>
      <c r="U264" s="877">
        <f t="shared" si="115"/>
        <v>0</v>
      </c>
      <c r="V264" s="877">
        <f t="shared" si="115"/>
        <v>0</v>
      </c>
      <c r="W264" s="877">
        <f t="shared" si="115"/>
        <v>19387.828945536217</v>
      </c>
      <c r="X264" s="877">
        <f t="shared" si="115"/>
        <v>19775.585524446942</v>
      </c>
      <c r="Y264" s="877">
        <f t="shared" si="115"/>
        <v>20171.097234935874</v>
      </c>
      <c r="Z264" s="877">
        <f t="shared" si="115"/>
        <v>20574.519179634597</v>
      </c>
      <c r="AA264" s="877">
        <f t="shared" si="115"/>
        <v>20986.009563227293</v>
      </c>
      <c r="AB264" s="877">
        <f t="shared" si="115"/>
        <v>21405.729754491837</v>
      </c>
      <c r="AC264" s="877">
        <f t="shared" si="115"/>
        <v>21833.844349581668</v>
      </c>
      <c r="AD264" s="877">
        <f t="shared" si="115"/>
        <v>22270.521236573306</v>
      </c>
      <c r="AE264" s="877">
        <f t="shared" si="115"/>
        <v>22715.93166130477</v>
      </c>
      <c r="AF264" s="877">
        <f t="shared" si="115"/>
        <v>23170.25029453087</v>
      </c>
      <c r="AG264" s="877">
        <f t="shared" si="115"/>
        <v>23633.65530042148</v>
      </c>
      <c r="AH264" s="877">
        <f t="shared" si="115"/>
        <v>24106.328406429911</v>
      </c>
      <c r="AI264" s="877">
        <f t="shared" si="115"/>
        <v>24588.45497455851</v>
      </c>
      <c r="AJ264" s="877">
        <f t="shared" si="115"/>
        <v>25080.224074049682</v>
      </c>
      <c r="AK264" s="877">
        <f t="shared" si="115"/>
        <v>25581.828555530672</v>
      </c>
      <c r="AL264" s="877">
        <f t="shared" si="115"/>
        <v>26093.465126641291</v>
      </c>
      <c r="AM264" s="877">
        <f t="shared" si="115"/>
        <v>26615.334429174112</v>
      </c>
      <c r="AN264" s="877">
        <f t="shared" si="115"/>
        <v>27147.641117757597</v>
      </c>
      <c r="AO264" s="877">
        <f t="shared" si="115"/>
        <v>27690.593940112743</v>
      </c>
      <c r="AP264" s="877">
        <f t="shared" si="115"/>
        <v>0</v>
      </c>
      <c r="AQ264" s="877">
        <f t="shared" si="115"/>
        <v>0</v>
      </c>
      <c r="AR264" s="877">
        <f t="shared" si="115"/>
        <v>0</v>
      </c>
      <c r="AS264" s="877">
        <f t="shared" si="115"/>
        <v>0</v>
      </c>
      <c r="AT264" s="877">
        <f t="shared" si="115"/>
        <v>0</v>
      </c>
      <c r="AU264" s="877">
        <f t="shared" si="115"/>
        <v>0</v>
      </c>
      <c r="AV264" s="877">
        <f t="shared" si="115"/>
        <v>0</v>
      </c>
      <c r="AW264" s="877">
        <f t="shared" si="115"/>
        <v>0</v>
      </c>
      <c r="AX264" s="877">
        <f t="shared" si="115"/>
        <v>0</v>
      </c>
      <c r="AY264" s="877">
        <f t="shared" ref="AY264:BE264" si="116">SUM(AY265:AY266)</f>
        <v>0</v>
      </c>
      <c r="AZ264" s="877">
        <f t="shared" si="116"/>
        <v>0</v>
      </c>
      <c r="BA264" s="877">
        <f t="shared" si="116"/>
        <v>0</v>
      </c>
      <c r="BB264" s="877">
        <f t="shared" si="116"/>
        <v>0</v>
      </c>
      <c r="BC264" s="877">
        <f t="shared" si="116"/>
        <v>0</v>
      </c>
      <c r="BD264" s="877">
        <f t="shared" si="116"/>
        <v>0</v>
      </c>
      <c r="BE264" s="877">
        <f t="shared" si="116"/>
        <v>0</v>
      </c>
    </row>
    <row r="265" spans="2:57" x14ac:dyDescent="0.25">
      <c r="B265" s="852"/>
      <c r="D265" s="862"/>
      <c r="E265" s="1" t="str">
        <f>E160</f>
        <v>H2 processing revenue</v>
      </c>
      <c r="F265" s="1" t="str">
        <f>F160</f>
        <v>[kEUR]</v>
      </c>
      <c r="G265" s="853">
        <f>G160</f>
        <v>442828.84366893937</v>
      </c>
      <c r="H265" s="853">
        <f>H160</f>
        <v>58825.792423478197</v>
      </c>
      <c r="I265" s="853"/>
      <c r="J265" s="853">
        <f t="shared" ref="J265:BE265" si="117">J160</f>
        <v>0</v>
      </c>
      <c r="K265" s="853">
        <f t="shared" si="117"/>
        <v>0</v>
      </c>
      <c r="L265" s="853">
        <f t="shared" si="117"/>
        <v>0</v>
      </c>
      <c r="M265" s="853">
        <f t="shared" si="117"/>
        <v>0</v>
      </c>
      <c r="N265" s="853">
        <f t="shared" si="117"/>
        <v>0</v>
      </c>
      <c r="O265" s="853">
        <f t="shared" si="117"/>
        <v>0</v>
      </c>
      <c r="P265" s="853">
        <f t="shared" si="117"/>
        <v>0</v>
      </c>
      <c r="Q265" s="853">
        <f t="shared" si="117"/>
        <v>0</v>
      </c>
      <c r="R265" s="853">
        <f t="shared" si="117"/>
        <v>0</v>
      </c>
      <c r="S265" s="853">
        <f t="shared" si="117"/>
        <v>0</v>
      </c>
      <c r="T265" s="853">
        <f t="shared" si="117"/>
        <v>0</v>
      </c>
      <c r="U265" s="853">
        <f t="shared" si="117"/>
        <v>0</v>
      </c>
      <c r="V265" s="853">
        <f t="shared" si="117"/>
        <v>0</v>
      </c>
      <c r="W265" s="853">
        <f t="shared" si="117"/>
        <v>19387.828945536217</v>
      </c>
      <c r="X265" s="853">
        <f t="shared" si="117"/>
        <v>19775.585524446942</v>
      </c>
      <c r="Y265" s="853">
        <f t="shared" si="117"/>
        <v>20171.097234935874</v>
      </c>
      <c r="Z265" s="853">
        <f t="shared" si="117"/>
        <v>20574.519179634597</v>
      </c>
      <c r="AA265" s="853">
        <f t="shared" si="117"/>
        <v>20986.009563227293</v>
      </c>
      <c r="AB265" s="853">
        <f t="shared" si="117"/>
        <v>21405.729754491837</v>
      </c>
      <c r="AC265" s="853">
        <f t="shared" si="117"/>
        <v>21833.844349581668</v>
      </c>
      <c r="AD265" s="853">
        <f t="shared" si="117"/>
        <v>22270.521236573306</v>
      </c>
      <c r="AE265" s="853">
        <f t="shared" si="117"/>
        <v>22715.93166130477</v>
      </c>
      <c r="AF265" s="853">
        <f t="shared" si="117"/>
        <v>23170.25029453087</v>
      </c>
      <c r="AG265" s="853">
        <f t="shared" si="117"/>
        <v>23633.65530042148</v>
      </c>
      <c r="AH265" s="853">
        <f t="shared" si="117"/>
        <v>24106.328406429911</v>
      </c>
      <c r="AI265" s="853">
        <f t="shared" si="117"/>
        <v>24588.45497455851</v>
      </c>
      <c r="AJ265" s="853">
        <f t="shared" si="117"/>
        <v>25080.224074049682</v>
      </c>
      <c r="AK265" s="853">
        <f t="shared" si="117"/>
        <v>25581.828555530672</v>
      </c>
      <c r="AL265" s="853">
        <f t="shared" si="117"/>
        <v>26093.465126641291</v>
      </c>
      <c r="AM265" s="853">
        <f t="shared" si="117"/>
        <v>26615.334429174112</v>
      </c>
      <c r="AN265" s="853">
        <f t="shared" si="117"/>
        <v>27147.641117757597</v>
      </c>
      <c r="AO265" s="853">
        <f t="shared" si="117"/>
        <v>27690.593940112743</v>
      </c>
      <c r="AP265" s="853">
        <f t="shared" si="117"/>
        <v>0</v>
      </c>
      <c r="AQ265" s="853">
        <f t="shared" si="117"/>
        <v>0</v>
      </c>
      <c r="AR265" s="853">
        <f t="shared" si="117"/>
        <v>0</v>
      </c>
      <c r="AS265" s="853">
        <f t="shared" si="117"/>
        <v>0</v>
      </c>
      <c r="AT265" s="853">
        <f t="shared" si="117"/>
        <v>0</v>
      </c>
      <c r="AU265" s="853">
        <f t="shared" si="117"/>
        <v>0</v>
      </c>
      <c r="AV265" s="853">
        <f t="shared" si="117"/>
        <v>0</v>
      </c>
      <c r="AW265" s="853">
        <f t="shared" si="117"/>
        <v>0</v>
      </c>
      <c r="AX265" s="853">
        <f t="shared" si="117"/>
        <v>0</v>
      </c>
      <c r="AY265" s="853">
        <f t="shared" si="117"/>
        <v>0</v>
      </c>
      <c r="AZ265" s="853">
        <f t="shared" si="117"/>
        <v>0</v>
      </c>
      <c r="BA265" s="853">
        <f t="shared" si="117"/>
        <v>0</v>
      </c>
      <c r="BB265" s="853">
        <f t="shared" si="117"/>
        <v>0</v>
      </c>
      <c r="BC265" s="853">
        <f t="shared" si="117"/>
        <v>0</v>
      </c>
      <c r="BD265" s="853">
        <f t="shared" si="117"/>
        <v>0</v>
      </c>
      <c r="BE265" s="853">
        <f t="shared" si="117"/>
        <v>0</v>
      </c>
    </row>
    <row r="266" spans="2:57" x14ac:dyDescent="0.25">
      <c r="B266" s="852"/>
      <c r="D266" s="316"/>
      <c r="G266" s="853"/>
      <c r="H266" s="853"/>
      <c r="I266" s="853"/>
      <c r="J266" s="853"/>
      <c r="K266" s="853"/>
      <c r="L266" s="853"/>
      <c r="M266" s="853"/>
      <c r="N266" s="853"/>
      <c r="O266" s="853"/>
      <c r="P266" s="853"/>
      <c r="Q266" s="853"/>
      <c r="R266" s="853"/>
      <c r="S266" s="853"/>
      <c r="T266" s="853"/>
      <c r="U266" s="853"/>
      <c r="V266" s="853"/>
      <c r="W266" s="853"/>
      <c r="X266" s="853"/>
      <c r="Y266" s="853"/>
      <c r="Z266" s="853"/>
      <c r="AA266" s="853"/>
      <c r="AB266" s="853"/>
      <c r="AC266" s="853"/>
      <c r="AD266" s="853"/>
      <c r="AE266" s="853"/>
      <c r="AF266" s="853"/>
      <c r="AG266" s="853"/>
      <c r="AH266" s="853"/>
      <c r="AI266" s="853"/>
      <c r="AJ266" s="853"/>
      <c r="AK266" s="853"/>
      <c r="AL266" s="853"/>
      <c r="AM266" s="853"/>
      <c r="AN266" s="853"/>
      <c r="AO266" s="853"/>
      <c r="AP266" s="853"/>
      <c r="AQ266" s="853"/>
      <c r="AR266" s="853"/>
      <c r="AS266" s="853"/>
      <c r="AT266" s="853"/>
      <c r="AU266" s="853"/>
      <c r="AV266" s="853"/>
      <c r="AW266" s="853"/>
      <c r="AX266" s="853"/>
      <c r="AY266" s="853"/>
      <c r="AZ266" s="853"/>
      <c r="BA266" s="853"/>
      <c r="BB266" s="853"/>
      <c r="BC266" s="853"/>
      <c r="BD266" s="853"/>
      <c r="BE266" s="853"/>
    </row>
    <row r="267" spans="2:57" x14ac:dyDescent="0.25">
      <c r="B267" s="852"/>
    </row>
    <row r="268" spans="2:57" ht="18.75" x14ac:dyDescent="0.3">
      <c r="B268" s="852"/>
      <c r="D268" s="873"/>
      <c r="E268" s="874" t="s">
        <v>84</v>
      </c>
      <c r="F268" s="874" t="s">
        <v>1653</v>
      </c>
      <c r="G268" s="875">
        <f>(G174+G215+G253)/1000</f>
        <v>1811.925724151818</v>
      </c>
      <c r="H268" s="875">
        <f>(H174+H215+H253)/1000</f>
        <v>362.80948833756872</v>
      </c>
      <c r="I268" s="875"/>
      <c r="J268" s="875">
        <f t="shared" ref="J268:BE268" si="118">(J174+J215+J253)/1000</f>
        <v>0</v>
      </c>
      <c r="K268" s="875">
        <f t="shared" si="118"/>
        <v>0</v>
      </c>
      <c r="L268" s="875">
        <f t="shared" si="118"/>
        <v>0</v>
      </c>
      <c r="M268" s="875">
        <f t="shared" si="118"/>
        <v>-64.189426769135309</v>
      </c>
      <c r="N268" s="875">
        <f t="shared" si="118"/>
        <v>77.359907434245102</v>
      </c>
      <c r="O268" s="875">
        <f t="shared" si="118"/>
        <v>82.137807486930512</v>
      </c>
      <c r="P268" s="875">
        <f t="shared" si="118"/>
        <v>84.791721266824439</v>
      </c>
      <c r="Q268" s="875">
        <f t="shared" si="118"/>
        <v>56.498307649070121</v>
      </c>
      <c r="R268" s="875">
        <f t="shared" si="118"/>
        <v>87.850779028473909</v>
      </c>
      <c r="S268" s="875">
        <f t="shared" si="118"/>
        <v>90.5948383313726</v>
      </c>
      <c r="T268" s="875">
        <f t="shared" si="118"/>
        <v>93.364098108057689</v>
      </c>
      <c r="U268" s="875">
        <f t="shared" si="118"/>
        <v>96.220939650967424</v>
      </c>
      <c r="V268" s="875">
        <f t="shared" si="118"/>
        <v>-243.5688749113219</v>
      </c>
      <c r="W268" s="875">
        <f t="shared" si="118"/>
        <v>-243.20999524421961</v>
      </c>
      <c r="X268" s="875">
        <f t="shared" si="118"/>
        <v>-11.873653693239008</v>
      </c>
      <c r="Y268" s="875">
        <f t="shared" si="118"/>
        <v>108.47655846328833</v>
      </c>
      <c r="Z268" s="875">
        <f t="shared" si="118"/>
        <v>110.6398050442414</v>
      </c>
      <c r="AA268" s="875">
        <f t="shared" si="118"/>
        <v>112.84619086504725</v>
      </c>
      <c r="AB268" s="875">
        <f t="shared" si="118"/>
        <v>115.09657619666763</v>
      </c>
      <c r="AC268" s="875">
        <f t="shared" si="118"/>
        <v>117.39183846520677</v>
      </c>
      <c r="AD268" s="875">
        <f t="shared" si="118"/>
        <v>119.73287259400891</v>
      </c>
      <c r="AE268" s="875">
        <f t="shared" si="118"/>
        <v>122.12059135257695</v>
      </c>
      <c r="AF268" s="875">
        <f t="shared" si="118"/>
        <v>124.55592571245018</v>
      </c>
      <c r="AG268" s="875">
        <f t="shared" si="118"/>
        <v>107.91323885553609</v>
      </c>
      <c r="AH268" s="875">
        <f t="shared" si="118"/>
        <v>129.58798511123314</v>
      </c>
      <c r="AI268" s="875">
        <f t="shared" si="118"/>
        <v>132.1797448134578</v>
      </c>
      <c r="AJ268" s="875">
        <f t="shared" si="118"/>
        <v>134.82333970972698</v>
      </c>
      <c r="AK268" s="875">
        <f t="shared" si="118"/>
        <v>137.51980650392147</v>
      </c>
      <c r="AL268" s="875">
        <f t="shared" si="118"/>
        <v>140.27020263399999</v>
      </c>
      <c r="AM268" s="875">
        <f t="shared" si="118"/>
        <v>143.07560668667995</v>
      </c>
      <c r="AN268" s="875">
        <f t="shared" si="118"/>
        <v>-39.693263504676551</v>
      </c>
      <c r="AO268" s="875">
        <f t="shared" si="118"/>
        <v>-18.227814489055799</v>
      </c>
      <c r="AP268" s="875">
        <f t="shared" si="118"/>
        <v>-80.451251714196857</v>
      </c>
      <c r="AQ268" s="875">
        <f t="shared" si="118"/>
        <v>-1.6018595032859595</v>
      </c>
      <c r="AR268" s="875">
        <f t="shared" si="118"/>
        <v>-1.6338966933516785</v>
      </c>
      <c r="AS268" s="875">
        <f t="shared" si="118"/>
        <v>-1.6665746272187121</v>
      </c>
      <c r="AT268" s="875">
        <f t="shared" si="118"/>
        <v>-1.6999061197630863</v>
      </c>
      <c r="AU268" s="875">
        <f t="shared" si="118"/>
        <v>-1.7339042421583482</v>
      </c>
      <c r="AV268" s="875">
        <f t="shared" si="118"/>
        <v>-1.7685823270015153</v>
      </c>
      <c r="AW268" s="875">
        <f t="shared" si="118"/>
        <v>-1.8039539735415449</v>
      </c>
      <c r="AX268" s="875">
        <f t="shared" si="118"/>
        <v>0</v>
      </c>
      <c r="AY268" s="875">
        <f t="shared" si="118"/>
        <v>0</v>
      </c>
      <c r="AZ268" s="875">
        <f t="shared" si="118"/>
        <v>0</v>
      </c>
      <c r="BA268" s="875">
        <f t="shared" si="118"/>
        <v>0</v>
      </c>
      <c r="BB268" s="875">
        <f t="shared" si="118"/>
        <v>0</v>
      </c>
      <c r="BC268" s="875">
        <f t="shared" si="118"/>
        <v>0</v>
      </c>
      <c r="BD268" s="875">
        <f t="shared" si="118"/>
        <v>0</v>
      </c>
      <c r="BE268" s="875">
        <f t="shared" si="118"/>
        <v>0</v>
      </c>
    </row>
    <row r="269" spans="2:57" x14ac:dyDescent="0.25">
      <c r="B269" s="852"/>
      <c r="D269" s="314"/>
      <c r="E269" s="747" t="s">
        <v>958</v>
      </c>
      <c r="F269" s="1168" t="s">
        <v>1653</v>
      </c>
      <c r="G269" s="883">
        <f>(G175+G216+G254)/1000</f>
        <v>645.12724016825871</v>
      </c>
      <c r="H269" s="883">
        <f>(H175+H216+H254)/1000</f>
        <v>301.34786638433718</v>
      </c>
      <c r="I269" s="883"/>
      <c r="J269" s="883">
        <f t="shared" ref="J269:BE269" si="119">(J175+J216+J254)/1000</f>
        <v>0</v>
      </c>
      <c r="K269" s="883">
        <f t="shared" si="119"/>
        <v>0</v>
      </c>
      <c r="L269" s="883">
        <f t="shared" si="119"/>
        <v>0</v>
      </c>
      <c r="M269" s="883">
        <f t="shared" si="119"/>
        <v>-64.189426769135309</v>
      </c>
      <c r="N269" s="883">
        <f t="shared" si="119"/>
        <v>77.359907434245102</v>
      </c>
      <c r="O269" s="883">
        <f t="shared" si="119"/>
        <v>82.137807486930512</v>
      </c>
      <c r="P269" s="883">
        <f t="shared" si="119"/>
        <v>84.791721266824439</v>
      </c>
      <c r="Q269" s="883">
        <f t="shared" si="119"/>
        <v>87.441034606418867</v>
      </c>
      <c r="R269" s="883">
        <f t="shared" si="119"/>
        <v>90.169168371632423</v>
      </c>
      <c r="S269" s="883">
        <f t="shared" si="119"/>
        <v>92.959603407935006</v>
      </c>
      <c r="T269" s="883">
        <f t="shared" si="119"/>
        <v>95.776166591622868</v>
      </c>
      <c r="U269" s="883">
        <f t="shared" si="119"/>
        <v>98.681257771784843</v>
      </c>
      <c r="V269" s="883">
        <f t="shared" si="119"/>
        <v>0</v>
      </c>
      <c r="W269" s="883">
        <f t="shared" si="119"/>
        <v>0</v>
      </c>
      <c r="X269" s="883">
        <f t="shared" si="119"/>
        <v>0</v>
      </c>
      <c r="Y269" s="883">
        <f t="shared" si="119"/>
        <v>0</v>
      </c>
      <c r="Z269" s="883">
        <f t="shared" si="119"/>
        <v>0</v>
      </c>
      <c r="AA269" s="883">
        <f t="shared" si="119"/>
        <v>0</v>
      </c>
      <c r="AB269" s="883">
        <f t="shared" si="119"/>
        <v>0</v>
      </c>
      <c r="AC269" s="883">
        <f t="shared" si="119"/>
        <v>0</v>
      </c>
      <c r="AD269" s="883">
        <f t="shared" si="119"/>
        <v>0</v>
      </c>
      <c r="AE269" s="883">
        <f t="shared" si="119"/>
        <v>0</v>
      </c>
      <c r="AF269" s="883">
        <f t="shared" si="119"/>
        <v>0</v>
      </c>
      <c r="AG269" s="883">
        <f t="shared" si="119"/>
        <v>0</v>
      </c>
      <c r="AH269" s="883">
        <f t="shared" si="119"/>
        <v>0</v>
      </c>
      <c r="AI269" s="883">
        <f t="shared" si="119"/>
        <v>0</v>
      </c>
      <c r="AJ269" s="883">
        <f t="shared" si="119"/>
        <v>0</v>
      </c>
      <c r="AK269" s="883">
        <f t="shared" si="119"/>
        <v>0</v>
      </c>
      <c r="AL269" s="883">
        <f t="shared" si="119"/>
        <v>0</v>
      </c>
      <c r="AM269" s="883">
        <f t="shared" si="119"/>
        <v>0</v>
      </c>
      <c r="AN269" s="883">
        <f t="shared" si="119"/>
        <v>0</v>
      </c>
      <c r="AO269" s="883">
        <f t="shared" si="119"/>
        <v>0</v>
      </c>
      <c r="AP269" s="883">
        <f t="shared" si="119"/>
        <v>0</v>
      </c>
      <c r="AQ269" s="883">
        <f t="shared" si="119"/>
        <v>0</v>
      </c>
      <c r="AR269" s="883">
        <f t="shared" si="119"/>
        <v>0</v>
      </c>
      <c r="AS269" s="883">
        <f t="shared" si="119"/>
        <v>0</v>
      </c>
      <c r="AT269" s="883">
        <f t="shared" si="119"/>
        <v>0</v>
      </c>
      <c r="AU269" s="883">
        <f t="shared" si="119"/>
        <v>0</v>
      </c>
      <c r="AV269" s="883">
        <f t="shared" si="119"/>
        <v>0</v>
      </c>
      <c r="AW269" s="883">
        <f t="shared" si="119"/>
        <v>0</v>
      </c>
      <c r="AX269" s="883">
        <f t="shared" si="119"/>
        <v>0</v>
      </c>
      <c r="AY269" s="883">
        <f t="shared" si="119"/>
        <v>0</v>
      </c>
      <c r="AZ269" s="883">
        <f t="shared" si="119"/>
        <v>0</v>
      </c>
      <c r="BA269" s="883">
        <f t="shared" si="119"/>
        <v>0</v>
      </c>
      <c r="BB269" s="883">
        <f t="shared" si="119"/>
        <v>0</v>
      </c>
      <c r="BC269" s="883">
        <f t="shared" si="119"/>
        <v>0</v>
      </c>
      <c r="BD269" s="883">
        <f t="shared" si="119"/>
        <v>0</v>
      </c>
      <c r="BE269" s="883">
        <f t="shared" si="119"/>
        <v>0</v>
      </c>
    </row>
    <row r="270" spans="2:57" x14ac:dyDescent="0.25">
      <c r="B270" s="852"/>
      <c r="D270" s="861"/>
      <c r="E270" s="747" t="s">
        <v>1218</v>
      </c>
      <c r="F270" s="1168" t="s">
        <v>1653</v>
      </c>
      <c r="G270" s="883">
        <f>(G182+G221+G259)/1000</f>
        <v>1815.4993644104013</v>
      </c>
      <c r="H270" s="883">
        <f>(H182+H221+H259)/1000</f>
        <v>200.09169529779106</v>
      </c>
      <c r="I270" s="883"/>
      <c r="J270" s="883">
        <f t="shared" ref="J270:BE270" si="120">(J182+J221+J259)/1000</f>
        <v>0</v>
      </c>
      <c r="K270" s="883">
        <f t="shared" si="120"/>
        <v>0</v>
      </c>
      <c r="L270" s="883">
        <f t="shared" si="120"/>
        <v>0</v>
      </c>
      <c r="M270" s="883">
        <f t="shared" si="120"/>
        <v>0</v>
      </c>
      <c r="N270" s="883">
        <f t="shared" si="120"/>
        <v>0</v>
      </c>
      <c r="O270" s="883">
        <f t="shared" si="120"/>
        <v>0</v>
      </c>
      <c r="P270" s="883">
        <f t="shared" si="120"/>
        <v>0</v>
      </c>
      <c r="Q270" s="883">
        <f t="shared" si="120"/>
        <v>0</v>
      </c>
      <c r="R270" s="883">
        <f t="shared" si="120"/>
        <v>0</v>
      </c>
      <c r="S270" s="883">
        <f t="shared" si="120"/>
        <v>0</v>
      </c>
      <c r="T270" s="883">
        <f t="shared" si="120"/>
        <v>0</v>
      </c>
      <c r="U270" s="883">
        <f t="shared" si="120"/>
        <v>0</v>
      </c>
      <c r="V270" s="883">
        <f t="shared" si="120"/>
        <v>0</v>
      </c>
      <c r="W270" s="883">
        <f t="shared" si="120"/>
        <v>-231.57459988007781</v>
      </c>
      <c r="X270" s="883">
        <f t="shared" si="120"/>
        <v>0</v>
      </c>
      <c r="Y270" s="883">
        <f t="shared" si="120"/>
        <v>120.59334666064274</v>
      </c>
      <c r="Z270" s="883">
        <f t="shared" si="120"/>
        <v>123.00470366439856</v>
      </c>
      <c r="AA270" s="883">
        <f t="shared" si="120"/>
        <v>125.46427760964032</v>
      </c>
      <c r="AB270" s="883">
        <f t="shared" si="120"/>
        <v>127.973032631226</v>
      </c>
      <c r="AC270" s="883">
        <f t="shared" si="120"/>
        <v>130.53195214263121</v>
      </c>
      <c r="AD270" s="883">
        <f t="shared" si="120"/>
        <v>133.1420392214402</v>
      </c>
      <c r="AE270" s="883">
        <f t="shared" si="120"/>
        <v>135.80431700254445</v>
      </c>
      <c r="AF270" s="883">
        <f t="shared" si="120"/>
        <v>138.51982907920433</v>
      </c>
      <c r="AG270" s="883">
        <f t="shared" si="120"/>
        <v>141.29022566078842</v>
      </c>
      <c r="AH270" s="883">
        <f t="shared" si="120"/>
        <v>144.11603017400415</v>
      </c>
      <c r="AI270" s="883">
        <f t="shared" si="120"/>
        <v>146.99835077748423</v>
      </c>
      <c r="AJ270" s="883">
        <f t="shared" si="120"/>
        <v>149.93831779303395</v>
      </c>
      <c r="AK270" s="883">
        <f t="shared" si="120"/>
        <v>152.9370841488946</v>
      </c>
      <c r="AL270" s="883">
        <f t="shared" si="120"/>
        <v>155.99582583187254</v>
      </c>
      <c r="AM270" s="883">
        <f t="shared" si="120"/>
        <v>159.11574234850997</v>
      </c>
      <c r="AN270" s="883">
        <f t="shared" si="120"/>
        <v>-23.332325129609941</v>
      </c>
      <c r="AO270" s="883">
        <f t="shared" si="120"/>
        <v>-1.53965734648785</v>
      </c>
      <c r="AP270" s="883">
        <f t="shared" si="120"/>
        <v>-1.5704504934176071</v>
      </c>
      <c r="AQ270" s="883">
        <f t="shared" si="120"/>
        <v>-1.6018595032859595</v>
      </c>
      <c r="AR270" s="883">
        <f t="shared" si="120"/>
        <v>-1.6338966933516785</v>
      </c>
      <c r="AS270" s="883">
        <f t="shared" si="120"/>
        <v>-1.6665746272187121</v>
      </c>
      <c r="AT270" s="883">
        <f t="shared" si="120"/>
        <v>-1.6999061197630863</v>
      </c>
      <c r="AU270" s="883">
        <f t="shared" si="120"/>
        <v>-1.7339042421583482</v>
      </c>
      <c r="AV270" s="883">
        <f t="shared" si="120"/>
        <v>-1.7685823270015153</v>
      </c>
      <c r="AW270" s="883">
        <f t="shared" si="120"/>
        <v>-1.8039539735415449</v>
      </c>
      <c r="AX270" s="883">
        <f t="shared" si="120"/>
        <v>0</v>
      </c>
      <c r="AY270" s="883">
        <f t="shared" si="120"/>
        <v>0</v>
      </c>
      <c r="AZ270" s="883">
        <f t="shared" si="120"/>
        <v>0</v>
      </c>
      <c r="BA270" s="883">
        <f t="shared" si="120"/>
        <v>0</v>
      </c>
      <c r="BB270" s="883">
        <f t="shared" si="120"/>
        <v>0</v>
      </c>
      <c r="BC270" s="883">
        <f t="shared" si="120"/>
        <v>0</v>
      </c>
      <c r="BD270" s="883">
        <f t="shared" si="120"/>
        <v>0</v>
      </c>
      <c r="BE270" s="883">
        <f t="shared" si="120"/>
        <v>0</v>
      </c>
    </row>
    <row r="271" spans="2:57" x14ac:dyDescent="0.25">
      <c r="B271" s="852"/>
      <c r="D271" s="996"/>
      <c r="E271" s="747" t="str">
        <f>B99</f>
        <v>Small H2</v>
      </c>
      <c r="F271" s="1168" t="s">
        <v>1653</v>
      </c>
      <c r="G271" s="883">
        <f>(G195+G231+G261)/1000</f>
        <v>-35.687323321798019</v>
      </c>
      <c r="H271" s="883">
        <f>(H195+H231+H261)/1000</f>
        <v>-17.803412019505608</v>
      </c>
      <c r="I271" s="883"/>
      <c r="J271" s="883">
        <f t="shared" ref="J271:BE271" si="121">(J195+J231+J261)/1000</f>
        <v>0</v>
      </c>
      <c r="K271" s="883">
        <f t="shared" si="121"/>
        <v>0</v>
      </c>
      <c r="L271" s="883">
        <f t="shared" si="121"/>
        <v>0</v>
      </c>
      <c r="M271" s="883">
        <f t="shared" si="121"/>
        <v>0</v>
      </c>
      <c r="N271" s="883">
        <f t="shared" si="121"/>
        <v>0</v>
      </c>
      <c r="O271" s="883">
        <f t="shared" si="121"/>
        <v>0</v>
      </c>
      <c r="P271" s="883">
        <f t="shared" si="121"/>
        <v>0</v>
      </c>
      <c r="Q271" s="883">
        <f t="shared" si="121"/>
        <v>-30.942726957348743</v>
      </c>
      <c r="R271" s="883">
        <f t="shared" si="121"/>
        <v>-1.1511398959393113</v>
      </c>
      <c r="S271" s="883">
        <f t="shared" si="121"/>
        <v>-1.174170640398811</v>
      </c>
      <c r="T271" s="883">
        <f t="shared" si="121"/>
        <v>-1.1976621586783145</v>
      </c>
      <c r="U271" s="883">
        <f t="shared" si="121"/>
        <v>-1.2216236694328384</v>
      </c>
      <c r="V271" s="883">
        <f t="shared" si="121"/>
        <v>0</v>
      </c>
      <c r="W271" s="883">
        <f t="shared" si="121"/>
        <v>0</v>
      </c>
      <c r="X271" s="883">
        <f t="shared" si="121"/>
        <v>0</v>
      </c>
      <c r="Y271" s="883">
        <f t="shared" si="121"/>
        <v>0</v>
      </c>
      <c r="Z271" s="883">
        <f t="shared" si="121"/>
        <v>0</v>
      </c>
      <c r="AA271" s="883">
        <f t="shared" si="121"/>
        <v>0</v>
      </c>
      <c r="AB271" s="883">
        <f t="shared" si="121"/>
        <v>0</v>
      </c>
      <c r="AC271" s="883">
        <f t="shared" si="121"/>
        <v>0</v>
      </c>
      <c r="AD271" s="883">
        <f t="shared" si="121"/>
        <v>0</v>
      </c>
      <c r="AE271" s="883">
        <f t="shared" si="121"/>
        <v>0</v>
      </c>
      <c r="AF271" s="883">
        <f t="shared" si="121"/>
        <v>0</v>
      </c>
      <c r="AG271" s="883">
        <f t="shared" si="121"/>
        <v>0</v>
      </c>
      <c r="AH271" s="883">
        <f t="shared" si="121"/>
        <v>0</v>
      </c>
      <c r="AI271" s="883">
        <f t="shared" si="121"/>
        <v>0</v>
      </c>
      <c r="AJ271" s="883">
        <f t="shared" si="121"/>
        <v>0</v>
      </c>
      <c r="AK271" s="883">
        <f t="shared" si="121"/>
        <v>0</v>
      </c>
      <c r="AL271" s="883">
        <f t="shared" si="121"/>
        <v>0</v>
      </c>
      <c r="AM271" s="883">
        <f t="shared" si="121"/>
        <v>0</v>
      </c>
      <c r="AN271" s="883">
        <f t="shared" si="121"/>
        <v>0</v>
      </c>
      <c r="AO271" s="883">
        <f t="shared" si="121"/>
        <v>0</v>
      </c>
      <c r="AP271" s="883">
        <f t="shared" si="121"/>
        <v>0</v>
      </c>
      <c r="AQ271" s="883">
        <f t="shared" si="121"/>
        <v>0</v>
      </c>
      <c r="AR271" s="883">
        <f t="shared" si="121"/>
        <v>0</v>
      </c>
      <c r="AS271" s="883">
        <f t="shared" si="121"/>
        <v>0</v>
      </c>
      <c r="AT271" s="883">
        <f t="shared" si="121"/>
        <v>0</v>
      </c>
      <c r="AU271" s="883">
        <f t="shared" si="121"/>
        <v>0</v>
      </c>
      <c r="AV271" s="883">
        <f t="shared" si="121"/>
        <v>0</v>
      </c>
      <c r="AW271" s="883">
        <f t="shared" si="121"/>
        <v>0</v>
      </c>
      <c r="AX271" s="883">
        <f t="shared" si="121"/>
        <v>0</v>
      </c>
      <c r="AY271" s="883">
        <f t="shared" si="121"/>
        <v>0</v>
      </c>
      <c r="AZ271" s="883">
        <f t="shared" si="121"/>
        <v>0</v>
      </c>
      <c r="BA271" s="883">
        <f t="shared" si="121"/>
        <v>0</v>
      </c>
      <c r="BB271" s="883">
        <f t="shared" si="121"/>
        <v>0</v>
      </c>
      <c r="BC271" s="883">
        <f t="shared" si="121"/>
        <v>0</v>
      </c>
      <c r="BD271" s="883">
        <f t="shared" si="121"/>
        <v>0</v>
      </c>
      <c r="BE271" s="883">
        <f t="shared" si="121"/>
        <v>0</v>
      </c>
    </row>
    <row r="272" spans="2:57" x14ac:dyDescent="0.25">
      <c r="B272" s="852"/>
      <c r="D272" s="316"/>
      <c r="E272" s="747" t="str">
        <f>B136</f>
        <v>Large H2</v>
      </c>
      <c r="F272" s="1168" t="s">
        <v>1653</v>
      </c>
      <c r="G272" s="882">
        <f>(G205+G242+G264)/1000</f>
        <v>-608.2026124453896</v>
      </c>
      <c r="H272" s="882">
        <f>(H205+H242+H264)/1000</f>
        <v>-118.87484152082321</v>
      </c>
      <c r="I272" s="882"/>
      <c r="J272" s="882">
        <f t="shared" ref="J272:BE272" si="122">(J205+J242+J264)/1000</f>
        <v>0</v>
      </c>
      <c r="K272" s="882">
        <f t="shared" si="122"/>
        <v>0</v>
      </c>
      <c r="L272" s="882">
        <f t="shared" si="122"/>
        <v>0</v>
      </c>
      <c r="M272" s="882">
        <f t="shared" si="122"/>
        <v>0</v>
      </c>
      <c r="N272" s="882">
        <f t="shared" si="122"/>
        <v>0</v>
      </c>
      <c r="O272" s="882">
        <f t="shared" si="122"/>
        <v>0</v>
      </c>
      <c r="P272" s="882">
        <f t="shared" si="122"/>
        <v>0</v>
      </c>
      <c r="Q272" s="882">
        <f t="shared" si="122"/>
        <v>0</v>
      </c>
      <c r="R272" s="882">
        <f t="shared" si="122"/>
        <v>0</v>
      </c>
      <c r="S272" s="882">
        <f t="shared" si="122"/>
        <v>0</v>
      </c>
      <c r="T272" s="882">
        <f t="shared" si="122"/>
        <v>0</v>
      </c>
      <c r="U272" s="882">
        <f t="shared" si="122"/>
        <v>0</v>
      </c>
      <c r="V272" s="882">
        <f t="shared" si="122"/>
        <v>-243.5688749113219</v>
      </c>
      <c r="W272" s="882">
        <f t="shared" si="122"/>
        <v>-11.635395364141813</v>
      </c>
      <c r="X272" s="882">
        <f t="shared" si="122"/>
        <v>-11.873653693239008</v>
      </c>
      <c r="Y272" s="882">
        <f t="shared" si="122"/>
        <v>-12.116788197354424</v>
      </c>
      <c r="Z272" s="882">
        <f t="shared" si="122"/>
        <v>-12.364898620157176</v>
      </c>
      <c r="AA272" s="882">
        <f t="shared" si="122"/>
        <v>-12.618086744593086</v>
      </c>
      <c r="AB272" s="882">
        <f t="shared" si="122"/>
        <v>-12.876456434558367</v>
      </c>
      <c r="AC272" s="882">
        <f t="shared" si="122"/>
        <v>-13.140113677424429</v>
      </c>
      <c r="AD272" s="882">
        <f t="shared" si="122"/>
        <v>-13.409166627431313</v>
      </c>
      <c r="AE272" s="882">
        <f t="shared" si="122"/>
        <v>-13.683725649967499</v>
      </c>
      <c r="AF272" s="882">
        <f t="shared" si="122"/>
        <v>-13.963903366754156</v>
      </c>
      <c r="AG272" s="882">
        <f t="shared" si="122"/>
        <v>-33.376986805252308</v>
      </c>
      <c r="AH272" s="882">
        <f t="shared" si="122"/>
        <v>-14.528045062771012</v>
      </c>
      <c r="AI272" s="882">
        <f t="shared" si="122"/>
        <v>-14.818605964026435</v>
      </c>
      <c r="AJ272" s="882">
        <f t="shared" si="122"/>
        <v>-15.114978083306964</v>
      </c>
      <c r="AK272" s="882">
        <f t="shared" si="122"/>
        <v>-15.417277644973103</v>
      </c>
      <c r="AL272" s="882">
        <f t="shared" si="122"/>
        <v>-15.725623197872563</v>
      </c>
      <c r="AM272" s="882">
        <f t="shared" si="122"/>
        <v>-16.040135661830018</v>
      </c>
      <c r="AN272" s="882">
        <f t="shared" si="122"/>
        <v>-16.360938375066613</v>
      </c>
      <c r="AO272" s="882">
        <f t="shared" si="122"/>
        <v>-16.688157142567945</v>
      </c>
      <c r="AP272" s="882">
        <f t="shared" si="122"/>
        <v>-78.880801220779247</v>
      </c>
      <c r="AQ272" s="882">
        <f t="shared" si="122"/>
        <v>0</v>
      </c>
      <c r="AR272" s="882">
        <f t="shared" si="122"/>
        <v>0</v>
      </c>
      <c r="AS272" s="882">
        <f t="shared" si="122"/>
        <v>0</v>
      </c>
      <c r="AT272" s="882">
        <f t="shared" si="122"/>
        <v>0</v>
      </c>
      <c r="AU272" s="882">
        <f t="shared" si="122"/>
        <v>0</v>
      </c>
      <c r="AV272" s="882">
        <f t="shared" si="122"/>
        <v>0</v>
      </c>
      <c r="AW272" s="882">
        <f t="shared" si="122"/>
        <v>0</v>
      </c>
      <c r="AX272" s="882">
        <f t="shared" si="122"/>
        <v>0</v>
      </c>
      <c r="AY272" s="882">
        <f t="shared" si="122"/>
        <v>0</v>
      </c>
      <c r="AZ272" s="882">
        <f t="shared" si="122"/>
        <v>0</v>
      </c>
      <c r="BA272" s="882">
        <f t="shared" si="122"/>
        <v>0</v>
      </c>
      <c r="BB272" s="882">
        <f t="shared" si="122"/>
        <v>0</v>
      </c>
      <c r="BC272" s="882">
        <f t="shared" si="122"/>
        <v>0</v>
      </c>
      <c r="BD272" s="882">
        <f t="shared" si="122"/>
        <v>0</v>
      </c>
      <c r="BE272" s="882">
        <f t="shared" si="122"/>
        <v>0</v>
      </c>
    </row>
    <row r="273" spans="2:57" x14ac:dyDescent="0.25">
      <c r="B273" s="852"/>
      <c r="E273" s="747"/>
    </row>
    <row r="274" spans="2:57" ht="18.75" x14ac:dyDescent="0.3">
      <c r="B274" s="852"/>
      <c r="D274" s="873"/>
      <c r="E274" s="874" t="s">
        <v>985</v>
      </c>
      <c r="F274" s="874" t="s">
        <v>1653</v>
      </c>
      <c r="G274" s="875"/>
      <c r="H274" s="875"/>
      <c r="I274" s="875"/>
      <c r="J274" s="875">
        <f>J268</f>
        <v>0</v>
      </c>
      <c r="K274" s="875">
        <f>K268/(1+Parameters!$G$12)^(Output!K$6-Output!$J6)</f>
        <v>0</v>
      </c>
      <c r="L274" s="875">
        <f>L268/(1+Parameters!$G$12)^(Output!L$6-Output!$J6)</f>
        <v>0</v>
      </c>
      <c r="M274" s="875">
        <f>M268/(1+Parameters!$G$12)^(Output!M$6-Output!$J6)</f>
        <v>-48.226466393039289</v>
      </c>
      <c r="N274" s="875">
        <f>N268/(1+Parameters!$G$12)^(Output!N$6-Output!$J6)</f>
        <v>52.837857683385749</v>
      </c>
      <c r="O274" s="875">
        <f>O268/(1+Parameters!$G$12)^(Output!O$6-Output!$J6)</f>
        <v>51.001116097963056</v>
      </c>
      <c r="P274" s="875">
        <f>P268/(1+Parameters!$G$12)^(Output!P$6-Output!$J6)</f>
        <v>47.862716139508827</v>
      </c>
      <c r="Q274" s="875">
        <f>Q268/(1+Parameters!$G$12)^(Output!Q$6-Output!$J6)</f>
        <v>28.99256523641635</v>
      </c>
      <c r="R274" s="875">
        <f>R268/(1+Parameters!$G$12)^(Output!R$6-Output!$J6)</f>
        <v>40.983036773957529</v>
      </c>
      <c r="S274" s="875">
        <f>S268/(1+Parameters!$G$12)^(Output!S$6-Output!$J6)</f>
        <v>38.421055173175404</v>
      </c>
      <c r="T274" s="875">
        <f>T268/(1+Parameters!$G$12)^(Output!T$6-Output!$J6)</f>
        <v>35.995901499202056</v>
      </c>
      <c r="U274" s="875">
        <f>U268/(1+Parameters!$G$12)^(Output!U$6-Output!$J6)</f>
        <v>33.724852350031284</v>
      </c>
      <c r="V274" s="875">
        <f>V268/(1+Parameters!$G$12)^(Output!V$6-Output!$J6)</f>
        <v>-77.608549781786039</v>
      </c>
      <c r="W274" s="875">
        <f>W268/(1+Parameters!$G$12)^(Output!W$6-Output!$J6)</f>
        <v>-70.44927241817966</v>
      </c>
      <c r="X274" s="875">
        <f>X268/(1+Parameters!$G$12)^(Output!X$6-Output!$J6)</f>
        <v>-3.1267041202366443</v>
      </c>
      <c r="Y274" s="875">
        <f>Y268/(1+Parameters!$G$12)^(Output!Y$6-Output!$J6)</f>
        <v>25.968425639040458</v>
      </c>
      <c r="Z274" s="875">
        <f>Z268/(1+Parameters!$G$12)^(Output!Z$6-Output!$J6)</f>
        <v>24.078445155768772</v>
      </c>
      <c r="AA274" s="875">
        <f>AA268/(1+Parameters!$G$12)^(Output!AA$6-Output!$J6)</f>
        <v>22.326017268336717</v>
      </c>
      <c r="AB274" s="875">
        <f>AB268/(1+Parameters!$G$12)^(Output!AB$6-Output!$J6)</f>
        <v>20.701130917426244</v>
      </c>
      <c r="AC274" s="875">
        <f>AC268/(1+Parameters!$G$12)^(Output!AC$6-Output!$J6)</f>
        <v>19.194503646881788</v>
      </c>
      <c r="AD274" s="875">
        <f>AD268/(1+Parameters!$G$12)^(Output!AD$6-Output!$J6)</f>
        <v>17.797528576126023</v>
      </c>
      <c r="AE274" s="875">
        <f>AE268/(1+Parameters!$G$12)^(Output!AE$6-Output!$J6)</f>
        <v>16.50222523190989</v>
      </c>
      <c r="AF274" s="875">
        <f>AF268/(1+Parameters!$G$12)^(Output!AF$6-Output!$J6)</f>
        <v>15.301193958515942</v>
      </c>
      <c r="AG274" s="875">
        <f>AG268/(1+Parameters!$G$12)^(Output!AG$6-Output!$J6)</f>
        <v>12.051551716996881</v>
      </c>
      <c r="AH274" s="875">
        <f>AH268/(1+Parameters!$G$12)^(Output!AH$6-Output!$J6)</f>
        <v>13.156497681355358</v>
      </c>
      <c r="AI274" s="875">
        <f>AI268/(1+Parameters!$G$12)^(Output!AI$6-Output!$J6)</f>
        <v>12.199661486347694</v>
      </c>
      <c r="AJ274" s="875">
        <f>AJ268/(1+Parameters!$G$12)^(Output!AJ$6-Output!$J6)</f>
        <v>11.31241337824968</v>
      </c>
      <c r="AK274" s="875">
        <f>AK268/(1+Parameters!$G$12)^(Output!AK$6-Output!$J6)</f>
        <v>10.489692405286062</v>
      </c>
      <c r="AL274" s="875">
        <f>AL268/(1+Parameters!$G$12)^(Output!AL$6-Output!$J6)</f>
        <v>9.7268056849016276</v>
      </c>
      <c r="AM274" s="875">
        <f>AM268/(1+Parameters!$G$12)^(Output!AM$6-Output!$J6)</f>
        <v>9.0194016350905972</v>
      </c>
      <c r="AN274" s="875">
        <f>AN268/(1+Parameters!$G$12)^(Output!AN$6-Output!$J6)</f>
        <v>-2.2747635072550612</v>
      </c>
      <c r="AO274" s="875">
        <f>AO268/(1+Parameters!$G$12)^(Output!AO$6-Output!$J6)</f>
        <v>-0.94964516200895999</v>
      </c>
      <c r="AP274" s="875">
        <f>AP268/(1+Parameters!$G$12)^(Output!AP$6-Output!$J6)</f>
        <v>-3.8103676421559758</v>
      </c>
      <c r="AQ274" s="875">
        <f>AQ268/(1+Parameters!$G$12)^(Output!AQ$6-Output!$J6)</f>
        <v>-6.8970887096202735E-2</v>
      </c>
      <c r="AR274" s="875">
        <f>AR268/(1+Parameters!$G$12)^(Output!AR$6-Output!$J6)</f>
        <v>-6.3954822580115242E-2</v>
      </c>
      <c r="AS274" s="875">
        <f>AS268/(1+Parameters!$G$12)^(Output!AS$6-Output!$J6)</f>
        <v>-5.9303562756106855E-2</v>
      </c>
      <c r="AT274" s="875">
        <f>AT268/(1+Parameters!$G$12)^(Output!AT$6-Output!$J6)</f>
        <v>-5.4990576373844538E-2</v>
      </c>
      <c r="AU274" s="875">
        <f>AU268/(1+Parameters!$G$12)^(Output!AU$6-Output!$J6)</f>
        <v>-5.0991261728474027E-2</v>
      </c>
      <c r="AV274" s="875">
        <f>AV268/(1+Parameters!$G$12)^(Output!AV$6-Output!$J6)</f>
        <v>-4.7282806330039548E-2</v>
      </c>
      <c r="AW274" s="875">
        <f>AW268/(1+Parameters!$G$12)^(Output!AW$6-Output!$J6)</f>
        <v>-4.3844056778763928E-2</v>
      </c>
      <c r="AX274" s="875">
        <f>AX268/(1+Parameters!$G$12)^(Output!AX$6-Output!$J6)</f>
        <v>0</v>
      </c>
      <c r="AY274" s="875">
        <f>AY268/(1+Parameters!$G$12)^(Output!AY$6-Output!$J6)</f>
        <v>0</v>
      </c>
      <c r="AZ274" s="875">
        <f>AZ268/(1+Parameters!$G$12)^(Output!AZ$6-Output!$J6)</f>
        <v>0</v>
      </c>
      <c r="BA274" s="875">
        <f>BA268/(1+Parameters!$G$12)^(Output!BA$6-Output!$J6)</f>
        <v>0</v>
      </c>
      <c r="BB274" s="875">
        <f>BB268/(1+Parameters!$G$12)^(Output!BB$6-Output!$J6)</f>
        <v>0</v>
      </c>
      <c r="BC274" s="875">
        <f>BC268/(1+Parameters!$G$12)^(Output!BC$6-Output!$J6)</f>
        <v>0</v>
      </c>
      <c r="BD274" s="875">
        <f>BD268/(1+Parameters!$G$12)^(Output!BD$6-Output!$J6)</f>
        <v>0</v>
      </c>
      <c r="BE274" s="875">
        <f>BE268/(1+Parameters!$G$12)^(Output!BE$6-Output!$J6)</f>
        <v>0</v>
      </c>
    </row>
    <row r="275" spans="2:57" x14ac:dyDescent="0.25">
      <c r="B275" s="852"/>
      <c r="E275" s="1107" t="s">
        <v>1655</v>
      </c>
      <c r="F275" s="756" t="s">
        <v>1653</v>
      </c>
      <c r="G275" s="882"/>
      <c r="H275" s="882">
        <f>-H272+-H271</f>
        <v>136.67825354032883</v>
      </c>
      <c r="I275" s="882"/>
      <c r="J275" s="882">
        <f>SUM($J268:J268)</f>
        <v>0</v>
      </c>
      <c r="K275" s="882">
        <f>SUM($J268:K268)</f>
        <v>0</v>
      </c>
      <c r="L275" s="882">
        <f>SUM($J268:L268)</f>
        <v>0</v>
      </c>
      <c r="M275" s="882">
        <f>SUM($J268:M268)</f>
        <v>-64.189426769135309</v>
      </c>
      <c r="N275" s="882">
        <f>SUM($J268:N268)</f>
        <v>13.170480665109793</v>
      </c>
      <c r="O275" s="882">
        <f>SUM($J268:O268)</f>
        <v>95.308288152040305</v>
      </c>
      <c r="P275" s="882">
        <f>SUM($J268:P268)</f>
        <v>180.10000941886474</v>
      </c>
      <c r="Q275" s="882">
        <f>SUM($J268:Q268)</f>
        <v>236.59831706793486</v>
      </c>
      <c r="R275" s="882">
        <f>SUM($J268:R268)</f>
        <v>324.44909609640877</v>
      </c>
      <c r="S275" s="882">
        <f>SUM($J268:S268)</f>
        <v>415.04393442778138</v>
      </c>
      <c r="T275" s="882">
        <f>SUM($J268:T268)</f>
        <v>508.40803253583908</v>
      </c>
      <c r="U275" s="882">
        <f>SUM($J268:U268)</f>
        <v>604.62897218680655</v>
      </c>
      <c r="V275" s="882">
        <f>SUM($J268:V268)</f>
        <v>361.06009727548462</v>
      </c>
      <c r="W275" s="882">
        <f>SUM($J268:W268)</f>
        <v>117.85010203126501</v>
      </c>
      <c r="X275" s="882">
        <f>SUM($J268:X268)</f>
        <v>105.976448338026</v>
      </c>
      <c r="Y275" s="882">
        <f>SUM($J268:Y268)</f>
        <v>214.45300680131433</v>
      </c>
      <c r="Z275" s="882">
        <f>SUM($J268:Z268)</f>
        <v>325.09281184555573</v>
      </c>
      <c r="AA275" s="882">
        <f>SUM($J268:AA268)</f>
        <v>437.93900271060295</v>
      </c>
      <c r="AB275" s="882">
        <f>SUM($J268:AB268)</f>
        <v>553.03557890727052</v>
      </c>
      <c r="AC275" s="882">
        <f>SUM($J268:AC268)</f>
        <v>670.42741737247729</v>
      </c>
      <c r="AD275" s="882">
        <f>SUM($J268:AD268)</f>
        <v>790.16028996648618</v>
      </c>
      <c r="AE275" s="882">
        <f>SUM($J268:AE268)</f>
        <v>912.28088131906316</v>
      </c>
      <c r="AF275" s="882">
        <f>SUM($J268:AF268)</f>
        <v>1036.8368070315132</v>
      </c>
      <c r="AG275" s="882">
        <f>SUM($J268:AG268)</f>
        <v>1144.7500458870493</v>
      </c>
      <c r="AH275" s="882">
        <f>SUM($J268:AH268)</f>
        <v>1274.3380309982824</v>
      </c>
      <c r="AI275" s="882">
        <f>SUM($J268:AI268)</f>
        <v>1406.5177758117402</v>
      </c>
      <c r="AJ275" s="882">
        <f>SUM($J268:AJ268)</f>
        <v>1541.3411155214671</v>
      </c>
      <c r="AK275" s="882">
        <f>SUM($J268:AK268)</f>
        <v>1678.8609220253886</v>
      </c>
      <c r="AL275" s="882">
        <f>SUM($J268:AL268)</f>
        <v>1819.1311246593887</v>
      </c>
      <c r="AM275" s="882">
        <f>SUM($J268:AM268)</f>
        <v>1962.2067313460686</v>
      </c>
      <c r="AN275" s="882">
        <f>SUM($J268:AN268)</f>
        <v>1922.5134678413922</v>
      </c>
      <c r="AO275" s="882">
        <f>SUM($J268:AO268)</f>
        <v>1904.2856533523363</v>
      </c>
      <c r="AP275" s="882">
        <f>SUM($J268:AP268)</f>
        <v>1823.8344016381395</v>
      </c>
      <c r="AQ275" s="882">
        <f>SUM($J268:AQ268)</f>
        <v>1822.2325421348535</v>
      </c>
      <c r="AR275" s="882">
        <f>SUM($J268:AR268)</f>
        <v>1820.5986454415017</v>
      </c>
      <c r="AS275" s="882">
        <f>SUM($J268:AS268)</f>
        <v>1818.932070814283</v>
      </c>
      <c r="AT275" s="882">
        <f>SUM($J268:AT268)</f>
        <v>1817.23216469452</v>
      </c>
      <c r="AU275" s="882">
        <f>SUM($J268:AU268)</f>
        <v>1815.4982604523616</v>
      </c>
      <c r="AV275" s="882">
        <f>SUM($J268:AV268)</f>
        <v>1813.7296781253601</v>
      </c>
      <c r="AW275" s="882">
        <f>SUM($J268:AW268)</f>
        <v>1811.9257241518185</v>
      </c>
      <c r="AX275" s="882">
        <f>SUM($J268:AX268)</f>
        <v>1811.9257241518185</v>
      </c>
      <c r="AY275" s="882">
        <f>SUM($J268:AY268)</f>
        <v>1811.9257241518185</v>
      </c>
      <c r="AZ275" s="882">
        <f>SUM($J268:AZ268)</f>
        <v>1811.9257241518185</v>
      </c>
      <c r="BA275" s="882">
        <f>SUM($J268:BA268)</f>
        <v>1811.9257241518185</v>
      </c>
      <c r="BB275" s="882">
        <f>SUM($J268:BB268)</f>
        <v>1811.9257241518185</v>
      </c>
      <c r="BC275" s="882">
        <f>SUM($J268:BC268)</f>
        <v>1811.9257241518185</v>
      </c>
      <c r="BD275" s="882">
        <f>SUM($J268:BD268)</f>
        <v>1811.9257241518185</v>
      </c>
      <c r="BE275" s="882">
        <f>SUM($J268:BE268)</f>
        <v>1811.9257241518185</v>
      </c>
    </row>
    <row r="276" spans="2:57" x14ac:dyDescent="0.25">
      <c r="B276" s="852"/>
      <c r="E276" s="1107" t="s">
        <v>1654</v>
      </c>
      <c r="F276" s="757" t="s">
        <v>1653</v>
      </c>
      <c r="J276" s="882">
        <f>SUM($J274:J274)</f>
        <v>0</v>
      </c>
      <c r="K276" s="882">
        <f>SUM($J274:K274)</f>
        <v>0</v>
      </c>
      <c r="L276" s="882">
        <f>SUM($J274:L274)</f>
        <v>0</v>
      </c>
      <c r="M276" s="882">
        <f>SUM($J274:M274)</f>
        <v>-48.226466393039289</v>
      </c>
      <c r="N276" s="882">
        <f>SUM($J274:N274)</f>
        <v>4.6113912903464609</v>
      </c>
      <c r="O276" s="882">
        <f>SUM($J274:O274)</f>
        <v>55.612507388309517</v>
      </c>
      <c r="P276" s="882">
        <f>SUM($J274:P274)</f>
        <v>103.47522352781834</v>
      </c>
      <c r="Q276" s="882">
        <f>SUM($J274:Q274)</f>
        <v>132.46778876423468</v>
      </c>
      <c r="R276" s="882">
        <f>SUM($J274:R274)</f>
        <v>173.45082553819222</v>
      </c>
      <c r="S276" s="882">
        <f>SUM($J274:S274)</f>
        <v>211.87188071136762</v>
      </c>
      <c r="T276" s="882">
        <f>SUM($J274:T274)</f>
        <v>247.86778221056969</v>
      </c>
      <c r="U276" s="882">
        <f>SUM($J274:U274)</f>
        <v>281.59263456060097</v>
      </c>
      <c r="V276" s="882">
        <f>SUM($J274:V274)</f>
        <v>203.98408477881492</v>
      </c>
      <c r="W276" s="882">
        <f>SUM($J274:W274)</f>
        <v>133.53481236063527</v>
      </c>
      <c r="X276" s="882">
        <f>SUM($J274:X274)</f>
        <v>130.40810824039863</v>
      </c>
      <c r="Y276" s="882">
        <f>SUM($J274:Y274)</f>
        <v>156.37653387943908</v>
      </c>
      <c r="Z276" s="882">
        <f>SUM($J274:Z274)</f>
        <v>180.45497903520786</v>
      </c>
      <c r="AA276" s="882">
        <f>SUM($J274:AA274)</f>
        <v>202.78099630354458</v>
      </c>
      <c r="AB276" s="882">
        <f>SUM($J274:AB274)</f>
        <v>223.48212722097082</v>
      </c>
      <c r="AC276" s="882">
        <f>SUM($J274:AC274)</f>
        <v>242.67663086785262</v>
      </c>
      <c r="AD276" s="882">
        <f>SUM($J274:AD274)</f>
        <v>260.47415944397864</v>
      </c>
      <c r="AE276" s="882">
        <f>SUM($J274:AE274)</f>
        <v>276.97638467588854</v>
      </c>
      <c r="AF276" s="882">
        <f>SUM($J274:AF274)</f>
        <v>292.27757863440451</v>
      </c>
      <c r="AG276" s="882">
        <f>SUM($J274:AG274)</f>
        <v>304.32913035140137</v>
      </c>
      <c r="AH276" s="882">
        <f>SUM($J274:AH274)</f>
        <v>317.48562803275672</v>
      </c>
      <c r="AI276" s="882">
        <f>SUM($J274:AI274)</f>
        <v>329.6852895191044</v>
      </c>
      <c r="AJ276" s="882">
        <f>SUM($J274:AJ274)</f>
        <v>340.99770289735409</v>
      </c>
      <c r="AK276" s="882">
        <f>SUM($J274:AK274)</f>
        <v>351.48739530264015</v>
      </c>
      <c r="AL276" s="882">
        <f>SUM($J274:AL274)</f>
        <v>361.2142009875418</v>
      </c>
      <c r="AM276" s="882">
        <f>SUM($J274:AM274)</f>
        <v>370.23360262263242</v>
      </c>
      <c r="AN276" s="882">
        <f>SUM($J274:AN274)</f>
        <v>367.95883911537737</v>
      </c>
      <c r="AO276" s="882">
        <f>SUM($J274:AO274)</f>
        <v>367.00919395336842</v>
      </c>
      <c r="AP276" s="882">
        <f>SUM($J274:AP274)</f>
        <v>363.19882631121243</v>
      </c>
      <c r="AQ276" s="882">
        <f>SUM($J274:AQ274)</f>
        <v>363.12985542411622</v>
      </c>
      <c r="AR276" s="882">
        <f>SUM($J274:AR274)</f>
        <v>363.0659006015361</v>
      </c>
      <c r="AS276" s="882">
        <f>SUM($J274:AS274)</f>
        <v>363.00659703878</v>
      </c>
      <c r="AT276" s="882">
        <f>SUM($J274:AT274)</f>
        <v>362.95160646240618</v>
      </c>
      <c r="AU276" s="882">
        <f>SUM($J274:AU274)</f>
        <v>362.90061520067769</v>
      </c>
      <c r="AV276" s="882">
        <f>SUM($J274:AV274)</f>
        <v>362.85333239434766</v>
      </c>
      <c r="AW276" s="882">
        <f>SUM($J274:AW274)</f>
        <v>362.80948833756889</v>
      </c>
      <c r="AX276" s="882">
        <f>SUM($J274:AX274)</f>
        <v>362.80948833756889</v>
      </c>
      <c r="AY276" s="882">
        <f>SUM($J274:AY274)</f>
        <v>362.80948833756889</v>
      </c>
      <c r="AZ276" s="882">
        <f>SUM($J274:AZ274)</f>
        <v>362.80948833756889</v>
      </c>
      <c r="BA276" s="882">
        <f>SUM($J274:BA274)</f>
        <v>362.80948833756889</v>
      </c>
      <c r="BB276" s="882">
        <f>SUM($J274:BB274)</f>
        <v>362.80948833756889</v>
      </c>
      <c r="BC276" s="882">
        <f>SUM($J274:BC274)</f>
        <v>362.80948833756889</v>
      </c>
      <c r="BD276" s="882">
        <f>SUM($J274:BD274)</f>
        <v>362.80948833756889</v>
      </c>
      <c r="BE276" s="882">
        <f>SUM($J274:BE274)</f>
        <v>362.80948833756889</v>
      </c>
    </row>
    <row r="277" spans="2:57" x14ac:dyDescent="0.25">
      <c r="B277" s="852"/>
      <c r="E277" s="744"/>
    </row>
    <row r="278" spans="2:57" x14ac:dyDescent="0.25">
      <c r="B278" s="852"/>
      <c r="E278" s="1" t="s">
        <v>1272</v>
      </c>
      <c r="H278" s="1330">
        <f>SUM(H269:H272)-H21/1000</f>
        <v>125.60598753672286</v>
      </c>
      <c r="J278" s="1" t="str">
        <f>IF(J6=Parameters!$G$54,"Start "&amp;Parameters!$C$54,
IF(J6=Parameters!$G$108,"Start "&amp;Parameters!$C$108,
IF(J6=Parameters!$G$377,"Start "&amp;Parameters!$C$377,
IF(J6=Parameters!$G$499,Parameters!$E$499,""))))</f>
        <v/>
      </c>
      <c r="K278" s="1" t="str">
        <f>IF(K6=Parameters!$G$54,"Start "&amp;Parameters!$C$54,
IF(K6=Parameters!$G$108,"Start "&amp;Parameters!$C$108,
IF(K6=Parameters!$G$377,"Start "&amp;Parameters!$C$377,
IF(K6=Parameters!$G$499,Parameters!$E$499,""))))</f>
        <v/>
      </c>
      <c r="L278" s="1" t="str">
        <f>IF(L6=Parameters!$G$54,"Start phase "&amp;Parameters!$C$54,
IF(L6=Parameters!$G$108,"Start phase "&amp;Parameters!$C$108,
IF(L6=Parameters!$G$377,"Start phase "&amp;Parameters!$C$377,
IF(L6=Parameters!$G$499,Parameters!$E$499,""))))</f>
        <v/>
      </c>
      <c r="M278" s="1" t="str">
        <f>IF(M6=Parameters!$G$54,"Start phase "&amp;Parameters!$C$54,
IF(M6=Parameters!$G$108,"Start phase "&amp;Parameters!$C$108,
IF(M6=Parameters!$G$377,"Start phase "&amp;Parameters!$C$377,
IF(M6=Parameters!$G$499,Parameters!$E$499,""))))</f>
        <v xml:space="preserve">Start phase Natural gas production (electrified) </v>
      </c>
      <c r="N278" s="1" t="str">
        <f>IF(N6=Parameters!$G$54,"Start phase "&amp;Parameters!$C$54,
IF(N6=Parameters!$G$108,"Start phase "&amp;Parameters!$C$108,
IF(N6=Parameters!$G$377,"Start phase "&amp;Parameters!$C$377,
IF(N6=Parameters!$G$499,Parameters!$E$499,""))))</f>
        <v/>
      </c>
      <c r="O278" s="1" t="str">
        <f>IF(O6=Parameters!$G$54,"Start phase "&amp;Parameters!$C$54,
IF(O6=Parameters!$G$108,"Start phase "&amp;Parameters!$C$108,
IF(O6=Parameters!$G$377,"Start phase "&amp;Parameters!$C$377,
IF(O6=Parameters!$G$499,Parameters!$E$499,""))))</f>
        <v/>
      </c>
      <c r="P278" s="1" t="str">
        <f>IF(P6=Parameters!$G$54,"Start phase "&amp;Parameters!$C$54,
IF(P6=Parameters!$G$108,"Start phase "&amp;Parameters!$C$108,
IF(P6=Parameters!$G$377,"Start phase "&amp;Parameters!$C$377,
IF(P6=Parameters!$G$499,Parameters!$E$499,""))))</f>
        <v/>
      </c>
      <c r="Q278" s="1" t="str">
        <f>IF(Q6=Parameters!$G$54,"Start phase "&amp;Parameters!$C$54,
IF(Q6=Parameters!$G$108,"Start phase "&amp;Parameters!$C$108,
IF(Q6=Parameters!$G$377,"Start phase "&amp;Parameters!$C$377,
IF(Q6=Parameters!$G$499,Parameters!$E$499,""))))</f>
        <v/>
      </c>
      <c r="R278" s="1" t="str">
        <f>IF(R6=Parameters!$G$54,"Start phase "&amp;Parameters!$C$54,
IF(R6=Parameters!$G$108,"Start phase "&amp;Parameters!$C$108,
IF(R6=Parameters!$G$377,"Start phase "&amp;Parameters!$C$377,
IF(R6=Parameters!$G$499,Parameters!$E$499,""))))</f>
        <v/>
      </c>
      <c r="S278" s="1" t="str">
        <f>IF(S6=Parameters!$G$54,"Start phase "&amp;Parameters!$C$54,
IF(S6=Parameters!$G$108,"Start phase "&amp;Parameters!$C$108,
IF(S6=Parameters!$G$377,"Start phase "&amp;Parameters!$C$377,
IF(S6=Parameters!$G$499,Parameters!$E$499,""))))</f>
        <v/>
      </c>
      <c r="T278" s="1" t="str">
        <f>IF(T6=Parameters!$G$54,"Start phase "&amp;Parameters!$C$54,
IF(T6=Parameters!$G$108,"Start phase "&amp;Parameters!$C$108,
IF(T6=Parameters!$G$377,"Start phase "&amp;Parameters!$C$377,
IF(T6=Parameters!$G$499,Parameters!$E$499,""))))</f>
        <v/>
      </c>
      <c r="U278" s="1" t="str">
        <f>IF(U6=Parameters!$G$54,"Start phase "&amp;Parameters!$C$54,
IF(U6=Parameters!$G$108,"Start phase "&amp;Parameters!$C$108,
IF(U6=Parameters!$G$377,"Start phase "&amp;Parameters!$C$377,
IF(U6=Parameters!$G$499,Parameters!$E$499,""))))</f>
        <v/>
      </c>
      <c r="V278" s="1" t="str">
        <f>IF(V6=Parameters!$G$54,"Start phase "&amp;Parameters!$C$54,
IF(V6=Parameters!$G$108,"Start phase "&amp;Parameters!$C$108,
IF(V6=Parameters!$G$377,"Start phase "&amp;Parameters!$C$377,
IF(V6=Parameters!$G$499,Parameters!$E$499,""))))</f>
        <v>Start phase Large scale green hydrogen</v>
      </c>
      <c r="W278" s="1" t="str">
        <f>IF(W6=Parameters!$G$54,"Start phase "&amp;Parameters!$C$54,
IF(W6=Parameters!$G$108,"Start phase "&amp;Parameters!$C$108,
IF(W6=Parameters!$G$377,"Start phase "&amp;Parameters!$C$377,
IF(W6=Parameters!$G$499,Parameters!$E$499,""))))</f>
        <v>Start phase CO2 transport and storage</v>
      </c>
      <c r="X278" s="1" t="str">
        <f>IF(X6=Parameters!$G$54,"Start phase "&amp;Parameters!$C$54,
IF(X6=Parameters!$G$108,"Start phase "&amp;Parameters!$C$108,
IF(X6=Parameters!$G$377,"Start phase "&amp;Parameters!$C$377,
IF(X6=Parameters!$G$499,Parameters!$E$499,""))))</f>
        <v/>
      </c>
      <c r="Y278" s="1" t="str">
        <f>IF(Y6=Parameters!$G$54,"Start phase "&amp;Parameters!$C$54,
IF(Y6=Parameters!$G$108,"Start phase "&amp;Parameters!$C$108,
IF(Y6=Parameters!$G$377,"Start phase "&amp;Parameters!$C$377,
IF(Y6=Parameters!$G$499,Parameters!$E$499,""))))</f>
        <v/>
      </c>
      <c r="Z278" s="1" t="str">
        <f>IF(Z6=Parameters!$G$54,"Start phase "&amp;Parameters!$C$54,
IF(Z6=Parameters!$G$108,"Start phase "&amp;Parameters!$C$108,
IF(Z6=Parameters!$G$377,"Start phase "&amp;Parameters!$C$377,
IF(Z6=Parameters!$G$499,Parameters!$E$499,""))))</f>
        <v/>
      </c>
      <c r="AA278" s="1" t="str">
        <f>IF(AA6=Parameters!$G$54,"Start phase "&amp;Parameters!$C$54,
IF(AA6=Parameters!$G$108,"Start phase "&amp;Parameters!$C$108,
IF(AA6=Parameters!$G$377,"Start phase "&amp;Parameters!$C$377,
IF(AA6=Parameters!$G$499,Parameters!$E$499,""))))</f>
        <v/>
      </c>
      <c r="AB278" s="1" t="str">
        <f>IF(AB6=Parameters!$G$54,"Start phase "&amp;Parameters!$C$54,
IF(AB6=Parameters!$G$108,"Start phase "&amp;Parameters!$C$108,
IF(AB6=Parameters!$G$377,"Start phase "&amp;Parameters!$C$377,
IF(AB6=Parameters!$G$499,Parameters!$E$499,""))))</f>
        <v/>
      </c>
      <c r="AC278" s="1" t="str">
        <f>IF(AC6=Parameters!$G$54,"Start phase "&amp;Parameters!$C$54,
IF(AC6=Parameters!$G$108,"Start phase "&amp;Parameters!$C$108,
IF(AC6=Parameters!$G$377,"Start phase "&amp;Parameters!$C$377,
IF(AC6=Parameters!$G$499,Parameters!$E$499,""))))</f>
        <v/>
      </c>
      <c r="AD278" s="1" t="str">
        <f>IF(AD6=Parameters!$G$54,"Start phase "&amp;Parameters!$C$54,
IF(AD6=Parameters!$G$108,"Start phase "&amp;Parameters!$C$108,
IF(AD6=Parameters!$G$377,"Start phase "&amp;Parameters!$C$377,
IF(AD6=Parameters!$G$499,Parameters!$E$499,""))))</f>
        <v/>
      </c>
      <c r="AE278" s="1" t="str">
        <f>IF(AE6=Parameters!$G$54,"Start phase "&amp;Parameters!$C$54,
IF(AE6=Parameters!$G$108,"Start phase "&amp;Parameters!$C$108,
IF(AE6=Parameters!$G$377,"Start phase "&amp;Parameters!$C$377,
IF(AE6=Parameters!$G$499,Parameters!$E$499,""))))</f>
        <v/>
      </c>
      <c r="AF278" s="1" t="str">
        <f>IF(AF6=Parameters!$G$54,"Start phase "&amp;Parameters!$C$54,
IF(AF6=Parameters!$G$108,"Start phase "&amp;Parameters!$C$108,
IF(AF6=Parameters!$G$377,"Start phase "&amp;Parameters!$C$377,
IF(AF6=Parameters!$G$499,Parameters!$E$499,""))))</f>
        <v/>
      </c>
      <c r="AG278" s="1" t="str">
        <f>IF(AG6=Parameters!$G$54,"Start phase "&amp;Parameters!$C$54,
IF(AG6=Parameters!$G$108,"Start phase "&amp;Parameters!$C$108,
IF(AG6=Parameters!$G$377,"Start phase "&amp;Parameters!$C$377,
IF(AG6=Parameters!$G$499,Parameters!$E$499,""))))</f>
        <v/>
      </c>
      <c r="AH278" s="1" t="str">
        <f>IF(AH6=Parameters!$G$54,"Start phase "&amp;Parameters!$C$54,
IF(AH6=Parameters!$G$108,"Start phase "&amp;Parameters!$C$108,
IF(AH6=Parameters!$G$377,"Start phase "&amp;Parameters!$C$377,
IF(AH6=Parameters!$G$499,Parameters!$E$499,""))))</f>
        <v/>
      </c>
      <c r="AI278" s="1" t="str">
        <f>IF(AI6=Parameters!$G$54,"Start phase "&amp;Parameters!$C$54,
IF(AI6=Parameters!$G$108,"Start phase "&amp;Parameters!$C$108,
IF(AI6=Parameters!$G$377,"Start phase "&amp;Parameters!$C$377,
IF(AI6=Parameters!$G$499,Parameters!$E$499,""))))</f>
        <v/>
      </c>
      <c r="AJ278" s="1" t="str">
        <f>IF(AJ6=Parameters!$G$54,"Start phase "&amp;Parameters!$C$54,
IF(AJ6=Parameters!$G$108,"Start phase "&amp;Parameters!$C$108,
IF(AJ6=Parameters!$G$377,"Start phase "&amp;Parameters!$C$377,
IF(AJ6=Parameters!$G$499,Parameters!$E$499,""))))</f>
        <v/>
      </c>
      <c r="AK278" s="1" t="str">
        <f>IF(AK6=Parameters!$G$54,"Start phase "&amp;Parameters!$C$54,
IF(AK6=Parameters!$G$108,"Start phase "&amp;Parameters!$C$108,
IF(AK6=Parameters!$G$377,"Start phase "&amp;Parameters!$C$377,
IF(AK6=Parameters!$G$499,Parameters!$E$499,""))))</f>
        <v/>
      </c>
      <c r="AL278" s="1" t="str">
        <f>IF(AL6=Parameters!$G$54,"Start phase "&amp;Parameters!$C$54,
IF(AL6=Parameters!$G$108,"Start phase "&amp;Parameters!$C$108,
IF(AL6=Parameters!$G$377,"Start phase "&amp;Parameters!$C$377,
IF(AL6=Parameters!$G$499,Parameters!$E$499,""))))</f>
        <v/>
      </c>
      <c r="AM278" s="1" t="str">
        <f>IF(AM6=Parameters!$G$54,"Start phase "&amp;Parameters!$C$54,
IF(AM6=Parameters!$G$108,"Start phase "&amp;Parameters!$C$108,
IF(AM6=Parameters!$G$377,"Start phase "&amp;Parameters!$C$377,
IF(AM6=Parameters!$G$499,Parameters!$E$499,""))))</f>
        <v/>
      </c>
      <c r="AN278" s="1" t="str">
        <f>IF(AN6=Parameters!$G$54,"Start phase "&amp;Parameters!$C$54,
IF(AN6=Parameters!$G$108,"Start phase "&amp;Parameters!$C$108,
IF(AN6=Parameters!$G$377,"Start phase "&amp;Parameters!$C$377,
IF(AN6=Parameters!$G$499,Parameters!$E$499,""))))</f>
        <v/>
      </c>
      <c r="AO278" s="1" t="str">
        <f>IF(AO6=Parameters!$G$54,"Start phase "&amp;Parameters!$C$54,
IF(AO6=Parameters!$G$108,"Start phase "&amp;Parameters!$C$108,
IF(AO6=Parameters!$G$377,"Start phase "&amp;Parameters!$C$377,
IF(AO6=Parameters!$G$499,Parameters!$E$499,""))))</f>
        <v/>
      </c>
      <c r="AP278" s="1" t="str">
        <f>IF(AP6=Parameters!$G$54,"Start phase "&amp;Parameters!$C$54,
IF(AP6=Parameters!$G$108,"Start phase "&amp;Parameters!$C$108,
IF(AP6=Parameters!$G$377,"Start phase "&amp;Parameters!$C$377,
IF(AP6=Parameters!$G$499,Parameters!$E$499,""))))</f>
        <v>Start of decommisioning</v>
      </c>
      <c r="AQ278" s="1" t="str">
        <f>IF(AQ6=Parameters!$G$54,"Start phase "&amp;Parameters!$C$54,
IF(AQ6=Parameters!$G$108,"Start phase "&amp;Parameters!$C$108,
IF(AQ6=Parameters!$G$377,"Start phase "&amp;Parameters!$C$377,
IF(AQ6=Parameters!$G$499,Parameters!$E$499,""))))</f>
        <v/>
      </c>
      <c r="AR278" s="1" t="str">
        <f>IF(AR6=Parameters!$G$54,"Start phase "&amp;Parameters!$C$54,
IF(AR6=Parameters!$G$108,"Start phase "&amp;Parameters!$C$108,
IF(AR6=Parameters!$G$377,"Start phase "&amp;Parameters!$C$377,
IF(AR6=Parameters!$G$499,Parameters!$E$499,""))))</f>
        <v/>
      </c>
      <c r="AS278" s="1" t="str">
        <f>IF(AS6=Parameters!$G$54,"Start phase "&amp;Parameters!$C$54,
IF(AS6=Parameters!$G$108,"Start phase "&amp;Parameters!$C$108,
IF(AS6=Parameters!$G$377,"Start phase "&amp;Parameters!$C$377,
IF(AS6=Parameters!$G$499,Parameters!$E$499,""))))</f>
        <v/>
      </c>
      <c r="AT278" s="1" t="str">
        <f>IF(AT6=Parameters!$G$54,"Start phase "&amp;Parameters!$C$54,
IF(AT6=Parameters!$G$108,"Start phase "&amp;Parameters!$C$108,
IF(AT6=Parameters!$G$377,"Start phase "&amp;Parameters!$C$377,
IF(AT6=Parameters!$G$499,Parameters!$E$499,""))))</f>
        <v/>
      </c>
      <c r="AU278" s="1" t="str">
        <f>IF(AU6=Parameters!$G$54,"Start phase "&amp;Parameters!$C$54,
IF(AU6=Parameters!$G$108,"Start phase "&amp;Parameters!$C$108,
IF(AU6=Parameters!$G$377,"Start phase "&amp;Parameters!$C$377,
IF(AU6=Parameters!$G$499,Parameters!$E$499,""))))</f>
        <v/>
      </c>
      <c r="AV278" s="1" t="str">
        <f>IF(AV6=Parameters!$G$54,"Start phase "&amp;Parameters!$C$54,
IF(AV6=Parameters!$G$108,"Start phase "&amp;Parameters!$C$108,
IF(AV6=Parameters!$G$377,"Start phase "&amp;Parameters!$C$377,
IF(AV6=Parameters!$G$499,Parameters!$E$499,""))))</f>
        <v/>
      </c>
      <c r="AW278" s="1" t="str">
        <f>IF(AW6=Parameters!$G$54,"Start phase "&amp;Parameters!$C$54,
IF(AW6=Parameters!$G$108,"Start phase "&amp;Parameters!$C$108,
IF(AW6=Parameters!$G$377,"Start phase "&amp;Parameters!$C$377,
IF(AW6=Parameters!$G$499,Parameters!$E$499,""))))</f>
        <v/>
      </c>
      <c r="AX278" s="1" t="str">
        <f>IF(AX6=Parameters!$G$54,"Start phase "&amp;Parameters!$C$54,
IF(AX6=Parameters!$G$108,"Start phase "&amp;Parameters!$C$108,
IF(AX6=Parameters!$G$377,"Start phase "&amp;Parameters!$C$377,
IF(AX6=Parameters!$G$499,Parameters!$E$499,""))))</f>
        <v/>
      </c>
      <c r="AY278" s="1" t="str">
        <f>IF(AY6=Parameters!$G$54,"Start phase "&amp;Parameters!$C$54,
IF(AY6=Parameters!$G$108,"Start phase "&amp;Parameters!$C$108,
IF(AY6=Parameters!$G$377,"Start phase "&amp;Parameters!$C$377,
IF(AY6=Parameters!$G$499,Parameters!$E$499,""))))</f>
        <v/>
      </c>
      <c r="AZ278" s="1" t="str">
        <f>IF(AZ6=Parameters!$G$54,"Start "&amp;Parameters!$C$54,
IF(AZ6=Parameters!$G$108,"Start "&amp;Parameters!$C$108,
IF(AZ6=Parameters!$G$377,"Start "&amp;Parameters!$C$377,
IF(AZ6=Parameters!$G$499,Parameters!$E$499,""))))</f>
        <v/>
      </c>
      <c r="BA278" s="1" t="str">
        <f>IF(BA6=Parameters!$G$54,"Start "&amp;Parameters!$C$54,
IF(BA6=Parameters!$G$108,"Start "&amp;Parameters!$C$108,
IF(BA6=Parameters!$G$377,"Start "&amp;Parameters!$C$377,
IF(BA6=Parameters!$G$499,Parameters!$E$499,""))))</f>
        <v/>
      </c>
      <c r="BB278" s="1" t="str">
        <f>IF(BB6=Parameters!$G$54,"Start "&amp;Parameters!$C$54,
IF(BB6=Parameters!$G$108,"Start "&amp;Parameters!$C$108,
IF(BB6=Parameters!$G$377,"Start "&amp;Parameters!$C$377,
IF(BB6=Parameters!$G$499,Parameters!$E$499,""))))</f>
        <v/>
      </c>
      <c r="BC278" s="1" t="str">
        <f>IF(BC6=Parameters!$G$54,"Start "&amp;Parameters!$C$54,
IF(BC6=Parameters!$G$108,"Start "&amp;Parameters!$C$108,
IF(BC6=Parameters!$G$377,"Start "&amp;Parameters!$C$377,
IF(BC6=Parameters!$G$499,Parameters!$E$499,""))))</f>
        <v/>
      </c>
      <c r="BD278" s="1" t="str">
        <f>IF(BD6=Parameters!$G$54,"Start "&amp;Parameters!$C$54,
IF(BD6=Parameters!$G$108,"Start "&amp;Parameters!$C$108,
IF(BD6=Parameters!$G$377,"Start "&amp;Parameters!$C$377,
IF(BD6=Parameters!$G$499,Parameters!$E$499,""))))</f>
        <v/>
      </c>
      <c r="BE278" s="1" t="str">
        <f>IF(BE6=Parameters!$G$54,"Start "&amp;Parameters!$C$54,
IF(BE6=Parameters!$G$108,"Start "&amp;Parameters!$C$108,
IF(BE6=Parameters!$G$377,"Start "&amp;Parameters!$C$377,
IF(BE6=Parameters!$G$499,Parameters!$E$499,""))))</f>
        <v/>
      </c>
    </row>
    <row r="279" spans="2:57" x14ac:dyDescent="0.25">
      <c r="B279" s="852"/>
      <c r="H279" s="1330"/>
    </row>
    <row r="280" spans="2:57" x14ac:dyDescent="0.25">
      <c r="B280" s="852"/>
    </row>
    <row r="281" spans="2:57" ht="18.75" x14ac:dyDescent="0.3">
      <c r="B281" s="852"/>
      <c r="D281" s="873"/>
      <c r="E281" s="874" t="s">
        <v>1744</v>
      </c>
      <c r="F281" s="874" t="s">
        <v>1653</v>
      </c>
      <c r="G281" s="875"/>
      <c r="H281" s="875"/>
      <c r="I281" s="875"/>
      <c r="J281" s="875">
        <f>J274-J24</f>
        <v>0</v>
      </c>
      <c r="K281" s="875">
        <f t="shared" ref="K281:BE281" si="123">K274-K24</f>
        <v>0</v>
      </c>
      <c r="L281" s="875">
        <f t="shared" si="123"/>
        <v>0</v>
      </c>
      <c r="M281" s="875">
        <f t="shared" si="123"/>
        <v>-48.226466393039289</v>
      </c>
      <c r="N281" s="875">
        <f t="shared" si="123"/>
        <v>-38759.237509764847</v>
      </c>
      <c r="O281" s="875">
        <f t="shared" si="123"/>
        <v>-37671.181891918633</v>
      </c>
      <c r="P281" s="875">
        <f>P274-P24</f>
        <v>-35376.187425412041</v>
      </c>
      <c r="Q281" s="875">
        <f t="shared" si="123"/>
        <v>-33191.700314799207</v>
      </c>
      <c r="R281" s="875">
        <f t="shared" si="123"/>
        <v>-31112.62976065867</v>
      </c>
      <c r="S281" s="875">
        <f t="shared" si="123"/>
        <v>-29168.04053096363</v>
      </c>
      <c r="T281" s="875">
        <f t="shared" si="123"/>
        <v>-27322.702867010201</v>
      </c>
      <c r="U281" s="875">
        <f t="shared" si="123"/>
        <v>-25596.069845020611</v>
      </c>
      <c r="V281" s="875">
        <f t="shared" si="123"/>
        <v>19294.64009164313</v>
      </c>
      <c r="W281" s="875">
        <f t="shared" si="123"/>
        <v>-70.44927241817966</v>
      </c>
      <c r="X281" s="875">
        <f t="shared" si="123"/>
        <v>-3.1267041202366443</v>
      </c>
      <c r="Y281" s="875">
        <f t="shared" si="123"/>
        <v>25.968425639040458</v>
      </c>
      <c r="Z281" s="875">
        <f t="shared" si="123"/>
        <v>24.078445155768772</v>
      </c>
      <c r="AA281" s="875">
        <f t="shared" si="123"/>
        <v>22.326017268336717</v>
      </c>
      <c r="AB281" s="875">
        <f t="shared" si="123"/>
        <v>20.701130917426244</v>
      </c>
      <c r="AC281" s="875">
        <f t="shared" si="123"/>
        <v>19.194503646881788</v>
      </c>
      <c r="AD281" s="875">
        <f t="shared" si="123"/>
        <v>17.797528576126023</v>
      </c>
      <c r="AE281" s="875">
        <f t="shared" si="123"/>
        <v>16.50222523190989</v>
      </c>
      <c r="AF281" s="875">
        <f t="shared" si="123"/>
        <v>15.301193958515942</v>
      </c>
      <c r="AG281" s="875">
        <f t="shared" si="123"/>
        <v>12.051551716996881</v>
      </c>
      <c r="AH281" s="875">
        <f t="shared" si="123"/>
        <v>13.156497681355358</v>
      </c>
      <c r="AI281" s="875">
        <f t="shared" si="123"/>
        <v>12.199661486347694</v>
      </c>
      <c r="AJ281" s="875">
        <f t="shared" si="123"/>
        <v>11.31241337824968</v>
      </c>
      <c r="AK281" s="875">
        <f t="shared" si="123"/>
        <v>10.489692405286062</v>
      </c>
      <c r="AL281" s="875">
        <f t="shared" si="123"/>
        <v>9.7268056849016276</v>
      </c>
      <c r="AM281" s="875">
        <f t="shared" si="123"/>
        <v>9.0194016350905972</v>
      </c>
      <c r="AN281" s="875">
        <f t="shared" si="123"/>
        <v>-2.2747635072550612</v>
      </c>
      <c r="AO281" s="875">
        <f t="shared" si="123"/>
        <v>-0.94964516200895999</v>
      </c>
      <c r="AP281" s="875">
        <f t="shared" si="123"/>
        <v>-3.8103676421559758</v>
      </c>
      <c r="AQ281" s="875">
        <f t="shared" si="123"/>
        <v>-6.8970887096202735E-2</v>
      </c>
      <c r="AR281" s="875">
        <f t="shared" si="123"/>
        <v>-6.3954822580115242E-2</v>
      </c>
      <c r="AS281" s="875">
        <f t="shared" si="123"/>
        <v>-5.9303562756106855E-2</v>
      </c>
      <c r="AT281" s="875">
        <f t="shared" si="123"/>
        <v>-5.4990576373844538E-2</v>
      </c>
      <c r="AU281" s="875">
        <f t="shared" si="123"/>
        <v>-5.0991261728474027E-2</v>
      </c>
      <c r="AV281" s="875">
        <f t="shared" si="123"/>
        <v>-4.7282806330039548E-2</v>
      </c>
      <c r="AW281" s="875">
        <f t="shared" si="123"/>
        <v>-4.3844056778763928E-2</v>
      </c>
      <c r="AX281" s="875">
        <f t="shared" si="123"/>
        <v>0</v>
      </c>
      <c r="AY281" s="875">
        <f t="shared" si="123"/>
        <v>0</v>
      </c>
      <c r="AZ281" s="875">
        <f t="shared" si="123"/>
        <v>0</v>
      </c>
      <c r="BA281" s="875">
        <f t="shared" si="123"/>
        <v>0</v>
      </c>
      <c r="BB281" s="875">
        <f t="shared" si="123"/>
        <v>0</v>
      </c>
      <c r="BC281" s="875">
        <f t="shared" si="123"/>
        <v>0</v>
      </c>
      <c r="BD281" s="875">
        <f t="shared" si="123"/>
        <v>0</v>
      </c>
      <c r="BE281" s="875">
        <f t="shared" si="123"/>
        <v>0</v>
      </c>
    </row>
    <row r="282" spans="2:57" x14ac:dyDescent="0.25">
      <c r="B282" s="852"/>
      <c r="C282" s="1292" t="s">
        <v>1728</v>
      </c>
      <c r="D282" s="1217"/>
      <c r="E282" s="1285" t="s">
        <v>1709</v>
      </c>
      <c r="F282" s="1286" t="str">
        <f>F268</f>
        <v>[MEUR]</v>
      </c>
      <c r="G282" s="1285"/>
      <c r="H282" s="1285"/>
      <c r="I282" s="2"/>
      <c r="J282" s="1287">
        <f>(J21/1000)/(1+Parameters!$G$12)^(Output!J$6-Output!$J6)</f>
        <v>0</v>
      </c>
      <c r="K282" s="1287">
        <f>(K21/1000)/(1+Parameters!$G$12)^(Output!K$6-Output!$J6)</f>
        <v>0</v>
      </c>
      <c r="L282" s="1287">
        <f>(L21/1000)/(1+Parameters!$G$12)^(Output!L$6-Output!$J6)</f>
        <v>0</v>
      </c>
      <c r="M282" s="1287">
        <f>(M21/1000)/(1+Parameters!$G$12)^(Output!M$6-Output!$J6)</f>
        <v>0</v>
      </c>
      <c r="N282" s="1287">
        <f>(N21/1000)/(1+Parameters!$G$12)^(Output!N$6-Output!$J6)</f>
        <v>38.812075367448237</v>
      </c>
      <c r="O282" s="1287">
        <f>(O21/1000)/(1+Parameters!$G$12)^(Output!O$6-Output!$J6)</f>
        <v>37.7221830080166</v>
      </c>
      <c r="P282" s="1287">
        <f>(P21/1000)/(1+Parameters!$G$12)^(Output!P$6-Output!$J6)</f>
        <v>35.424050141551547</v>
      </c>
      <c r="Q282" s="1287">
        <f>(Q21/1000)/(1+Parameters!$G$12)^(Output!Q$6-Output!$J6)</f>
        <v>33.220692880035621</v>
      </c>
      <c r="R282" s="1287">
        <f>(R21/1000)/(1+Parameters!$G$12)^(Output!R$6-Output!$J6)</f>
        <v>31.153612797432629</v>
      </c>
      <c r="S282" s="1287">
        <f>(S21/1000)/(1+Parameters!$G$12)^(Output!S$6-Output!$J6)</f>
        <v>29.206461586136804</v>
      </c>
      <c r="T282" s="1287">
        <f>(T21/1000)/(1+Parameters!$G$12)^(Output!T$6-Output!$J6)</f>
        <v>27.358698768509399</v>
      </c>
      <c r="U282" s="1287">
        <f>(U21/1000)/(1+Parameters!$G$12)^(Output!U$6-Output!$J6)</f>
        <v>25.629794697370642</v>
      </c>
      <c r="V282" s="1287">
        <f>(V21/1000)/(1+Parameters!$G$12)^(Output!V$6-Output!$J6)</f>
        <v>-19.372248641424918</v>
      </c>
      <c r="W282" s="1287">
        <f>(W21/1000)/(1+Parameters!$G$12)^(Output!W$6-Output!$J6)</f>
        <v>0</v>
      </c>
      <c r="X282" s="1287">
        <f>(X21/1000)/(1+Parameters!$G$12)^(Output!X$6-Output!$J6)</f>
        <v>0</v>
      </c>
      <c r="Y282" s="1287">
        <f>(Y21/1000)/(1+Parameters!$G$12)^(Output!Y$6-Output!$J6)</f>
        <v>0</v>
      </c>
      <c r="Z282" s="1287">
        <f>(Z21/1000)/(1+Parameters!$G$12)^(Output!Z$6-Output!$J6)</f>
        <v>0</v>
      </c>
      <c r="AA282" s="1287">
        <f>(AA21/1000)/(1+Parameters!$G$12)^(Output!AA$6-Output!$J6)</f>
        <v>0</v>
      </c>
      <c r="AB282" s="1287">
        <f>(AB21/1000)/(1+Parameters!$G$12)^(Output!AB$6-Output!$J6)</f>
        <v>0</v>
      </c>
      <c r="AC282" s="1287">
        <f>(AC21/1000)/(1+Parameters!$G$12)^(Output!AC$6-Output!$J6)</f>
        <v>0</v>
      </c>
      <c r="AD282" s="1287">
        <f>(AD21/1000)/(1+Parameters!$G$12)^(Output!AD$6-Output!$J6)</f>
        <v>0</v>
      </c>
      <c r="AE282" s="1287">
        <f>(AE21/1000)/(1+Parameters!$G$12)^(Output!AE$6-Output!$J6)</f>
        <v>0</v>
      </c>
      <c r="AF282" s="1287">
        <f>(AF21/1000)/(1+Parameters!$G$12)^(Output!AF$6-Output!$J6)</f>
        <v>0</v>
      </c>
      <c r="AG282" s="1287">
        <f>(AG21/1000)/(1+Parameters!$G$12)^(Output!AG$6-Output!$J6)</f>
        <v>0</v>
      </c>
      <c r="AH282" s="1287">
        <f>(AH21/1000)/(1+Parameters!$G$12)^(Output!AH$6-Output!$J6)</f>
        <v>0</v>
      </c>
      <c r="AI282" s="1287">
        <f>(AI21/1000)/(1+Parameters!$G$12)^(Output!AI$6-Output!$J6)</f>
        <v>0</v>
      </c>
      <c r="AJ282" s="1287">
        <f>(AJ21/1000)/(1+Parameters!$G$12)^(Output!AJ$6-Output!$J6)</f>
        <v>0</v>
      </c>
      <c r="AK282" s="1287">
        <f>(AK21/1000)/(1+Parameters!$G$12)^(Output!AK$6-Output!$J6)</f>
        <v>0</v>
      </c>
      <c r="AL282" s="1287">
        <f>(AL21/1000)/(1+Parameters!$G$12)^(Output!AL$6-Output!$J6)</f>
        <v>0</v>
      </c>
      <c r="AM282" s="1287">
        <f>(AM21/1000)/(1+Parameters!$G$12)^(Output!AM$6-Output!$J6)</f>
        <v>0</v>
      </c>
      <c r="AN282" s="1287">
        <f>(AN21/1000)/(1+Parameters!$G$12)^(Output!AN$6-Output!$J6)</f>
        <v>0</v>
      </c>
      <c r="AO282" s="1287">
        <f>(AO21/1000)/(1+Parameters!$G$12)^(Output!AO$6-Output!$J6)</f>
        <v>0</v>
      </c>
      <c r="AP282" s="1287">
        <f>(AP21/1000)/(1+Parameters!$G$12)^(Output!AP$6-Output!$J6)</f>
        <v>0</v>
      </c>
      <c r="AQ282" s="1287">
        <f>(AQ21/1000)/(1+Parameters!$G$12)^(Output!AQ$6-Output!$J6)</f>
        <v>0</v>
      </c>
      <c r="AR282" s="1287">
        <f>(AR21/1000)/(1+Parameters!$G$12)^(Output!AR$6-Output!$J6)</f>
        <v>0</v>
      </c>
      <c r="AS282" s="1287">
        <f>(AS21/1000)/(1+Parameters!$G$12)^(Output!AS$6-Output!$J6)</f>
        <v>0</v>
      </c>
      <c r="AT282" s="1287">
        <f>(AT21/1000)/(1+Parameters!$G$12)^(Output!AT$6-Output!$J6)</f>
        <v>0</v>
      </c>
      <c r="AU282" s="1287">
        <f>(AU21/1000)/(1+Parameters!$G$12)^(Output!AU$6-Output!$J6)</f>
        <v>0</v>
      </c>
      <c r="AV282" s="1287">
        <f>(AV21/1000)/(1+Parameters!$G$12)^(Output!AV$6-Output!$J6)</f>
        <v>0</v>
      </c>
      <c r="AW282" s="1287">
        <f>(AW21/1000)/(1+Parameters!$G$12)^(Output!AW$6-Output!$J6)</f>
        <v>0</v>
      </c>
      <c r="AX282" s="1287">
        <f>(AX21/1000)/(1+Parameters!$G$12)^(Output!AX$6-Output!$J6)</f>
        <v>0</v>
      </c>
      <c r="AY282" s="1287">
        <f>(AY21/1000)/(1+Parameters!$G$12)^(Output!AY$6-Output!$J6)</f>
        <v>0</v>
      </c>
      <c r="AZ282" s="1287">
        <f>(AZ21/1000)/(1+Parameters!$G$12)^(Output!AZ$6-Output!$J6)</f>
        <v>0</v>
      </c>
      <c r="BA282" s="1287">
        <f>(BA21/1000)/(1+Parameters!$G$12)^(Output!BA$6-Output!$J6)</f>
        <v>0</v>
      </c>
      <c r="BB282" s="1287">
        <f>(BB21/1000)/(1+Parameters!$G$12)^(Output!BB$6-Output!$J6)</f>
        <v>0</v>
      </c>
      <c r="BC282" s="1287">
        <f>(BC21/1000)/(1+Parameters!$G$12)^(Output!BC$6-Output!$J6)</f>
        <v>0</v>
      </c>
      <c r="BD282" s="1287">
        <f>(BD21/1000)/(1+Parameters!$G$12)^(Output!BD$6-Output!$J6)</f>
        <v>0</v>
      </c>
      <c r="BE282" s="1287">
        <f>(BE21/1000)/(1+Parameters!$G$12)^(Output!BE$6-Output!$J6)</f>
        <v>0</v>
      </c>
    </row>
    <row r="283" spans="2:57" x14ac:dyDescent="0.25">
      <c r="B283" s="852"/>
      <c r="D283" s="1189"/>
      <c r="E283" s="853" t="str">
        <f>E269</f>
        <v>Electrification</v>
      </c>
      <c r="F283" s="853" t="str">
        <f>F269</f>
        <v>[MEUR]</v>
      </c>
      <c r="G283" s="853"/>
      <c r="H283" s="853"/>
      <c r="J283" s="882">
        <f>J269/(1+Parameters!$G$12)^(Output!J$6-$J$6)</f>
        <v>0</v>
      </c>
      <c r="K283" s="882">
        <f>K269/(1+Parameters!$G$12)^(Output!K$6-$J$6)</f>
        <v>0</v>
      </c>
      <c r="L283" s="882">
        <f>L269/(1+Parameters!$G$12)^(Output!L$6-$J$6)</f>
        <v>0</v>
      </c>
      <c r="M283" s="882">
        <f>M269/(1+Parameters!$G$12)^(Output!M$6-$J$6)</f>
        <v>-48.226466393039289</v>
      </c>
      <c r="N283" s="882">
        <f>N269/(1+Parameters!$G$12)^(Output!N$6-$J$6)</f>
        <v>52.837857683385749</v>
      </c>
      <c r="O283" s="882">
        <f>O269/(1+Parameters!$G$12)^(Output!O$6-$J$6)</f>
        <v>51.001116097963056</v>
      </c>
      <c r="P283" s="882">
        <f>P269/(1+Parameters!$G$12)^(Output!P$6-$J$6)</f>
        <v>47.862716139508827</v>
      </c>
      <c r="Q283" s="882">
        <f>Q269/(1+Parameters!$G$12)^(Output!Q$6-$J$6)</f>
        <v>44.871076774775986</v>
      </c>
      <c r="R283" s="882">
        <f>R269/(1+Parameters!$G$12)^(Output!R$6-$J$6)</f>
        <v>42.064582512740571</v>
      </c>
      <c r="S283" s="882">
        <f>S269/(1+Parameters!$G$12)^(Output!S$6-$J$6)</f>
        <v>39.423946410155942</v>
      </c>
      <c r="T283" s="882">
        <f>T269/(1+Parameters!$G$12)^(Output!T$6-$J$6)</f>
        <v>36.92585831668508</v>
      </c>
      <c r="U283" s="882">
        <f>U269/(1+Parameters!$G$12)^(Output!U$6-$J$6)</f>
        <v>34.587178842161308</v>
      </c>
      <c r="V283" s="882">
        <f>V269/(1+Parameters!$G$12)^(Output!V$6-$J$6)</f>
        <v>0</v>
      </c>
      <c r="W283" s="882">
        <f>W269/(1+Parameters!$G$12)^(Output!W$6-$J$6)</f>
        <v>0</v>
      </c>
      <c r="X283" s="882">
        <f>X269/(1+Parameters!$G$12)^(Output!X$6-$J$6)</f>
        <v>0</v>
      </c>
      <c r="Y283" s="882">
        <f>Y269/(1+Parameters!$G$12)^(Output!Y$6-$J$6)</f>
        <v>0</v>
      </c>
      <c r="Z283" s="882">
        <f>Z269/(1+Parameters!$G$12)^(Output!Z$6-$J$6)</f>
        <v>0</v>
      </c>
      <c r="AA283" s="882">
        <f>AA269/(1+Parameters!$G$12)^(Output!AA$6-$J$6)</f>
        <v>0</v>
      </c>
      <c r="AB283" s="882">
        <f>AB269/(1+Parameters!$G$12)^(Output!AB$6-$J$6)</f>
        <v>0</v>
      </c>
      <c r="AC283" s="882">
        <f>AC269/(1+Parameters!$G$12)^(Output!AC$6-$J$6)</f>
        <v>0</v>
      </c>
      <c r="AD283" s="882">
        <f>AD269/(1+Parameters!$G$12)^(Output!AD$6-$J$6)</f>
        <v>0</v>
      </c>
      <c r="AE283" s="882">
        <f>AE269/(1+Parameters!$G$12)^(Output!AE$6-$J$6)</f>
        <v>0</v>
      </c>
      <c r="AF283" s="882">
        <f>AF269/(1+Parameters!$G$12)^(Output!AF$6-$J$6)</f>
        <v>0</v>
      </c>
      <c r="AG283" s="882">
        <f>AG269/(1+Parameters!$G$12)^(Output!AG$6-$J$6)</f>
        <v>0</v>
      </c>
      <c r="AH283" s="882">
        <f>AH269/(1+Parameters!$G$12)^(Output!AH$6-$J$6)</f>
        <v>0</v>
      </c>
      <c r="AI283" s="882">
        <f>AI269/(1+Parameters!$G$12)^(Output!AI$6-$J$6)</f>
        <v>0</v>
      </c>
      <c r="AJ283" s="882">
        <f>AJ269/(1+Parameters!$G$12)^(Output!AJ$6-$J$6)</f>
        <v>0</v>
      </c>
      <c r="AK283" s="882">
        <f>AK269/(1+Parameters!$G$12)^(Output!AK$6-$J$6)</f>
        <v>0</v>
      </c>
      <c r="AL283" s="882">
        <f>AL269/(1+Parameters!$G$12)^(Output!AL$6-$J$6)</f>
        <v>0</v>
      </c>
      <c r="AM283" s="882">
        <f>AM269/(1+Parameters!$G$12)^(Output!AM$6-$J$6)</f>
        <v>0</v>
      </c>
      <c r="AN283" s="882">
        <f>AN269/(1+Parameters!$G$12)^(Output!AN$6-$J$6)</f>
        <v>0</v>
      </c>
      <c r="AO283" s="882">
        <f>AO269/(1+Parameters!$G$12)^(Output!AO$6-$J$6)</f>
        <v>0</v>
      </c>
      <c r="AP283" s="882">
        <f>AP269/(1+Parameters!$G$12)^(Output!AP$6-$J$6)</f>
        <v>0</v>
      </c>
      <c r="AQ283" s="882">
        <f>AQ269/(1+Parameters!$G$12)^(Output!AQ$6-$J$6)</f>
        <v>0</v>
      </c>
      <c r="AR283" s="882">
        <f>AR269/(1+Parameters!$G$12)^(Output!AR$6-$J$6)</f>
        <v>0</v>
      </c>
      <c r="AS283" s="882">
        <f>AS269/(1+Parameters!$G$12)^(Output!AS$6-$J$6)</f>
        <v>0</v>
      </c>
      <c r="AT283" s="882">
        <f>AT269/(1+Parameters!$G$12)^(Output!AT$6-$J$6)</f>
        <v>0</v>
      </c>
      <c r="AU283" s="882">
        <f>AU269/(1+Parameters!$G$12)^(Output!AU$6-$J$6)</f>
        <v>0</v>
      </c>
      <c r="AV283" s="882">
        <f>AV269/(1+Parameters!$G$12)^(Output!AV$6-$J$6)</f>
        <v>0</v>
      </c>
      <c r="AW283" s="882">
        <f>AW269/(1+Parameters!$G$12)^(Output!AW$6-$J$6)</f>
        <v>0</v>
      </c>
      <c r="AX283" s="882">
        <f>AX269/(1+Parameters!$G$12)^(Output!AX$6-$J$6)</f>
        <v>0</v>
      </c>
      <c r="AY283" s="882">
        <f>AY269/(1+Parameters!$G$12)^(Output!AY$6-$J$6)</f>
        <v>0</v>
      </c>
      <c r="AZ283" s="882">
        <f>AZ269/(1+Parameters!$G$12)^(Output!AZ$6-$J$6)</f>
        <v>0</v>
      </c>
      <c r="BA283" s="882">
        <f>BA269/(1+Parameters!$G$12)^(Output!BA$6-$J$6)</f>
        <v>0</v>
      </c>
      <c r="BB283" s="882">
        <f>BB269/(1+Parameters!$G$12)^(Output!BB$6-$J$6)</f>
        <v>0</v>
      </c>
      <c r="BC283" s="882">
        <f>BC269/(1+Parameters!$G$12)^(Output!BC$6-$J$6)</f>
        <v>0</v>
      </c>
      <c r="BD283" s="882">
        <f>BD269/(1+Parameters!$G$12)^(Output!BD$6-$J$6)</f>
        <v>0</v>
      </c>
      <c r="BE283" s="882">
        <f>BE269/(1+Parameters!$G$12)^(Output!BE$6-$J$6)</f>
        <v>0</v>
      </c>
    </row>
    <row r="284" spans="2:57" x14ac:dyDescent="0.25">
      <c r="B284" s="852"/>
      <c r="D284" s="861"/>
      <c r="E284" s="853" t="str">
        <f>E270</f>
        <v>CCS</v>
      </c>
      <c r="F284" s="853" t="str">
        <f>F270</f>
        <v>[MEUR]</v>
      </c>
      <c r="G284" s="853"/>
      <c r="H284" s="853"/>
      <c r="J284" s="882">
        <f>J270/(1+Parameters!$G$12)^(Output!J$6-$J$6)</f>
        <v>0</v>
      </c>
      <c r="K284" s="882">
        <f>K270/(1+Parameters!$G$12)^(Output!K$6-$J$6)</f>
        <v>0</v>
      </c>
      <c r="L284" s="882">
        <f>L270/(1+Parameters!$G$12)^(Output!L$6-$J$6)</f>
        <v>0</v>
      </c>
      <c r="M284" s="882">
        <f>M270/(1+Parameters!$G$12)^(Output!M$6-$J$6)</f>
        <v>0</v>
      </c>
      <c r="N284" s="882">
        <f>N270/(1+Parameters!$G$12)^(Output!N$6-$J$6)</f>
        <v>0</v>
      </c>
      <c r="O284" s="882">
        <f>O270/(1+Parameters!$G$12)^(Output!O$6-$J$6)</f>
        <v>0</v>
      </c>
      <c r="P284" s="882">
        <f>P270/(1+Parameters!$G$12)^(Output!P$6-$J$6)</f>
        <v>0</v>
      </c>
      <c r="Q284" s="882">
        <f>Q270/(1+Parameters!$G$12)^(Output!Q$6-$J$6)</f>
        <v>0</v>
      </c>
      <c r="R284" s="882">
        <f>R270/(1+Parameters!$G$12)^(Output!R$6-$J$6)</f>
        <v>0</v>
      </c>
      <c r="S284" s="882">
        <f>S270/(1+Parameters!$G$12)^(Output!S$6-$J$6)</f>
        <v>0</v>
      </c>
      <c r="T284" s="882">
        <f>T270/(1+Parameters!$G$12)^(Output!T$6-$J$6)</f>
        <v>0</v>
      </c>
      <c r="U284" s="882">
        <f>U270/(1+Parameters!$G$12)^(Output!U$6-$J$6)</f>
        <v>0</v>
      </c>
      <c r="V284" s="882">
        <f>V270/(1+Parameters!$G$12)^(Output!V$6-$J$6)</f>
        <v>0</v>
      </c>
      <c r="W284" s="882">
        <f>W270/(1+Parameters!$G$12)^(Output!W$6-$J$6)</f>
        <v>-67.078912837034395</v>
      </c>
      <c r="X284" s="882">
        <f>X270/(1+Parameters!$G$12)^(Output!X$6-$J$6)</f>
        <v>0</v>
      </c>
      <c r="Y284" s="882">
        <f>Y270/(1+Parameters!$G$12)^(Output!Y$6-$J$6)</f>
        <v>28.869088397377222</v>
      </c>
      <c r="Z284" s="882">
        <f>Z270/(1+Parameters!$G$12)^(Output!Z$6-$J$6)</f>
        <v>26.769407356606376</v>
      </c>
      <c r="AA284" s="882">
        <f>AA270/(1+Parameters!$G$12)^(Output!AA$6-$J$6)</f>
        <v>24.822438462473915</v>
      </c>
      <c r="AB284" s="882">
        <f>AB270/(1+Parameters!$G$12)^(Output!AB$6-$J$6)</f>
        <v>23.017074790064623</v>
      </c>
      <c r="AC284" s="882">
        <f>AC270/(1+Parameters!$G$12)^(Output!AC$6-$J$6)</f>
        <v>21.343017233510029</v>
      </c>
      <c r="AD284" s="882">
        <f>AD270/(1+Parameters!$G$12)^(Output!AD$6-$J$6)</f>
        <v>19.790715752407678</v>
      </c>
      <c r="AE284" s="882">
        <f>AE270/(1+Parameters!$G$12)^(Output!AE$6-$J$6)</f>
        <v>18.351314891453708</v>
      </c>
      <c r="AF284" s="882">
        <f>AF270/(1+Parameters!$G$12)^(Output!AF$6-$J$6)</f>
        <v>17.016603262493536</v>
      </c>
      <c r="AG284" s="882">
        <f>AG270/(1+Parameters!$G$12)^(Output!AG$6-$J$6)</f>
        <v>15.779032116130368</v>
      </c>
      <c r="AH284" s="882">
        <f>AH270/(1+Parameters!$G$12)^(Output!AH$6-$J$6)</f>
        <v>14.631466144048158</v>
      </c>
      <c r="AI284" s="882">
        <f>AI270/(1+Parameters!$G$12)^(Output!AI$6-$J$6)</f>
        <v>13.567359515390107</v>
      </c>
      <c r="AJ284" s="882">
        <f>AJ270/(1+Parameters!$G$12)^(Output!AJ$6-$J$6)</f>
        <v>12.580642459725373</v>
      </c>
      <c r="AK284" s="882">
        <f>AK270/(1+Parameters!$G$12)^(Output!AK$6-$J$6)</f>
        <v>11.665686644472615</v>
      </c>
      <c r="AL284" s="882">
        <f>AL270/(1+Parameters!$G$12)^(Output!AL$6-$J$6)</f>
        <v>10.817273070329156</v>
      </c>
      <c r="AM284" s="882">
        <f>AM270/(1+Parameters!$G$12)^(Output!AM$6-$J$6)</f>
        <v>10.030562301577943</v>
      </c>
      <c r="AN284" s="882">
        <f>AN270/(1+Parameters!$G$12)^(Output!AN$6-$J$6)</f>
        <v>-1.3371417983304321</v>
      </c>
      <c r="AO284" s="882">
        <f>AO270/(1+Parameters!$G$12)^(Output!AO$6-$J$6)</f>
        <v>-8.0214122824303444E-2</v>
      </c>
      <c r="AP284" s="882">
        <f>AP270/(1+Parameters!$G$12)^(Output!AP$6-$J$6)</f>
        <v>-7.4380368437081373E-2</v>
      </c>
      <c r="AQ284" s="882">
        <f>AQ270/(1+Parameters!$G$12)^(Output!AQ$6-$J$6)</f>
        <v>-6.8970887096202735E-2</v>
      </c>
      <c r="AR284" s="882">
        <f>AR270/(1+Parameters!$G$12)^(Output!AR$6-$J$6)</f>
        <v>-6.3954822580115242E-2</v>
      </c>
      <c r="AS284" s="882">
        <f>AS270/(1+Parameters!$G$12)^(Output!AS$6-$J$6)</f>
        <v>-5.9303562756106855E-2</v>
      </c>
      <c r="AT284" s="882">
        <f>AT270/(1+Parameters!$G$12)^(Output!AT$6-$J$6)</f>
        <v>-5.4990576373844538E-2</v>
      </c>
      <c r="AU284" s="882">
        <f>AU270/(1+Parameters!$G$12)^(Output!AU$6-$J$6)</f>
        <v>-5.0991261728474027E-2</v>
      </c>
      <c r="AV284" s="882">
        <f>AV270/(1+Parameters!$G$12)^(Output!AV$6-$J$6)</f>
        <v>-4.7282806330039548E-2</v>
      </c>
      <c r="AW284" s="882">
        <f>AW270/(1+Parameters!$G$12)^(Output!AW$6-$J$6)</f>
        <v>-4.3844056778763928E-2</v>
      </c>
      <c r="AX284" s="882">
        <f>AX270/(1+Parameters!$G$12)^(Output!AX$6-$J$6)</f>
        <v>0</v>
      </c>
      <c r="AY284" s="882">
        <f>AY270/(1+Parameters!$G$12)^(Output!AY$6-$J$6)</f>
        <v>0</v>
      </c>
      <c r="AZ284" s="882">
        <f>AZ270/(1+Parameters!$G$12)^(Output!AZ$6-$J$6)</f>
        <v>0</v>
      </c>
      <c r="BA284" s="882">
        <f>BA270/(1+Parameters!$G$12)^(Output!BA$6-$J$6)</f>
        <v>0</v>
      </c>
      <c r="BB284" s="882">
        <f>BB270/(1+Parameters!$G$12)^(Output!BB$6-$J$6)</f>
        <v>0</v>
      </c>
      <c r="BC284" s="882">
        <f>BC270/(1+Parameters!$G$12)^(Output!BC$6-$J$6)</f>
        <v>0</v>
      </c>
      <c r="BD284" s="882">
        <f>BD270/(1+Parameters!$G$12)^(Output!BD$6-$J$6)</f>
        <v>0</v>
      </c>
      <c r="BE284" s="882">
        <f>BE270/(1+Parameters!$G$12)^(Output!BE$6-$J$6)</f>
        <v>0</v>
      </c>
    </row>
    <row r="285" spans="2:57" x14ac:dyDescent="0.25">
      <c r="B285" s="852"/>
      <c r="D285" s="996"/>
      <c r="E285" s="853" t="str">
        <f>E271</f>
        <v>Small H2</v>
      </c>
      <c r="F285" s="853" t="str">
        <f>F271</f>
        <v>[MEUR]</v>
      </c>
      <c r="G285" s="853"/>
      <c r="H285" s="853"/>
      <c r="J285" s="882">
        <f>J271/(1+Parameters!$G$12)^(Output!J$6-Output!$J$6)</f>
        <v>0</v>
      </c>
      <c r="K285" s="882">
        <f>K271/(1+Parameters!$G$12)^(Output!K$6-Output!$J$6)</f>
        <v>0</v>
      </c>
      <c r="L285" s="882">
        <f>L271/(1+Parameters!$G$12)^(Output!L$6-Output!$J$6)</f>
        <v>0</v>
      </c>
      <c r="M285" s="882">
        <f>M271/(1+Parameters!$G$12)^(Output!M$6-Output!$J$6)</f>
        <v>0</v>
      </c>
      <c r="N285" s="882">
        <f>N271/(1+Parameters!$G$12)^(Output!N$6-Output!$J$6)</f>
        <v>0</v>
      </c>
      <c r="O285" s="882">
        <f>O271/(1+Parameters!$G$12)^(Output!O$6-Output!$J$6)</f>
        <v>0</v>
      </c>
      <c r="P285" s="882">
        <f>P271/(1+Parameters!$G$12)^(Output!P$6-Output!$J$6)</f>
        <v>0</v>
      </c>
      <c r="Q285" s="882">
        <f>Q271/(1+Parameters!$G$12)^(Output!Q$6-Output!$J$6)</f>
        <v>-15.878511538359634</v>
      </c>
      <c r="R285" s="882">
        <f>R271/(1+Parameters!$G$12)^(Output!R$6-Output!$J$6)</f>
        <v>-0.537015257109553</v>
      </c>
      <c r="S285" s="882">
        <f>S271/(1+Parameters!$G$12)^(Output!S$6-Output!$J$6)</f>
        <v>-0.49796297215603086</v>
      </c>
      <c r="T285" s="882">
        <f>T271/(1+Parameters!$G$12)^(Output!T$6-Output!$J$6)</f>
        <v>-0.46175060828211084</v>
      </c>
      <c r="U285" s="882">
        <f>U271/(1+Parameters!$G$12)^(Output!U$6-Output!$J$6)</f>
        <v>-0.42817164359828275</v>
      </c>
      <c r="V285" s="882">
        <f>V271/(1+Parameters!$G$12)^(Output!V$6-Output!$J$6)</f>
        <v>0</v>
      </c>
      <c r="W285" s="882">
        <f>W271/(1+Parameters!$G$12)^(Output!W$6-Output!$J$6)</f>
        <v>0</v>
      </c>
      <c r="X285" s="882">
        <f>X271/(1+Parameters!$G$12)^(Output!X$6-Output!$J$6)</f>
        <v>0</v>
      </c>
      <c r="Y285" s="882">
        <f>Y271/(1+Parameters!$G$12)^(Output!Y$6-Output!$J$6)</f>
        <v>0</v>
      </c>
      <c r="Z285" s="882">
        <f>Z271/(1+Parameters!$G$12)^(Output!Z$6-Output!$J$6)</f>
        <v>0</v>
      </c>
      <c r="AA285" s="882">
        <f>AA271/(1+Parameters!$G$12)^(Output!AA$6-Output!$J$6)</f>
        <v>0</v>
      </c>
      <c r="AB285" s="882">
        <f>AB271/(1+Parameters!$G$12)^(Output!AB$6-Output!$J$6)</f>
        <v>0</v>
      </c>
      <c r="AC285" s="882">
        <f>AC271/(1+Parameters!$G$12)^(Output!AC$6-Output!$J$6)</f>
        <v>0</v>
      </c>
      <c r="AD285" s="882">
        <f>AD271/(1+Parameters!$G$12)^(Output!AD$6-Output!$J$6)</f>
        <v>0</v>
      </c>
      <c r="AE285" s="882">
        <f>AE271/(1+Parameters!$G$12)^(Output!AE$6-Output!$J$6)</f>
        <v>0</v>
      </c>
      <c r="AF285" s="882">
        <f>AF271/(1+Parameters!$G$12)^(Output!AF$6-Output!$J$6)</f>
        <v>0</v>
      </c>
      <c r="AG285" s="882">
        <f>AG271/(1+Parameters!$G$12)^(Output!AG$6-Output!$J$6)</f>
        <v>0</v>
      </c>
      <c r="AH285" s="882">
        <f>AH271/(1+Parameters!$G$12)^(Output!AH$6-Output!$J$6)</f>
        <v>0</v>
      </c>
      <c r="AI285" s="882">
        <f>AI271/(1+Parameters!$G$12)^(Output!AI$6-Output!$J$6)</f>
        <v>0</v>
      </c>
      <c r="AJ285" s="882">
        <f>AJ271/(1+Parameters!$G$12)^(Output!AJ$6-Output!$J$6)</f>
        <v>0</v>
      </c>
      <c r="AK285" s="882">
        <f>AK271/(1+Parameters!$G$12)^(Output!AK$6-Output!$J$6)</f>
        <v>0</v>
      </c>
      <c r="AL285" s="882">
        <f>AL271/(1+Parameters!$G$12)^(Output!AL$6-Output!$J$6)</f>
        <v>0</v>
      </c>
      <c r="AM285" s="882">
        <f>AM271/(1+Parameters!$G$12)^(Output!AM$6-Output!$J$6)</f>
        <v>0</v>
      </c>
      <c r="AN285" s="882">
        <f>AN271/(1+Parameters!$G$12)^(Output!AN$6-Output!$J$6)</f>
        <v>0</v>
      </c>
      <c r="AO285" s="882">
        <f>AO271/(1+Parameters!$G$12)^(Output!AO$6-Output!$J$6)</f>
        <v>0</v>
      </c>
      <c r="AP285" s="882">
        <f>AP271/(1+Parameters!$G$12)^(Output!AP$6-Output!$J$6)</f>
        <v>0</v>
      </c>
      <c r="AQ285" s="882">
        <f>AQ271/(1+Parameters!$G$12)^(Output!AQ$6-Output!$J$6)</f>
        <v>0</v>
      </c>
      <c r="AR285" s="882">
        <f>AR271/(1+Parameters!$G$12)^(Output!AR$6-Output!$J$6)</f>
        <v>0</v>
      </c>
      <c r="AS285" s="882">
        <f>AS271/(1+Parameters!$G$12)^(Output!AS$6-Output!$J$6)</f>
        <v>0</v>
      </c>
      <c r="AT285" s="882">
        <f>AT271/(1+Parameters!$G$12)^(Output!AT$6-Output!$J$6)</f>
        <v>0</v>
      </c>
      <c r="AU285" s="882">
        <f>AU271/(1+Parameters!$G$12)^(Output!AU$6-Output!$J$6)</f>
        <v>0</v>
      </c>
      <c r="AV285" s="882">
        <f>AV271/(1+Parameters!$G$12)^(Output!AV$6-Output!$J$6)</f>
        <v>0</v>
      </c>
      <c r="AW285" s="882">
        <f>AW271/(1+Parameters!$G$12)^(Output!AW$6-Output!$J$6)</f>
        <v>0</v>
      </c>
      <c r="AX285" s="882">
        <f>AX271/(1+Parameters!$G$12)^(Output!AX$6-Output!$J$6)</f>
        <v>0</v>
      </c>
      <c r="AY285" s="882">
        <f>AY271/(1+Parameters!$G$12)^(Output!AY$6-Output!$J$6)</f>
        <v>0</v>
      </c>
      <c r="AZ285" s="882">
        <f>AZ271/(1+Parameters!$G$12)^(Output!AZ$6-Output!$J$6)</f>
        <v>0</v>
      </c>
      <c r="BA285" s="882">
        <f>BA271/(1+Parameters!$G$12)^(Output!BA$6-Output!$J$6)</f>
        <v>0</v>
      </c>
      <c r="BB285" s="882">
        <f>BB271/(1+Parameters!$G$12)^(Output!BB$6-Output!$J$6)</f>
        <v>0</v>
      </c>
      <c r="BC285" s="882">
        <f>BC271/(1+Parameters!$G$12)^(Output!BC$6-Output!$J$6)</f>
        <v>0</v>
      </c>
      <c r="BD285" s="882">
        <f>BD271/(1+Parameters!$G$12)^(Output!BD$6-Output!$J$6)</f>
        <v>0</v>
      </c>
      <c r="BE285" s="882">
        <f>BE271/(1+Parameters!$G$12)^(Output!BE$6-Output!$J$6)</f>
        <v>0</v>
      </c>
    </row>
    <row r="286" spans="2:57" x14ac:dyDescent="0.25">
      <c r="B286" s="852"/>
      <c r="D286" s="1288"/>
      <c r="E286" s="1280" t="str">
        <f>E272</f>
        <v>Large H2</v>
      </c>
      <c r="F286" s="1280" t="str">
        <f>F272</f>
        <v>[MEUR]</v>
      </c>
      <c r="G286" s="1280"/>
      <c r="H286" s="1280"/>
      <c r="I286" s="1279"/>
      <c r="J286" s="1281">
        <f>J272/(1+Parameters!$G$12)^(Output!J$6-Output!$J$6)</f>
        <v>0</v>
      </c>
      <c r="K286" s="1281">
        <f>K272/(1+Parameters!$G$12)^(Output!K$6-Output!$J$6)</f>
        <v>0</v>
      </c>
      <c r="L286" s="1281">
        <f>L272/(1+Parameters!$G$12)^(Output!L$6-Output!$J$6)</f>
        <v>0</v>
      </c>
      <c r="M286" s="1281">
        <f>M272/(1+Parameters!$G$12)^(Output!M$6-Output!$J$6)</f>
        <v>0</v>
      </c>
      <c r="N286" s="1281">
        <f>N272/(1+Parameters!$G$12)^(Output!N$6-Output!$J$6)</f>
        <v>0</v>
      </c>
      <c r="O286" s="1281">
        <f>O272/(1+Parameters!$G$12)^(Output!O$6-Output!$J$6)</f>
        <v>0</v>
      </c>
      <c r="P286" s="1281">
        <f>P272/(1+Parameters!$G$12)^(Output!P$6-Output!$J$6)</f>
        <v>0</v>
      </c>
      <c r="Q286" s="1281">
        <f>Q272/(1+Parameters!$G$12)^(Output!Q$6-Output!$J$6)</f>
        <v>0</v>
      </c>
      <c r="R286" s="1281">
        <f>R272/(1+Parameters!$G$12)^(Output!R$6-Output!$J$6)</f>
        <v>0</v>
      </c>
      <c r="S286" s="1281">
        <f>S272/(1+Parameters!$G$12)^(Output!S$6-Output!$J$6)</f>
        <v>0</v>
      </c>
      <c r="T286" s="1281">
        <f>T272/(1+Parameters!$G$12)^(Output!T$6-Output!$J$6)</f>
        <v>0</v>
      </c>
      <c r="U286" s="1281">
        <f>U272/(1+Parameters!$G$12)^(Output!U$6-Output!$J$6)</f>
        <v>0</v>
      </c>
      <c r="V286" s="1281">
        <f>V272/(1+Parameters!$G$12)^(Output!V$6-Output!$J$6)</f>
        <v>-77.608549781786039</v>
      </c>
      <c r="W286" s="1281">
        <f>W272/(1+Parameters!$G$12)^(Output!W$6-Output!$J$6)</f>
        <v>-3.3703595811452707</v>
      </c>
      <c r="X286" s="1281">
        <f>X272/(1+Parameters!$G$12)^(Output!X$6-Output!$J$6)</f>
        <v>-3.1267041202366443</v>
      </c>
      <c r="Y286" s="1281">
        <f>Y272/(1+Parameters!$G$12)^(Output!Y$6-Output!$J$6)</f>
        <v>-2.9006627583367668</v>
      </c>
      <c r="Z286" s="1281">
        <f>Z272/(1+Parameters!$G$12)^(Output!Z$6-Output!$J$6)</f>
        <v>-2.6909622008376064</v>
      </c>
      <c r="AA286" s="1281">
        <f>AA272/(1+Parameters!$G$12)^(Output!AA$6-Output!$J$6)</f>
        <v>-2.4964211941372016</v>
      </c>
      <c r="AB286" s="1281">
        <f>AB272/(1+Parameters!$G$12)^(Output!AB$6-Output!$J$6)</f>
        <v>-2.3159438726383756</v>
      </c>
      <c r="AC286" s="1281">
        <f>AC272/(1+Parameters!$G$12)^(Output!AC$6-Output!$J$6)</f>
        <v>-2.1485135866282405</v>
      </c>
      <c r="AD286" s="1281">
        <f>AD272/(1+Parameters!$G$12)^(Output!AD$6-Output!$J$6)</f>
        <v>-1.9931871762816586</v>
      </c>
      <c r="AE286" s="1281">
        <f>AE272/(1+Parameters!$G$12)^(Output!AE$6-Output!$J$6)</f>
        <v>-1.849089659543818</v>
      </c>
      <c r="AF286" s="1281">
        <f>AF272/(1+Parameters!$G$12)^(Output!AF$6-Output!$J$6)</f>
        <v>-1.7154093039775944</v>
      </c>
      <c r="AG286" s="1281">
        <f>AG272/(1+Parameters!$G$12)^(Output!AG$6-Output!$J$6)</f>
        <v>-3.7274803991334844</v>
      </c>
      <c r="AH286" s="1281">
        <f>AH272/(1+Parameters!$G$12)^(Output!AH$6-Output!$J$6)</f>
        <v>-1.4749684626927999</v>
      </c>
      <c r="AI286" s="1281">
        <f>AI272/(1+Parameters!$G$12)^(Output!AI$6-Output!$J$6)</f>
        <v>-1.3676980290424143</v>
      </c>
      <c r="AJ286" s="1281">
        <f>AJ272/(1+Parameters!$G$12)^(Output!AJ$6-Output!$J$6)</f>
        <v>-1.2682290814756934</v>
      </c>
      <c r="AK286" s="1281">
        <f>AK272/(1+Parameters!$G$12)^(Output!AK$6-Output!$J$6)</f>
        <v>-1.1759942391865517</v>
      </c>
      <c r="AL286" s="1281">
        <f>AL272/(1+Parameters!$G$12)^(Output!AL$6-Output!$J$6)</f>
        <v>-1.0904673854275297</v>
      </c>
      <c r="AM286" s="1281">
        <f>AM272/(1+Parameters!$G$12)^(Output!AM$6-Output!$J$6)</f>
        <v>-1.0111606664873458</v>
      </c>
      <c r="AN286" s="1281">
        <f>AN272/(1+Parameters!$G$12)^(Output!AN$6-Output!$J$6)</f>
        <v>-0.93762170892462937</v>
      </c>
      <c r="AO286" s="1281">
        <f>AO272/(1+Parameters!$G$12)^(Output!AO$6-Output!$J$6)</f>
        <v>-0.86943103918465636</v>
      </c>
      <c r="AP286" s="1281">
        <f>AP272/(1+Parameters!$G$12)^(Output!AP$6-Output!$J$6)</f>
        <v>-3.7359872737188944</v>
      </c>
      <c r="AQ286" s="1281">
        <f>AQ272/(1+Parameters!$G$12)^(Output!AQ$6-Output!$J$6)</f>
        <v>0</v>
      </c>
      <c r="AR286" s="1281">
        <f>AR272/(1+Parameters!$G$12)^(Output!AR$6-Output!$J$6)</f>
        <v>0</v>
      </c>
      <c r="AS286" s="1281">
        <f>AS272/(1+Parameters!$G$12)^(Output!AS$6-Output!$J$6)</f>
        <v>0</v>
      </c>
      <c r="AT286" s="1281">
        <f>AT272/(1+Parameters!$G$12)^(Output!AT$6-Output!$J$6)</f>
        <v>0</v>
      </c>
      <c r="AU286" s="1281">
        <f>AU272/(1+Parameters!$G$12)^(Output!AU$6-Output!$J$6)</f>
        <v>0</v>
      </c>
      <c r="AV286" s="1281">
        <f>AV272/(1+Parameters!$G$12)^(Output!AV$6-Output!$J$6)</f>
        <v>0</v>
      </c>
      <c r="AW286" s="1281">
        <f>AW272/(1+Parameters!$G$12)^(Output!AW$6-Output!$J$6)</f>
        <v>0</v>
      </c>
      <c r="AX286" s="1281">
        <f>AX272/(1+Parameters!$G$12)^(Output!AX$6-Output!$J$6)</f>
        <v>0</v>
      </c>
      <c r="AY286" s="1281">
        <f>AY272/(1+Parameters!$G$12)^(Output!AY$6-Output!$J$6)</f>
        <v>0</v>
      </c>
      <c r="AZ286" s="1281">
        <f>AZ272/(1+Parameters!$G$12)^(Output!AZ$6-Output!$J$6)</f>
        <v>0</v>
      </c>
      <c r="BA286" s="1281">
        <f>BA272/(1+Parameters!$G$12)^(Output!BA$6-Output!$J$6)</f>
        <v>0</v>
      </c>
      <c r="BB286" s="1281">
        <f>BB272/(1+Parameters!$G$12)^(Output!BB$6-Output!$J$6)</f>
        <v>0</v>
      </c>
      <c r="BC286" s="1281">
        <f>BC272/(1+Parameters!$G$12)^(Output!BC$6-Output!$J$6)</f>
        <v>0</v>
      </c>
      <c r="BD286" s="1281">
        <f>BD272/(1+Parameters!$G$12)^(Output!BD$6-Output!$J$6)</f>
        <v>0</v>
      </c>
      <c r="BE286" s="1281">
        <f>BE272/(1+Parameters!$G$12)^(Output!BE$6-Output!$J$6)</f>
        <v>0</v>
      </c>
    </row>
    <row r="287" spans="2:57" x14ac:dyDescent="0.25">
      <c r="B287" s="852"/>
      <c r="C287" s="1292" t="s">
        <v>1729</v>
      </c>
      <c r="D287" s="1217"/>
      <c r="E287" s="1285" t="str">
        <f t="shared" ref="E287:F291" si="124">E282</f>
        <v>Business as usual</v>
      </c>
      <c r="F287" s="1285" t="str">
        <f t="shared" si="124"/>
        <v>[MEUR]</v>
      </c>
      <c r="G287" s="1285"/>
      <c r="H287" s="1285"/>
      <c r="I287" s="2"/>
      <c r="J287" s="1287">
        <f>SUM($J282:J282)</f>
        <v>0</v>
      </c>
      <c r="K287" s="1287">
        <f>SUM($J282:K282)</f>
        <v>0</v>
      </c>
      <c r="L287" s="1287">
        <f>SUM($J282:L282)</f>
        <v>0</v>
      </c>
      <c r="M287" s="1287">
        <f>SUM($J282:M282)</f>
        <v>0</v>
      </c>
      <c r="N287" s="1287">
        <f>SUM($J282:N282)</f>
        <v>38.812075367448237</v>
      </c>
      <c r="O287" s="1287">
        <f>SUM($J282:O282)</f>
        <v>76.534258375464844</v>
      </c>
      <c r="P287" s="1287">
        <f>SUM($J282:P282)</f>
        <v>111.95830851701639</v>
      </c>
      <c r="Q287" s="1287">
        <f>SUM($J282:Q282)</f>
        <v>145.17900139705202</v>
      </c>
      <c r="R287" s="1287">
        <f>SUM($J282:R282)</f>
        <v>176.33261419448465</v>
      </c>
      <c r="S287" s="1287">
        <f>SUM($J282:S282)</f>
        <v>205.53907578062146</v>
      </c>
      <c r="T287" s="1287">
        <f>SUM($J282:T282)</f>
        <v>232.89777454913087</v>
      </c>
      <c r="U287" s="1287">
        <f>SUM($J282:U282)</f>
        <v>258.52756924650151</v>
      </c>
      <c r="V287" s="1287">
        <f>SUM($J282:V282)</f>
        <v>239.15532060507661</v>
      </c>
      <c r="W287" s="1287">
        <f>SUM($J282:W282)</f>
        <v>239.15532060507661</v>
      </c>
      <c r="X287" s="1287">
        <f>SUM($J282:X282)</f>
        <v>239.15532060507661</v>
      </c>
      <c r="Y287" s="1287">
        <f>SUM($J282:Y282)</f>
        <v>239.15532060507661</v>
      </c>
      <c r="Z287" s="1287">
        <f>SUM($J282:Z282)</f>
        <v>239.15532060507661</v>
      </c>
      <c r="AA287" s="1287">
        <f>SUM($J282:AA282)</f>
        <v>239.15532060507661</v>
      </c>
      <c r="AB287" s="1287">
        <f>SUM($J282:AB282)</f>
        <v>239.15532060507661</v>
      </c>
      <c r="AC287" s="1287">
        <f>SUM($J282:AC282)</f>
        <v>239.15532060507661</v>
      </c>
      <c r="AD287" s="1287">
        <f>SUM($J282:AD282)</f>
        <v>239.15532060507661</v>
      </c>
      <c r="AE287" s="1287">
        <f>SUM($J282:AE282)</f>
        <v>239.15532060507661</v>
      </c>
      <c r="AF287" s="1287">
        <f>SUM($J282:AF282)</f>
        <v>239.15532060507661</v>
      </c>
      <c r="AG287" s="1287">
        <f>SUM($J282:AG282)</f>
        <v>239.15532060507661</v>
      </c>
      <c r="AH287" s="1287">
        <f>SUM($J282:AH282)</f>
        <v>239.15532060507661</v>
      </c>
      <c r="AI287" s="1287">
        <f>SUM($J282:AI282)</f>
        <v>239.15532060507661</v>
      </c>
      <c r="AJ287" s="1287">
        <f>SUM($J282:AJ282)</f>
        <v>239.15532060507661</v>
      </c>
      <c r="AK287" s="1287">
        <f>SUM($J282:AK282)</f>
        <v>239.15532060507661</v>
      </c>
      <c r="AL287" s="1287">
        <f>SUM($J282:AL282)</f>
        <v>239.15532060507661</v>
      </c>
      <c r="AM287" s="1287">
        <f>SUM($J282:AM282)</f>
        <v>239.15532060507661</v>
      </c>
      <c r="AN287" s="1287">
        <f>SUM($J282:AN282)</f>
        <v>239.15532060507661</v>
      </c>
      <c r="AO287" s="1287">
        <f>SUM($J282:AO282)</f>
        <v>239.15532060507661</v>
      </c>
      <c r="AP287" s="1287">
        <f>SUM($J282:AP282)</f>
        <v>239.15532060507661</v>
      </c>
      <c r="AQ287" s="1287">
        <f>SUM($J282:AQ282)</f>
        <v>239.15532060507661</v>
      </c>
      <c r="AR287" s="1287">
        <f>SUM($J282:AR282)</f>
        <v>239.15532060507661</v>
      </c>
      <c r="AS287" s="1287">
        <f>SUM($J282:AS282)</f>
        <v>239.15532060507661</v>
      </c>
      <c r="AT287" s="1287">
        <f>SUM($J282:AT282)</f>
        <v>239.15532060507661</v>
      </c>
      <c r="AU287" s="1287">
        <f>SUM($J282:AU282)</f>
        <v>239.15532060507661</v>
      </c>
      <c r="AV287" s="1287">
        <f>SUM($J282:AV282)</f>
        <v>239.15532060507661</v>
      </c>
      <c r="AW287" s="1287">
        <f>SUM($J282:AW282)</f>
        <v>239.15532060507661</v>
      </c>
      <c r="AX287" s="1287">
        <f>SUM($J282:AX282)</f>
        <v>239.15532060507661</v>
      </c>
      <c r="AY287" s="1287">
        <f>SUM($J282:AY282)</f>
        <v>239.15532060507661</v>
      </c>
      <c r="AZ287" s="1287">
        <f>SUM($J282:AZ282)</f>
        <v>239.15532060507661</v>
      </c>
      <c r="BA287" s="1287">
        <f>SUM($J282:BA282)</f>
        <v>239.15532060507661</v>
      </c>
      <c r="BB287" s="1287">
        <f>SUM($J282:BB282)</f>
        <v>239.15532060507661</v>
      </c>
      <c r="BC287" s="1287">
        <f>SUM($J282:BC282)</f>
        <v>239.15532060507661</v>
      </c>
      <c r="BD287" s="1287">
        <f>SUM($J282:BD282)</f>
        <v>239.15532060507661</v>
      </c>
      <c r="BE287" s="1287">
        <f>SUM($J282:BE282)</f>
        <v>239.15532060507661</v>
      </c>
    </row>
    <row r="288" spans="2:57" x14ac:dyDescent="0.25">
      <c r="B288" s="852"/>
      <c r="D288" s="1189"/>
      <c r="E288" s="1285" t="str">
        <f t="shared" si="124"/>
        <v>Electrification</v>
      </c>
      <c r="F288" s="1285" t="str">
        <f t="shared" si="124"/>
        <v>[MEUR]</v>
      </c>
      <c r="G288" s="1285"/>
      <c r="H288" s="1285"/>
      <c r="I288" s="2"/>
      <c r="J288" s="1287">
        <f>SUM($J283:J283)</f>
        <v>0</v>
      </c>
      <c r="K288" s="1287">
        <f>SUM($J283:K283)</f>
        <v>0</v>
      </c>
      <c r="L288" s="1287">
        <f>SUM($J283:L283)</f>
        <v>0</v>
      </c>
      <c r="M288" s="1287">
        <f>SUM($J283:M283)</f>
        <v>-48.226466393039289</v>
      </c>
      <c r="N288" s="1287">
        <f>SUM($J283:N283)</f>
        <v>4.6113912903464609</v>
      </c>
      <c r="O288" s="1287">
        <f>SUM($J283:O283)</f>
        <v>55.612507388309517</v>
      </c>
      <c r="P288" s="1287">
        <f>SUM($J283:P283)</f>
        <v>103.47522352781834</v>
      </c>
      <c r="Q288" s="1287">
        <f>SUM($J283:Q283)</f>
        <v>148.34630030259433</v>
      </c>
      <c r="R288" s="1287">
        <f>SUM($J283:R283)</f>
        <v>190.4108828153349</v>
      </c>
      <c r="S288" s="1287">
        <f>SUM($J283:S283)</f>
        <v>229.83482922549084</v>
      </c>
      <c r="T288" s="1287">
        <f>SUM($J283:T283)</f>
        <v>266.7606875421759</v>
      </c>
      <c r="U288" s="1287">
        <f>SUM($J283:U283)</f>
        <v>301.34786638433718</v>
      </c>
      <c r="V288" s="1287">
        <f>SUM($J283:V283)</f>
        <v>301.34786638433718</v>
      </c>
      <c r="W288" s="1287">
        <f>SUM($J283:W283)</f>
        <v>301.34786638433718</v>
      </c>
      <c r="X288" s="1287">
        <f>SUM($J283:X283)</f>
        <v>301.34786638433718</v>
      </c>
      <c r="Y288" s="1287">
        <f>SUM($J283:Y283)</f>
        <v>301.34786638433718</v>
      </c>
      <c r="Z288" s="1287">
        <f>SUM($J283:Z283)</f>
        <v>301.34786638433718</v>
      </c>
      <c r="AA288" s="1287">
        <f>SUM($J283:AA283)</f>
        <v>301.34786638433718</v>
      </c>
      <c r="AB288" s="1287">
        <f>SUM($J283:AB283)</f>
        <v>301.34786638433718</v>
      </c>
      <c r="AC288" s="1287">
        <f>SUM($J283:AC283)</f>
        <v>301.34786638433718</v>
      </c>
      <c r="AD288" s="1287">
        <f>SUM($J283:AD283)</f>
        <v>301.34786638433718</v>
      </c>
      <c r="AE288" s="1287">
        <f>SUM($J283:AE283)</f>
        <v>301.34786638433718</v>
      </c>
      <c r="AF288" s="1287">
        <f>SUM($J283:AF283)</f>
        <v>301.34786638433718</v>
      </c>
      <c r="AG288" s="1287">
        <f>SUM($J283:AG283)</f>
        <v>301.34786638433718</v>
      </c>
      <c r="AH288" s="1287">
        <f>SUM($J283:AH283)</f>
        <v>301.34786638433718</v>
      </c>
      <c r="AI288" s="1287">
        <f>SUM($J283:AI283)</f>
        <v>301.34786638433718</v>
      </c>
      <c r="AJ288" s="1287">
        <f>SUM($J283:AJ283)</f>
        <v>301.34786638433718</v>
      </c>
      <c r="AK288" s="1287">
        <f>SUM($J283:AK283)</f>
        <v>301.34786638433718</v>
      </c>
      <c r="AL288" s="1287">
        <f>SUM($J283:AL283)</f>
        <v>301.34786638433718</v>
      </c>
      <c r="AM288" s="1287">
        <f>SUM($J283:AM283)</f>
        <v>301.34786638433718</v>
      </c>
      <c r="AN288" s="1287">
        <f>SUM($J283:AN283)</f>
        <v>301.34786638433718</v>
      </c>
      <c r="AO288" s="1287">
        <f>SUM($J283:AO283)</f>
        <v>301.34786638433718</v>
      </c>
      <c r="AP288" s="1287">
        <f>SUM($J283:AP283)</f>
        <v>301.34786638433718</v>
      </c>
      <c r="AQ288" s="1287">
        <f>SUM($J283:AQ283)</f>
        <v>301.34786638433718</v>
      </c>
      <c r="AR288" s="1287">
        <f>SUM($J283:AR283)</f>
        <v>301.34786638433718</v>
      </c>
      <c r="AS288" s="1287">
        <f>SUM($J283:AS283)</f>
        <v>301.34786638433718</v>
      </c>
      <c r="AT288" s="1287">
        <f>SUM($J283:AT283)</f>
        <v>301.34786638433718</v>
      </c>
      <c r="AU288" s="1287">
        <f>SUM($J283:AU283)</f>
        <v>301.34786638433718</v>
      </c>
      <c r="AV288" s="1287">
        <f>SUM($J283:AV283)</f>
        <v>301.34786638433718</v>
      </c>
      <c r="AW288" s="1287">
        <f>SUM($J283:AW283)</f>
        <v>301.34786638433718</v>
      </c>
      <c r="AX288" s="1287">
        <f>SUM($J283:AX283)</f>
        <v>301.34786638433718</v>
      </c>
      <c r="AY288" s="1287">
        <f>SUM($J283:AY283)</f>
        <v>301.34786638433718</v>
      </c>
      <c r="AZ288" s="1287">
        <f>SUM($J283:AZ283)</f>
        <v>301.34786638433718</v>
      </c>
      <c r="BA288" s="1287">
        <f>SUM($J283:BA283)</f>
        <v>301.34786638433718</v>
      </c>
      <c r="BB288" s="1287">
        <f>SUM($J283:BB283)</f>
        <v>301.34786638433718</v>
      </c>
      <c r="BC288" s="1287">
        <f>SUM($J283:BC283)</f>
        <v>301.34786638433718</v>
      </c>
      <c r="BD288" s="1287">
        <f>SUM($J283:BD283)</f>
        <v>301.34786638433718</v>
      </c>
      <c r="BE288" s="1287">
        <f>SUM($J283:BE283)</f>
        <v>301.34786638433718</v>
      </c>
    </row>
    <row r="289" spans="2:57" x14ac:dyDescent="0.25">
      <c r="B289" s="852"/>
      <c r="D289" s="861"/>
      <c r="E289" s="1285" t="str">
        <f t="shared" si="124"/>
        <v>CCS</v>
      </c>
      <c r="F289" s="1285" t="str">
        <f t="shared" si="124"/>
        <v>[MEUR]</v>
      </c>
      <c r="G289" s="1285"/>
      <c r="H289" s="1285"/>
      <c r="I289" s="2"/>
      <c r="J289" s="1287">
        <f>SUM($J284:J284)</f>
        <v>0</v>
      </c>
      <c r="K289" s="1287">
        <f>SUM($J284:K284)</f>
        <v>0</v>
      </c>
      <c r="L289" s="1287">
        <f>SUM($J284:L284)</f>
        <v>0</v>
      </c>
      <c r="M289" s="1287">
        <f>SUM($J284:M284)</f>
        <v>0</v>
      </c>
      <c r="N289" s="1287">
        <f>SUM($J284:N284)</f>
        <v>0</v>
      </c>
      <c r="O289" s="1287">
        <f>SUM($J284:O284)</f>
        <v>0</v>
      </c>
      <c r="P289" s="1287">
        <f>SUM($J284:P284)</f>
        <v>0</v>
      </c>
      <c r="Q289" s="1287">
        <f>SUM($J284:Q284)</f>
        <v>0</v>
      </c>
      <c r="R289" s="1287">
        <f>SUM($J284:R284)</f>
        <v>0</v>
      </c>
      <c r="S289" s="1287">
        <f>SUM($J284:S284)</f>
        <v>0</v>
      </c>
      <c r="T289" s="1287">
        <f>SUM($J284:T284)</f>
        <v>0</v>
      </c>
      <c r="U289" s="1287">
        <f>SUM($J284:U284)</f>
        <v>0</v>
      </c>
      <c r="V289" s="1287">
        <f>SUM($J284:V284)</f>
        <v>0</v>
      </c>
      <c r="W289" s="1287">
        <f>SUM($J284:W284)</f>
        <v>-67.078912837034395</v>
      </c>
      <c r="X289" s="1287">
        <f>SUM($J284:X284)</f>
        <v>-67.078912837034395</v>
      </c>
      <c r="Y289" s="1287">
        <f>SUM($J284:Y284)</f>
        <v>-38.209824439657169</v>
      </c>
      <c r="Z289" s="1287">
        <f>SUM($J284:Z284)</f>
        <v>-11.440417083050793</v>
      </c>
      <c r="AA289" s="1287">
        <f>SUM($J284:AA284)</f>
        <v>13.382021379423122</v>
      </c>
      <c r="AB289" s="1287">
        <f>SUM($J284:AB284)</f>
        <v>36.399096169487748</v>
      </c>
      <c r="AC289" s="1287">
        <f>SUM($J284:AC284)</f>
        <v>57.742113402997774</v>
      </c>
      <c r="AD289" s="1287">
        <f>SUM($J284:AD284)</f>
        <v>77.532829155405452</v>
      </c>
      <c r="AE289" s="1287">
        <f>SUM($J284:AE284)</f>
        <v>95.884144046859163</v>
      </c>
      <c r="AF289" s="1287">
        <f>SUM($J284:AF284)</f>
        <v>112.9007473093527</v>
      </c>
      <c r="AG289" s="1287">
        <f>SUM($J284:AG284)</f>
        <v>128.67977942548308</v>
      </c>
      <c r="AH289" s="1287">
        <f>SUM($J284:AH284)</f>
        <v>143.31124556953122</v>
      </c>
      <c r="AI289" s="1287">
        <f>SUM($J284:AI284)</f>
        <v>156.87860508492133</v>
      </c>
      <c r="AJ289" s="1287">
        <f>SUM($J284:AJ284)</f>
        <v>169.4592475446467</v>
      </c>
      <c r="AK289" s="1287">
        <f>SUM($J284:AK284)</f>
        <v>181.1249341891193</v>
      </c>
      <c r="AL289" s="1287">
        <f>SUM($J284:AL284)</f>
        <v>191.94220725944845</v>
      </c>
      <c r="AM289" s="1287">
        <f>SUM($J284:AM284)</f>
        <v>201.97276956102638</v>
      </c>
      <c r="AN289" s="1287">
        <f>SUM($J284:AN284)</f>
        <v>200.63562776269595</v>
      </c>
      <c r="AO289" s="1287">
        <f>SUM($J284:AO284)</f>
        <v>200.55541363987163</v>
      </c>
      <c r="AP289" s="1287">
        <f>SUM($J284:AP284)</f>
        <v>200.48103327143454</v>
      </c>
      <c r="AQ289" s="1287">
        <f>SUM($J284:AQ284)</f>
        <v>200.41206238433833</v>
      </c>
      <c r="AR289" s="1287">
        <f>SUM($J284:AR284)</f>
        <v>200.34810756175821</v>
      </c>
      <c r="AS289" s="1287">
        <f>SUM($J284:AS284)</f>
        <v>200.28880399900211</v>
      </c>
      <c r="AT289" s="1287">
        <f>SUM($J284:AT284)</f>
        <v>200.23381342262826</v>
      </c>
      <c r="AU289" s="1287">
        <f>SUM($J284:AU284)</f>
        <v>200.18282216089978</v>
      </c>
      <c r="AV289" s="1287">
        <f>SUM($J284:AV284)</f>
        <v>200.13553935456974</v>
      </c>
      <c r="AW289" s="1287">
        <f>SUM($J284:AW284)</f>
        <v>200.09169529779098</v>
      </c>
      <c r="AX289" s="1287">
        <f>SUM($J284:AX284)</f>
        <v>200.09169529779098</v>
      </c>
      <c r="AY289" s="1287">
        <f>SUM($J284:AY284)</f>
        <v>200.09169529779098</v>
      </c>
      <c r="AZ289" s="1287">
        <f>SUM($J284:AZ284)</f>
        <v>200.09169529779098</v>
      </c>
      <c r="BA289" s="1287">
        <f>SUM($J284:BA284)</f>
        <v>200.09169529779098</v>
      </c>
      <c r="BB289" s="1287">
        <f>SUM($J284:BB284)</f>
        <v>200.09169529779098</v>
      </c>
      <c r="BC289" s="1287">
        <f>SUM($J284:BC284)</f>
        <v>200.09169529779098</v>
      </c>
      <c r="BD289" s="1287">
        <f>SUM($J284:BD284)</f>
        <v>200.09169529779098</v>
      </c>
      <c r="BE289" s="1287">
        <f>SUM($J284:BE284)</f>
        <v>200.09169529779098</v>
      </c>
    </row>
    <row r="290" spans="2:57" x14ac:dyDescent="0.25">
      <c r="B290" s="852"/>
      <c r="D290" s="996"/>
      <c r="E290" s="1285" t="str">
        <f t="shared" si="124"/>
        <v>Small H2</v>
      </c>
      <c r="F290" s="1285" t="str">
        <f t="shared" si="124"/>
        <v>[MEUR]</v>
      </c>
      <c r="G290" s="1285"/>
      <c r="H290" s="1285"/>
      <c r="I290" s="2"/>
      <c r="J290" s="1287">
        <f>SUM($J285:J285)</f>
        <v>0</v>
      </c>
      <c r="K290" s="1287">
        <f>SUM($J285:K285)</f>
        <v>0</v>
      </c>
      <c r="L290" s="1287">
        <f>SUM($J285:L285)</f>
        <v>0</v>
      </c>
      <c r="M290" s="1287">
        <f>SUM($J285:M285)</f>
        <v>0</v>
      </c>
      <c r="N290" s="1287">
        <f>SUM($J285:N285)</f>
        <v>0</v>
      </c>
      <c r="O290" s="1287">
        <f>SUM($J285:O285)</f>
        <v>0</v>
      </c>
      <c r="P290" s="1287">
        <f>SUM($J285:P285)</f>
        <v>0</v>
      </c>
      <c r="Q290" s="1287">
        <f>SUM($J285:Q285)</f>
        <v>-15.878511538359634</v>
      </c>
      <c r="R290" s="1287">
        <f>SUM($J285:R285)</f>
        <v>-16.415526795469187</v>
      </c>
      <c r="S290" s="1287">
        <f>SUM($J285:S285)</f>
        <v>-16.913489767625219</v>
      </c>
      <c r="T290" s="1287">
        <f>SUM($J285:T285)</f>
        <v>-17.375240375907328</v>
      </c>
      <c r="U290" s="1287">
        <f>SUM($J285:U285)</f>
        <v>-17.803412019505611</v>
      </c>
      <c r="V290" s="1287">
        <f>SUM($J285:V285)</f>
        <v>-17.803412019505611</v>
      </c>
      <c r="W290" s="1287">
        <f>SUM($J285:W285)</f>
        <v>-17.803412019505611</v>
      </c>
      <c r="X290" s="1287">
        <f>SUM($J285:X285)</f>
        <v>-17.803412019505611</v>
      </c>
      <c r="Y290" s="1287">
        <f>SUM($J285:Y285)</f>
        <v>-17.803412019505611</v>
      </c>
      <c r="Z290" s="1287">
        <f>SUM($J285:Z285)</f>
        <v>-17.803412019505611</v>
      </c>
      <c r="AA290" s="1287">
        <f>SUM($J285:AA285)</f>
        <v>-17.803412019505611</v>
      </c>
      <c r="AB290" s="1287">
        <f>SUM($J285:AB285)</f>
        <v>-17.803412019505611</v>
      </c>
      <c r="AC290" s="1287">
        <f>SUM($J285:AC285)</f>
        <v>-17.803412019505611</v>
      </c>
      <c r="AD290" s="1287">
        <f>SUM($J285:AD285)</f>
        <v>-17.803412019505611</v>
      </c>
      <c r="AE290" s="1287">
        <f>SUM($J285:AE285)</f>
        <v>-17.803412019505611</v>
      </c>
      <c r="AF290" s="1287">
        <f>SUM($J285:AF285)</f>
        <v>-17.803412019505611</v>
      </c>
      <c r="AG290" s="1287">
        <f>SUM($J285:AG285)</f>
        <v>-17.803412019505611</v>
      </c>
      <c r="AH290" s="1287">
        <f>SUM($J285:AH285)</f>
        <v>-17.803412019505611</v>
      </c>
      <c r="AI290" s="1287">
        <f>SUM($J285:AI285)</f>
        <v>-17.803412019505611</v>
      </c>
      <c r="AJ290" s="1287">
        <f>SUM($J285:AJ285)</f>
        <v>-17.803412019505611</v>
      </c>
      <c r="AK290" s="1287">
        <f>SUM($J285:AK285)</f>
        <v>-17.803412019505611</v>
      </c>
      <c r="AL290" s="1287">
        <f>SUM($J285:AL285)</f>
        <v>-17.803412019505611</v>
      </c>
      <c r="AM290" s="1287">
        <f>SUM($J285:AM285)</f>
        <v>-17.803412019505611</v>
      </c>
      <c r="AN290" s="1287">
        <f>SUM($J285:AN285)</f>
        <v>-17.803412019505611</v>
      </c>
      <c r="AO290" s="1287">
        <f>SUM($J285:AO285)</f>
        <v>-17.803412019505611</v>
      </c>
      <c r="AP290" s="1287">
        <f>SUM($J285:AP285)</f>
        <v>-17.803412019505611</v>
      </c>
      <c r="AQ290" s="1287">
        <f>SUM($J285:AQ285)</f>
        <v>-17.803412019505611</v>
      </c>
      <c r="AR290" s="1287">
        <f>SUM($J285:AR285)</f>
        <v>-17.803412019505611</v>
      </c>
      <c r="AS290" s="1287">
        <f>SUM($J285:AS285)</f>
        <v>-17.803412019505611</v>
      </c>
      <c r="AT290" s="1287">
        <f>SUM($J285:AT285)</f>
        <v>-17.803412019505611</v>
      </c>
      <c r="AU290" s="1287">
        <f>SUM($J285:AU285)</f>
        <v>-17.803412019505611</v>
      </c>
      <c r="AV290" s="1287">
        <f>SUM($J285:AV285)</f>
        <v>-17.803412019505611</v>
      </c>
      <c r="AW290" s="1287">
        <f>SUM($J285:AW285)</f>
        <v>-17.803412019505611</v>
      </c>
      <c r="AX290" s="1287">
        <f>SUM($J285:AX285)</f>
        <v>-17.803412019505611</v>
      </c>
      <c r="AY290" s="1287">
        <f>SUM($J285:AY285)</f>
        <v>-17.803412019505611</v>
      </c>
      <c r="AZ290" s="1287">
        <f>SUM($J285:AZ285)</f>
        <v>-17.803412019505611</v>
      </c>
      <c r="BA290" s="1287">
        <f>SUM($J285:BA285)</f>
        <v>-17.803412019505611</v>
      </c>
      <c r="BB290" s="1287">
        <f>SUM($J285:BB285)</f>
        <v>-17.803412019505611</v>
      </c>
      <c r="BC290" s="1287">
        <f>SUM($J285:BC285)</f>
        <v>-17.803412019505611</v>
      </c>
      <c r="BD290" s="1287">
        <f>SUM($J285:BD285)</f>
        <v>-17.803412019505611</v>
      </c>
      <c r="BE290" s="1287">
        <f>SUM($J285:BE285)</f>
        <v>-17.803412019505611</v>
      </c>
    </row>
    <row r="291" spans="2:57" x14ac:dyDescent="0.25">
      <c r="B291" s="852"/>
      <c r="D291" s="1288"/>
      <c r="E291" s="1285" t="str">
        <f t="shared" si="124"/>
        <v>Large H2</v>
      </c>
      <c r="F291" s="1285" t="str">
        <f t="shared" si="124"/>
        <v>[MEUR]</v>
      </c>
      <c r="G291" s="1285"/>
      <c r="H291" s="1285"/>
      <c r="I291" s="2"/>
      <c r="J291" s="1287">
        <f>SUM($J286:J286)</f>
        <v>0</v>
      </c>
      <c r="K291" s="1287">
        <f>SUM($J286:K286)</f>
        <v>0</v>
      </c>
      <c r="L291" s="1287">
        <f>SUM($J286:L286)</f>
        <v>0</v>
      </c>
      <c r="M291" s="1287">
        <f>SUM($J286:M286)</f>
        <v>0</v>
      </c>
      <c r="N291" s="1287">
        <f>SUM($J286:N286)</f>
        <v>0</v>
      </c>
      <c r="O291" s="1287">
        <f>SUM($J286:O286)</f>
        <v>0</v>
      </c>
      <c r="P291" s="1287">
        <f>SUM($J286:P286)</f>
        <v>0</v>
      </c>
      <c r="Q291" s="1287">
        <f>SUM($J286:Q286)</f>
        <v>0</v>
      </c>
      <c r="R291" s="1287">
        <f>SUM($J286:R286)</f>
        <v>0</v>
      </c>
      <c r="S291" s="1287">
        <f>SUM($J286:S286)</f>
        <v>0</v>
      </c>
      <c r="T291" s="1287">
        <f>SUM($J286:T286)</f>
        <v>0</v>
      </c>
      <c r="U291" s="1287">
        <f>SUM($J286:U286)</f>
        <v>0</v>
      </c>
      <c r="V291" s="1287">
        <f>SUM($J286:V286)</f>
        <v>-77.608549781786039</v>
      </c>
      <c r="W291" s="1287">
        <f>SUM($J286:W286)</f>
        <v>-80.978909362931304</v>
      </c>
      <c r="X291" s="1287">
        <f>SUM($J286:X286)</f>
        <v>-84.105613483167943</v>
      </c>
      <c r="Y291" s="1287">
        <f>SUM($J286:Y286)</f>
        <v>-87.006276241504708</v>
      </c>
      <c r="Z291" s="1287">
        <f>SUM($J286:Z286)</f>
        <v>-89.697238442342311</v>
      </c>
      <c r="AA291" s="1287">
        <f>SUM($J286:AA286)</f>
        <v>-92.193659636479509</v>
      </c>
      <c r="AB291" s="1287">
        <f>SUM($J286:AB286)</f>
        <v>-94.509603509117881</v>
      </c>
      <c r="AC291" s="1287">
        <f>SUM($J286:AC286)</f>
        <v>-96.658117095746121</v>
      </c>
      <c r="AD291" s="1287">
        <f>SUM($J286:AD286)</f>
        <v>-98.651304272027787</v>
      </c>
      <c r="AE291" s="1287">
        <f>SUM($J286:AE286)</f>
        <v>-100.50039393157161</v>
      </c>
      <c r="AF291" s="1287">
        <f>SUM($J286:AF286)</f>
        <v>-102.2158032355492</v>
      </c>
      <c r="AG291" s="1287">
        <f>SUM($J286:AG286)</f>
        <v>-105.94328363468269</v>
      </c>
      <c r="AH291" s="1287">
        <f>SUM($J286:AH286)</f>
        <v>-107.41825209737549</v>
      </c>
      <c r="AI291" s="1287">
        <f>SUM($J286:AI286)</f>
        <v>-108.7859501264179</v>
      </c>
      <c r="AJ291" s="1287">
        <f>SUM($J286:AJ286)</f>
        <v>-110.0541792078936</v>
      </c>
      <c r="AK291" s="1287">
        <f>SUM($J286:AK286)</f>
        <v>-111.23017344708015</v>
      </c>
      <c r="AL291" s="1287">
        <f>SUM($J286:AL286)</f>
        <v>-112.32064083250768</v>
      </c>
      <c r="AM291" s="1287">
        <f>SUM($J286:AM286)</f>
        <v>-113.33180149899502</v>
      </c>
      <c r="AN291" s="1287">
        <f>SUM($J286:AN286)</f>
        <v>-114.26942320791964</v>
      </c>
      <c r="AO291" s="1287">
        <f>SUM($J286:AO286)</f>
        <v>-115.13885424710431</v>
      </c>
      <c r="AP291" s="1287">
        <f>SUM($J286:AP286)</f>
        <v>-118.8748415208232</v>
      </c>
      <c r="AQ291" s="1287">
        <f>SUM($J286:AQ286)</f>
        <v>-118.8748415208232</v>
      </c>
      <c r="AR291" s="1287">
        <f>SUM($J286:AR286)</f>
        <v>-118.8748415208232</v>
      </c>
      <c r="AS291" s="1287">
        <f>SUM($J286:AS286)</f>
        <v>-118.8748415208232</v>
      </c>
      <c r="AT291" s="1287">
        <f>SUM($J286:AT286)</f>
        <v>-118.8748415208232</v>
      </c>
      <c r="AU291" s="1287">
        <f>SUM($J286:AU286)</f>
        <v>-118.8748415208232</v>
      </c>
      <c r="AV291" s="1287">
        <f>SUM($J286:AV286)</f>
        <v>-118.8748415208232</v>
      </c>
      <c r="AW291" s="1287">
        <f>SUM($J286:AW286)</f>
        <v>-118.8748415208232</v>
      </c>
      <c r="AX291" s="1287">
        <f>SUM($J286:AX286)</f>
        <v>-118.8748415208232</v>
      </c>
      <c r="AY291" s="1287">
        <f>SUM($J286:AY286)</f>
        <v>-118.8748415208232</v>
      </c>
      <c r="AZ291" s="1287">
        <f>SUM($J286:AZ286)</f>
        <v>-118.8748415208232</v>
      </c>
      <c r="BA291" s="1287">
        <f>SUM($J286:BA286)</f>
        <v>-118.8748415208232</v>
      </c>
      <c r="BB291" s="1287">
        <f>SUM($J286:BB286)</f>
        <v>-118.8748415208232</v>
      </c>
      <c r="BC291" s="1287">
        <f>SUM($J286:BC286)</f>
        <v>-118.8748415208232</v>
      </c>
      <c r="BD291" s="1287">
        <f>SUM($J286:BD286)</f>
        <v>-118.8748415208232</v>
      </c>
      <c r="BE291" s="1287">
        <f>SUM($J286:BE286)</f>
        <v>-118.8748415208232</v>
      </c>
    </row>
    <row r="292" spans="2:57" ht="15.75" thickBot="1" x14ac:dyDescent="0.3">
      <c r="B292" s="852"/>
      <c r="C292" s="1292" t="s">
        <v>1730</v>
      </c>
      <c r="D292" s="1217"/>
      <c r="E292" s="1289" t="str">
        <f>E282</f>
        <v>Business as usual</v>
      </c>
      <c r="F292" s="1289" t="str">
        <f>F282</f>
        <v>[MEUR]</v>
      </c>
      <c r="G292" s="1289"/>
      <c r="H292" s="1289"/>
      <c r="I292" s="1290"/>
      <c r="J292" s="1291">
        <f>-J287</f>
        <v>0</v>
      </c>
      <c r="K292" s="1291">
        <f t="shared" ref="K292:BE292" si="125">-K287</f>
        <v>0</v>
      </c>
      <c r="L292" s="1291">
        <f t="shared" si="125"/>
        <v>0</v>
      </c>
      <c r="M292" s="1291">
        <f t="shared" si="125"/>
        <v>0</v>
      </c>
      <c r="N292" s="1291">
        <f t="shared" si="125"/>
        <v>-38.812075367448237</v>
      </c>
      <c r="O292" s="1291">
        <f t="shared" si="125"/>
        <v>-76.534258375464844</v>
      </c>
      <c r="P292" s="1291">
        <f t="shared" si="125"/>
        <v>-111.95830851701639</v>
      </c>
      <c r="Q292" s="1291">
        <f t="shared" si="125"/>
        <v>-145.17900139705202</v>
      </c>
      <c r="R292" s="1291">
        <f t="shared" si="125"/>
        <v>-176.33261419448465</v>
      </c>
      <c r="S292" s="1291">
        <f t="shared" si="125"/>
        <v>-205.53907578062146</v>
      </c>
      <c r="T292" s="1291">
        <f t="shared" si="125"/>
        <v>-232.89777454913087</v>
      </c>
      <c r="U292" s="1291">
        <f t="shared" si="125"/>
        <v>-258.52756924650151</v>
      </c>
      <c r="V292" s="1291">
        <f t="shared" si="125"/>
        <v>-239.15532060507661</v>
      </c>
      <c r="W292" s="1291">
        <f t="shared" si="125"/>
        <v>-239.15532060507661</v>
      </c>
      <c r="X292" s="1291">
        <f t="shared" si="125"/>
        <v>-239.15532060507661</v>
      </c>
      <c r="Y292" s="1291">
        <f t="shared" si="125"/>
        <v>-239.15532060507661</v>
      </c>
      <c r="Z292" s="1291">
        <f t="shared" si="125"/>
        <v>-239.15532060507661</v>
      </c>
      <c r="AA292" s="1291">
        <f t="shared" si="125"/>
        <v>-239.15532060507661</v>
      </c>
      <c r="AB292" s="1291">
        <f t="shared" si="125"/>
        <v>-239.15532060507661</v>
      </c>
      <c r="AC292" s="1291">
        <f t="shared" si="125"/>
        <v>-239.15532060507661</v>
      </c>
      <c r="AD292" s="1291">
        <f t="shared" si="125"/>
        <v>-239.15532060507661</v>
      </c>
      <c r="AE292" s="1291">
        <f t="shared" si="125"/>
        <v>-239.15532060507661</v>
      </c>
      <c r="AF292" s="1291">
        <f t="shared" si="125"/>
        <v>-239.15532060507661</v>
      </c>
      <c r="AG292" s="1291">
        <f t="shared" si="125"/>
        <v>-239.15532060507661</v>
      </c>
      <c r="AH292" s="1291">
        <f t="shared" si="125"/>
        <v>-239.15532060507661</v>
      </c>
      <c r="AI292" s="1291">
        <f t="shared" si="125"/>
        <v>-239.15532060507661</v>
      </c>
      <c r="AJ292" s="1291">
        <f t="shared" si="125"/>
        <v>-239.15532060507661</v>
      </c>
      <c r="AK292" s="1291">
        <f t="shared" si="125"/>
        <v>-239.15532060507661</v>
      </c>
      <c r="AL292" s="1291">
        <f t="shared" si="125"/>
        <v>-239.15532060507661</v>
      </c>
      <c r="AM292" s="1291">
        <f t="shared" si="125"/>
        <v>-239.15532060507661</v>
      </c>
      <c r="AN292" s="1291">
        <f t="shared" si="125"/>
        <v>-239.15532060507661</v>
      </c>
      <c r="AO292" s="1291">
        <f t="shared" si="125"/>
        <v>-239.15532060507661</v>
      </c>
      <c r="AP292" s="1291">
        <f t="shared" si="125"/>
        <v>-239.15532060507661</v>
      </c>
      <c r="AQ292" s="1291">
        <f t="shared" si="125"/>
        <v>-239.15532060507661</v>
      </c>
      <c r="AR292" s="1291">
        <f t="shared" si="125"/>
        <v>-239.15532060507661</v>
      </c>
      <c r="AS292" s="1291">
        <f t="shared" si="125"/>
        <v>-239.15532060507661</v>
      </c>
      <c r="AT292" s="1291">
        <f t="shared" si="125"/>
        <v>-239.15532060507661</v>
      </c>
      <c r="AU292" s="1291">
        <f t="shared" si="125"/>
        <v>-239.15532060507661</v>
      </c>
      <c r="AV292" s="1291">
        <f t="shared" si="125"/>
        <v>-239.15532060507661</v>
      </c>
      <c r="AW292" s="1291">
        <f t="shared" si="125"/>
        <v>-239.15532060507661</v>
      </c>
      <c r="AX292" s="1291">
        <f t="shared" si="125"/>
        <v>-239.15532060507661</v>
      </c>
      <c r="AY292" s="1291">
        <f t="shared" si="125"/>
        <v>-239.15532060507661</v>
      </c>
      <c r="AZ292" s="1291">
        <f t="shared" si="125"/>
        <v>-239.15532060507661</v>
      </c>
      <c r="BA292" s="1291">
        <f t="shared" si="125"/>
        <v>-239.15532060507661</v>
      </c>
      <c r="BB292" s="1291">
        <f t="shared" si="125"/>
        <v>-239.15532060507661</v>
      </c>
      <c r="BC292" s="1291">
        <f t="shared" si="125"/>
        <v>-239.15532060507661</v>
      </c>
      <c r="BD292" s="1291">
        <f t="shared" si="125"/>
        <v>-239.15532060507661</v>
      </c>
      <c r="BE292" s="1291">
        <f t="shared" si="125"/>
        <v>-239.15532060507661</v>
      </c>
    </row>
    <row r="293" spans="2:57" ht="15.75" thickTop="1" x14ac:dyDescent="0.25">
      <c r="B293" s="852"/>
      <c r="D293" s="1189"/>
      <c r="E293" s="853" t="str">
        <f>"+"&amp;E269</f>
        <v>+Electrification</v>
      </c>
      <c r="F293" s="1282" t="str">
        <f>F269</f>
        <v>[MEUR]</v>
      </c>
      <c r="G293" s="853"/>
      <c r="H293" s="853"/>
      <c r="J293" s="882">
        <f>J292+J288</f>
        <v>0</v>
      </c>
      <c r="K293" s="882">
        <f t="shared" ref="K293:BE293" si="126">K292+K288</f>
        <v>0</v>
      </c>
      <c r="L293" s="882">
        <f t="shared" si="126"/>
        <v>0</v>
      </c>
      <c r="M293" s="882">
        <f t="shared" si="126"/>
        <v>-48.226466393039289</v>
      </c>
      <c r="N293" s="882">
        <f t="shared" si="126"/>
        <v>-34.200684077101776</v>
      </c>
      <c r="O293" s="882">
        <f t="shared" si="126"/>
        <v>-20.921750987155328</v>
      </c>
      <c r="P293" s="882">
        <f t="shared" si="126"/>
        <v>-8.4830849891980478</v>
      </c>
      <c r="Q293" s="882">
        <f t="shared" si="126"/>
        <v>3.1672989055423102</v>
      </c>
      <c r="R293" s="882">
        <f t="shared" si="126"/>
        <v>14.078268620850253</v>
      </c>
      <c r="S293" s="882">
        <f t="shared" si="126"/>
        <v>24.295753444869376</v>
      </c>
      <c r="T293" s="882">
        <f t="shared" si="126"/>
        <v>33.862912993045029</v>
      </c>
      <c r="U293" s="882">
        <f t="shared" si="126"/>
        <v>42.820297137835666</v>
      </c>
      <c r="V293" s="882">
        <f t="shared" si="126"/>
        <v>62.19254577926057</v>
      </c>
      <c r="W293" s="882">
        <f t="shared" si="126"/>
        <v>62.19254577926057</v>
      </c>
      <c r="X293" s="882">
        <f t="shared" si="126"/>
        <v>62.19254577926057</v>
      </c>
      <c r="Y293" s="882">
        <f t="shared" si="126"/>
        <v>62.19254577926057</v>
      </c>
      <c r="Z293" s="882">
        <f t="shared" si="126"/>
        <v>62.19254577926057</v>
      </c>
      <c r="AA293" s="882">
        <f t="shared" si="126"/>
        <v>62.19254577926057</v>
      </c>
      <c r="AB293" s="882">
        <f t="shared" si="126"/>
        <v>62.19254577926057</v>
      </c>
      <c r="AC293" s="882">
        <f t="shared" si="126"/>
        <v>62.19254577926057</v>
      </c>
      <c r="AD293" s="882">
        <f t="shared" si="126"/>
        <v>62.19254577926057</v>
      </c>
      <c r="AE293" s="882">
        <f t="shared" si="126"/>
        <v>62.19254577926057</v>
      </c>
      <c r="AF293" s="882">
        <f t="shared" si="126"/>
        <v>62.19254577926057</v>
      </c>
      <c r="AG293" s="882">
        <f t="shared" si="126"/>
        <v>62.19254577926057</v>
      </c>
      <c r="AH293" s="882">
        <f t="shared" si="126"/>
        <v>62.19254577926057</v>
      </c>
      <c r="AI293" s="882">
        <f t="shared" si="126"/>
        <v>62.19254577926057</v>
      </c>
      <c r="AJ293" s="882">
        <f t="shared" si="126"/>
        <v>62.19254577926057</v>
      </c>
      <c r="AK293" s="882">
        <f t="shared" si="126"/>
        <v>62.19254577926057</v>
      </c>
      <c r="AL293" s="882">
        <f t="shared" si="126"/>
        <v>62.19254577926057</v>
      </c>
      <c r="AM293" s="882">
        <f t="shared" si="126"/>
        <v>62.19254577926057</v>
      </c>
      <c r="AN293" s="882">
        <f t="shared" si="126"/>
        <v>62.19254577926057</v>
      </c>
      <c r="AO293" s="882">
        <f t="shared" si="126"/>
        <v>62.19254577926057</v>
      </c>
      <c r="AP293" s="882">
        <f t="shared" si="126"/>
        <v>62.19254577926057</v>
      </c>
      <c r="AQ293" s="882">
        <f t="shared" si="126"/>
        <v>62.19254577926057</v>
      </c>
      <c r="AR293" s="882">
        <f t="shared" si="126"/>
        <v>62.19254577926057</v>
      </c>
      <c r="AS293" s="882">
        <f t="shared" si="126"/>
        <v>62.19254577926057</v>
      </c>
      <c r="AT293" s="882">
        <f t="shared" si="126"/>
        <v>62.19254577926057</v>
      </c>
      <c r="AU293" s="882">
        <f t="shared" si="126"/>
        <v>62.19254577926057</v>
      </c>
      <c r="AV293" s="882">
        <f t="shared" si="126"/>
        <v>62.19254577926057</v>
      </c>
      <c r="AW293" s="882">
        <f t="shared" si="126"/>
        <v>62.19254577926057</v>
      </c>
      <c r="AX293" s="882">
        <f t="shared" si="126"/>
        <v>62.19254577926057</v>
      </c>
      <c r="AY293" s="882">
        <f t="shared" si="126"/>
        <v>62.19254577926057</v>
      </c>
      <c r="AZ293" s="882">
        <f t="shared" si="126"/>
        <v>62.19254577926057</v>
      </c>
      <c r="BA293" s="882">
        <f t="shared" si="126"/>
        <v>62.19254577926057</v>
      </c>
      <c r="BB293" s="882">
        <f t="shared" si="126"/>
        <v>62.19254577926057</v>
      </c>
      <c r="BC293" s="882">
        <f t="shared" si="126"/>
        <v>62.19254577926057</v>
      </c>
      <c r="BD293" s="882">
        <f t="shared" si="126"/>
        <v>62.19254577926057</v>
      </c>
      <c r="BE293" s="882">
        <f t="shared" si="126"/>
        <v>62.19254577926057</v>
      </c>
    </row>
    <row r="294" spans="2:57" x14ac:dyDescent="0.25">
      <c r="B294" s="852"/>
      <c r="D294" s="861"/>
      <c r="E294" s="1283" t="str">
        <f>"+"&amp;E270</f>
        <v>+CCS</v>
      </c>
      <c r="F294" s="1" t="str">
        <f>F270</f>
        <v>[MEUR]</v>
      </c>
      <c r="G294" s="853"/>
      <c r="H294" s="853"/>
      <c r="J294" s="882">
        <f>J293+J289</f>
        <v>0</v>
      </c>
      <c r="K294" s="882">
        <f t="shared" ref="K294:BE294" si="127">K293+K289</f>
        <v>0</v>
      </c>
      <c r="L294" s="882">
        <f t="shared" si="127"/>
        <v>0</v>
      </c>
      <c r="M294" s="882">
        <f t="shared" si="127"/>
        <v>-48.226466393039289</v>
      </c>
      <c r="N294" s="882">
        <f t="shared" si="127"/>
        <v>-34.200684077101776</v>
      </c>
      <c r="O294" s="882">
        <f t="shared" si="127"/>
        <v>-20.921750987155328</v>
      </c>
      <c r="P294" s="882">
        <f t="shared" si="127"/>
        <v>-8.4830849891980478</v>
      </c>
      <c r="Q294" s="882">
        <f t="shared" si="127"/>
        <v>3.1672989055423102</v>
      </c>
      <c r="R294" s="882">
        <f t="shared" si="127"/>
        <v>14.078268620850253</v>
      </c>
      <c r="S294" s="882">
        <f t="shared" si="127"/>
        <v>24.295753444869376</v>
      </c>
      <c r="T294" s="882">
        <f t="shared" si="127"/>
        <v>33.862912993045029</v>
      </c>
      <c r="U294" s="882">
        <f t="shared" si="127"/>
        <v>42.820297137835666</v>
      </c>
      <c r="V294" s="882">
        <f t="shared" si="127"/>
        <v>62.19254577926057</v>
      </c>
      <c r="W294" s="882">
        <f t="shared" si="127"/>
        <v>-4.8863670577738247</v>
      </c>
      <c r="X294" s="882">
        <f t="shared" si="127"/>
        <v>-4.8863670577738247</v>
      </c>
      <c r="Y294" s="882">
        <f t="shared" si="127"/>
        <v>23.982721339603401</v>
      </c>
      <c r="Z294" s="882">
        <f t="shared" si="127"/>
        <v>50.75212869620978</v>
      </c>
      <c r="AA294" s="882">
        <f t="shared" si="127"/>
        <v>75.574567158683692</v>
      </c>
      <c r="AB294" s="882">
        <f t="shared" si="127"/>
        <v>98.591641948748318</v>
      </c>
      <c r="AC294" s="882">
        <f t="shared" si="127"/>
        <v>119.93465918225834</v>
      </c>
      <c r="AD294" s="882">
        <f t="shared" si="127"/>
        <v>139.72537493466604</v>
      </c>
      <c r="AE294" s="882">
        <f t="shared" si="127"/>
        <v>158.07668982611972</v>
      </c>
      <c r="AF294" s="882">
        <f t="shared" si="127"/>
        <v>175.09329308861328</v>
      </c>
      <c r="AG294" s="882">
        <f t="shared" si="127"/>
        <v>190.87232520474365</v>
      </c>
      <c r="AH294" s="882">
        <f t="shared" si="127"/>
        <v>205.50379134879179</v>
      </c>
      <c r="AI294" s="882">
        <f t="shared" si="127"/>
        <v>219.0711508641819</v>
      </c>
      <c r="AJ294" s="882">
        <f t="shared" si="127"/>
        <v>231.65179332390727</v>
      </c>
      <c r="AK294" s="882">
        <f t="shared" si="127"/>
        <v>243.31747996837987</v>
      </c>
      <c r="AL294" s="882">
        <f t="shared" si="127"/>
        <v>254.13475303870902</v>
      </c>
      <c r="AM294" s="882">
        <f t="shared" si="127"/>
        <v>264.16531534028695</v>
      </c>
      <c r="AN294" s="882">
        <f t="shared" si="127"/>
        <v>262.82817354195652</v>
      </c>
      <c r="AO294" s="882">
        <f t="shared" si="127"/>
        <v>262.7479594191322</v>
      </c>
      <c r="AP294" s="882">
        <f t="shared" si="127"/>
        <v>262.67357905069514</v>
      </c>
      <c r="AQ294" s="882">
        <f t="shared" si="127"/>
        <v>262.60460816359887</v>
      </c>
      <c r="AR294" s="882">
        <f t="shared" si="127"/>
        <v>262.54065334101881</v>
      </c>
      <c r="AS294" s="882">
        <f t="shared" si="127"/>
        <v>262.48134977826271</v>
      </c>
      <c r="AT294" s="882">
        <f t="shared" si="127"/>
        <v>262.42635920188883</v>
      </c>
      <c r="AU294" s="882">
        <f t="shared" si="127"/>
        <v>262.37536794016034</v>
      </c>
      <c r="AV294" s="882">
        <f t="shared" si="127"/>
        <v>262.32808513383031</v>
      </c>
      <c r="AW294" s="882">
        <f t="shared" si="127"/>
        <v>262.28424107705155</v>
      </c>
      <c r="AX294" s="882">
        <f t="shared" si="127"/>
        <v>262.28424107705155</v>
      </c>
      <c r="AY294" s="882">
        <f t="shared" si="127"/>
        <v>262.28424107705155</v>
      </c>
      <c r="AZ294" s="882">
        <f t="shared" si="127"/>
        <v>262.28424107705155</v>
      </c>
      <c r="BA294" s="882">
        <f t="shared" si="127"/>
        <v>262.28424107705155</v>
      </c>
      <c r="BB294" s="882">
        <f t="shared" si="127"/>
        <v>262.28424107705155</v>
      </c>
      <c r="BC294" s="882">
        <f t="shared" si="127"/>
        <v>262.28424107705155</v>
      </c>
      <c r="BD294" s="882">
        <f t="shared" si="127"/>
        <v>262.28424107705155</v>
      </c>
      <c r="BE294" s="882">
        <f t="shared" si="127"/>
        <v>262.28424107705155</v>
      </c>
    </row>
    <row r="295" spans="2:57" x14ac:dyDescent="0.25">
      <c r="B295" s="852"/>
      <c r="D295" s="996"/>
      <c r="E295" s="1283" t="str">
        <f>"+"&amp;E271</f>
        <v>+Small H2</v>
      </c>
      <c r="F295" s="1" t="str">
        <f>F271</f>
        <v>[MEUR]</v>
      </c>
      <c r="G295" s="853"/>
      <c r="H295" s="853"/>
      <c r="J295" s="882">
        <f>J294+J290</f>
        <v>0</v>
      </c>
      <c r="K295" s="882">
        <f t="shared" ref="K295:BE295" si="128">K294+K290</f>
        <v>0</v>
      </c>
      <c r="L295" s="882">
        <f t="shared" si="128"/>
        <v>0</v>
      </c>
      <c r="M295" s="882">
        <f t="shared" si="128"/>
        <v>-48.226466393039289</v>
      </c>
      <c r="N295" s="882">
        <f t="shared" si="128"/>
        <v>-34.200684077101776</v>
      </c>
      <c r="O295" s="882">
        <f t="shared" si="128"/>
        <v>-20.921750987155328</v>
      </c>
      <c r="P295" s="882">
        <f t="shared" si="128"/>
        <v>-8.4830849891980478</v>
      </c>
      <c r="Q295" s="882">
        <f t="shared" si="128"/>
        <v>-12.711212632817324</v>
      </c>
      <c r="R295" s="882">
        <f t="shared" si="128"/>
        <v>-2.3372581746189347</v>
      </c>
      <c r="S295" s="882">
        <f t="shared" si="128"/>
        <v>7.3822636772441577</v>
      </c>
      <c r="T295" s="882">
        <f t="shared" si="128"/>
        <v>16.487672617137701</v>
      </c>
      <c r="U295" s="882">
        <f t="shared" si="128"/>
        <v>25.016885118330055</v>
      </c>
      <c r="V295" s="882">
        <f t="shared" si="128"/>
        <v>44.389133759754955</v>
      </c>
      <c r="W295" s="882">
        <f t="shared" si="128"/>
        <v>-22.689779077279436</v>
      </c>
      <c r="X295" s="882">
        <f t="shared" si="128"/>
        <v>-22.689779077279436</v>
      </c>
      <c r="Y295" s="882">
        <f t="shared" si="128"/>
        <v>6.17930932009779</v>
      </c>
      <c r="Z295" s="882">
        <f t="shared" si="128"/>
        <v>32.948716676704166</v>
      </c>
      <c r="AA295" s="882">
        <f t="shared" si="128"/>
        <v>57.771155139178077</v>
      </c>
      <c r="AB295" s="882">
        <f t="shared" si="128"/>
        <v>80.788229929242704</v>
      </c>
      <c r="AC295" s="882">
        <f t="shared" si="128"/>
        <v>102.13124716275273</v>
      </c>
      <c r="AD295" s="882">
        <f t="shared" si="128"/>
        <v>121.92196291516042</v>
      </c>
      <c r="AE295" s="882">
        <f t="shared" si="128"/>
        <v>140.27327780661412</v>
      </c>
      <c r="AF295" s="882">
        <f t="shared" si="128"/>
        <v>157.28988106910768</v>
      </c>
      <c r="AG295" s="882">
        <f t="shared" si="128"/>
        <v>173.06891318523805</v>
      </c>
      <c r="AH295" s="882">
        <f t="shared" si="128"/>
        <v>187.70037932928619</v>
      </c>
      <c r="AI295" s="882">
        <f t="shared" si="128"/>
        <v>201.2677388446763</v>
      </c>
      <c r="AJ295" s="882">
        <f t="shared" si="128"/>
        <v>213.84838130440167</v>
      </c>
      <c r="AK295" s="882">
        <f t="shared" si="128"/>
        <v>225.51406794887427</v>
      </c>
      <c r="AL295" s="882">
        <f t="shared" si="128"/>
        <v>236.33134101920342</v>
      </c>
      <c r="AM295" s="882">
        <f t="shared" si="128"/>
        <v>246.36190332078135</v>
      </c>
      <c r="AN295" s="882">
        <f t="shared" si="128"/>
        <v>245.02476152245092</v>
      </c>
      <c r="AO295" s="882">
        <f t="shared" si="128"/>
        <v>244.9445473996266</v>
      </c>
      <c r="AP295" s="882">
        <f t="shared" si="128"/>
        <v>244.87016703118954</v>
      </c>
      <c r="AQ295" s="882">
        <f t="shared" si="128"/>
        <v>244.80119614409327</v>
      </c>
      <c r="AR295" s="882">
        <f t="shared" si="128"/>
        <v>244.73724132151321</v>
      </c>
      <c r="AS295" s="882">
        <f t="shared" si="128"/>
        <v>244.67793775875711</v>
      </c>
      <c r="AT295" s="882">
        <f t="shared" si="128"/>
        <v>244.62294718238323</v>
      </c>
      <c r="AU295" s="882">
        <f t="shared" si="128"/>
        <v>244.57195592065474</v>
      </c>
      <c r="AV295" s="882">
        <f t="shared" si="128"/>
        <v>244.52467311432471</v>
      </c>
      <c r="AW295" s="882">
        <f t="shared" si="128"/>
        <v>244.48082905754595</v>
      </c>
      <c r="AX295" s="882">
        <f t="shared" si="128"/>
        <v>244.48082905754595</v>
      </c>
      <c r="AY295" s="882">
        <f t="shared" si="128"/>
        <v>244.48082905754595</v>
      </c>
      <c r="AZ295" s="882">
        <f t="shared" si="128"/>
        <v>244.48082905754595</v>
      </c>
      <c r="BA295" s="882">
        <f t="shared" si="128"/>
        <v>244.48082905754595</v>
      </c>
      <c r="BB295" s="882">
        <f t="shared" si="128"/>
        <v>244.48082905754595</v>
      </c>
      <c r="BC295" s="882">
        <f t="shared" si="128"/>
        <v>244.48082905754595</v>
      </c>
      <c r="BD295" s="882">
        <f t="shared" si="128"/>
        <v>244.48082905754595</v>
      </c>
      <c r="BE295" s="882">
        <f t="shared" si="128"/>
        <v>244.48082905754595</v>
      </c>
    </row>
    <row r="296" spans="2:57" x14ac:dyDescent="0.25">
      <c r="B296" s="852"/>
      <c r="D296" s="316"/>
      <c r="E296" s="1284" t="str">
        <f>"+"&amp;E272&amp;" = Total Delta NPV"</f>
        <v>+Large H2 = Total Delta NPV</v>
      </c>
      <c r="F296" s="1279" t="str">
        <f>F272</f>
        <v>[MEUR]</v>
      </c>
      <c r="G296" s="1280"/>
      <c r="H296" s="1280"/>
      <c r="I296" s="1279"/>
      <c r="J296" s="882">
        <f>J295+J291</f>
        <v>0</v>
      </c>
      <c r="K296" s="882">
        <f t="shared" ref="K296:BE296" si="129">K295+K291</f>
        <v>0</v>
      </c>
      <c r="L296" s="882">
        <f t="shared" si="129"/>
        <v>0</v>
      </c>
      <c r="M296" s="882">
        <f t="shared" si="129"/>
        <v>-48.226466393039289</v>
      </c>
      <c r="N296" s="882">
        <f t="shared" si="129"/>
        <v>-34.200684077101776</v>
      </c>
      <c r="O296" s="882">
        <f t="shared" si="129"/>
        <v>-20.921750987155328</v>
      </c>
      <c r="P296" s="882">
        <f t="shared" si="129"/>
        <v>-8.4830849891980478</v>
      </c>
      <c r="Q296" s="882">
        <f t="shared" si="129"/>
        <v>-12.711212632817324</v>
      </c>
      <c r="R296" s="882">
        <f t="shared" si="129"/>
        <v>-2.3372581746189347</v>
      </c>
      <c r="S296" s="882">
        <f t="shared" si="129"/>
        <v>7.3822636772441577</v>
      </c>
      <c r="T296" s="882">
        <f t="shared" si="129"/>
        <v>16.487672617137701</v>
      </c>
      <c r="U296" s="882">
        <f t="shared" si="129"/>
        <v>25.016885118330055</v>
      </c>
      <c r="V296" s="882">
        <f t="shared" si="129"/>
        <v>-33.219416022031083</v>
      </c>
      <c r="W296" s="882">
        <f t="shared" si="129"/>
        <v>-103.66868844021074</v>
      </c>
      <c r="X296" s="882">
        <f t="shared" si="129"/>
        <v>-106.79539256044738</v>
      </c>
      <c r="Y296" s="882">
        <f t="shared" si="129"/>
        <v>-80.826966921406921</v>
      </c>
      <c r="Z296" s="882">
        <f t="shared" si="129"/>
        <v>-56.748521765638145</v>
      </c>
      <c r="AA296" s="882">
        <f t="shared" si="129"/>
        <v>-34.422504497301432</v>
      </c>
      <c r="AB296" s="882">
        <f t="shared" si="129"/>
        <v>-13.721373579875177</v>
      </c>
      <c r="AC296" s="882">
        <f t="shared" si="129"/>
        <v>5.4731300670066076</v>
      </c>
      <c r="AD296" s="882">
        <f t="shared" si="129"/>
        <v>23.270658643132634</v>
      </c>
      <c r="AE296" s="882">
        <f t="shared" si="129"/>
        <v>39.77288387504251</v>
      </c>
      <c r="AF296" s="882">
        <f t="shared" si="129"/>
        <v>55.074077833558476</v>
      </c>
      <c r="AG296" s="882">
        <f t="shared" si="129"/>
        <v>67.12562955055536</v>
      </c>
      <c r="AH296" s="882">
        <f t="shared" si="129"/>
        <v>80.282127231910707</v>
      </c>
      <c r="AI296" s="882">
        <f t="shared" si="129"/>
        <v>92.4817887182584</v>
      </c>
      <c r="AJ296" s="882">
        <f t="shared" si="129"/>
        <v>103.79420209650807</v>
      </c>
      <c r="AK296" s="882">
        <f t="shared" si="129"/>
        <v>114.28389450179412</v>
      </c>
      <c r="AL296" s="882">
        <f t="shared" si="129"/>
        <v>124.01070018669574</v>
      </c>
      <c r="AM296" s="882">
        <f t="shared" si="129"/>
        <v>133.03010182178633</v>
      </c>
      <c r="AN296" s="882">
        <f t="shared" si="129"/>
        <v>130.75533831453129</v>
      </c>
      <c r="AO296" s="882">
        <f t="shared" si="129"/>
        <v>129.80569315252228</v>
      </c>
      <c r="AP296" s="882">
        <f t="shared" si="129"/>
        <v>125.99532551036634</v>
      </c>
      <c r="AQ296" s="882">
        <f t="shared" si="129"/>
        <v>125.92635462327007</v>
      </c>
      <c r="AR296" s="882">
        <f t="shared" si="129"/>
        <v>125.86239980069001</v>
      </c>
      <c r="AS296" s="882">
        <f t="shared" si="129"/>
        <v>125.80309623793391</v>
      </c>
      <c r="AT296" s="882">
        <f t="shared" si="129"/>
        <v>125.74810566156003</v>
      </c>
      <c r="AU296" s="882">
        <f t="shared" si="129"/>
        <v>125.69711439983155</v>
      </c>
      <c r="AV296" s="882">
        <f t="shared" si="129"/>
        <v>125.64983159350152</v>
      </c>
      <c r="AW296" s="882">
        <f t="shared" si="129"/>
        <v>125.60598753672275</v>
      </c>
      <c r="AX296" s="882">
        <f t="shared" si="129"/>
        <v>125.60598753672275</v>
      </c>
      <c r="AY296" s="882">
        <f t="shared" si="129"/>
        <v>125.60598753672275</v>
      </c>
      <c r="AZ296" s="882">
        <f t="shared" si="129"/>
        <v>125.60598753672275</v>
      </c>
      <c r="BA296" s="882">
        <f t="shared" si="129"/>
        <v>125.60598753672275</v>
      </c>
      <c r="BB296" s="882">
        <f t="shared" si="129"/>
        <v>125.60598753672275</v>
      </c>
      <c r="BC296" s="882">
        <f t="shared" si="129"/>
        <v>125.60598753672275</v>
      </c>
      <c r="BD296" s="882">
        <f t="shared" si="129"/>
        <v>125.60598753672275</v>
      </c>
      <c r="BE296" s="882">
        <f t="shared" si="129"/>
        <v>125.60598753672275</v>
      </c>
    </row>
    <row r="297" spans="2:57" x14ac:dyDescent="0.25">
      <c r="B297" s="852"/>
      <c r="E297" s="1107" t="s">
        <v>1654</v>
      </c>
      <c r="F297" s="757" t="s">
        <v>1653</v>
      </c>
      <c r="G297" s="853"/>
      <c r="H297" s="853"/>
      <c r="J297" s="882">
        <f>J296</f>
        <v>0</v>
      </c>
      <c r="K297" s="882">
        <f t="shared" ref="K297:BE297" si="130">K296</f>
        <v>0</v>
      </c>
      <c r="L297" s="882">
        <f t="shared" si="130"/>
        <v>0</v>
      </c>
      <c r="M297" s="882">
        <f t="shared" si="130"/>
        <v>-48.226466393039289</v>
      </c>
      <c r="N297" s="882">
        <f t="shared" si="130"/>
        <v>-34.200684077101776</v>
      </c>
      <c r="O297" s="882">
        <f t="shared" si="130"/>
        <v>-20.921750987155328</v>
      </c>
      <c r="P297" s="882">
        <f t="shared" si="130"/>
        <v>-8.4830849891980478</v>
      </c>
      <c r="Q297" s="882">
        <f t="shared" si="130"/>
        <v>-12.711212632817324</v>
      </c>
      <c r="R297" s="882">
        <f t="shared" si="130"/>
        <v>-2.3372581746189347</v>
      </c>
      <c r="S297" s="882">
        <f t="shared" si="130"/>
        <v>7.3822636772441577</v>
      </c>
      <c r="T297" s="882">
        <f t="shared" si="130"/>
        <v>16.487672617137701</v>
      </c>
      <c r="U297" s="882">
        <f t="shared" si="130"/>
        <v>25.016885118330055</v>
      </c>
      <c r="V297" s="882">
        <f t="shared" si="130"/>
        <v>-33.219416022031083</v>
      </c>
      <c r="W297" s="882">
        <f t="shared" si="130"/>
        <v>-103.66868844021074</v>
      </c>
      <c r="X297" s="882">
        <f t="shared" si="130"/>
        <v>-106.79539256044738</v>
      </c>
      <c r="Y297" s="882">
        <f t="shared" si="130"/>
        <v>-80.826966921406921</v>
      </c>
      <c r="Z297" s="882">
        <f t="shared" si="130"/>
        <v>-56.748521765638145</v>
      </c>
      <c r="AA297" s="882">
        <f t="shared" si="130"/>
        <v>-34.422504497301432</v>
      </c>
      <c r="AB297" s="882">
        <f t="shared" si="130"/>
        <v>-13.721373579875177</v>
      </c>
      <c r="AC297" s="882">
        <f t="shared" si="130"/>
        <v>5.4731300670066076</v>
      </c>
      <c r="AD297" s="882">
        <f t="shared" si="130"/>
        <v>23.270658643132634</v>
      </c>
      <c r="AE297" s="882">
        <f t="shared" si="130"/>
        <v>39.77288387504251</v>
      </c>
      <c r="AF297" s="882">
        <f t="shared" si="130"/>
        <v>55.074077833558476</v>
      </c>
      <c r="AG297" s="882">
        <f t="shared" si="130"/>
        <v>67.12562955055536</v>
      </c>
      <c r="AH297" s="882">
        <f t="shared" si="130"/>
        <v>80.282127231910707</v>
      </c>
      <c r="AI297" s="882">
        <f t="shared" si="130"/>
        <v>92.4817887182584</v>
      </c>
      <c r="AJ297" s="882">
        <f t="shared" si="130"/>
        <v>103.79420209650807</v>
      </c>
      <c r="AK297" s="882">
        <f t="shared" si="130"/>
        <v>114.28389450179412</v>
      </c>
      <c r="AL297" s="882">
        <f t="shared" si="130"/>
        <v>124.01070018669574</v>
      </c>
      <c r="AM297" s="882">
        <f t="shared" si="130"/>
        <v>133.03010182178633</v>
      </c>
      <c r="AN297" s="882">
        <f t="shared" si="130"/>
        <v>130.75533831453129</v>
      </c>
      <c r="AO297" s="882">
        <f t="shared" si="130"/>
        <v>129.80569315252228</v>
      </c>
      <c r="AP297" s="882">
        <f t="shared" si="130"/>
        <v>125.99532551036634</v>
      </c>
      <c r="AQ297" s="882">
        <f t="shared" si="130"/>
        <v>125.92635462327007</v>
      </c>
      <c r="AR297" s="882">
        <f t="shared" si="130"/>
        <v>125.86239980069001</v>
      </c>
      <c r="AS297" s="882">
        <f t="shared" si="130"/>
        <v>125.80309623793391</v>
      </c>
      <c r="AT297" s="882">
        <f t="shared" si="130"/>
        <v>125.74810566156003</v>
      </c>
      <c r="AU297" s="882">
        <f t="shared" si="130"/>
        <v>125.69711439983155</v>
      </c>
      <c r="AV297" s="882">
        <f t="shared" si="130"/>
        <v>125.64983159350152</v>
      </c>
      <c r="AW297" s="882">
        <f t="shared" si="130"/>
        <v>125.60598753672275</v>
      </c>
      <c r="AX297" s="882">
        <f t="shared" si="130"/>
        <v>125.60598753672275</v>
      </c>
      <c r="AY297" s="882">
        <f t="shared" si="130"/>
        <v>125.60598753672275</v>
      </c>
      <c r="AZ297" s="882">
        <f t="shared" si="130"/>
        <v>125.60598753672275</v>
      </c>
      <c r="BA297" s="882">
        <f t="shared" si="130"/>
        <v>125.60598753672275</v>
      </c>
      <c r="BB297" s="882">
        <f t="shared" si="130"/>
        <v>125.60598753672275</v>
      </c>
      <c r="BC297" s="882">
        <f t="shared" si="130"/>
        <v>125.60598753672275</v>
      </c>
      <c r="BD297" s="882">
        <f t="shared" si="130"/>
        <v>125.60598753672275</v>
      </c>
      <c r="BE297" s="882">
        <f t="shared" si="130"/>
        <v>125.60598753672275</v>
      </c>
    </row>
    <row r="298" spans="2:57" x14ac:dyDescent="0.25">
      <c r="B298" s="852"/>
    </row>
    <row r="299" spans="2:57" x14ac:dyDescent="0.25">
      <c r="B299" s="852"/>
    </row>
    <row r="300" spans="2:57" x14ac:dyDescent="0.25">
      <c r="B300" s="852"/>
    </row>
    <row r="301" spans="2:57" x14ac:dyDescent="0.25">
      <c r="B301" s="852"/>
    </row>
    <row r="302" spans="2:57" x14ac:dyDescent="0.25">
      <c r="B302" s="852"/>
      <c r="G302" s="1" t="s">
        <v>0</v>
      </c>
    </row>
    <row r="303" spans="2:57" x14ac:dyDescent="0.25">
      <c r="B303" s="852"/>
    </row>
    <row r="304" spans="2:57" x14ac:dyDescent="0.25">
      <c r="B304" s="852"/>
    </row>
    <row r="306" spans="5:57" x14ac:dyDescent="0.25">
      <c r="E306" s="1" t="str">
        <f>E174</f>
        <v>Investments (CAPEX)</v>
      </c>
      <c r="F306" s="1" t="str">
        <f>E175</f>
        <v>Electrification</v>
      </c>
      <c r="G306" s="909">
        <f>H175/1000</f>
        <v>-48.226466393039296</v>
      </c>
      <c r="H306" s="909">
        <f>SUM(G306:G308)</f>
        <v>-200.03738079277898</v>
      </c>
    </row>
    <row r="307" spans="5:57" x14ac:dyDescent="0.25">
      <c r="E307" s="1" t="s">
        <v>1653</v>
      </c>
      <c r="F307" s="1" t="str">
        <f>E182</f>
        <v>CCS</v>
      </c>
      <c r="G307" s="909">
        <f>H182/1000</f>
        <v>-68.329549208789572</v>
      </c>
    </row>
    <row r="308" spans="5:57" x14ac:dyDescent="0.25">
      <c r="F308" s="1" t="str">
        <f>E205</f>
        <v>Large H2</v>
      </c>
      <c r="G308" s="909">
        <f>H205/1000</f>
        <v>-83.4813651909501</v>
      </c>
    </row>
    <row r="309" spans="5:57" x14ac:dyDescent="0.25">
      <c r="E309" s="1" t="str">
        <f>E215</f>
        <v>Exploitation (OPEX)</v>
      </c>
      <c r="F309" s="1" t="str">
        <f>E216</f>
        <v>Electrification</v>
      </c>
      <c r="G309" s="909">
        <f>H216/1000</f>
        <v>-125.14772662004079</v>
      </c>
      <c r="H309" s="909">
        <f>SUM(G309:G311)</f>
        <v>-251.22329409484831</v>
      </c>
    </row>
    <row r="310" spans="5:57" x14ac:dyDescent="0.25">
      <c r="E310" s="1" t="s">
        <v>1653</v>
      </c>
      <c r="F310" s="1" t="str">
        <f>E221</f>
        <v>CCS</v>
      </c>
      <c r="G310" s="909">
        <f>H221/1000</f>
        <v>-31.856298721456206</v>
      </c>
    </row>
    <row r="311" spans="5:57" x14ac:dyDescent="0.25">
      <c r="F311" s="1" t="str">
        <f>E242</f>
        <v>Large H2</v>
      </c>
      <c r="G311" s="909">
        <f>H242/1000</f>
        <v>-94.219268753351315</v>
      </c>
    </row>
    <row r="312" spans="5:57" x14ac:dyDescent="0.25">
      <c r="E312" s="1" t="str">
        <f>E253</f>
        <v>Revenues / avoided costs</v>
      </c>
      <c r="F312" s="1" t="str">
        <f>E254</f>
        <v>Electrification</v>
      </c>
      <c r="G312" s="909">
        <f>H254/1000</f>
        <v>474.7220593974173</v>
      </c>
      <c r="H312" s="909">
        <f>SUM(G312:G314)</f>
        <v>833.82539504893236</v>
      </c>
    </row>
    <row r="313" spans="5:57" x14ac:dyDescent="0.25">
      <c r="E313" s="1" t="s">
        <v>1653</v>
      </c>
      <c r="F313" s="1" t="str">
        <f>E259</f>
        <v>CCS</v>
      </c>
      <c r="G313" s="909">
        <f>H259/1000</f>
        <v>300.27754322803685</v>
      </c>
    </row>
    <row r="314" spans="5:57" x14ac:dyDescent="0.25">
      <c r="F314" s="1" t="str">
        <f>E264</f>
        <v>Large H2</v>
      </c>
      <c r="G314" s="882">
        <f>H264/1000</f>
        <v>58.825792423478198</v>
      </c>
    </row>
    <row r="315" spans="5:57" x14ac:dyDescent="0.25">
      <c r="E315" s="1" t="s">
        <v>1273</v>
      </c>
      <c r="F315" s="1" t="str">
        <f>E269</f>
        <v>Electrification</v>
      </c>
      <c r="G315" s="909">
        <f>H269</f>
        <v>301.34786638433718</v>
      </c>
    </row>
    <row r="316" spans="5:57" x14ac:dyDescent="0.25">
      <c r="E316" s="1" t="s">
        <v>1653</v>
      </c>
      <c r="F316" s="1" t="str">
        <f>E270</f>
        <v>CCS</v>
      </c>
      <c r="G316" s="909">
        <f>H270</f>
        <v>200.09169529779106</v>
      </c>
    </row>
    <row r="317" spans="5:57" x14ac:dyDescent="0.25">
      <c r="F317" s="1" t="str">
        <f>E272</f>
        <v>Large H2</v>
      </c>
      <c r="G317" s="909">
        <f>H272</f>
        <v>-118.87484152082321</v>
      </c>
    </row>
    <row r="318" spans="5:57" x14ac:dyDescent="0.25">
      <c r="G318" s="909"/>
    </row>
    <row r="319" spans="5:57" x14ac:dyDescent="0.25">
      <c r="G319" s="909"/>
    </row>
    <row r="320" spans="5:57" x14ac:dyDescent="0.25">
      <c r="E320" s="749" t="s">
        <v>1469</v>
      </c>
      <c r="G320" s="909"/>
      <c r="J320" s="749">
        <f t="shared" ref="J320:BE320" si="131">J6</f>
        <v>2018</v>
      </c>
      <c r="K320" s="749">
        <f t="shared" si="131"/>
        <v>2019</v>
      </c>
      <c r="L320" s="749">
        <f t="shared" si="131"/>
        <v>2020</v>
      </c>
      <c r="M320" s="749">
        <f t="shared" si="131"/>
        <v>2021</v>
      </c>
      <c r="N320" s="749">
        <f t="shared" si="131"/>
        <v>2022</v>
      </c>
      <c r="O320" s="749">
        <f t="shared" si="131"/>
        <v>2023</v>
      </c>
      <c r="P320" s="749">
        <f t="shared" si="131"/>
        <v>2024</v>
      </c>
      <c r="Q320" s="749">
        <f t="shared" si="131"/>
        <v>2025</v>
      </c>
      <c r="R320" s="749">
        <f t="shared" si="131"/>
        <v>2026</v>
      </c>
      <c r="S320" s="749">
        <f t="shared" si="131"/>
        <v>2027</v>
      </c>
      <c r="T320" s="749">
        <f t="shared" si="131"/>
        <v>2028</v>
      </c>
      <c r="U320" s="749">
        <f t="shared" si="131"/>
        <v>2029</v>
      </c>
      <c r="V320" s="749">
        <f t="shared" si="131"/>
        <v>2030</v>
      </c>
      <c r="W320" s="749">
        <f t="shared" si="131"/>
        <v>2031</v>
      </c>
      <c r="X320" s="749">
        <f t="shared" si="131"/>
        <v>2032</v>
      </c>
      <c r="Y320" s="749">
        <f t="shared" si="131"/>
        <v>2033</v>
      </c>
      <c r="Z320" s="749">
        <f t="shared" si="131"/>
        <v>2034</v>
      </c>
      <c r="AA320" s="749">
        <f t="shared" si="131"/>
        <v>2035</v>
      </c>
      <c r="AB320" s="749">
        <f t="shared" si="131"/>
        <v>2036</v>
      </c>
      <c r="AC320" s="749">
        <f t="shared" si="131"/>
        <v>2037</v>
      </c>
      <c r="AD320" s="749">
        <f t="shared" si="131"/>
        <v>2038</v>
      </c>
      <c r="AE320" s="749">
        <f t="shared" si="131"/>
        <v>2039</v>
      </c>
      <c r="AF320" s="749">
        <f t="shared" si="131"/>
        <v>2040</v>
      </c>
      <c r="AG320" s="749">
        <f t="shared" si="131"/>
        <v>2041</v>
      </c>
      <c r="AH320" s="749">
        <f t="shared" si="131"/>
        <v>2042</v>
      </c>
      <c r="AI320" s="749">
        <f t="shared" si="131"/>
        <v>2043</v>
      </c>
      <c r="AJ320" s="749">
        <f t="shared" si="131"/>
        <v>2044</v>
      </c>
      <c r="AK320" s="749">
        <f t="shared" si="131"/>
        <v>2045</v>
      </c>
      <c r="AL320" s="749">
        <f t="shared" si="131"/>
        <v>2046</v>
      </c>
      <c r="AM320" s="749">
        <f t="shared" si="131"/>
        <v>2047</v>
      </c>
      <c r="AN320" s="749">
        <f t="shared" si="131"/>
        <v>2048</v>
      </c>
      <c r="AO320" s="749">
        <f t="shared" si="131"/>
        <v>2049</v>
      </c>
      <c r="AP320" s="749">
        <f t="shared" si="131"/>
        <v>2050</v>
      </c>
      <c r="AQ320" s="749">
        <f t="shared" si="131"/>
        <v>2051</v>
      </c>
      <c r="AR320" s="749">
        <f t="shared" si="131"/>
        <v>2052</v>
      </c>
      <c r="AS320" s="749">
        <f t="shared" si="131"/>
        <v>2053</v>
      </c>
      <c r="AT320" s="749">
        <f t="shared" si="131"/>
        <v>2054</v>
      </c>
      <c r="AU320" s="749">
        <f t="shared" si="131"/>
        <v>2055</v>
      </c>
      <c r="AV320" s="749">
        <f t="shared" si="131"/>
        <v>2056</v>
      </c>
      <c r="AW320" s="749">
        <f t="shared" si="131"/>
        <v>2057</v>
      </c>
      <c r="AX320" s="749">
        <f t="shared" si="131"/>
        <v>2058</v>
      </c>
      <c r="AY320" s="749">
        <f t="shared" si="131"/>
        <v>2059</v>
      </c>
      <c r="AZ320" s="749">
        <f t="shared" si="131"/>
        <v>2060</v>
      </c>
      <c r="BA320" s="749">
        <f t="shared" si="131"/>
        <v>2061</v>
      </c>
      <c r="BB320" s="749">
        <f t="shared" si="131"/>
        <v>2062</v>
      </c>
      <c r="BC320" s="749">
        <f t="shared" si="131"/>
        <v>2063</v>
      </c>
      <c r="BD320" s="749">
        <f t="shared" si="131"/>
        <v>2064</v>
      </c>
      <c r="BE320" s="749">
        <f t="shared" si="131"/>
        <v>2065</v>
      </c>
    </row>
    <row r="321" spans="5:57" x14ac:dyDescent="0.25">
      <c r="E321" s="749"/>
      <c r="G321" s="909"/>
    </row>
    <row r="322" spans="5:57" x14ac:dyDescent="0.25">
      <c r="E322" s="1" t="s">
        <v>958</v>
      </c>
      <c r="G322" s="909"/>
      <c r="J322" s="348">
        <f>IF(J$6&gt;=Parameters!$G$56,Parameters!$G$73,0)</f>
        <v>0</v>
      </c>
      <c r="K322" s="348">
        <f>IF(K$6&gt;=Parameters!$G$56,Parameters!$G$73,0)</f>
        <v>0</v>
      </c>
      <c r="L322" s="348">
        <f>IF(L$6&gt;=Parameters!$G$56,Parameters!$G$73,0)</f>
        <v>0</v>
      </c>
      <c r="M322" s="348">
        <f>IF(M$6&gt;=Parameters!$G$56,Parameters!$G$73,0)</f>
        <v>0</v>
      </c>
      <c r="N322" s="348">
        <f>IF(N$6&gt;=Parameters!$G$56,Parameters!$G$73,0)</f>
        <v>20</v>
      </c>
      <c r="O322" s="348">
        <f>IF(O$6&gt;=Parameters!$G$56,Parameters!$G$73,0)</f>
        <v>20</v>
      </c>
      <c r="P322" s="348">
        <f>IF(P$6&gt;=Parameters!$G$56,Parameters!$G$73,0)</f>
        <v>20</v>
      </c>
      <c r="Q322" s="348">
        <f>IF(Q$6&gt;=Parameters!$G$56,Parameters!$G$73,0)</f>
        <v>20</v>
      </c>
      <c r="R322" s="348">
        <f>IF(R$6&gt;=Parameters!$G$56,Parameters!$G$73,0)</f>
        <v>20</v>
      </c>
      <c r="S322" s="348">
        <f>IF(S$6&gt;=Parameters!$G$56,Parameters!$G$73,0)</f>
        <v>20</v>
      </c>
      <c r="T322" s="348">
        <f>IF(T$6&gt;=Parameters!$G$56,Parameters!$G$73,0)</f>
        <v>20</v>
      </c>
      <c r="U322" s="348">
        <f>IF(U$6&gt;=Parameters!$G$56,Parameters!$G$73,0)</f>
        <v>20</v>
      </c>
      <c r="V322" s="348">
        <f>IF(V$6&gt;=Parameters!$G$56,Parameters!$G$73,0)</f>
        <v>20</v>
      </c>
      <c r="W322" s="348">
        <f>IF(W$6&gt;=Parameters!$G$56,Parameters!$G$73,0)</f>
        <v>20</v>
      </c>
      <c r="X322" s="348">
        <f>IF(X$6&gt;=Parameters!$G$56,Parameters!$G$73,0)</f>
        <v>20</v>
      </c>
      <c r="Y322" s="348">
        <f>IF(Y$6&gt;=Parameters!$G$56,Parameters!$G$73,0)</f>
        <v>20</v>
      </c>
      <c r="Z322" s="348">
        <f>IF(Z$6&gt;=Parameters!$G$56,Parameters!$G$73,0)</f>
        <v>20</v>
      </c>
      <c r="AA322" s="348">
        <f>IF(AA$6&gt;=Parameters!$G$56,Parameters!$G$73,0)</f>
        <v>20</v>
      </c>
      <c r="AB322" s="348">
        <f>IF(AB$6&gt;=Parameters!$G$56,Parameters!$G$73,0)</f>
        <v>20</v>
      </c>
      <c r="AC322" s="348">
        <f>IF(AC$6&gt;=Parameters!$G$56,Parameters!$G$73,0)</f>
        <v>20</v>
      </c>
      <c r="AD322" s="348">
        <f>IF(AD$6&gt;=Parameters!$G$56,Parameters!$G$73,0)</f>
        <v>20</v>
      </c>
      <c r="AE322" s="348">
        <f>IF(AE$6&gt;=Parameters!$G$56,Parameters!$G$73,0)</f>
        <v>20</v>
      </c>
      <c r="AF322" s="348">
        <f>IF(AF$6&gt;=Parameters!$G$56,Parameters!$G$73,0)</f>
        <v>20</v>
      </c>
      <c r="AG322" s="348">
        <f>IF(AG$6&gt;=Parameters!$G$56,Parameters!$G$73,0)</f>
        <v>20</v>
      </c>
      <c r="AH322" s="348">
        <f>IF(AH$6&gt;=Parameters!$G$56,Parameters!$G$73,0)</f>
        <v>20</v>
      </c>
      <c r="AI322" s="348">
        <f>IF(AI$6&gt;=Parameters!$G$56,Parameters!$G$73,0)</f>
        <v>20</v>
      </c>
      <c r="AJ322" s="348">
        <f>IF(AJ$6&gt;=Parameters!$G$56,Parameters!$G$73,0)</f>
        <v>20</v>
      </c>
      <c r="AK322" s="348">
        <f>IF(AK$6&gt;=Parameters!$G$56,Parameters!$G$73,0)</f>
        <v>20</v>
      </c>
      <c r="AL322" s="348">
        <f>IF(AL$6&gt;=Parameters!$G$56,Parameters!$G$73,0)</f>
        <v>20</v>
      </c>
      <c r="AM322" s="348">
        <f>IF(AM$6&gt;=Parameters!$G$56,Parameters!$G$73,0)</f>
        <v>20</v>
      </c>
      <c r="AN322" s="348">
        <f>IF(AN$6&gt;=Parameters!$G$56,Parameters!$G$73,0)</f>
        <v>20</v>
      </c>
      <c r="AO322" s="348">
        <f>IF(AO$6&gt;=Parameters!$G$56,Parameters!$G$73,0)</f>
        <v>20</v>
      </c>
      <c r="AP322" s="348">
        <f>IF(AP$6&gt;=Parameters!$G$56,Parameters!$G$73,0)</f>
        <v>20</v>
      </c>
      <c r="AQ322" s="348">
        <f>IF(AQ$6&gt;=Parameters!$G$56,Parameters!$G$73,0)</f>
        <v>20</v>
      </c>
      <c r="AR322" s="348">
        <f>IF(AR$6&gt;=Parameters!$G$56,Parameters!$G$73,0)</f>
        <v>20</v>
      </c>
      <c r="AS322" s="348">
        <f>IF(AS$6&gt;=Parameters!$G$56,Parameters!$G$73,0)</f>
        <v>20</v>
      </c>
      <c r="AT322" s="348">
        <f>IF(AT$6&gt;=Parameters!$G$56,Parameters!$G$73,0)</f>
        <v>20</v>
      </c>
      <c r="AU322" s="348">
        <f>IF(AU$6&gt;=Parameters!$G$56,Parameters!$G$73,0)</f>
        <v>20</v>
      </c>
      <c r="AV322" s="348">
        <f>IF(AV$6&gt;=Parameters!$G$56,Parameters!$G$73,0)</f>
        <v>20</v>
      </c>
      <c r="AW322" s="348">
        <f>IF(AW$6&gt;=Parameters!$G$56,Parameters!$G$73,0)</f>
        <v>20</v>
      </c>
      <c r="AX322" s="348">
        <f>IF(AX$6&gt;=Parameters!$G$56,Parameters!$G$73,0)</f>
        <v>20</v>
      </c>
      <c r="AY322" s="348">
        <f>IF(AY$6&gt;=Parameters!$G$56,Parameters!$G$73,0)</f>
        <v>20</v>
      </c>
      <c r="AZ322" s="348">
        <f>IF(AZ$6&gt;=Parameters!$G$56,Parameters!$G$73,0)</f>
        <v>20</v>
      </c>
      <c r="BA322" s="348">
        <f>IF(BA$6&gt;=Parameters!$G$56,Parameters!$G$73,0)</f>
        <v>20</v>
      </c>
      <c r="BB322" s="348">
        <f>IF(BB$6&gt;=Parameters!$G$56,Parameters!$G$73,0)</f>
        <v>20</v>
      </c>
      <c r="BC322" s="348">
        <f>IF(BC$6&gt;=Parameters!$G$56,Parameters!$G$73,0)</f>
        <v>20</v>
      </c>
      <c r="BD322" s="348">
        <f>IF(BD$6&gt;=Parameters!$G$56,Parameters!$G$73,0)</f>
        <v>20</v>
      </c>
      <c r="BE322" s="348">
        <f>IF(BE$6&gt;=Parameters!$G$56,Parameters!$G$73,0)</f>
        <v>20</v>
      </c>
    </row>
    <row r="323" spans="5:57" x14ac:dyDescent="0.25">
      <c r="E323" s="1" t="str">
        <f>'Output CCS'!B56</f>
        <v>CO2 pump</v>
      </c>
      <c r="F323" s="1" t="str">
        <f>'Output CCS'!C56</f>
        <v>[MW]</v>
      </c>
      <c r="J323" s="348">
        <f>'Output CCS'!G56</f>
        <v>0</v>
      </c>
      <c r="K323" s="348">
        <f>'Output CCS'!H56</f>
        <v>0</v>
      </c>
      <c r="L323" s="348">
        <f>'Output CCS'!I56</f>
        <v>0</v>
      </c>
      <c r="M323" s="348">
        <f>'Output CCS'!J56</f>
        <v>0</v>
      </c>
      <c r="N323" s="348">
        <f>'Output CCS'!K56</f>
        <v>0</v>
      </c>
      <c r="O323" s="348">
        <f>'Output CCS'!L56</f>
        <v>0</v>
      </c>
      <c r="P323" s="348">
        <f>'Output CCS'!M56</f>
        <v>0</v>
      </c>
      <c r="Q323" s="348">
        <f>'Output CCS'!N56</f>
        <v>0</v>
      </c>
      <c r="R323" s="348">
        <f>'Output CCS'!O56</f>
        <v>0</v>
      </c>
      <c r="S323" s="348">
        <f>'Output CCS'!P56</f>
        <v>0</v>
      </c>
      <c r="T323" s="348">
        <f>'Output CCS'!Q56</f>
        <v>0</v>
      </c>
      <c r="U323" s="348">
        <f>'Output CCS'!R56</f>
        <v>0</v>
      </c>
      <c r="V323" s="348">
        <f>'Output CCS'!S56</f>
        <v>0</v>
      </c>
      <c r="W323" s="348">
        <f>'Output CCS'!T56</f>
        <v>0</v>
      </c>
      <c r="X323" s="348">
        <f>'Output CCS'!U56</f>
        <v>0</v>
      </c>
      <c r="Y323" s="348">
        <f>'Output CCS'!V56</f>
        <v>0</v>
      </c>
      <c r="Z323" s="348">
        <f>'Output CCS'!W56</f>
        <v>0</v>
      </c>
      <c r="AA323" s="348">
        <f>'Output CCS'!X56</f>
        <v>0</v>
      </c>
      <c r="AB323" s="348">
        <f>'Output CCS'!Y56</f>
        <v>0</v>
      </c>
      <c r="AC323" s="348">
        <f>'Output CCS'!Z56</f>
        <v>0</v>
      </c>
      <c r="AD323" s="348">
        <f>'Output CCS'!AA56</f>
        <v>0</v>
      </c>
      <c r="AE323" s="348">
        <f>'Output CCS'!AB56</f>
        <v>0</v>
      </c>
      <c r="AF323" s="348">
        <f>'Output CCS'!AC56</f>
        <v>0</v>
      </c>
      <c r="AG323" s="348">
        <f>'Output CCS'!AD56</f>
        <v>0</v>
      </c>
      <c r="AH323" s="348">
        <f>'Output CCS'!AE56</f>
        <v>0</v>
      </c>
      <c r="AI323" s="348">
        <f>'Output CCS'!AF56</f>
        <v>0</v>
      </c>
      <c r="AJ323" s="348">
        <f>'Output CCS'!AG56</f>
        <v>0</v>
      </c>
      <c r="AK323" s="348">
        <f>'Output CCS'!AH56</f>
        <v>0</v>
      </c>
      <c r="AL323" s="348">
        <f>'Output CCS'!AI56</f>
        <v>0</v>
      </c>
      <c r="AM323" s="348">
        <f>'Output CCS'!AJ56</f>
        <v>0</v>
      </c>
      <c r="AN323" s="348">
        <f>'Output CCS'!AK56</f>
        <v>0</v>
      </c>
      <c r="AO323" s="348">
        <f>'Output CCS'!AL56</f>
        <v>0</v>
      </c>
      <c r="AP323" s="348">
        <f>'Output CCS'!AM56</f>
        <v>0</v>
      </c>
      <c r="AQ323" s="348">
        <f>'Output CCS'!AN56</f>
        <v>0</v>
      </c>
      <c r="AR323" s="348">
        <f>'Output CCS'!AO56</f>
        <v>0</v>
      </c>
      <c r="AS323" s="348">
        <f>'Output CCS'!AP56</f>
        <v>0</v>
      </c>
      <c r="AT323" s="348">
        <f>'Output CCS'!AQ56</f>
        <v>0</v>
      </c>
      <c r="AU323" s="348">
        <f>'Output CCS'!AR56</f>
        <v>0</v>
      </c>
      <c r="AV323" s="348">
        <f>'Output CCS'!AS56</f>
        <v>0</v>
      </c>
      <c r="AW323" s="348">
        <f>'Output CCS'!AT56</f>
        <v>0</v>
      </c>
      <c r="AX323" s="348">
        <f>'Output CCS'!AU56</f>
        <v>0</v>
      </c>
      <c r="AY323" s="348">
        <f>'Output CCS'!AV56</f>
        <v>0</v>
      </c>
      <c r="AZ323" s="348">
        <f>'Output CCS'!AW56</f>
        <v>0</v>
      </c>
      <c r="BA323" s="348">
        <f>'Output CCS'!AX56</f>
        <v>0</v>
      </c>
      <c r="BB323" s="348">
        <f>'Output CCS'!AY56</f>
        <v>0</v>
      </c>
      <c r="BC323" s="348">
        <f>'Output CCS'!AZ56</f>
        <v>0</v>
      </c>
      <c r="BD323" s="348">
        <f>'Output CCS'!BA56</f>
        <v>0</v>
      </c>
      <c r="BE323" s="348">
        <f>'Output CCS'!BB56</f>
        <v>0</v>
      </c>
    </row>
    <row r="324" spans="5:57" x14ac:dyDescent="0.25">
      <c r="E324" s="1" t="str">
        <f>'Output H2 S'!B51</f>
        <v>Electrolyser S</v>
      </c>
      <c r="F324" s="1" t="str">
        <f>'Output H2 S'!C51</f>
        <v>[MW]</v>
      </c>
      <c r="J324" s="88">
        <f>'Output H2 S'!G51</f>
        <v>0</v>
      </c>
      <c r="K324" s="88">
        <f>'Output H2 S'!H51</f>
        <v>0</v>
      </c>
      <c r="L324" s="88">
        <f>'Output H2 S'!I51</f>
        <v>0</v>
      </c>
      <c r="M324" s="88">
        <f>'Output H2 S'!J51</f>
        <v>0</v>
      </c>
      <c r="N324" s="88">
        <f>'Output H2 S'!K51</f>
        <v>0</v>
      </c>
      <c r="O324" s="88">
        <f>'Output H2 S'!L51</f>
        <v>0</v>
      </c>
      <c r="P324" s="88">
        <f>'Output H2 S'!M51</f>
        <v>0</v>
      </c>
      <c r="Q324" s="88">
        <f>'Output H2 S'!N51</f>
        <v>0</v>
      </c>
      <c r="R324" s="88">
        <f>'Output H2 S'!O51</f>
        <v>10</v>
      </c>
      <c r="S324" s="88">
        <f>'Output H2 S'!P51</f>
        <v>10</v>
      </c>
      <c r="T324" s="88">
        <f>'Output H2 S'!Q51</f>
        <v>10</v>
      </c>
      <c r="U324" s="88">
        <f>'Output H2 S'!R51</f>
        <v>10</v>
      </c>
      <c r="V324" s="88">
        <f>'Output H2 S'!S51</f>
        <v>10</v>
      </c>
      <c r="W324" s="88">
        <f>'Output H2 S'!T51</f>
        <v>0</v>
      </c>
      <c r="X324" s="88">
        <f>'Output H2 S'!U51</f>
        <v>0</v>
      </c>
      <c r="Y324" s="88">
        <f>'Output H2 S'!V51</f>
        <v>0</v>
      </c>
      <c r="Z324" s="88">
        <f>'Output H2 S'!W51</f>
        <v>0</v>
      </c>
      <c r="AA324" s="88">
        <f>'Output H2 S'!X51</f>
        <v>0</v>
      </c>
      <c r="AB324" s="88">
        <f>'Output H2 S'!Y51</f>
        <v>0</v>
      </c>
      <c r="AC324" s="88">
        <f>'Output H2 S'!Z51</f>
        <v>0</v>
      </c>
      <c r="AD324" s="88">
        <f>'Output H2 S'!AA51</f>
        <v>0</v>
      </c>
      <c r="AE324" s="88">
        <f>'Output H2 S'!AB51</f>
        <v>0</v>
      </c>
      <c r="AF324" s="88">
        <f>'Output H2 S'!AC51</f>
        <v>0</v>
      </c>
      <c r="AG324" s="88">
        <f>'Output H2 S'!AD51</f>
        <v>0</v>
      </c>
      <c r="AH324" s="88">
        <f>'Output H2 S'!AE51</f>
        <v>0</v>
      </c>
      <c r="AI324" s="88">
        <f>'Output H2 S'!AF51</f>
        <v>0</v>
      </c>
      <c r="AJ324" s="88">
        <f>'Output H2 S'!AG51</f>
        <v>0</v>
      </c>
      <c r="AK324" s="88">
        <f>'Output H2 S'!AH51</f>
        <v>0</v>
      </c>
      <c r="AL324" s="88">
        <f>'Output H2 S'!AI51</f>
        <v>0</v>
      </c>
      <c r="AM324" s="88">
        <f>'Output H2 S'!AJ51</f>
        <v>0</v>
      </c>
      <c r="AN324" s="88">
        <f>'Output H2 S'!AK51</f>
        <v>0</v>
      </c>
      <c r="AO324" s="88">
        <f>'Output H2 S'!AL51</f>
        <v>0</v>
      </c>
      <c r="AP324" s="88">
        <f>'Output H2 S'!AM51</f>
        <v>0</v>
      </c>
      <c r="AQ324" s="88">
        <f>'Output H2 S'!AN51</f>
        <v>0</v>
      </c>
      <c r="AR324" s="88">
        <f>'Output H2 S'!AO51</f>
        <v>0</v>
      </c>
      <c r="AS324" s="88">
        <f>'Output H2 S'!AP51</f>
        <v>0</v>
      </c>
      <c r="AT324" s="88">
        <f>'Output H2 S'!AQ51</f>
        <v>0</v>
      </c>
      <c r="AU324" s="88">
        <f>'Output H2 S'!AR51</f>
        <v>0</v>
      </c>
      <c r="AV324" s="88">
        <f>'Output H2 S'!AS51</f>
        <v>0</v>
      </c>
      <c r="AW324" s="88">
        <f>'Output H2 S'!AT51</f>
        <v>0</v>
      </c>
      <c r="AX324" s="88">
        <f>'Output H2 S'!AU51</f>
        <v>0</v>
      </c>
      <c r="AY324" s="88">
        <f>'Output H2 S'!AV51</f>
        <v>0</v>
      </c>
      <c r="AZ324" s="88">
        <f>'Output H2 S'!AW51</f>
        <v>0</v>
      </c>
      <c r="BA324" s="88">
        <f>'Output H2 S'!AX51</f>
        <v>0</v>
      </c>
      <c r="BB324" s="88">
        <f>'Output H2 S'!AY51</f>
        <v>0</v>
      </c>
      <c r="BC324" s="88">
        <f>'Output H2 S'!AZ51</f>
        <v>0</v>
      </c>
      <c r="BD324" s="88">
        <f>'Output H2 S'!BA51</f>
        <v>0</v>
      </c>
      <c r="BE324" s="88">
        <f>'Output H2 S'!BB51</f>
        <v>0</v>
      </c>
    </row>
    <row r="325" spans="5:57" x14ac:dyDescent="0.25">
      <c r="E325" s="1" t="str">
        <f>'Output H2 S'!B52</f>
        <v>Desalination Unit S</v>
      </c>
      <c r="F325" s="1" t="str">
        <f>'Output H2 S'!C52</f>
        <v>[MW]</v>
      </c>
      <c r="J325" s="88">
        <f>'Output H2 S'!G52</f>
        <v>0</v>
      </c>
      <c r="K325" s="88">
        <f>'Output H2 S'!H52</f>
        <v>0</v>
      </c>
      <c r="L325" s="88">
        <f>'Output H2 S'!I52</f>
        <v>0</v>
      </c>
      <c r="M325" s="88">
        <f>'Output H2 S'!J52</f>
        <v>0</v>
      </c>
      <c r="N325" s="88">
        <f>'Output H2 S'!K52</f>
        <v>0</v>
      </c>
      <c r="O325" s="88">
        <f>'Output H2 S'!L52</f>
        <v>0</v>
      </c>
      <c r="P325" s="88">
        <f>'Output H2 S'!M52</f>
        <v>0</v>
      </c>
      <c r="Q325" s="88">
        <f>'Output H2 S'!N52</f>
        <v>0</v>
      </c>
      <c r="R325" s="88">
        <f>'Output H2 S'!O52</f>
        <v>2.4299999999999999E-2</v>
      </c>
      <c r="S325" s="88">
        <f>'Output H2 S'!P52</f>
        <v>2.4299999999999999E-2</v>
      </c>
      <c r="T325" s="88">
        <f>'Output H2 S'!Q52</f>
        <v>2.4299999999999999E-2</v>
      </c>
      <c r="U325" s="88">
        <f>'Output H2 S'!R52</f>
        <v>2.4299999999999999E-2</v>
      </c>
      <c r="V325" s="88">
        <f>'Output H2 S'!S52</f>
        <v>2.4299999999999999E-2</v>
      </c>
      <c r="W325" s="88">
        <f>'Output H2 S'!T52</f>
        <v>0</v>
      </c>
      <c r="X325" s="88">
        <f>'Output H2 S'!U52</f>
        <v>0</v>
      </c>
      <c r="Y325" s="88">
        <f>'Output H2 S'!V52</f>
        <v>0</v>
      </c>
      <c r="Z325" s="88">
        <f>'Output H2 S'!W52</f>
        <v>0</v>
      </c>
      <c r="AA325" s="88">
        <f>'Output H2 S'!X52</f>
        <v>0</v>
      </c>
      <c r="AB325" s="88">
        <f>'Output H2 S'!Y52</f>
        <v>0</v>
      </c>
      <c r="AC325" s="88">
        <f>'Output H2 S'!Z52</f>
        <v>0</v>
      </c>
      <c r="AD325" s="88">
        <f>'Output H2 S'!AA52</f>
        <v>0</v>
      </c>
      <c r="AE325" s="88">
        <f>'Output H2 S'!AB52</f>
        <v>0</v>
      </c>
      <c r="AF325" s="88">
        <f>'Output H2 S'!AC52</f>
        <v>0</v>
      </c>
      <c r="AG325" s="88">
        <f>'Output H2 S'!AD52</f>
        <v>0</v>
      </c>
      <c r="AH325" s="88">
        <f>'Output H2 S'!AE52</f>
        <v>0</v>
      </c>
      <c r="AI325" s="88">
        <f>'Output H2 S'!AF52</f>
        <v>0</v>
      </c>
      <c r="AJ325" s="88">
        <f>'Output H2 S'!AG52</f>
        <v>0</v>
      </c>
      <c r="AK325" s="88">
        <f>'Output H2 S'!AH52</f>
        <v>0</v>
      </c>
      <c r="AL325" s="88">
        <f>'Output H2 S'!AI52</f>
        <v>0</v>
      </c>
      <c r="AM325" s="88">
        <f>'Output H2 S'!AJ52</f>
        <v>0</v>
      </c>
      <c r="AN325" s="88">
        <f>'Output H2 S'!AK52</f>
        <v>0</v>
      </c>
      <c r="AO325" s="88">
        <f>'Output H2 S'!AL52</f>
        <v>0</v>
      </c>
      <c r="AP325" s="88">
        <f>'Output H2 S'!AM52</f>
        <v>0</v>
      </c>
      <c r="AQ325" s="88">
        <f>'Output H2 S'!AN52</f>
        <v>0</v>
      </c>
      <c r="AR325" s="88">
        <f>'Output H2 S'!AO52</f>
        <v>0</v>
      </c>
      <c r="AS325" s="88">
        <f>'Output H2 S'!AP52</f>
        <v>0</v>
      </c>
      <c r="AT325" s="88">
        <f>'Output H2 S'!AQ52</f>
        <v>0</v>
      </c>
      <c r="AU325" s="88">
        <f>'Output H2 S'!AR52</f>
        <v>0</v>
      </c>
      <c r="AV325" s="88">
        <f>'Output H2 S'!AS52</f>
        <v>0</v>
      </c>
      <c r="AW325" s="88">
        <f>'Output H2 S'!AT52</f>
        <v>0</v>
      </c>
      <c r="AX325" s="88">
        <f>'Output H2 S'!AU52</f>
        <v>0</v>
      </c>
      <c r="AY325" s="88">
        <f>'Output H2 S'!AV52</f>
        <v>0</v>
      </c>
      <c r="AZ325" s="88">
        <f>'Output H2 S'!AW52</f>
        <v>0</v>
      </c>
      <c r="BA325" s="88">
        <f>'Output H2 S'!AX52</f>
        <v>0</v>
      </c>
      <c r="BB325" s="88">
        <f>'Output H2 S'!AY52</f>
        <v>0</v>
      </c>
      <c r="BC325" s="88">
        <f>'Output H2 S'!AZ52</f>
        <v>0</v>
      </c>
      <c r="BD325" s="88">
        <f>'Output H2 S'!BA52</f>
        <v>0</v>
      </c>
      <c r="BE325" s="88">
        <f>'Output H2 S'!BB52</f>
        <v>0</v>
      </c>
    </row>
    <row r="326" spans="5:57" x14ac:dyDescent="0.25">
      <c r="E326" s="1" t="str">
        <f>'Output H2 S'!B53</f>
        <v>Compressor S</v>
      </c>
      <c r="F326" s="1" t="str">
        <f>'Output H2 S'!C53</f>
        <v>[MW]</v>
      </c>
      <c r="J326" s="88">
        <f>'Output H2 S'!G53</f>
        <v>0</v>
      </c>
      <c r="K326" s="88">
        <f>'Output H2 S'!H53</f>
        <v>0</v>
      </c>
      <c r="L326" s="88">
        <f>'Output H2 S'!I53</f>
        <v>0</v>
      </c>
      <c r="M326" s="88">
        <f>'Output H2 S'!J53</f>
        <v>0</v>
      </c>
      <c r="N326" s="88">
        <f>'Output H2 S'!K53</f>
        <v>0</v>
      </c>
      <c r="O326" s="88">
        <f>'Output H2 S'!L53</f>
        <v>0</v>
      </c>
      <c r="P326" s="88">
        <f>'Output H2 S'!M53</f>
        <v>0</v>
      </c>
      <c r="Q326" s="88">
        <f>'Output H2 S'!N53</f>
        <v>0</v>
      </c>
      <c r="R326" s="88">
        <f>'Output H2 S'!O53</f>
        <v>9.5417069806848193E-2</v>
      </c>
      <c r="S326" s="88">
        <f>'Output H2 S'!P53</f>
        <v>9.5417069806848193E-2</v>
      </c>
      <c r="T326" s="88">
        <f>'Output H2 S'!Q53</f>
        <v>9.5417069806848193E-2</v>
      </c>
      <c r="U326" s="88">
        <f>'Output H2 S'!R53</f>
        <v>9.5417069806848193E-2</v>
      </c>
      <c r="V326" s="88">
        <f>'Output H2 S'!S53</f>
        <v>9.5417069806848193E-2</v>
      </c>
      <c r="W326" s="88">
        <f>'Output H2 S'!T53</f>
        <v>0</v>
      </c>
      <c r="X326" s="88">
        <f>'Output H2 S'!U53</f>
        <v>0</v>
      </c>
      <c r="Y326" s="88">
        <f>'Output H2 S'!V53</f>
        <v>0</v>
      </c>
      <c r="Z326" s="88">
        <f>'Output H2 S'!W53</f>
        <v>0</v>
      </c>
      <c r="AA326" s="88">
        <f>'Output H2 S'!X53</f>
        <v>0</v>
      </c>
      <c r="AB326" s="88">
        <f>'Output H2 S'!Y53</f>
        <v>0</v>
      </c>
      <c r="AC326" s="88">
        <f>'Output H2 S'!Z53</f>
        <v>0</v>
      </c>
      <c r="AD326" s="88">
        <f>'Output H2 S'!AA53</f>
        <v>0</v>
      </c>
      <c r="AE326" s="88">
        <f>'Output H2 S'!AB53</f>
        <v>0</v>
      </c>
      <c r="AF326" s="88">
        <f>'Output H2 S'!AC53</f>
        <v>0</v>
      </c>
      <c r="AG326" s="88">
        <f>'Output H2 S'!AD53</f>
        <v>0</v>
      </c>
      <c r="AH326" s="88">
        <f>'Output H2 S'!AE53</f>
        <v>0</v>
      </c>
      <c r="AI326" s="88">
        <f>'Output H2 S'!AF53</f>
        <v>0</v>
      </c>
      <c r="AJ326" s="88">
        <f>'Output H2 S'!AG53</f>
        <v>0</v>
      </c>
      <c r="AK326" s="88">
        <f>'Output H2 S'!AH53</f>
        <v>0</v>
      </c>
      <c r="AL326" s="88">
        <f>'Output H2 S'!AI53</f>
        <v>0</v>
      </c>
      <c r="AM326" s="88">
        <f>'Output H2 S'!AJ53</f>
        <v>0</v>
      </c>
      <c r="AN326" s="88">
        <f>'Output H2 S'!AK53</f>
        <v>0</v>
      </c>
      <c r="AO326" s="88">
        <f>'Output H2 S'!AL53</f>
        <v>0</v>
      </c>
      <c r="AP326" s="88">
        <f>'Output H2 S'!AM53</f>
        <v>0</v>
      </c>
      <c r="AQ326" s="88">
        <f>'Output H2 S'!AN53</f>
        <v>0</v>
      </c>
      <c r="AR326" s="88">
        <f>'Output H2 S'!AO53</f>
        <v>0</v>
      </c>
      <c r="AS326" s="88">
        <f>'Output H2 S'!AP53</f>
        <v>0</v>
      </c>
      <c r="AT326" s="88">
        <f>'Output H2 S'!AQ53</f>
        <v>0</v>
      </c>
      <c r="AU326" s="88">
        <f>'Output H2 S'!AR53</f>
        <v>0</v>
      </c>
      <c r="AV326" s="88">
        <f>'Output H2 S'!AS53</f>
        <v>0</v>
      </c>
      <c r="AW326" s="88">
        <f>'Output H2 S'!AT53</f>
        <v>0</v>
      </c>
      <c r="AX326" s="88">
        <f>'Output H2 S'!AU53</f>
        <v>0</v>
      </c>
      <c r="AY326" s="88">
        <f>'Output H2 S'!AV53</f>
        <v>0</v>
      </c>
      <c r="AZ326" s="88">
        <f>'Output H2 S'!AW53</f>
        <v>0</v>
      </c>
      <c r="BA326" s="88">
        <f>'Output H2 S'!AX53</f>
        <v>0</v>
      </c>
      <c r="BB326" s="88">
        <f>'Output H2 S'!AY53</f>
        <v>0</v>
      </c>
      <c r="BC326" s="88">
        <f>'Output H2 S'!AZ53</f>
        <v>0</v>
      </c>
      <c r="BD326" s="88">
        <f>'Output H2 S'!BA53</f>
        <v>0</v>
      </c>
      <c r="BE326" s="88">
        <f>'Output H2 S'!BB53</f>
        <v>0</v>
      </c>
    </row>
    <row r="327" spans="5:57" x14ac:dyDescent="0.25">
      <c r="E327" s="1" t="str">
        <f>'Output H2 L'!B50</f>
        <v>Electrolyser L</v>
      </c>
      <c r="F327" s="1" t="str">
        <f>'Output H2 L'!C50</f>
        <v>[MW]</v>
      </c>
      <c r="J327" s="88">
        <f>'Output H2 L'!G50</f>
        <v>0</v>
      </c>
      <c r="K327" s="88">
        <f>'Output H2 L'!H50</f>
        <v>0</v>
      </c>
      <c r="L327" s="88">
        <f>'Output H2 L'!I50</f>
        <v>0</v>
      </c>
      <c r="M327" s="88">
        <f>'Output H2 L'!J50</f>
        <v>0</v>
      </c>
      <c r="N327" s="88">
        <f>'Output H2 L'!K50</f>
        <v>0</v>
      </c>
      <c r="O327" s="88">
        <f>'Output H2 L'!L50</f>
        <v>0</v>
      </c>
      <c r="P327" s="88">
        <f>'Output H2 L'!M50</f>
        <v>0</v>
      </c>
      <c r="Q327" s="88">
        <f>'Output H2 L'!N50</f>
        <v>0</v>
      </c>
      <c r="R327" s="88">
        <f>'Output H2 L'!O50</f>
        <v>0</v>
      </c>
      <c r="S327" s="88">
        <f>'Output H2 L'!P50</f>
        <v>0</v>
      </c>
      <c r="T327" s="88">
        <f>'Output H2 L'!Q50</f>
        <v>0</v>
      </c>
      <c r="U327" s="88">
        <f>'Output H2 L'!R50</f>
        <v>0</v>
      </c>
      <c r="V327" s="88">
        <f>'Output H2 L'!S50</f>
        <v>0</v>
      </c>
      <c r="W327" s="88">
        <f>'Output H2 L'!T50</f>
        <v>100</v>
      </c>
      <c r="X327" s="88">
        <f>'Output H2 L'!U50</f>
        <v>100</v>
      </c>
      <c r="Y327" s="88">
        <f>'Output H2 L'!V50</f>
        <v>100</v>
      </c>
      <c r="Z327" s="88">
        <f>'Output H2 L'!W50</f>
        <v>100</v>
      </c>
      <c r="AA327" s="88">
        <f>'Output H2 L'!X50</f>
        <v>100</v>
      </c>
      <c r="AB327" s="88">
        <f>'Output H2 L'!Y50</f>
        <v>100</v>
      </c>
      <c r="AC327" s="88">
        <f>'Output H2 L'!Z50</f>
        <v>100</v>
      </c>
      <c r="AD327" s="88">
        <f>'Output H2 L'!AA50</f>
        <v>100</v>
      </c>
      <c r="AE327" s="88">
        <f>'Output H2 L'!AB50</f>
        <v>100</v>
      </c>
      <c r="AF327" s="88">
        <f>'Output H2 L'!AC50</f>
        <v>100</v>
      </c>
      <c r="AG327" s="88">
        <f>'Output H2 L'!AD50</f>
        <v>100</v>
      </c>
      <c r="AH327" s="88">
        <f>'Output H2 L'!AE50</f>
        <v>100</v>
      </c>
      <c r="AI327" s="88">
        <f>'Output H2 L'!AF50</f>
        <v>100</v>
      </c>
      <c r="AJ327" s="88">
        <f>'Output H2 L'!AG50</f>
        <v>100</v>
      </c>
      <c r="AK327" s="88">
        <f>'Output H2 L'!AH50</f>
        <v>100</v>
      </c>
      <c r="AL327" s="88">
        <f>'Output H2 L'!AI50</f>
        <v>100</v>
      </c>
      <c r="AM327" s="88">
        <f>'Output H2 L'!AJ50</f>
        <v>100</v>
      </c>
      <c r="AN327" s="88">
        <f>'Output H2 L'!AK50</f>
        <v>100</v>
      </c>
      <c r="AO327" s="88">
        <f>'Output H2 L'!AL50</f>
        <v>100</v>
      </c>
      <c r="AP327" s="88">
        <f>'Output H2 L'!AM50</f>
        <v>100</v>
      </c>
      <c r="AQ327" s="88">
        <f>'Output H2 L'!AN50</f>
        <v>0</v>
      </c>
      <c r="AR327" s="88">
        <f>'Output H2 L'!AO50</f>
        <v>0</v>
      </c>
      <c r="AS327" s="88">
        <f>'Output H2 L'!AP50</f>
        <v>0</v>
      </c>
      <c r="AT327" s="88">
        <f>'Output H2 L'!AQ50</f>
        <v>0</v>
      </c>
      <c r="AU327" s="88">
        <f>'Output H2 L'!AR50</f>
        <v>0</v>
      </c>
      <c r="AV327" s="88">
        <f>'Output H2 L'!AS50</f>
        <v>0</v>
      </c>
      <c r="AW327" s="88">
        <f>'Output H2 L'!AT50</f>
        <v>0</v>
      </c>
      <c r="AX327" s="88">
        <f>'Output H2 L'!AU50</f>
        <v>0</v>
      </c>
      <c r="AY327" s="88">
        <f>'Output H2 L'!AV50</f>
        <v>0</v>
      </c>
      <c r="AZ327" s="88">
        <f>'Output H2 L'!AW50</f>
        <v>0</v>
      </c>
      <c r="BA327" s="88">
        <f>'Output H2 L'!AX50</f>
        <v>0</v>
      </c>
      <c r="BB327" s="88">
        <f>'Output H2 L'!AY50</f>
        <v>0</v>
      </c>
      <c r="BC327" s="88">
        <f>'Output H2 L'!AZ50</f>
        <v>0</v>
      </c>
      <c r="BD327" s="88">
        <f>'Output H2 L'!BA50</f>
        <v>0</v>
      </c>
      <c r="BE327" s="88">
        <f>'Output H2 L'!BB50</f>
        <v>0</v>
      </c>
    </row>
    <row r="328" spans="5:57" x14ac:dyDescent="0.25">
      <c r="E328" s="1" t="str">
        <f>'Output H2 L'!B51</f>
        <v>Desalination Unit L</v>
      </c>
      <c r="F328" s="1" t="str">
        <f>'Output H2 L'!C51</f>
        <v>[MW]</v>
      </c>
      <c r="J328" s="88">
        <f>'Output H2 L'!G51</f>
        <v>0</v>
      </c>
      <c r="K328" s="88">
        <f>'Output H2 L'!H51</f>
        <v>0</v>
      </c>
      <c r="L328" s="88">
        <f>'Output H2 L'!I51</f>
        <v>0</v>
      </c>
      <c r="M328" s="88">
        <f>'Output H2 L'!J51</f>
        <v>0</v>
      </c>
      <c r="N328" s="88">
        <f>'Output H2 L'!K51</f>
        <v>0</v>
      </c>
      <c r="O328" s="88">
        <f>'Output H2 L'!L51</f>
        <v>0</v>
      </c>
      <c r="P328" s="88">
        <f>'Output H2 L'!M51</f>
        <v>0</v>
      </c>
      <c r="Q328" s="88">
        <f>'Output H2 L'!N51</f>
        <v>0</v>
      </c>
      <c r="R328" s="88">
        <f>'Output H2 L'!O51</f>
        <v>0</v>
      </c>
      <c r="S328" s="88">
        <f>'Output H2 L'!P51</f>
        <v>0</v>
      </c>
      <c r="T328" s="88">
        <f>'Output H2 L'!Q51</f>
        <v>0</v>
      </c>
      <c r="U328" s="88">
        <f>'Output H2 L'!R51</f>
        <v>0</v>
      </c>
      <c r="V328" s="88">
        <f>'Output H2 L'!S51</f>
        <v>0</v>
      </c>
      <c r="W328" s="88">
        <f>'Output H2 L'!T51</f>
        <v>0.24299999999999997</v>
      </c>
      <c r="X328" s="88">
        <f>'Output H2 L'!U51</f>
        <v>0.24299999999999997</v>
      </c>
      <c r="Y328" s="88">
        <f>'Output H2 L'!V51</f>
        <v>0.24299999999999997</v>
      </c>
      <c r="Z328" s="88">
        <f>'Output H2 L'!W51</f>
        <v>0.24299999999999997</v>
      </c>
      <c r="AA328" s="88">
        <f>'Output H2 L'!X51</f>
        <v>0.24299999999999997</v>
      </c>
      <c r="AB328" s="88">
        <f>'Output H2 L'!Y51</f>
        <v>0.24299999999999997</v>
      </c>
      <c r="AC328" s="88">
        <f>'Output H2 L'!Z51</f>
        <v>0.24299999999999997</v>
      </c>
      <c r="AD328" s="88">
        <f>'Output H2 L'!AA51</f>
        <v>0.24299999999999997</v>
      </c>
      <c r="AE328" s="88">
        <f>'Output H2 L'!AB51</f>
        <v>0.24299999999999997</v>
      </c>
      <c r="AF328" s="88">
        <f>'Output H2 L'!AC51</f>
        <v>0.24299999999999997</v>
      </c>
      <c r="AG328" s="88">
        <f>'Output H2 L'!AD51</f>
        <v>0.24299999999999997</v>
      </c>
      <c r="AH328" s="88">
        <f>'Output H2 L'!AE51</f>
        <v>0.24299999999999997</v>
      </c>
      <c r="AI328" s="88">
        <f>'Output H2 L'!AF51</f>
        <v>0.24299999999999997</v>
      </c>
      <c r="AJ328" s="88">
        <f>'Output H2 L'!AG51</f>
        <v>0.24299999999999997</v>
      </c>
      <c r="AK328" s="88">
        <f>'Output H2 L'!AH51</f>
        <v>0.24299999999999997</v>
      </c>
      <c r="AL328" s="88">
        <f>'Output H2 L'!AI51</f>
        <v>0.24299999999999997</v>
      </c>
      <c r="AM328" s="88">
        <f>'Output H2 L'!AJ51</f>
        <v>0.24299999999999997</v>
      </c>
      <c r="AN328" s="88">
        <f>'Output H2 L'!AK51</f>
        <v>0.24299999999999997</v>
      </c>
      <c r="AO328" s="88">
        <f>'Output H2 L'!AL51</f>
        <v>0.24299999999999997</v>
      </c>
      <c r="AP328" s="88">
        <f>'Output H2 L'!AM51</f>
        <v>0.24299999999999997</v>
      </c>
      <c r="AQ328" s="88">
        <f>'Output H2 L'!AN51</f>
        <v>0</v>
      </c>
      <c r="AR328" s="88">
        <f>'Output H2 L'!AO51</f>
        <v>0</v>
      </c>
      <c r="AS328" s="88">
        <f>'Output H2 L'!AP51</f>
        <v>0</v>
      </c>
      <c r="AT328" s="88">
        <f>'Output H2 L'!AQ51</f>
        <v>0</v>
      </c>
      <c r="AU328" s="88">
        <f>'Output H2 L'!AR51</f>
        <v>0</v>
      </c>
      <c r="AV328" s="88">
        <f>'Output H2 L'!AS51</f>
        <v>0</v>
      </c>
      <c r="AW328" s="88">
        <f>'Output H2 L'!AT51</f>
        <v>0</v>
      </c>
      <c r="AX328" s="88">
        <f>'Output H2 L'!AU51</f>
        <v>0</v>
      </c>
      <c r="AY328" s="88">
        <f>'Output H2 L'!AV51</f>
        <v>0</v>
      </c>
      <c r="AZ328" s="88">
        <f>'Output H2 L'!AW51</f>
        <v>0</v>
      </c>
      <c r="BA328" s="88">
        <f>'Output H2 L'!AX51</f>
        <v>0</v>
      </c>
      <c r="BB328" s="88">
        <f>'Output H2 L'!AY51</f>
        <v>0</v>
      </c>
      <c r="BC328" s="88">
        <f>'Output H2 L'!AZ51</f>
        <v>0</v>
      </c>
      <c r="BD328" s="88">
        <f>'Output H2 L'!BA51</f>
        <v>0</v>
      </c>
      <c r="BE328" s="88">
        <f>'Output H2 L'!BB51</f>
        <v>0</v>
      </c>
    </row>
    <row r="329" spans="5:57" ht="15.75" thickBot="1" x14ac:dyDescent="0.3">
      <c r="E329" s="1" t="str">
        <f>'Output H2 L'!B52</f>
        <v>Compressor L</v>
      </c>
      <c r="F329" s="1" t="str">
        <f>'Output H2 L'!C52</f>
        <v>[MW]</v>
      </c>
      <c r="J329" s="88">
        <f>'Output H2 L'!G52</f>
        <v>0</v>
      </c>
      <c r="K329" s="88">
        <f>'Output H2 L'!H52</f>
        <v>0</v>
      </c>
      <c r="L329" s="88">
        <f>'Output H2 L'!I52</f>
        <v>0</v>
      </c>
      <c r="M329" s="88">
        <f>'Output H2 L'!J52</f>
        <v>0</v>
      </c>
      <c r="N329" s="88">
        <f>'Output H2 L'!K52</f>
        <v>0</v>
      </c>
      <c r="O329" s="88">
        <f>'Output H2 L'!L52</f>
        <v>0</v>
      </c>
      <c r="P329" s="88">
        <f>'Output H2 L'!M52</f>
        <v>0</v>
      </c>
      <c r="Q329" s="88">
        <f>'Output H2 L'!N52</f>
        <v>0</v>
      </c>
      <c r="R329" s="88">
        <f>'Output H2 L'!O52</f>
        <v>0</v>
      </c>
      <c r="S329" s="88">
        <f>'Output H2 L'!P52</f>
        <v>0</v>
      </c>
      <c r="T329" s="88">
        <f>'Output H2 L'!Q52</f>
        <v>0</v>
      </c>
      <c r="U329" s="88">
        <f>'Output H2 L'!R52</f>
        <v>0</v>
      </c>
      <c r="V329" s="88">
        <f>'Output H2 L'!S52</f>
        <v>0</v>
      </c>
      <c r="W329" s="88">
        <f>'Output H2 L'!T52</f>
        <v>1.0150752107111509</v>
      </c>
      <c r="X329" s="88">
        <f>'Output H2 L'!U52</f>
        <v>1.0150752107111509</v>
      </c>
      <c r="Y329" s="88">
        <f>'Output H2 L'!V52</f>
        <v>1.0150752107111509</v>
      </c>
      <c r="Z329" s="88">
        <f>'Output H2 L'!W52</f>
        <v>1.0150752107111509</v>
      </c>
      <c r="AA329" s="88">
        <f>'Output H2 L'!X52</f>
        <v>1.0150752107111509</v>
      </c>
      <c r="AB329" s="88">
        <f>'Output H2 L'!Y52</f>
        <v>1.0150752107111509</v>
      </c>
      <c r="AC329" s="88">
        <f>'Output H2 L'!Z52</f>
        <v>1.0150752107111509</v>
      </c>
      <c r="AD329" s="88">
        <f>'Output H2 L'!AA52</f>
        <v>1.0150752107111509</v>
      </c>
      <c r="AE329" s="88">
        <f>'Output H2 L'!AB52</f>
        <v>1.0150752107111509</v>
      </c>
      <c r="AF329" s="88">
        <f>'Output H2 L'!AC52</f>
        <v>1.0150752107111509</v>
      </c>
      <c r="AG329" s="88">
        <f>'Output H2 L'!AD52</f>
        <v>1.0150752107111509</v>
      </c>
      <c r="AH329" s="88">
        <f>'Output H2 L'!AE52</f>
        <v>1.0150752107111509</v>
      </c>
      <c r="AI329" s="88">
        <f>'Output H2 L'!AF52</f>
        <v>1.0150752107111509</v>
      </c>
      <c r="AJ329" s="88">
        <f>'Output H2 L'!AG52</f>
        <v>1.0150752107111509</v>
      </c>
      <c r="AK329" s="88">
        <f>'Output H2 L'!AH52</f>
        <v>1.0150752107111509</v>
      </c>
      <c r="AL329" s="88">
        <f>'Output H2 L'!AI52</f>
        <v>1.0150752107111509</v>
      </c>
      <c r="AM329" s="88">
        <f>'Output H2 L'!AJ52</f>
        <v>1.0150752107111509</v>
      </c>
      <c r="AN329" s="88">
        <f>'Output H2 L'!AK52</f>
        <v>1.0150752107111509</v>
      </c>
      <c r="AO329" s="88">
        <f>'Output H2 L'!AL52</f>
        <v>1.0150752107111509</v>
      </c>
      <c r="AP329" s="88">
        <f>'Output H2 L'!AM52</f>
        <v>1.0150752107111509</v>
      </c>
      <c r="AQ329" s="88">
        <f>'Output H2 L'!AN52</f>
        <v>0</v>
      </c>
      <c r="AR329" s="88">
        <f>'Output H2 L'!AO52</f>
        <v>0</v>
      </c>
      <c r="AS329" s="88">
        <f>'Output H2 L'!AP52</f>
        <v>0</v>
      </c>
      <c r="AT329" s="88">
        <f>'Output H2 L'!AQ52</f>
        <v>0</v>
      </c>
      <c r="AU329" s="88">
        <f>'Output H2 L'!AR52</f>
        <v>0</v>
      </c>
      <c r="AV329" s="88">
        <f>'Output H2 L'!AS52</f>
        <v>0</v>
      </c>
      <c r="AW329" s="88">
        <f>'Output H2 L'!AT52</f>
        <v>0</v>
      </c>
      <c r="AX329" s="88">
        <f>'Output H2 L'!AU52</f>
        <v>0</v>
      </c>
      <c r="AY329" s="88">
        <f>'Output H2 L'!AV52</f>
        <v>0</v>
      </c>
      <c r="AZ329" s="88">
        <f>'Output H2 L'!AW52</f>
        <v>0</v>
      </c>
      <c r="BA329" s="88">
        <f>'Output H2 L'!AX52</f>
        <v>0</v>
      </c>
      <c r="BB329" s="88">
        <f>'Output H2 L'!AY52</f>
        <v>0</v>
      </c>
      <c r="BC329" s="88">
        <f>'Output H2 L'!AZ52</f>
        <v>0</v>
      </c>
      <c r="BD329" s="88">
        <f>'Output H2 L'!BA52</f>
        <v>0</v>
      </c>
      <c r="BE329" s="88">
        <f>'Output H2 L'!BB52</f>
        <v>0</v>
      </c>
    </row>
    <row r="330" spans="5:57" ht="15.75" thickTop="1" x14ac:dyDescent="0.25">
      <c r="E330" s="1025" t="s">
        <v>1472</v>
      </c>
      <c r="F330" s="1025" t="s">
        <v>1447</v>
      </c>
      <c r="G330" s="1025"/>
      <c r="H330" s="1025"/>
      <c r="I330" s="1025"/>
      <c r="J330" s="1026">
        <f>SUM(J322:J329)</f>
        <v>0</v>
      </c>
      <c r="K330" s="1026">
        <f t="shared" ref="K330:AX330" si="132">SUM(K322:K329)</f>
        <v>0</v>
      </c>
      <c r="L330" s="1026">
        <f t="shared" si="132"/>
        <v>0</v>
      </c>
      <c r="M330" s="1026">
        <f t="shared" si="132"/>
        <v>0</v>
      </c>
      <c r="N330" s="1026">
        <f t="shared" si="132"/>
        <v>20</v>
      </c>
      <c r="O330" s="1026">
        <f t="shared" si="132"/>
        <v>20</v>
      </c>
      <c r="P330" s="1026">
        <f t="shared" si="132"/>
        <v>20</v>
      </c>
      <c r="Q330" s="1026">
        <f t="shared" si="132"/>
        <v>20</v>
      </c>
      <c r="R330" s="1026">
        <f t="shared" si="132"/>
        <v>30.11971706980685</v>
      </c>
      <c r="S330" s="1026">
        <f t="shared" si="132"/>
        <v>30.11971706980685</v>
      </c>
      <c r="T330" s="1026">
        <f t="shared" si="132"/>
        <v>30.11971706980685</v>
      </c>
      <c r="U330" s="1026">
        <f t="shared" si="132"/>
        <v>30.11971706980685</v>
      </c>
      <c r="V330" s="1026">
        <f t="shared" si="132"/>
        <v>30.11971706980685</v>
      </c>
      <c r="W330" s="1026">
        <f t="shared" si="132"/>
        <v>121.25807521071114</v>
      </c>
      <c r="X330" s="1026">
        <f t="shared" si="132"/>
        <v>121.25807521071114</v>
      </c>
      <c r="Y330" s="1026">
        <f t="shared" si="132"/>
        <v>121.25807521071114</v>
      </c>
      <c r="Z330" s="1026">
        <f t="shared" si="132"/>
        <v>121.25807521071114</v>
      </c>
      <c r="AA330" s="1026">
        <f t="shared" si="132"/>
        <v>121.25807521071114</v>
      </c>
      <c r="AB330" s="1026">
        <f t="shared" si="132"/>
        <v>121.25807521071114</v>
      </c>
      <c r="AC330" s="1026">
        <f t="shared" si="132"/>
        <v>121.25807521071114</v>
      </c>
      <c r="AD330" s="1026">
        <f t="shared" si="132"/>
        <v>121.25807521071114</v>
      </c>
      <c r="AE330" s="1026">
        <f t="shared" si="132"/>
        <v>121.25807521071114</v>
      </c>
      <c r="AF330" s="1026">
        <f t="shared" si="132"/>
        <v>121.25807521071114</v>
      </c>
      <c r="AG330" s="1026">
        <f t="shared" si="132"/>
        <v>121.25807521071114</v>
      </c>
      <c r="AH330" s="1026">
        <f t="shared" si="132"/>
        <v>121.25807521071114</v>
      </c>
      <c r="AI330" s="1026">
        <f t="shared" si="132"/>
        <v>121.25807521071114</v>
      </c>
      <c r="AJ330" s="1026">
        <f t="shared" si="132"/>
        <v>121.25807521071114</v>
      </c>
      <c r="AK330" s="1026">
        <f t="shared" si="132"/>
        <v>121.25807521071114</v>
      </c>
      <c r="AL330" s="1026">
        <f t="shared" si="132"/>
        <v>121.25807521071114</v>
      </c>
      <c r="AM330" s="1026">
        <f t="shared" si="132"/>
        <v>121.25807521071114</v>
      </c>
      <c r="AN330" s="1026">
        <f t="shared" si="132"/>
        <v>121.25807521071114</v>
      </c>
      <c r="AO330" s="1026">
        <f t="shared" si="132"/>
        <v>121.25807521071114</v>
      </c>
      <c r="AP330" s="1026">
        <f t="shared" si="132"/>
        <v>121.25807521071114</v>
      </c>
      <c r="AQ330" s="1026">
        <f t="shared" si="132"/>
        <v>20</v>
      </c>
      <c r="AR330" s="1026">
        <f t="shared" si="132"/>
        <v>20</v>
      </c>
      <c r="AS330" s="1026">
        <f t="shared" si="132"/>
        <v>20</v>
      </c>
      <c r="AT330" s="1026">
        <f t="shared" si="132"/>
        <v>20</v>
      </c>
      <c r="AU330" s="1026">
        <f t="shared" si="132"/>
        <v>20</v>
      </c>
      <c r="AV330" s="1026">
        <f t="shared" si="132"/>
        <v>20</v>
      </c>
      <c r="AW330" s="1026">
        <f t="shared" si="132"/>
        <v>20</v>
      </c>
      <c r="AX330" s="1026">
        <f t="shared" si="132"/>
        <v>20</v>
      </c>
      <c r="AY330" s="1026">
        <f t="shared" ref="AY330:BE330" si="133">SUM(AY322:AY329)</f>
        <v>20</v>
      </c>
      <c r="AZ330" s="1026">
        <f t="shared" si="133"/>
        <v>20</v>
      </c>
      <c r="BA330" s="1026">
        <f t="shared" si="133"/>
        <v>20</v>
      </c>
      <c r="BB330" s="1026">
        <f t="shared" si="133"/>
        <v>20</v>
      </c>
      <c r="BC330" s="1026">
        <f t="shared" si="133"/>
        <v>20</v>
      </c>
      <c r="BD330" s="1026">
        <f t="shared" si="133"/>
        <v>20</v>
      </c>
      <c r="BE330" s="1026">
        <f t="shared" si="133"/>
        <v>20</v>
      </c>
    </row>
    <row r="331" spans="5:57" x14ac:dyDescent="0.25">
      <c r="E331" s="2" t="s">
        <v>1649</v>
      </c>
      <c r="F331" s="2" t="s">
        <v>1447</v>
      </c>
      <c r="G331" s="2"/>
      <c r="H331" s="2"/>
      <c r="I331" s="2"/>
      <c r="J331" s="85">
        <f>MAX(0,J330-J323-SUM(J327:J329)-J322-SUM(I324:I326))</f>
        <v>0</v>
      </c>
      <c r="K331" s="85">
        <f t="shared" ref="K331:BE331" si="134">MAX(0,K330-K323-SUM(K327:K329)-K322-SUM(J324:J326))</f>
        <v>0</v>
      </c>
      <c r="L331" s="85">
        <f t="shared" si="134"/>
        <v>0</v>
      </c>
      <c r="M331" s="85">
        <f t="shared" si="134"/>
        <v>0</v>
      </c>
      <c r="N331" s="85">
        <f t="shared" si="134"/>
        <v>0</v>
      </c>
      <c r="O331" s="85">
        <f t="shared" si="134"/>
        <v>0</v>
      </c>
      <c r="P331" s="85">
        <f t="shared" si="134"/>
        <v>0</v>
      </c>
      <c r="Q331" s="85">
        <f t="shared" si="134"/>
        <v>0</v>
      </c>
      <c r="R331" s="85">
        <f t="shared" si="134"/>
        <v>10.11971706980685</v>
      </c>
      <c r="S331" s="85">
        <f t="shared" si="134"/>
        <v>1.7763568394002505E-15</v>
      </c>
      <c r="T331" s="85">
        <f t="shared" si="134"/>
        <v>1.7763568394002505E-15</v>
      </c>
      <c r="U331" s="85">
        <f t="shared" si="134"/>
        <v>1.7763568394002505E-15</v>
      </c>
      <c r="V331" s="85">
        <f t="shared" si="134"/>
        <v>1.7763568394002505E-15</v>
      </c>
      <c r="W331" s="85">
        <f t="shared" si="134"/>
        <v>0</v>
      </c>
      <c r="X331" s="85">
        <f t="shared" si="134"/>
        <v>0</v>
      </c>
      <c r="Y331" s="85">
        <f t="shared" si="134"/>
        <v>0</v>
      </c>
      <c r="Z331" s="85">
        <f t="shared" si="134"/>
        <v>0</v>
      </c>
      <c r="AA331" s="85">
        <f t="shared" si="134"/>
        <v>0</v>
      </c>
      <c r="AB331" s="85">
        <f t="shared" si="134"/>
        <v>0</v>
      </c>
      <c r="AC331" s="85">
        <f t="shared" si="134"/>
        <v>0</v>
      </c>
      <c r="AD331" s="85">
        <f t="shared" si="134"/>
        <v>0</v>
      </c>
      <c r="AE331" s="85">
        <f t="shared" si="134"/>
        <v>0</v>
      </c>
      <c r="AF331" s="85">
        <f t="shared" si="134"/>
        <v>0</v>
      </c>
      <c r="AG331" s="85">
        <f t="shared" si="134"/>
        <v>0</v>
      </c>
      <c r="AH331" s="85">
        <f t="shared" si="134"/>
        <v>0</v>
      </c>
      <c r="AI331" s="85">
        <f t="shared" si="134"/>
        <v>0</v>
      </c>
      <c r="AJ331" s="85">
        <f t="shared" si="134"/>
        <v>0</v>
      </c>
      <c r="AK331" s="85">
        <f t="shared" si="134"/>
        <v>0</v>
      </c>
      <c r="AL331" s="85">
        <f t="shared" si="134"/>
        <v>0</v>
      </c>
      <c r="AM331" s="85">
        <f t="shared" si="134"/>
        <v>0</v>
      </c>
      <c r="AN331" s="85">
        <f t="shared" si="134"/>
        <v>0</v>
      </c>
      <c r="AO331" s="85">
        <f t="shared" si="134"/>
        <v>0</v>
      </c>
      <c r="AP331" s="85">
        <f t="shared" si="134"/>
        <v>0</v>
      </c>
      <c r="AQ331" s="85">
        <f t="shared" si="134"/>
        <v>0</v>
      </c>
      <c r="AR331" s="85">
        <f t="shared" si="134"/>
        <v>0</v>
      </c>
      <c r="AS331" s="85">
        <f t="shared" si="134"/>
        <v>0</v>
      </c>
      <c r="AT331" s="85">
        <f t="shared" si="134"/>
        <v>0</v>
      </c>
      <c r="AU331" s="85">
        <f t="shared" si="134"/>
        <v>0</v>
      </c>
      <c r="AV331" s="85">
        <f t="shared" si="134"/>
        <v>0</v>
      </c>
      <c r="AW331" s="85">
        <f t="shared" si="134"/>
        <v>0</v>
      </c>
      <c r="AX331" s="85">
        <f t="shared" si="134"/>
        <v>0</v>
      </c>
      <c r="AY331" s="85">
        <f t="shared" si="134"/>
        <v>0</v>
      </c>
      <c r="AZ331" s="85">
        <f t="shared" si="134"/>
        <v>0</v>
      </c>
      <c r="BA331" s="85">
        <f t="shared" si="134"/>
        <v>0</v>
      </c>
      <c r="BB331" s="85">
        <f t="shared" si="134"/>
        <v>0</v>
      </c>
      <c r="BC331" s="85">
        <f t="shared" si="134"/>
        <v>0</v>
      </c>
      <c r="BD331" s="85">
        <f t="shared" si="134"/>
        <v>0</v>
      </c>
      <c r="BE331" s="85">
        <f t="shared" si="134"/>
        <v>0</v>
      </c>
    </row>
    <row r="332" spans="5:57" x14ac:dyDescent="0.25">
      <c r="E332" s="2" t="s">
        <v>1650</v>
      </c>
      <c r="F332" s="2" t="s">
        <v>1447</v>
      </c>
      <c r="G332" s="2"/>
      <c r="H332" s="2"/>
      <c r="I332" s="2"/>
      <c r="J332" s="85">
        <f>MAX(0,J330-J323-SUM(J324:J326)-SUM(I327:I329)-J322)</f>
        <v>0</v>
      </c>
      <c r="K332" s="85">
        <f t="shared" ref="K332:BE332" si="135">MAX(0,K330-K323-SUM(K324:K326)-SUM(J327:J329)-K322)</f>
        <v>0</v>
      </c>
      <c r="L332" s="85">
        <f t="shared" si="135"/>
        <v>0</v>
      </c>
      <c r="M332" s="85">
        <f t="shared" si="135"/>
        <v>0</v>
      </c>
      <c r="N332" s="85">
        <f t="shared" si="135"/>
        <v>0</v>
      </c>
      <c r="O332" s="85">
        <f t="shared" si="135"/>
        <v>0</v>
      </c>
      <c r="P332" s="85">
        <f t="shared" si="135"/>
        <v>0</v>
      </c>
      <c r="Q332" s="85">
        <f t="shared" si="135"/>
        <v>0</v>
      </c>
      <c r="R332" s="85">
        <f t="shared" si="135"/>
        <v>0</v>
      </c>
      <c r="S332" s="85">
        <f t="shared" si="135"/>
        <v>0</v>
      </c>
      <c r="T332" s="85">
        <f t="shared" si="135"/>
        <v>0</v>
      </c>
      <c r="U332" s="85">
        <f t="shared" si="135"/>
        <v>0</v>
      </c>
      <c r="V332" s="85">
        <f t="shared" si="135"/>
        <v>0</v>
      </c>
      <c r="W332" s="85">
        <f t="shared" si="135"/>
        <v>101.25807521071114</v>
      </c>
      <c r="X332" s="85">
        <f t="shared" si="135"/>
        <v>0</v>
      </c>
      <c r="Y332" s="85">
        <f t="shared" si="135"/>
        <v>0</v>
      </c>
      <c r="Z332" s="85">
        <f t="shared" si="135"/>
        <v>0</v>
      </c>
      <c r="AA332" s="85">
        <f t="shared" si="135"/>
        <v>0</v>
      </c>
      <c r="AB332" s="85">
        <f t="shared" si="135"/>
        <v>0</v>
      </c>
      <c r="AC332" s="85">
        <f t="shared" si="135"/>
        <v>0</v>
      </c>
      <c r="AD332" s="85">
        <f t="shared" si="135"/>
        <v>0</v>
      </c>
      <c r="AE332" s="85">
        <f t="shared" si="135"/>
        <v>0</v>
      </c>
      <c r="AF332" s="85">
        <f t="shared" si="135"/>
        <v>0</v>
      </c>
      <c r="AG332" s="85">
        <f t="shared" si="135"/>
        <v>0</v>
      </c>
      <c r="AH332" s="85">
        <f t="shared" si="135"/>
        <v>0</v>
      </c>
      <c r="AI332" s="85">
        <f t="shared" si="135"/>
        <v>0</v>
      </c>
      <c r="AJ332" s="85">
        <f t="shared" si="135"/>
        <v>0</v>
      </c>
      <c r="AK332" s="85">
        <f t="shared" si="135"/>
        <v>0</v>
      </c>
      <c r="AL332" s="85">
        <f t="shared" si="135"/>
        <v>0</v>
      </c>
      <c r="AM332" s="85">
        <f t="shared" si="135"/>
        <v>0</v>
      </c>
      <c r="AN332" s="85">
        <f t="shared" si="135"/>
        <v>0</v>
      </c>
      <c r="AO332" s="85">
        <f t="shared" si="135"/>
        <v>0</v>
      </c>
      <c r="AP332" s="85">
        <f t="shared" si="135"/>
        <v>0</v>
      </c>
      <c r="AQ332" s="85">
        <f t="shared" si="135"/>
        <v>0</v>
      </c>
      <c r="AR332" s="85">
        <f t="shared" si="135"/>
        <v>0</v>
      </c>
      <c r="AS332" s="85">
        <f t="shared" si="135"/>
        <v>0</v>
      </c>
      <c r="AT332" s="85">
        <f t="shared" si="135"/>
        <v>0</v>
      </c>
      <c r="AU332" s="85">
        <f t="shared" si="135"/>
        <v>0</v>
      </c>
      <c r="AV332" s="85">
        <f t="shared" si="135"/>
        <v>0</v>
      </c>
      <c r="AW332" s="85">
        <f t="shared" si="135"/>
        <v>0</v>
      </c>
      <c r="AX332" s="85">
        <f t="shared" si="135"/>
        <v>0</v>
      </c>
      <c r="AY332" s="85">
        <f t="shared" si="135"/>
        <v>0</v>
      </c>
      <c r="AZ332" s="85">
        <f t="shared" si="135"/>
        <v>0</v>
      </c>
      <c r="BA332" s="85">
        <f t="shared" si="135"/>
        <v>0</v>
      </c>
      <c r="BB332" s="85">
        <f t="shared" si="135"/>
        <v>0</v>
      </c>
      <c r="BC332" s="85">
        <f t="shared" si="135"/>
        <v>0</v>
      </c>
      <c r="BD332" s="85">
        <f t="shared" si="135"/>
        <v>0</v>
      </c>
      <c r="BE332" s="85">
        <f t="shared" si="135"/>
        <v>0</v>
      </c>
    </row>
    <row r="333" spans="5:57" x14ac:dyDescent="0.25">
      <c r="E333" s="2" t="s">
        <v>1651</v>
      </c>
      <c r="F333" s="2" t="s">
        <v>1447</v>
      </c>
      <c r="G333" s="2"/>
      <c r="H333" s="2"/>
      <c r="I333" s="2"/>
      <c r="J333" s="1028">
        <f>MAX(0,J330-SUM(J324:J326)-SUM(J327:J329)-J322-I323)</f>
        <v>0</v>
      </c>
      <c r="K333" s="1028">
        <f t="shared" ref="K333:BE333" si="136">MAX(0,K330-SUM(K324:K326)-SUM(K327:K329)-K322-J323)</f>
        <v>0</v>
      </c>
      <c r="L333" s="1028">
        <f t="shared" si="136"/>
        <v>0</v>
      </c>
      <c r="M333" s="1028">
        <f t="shared" si="136"/>
        <v>0</v>
      </c>
      <c r="N333" s="1028">
        <f t="shared" si="136"/>
        <v>0</v>
      </c>
      <c r="O333" s="1028">
        <f t="shared" si="136"/>
        <v>0</v>
      </c>
      <c r="P333" s="1028">
        <f t="shared" si="136"/>
        <v>0</v>
      </c>
      <c r="Q333" s="1028">
        <f t="shared" si="136"/>
        <v>0</v>
      </c>
      <c r="R333" s="1028">
        <f t="shared" si="136"/>
        <v>0</v>
      </c>
      <c r="S333" s="1028">
        <f t="shared" si="136"/>
        <v>0</v>
      </c>
      <c r="T333" s="1028">
        <f t="shared" si="136"/>
        <v>0</v>
      </c>
      <c r="U333" s="1028">
        <f t="shared" si="136"/>
        <v>0</v>
      </c>
      <c r="V333" s="1028">
        <f t="shared" si="136"/>
        <v>0</v>
      </c>
      <c r="W333" s="1028">
        <f t="shared" si="136"/>
        <v>0</v>
      </c>
      <c r="X333" s="1028">
        <f t="shared" si="136"/>
        <v>0</v>
      </c>
      <c r="Y333" s="1028">
        <f t="shared" si="136"/>
        <v>0</v>
      </c>
      <c r="Z333" s="1028">
        <f t="shared" si="136"/>
        <v>0</v>
      </c>
      <c r="AA333" s="1028">
        <f t="shared" si="136"/>
        <v>0</v>
      </c>
      <c r="AB333" s="1028">
        <f t="shared" si="136"/>
        <v>0</v>
      </c>
      <c r="AC333" s="1028">
        <f t="shared" si="136"/>
        <v>0</v>
      </c>
      <c r="AD333" s="1028">
        <f t="shared" si="136"/>
        <v>0</v>
      </c>
      <c r="AE333" s="1028">
        <f t="shared" si="136"/>
        <v>0</v>
      </c>
      <c r="AF333" s="1028">
        <f t="shared" si="136"/>
        <v>0</v>
      </c>
      <c r="AG333" s="1028">
        <f t="shared" si="136"/>
        <v>0</v>
      </c>
      <c r="AH333" s="1028">
        <f t="shared" si="136"/>
        <v>0</v>
      </c>
      <c r="AI333" s="1028">
        <f t="shared" si="136"/>
        <v>0</v>
      </c>
      <c r="AJ333" s="1028">
        <f t="shared" si="136"/>
        <v>0</v>
      </c>
      <c r="AK333" s="1028">
        <f t="shared" si="136"/>
        <v>0</v>
      </c>
      <c r="AL333" s="1028">
        <f t="shared" si="136"/>
        <v>0</v>
      </c>
      <c r="AM333" s="1028">
        <f t="shared" si="136"/>
        <v>0</v>
      </c>
      <c r="AN333" s="1028">
        <f t="shared" si="136"/>
        <v>0</v>
      </c>
      <c r="AO333" s="1028">
        <f t="shared" si="136"/>
        <v>0</v>
      </c>
      <c r="AP333" s="1028">
        <f t="shared" si="136"/>
        <v>0</v>
      </c>
      <c r="AQ333" s="1028">
        <f t="shared" si="136"/>
        <v>0</v>
      </c>
      <c r="AR333" s="1028">
        <f t="shared" si="136"/>
        <v>0</v>
      </c>
      <c r="AS333" s="1028">
        <f t="shared" si="136"/>
        <v>0</v>
      </c>
      <c r="AT333" s="1028">
        <f t="shared" si="136"/>
        <v>0</v>
      </c>
      <c r="AU333" s="1028">
        <f t="shared" si="136"/>
        <v>0</v>
      </c>
      <c r="AV333" s="1028">
        <f t="shared" si="136"/>
        <v>0</v>
      </c>
      <c r="AW333" s="1028">
        <f t="shared" si="136"/>
        <v>0</v>
      </c>
      <c r="AX333" s="1028">
        <f t="shared" si="136"/>
        <v>0</v>
      </c>
      <c r="AY333" s="1028">
        <f t="shared" si="136"/>
        <v>0</v>
      </c>
      <c r="AZ333" s="1028">
        <f t="shared" si="136"/>
        <v>0</v>
      </c>
      <c r="BA333" s="1028">
        <f t="shared" si="136"/>
        <v>0</v>
      </c>
      <c r="BB333" s="1028">
        <f t="shared" si="136"/>
        <v>0</v>
      </c>
      <c r="BC333" s="1028">
        <f t="shared" si="136"/>
        <v>0</v>
      </c>
      <c r="BD333" s="1028">
        <f t="shared" si="136"/>
        <v>0</v>
      </c>
      <c r="BE333" s="1028">
        <f t="shared" si="136"/>
        <v>0</v>
      </c>
    </row>
    <row r="334" spans="5:57" x14ac:dyDescent="0.25">
      <c r="E334" s="2" t="s">
        <v>1471</v>
      </c>
      <c r="F334" s="2" t="s">
        <v>1447</v>
      </c>
      <c r="G334" s="2"/>
      <c r="H334" s="2"/>
      <c r="I334" s="2"/>
      <c r="J334" s="85">
        <f>MAX($J$330:J330)</f>
        <v>0</v>
      </c>
      <c r="K334" s="85">
        <f>MAX($J$330:K330)</f>
        <v>0</v>
      </c>
      <c r="L334" s="85">
        <f>MAX($J$330:L330)</f>
        <v>0</v>
      </c>
      <c r="M334" s="85">
        <f>MAX($J$330:M330)</f>
        <v>0</v>
      </c>
      <c r="N334" s="85">
        <f>MAX($J$330:N330)</f>
        <v>20</v>
      </c>
      <c r="O334" s="85">
        <f>MAX($J$330:O330)</f>
        <v>20</v>
      </c>
      <c r="P334" s="85">
        <f>MAX($J$330:P330)</f>
        <v>20</v>
      </c>
      <c r="Q334" s="85">
        <f>MAX($J$330:Q330)</f>
        <v>20</v>
      </c>
      <c r="R334" s="85">
        <f>MAX($J$330:R330)</f>
        <v>30.11971706980685</v>
      </c>
      <c r="S334" s="85">
        <f>MAX($J$330:S330)</f>
        <v>30.11971706980685</v>
      </c>
      <c r="T334" s="85">
        <f>MAX($J$330:T330)</f>
        <v>30.11971706980685</v>
      </c>
      <c r="U334" s="85">
        <f>MAX($J$330:U330)</f>
        <v>30.11971706980685</v>
      </c>
      <c r="V334" s="85">
        <f>MAX($J$330:V330)</f>
        <v>30.11971706980685</v>
      </c>
      <c r="W334" s="85">
        <f>MAX($J$330:W330)</f>
        <v>121.25807521071114</v>
      </c>
      <c r="X334" s="85">
        <f>MAX($J$330:X330)</f>
        <v>121.25807521071114</v>
      </c>
      <c r="Y334" s="85">
        <f>MAX($J$330:Y330)</f>
        <v>121.25807521071114</v>
      </c>
      <c r="Z334" s="85">
        <f>MAX($J$330:Z330)</f>
        <v>121.25807521071114</v>
      </c>
      <c r="AA334" s="85">
        <f>MAX($J$330:AA330)</f>
        <v>121.25807521071114</v>
      </c>
      <c r="AB334" s="85">
        <f>MAX($J$330:AB330)</f>
        <v>121.25807521071114</v>
      </c>
      <c r="AC334" s="85">
        <f>MAX($J$330:AC330)</f>
        <v>121.25807521071114</v>
      </c>
      <c r="AD334" s="85">
        <f>MAX($J$330:AD330)</f>
        <v>121.25807521071114</v>
      </c>
      <c r="AE334" s="85">
        <f>MAX($J$330:AE330)</f>
        <v>121.25807521071114</v>
      </c>
      <c r="AF334" s="85">
        <f>MAX($J$330:AF330)</f>
        <v>121.25807521071114</v>
      </c>
      <c r="AG334" s="85">
        <f>MAX($J$330:AG330)</f>
        <v>121.25807521071114</v>
      </c>
      <c r="AH334" s="85">
        <f>MAX($J$330:AH330)</f>
        <v>121.25807521071114</v>
      </c>
      <c r="AI334" s="85">
        <f>MAX($J$330:AI330)</f>
        <v>121.25807521071114</v>
      </c>
      <c r="AJ334" s="85">
        <f>MAX($J$330:AJ330)</f>
        <v>121.25807521071114</v>
      </c>
      <c r="AK334" s="85">
        <f>MAX($J$330:AK330)</f>
        <v>121.25807521071114</v>
      </c>
      <c r="AL334" s="85">
        <f>MAX($J$330:AL330)</f>
        <v>121.25807521071114</v>
      </c>
      <c r="AM334" s="85">
        <f>MAX($J$330:AM330)</f>
        <v>121.25807521071114</v>
      </c>
      <c r="AN334" s="85">
        <f>MAX($J$330:AN330)</f>
        <v>121.25807521071114</v>
      </c>
      <c r="AO334" s="85">
        <f>MAX($J$330:AO330)</f>
        <v>121.25807521071114</v>
      </c>
      <c r="AP334" s="85">
        <f>MAX($J$330:AP330)</f>
        <v>121.25807521071114</v>
      </c>
      <c r="AQ334" s="85">
        <f>MAX($J$330:AQ330)</f>
        <v>121.25807521071114</v>
      </c>
      <c r="AR334" s="85">
        <f>MAX($J$330:AR330)</f>
        <v>121.25807521071114</v>
      </c>
      <c r="AS334" s="85">
        <f>MAX($J$330:AS330)</f>
        <v>121.25807521071114</v>
      </c>
      <c r="AT334" s="85">
        <f>MAX($J$330:AT330)</f>
        <v>121.25807521071114</v>
      </c>
      <c r="AU334" s="85">
        <f>MAX($J$330:AU330)</f>
        <v>121.25807521071114</v>
      </c>
      <c r="AV334" s="85">
        <f>MAX($J$330:AV330)</f>
        <v>121.25807521071114</v>
      </c>
      <c r="AW334" s="85">
        <f>MAX($J$330:AW330)</f>
        <v>121.25807521071114</v>
      </c>
      <c r="AX334" s="85">
        <f>MAX($J$330:AX330)</f>
        <v>121.25807521071114</v>
      </c>
      <c r="AY334" s="85">
        <f>MAX($J$330:AY330)</f>
        <v>121.25807521071114</v>
      </c>
      <c r="AZ334" s="85">
        <f>MAX($J$330:AZ330)</f>
        <v>121.25807521071114</v>
      </c>
      <c r="BA334" s="85">
        <f>MAX($J$330:BA330)</f>
        <v>121.25807521071114</v>
      </c>
      <c r="BB334" s="85">
        <f>MAX($J$330:BB330)</f>
        <v>121.25807521071114</v>
      </c>
      <c r="BC334" s="85">
        <f>MAX($J$330:BC330)</f>
        <v>121.25807521071114</v>
      </c>
      <c r="BD334" s="85">
        <f>MAX($J$330:BD330)</f>
        <v>121.25807521071114</v>
      </c>
      <c r="BE334" s="85">
        <f>MAX($J$330:BE330)</f>
        <v>121.25807521071114</v>
      </c>
    </row>
    <row r="335" spans="5:57" x14ac:dyDescent="0.25">
      <c r="AI335" s="88"/>
    </row>
    <row r="336" spans="5:57" x14ac:dyDescent="0.25">
      <c r="E336" s="749" t="s">
        <v>1468</v>
      </c>
    </row>
    <row r="337" spans="5:57" x14ac:dyDescent="0.25">
      <c r="E337" s="749"/>
    </row>
    <row r="338" spans="5:57" ht="15.75" thickBot="1" x14ac:dyDescent="0.3">
      <c r="E338" s="1" t="str">
        <f>'Output CCS'!B57</f>
        <v>CO2 pipeline capacity required</v>
      </c>
      <c r="F338" s="1" t="str">
        <f>'Output CCS'!C57</f>
        <v>[kg/h]</v>
      </c>
      <c r="J338" s="348">
        <f>'Output CCS'!G57</f>
        <v>0</v>
      </c>
      <c r="K338" s="348">
        <f>'Output CCS'!H57</f>
        <v>0</v>
      </c>
      <c r="L338" s="348">
        <f>'Output CCS'!I57</f>
        <v>0</v>
      </c>
      <c r="M338" s="348">
        <f>'Output CCS'!J57</f>
        <v>0</v>
      </c>
      <c r="N338" s="348">
        <f>'Output CCS'!K57</f>
        <v>0</v>
      </c>
      <c r="O338" s="348">
        <f>'Output CCS'!L57</f>
        <v>0</v>
      </c>
      <c r="P338" s="348">
        <f>'Output CCS'!M57</f>
        <v>0</v>
      </c>
      <c r="Q338" s="348">
        <f>'Output CCS'!N57</f>
        <v>0</v>
      </c>
      <c r="R338" s="348">
        <f>'Output CCS'!O57</f>
        <v>0</v>
      </c>
      <c r="S338" s="348">
        <f>'Output CCS'!P57</f>
        <v>0</v>
      </c>
      <c r="T338" s="348">
        <f>'Output CCS'!Q57</f>
        <v>0</v>
      </c>
      <c r="U338" s="348">
        <f>'Output CCS'!R57</f>
        <v>0</v>
      </c>
      <c r="V338" s="348">
        <f>'Output CCS'!S57</f>
        <v>0</v>
      </c>
      <c r="W338" s="348">
        <f>'Output CCS'!T57</f>
        <v>0</v>
      </c>
      <c r="X338" s="348">
        <f>'Output CCS'!U57</f>
        <v>0</v>
      </c>
      <c r="Y338" s="348">
        <f>'Output CCS'!V57</f>
        <v>570776.25570776255</v>
      </c>
      <c r="Z338" s="348">
        <f>'Output CCS'!W57</f>
        <v>570776.25570776255</v>
      </c>
      <c r="AA338" s="348">
        <f>'Output CCS'!X57</f>
        <v>570776.25570776255</v>
      </c>
      <c r="AB338" s="348">
        <f>'Output CCS'!Y57</f>
        <v>570776.25570776255</v>
      </c>
      <c r="AC338" s="348">
        <f>'Output CCS'!Z57</f>
        <v>570776.25570776255</v>
      </c>
      <c r="AD338" s="348">
        <f>'Output CCS'!AA57</f>
        <v>570776.25570776255</v>
      </c>
      <c r="AE338" s="348">
        <f>'Output CCS'!AB57</f>
        <v>570776.25570776255</v>
      </c>
      <c r="AF338" s="348">
        <f>'Output CCS'!AC57</f>
        <v>570776.25570776255</v>
      </c>
      <c r="AG338" s="348">
        <f>'Output CCS'!AD57</f>
        <v>570776.25570776255</v>
      </c>
      <c r="AH338" s="348">
        <f>'Output CCS'!AE57</f>
        <v>570776.25570776255</v>
      </c>
      <c r="AI338" s="348">
        <f>'Output CCS'!AF57</f>
        <v>570776.25570776255</v>
      </c>
      <c r="AJ338" s="348">
        <f>'Output CCS'!AG57</f>
        <v>570776.25570776255</v>
      </c>
      <c r="AK338" s="348">
        <f>'Output CCS'!AH57</f>
        <v>570776.25570776255</v>
      </c>
      <c r="AL338" s="348">
        <f>'Output CCS'!AI57</f>
        <v>570776.25570776255</v>
      </c>
      <c r="AM338" s="348">
        <f>'Output CCS'!AJ57</f>
        <v>570776.25570776255</v>
      </c>
      <c r="AN338" s="348">
        <f>'Output CCS'!AK57</f>
        <v>570776.25570776255</v>
      </c>
      <c r="AO338" s="348">
        <f>'Output CCS'!AL57</f>
        <v>0</v>
      </c>
      <c r="AP338" s="348">
        <f>'Output CCS'!AM57</f>
        <v>0</v>
      </c>
      <c r="AQ338" s="348">
        <f>'Output CCS'!AN57</f>
        <v>0</v>
      </c>
      <c r="AR338" s="348">
        <f>'Output CCS'!AO57</f>
        <v>0</v>
      </c>
      <c r="AS338" s="348">
        <f>'Output CCS'!AP57</f>
        <v>0</v>
      </c>
      <c r="AT338" s="348">
        <f>'Output CCS'!AQ57</f>
        <v>0</v>
      </c>
      <c r="AU338" s="348">
        <f>'Output CCS'!AR57</f>
        <v>0</v>
      </c>
      <c r="AV338" s="348">
        <f>'Output CCS'!AS57</f>
        <v>0</v>
      </c>
      <c r="AW338" s="348">
        <f>'Output CCS'!AT57</f>
        <v>0</v>
      </c>
      <c r="AX338" s="348">
        <f>'Output CCS'!AU57</f>
        <v>0</v>
      </c>
      <c r="AY338" s="348">
        <f>'Output CCS'!AV57</f>
        <v>0</v>
      </c>
      <c r="AZ338" s="348">
        <f>'Output CCS'!AW57</f>
        <v>0</v>
      </c>
      <c r="BA338" s="348">
        <f>'Output CCS'!AX57</f>
        <v>0</v>
      </c>
      <c r="BB338" s="348">
        <f>'Output CCS'!AY57</f>
        <v>0</v>
      </c>
      <c r="BC338" s="348">
        <f>'Output CCS'!AZ57</f>
        <v>0</v>
      </c>
      <c r="BD338" s="348">
        <f>'Output CCS'!BA57</f>
        <v>0</v>
      </c>
      <c r="BE338" s="348">
        <f>'Output CCS'!BB57</f>
        <v>0</v>
      </c>
    </row>
    <row r="339" spans="5:57" ht="15.75" thickTop="1" x14ac:dyDescent="0.25">
      <c r="E339" s="1025"/>
      <c r="F339" s="1025"/>
      <c r="G339" s="1025"/>
      <c r="H339" s="1025"/>
      <c r="I339" s="1025"/>
      <c r="J339" s="1026"/>
      <c r="K339" s="1026"/>
      <c r="L339" s="1026"/>
      <c r="M339" s="1026"/>
      <c r="N339" s="1026"/>
      <c r="O339" s="1026"/>
      <c r="P339" s="1026"/>
      <c r="Q339" s="1026"/>
      <c r="R339" s="1026"/>
      <c r="S339" s="1026"/>
      <c r="T339" s="1026"/>
      <c r="U339" s="1026"/>
      <c r="V339" s="1026"/>
      <c r="W339" s="1026"/>
      <c r="X339" s="1026"/>
      <c r="Y339" s="1026"/>
      <c r="Z339" s="1026"/>
      <c r="AA339" s="1026"/>
      <c r="AB339" s="1026"/>
      <c r="AC339" s="1026"/>
      <c r="AD339" s="1026"/>
      <c r="AE339" s="1026"/>
      <c r="AF339" s="1026"/>
      <c r="AG339" s="1026"/>
      <c r="AH339" s="1026"/>
      <c r="AI339" s="1026"/>
      <c r="AJ339" s="1026"/>
      <c r="AK339" s="1026"/>
      <c r="AL339" s="1026"/>
      <c r="AM339" s="1026"/>
      <c r="AN339" s="1026"/>
      <c r="AO339" s="1026"/>
      <c r="AP339" s="1026"/>
      <c r="AQ339" s="1026"/>
      <c r="AR339" s="1026"/>
      <c r="AS339" s="1026"/>
      <c r="AT339" s="1026"/>
      <c r="AU339" s="1026"/>
      <c r="AV339" s="1026"/>
      <c r="AW339" s="1026"/>
      <c r="AX339" s="1026"/>
      <c r="AY339" s="1026"/>
      <c r="AZ339" s="1026"/>
      <c r="BA339" s="1026"/>
      <c r="BB339" s="1026"/>
      <c r="BC339" s="1026"/>
      <c r="BD339" s="1026"/>
      <c r="BE339" s="1026"/>
    </row>
    <row r="340" spans="5:57" x14ac:dyDescent="0.25">
      <c r="E340" s="1" t="str">
        <f>'Output H2 S'!B54</f>
        <v>H2 pipeline capacity required S</v>
      </c>
      <c r="F340" s="1" t="str">
        <f>'Output H2 S'!C54</f>
        <v>[kg/h]</v>
      </c>
      <c r="J340" s="88">
        <f>'Output H2 S'!G54</f>
        <v>0</v>
      </c>
      <c r="K340" s="88">
        <f>'Output H2 S'!H54</f>
        <v>0</v>
      </c>
      <c r="L340" s="88">
        <f>'Output H2 S'!I54</f>
        <v>0</v>
      </c>
      <c r="M340" s="88">
        <f>'Output H2 S'!J54</f>
        <v>0</v>
      </c>
      <c r="N340" s="88">
        <f>'Output H2 S'!K54</f>
        <v>0</v>
      </c>
      <c r="O340" s="88">
        <f>'Output H2 S'!L54</f>
        <v>0</v>
      </c>
      <c r="P340" s="88">
        <f>'Output H2 S'!M54</f>
        <v>0</v>
      </c>
      <c r="Q340" s="88">
        <f>'Output H2 S'!N54</f>
        <v>0</v>
      </c>
      <c r="R340" s="88">
        <f>'Output H2 S'!O54</f>
        <v>200</v>
      </c>
      <c r="S340" s="88">
        <f>'Output H2 S'!P54</f>
        <v>200</v>
      </c>
      <c r="T340" s="88">
        <f>'Output H2 S'!Q54</f>
        <v>200</v>
      </c>
      <c r="U340" s="88">
        <f>'Output H2 S'!R54</f>
        <v>200</v>
      </c>
      <c r="V340" s="88">
        <f>'Output H2 S'!S54</f>
        <v>200</v>
      </c>
      <c r="W340" s="88">
        <f>'Output H2 S'!T54</f>
        <v>0</v>
      </c>
      <c r="X340" s="88">
        <f>'Output H2 S'!U54</f>
        <v>0</v>
      </c>
      <c r="Y340" s="88">
        <f>'Output H2 S'!V54</f>
        <v>0</v>
      </c>
      <c r="Z340" s="88">
        <f>'Output H2 S'!W54</f>
        <v>0</v>
      </c>
      <c r="AA340" s="88">
        <f>'Output H2 S'!X54</f>
        <v>0</v>
      </c>
      <c r="AB340" s="88">
        <f>'Output H2 S'!Y54</f>
        <v>0</v>
      </c>
      <c r="AC340" s="88">
        <f>'Output H2 S'!Z54</f>
        <v>0</v>
      </c>
      <c r="AD340" s="88">
        <f>'Output H2 S'!AA54</f>
        <v>0</v>
      </c>
      <c r="AE340" s="88">
        <f>'Output H2 S'!AB54</f>
        <v>0</v>
      </c>
      <c r="AF340" s="88">
        <f>'Output H2 S'!AC54</f>
        <v>0</v>
      </c>
      <c r="AG340" s="88">
        <f>'Output H2 S'!AD54</f>
        <v>0</v>
      </c>
      <c r="AH340" s="88">
        <f>'Output H2 S'!AE54</f>
        <v>0</v>
      </c>
      <c r="AI340" s="88">
        <f>'Output H2 S'!AF54</f>
        <v>0</v>
      </c>
      <c r="AJ340" s="88">
        <f>'Output H2 S'!AG54</f>
        <v>0</v>
      </c>
      <c r="AK340" s="88">
        <f>'Output H2 S'!AH54</f>
        <v>0</v>
      </c>
      <c r="AL340" s="88">
        <f>'Output H2 S'!AI54</f>
        <v>0</v>
      </c>
      <c r="AM340" s="88">
        <f>'Output H2 S'!AJ54</f>
        <v>0</v>
      </c>
      <c r="AN340" s="88">
        <f>'Output H2 S'!AK54</f>
        <v>0</v>
      </c>
      <c r="AO340" s="88">
        <f>'Output H2 S'!AL54</f>
        <v>0</v>
      </c>
      <c r="AP340" s="88">
        <f>'Output H2 S'!AM54</f>
        <v>0</v>
      </c>
      <c r="AQ340" s="88">
        <f>'Output H2 S'!AN54</f>
        <v>0</v>
      </c>
      <c r="AR340" s="88">
        <f>'Output H2 S'!AO54</f>
        <v>0</v>
      </c>
      <c r="AS340" s="88">
        <f>'Output H2 S'!AP54</f>
        <v>0</v>
      </c>
      <c r="AT340" s="88">
        <f>'Output H2 S'!AQ54</f>
        <v>0</v>
      </c>
      <c r="AU340" s="88">
        <f>'Output H2 S'!AR54</f>
        <v>0</v>
      </c>
      <c r="AV340" s="88">
        <f>'Output H2 S'!AS54</f>
        <v>0</v>
      </c>
      <c r="AW340" s="88">
        <f>'Output H2 S'!AT54</f>
        <v>0</v>
      </c>
      <c r="AX340" s="88">
        <f>'Output H2 S'!AU54</f>
        <v>0</v>
      </c>
      <c r="AY340" s="88">
        <f>'Output H2 S'!AV54</f>
        <v>0</v>
      </c>
      <c r="AZ340" s="88">
        <f>'Output H2 S'!AW54</f>
        <v>0</v>
      </c>
      <c r="BA340" s="88">
        <f>'Output H2 S'!AX54</f>
        <v>0</v>
      </c>
      <c r="BB340" s="88">
        <f>'Output H2 S'!AY54</f>
        <v>0</v>
      </c>
      <c r="BC340" s="88">
        <f>'Output H2 S'!AZ54</f>
        <v>0</v>
      </c>
      <c r="BD340" s="88">
        <f>'Output H2 S'!BA54</f>
        <v>0</v>
      </c>
      <c r="BE340" s="88">
        <f>'Output H2 S'!BB54</f>
        <v>0</v>
      </c>
    </row>
    <row r="341" spans="5:57" ht="15.75" thickBot="1" x14ac:dyDescent="0.3">
      <c r="E341" s="1" t="str">
        <f>'Output H2 L'!B53</f>
        <v>H2 pipeline capacity required L</v>
      </c>
      <c r="F341" s="1" t="str">
        <f>'Output H2 L'!C53</f>
        <v>[kg/h]</v>
      </c>
      <c r="J341" s="88">
        <f>'Output H2 L'!G53</f>
        <v>0</v>
      </c>
      <c r="K341" s="88">
        <f>'Output H2 L'!H53</f>
        <v>0</v>
      </c>
      <c r="L341" s="88">
        <f>'Output H2 L'!I53</f>
        <v>0</v>
      </c>
      <c r="M341" s="88">
        <f>'Output H2 L'!J53</f>
        <v>0</v>
      </c>
      <c r="N341" s="88">
        <f>'Output H2 L'!K53</f>
        <v>0</v>
      </c>
      <c r="O341" s="88">
        <f>'Output H2 L'!L53</f>
        <v>0</v>
      </c>
      <c r="P341" s="88">
        <f>'Output H2 L'!M53</f>
        <v>0</v>
      </c>
      <c r="Q341" s="88">
        <f>'Output H2 L'!N53</f>
        <v>0</v>
      </c>
      <c r="R341" s="88">
        <f>'Output H2 L'!O53</f>
        <v>0</v>
      </c>
      <c r="S341" s="88">
        <f>'Output H2 L'!P53</f>
        <v>0</v>
      </c>
      <c r="T341" s="88">
        <f>'Output H2 L'!Q53</f>
        <v>0</v>
      </c>
      <c r="U341" s="88">
        <f>'Output H2 L'!R53</f>
        <v>0</v>
      </c>
      <c r="V341" s="88">
        <f>'Output H2 L'!S53</f>
        <v>0</v>
      </c>
      <c r="W341" s="88">
        <f>'Output H2 L'!T53</f>
        <v>2127.6595744680849</v>
      </c>
      <c r="X341" s="88">
        <f>'Output H2 L'!U53</f>
        <v>2127.6595744680849</v>
      </c>
      <c r="Y341" s="88">
        <f>'Output H2 L'!V53</f>
        <v>2127.6595744680849</v>
      </c>
      <c r="Z341" s="88">
        <f>'Output H2 L'!W53</f>
        <v>2127.6595744680849</v>
      </c>
      <c r="AA341" s="88">
        <f>'Output H2 L'!X53</f>
        <v>2127.6595744680849</v>
      </c>
      <c r="AB341" s="88">
        <f>'Output H2 L'!Y53</f>
        <v>2127.6595744680849</v>
      </c>
      <c r="AC341" s="88">
        <f>'Output H2 L'!Z53</f>
        <v>2127.6595744680849</v>
      </c>
      <c r="AD341" s="88">
        <f>'Output H2 L'!AA53</f>
        <v>2127.6595744680849</v>
      </c>
      <c r="AE341" s="88">
        <f>'Output H2 L'!AB53</f>
        <v>2127.6595744680849</v>
      </c>
      <c r="AF341" s="88">
        <f>'Output H2 L'!AC53</f>
        <v>2127.6595744680849</v>
      </c>
      <c r="AG341" s="88">
        <f>'Output H2 L'!AD53</f>
        <v>2127.6595744680849</v>
      </c>
      <c r="AH341" s="88">
        <f>'Output H2 L'!AE53</f>
        <v>2127.6595744680849</v>
      </c>
      <c r="AI341" s="88">
        <f>'Output H2 L'!AF53</f>
        <v>2127.6595744680849</v>
      </c>
      <c r="AJ341" s="88">
        <f>'Output H2 L'!AG53</f>
        <v>2127.6595744680849</v>
      </c>
      <c r="AK341" s="88">
        <f>'Output H2 L'!AH53</f>
        <v>2127.6595744680849</v>
      </c>
      <c r="AL341" s="88">
        <f>'Output H2 L'!AI53</f>
        <v>2127.6595744680849</v>
      </c>
      <c r="AM341" s="88">
        <f>'Output H2 L'!AJ53</f>
        <v>2127.6595744680849</v>
      </c>
      <c r="AN341" s="88">
        <f>'Output H2 L'!AK53</f>
        <v>2127.6595744680849</v>
      </c>
      <c r="AO341" s="88">
        <f>'Output H2 L'!AL53</f>
        <v>2127.6595744680849</v>
      </c>
      <c r="AP341" s="88">
        <f>'Output H2 L'!AM53</f>
        <v>2127.6595744680849</v>
      </c>
      <c r="AQ341" s="88">
        <f>'Output H2 L'!AN53</f>
        <v>0</v>
      </c>
      <c r="AR341" s="88">
        <f>'Output H2 L'!AO53</f>
        <v>0</v>
      </c>
      <c r="AS341" s="88">
        <f>'Output H2 L'!AP53</f>
        <v>0</v>
      </c>
      <c r="AT341" s="88">
        <f>'Output H2 L'!AQ53</f>
        <v>0</v>
      </c>
      <c r="AU341" s="88">
        <f>'Output H2 L'!AR53</f>
        <v>0</v>
      </c>
      <c r="AV341" s="88">
        <f>'Output H2 L'!AS53</f>
        <v>0</v>
      </c>
      <c r="AW341" s="88">
        <f>'Output H2 L'!AT53</f>
        <v>0</v>
      </c>
      <c r="AX341" s="88">
        <f>'Output H2 L'!AU53</f>
        <v>0</v>
      </c>
      <c r="AY341" s="88">
        <f>'Output H2 L'!AV53</f>
        <v>0</v>
      </c>
      <c r="AZ341" s="88">
        <f>'Output H2 L'!AW53</f>
        <v>0</v>
      </c>
      <c r="BA341" s="88">
        <f>'Output H2 L'!AX53</f>
        <v>0</v>
      </c>
      <c r="BB341" s="88">
        <f>'Output H2 L'!AY53</f>
        <v>0</v>
      </c>
      <c r="BC341" s="88">
        <f>'Output H2 L'!AZ53</f>
        <v>0</v>
      </c>
      <c r="BD341" s="88">
        <f>'Output H2 L'!BA53</f>
        <v>0</v>
      </c>
      <c r="BE341" s="88">
        <f>'Output H2 L'!BB53</f>
        <v>0</v>
      </c>
    </row>
    <row r="342" spans="5:57" ht="15.75" thickTop="1" x14ac:dyDescent="0.25">
      <c r="E342" s="1025" t="s">
        <v>1470</v>
      </c>
      <c r="F342" s="1025" t="s">
        <v>1451</v>
      </c>
      <c r="G342" s="1025"/>
      <c r="H342" s="1025"/>
      <c r="I342" s="1025"/>
      <c r="J342" s="1027">
        <f>SUM(J340:J341)</f>
        <v>0</v>
      </c>
      <c r="K342" s="1027">
        <f t="shared" ref="K342:AX342" si="137">SUM(K340:K341)</f>
        <v>0</v>
      </c>
      <c r="L342" s="1027">
        <f t="shared" si="137"/>
        <v>0</v>
      </c>
      <c r="M342" s="1027">
        <f t="shared" si="137"/>
        <v>0</v>
      </c>
      <c r="N342" s="1027">
        <f t="shared" si="137"/>
        <v>0</v>
      </c>
      <c r="O342" s="1027">
        <f t="shared" si="137"/>
        <v>0</v>
      </c>
      <c r="P342" s="1027">
        <f t="shared" si="137"/>
        <v>0</v>
      </c>
      <c r="Q342" s="1027">
        <f t="shared" si="137"/>
        <v>0</v>
      </c>
      <c r="R342" s="1027">
        <f t="shared" si="137"/>
        <v>200</v>
      </c>
      <c r="S342" s="1027">
        <f t="shared" si="137"/>
        <v>200</v>
      </c>
      <c r="T342" s="1027">
        <f t="shared" si="137"/>
        <v>200</v>
      </c>
      <c r="U342" s="1027">
        <f t="shared" si="137"/>
        <v>200</v>
      </c>
      <c r="V342" s="1027">
        <f t="shared" si="137"/>
        <v>200</v>
      </c>
      <c r="W342" s="1027">
        <f t="shared" si="137"/>
        <v>2127.6595744680849</v>
      </c>
      <c r="X342" s="1027">
        <f t="shared" si="137"/>
        <v>2127.6595744680849</v>
      </c>
      <c r="Y342" s="1027">
        <f t="shared" si="137"/>
        <v>2127.6595744680849</v>
      </c>
      <c r="Z342" s="1027">
        <f t="shared" si="137"/>
        <v>2127.6595744680849</v>
      </c>
      <c r="AA342" s="1027">
        <f t="shared" si="137"/>
        <v>2127.6595744680849</v>
      </c>
      <c r="AB342" s="1027">
        <f t="shared" si="137"/>
        <v>2127.6595744680849</v>
      </c>
      <c r="AC342" s="1027">
        <f t="shared" si="137"/>
        <v>2127.6595744680849</v>
      </c>
      <c r="AD342" s="1027">
        <f t="shared" si="137"/>
        <v>2127.6595744680849</v>
      </c>
      <c r="AE342" s="1027">
        <f t="shared" si="137"/>
        <v>2127.6595744680849</v>
      </c>
      <c r="AF342" s="1027">
        <f t="shared" si="137"/>
        <v>2127.6595744680849</v>
      </c>
      <c r="AG342" s="1027">
        <f t="shared" si="137"/>
        <v>2127.6595744680849</v>
      </c>
      <c r="AH342" s="1027">
        <f t="shared" si="137"/>
        <v>2127.6595744680849</v>
      </c>
      <c r="AI342" s="1027">
        <f t="shared" si="137"/>
        <v>2127.6595744680849</v>
      </c>
      <c r="AJ342" s="1027">
        <f t="shared" si="137"/>
        <v>2127.6595744680849</v>
      </c>
      <c r="AK342" s="1027">
        <f t="shared" si="137"/>
        <v>2127.6595744680849</v>
      </c>
      <c r="AL342" s="1027">
        <f t="shared" si="137"/>
        <v>2127.6595744680849</v>
      </c>
      <c r="AM342" s="1027">
        <f t="shared" si="137"/>
        <v>2127.6595744680849</v>
      </c>
      <c r="AN342" s="1027">
        <f t="shared" si="137"/>
        <v>2127.6595744680849</v>
      </c>
      <c r="AO342" s="1027">
        <f t="shared" si="137"/>
        <v>2127.6595744680849</v>
      </c>
      <c r="AP342" s="1027">
        <f t="shared" si="137"/>
        <v>2127.6595744680849</v>
      </c>
      <c r="AQ342" s="1027">
        <f t="shared" si="137"/>
        <v>0</v>
      </c>
      <c r="AR342" s="1027">
        <f t="shared" si="137"/>
        <v>0</v>
      </c>
      <c r="AS342" s="1027">
        <f t="shared" si="137"/>
        <v>0</v>
      </c>
      <c r="AT342" s="1027">
        <f t="shared" si="137"/>
        <v>0</v>
      </c>
      <c r="AU342" s="1027">
        <f t="shared" si="137"/>
        <v>0</v>
      </c>
      <c r="AV342" s="1027">
        <f t="shared" si="137"/>
        <v>0</v>
      </c>
      <c r="AW342" s="1027">
        <f t="shared" si="137"/>
        <v>0</v>
      </c>
      <c r="AX342" s="1027">
        <f t="shared" si="137"/>
        <v>0</v>
      </c>
      <c r="AY342" s="1027">
        <f t="shared" ref="AY342:BE342" si="138">SUM(AY340:AY341)</f>
        <v>0</v>
      </c>
      <c r="AZ342" s="1027">
        <f t="shared" si="138"/>
        <v>0</v>
      </c>
      <c r="BA342" s="1027">
        <f t="shared" si="138"/>
        <v>0</v>
      </c>
      <c r="BB342" s="1027">
        <f t="shared" si="138"/>
        <v>0</v>
      </c>
      <c r="BC342" s="1027">
        <f t="shared" si="138"/>
        <v>0</v>
      </c>
      <c r="BD342" s="1027">
        <f t="shared" si="138"/>
        <v>0</v>
      </c>
      <c r="BE342" s="1027">
        <f t="shared" si="138"/>
        <v>0</v>
      </c>
    </row>
    <row r="344" spans="5:57" x14ac:dyDescent="0.25">
      <c r="E344" s="749" t="s">
        <v>1610</v>
      </c>
      <c r="G344" s="348">
        <v>59.487199999999994</v>
      </c>
      <c r="H344" s="1" t="s">
        <v>1613</v>
      </c>
    </row>
    <row r="345" spans="5:57" x14ac:dyDescent="0.25">
      <c r="E345" s="749"/>
    </row>
    <row r="346" spans="5:57" x14ac:dyDescent="0.25">
      <c r="E346" s="749" t="s">
        <v>958</v>
      </c>
    </row>
    <row r="347" spans="5:57" x14ac:dyDescent="0.25">
      <c r="E347" s="749"/>
    </row>
    <row r="348" spans="5:57" x14ac:dyDescent="0.25">
      <c r="E348" s="1107" t="str">
        <f>Parameters!E88</f>
        <v>Total area electric motor</v>
      </c>
      <c r="F348" s="1" t="str">
        <f>Parameters!F88</f>
        <v>m²</v>
      </c>
      <c r="J348" s="348">
        <f>IF(AND(J$6&gt;=Parameters!$G$56,J$6&lt;=Parameters!$G$57),Parameters!$G$95,0)</f>
        <v>0</v>
      </c>
      <c r="K348" s="348">
        <f>IF(AND(K6&gt;=Parameters!$G$56,K6&lt;=Parameters!$G$57),Parameters!$G$95,0)</f>
        <v>0</v>
      </c>
      <c r="L348" s="348">
        <f>IF(AND(L6&gt;=Parameters!$G$56,L6&lt;=Parameters!$G$57),Parameters!$G$95,0)</f>
        <v>0</v>
      </c>
      <c r="M348" s="348">
        <f>IF(AND(M6&gt;=Parameters!$G$56,M6&lt;=Parameters!$G$57),Parameters!$G$95,0)</f>
        <v>0</v>
      </c>
      <c r="N348" s="348">
        <f>IF(AND(N6&gt;=Parameters!$G$56,N6&lt;=Parameters!$G$57),Parameters!$G$95,0)</f>
        <v>13.014611846923076</v>
      </c>
      <c r="O348" s="348">
        <f>IF(AND(O6&gt;=Parameters!$G$56,O6&lt;=Parameters!$G$57),Parameters!$G$95,0)</f>
        <v>13.014611846923076</v>
      </c>
      <c r="P348" s="348">
        <f>IF(AND(P6&gt;=Parameters!$G$56,P6&lt;=Parameters!$G$57),Parameters!$G$95,0)</f>
        <v>13.014611846923076</v>
      </c>
      <c r="Q348" s="348">
        <f>IF(AND(Q6&gt;=Parameters!$G$56,Q6&lt;=Parameters!$G$57),Parameters!$G$95,0)</f>
        <v>13.014611846923076</v>
      </c>
      <c r="R348" s="348">
        <f>IF(AND(R6&gt;=Parameters!$G$56,R6&lt;=Parameters!$G$57),Parameters!$G$95,0)</f>
        <v>13.014611846923076</v>
      </c>
      <c r="S348" s="348">
        <f>IF(AND(S6&gt;=Parameters!$G$56,S6&lt;=Parameters!$G$57),Parameters!$G$95,0)</f>
        <v>13.014611846923076</v>
      </c>
      <c r="T348" s="348">
        <f>IF(AND(T6&gt;=Parameters!$G$56,T6&lt;=Parameters!$G$57),Parameters!$G$95,0)</f>
        <v>13.014611846923076</v>
      </c>
      <c r="U348" s="348">
        <f>IF(AND(U6&gt;=Parameters!$G$56,U6&lt;=Parameters!$G$57),Parameters!$G$95,0)</f>
        <v>13.014611846923076</v>
      </c>
      <c r="V348" s="348">
        <f>IF(AND(V6&gt;=Parameters!$G$56,V6&lt;=Parameters!$G$57),Parameters!$G$95,0)</f>
        <v>13.014611846923076</v>
      </c>
      <c r="W348" s="348">
        <f>IF(AND(W6&gt;=Parameters!$G$56,W6&lt;=Parameters!$G$57),Parameters!$G$95,0)</f>
        <v>0</v>
      </c>
      <c r="X348" s="348">
        <f>IF(AND(X6&gt;=Parameters!$G$56,X6&lt;=Parameters!$G$57),Parameters!$G$95,0)</f>
        <v>0</v>
      </c>
      <c r="Y348" s="348">
        <f>IF(AND(Y6&gt;=Parameters!$G$56,Y6&lt;=Parameters!$G$57),Parameters!$G$95,0)</f>
        <v>0</v>
      </c>
      <c r="Z348" s="348">
        <f>IF(AND(Z6&gt;=Parameters!$G$56,Z6&lt;=Parameters!$G$57),Parameters!$G$95,0)</f>
        <v>0</v>
      </c>
      <c r="AA348" s="348">
        <f>IF(AND(AA6&gt;=Parameters!$G$56,AA6&lt;=Parameters!$G$57),Parameters!$G$95,0)</f>
        <v>0</v>
      </c>
      <c r="AB348" s="348">
        <f>IF(AND(AB6&gt;=Parameters!$G$56,AB6&lt;=Parameters!$G$57),Parameters!$G$95,0)</f>
        <v>0</v>
      </c>
      <c r="AC348" s="348">
        <f>IF(AND(AC6&gt;=Parameters!$G$56,AC6&lt;=Parameters!$G$57),Parameters!$G$95,0)</f>
        <v>0</v>
      </c>
      <c r="AD348" s="348">
        <f>IF(AND(AD6&gt;=Parameters!$G$56,AD6&lt;=Parameters!$G$57),Parameters!$G$95,0)</f>
        <v>0</v>
      </c>
      <c r="AE348" s="348">
        <f>IF(AND(AE6&gt;=Parameters!$G$56,AE6&lt;=Parameters!$G$57),Parameters!$G$95,0)</f>
        <v>0</v>
      </c>
      <c r="AF348" s="348">
        <f>IF(AND(AF6&gt;=Parameters!$G$56,AF6&lt;=Parameters!$G$57),Parameters!$G$95,0)</f>
        <v>0</v>
      </c>
      <c r="AG348" s="348">
        <f>IF(AND(AG6&gt;=Parameters!$G$56,AG6&lt;=Parameters!$G$57),Parameters!$G$95,0)</f>
        <v>0</v>
      </c>
      <c r="AH348" s="348">
        <f>IF(AND(AH6&gt;=Parameters!$G$56,AH6&lt;=Parameters!$G$57),Parameters!$G$95,0)</f>
        <v>0</v>
      </c>
      <c r="AI348" s="348">
        <f>IF(AND(AI6&gt;=Parameters!$G$56,AI6&lt;=Parameters!$G$57),Parameters!$G$95,0)</f>
        <v>0</v>
      </c>
      <c r="AJ348" s="348">
        <f>IF(AND(AJ6&gt;=Parameters!$G$56,AJ6&lt;=Parameters!$G$57),Parameters!$G$95,0)</f>
        <v>0</v>
      </c>
      <c r="AK348" s="348">
        <f>IF(AND(AK6&gt;=Parameters!$G$56,AK6&lt;=Parameters!$G$57),Parameters!$G$95,0)</f>
        <v>0</v>
      </c>
      <c r="AL348" s="348">
        <f>IF(AND(AL6&gt;=Parameters!$G$56,AL6&lt;=Parameters!$G$57),Parameters!$G$95,0)</f>
        <v>0</v>
      </c>
      <c r="AM348" s="348">
        <f>IF(AND(AM6&gt;=Parameters!$G$56,AM6&lt;=Parameters!$G$57),Parameters!$G$95,0)</f>
        <v>0</v>
      </c>
      <c r="AN348" s="348">
        <f>IF(AND(AN6&gt;=Parameters!$G$56,AN6&lt;=Parameters!$G$57),Parameters!$G$95,0)</f>
        <v>0</v>
      </c>
      <c r="AO348" s="348">
        <f>IF(AND(AO6&gt;=Parameters!$G$56,AO6&lt;=Parameters!$G$57),Parameters!$G$95,0)</f>
        <v>0</v>
      </c>
      <c r="AP348" s="348">
        <f>IF(AND(AP6&gt;=Parameters!$G$56,AP6&lt;=Parameters!$G$57),Parameters!$G$95,0)</f>
        <v>0</v>
      </c>
      <c r="AQ348" s="348">
        <f>IF(AND(AQ6&gt;=Parameters!$G$56,AQ6&lt;=Parameters!$G$57),Parameters!$G$95,0)</f>
        <v>0</v>
      </c>
      <c r="AR348" s="348">
        <f>IF(AND(AR6&gt;=Parameters!$G$56,AR6&lt;=Parameters!$G$57),Parameters!$G$95,0)</f>
        <v>0</v>
      </c>
      <c r="AS348" s="348">
        <f>IF(AND(AS6&gt;=Parameters!$G$56,AS6&lt;=Parameters!$G$57),Parameters!$G$95,0)</f>
        <v>0</v>
      </c>
      <c r="AT348" s="348">
        <f>IF(AND(AT6&gt;=Parameters!$G$56,AT6&lt;=Parameters!$G$57),Parameters!$G$95,0)</f>
        <v>0</v>
      </c>
      <c r="AU348" s="348">
        <f>IF(AND(AU6&gt;=Parameters!$G$56,AU6&lt;=Parameters!$G$57),Parameters!$G$95,0)</f>
        <v>0</v>
      </c>
      <c r="AV348" s="348">
        <f>IF(AND(AV6&gt;=Parameters!$G$56,AV6&lt;=Parameters!$G$57),Parameters!$G$95,0)</f>
        <v>0</v>
      </c>
      <c r="AW348" s="348">
        <f>IF(AND(AW6&gt;=Parameters!$G$56,AW6&lt;=Parameters!$G$57),Parameters!$G$95,0)</f>
        <v>0</v>
      </c>
      <c r="AX348" s="348">
        <f>IF(AND(AX6&gt;=Parameters!$G$56,AX6&lt;=Parameters!$G$57),Parameters!$G$95,0)</f>
        <v>0</v>
      </c>
      <c r="AY348" s="348">
        <f>IF(AND(AY6&gt;=Parameters!$G$56,AY6&lt;=Parameters!$G$57),Parameters!$G$95,0)</f>
        <v>0</v>
      </c>
      <c r="AZ348" s="348">
        <f>IF(AND(AZ6&gt;=Parameters!$G$56,AZ6&lt;=Parameters!$G$57),Parameters!$G$95,0)</f>
        <v>0</v>
      </c>
      <c r="BA348" s="348">
        <f>IF(AND(BA6&gt;=Parameters!$G$56,BA6&lt;=Parameters!$G$57),Parameters!$G$95,0)</f>
        <v>0</v>
      </c>
      <c r="BB348" s="348">
        <f>IF(AND(BB6&gt;=Parameters!$G$56,BB6&lt;=Parameters!$G$57),Parameters!$G$95,0)</f>
        <v>0</v>
      </c>
      <c r="BC348" s="348">
        <f>IF(AND(BC6&gt;=Parameters!$G$56,BC6&lt;=Parameters!$G$57),Parameters!$G$95,0)</f>
        <v>0</v>
      </c>
      <c r="BD348" s="348">
        <f>IF(AND(BD6&gt;=Parameters!$G$56,BD6&lt;=Parameters!$G$57),Parameters!$G$95,0)</f>
        <v>0</v>
      </c>
      <c r="BE348" s="348">
        <f>IF(AND(BE6&gt;=Parameters!$G$56,BE6&lt;=Parameters!$G$57),Parameters!$G$95,0)</f>
        <v>0</v>
      </c>
    </row>
    <row r="349" spans="5:57" ht="15.75" thickBot="1" x14ac:dyDescent="0.3">
      <c r="E349" s="1107" t="str">
        <f>Parameters!E94</f>
        <v>Total area electrical equipment</v>
      </c>
      <c r="F349" s="1" t="str">
        <f>Parameters!F94</f>
        <v>m²</v>
      </c>
      <c r="J349" s="348">
        <f>IF(AND(J$6&gt;=Parameters!$G$56,J$6&lt;=Parameters!$G$57),Parameters!$G$94,0)</f>
        <v>0</v>
      </c>
      <c r="K349" s="348">
        <f>IF(AND(K$6&gt;=Parameters!$G$56,K$6&lt;=Parameters!$G$57),Parameters!$G$94,0)</f>
        <v>0</v>
      </c>
      <c r="L349" s="348">
        <f>IF(AND(L$6&gt;=Parameters!$G$56,L$6&lt;=Parameters!$G$57),Parameters!$G$94,0)</f>
        <v>0</v>
      </c>
      <c r="M349" s="348">
        <f>IF(AND(M$6&gt;=Parameters!$G$56,M$6&lt;=Parameters!$G$57),Parameters!$G$94,0)</f>
        <v>0</v>
      </c>
      <c r="N349" s="348">
        <f>IF(AND(N$6&gt;=Parameters!$G$56,N$6&lt;=Parameters!$G$57),Parameters!$G$94,0)</f>
        <v>185.66219081272084</v>
      </c>
      <c r="O349" s="348">
        <f>IF(AND(O$6&gt;=Parameters!$G$56,O$6&lt;=Parameters!$G$57),Parameters!$G$94,0)</f>
        <v>185.66219081272084</v>
      </c>
      <c r="P349" s="348">
        <f>IF(AND(P$6&gt;=Parameters!$G$56,P$6&lt;=Parameters!$G$57),Parameters!$G$94,0)</f>
        <v>185.66219081272084</v>
      </c>
      <c r="Q349" s="348">
        <f>IF(AND(Q$6&gt;=Parameters!$G$56,Q$6&lt;=Parameters!$G$57),Parameters!$G$94,0)</f>
        <v>185.66219081272084</v>
      </c>
      <c r="R349" s="348">
        <f>IF(AND(R$6&gt;=Parameters!$G$56,R$6&lt;=Parameters!$G$57),Parameters!$G$94,0)</f>
        <v>185.66219081272084</v>
      </c>
      <c r="S349" s="348">
        <f>IF(AND(S$6&gt;=Parameters!$G$56,S$6&lt;=Parameters!$G$57),Parameters!$G$94,0)</f>
        <v>185.66219081272084</v>
      </c>
      <c r="T349" s="348">
        <f>IF(AND(T$6&gt;=Parameters!$G$56,T$6&lt;=Parameters!$G$57),Parameters!$G$94,0)</f>
        <v>185.66219081272084</v>
      </c>
      <c r="U349" s="348">
        <f>IF(AND(U$6&gt;=Parameters!$G$56,U$6&lt;=Parameters!$G$57),Parameters!$G$94,0)</f>
        <v>185.66219081272084</v>
      </c>
      <c r="V349" s="348">
        <f>IF(AND(V$6&gt;=Parameters!$G$56,V$6&lt;=Parameters!$G$57),Parameters!$G$94,0)</f>
        <v>185.66219081272084</v>
      </c>
      <c r="W349" s="348">
        <f>IF(AND(W$6&gt;=Parameters!$G$56,W$6&lt;=Parameters!$G$57),Parameters!$G$94,0)</f>
        <v>0</v>
      </c>
      <c r="X349" s="348">
        <f>IF(AND(X$6&gt;=Parameters!$G$56,X$6&lt;=Parameters!$G$57),Parameters!$G$94,0)</f>
        <v>0</v>
      </c>
      <c r="Y349" s="348">
        <f>IF(AND(Y$6&gt;=Parameters!$G$56,Y$6&lt;=Parameters!$G$57),Parameters!$G$94,0)</f>
        <v>0</v>
      </c>
      <c r="Z349" s="348">
        <f>IF(AND(Z$6&gt;=Parameters!$G$56,Z$6&lt;=Parameters!$G$57),Parameters!$G$94,0)</f>
        <v>0</v>
      </c>
      <c r="AA349" s="348">
        <f>IF(AND(AA$6&gt;=Parameters!$G$56,AA$6&lt;=Parameters!$G$57),Parameters!$G$94,0)</f>
        <v>0</v>
      </c>
      <c r="AB349" s="348">
        <f>IF(AND(AB$6&gt;=Parameters!$G$56,AB$6&lt;=Parameters!$G$57),Parameters!$G$94,0)</f>
        <v>0</v>
      </c>
      <c r="AC349" s="348">
        <f>IF(AND(AC$6&gt;=Parameters!$G$56,AC$6&lt;=Parameters!$G$57),Parameters!$G$94,0)</f>
        <v>0</v>
      </c>
      <c r="AD349" s="348">
        <f>IF(AND(AD$6&gt;=Parameters!$G$56,AD$6&lt;=Parameters!$G$57),Parameters!$G$94,0)</f>
        <v>0</v>
      </c>
      <c r="AE349" s="348">
        <f>IF(AND(AE$6&gt;=Parameters!$G$56,AE$6&lt;=Parameters!$G$57),Parameters!$G$94,0)</f>
        <v>0</v>
      </c>
      <c r="AF349" s="348">
        <f>IF(AND(AF$6&gt;=Parameters!$G$56,AF$6&lt;=Parameters!$G$57),Parameters!$G$94,0)</f>
        <v>0</v>
      </c>
      <c r="AG349" s="348">
        <f>IF(AND(AG$6&gt;=Parameters!$G$56,AG$6&lt;=Parameters!$G$57),Parameters!$G$94,0)</f>
        <v>0</v>
      </c>
      <c r="AH349" s="348">
        <f>IF(AND(AH$6&gt;=Parameters!$G$56,AH$6&lt;=Parameters!$G$57),Parameters!$G$94,0)</f>
        <v>0</v>
      </c>
      <c r="AI349" s="348">
        <f>IF(AND(AI$6&gt;=Parameters!$G$56,AI$6&lt;=Parameters!$G$57),Parameters!$G$94,0)</f>
        <v>0</v>
      </c>
      <c r="AJ349" s="348">
        <f>IF(AND(AJ$6&gt;=Parameters!$G$56,AJ$6&lt;=Parameters!$G$57),Parameters!$G$94,0)</f>
        <v>0</v>
      </c>
      <c r="AK349" s="348">
        <f>IF(AND(AK$6&gt;=Parameters!$G$56,AK$6&lt;=Parameters!$G$57),Parameters!$G$94,0)</f>
        <v>0</v>
      </c>
      <c r="AL349" s="348">
        <f>IF(AND(AL$6&gt;=Parameters!$G$56,AL$6&lt;=Parameters!$G$57),Parameters!$G$94,0)</f>
        <v>0</v>
      </c>
      <c r="AM349" s="348">
        <f>IF(AND(AM$6&gt;=Parameters!$G$56,AM$6&lt;=Parameters!$G$57),Parameters!$G$94,0)</f>
        <v>0</v>
      </c>
      <c r="AN349" s="348">
        <f>IF(AND(AN$6&gt;=Parameters!$G$56,AN$6&lt;=Parameters!$G$57),Parameters!$G$94,0)</f>
        <v>0</v>
      </c>
      <c r="AO349" s="348">
        <f>IF(AND(AO$6&gt;=Parameters!$G$56,AO$6&lt;=Parameters!$G$57),Parameters!$G$94,0)</f>
        <v>0</v>
      </c>
      <c r="AP349" s="348">
        <f>IF(AND(AP$6&gt;=Parameters!$G$56,AP$6&lt;=Parameters!$G$57),Parameters!$G$94,0)</f>
        <v>0</v>
      </c>
      <c r="AQ349" s="348">
        <f>IF(AND(AQ$6&gt;=Parameters!$G$56,AQ$6&lt;=Parameters!$G$57),Parameters!$G$94,0)</f>
        <v>0</v>
      </c>
      <c r="AR349" s="348">
        <f>IF(AND(AR$6&gt;=Parameters!$G$56,AR$6&lt;=Parameters!$G$57),Parameters!$G$94,0)</f>
        <v>0</v>
      </c>
      <c r="AS349" s="348">
        <f>IF(AND(AS$6&gt;=Parameters!$G$56,AS$6&lt;=Parameters!$G$57),Parameters!$G$94,0)</f>
        <v>0</v>
      </c>
      <c r="AT349" s="348">
        <f>IF(AND(AT$6&gt;=Parameters!$G$56,AT$6&lt;=Parameters!$G$57),Parameters!$G$94,0)</f>
        <v>0</v>
      </c>
      <c r="AU349" s="348">
        <f>IF(AND(AU$6&gt;=Parameters!$G$56,AU$6&lt;=Parameters!$G$57),Parameters!$G$94,0)</f>
        <v>0</v>
      </c>
      <c r="AV349" s="348">
        <f>IF(AND(AV$6&gt;=Parameters!$G$56,AV$6&lt;=Parameters!$G$57),Parameters!$G$94,0)</f>
        <v>0</v>
      </c>
      <c r="AW349" s="348">
        <f>IF(AND(AW$6&gt;=Parameters!$G$56,AW$6&lt;=Parameters!$G$57),Parameters!$G$94,0)</f>
        <v>0</v>
      </c>
      <c r="AX349" s="348">
        <f>IF(AND(AX$6&gt;=Parameters!$G$56,AX$6&lt;=Parameters!$G$57),Parameters!$G$94,0)</f>
        <v>0</v>
      </c>
      <c r="AY349" s="348">
        <f>IF(AND(AY$6&gt;=Parameters!$G$56,AY$6&lt;=Parameters!$G$57),Parameters!$G$94,0)</f>
        <v>0</v>
      </c>
      <c r="AZ349" s="348">
        <f>IF(AND(AZ$6&gt;=Parameters!$G$56,AZ$6&lt;=Parameters!$G$57),Parameters!$G$94,0)</f>
        <v>0</v>
      </c>
      <c r="BA349" s="348">
        <f>IF(AND(BA$6&gt;=Parameters!$G$56,BA$6&lt;=Parameters!$G$57),Parameters!$G$94,0)</f>
        <v>0</v>
      </c>
      <c r="BB349" s="348">
        <f>IF(AND(BB$6&gt;=Parameters!$G$56,BB$6&lt;=Parameters!$G$57),Parameters!$G$94,0)</f>
        <v>0</v>
      </c>
      <c r="BC349" s="348">
        <f>IF(AND(BC$6&gt;=Parameters!$G$56,BC$6&lt;=Parameters!$G$57),Parameters!$G$94,0)</f>
        <v>0</v>
      </c>
      <c r="BD349" s="348">
        <f>IF(AND(BD$6&gt;=Parameters!$G$56,BD$6&lt;=Parameters!$G$57),Parameters!$G$94,0)</f>
        <v>0</v>
      </c>
      <c r="BE349" s="348">
        <f>IF(AND(BE$6&gt;=Parameters!$G$56,BE$6&lt;=Parameters!$G$57),Parameters!$G$94,0)</f>
        <v>0</v>
      </c>
    </row>
    <row r="350" spans="5:57" ht="15.75" thickTop="1" x14ac:dyDescent="0.25">
      <c r="E350" s="1025" t="s">
        <v>1470</v>
      </c>
      <c r="F350" s="1025" t="s">
        <v>810</v>
      </c>
      <c r="G350" s="1109">
        <f>CEILING(MAX(J350:BE350)/$G$344,1)</f>
        <v>4</v>
      </c>
      <c r="H350" s="1025" t="s">
        <v>1614</v>
      </c>
      <c r="I350" s="1025"/>
      <c r="J350" s="1026">
        <f>SUM(J348:J349)</f>
        <v>0</v>
      </c>
      <c r="K350" s="1026">
        <f t="shared" ref="K350:BE350" si="139">SUM(K348:K349)</f>
        <v>0</v>
      </c>
      <c r="L350" s="1026">
        <f t="shared" si="139"/>
        <v>0</v>
      </c>
      <c r="M350" s="1026">
        <f t="shared" si="139"/>
        <v>0</v>
      </c>
      <c r="N350" s="1026">
        <f t="shared" si="139"/>
        <v>198.67680265964393</v>
      </c>
      <c r="O350" s="1026">
        <f t="shared" si="139"/>
        <v>198.67680265964393</v>
      </c>
      <c r="P350" s="1026">
        <f t="shared" si="139"/>
        <v>198.67680265964393</v>
      </c>
      <c r="Q350" s="1026">
        <f t="shared" si="139"/>
        <v>198.67680265964393</v>
      </c>
      <c r="R350" s="1026">
        <f t="shared" si="139"/>
        <v>198.67680265964393</v>
      </c>
      <c r="S350" s="1026">
        <f t="shared" si="139"/>
        <v>198.67680265964393</v>
      </c>
      <c r="T350" s="1026">
        <f t="shared" si="139"/>
        <v>198.67680265964393</v>
      </c>
      <c r="U350" s="1026">
        <f t="shared" si="139"/>
        <v>198.67680265964393</v>
      </c>
      <c r="V350" s="1026">
        <f t="shared" si="139"/>
        <v>198.67680265964393</v>
      </c>
      <c r="W350" s="1026">
        <f t="shared" si="139"/>
        <v>0</v>
      </c>
      <c r="X350" s="1026">
        <f t="shared" si="139"/>
        <v>0</v>
      </c>
      <c r="Y350" s="1026">
        <f t="shared" si="139"/>
        <v>0</v>
      </c>
      <c r="Z350" s="1026">
        <f t="shared" si="139"/>
        <v>0</v>
      </c>
      <c r="AA350" s="1026">
        <f t="shared" si="139"/>
        <v>0</v>
      </c>
      <c r="AB350" s="1026">
        <f t="shared" si="139"/>
        <v>0</v>
      </c>
      <c r="AC350" s="1026">
        <f t="shared" si="139"/>
        <v>0</v>
      </c>
      <c r="AD350" s="1026">
        <f t="shared" si="139"/>
        <v>0</v>
      </c>
      <c r="AE350" s="1026">
        <f t="shared" si="139"/>
        <v>0</v>
      </c>
      <c r="AF350" s="1026">
        <f t="shared" si="139"/>
        <v>0</v>
      </c>
      <c r="AG350" s="1026">
        <f t="shared" si="139"/>
        <v>0</v>
      </c>
      <c r="AH350" s="1026">
        <f t="shared" si="139"/>
        <v>0</v>
      </c>
      <c r="AI350" s="1026">
        <f t="shared" si="139"/>
        <v>0</v>
      </c>
      <c r="AJ350" s="1026">
        <f t="shared" si="139"/>
        <v>0</v>
      </c>
      <c r="AK350" s="1026">
        <f t="shared" si="139"/>
        <v>0</v>
      </c>
      <c r="AL350" s="1026">
        <f t="shared" si="139"/>
        <v>0</v>
      </c>
      <c r="AM350" s="1026">
        <f t="shared" si="139"/>
        <v>0</v>
      </c>
      <c r="AN350" s="1026">
        <f t="shared" si="139"/>
        <v>0</v>
      </c>
      <c r="AO350" s="1026">
        <f t="shared" si="139"/>
        <v>0</v>
      </c>
      <c r="AP350" s="1026">
        <f t="shared" si="139"/>
        <v>0</v>
      </c>
      <c r="AQ350" s="1026">
        <f t="shared" si="139"/>
        <v>0</v>
      </c>
      <c r="AR350" s="1026">
        <f t="shared" si="139"/>
        <v>0</v>
      </c>
      <c r="AS350" s="1026">
        <f t="shared" si="139"/>
        <v>0</v>
      </c>
      <c r="AT350" s="1026">
        <f t="shared" si="139"/>
        <v>0</v>
      </c>
      <c r="AU350" s="1026">
        <f t="shared" si="139"/>
        <v>0</v>
      </c>
      <c r="AV350" s="1026">
        <f t="shared" si="139"/>
        <v>0</v>
      </c>
      <c r="AW350" s="1026">
        <f t="shared" si="139"/>
        <v>0</v>
      </c>
      <c r="AX350" s="1026">
        <f t="shared" si="139"/>
        <v>0</v>
      </c>
      <c r="AY350" s="1026">
        <f t="shared" si="139"/>
        <v>0</v>
      </c>
      <c r="AZ350" s="1026">
        <f t="shared" si="139"/>
        <v>0</v>
      </c>
      <c r="BA350" s="1026">
        <f t="shared" si="139"/>
        <v>0</v>
      </c>
      <c r="BB350" s="1026">
        <f t="shared" si="139"/>
        <v>0</v>
      </c>
      <c r="BC350" s="1026">
        <f t="shared" si="139"/>
        <v>0</v>
      </c>
      <c r="BD350" s="1026">
        <f t="shared" si="139"/>
        <v>0</v>
      </c>
      <c r="BE350" s="1026">
        <f t="shared" si="139"/>
        <v>0</v>
      </c>
    </row>
    <row r="351" spans="5:57" x14ac:dyDescent="0.25">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c r="AK351" s="88"/>
      <c r="AL351" s="88"/>
      <c r="AM351" s="88"/>
      <c r="AN351" s="88"/>
      <c r="AO351" s="88"/>
      <c r="AP351" s="88"/>
      <c r="AQ351" s="88"/>
      <c r="AR351" s="88"/>
      <c r="AS351" s="88"/>
      <c r="AT351" s="88"/>
      <c r="AU351" s="88"/>
      <c r="AV351" s="88"/>
      <c r="AW351" s="88"/>
      <c r="AX351" s="88"/>
      <c r="AY351" s="88"/>
      <c r="AZ351" s="88"/>
      <c r="BA351" s="88"/>
      <c r="BB351" s="88"/>
      <c r="BC351" s="88"/>
      <c r="BD351" s="88"/>
      <c r="BE351" s="88"/>
    </row>
    <row r="352" spans="5:57" x14ac:dyDescent="0.25">
      <c r="E352" s="1107" t="str">
        <f>Parameters!E89</f>
        <v>Total weight electric motor</v>
      </c>
      <c r="F352" s="1107" t="str">
        <f>Parameters!F89</f>
        <v>ton</v>
      </c>
      <c r="J352" s="348">
        <f>IF(AND(J$6&gt;=Parameters!$G$56,J$6&lt;=Parameters!$G$57),Parameters!$G$89,0)</f>
        <v>0</v>
      </c>
      <c r="K352" s="348">
        <f>IF(AND(K$6&gt;=Parameters!$G$56,K$6&lt;=Parameters!$G$57),Parameters!$G$89,0)</f>
        <v>0</v>
      </c>
      <c r="L352" s="348">
        <f>IF(AND(L$6&gt;=Parameters!$G$56,L$6&lt;=Parameters!$G$57),Parameters!$G$89,0)</f>
        <v>0</v>
      </c>
      <c r="M352" s="348">
        <f>IF(AND(M$6&gt;=Parameters!$G$56,M$6&lt;=Parameters!$G$57),Parameters!$G$89,0)</f>
        <v>0</v>
      </c>
      <c r="N352" s="348">
        <f>IF(AND(N$6&gt;=Parameters!$G$56,N$6&lt;=Parameters!$G$57),Parameters!$G$89,0)</f>
        <v>88</v>
      </c>
      <c r="O352" s="348">
        <f>IF(AND(O$6&gt;=Parameters!$G$56,O$6&lt;=Parameters!$G$57),Parameters!$G$89,0)</f>
        <v>88</v>
      </c>
      <c r="P352" s="348">
        <f>IF(AND(P$6&gt;=Parameters!$G$56,P$6&lt;=Parameters!$G$57),Parameters!$G$89,0)</f>
        <v>88</v>
      </c>
      <c r="Q352" s="348">
        <f>IF(AND(Q$6&gt;=Parameters!$G$56,Q$6&lt;=Parameters!$G$57),Parameters!$G$89,0)</f>
        <v>88</v>
      </c>
      <c r="R352" s="348">
        <f>IF(AND(R$6&gt;=Parameters!$G$56,R$6&lt;=Parameters!$G$57),Parameters!$G$89,0)</f>
        <v>88</v>
      </c>
      <c r="S352" s="348">
        <f>IF(AND(S$6&gt;=Parameters!$G$56,S$6&lt;=Parameters!$G$57),Parameters!$G$89,0)</f>
        <v>88</v>
      </c>
      <c r="T352" s="348">
        <f>IF(AND(T$6&gt;=Parameters!$G$56,T$6&lt;=Parameters!$G$57),Parameters!$G$89,0)</f>
        <v>88</v>
      </c>
      <c r="U352" s="348">
        <f>IF(AND(U$6&gt;=Parameters!$G$56,U$6&lt;=Parameters!$G$57),Parameters!$G$89,0)</f>
        <v>88</v>
      </c>
      <c r="V352" s="348">
        <f>IF(AND(V$6&gt;=Parameters!$G$56,V$6&lt;=Parameters!$G$57),Parameters!$G$89,0)</f>
        <v>88</v>
      </c>
      <c r="W352" s="348">
        <f>IF(AND(W$6&gt;=Parameters!$G$56,W$6&lt;=Parameters!$G$57),Parameters!$G$89,0)</f>
        <v>0</v>
      </c>
      <c r="X352" s="348">
        <f>IF(AND(X$6&gt;=Parameters!$G$56,X$6&lt;=Parameters!$G$57),Parameters!$G$89,0)</f>
        <v>0</v>
      </c>
      <c r="Y352" s="348">
        <f>IF(AND(Y$6&gt;=Parameters!$G$56,Y$6&lt;=Parameters!$G$57),Parameters!$G$89,0)</f>
        <v>0</v>
      </c>
      <c r="Z352" s="348">
        <f>IF(AND(Z$6&gt;=Parameters!$G$56,Z$6&lt;=Parameters!$G$57),Parameters!$G$89,0)</f>
        <v>0</v>
      </c>
      <c r="AA352" s="348">
        <f>IF(AND(AA$6&gt;=Parameters!$G$56,AA$6&lt;=Parameters!$G$57),Parameters!$G$89,0)</f>
        <v>0</v>
      </c>
      <c r="AB352" s="348">
        <f>IF(AND(AB$6&gt;=Parameters!$G$56,AB$6&lt;=Parameters!$G$57),Parameters!$G$89,0)</f>
        <v>0</v>
      </c>
      <c r="AC352" s="348">
        <f>IF(AND(AC$6&gt;=Parameters!$G$56,AC$6&lt;=Parameters!$G$57),Parameters!$G$89,0)</f>
        <v>0</v>
      </c>
      <c r="AD352" s="348">
        <f>IF(AND(AD$6&gt;=Parameters!$G$56,AD$6&lt;=Parameters!$G$57),Parameters!$G$89,0)</f>
        <v>0</v>
      </c>
      <c r="AE352" s="348">
        <f>IF(AND(AE$6&gt;=Parameters!$G$56,AE$6&lt;=Parameters!$G$57),Parameters!$G$89,0)</f>
        <v>0</v>
      </c>
      <c r="AF352" s="348">
        <f>IF(AND(AF$6&gt;=Parameters!$G$56,AF$6&lt;=Parameters!$G$57),Parameters!$G$89,0)</f>
        <v>0</v>
      </c>
      <c r="AG352" s="348">
        <f>IF(AND(AG$6&gt;=Parameters!$G$56,AG$6&lt;=Parameters!$G$57),Parameters!$G$89,0)</f>
        <v>0</v>
      </c>
      <c r="AH352" s="348">
        <f>IF(AND(AH$6&gt;=Parameters!$G$56,AH$6&lt;=Parameters!$G$57),Parameters!$G$89,0)</f>
        <v>0</v>
      </c>
      <c r="AI352" s="348">
        <f>IF(AND(AI$6&gt;=Parameters!$G$56,AI$6&lt;=Parameters!$G$57),Parameters!$G$89,0)</f>
        <v>0</v>
      </c>
      <c r="AJ352" s="348">
        <f>IF(AND(AJ$6&gt;=Parameters!$G$56,AJ$6&lt;=Parameters!$G$57),Parameters!$G$89,0)</f>
        <v>0</v>
      </c>
      <c r="AK352" s="348">
        <f>IF(AND(AK$6&gt;=Parameters!$G$56,AK$6&lt;=Parameters!$G$57),Parameters!$G$89,0)</f>
        <v>0</v>
      </c>
      <c r="AL352" s="348">
        <f>IF(AND(AL$6&gt;=Parameters!$G$56,AL$6&lt;=Parameters!$G$57),Parameters!$G$89,0)</f>
        <v>0</v>
      </c>
      <c r="AM352" s="348">
        <f>IF(AND(AM$6&gt;=Parameters!$G$56,AM$6&lt;=Parameters!$G$57),Parameters!$G$89,0)</f>
        <v>0</v>
      </c>
      <c r="AN352" s="348">
        <f>IF(AND(AN$6&gt;=Parameters!$G$56,AN$6&lt;=Parameters!$G$57),Parameters!$G$89,0)</f>
        <v>0</v>
      </c>
      <c r="AO352" s="348">
        <f>IF(AND(AO$6&gt;=Parameters!$G$56,AO$6&lt;=Parameters!$G$57),Parameters!$G$89,0)</f>
        <v>0</v>
      </c>
      <c r="AP352" s="348">
        <f>IF(AND(AP$6&gt;=Parameters!$G$56,AP$6&lt;=Parameters!$G$57),Parameters!$G$89,0)</f>
        <v>0</v>
      </c>
      <c r="AQ352" s="348">
        <f>IF(AND(AQ$6&gt;=Parameters!$G$56,AQ$6&lt;=Parameters!$G$57),Parameters!$G$89,0)</f>
        <v>0</v>
      </c>
      <c r="AR352" s="348">
        <f>IF(AND(AR$6&gt;=Parameters!$G$56,AR$6&lt;=Parameters!$G$57),Parameters!$G$89,0)</f>
        <v>0</v>
      </c>
      <c r="AS352" s="348">
        <f>IF(AND(AS$6&gt;=Parameters!$G$56,AS$6&lt;=Parameters!$G$57),Parameters!$G$89,0)</f>
        <v>0</v>
      </c>
      <c r="AT352" s="348">
        <f>IF(AND(AT$6&gt;=Parameters!$G$56,AT$6&lt;=Parameters!$G$57),Parameters!$G$89,0)</f>
        <v>0</v>
      </c>
      <c r="AU352" s="348">
        <f>IF(AND(AU$6&gt;=Parameters!$G$56,AU$6&lt;=Parameters!$G$57),Parameters!$G$89,0)</f>
        <v>0</v>
      </c>
      <c r="AV352" s="348">
        <f>IF(AND(AV$6&gt;=Parameters!$G$56,AV$6&lt;=Parameters!$G$57),Parameters!$G$89,0)</f>
        <v>0</v>
      </c>
      <c r="AW352" s="348">
        <f>IF(AND(AW$6&gt;=Parameters!$G$56,AW$6&lt;=Parameters!$G$57),Parameters!$G$89,0)</f>
        <v>0</v>
      </c>
      <c r="AX352" s="348">
        <f>IF(AND(AX$6&gt;=Parameters!$G$56,AX$6&lt;=Parameters!$G$57),Parameters!$G$89,0)</f>
        <v>0</v>
      </c>
      <c r="AY352" s="348">
        <f>IF(AND(AY$6&gt;=Parameters!$G$56,AY$6&lt;=Parameters!$G$57),Parameters!$G$89,0)</f>
        <v>0</v>
      </c>
      <c r="AZ352" s="348">
        <f>IF(AND(AZ$6&gt;=Parameters!$G$56,AZ$6&lt;=Parameters!$G$57),Parameters!$G$89,0)</f>
        <v>0</v>
      </c>
      <c r="BA352" s="348">
        <f>IF(AND(BA$6&gt;=Parameters!$G$56,BA$6&lt;=Parameters!$G$57),Parameters!$G$89,0)</f>
        <v>0</v>
      </c>
      <c r="BB352" s="348">
        <f>IF(AND(BB$6&gt;=Parameters!$G$56,BB$6&lt;=Parameters!$G$57),Parameters!$G$89,0)</f>
        <v>0</v>
      </c>
      <c r="BC352" s="348">
        <f>IF(AND(BC$6&gt;=Parameters!$G$56,BC$6&lt;=Parameters!$G$57),Parameters!$G$89,0)</f>
        <v>0</v>
      </c>
      <c r="BD352" s="348">
        <f>IF(AND(BD$6&gt;=Parameters!$G$56,BD$6&lt;=Parameters!$G$57),Parameters!$G$89,0)</f>
        <v>0</v>
      </c>
      <c r="BE352" s="348">
        <f>IF(AND(BE$6&gt;=Parameters!$G$56,BE$6&lt;=Parameters!$G$57),Parameters!$G$89,0)</f>
        <v>0</v>
      </c>
    </row>
    <row r="353" spans="5:57" ht="15.75" thickBot="1" x14ac:dyDescent="0.3">
      <c r="E353" s="1107" t="str">
        <f>Parameters!E95</f>
        <v>Total weight electrical equipment</v>
      </c>
      <c r="F353" s="1" t="str">
        <f>Parameters!F95</f>
        <v>ton</v>
      </c>
      <c r="J353" s="348">
        <f>IF(AND(J$6&gt;=Parameters!$G$56,J$6&lt;=Parameters!$G$57),Parameters!$G$95,0)</f>
        <v>0</v>
      </c>
      <c r="K353" s="348">
        <f>IF(AND(K$6&gt;=Parameters!$G$56,K$6&lt;=Parameters!$G$57),Parameters!$G$95,0)</f>
        <v>0</v>
      </c>
      <c r="L353" s="348">
        <f>IF(AND(L$6&gt;=Parameters!$G$56,L$6&lt;=Parameters!$G$57),Parameters!$G$95,0)</f>
        <v>0</v>
      </c>
      <c r="M353" s="348">
        <f>IF(AND(M$6&gt;=Parameters!$G$56,M$6&lt;=Parameters!$G$57),Parameters!$G$95,0)</f>
        <v>0</v>
      </c>
      <c r="N353" s="348">
        <f>IF(AND(N$6&gt;=Parameters!$G$56,N$6&lt;=Parameters!$G$57),Parameters!$G$95,0)</f>
        <v>13.014611846923076</v>
      </c>
      <c r="O353" s="348">
        <f>IF(AND(O$6&gt;=Parameters!$G$56,O$6&lt;=Parameters!$G$57),Parameters!$G$95,0)</f>
        <v>13.014611846923076</v>
      </c>
      <c r="P353" s="348">
        <f>IF(AND(P$6&gt;=Parameters!$G$56,P$6&lt;=Parameters!$G$57),Parameters!$G$95,0)</f>
        <v>13.014611846923076</v>
      </c>
      <c r="Q353" s="348">
        <f>IF(AND(Q$6&gt;=Parameters!$G$56,Q$6&lt;=Parameters!$G$57),Parameters!$G$95,0)</f>
        <v>13.014611846923076</v>
      </c>
      <c r="R353" s="348">
        <f>IF(AND(R$6&gt;=Parameters!$G$56,R$6&lt;=Parameters!$G$57),Parameters!$G$95,0)</f>
        <v>13.014611846923076</v>
      </c>
      <c r="S353" s="348">
        <f>IF(AND(S$6&gt;=Parameters!$G$56,S$6&lt;=Parameters!$G$57),Parameters!$G$95,0)</f>
        <v>13.014611846923076</v>
      </c>
      <c r="T353" s="348">
        <f>IF(AND(T$6&gt;=Parameters!$G$56,T$6&lt;=Parameters!$G$57),Parameters!$G$95,0)</f>
        <v>13.014611846923076</v>
      </c>
      <c r="U353" s="348">
        <f>IF(AND(U$6&gt;=Parameters!$G$56,U$6&lt;=Parameters!$G$57),Parameters!$G$95,0)</f>
        <v>13.014611846923076</v>
      </c>
      <c r="V353" s="348">
        <f>IF(AND(V$6&gt;=Parameters!$G$56,V$6&lt;=Parameters!$G$57),Parameters!$G$95,0)</f>
        <v>13.014611846923076</v>
      </c>
      <c r="W353" s="348">
        <f>IF(AND(W$6&gt;=Parameters!$G$56,W$6&lt;=Parameters!$G$57),Parameters!$G$95,0)</f>
        <v>0</v>
      </c>
      <c r="X353" s="348">
        <f>IF(AND(X$6&gt;=Parameters!$G$56,X$6&lt;=Parameters!$G$57),Parameters!$G$95,0)</f>
        <v>0</v>
      </c>
      <c r="Y353" s="348">
        <f>IF(AND(Y$6&gt;=Parameters!$G$56,Y$6&lt;=Parameters!$G$57),Parameters!$G$95,0)</f>
        <v>0</v>
      </c>
      <c r="Z353" s="348">
        <f>IF(AND(Z$6&gt;=Parameters!$G$56,Z$6&lt;=Parameters!$G$57),Parameters!$G$95,0)</f>
        <v>0</v>
      </c>
      <c r="AA353" s="348">
        <f>IF(AND(AA$6&gt;=Parameters!$G$56,AA$6&lt;=Parameters!$G$57),Parameters!$G$95,0)</f>
        <v>0</v>
      </c>
      <c r="AB353" s="348">
        <f>IF(AND(AB$6&gt;=Parameters!$G$56,AB$6&lt;=Parameters!$G$57),Parameters!$G$95,0)</f>
        <v>0</v>
      </c>
      <c r="AC353" s="348">
        <f>IF(AND(AC$6&gt;=Parameters!$G$56,AC$6&lt;=Parameters!$G$57),Parameters!$G$95,0)</f>
        <v>0</v>
      </c>
      <c r="AD353" s="348">
        <f>IF(AND(AD$6&gt;=Parameters!$G$56,AD$6&lt;=Parameters!$G$57),Parameters!$G$95,0)</f>
        <v>0</v>
      </c>
      <c r="AE353" s="348">
        <f>IF(AND(AE$6&gt;=Parameters!$G$56,AE$6&lt;=Parameters!$G$57),Parameters!$G$95,0)</f>
        <v>0</v>
      </c>
      <c r="AF353" s="348">
        <f>IF(AND(AF$6&gt;=Parameters!$G$56,AF$6&lt;=Parameters!$G$57),Parameters!$G$95,0)</f>
        <v>0</v>
      </c>
      <c r="AG353" s="348">
        <f>IF(AND(AG$6&gt;=Parameters!$G$56,AG$6&lt;=Parameters!$G$57),Parameters!$G$95,0)</f>
        <v>0</v>
      </c>
      <c r="AH353" s="348">
        <f>IF(AND(AH$6&gt;=Parameters!$G$56,AH$6&lt;=Parameters!$G$57),Parameters!$G$95,0)</f>
        <v>0</v>
      </c>
      <c r="AI353" s="348">
        <f>IF(AND(AI$6&gt;=Parameters!$G$56,AI$6&lt;=Parameters!$G$57),Parameters!$G$95,0)</f>
        <v>0</v>
      </c>
      <c r="AJ353" s="348">
        <f>IF(AND(AJ$6&gt;=Parameters!$G$56,AJ$6&lt;=Parameters!$G$57),Parameters!$G$95,0)</f>
        <v>0</v>
      </c>
      <c r="AK353" s="348">
        <f>IF(AND(AK$6&gt;=Parameters!$G$56,AK$6&lt;=Parameters!$G$57),Parameters!$G$95,0)</f>
        <v>0</v>
      </c>
      <c r="AL353" s="348">
        <f>IF(AND(AL$6&gt;=Parameters!$G$56,AL$6&lt;=Parameters!$G$57),Parameters!$G$95,0)</f>
        <v>0</v>
      </c>
      <c r="AM353" s="348">
        <f>IF(AND(AM$6&gt;=Parameters!$G$56,AM$6&lt;=Parameters!$G$57),Parameters!$G$95,0)</f>
        <v>0</v>
      </c>
      <c r="AN353" s="348">
        <f>IF(AND(AN$6&gt;=Parameters!$G$56,AN$6&lt;=Parameters!$G$57),Parameters!$G$95,0)</f>
        <v>0</v>
      </c>
      <c r="AO353" s="348">
        <f>IF(AND(AO$6&gt;=Parameters!$G$56,AO$6&lt;=Parameters!$G$57),Parameters!$G$95,0)</f>
        <v>0</v>
      </c>
      <c r="AP353" s="348">
        <f>IF(AND(AP$6&gt;=Parameters!$G$56,AP$6&lt;=Parameters!$G$57),Parameters!$G$95,0)</f>
        <v>0</v>
      </c>
      <c r="AQ353" s="348">
        <f>IF(AND(AQ$6&gt;=Parameters!$G$56,AQ$6&lt;=Parameters!$G$57),Parameters!$G$95,0)</f>
        <v>0</v>
      </c>
      <c r="AR353" s="348">
        <f>IF(AND(AR$6&gt;=Parameters!$G$56,AR$6&lt;=Parameters!$G$57),Parameters!$G$95,0)</f>
        <v>0</v>
      </c>
      <c r="AS353" s="348">
        <f>IF(AND(AS$6&gt;=Parameters!$G$56,AS$6&lt;=Parameters!$G$57),Parameters!$G$95,0)</f>
        <v>0</v>
      </c>
      <c r="AT353" s="348">
        <f>IF(AND(AT$6&gt;=Parameters!$G$56,AT$6&lt;=Parameters!$G$57),Parameters!$G$95,0)</f>
        <v>0</v>
      </c>
      <c r="AU353" s="348">
        <f>IF(AND(AU$6&gt;=Parameters!$G$56,AU$6&lt;=Parameters!$G$57),Parameters!$G$95,0)</f>
        <v>0</v>
      </c>
      <c r="AV353" s="348">
        <f>IF(AND(AV$6&gt;=Parameters!$G$56,AV$6&lt;=Parameters!$G$57),Parameters!$G$95,0)</f>
        <v>0</v>
      </c>
      <c r="AW353" s="348">
        <f>IF(AND(AW$6&gt;=Parameters!$G$56,AW$6&lt;=Parameters!$G$57),Parameters!$G$95,0)</f>
        <v>0</v>
      </c>
      <c r="AX353" s="348">
        <f>IF(AND(AX$6&gt;=Parameters!$G$56,AX$6&lt;=Parameters!$G$57),Parameters!$G$95,0)</f>
        <v>0</v>
      </c>
      <c r="AY353" s="348">
        <f>IF(AND(AY$6&gt;=Parameters!$G$56,AY$6&lt;=Parameters!$G$57),Parameters!$G$95,0)</f>
        <v>0</v>
      </c>
      <c r="AZ353" s="348">
        <f>IF(AND(AZ$6&gt;=Parameters!$G$56,AZ$6&lt;=Parameters!$G$57),Parameters!$G$95,0)</f>
        <v>0</v>
      </c>
      <c r="BA353" s="348">
        <f>IF(AND(BA$6&gt;=Parameters!$G$56,BA$6&lt;=Parameters!$G$57),Parameters!$G$95,0)</f>
        <v>0</v>
      </c>
      <c r="BB353" s="348">
        <f>IF(AND(BB$6&gt;=Parameters!$G$56,BB$6&lt;=Parameters!$G$57),Parameters!$G$95,0)</f>
        <v>0</v>
      </c>
      <c r="BC353" s="348">
        <f>IF(AND(BC$6&gt;=Parameters!$G$56,BC$6&lt;=Parameters!$G$57),Parameters!$G$95,0)</f>
        <v>0</v>
      </c>
      <c r="BD353" s="348">
        <f>IF(AND(BD$6&gt;=Parameters!$G$56,BD$6&lt;=Parameters!$G$57),Parameters!$G$95,0)</f>
        <v>0</v>
      </c>
      <c r="BE353" s="348">
        <f>IF(AND(BE$6&gt;=Parameters!$G$56,BE$6&lt;=Parameters!$G$57),Parameters!$G$95,0)</f>
        <v>0</v>
      </c>
    </row>
    <row r="354" spans="5:57" ht="15.75" thickTop="1" x14ac:dyDescent="0.25">
      <c r="E354" s="1025" t="s">
        <v>1470</v>
      </c>
      <c r="F354" s="1025" t="s">
        <v>1540</v>
      </c>
      <c r="G354" s="1025"/>
      <c r="H354" s="1025"/>
      <c r="I354" s="1025"/>
      <c r="J354" s="1026">
        <f>SUM(J352:J353)</f>
        <v>0</v>
      </c>
      <c r="K354" s="1026">
        <f t="shared" ref="K354" si="140">SUM(K352:K353)</f>
        <v>0</v>
      </c>
      <c r="L354" s="1026">
        <f t="shared" ref="L354" si="141">SUM(L352:L353)</f>
        <v>0</v>
      </c>
      <c r="M354" s="1026">
        <f t="shared" ref="M354" si="142">SUM(M352:M353)</f>
        <v>0</v>
      </c>
      <c r="N354" s="1026">
        <f t="shared" ref="N354" si="143">SUM(N352:N353)</f>
        <v>101.01461184692307</v>
      </c>
      <c r="O354" s="1026">
        <f t="shared" ref="O354" si="144">SUM(O352:O353)</f>
        <v>101.01461184692307</v>
      </c>
      <c r="P354" s="1026">
        <f t="shared" ref="P354" si="145">SUM(P352:P353)</f>
        <v>101.01461184692307</v>
      </c>
      <c r="Q354" s="1026">
        <f t="shared" ref="Q354" si="146">SUM(Q352:Q353)</f>
        <v>101.01461184692307</v>
      </c>
      <c r="R354" s="1026">
        <f t="shared" ref="R354" si="147">SUM(R352:R353)</f>
        <v>101.01461184692307</v>
      </c>
      <c r="S354" s="1026">
        <f t="shared" ref="S354" si="148">SUM(S352:S353)</f>
        <v>101.01461184692307</v>
      </c>
      <c r="T354" s="1026">
        <f t="shared" ref="T354" si="149">SUM(T352:T353)</f>
        <v>101.01461184692307</v>
      </c>
      <c r="U354" s="1026">
        <f t="shared" ref="U354" si="150">SUM(U352:U353)</f>
        <v>101.01461184692307</v>
      </c>
      <c r="V354" s="1026">
        <f t="shared" ref="V354" si="151">SUM(V352:V353)</f>
        <v>101.01461184692307</v>
      </c>
      <c r="W354" s="1026">
        <f t="shared" ref="W354" si="152">SUM(W352:W353)</f>
        <v>0</v>
      </c>
      <c r="X354" s="1026">
        <f t="shared" ref="X354" si="153">SUM(X352:X353)</f>
        <v>0</v>
      </c>
      <c r="Y354" s="1026">
        <f t="shared" ref="Y354" si="154">SUM(Y352:Y353)</f>
        <v>0</v>
      </c>
      <c r="Z354" s="1026">
        <f t="shared" ref="Z354" si="155">SUM(Z352:Z353)</f>
        <v>0</v>
      </c>
      <c r="AA354" s="1026">
        <f t="shared" ref="AA354" si="156">SUM(AA352:AA353)</f>
        <v>0</v>
      </c>
      <c r="AB354" s="1026">
        <f t="shared" ref="AB354" si="157">SUM(AB352:AB353)</f>
        <v>0</v>
      </c>
      <c r="AC354" s="1026">
        <f t="shared" ref="AC354" si="158">SUM(AC352:AC353)</f>
        <v>0</v>
      </c>
      <c r="AD354" s="1026">
        <f t="shared" ref="AD354" si="159">SUM(AD352:AD353)</f>
        <v>0</v>
      </c>
      <c r="AE354" s="1026">
        <f t="shared" ref="AE354" si="160">SUM(AE352:AE353)</f>
        <v>0</v>
      </c>
      <c r="AF354" s="1026">
        <f t="shared" ref="AF354" si="161">SUM(AF352:AF353)</f>
        <v>0</v>
      </c>
      <c r="AG354" s="1026">
        <f t="shared" ref="AG354" si="162">SUM(AG352:AG353)</f>
        <v>0</v>
      </c>
      <c r="AH354" s="1026">
        <f t="shared" ref="AH354" si="163">SUM(AH352:AH353)</f>
        <v>0</v>
      </c>
      <c r="AI354" s="1026">
        <f t="shared" ref="AI354" si="164">SUM(AI352:AI353)</f>
        <v>0</v>
      </c>
      <c r="AJ354" s="1026">
        <f t="shared" ref="AJ354" si="165">SUM(AJ352:AJ353)</f>
        <v>0</v>
      </c>
      <c r="AK354" s="1026">
        <f t="shared" ref="AK354" si="166">SUM(AK352:AK353)</f>
        <v>0</v>
      </c>
      <c r="AL354" s="1026">
        <f t="shared" ref="AL354" si="167">SUM(AL352:AL353)</f>
        <v>0</v>
      </c>
      <c r="AM354" s="1026">
        <f t="shared" ref="AM354" si="168">SUM(AM352:AM353)</f>
        <v>0</v>
      </c>
      <c r="AN354" s="1026">
        <f t="shared" ref="AN354" si="169">SUM(AN352:AN353)</f>
        <v>0</v>
      </c>
      <c r="AO354" s="1026">
        <f t="shared" ref="AO354" si="170">SUM(AO352:AO353)</f>
        <v>0</v>
      </c>
      <c r="AP354" s="1026">
        <f t="shared" ref="AP354" si="171">SUM(AP352:AP353)</f>
        <v>0</v>
      </c>
      <c r="AQ354" s="1026">
        <f t="shared" ref="AQ354" si="172">SUM(AQ352:AQ353)</f>
        <v>0</v>
      </c>
      <c r="AR354" s="1026">
        <f t="shared" ref="AR354" si="173">SUM(AR352:AR353)</f>
        <v>0</v>
      </c>
      <c r="AS354" s="1026">
        <f t="shared" ref="AS354" si="174">SUM(AS352:AS353)</f>
        <v>0</v>
      </c>
      <c r="AT354" s="1026">
        <f t="shared" ref="AT354" si="175">SUM(AT352:AT353)</f>
        <v>0</v>
      </c>
      <c r="AU354" s="1026">
        <f t="shared" ref="AU354" si="176">SUM(AU352:AU353)</f>
        <v>0</v>
      </c>
      <c r="AV354" s="1026">
        <f t="shared" ref="AV354" si="177">SUM(AV352:AV353)</f>
        <v>0</v>
      </c>
      <c r="AW354" s="1026">
        <f t="shared" ref="AW354" si="178">SUM(AW352:AW353)</f>
        <v>0</v>
      </c>
      <c r="AX354" s="1026">
        <f t="shared" ref="AX354" si="179">SUM(AX352:AX353)</f>
        <v>0</v>
      </c>
      <c r="AY354" s="1026">
        <f t="shared" ref="AY354" si="180">SUM(AY352:AY353)</f>
        <v>0</v>
      </c>
      <c r="AZ354" s="1026">
        <f t="shared" ref="AZ354" si="181">SUM(AZ352:AZ353)</f>
        <v>0</v>
      </c>
      <c r="BA354" s="1026">
        <f t="shared" ref="BA354" si="182">SUM(BA352:BA353)</f>
        <v>0</v>
      </c>
      <c r="BB354" s="1026">
        <f t="shared" ref="BB354" si="183">SUM(BB352:BB353)</f>
        <v>0</v>
      </c>
      <c r="BC354" s="1026">
        <f t="shared" ref="BC354" si="184">SUM(BC352:BC353)</f>
        <v>0</v>
      </c>
      <c r="BD354" s="1026">
        <f t="shared" ref="BD354" si="185">SUM(BD352:BD353)</f>
        <v>0</v>
      </c>
      <c r="BE354" s="1026">
        <f t="shared" ref="BE354" si="186">SUM(BE352:BE353)</f>
        <v>0</v>
      </c>
    </row>
    <row r="356" spans="5:57" x14ac:dyDescent="0.25">
      <c r="E356" s="749" t="s">
        <v>1218</v>
      </c>
    </row>
    <row r="358" spans="5:57" ht="15.75" thickBot="1" x14ac:dyDescent="0.3">
      <c r="E358" s="1108" t="str">
        <f>Parameters!$E$245</f>
        <v>Total area booster</v>
      </c>
      <c r="F358" s="1108" t="str">
        <f>Parameters!$F$245</f>
        <v>m²</v>
      </c>
      <c r="J358" s="348">
        <f>IF(AND(J$6&gt;=Parameters!$G$257,J$6&lt;=Parameters!$G$258),Parameters!$G$245,0)</f>
        <v>0</v>
      </c>
      <c r="K358" s="348">
        <f>IF(AND(K$6&gt;=Parameters!$G$257,K$6&lt;=Parameters!$G$258),Parameters!$G$245,0)</f>
        <v>0</v>
      </c>
      <c r="L358" s="348">
        <f>IF(AND(L$6&gt;=Parameters!$G$257,L$6&lt;=Parameters!$G$258),Parameters!$G$245,0)</f>
        <v>0</v>
      </c>
      <c r="M358" s="348">
        <f>IF(AND(M$6&gt;=Parameters!$G$257,M$6&lt;=Parameters!$G$258),Parameters!$G$245,0)</f>
        <v>0</v>
      </c>
      <c r="N358" s="348">
        <f>IF(AND(N$6&gt;=Parameters!$G$257,N$6&lt;=Parameters!$G$258),Parameters!$G$245,0)</f>
        <v>0</v>
      </c>
      <c r="O358" s="348">
        <f>IF(AND(O$6&gt;=Parameters!$G$257,O$6&lt;=Parameters!$G$258),Parameters!$G$245,0)</f>
        <v>0</v>
      </c>
      <c r="P358" s="348">
        <f>IF(AND(P$6&gt;=Parameters!$G$257,P$6&lt;=Parameters!$G$258),Parameters!$G$245,0)</f>
        <v>0</v>
      </c>
      <c r="Q358" s="348">
        <f>IF(AND(Q$6&gt;=Parameters!$G$257,Q$6&lt;=Parameters!$G$258),Parameters!$G$245,0)</f>
        <v>0</v>
      </c>
      <c r="R358" s="348">
        <f>IF(AND(R$6&gt;=Parameters!$G$257,R$6&lt;=Parameters!$G$258),Parameters!$G$245,0)</f>
        <v>0</v>
      </c>
      <c r="S358" s="348">
        <f>IF(AND(S$6&gt;=Parameters!$G$257,S$6&lt;=Parameters!$G$258),Parameters!$G$245,0)</f>
        <v>0</v>
      </c>
      <c r="T358" s="348">
        <f>IF(AND(T$6&gt;=Parameters!$G$257,T$6&lt;=Parameters!$G$258),Parameters!$G$245,0)</f>
        <v>0</v>
      </c>
      <c r="U358" s="348">
        <f>IF(AND(U$6&gt;=Parameters!$G$257,U$6&lt;=Parameters!$G$258),Parameters!$G$245,0)</f>
        <v>0</v>
      </c>
      <c r="V358" s="348">
        <f>IF(AND(V$6&gt;=Parameters!$G$257,V$6&lt;=Parameters!$G$258),Parameters!$G$245,0)</f>
        <v>0</v>
      </c>
      <c r="W358" s="348">
        <f>IF(AND(W$6&gt;=Parameters!$G$257,W$6&lt;=Parameters!$G$258),Parameters!$G$245,0)</f>
        <v>0</v>
      </c>
      <c r="X358" s="348">
        <f>IF(AND(X$6&gt;=Parameters!$G$257,X$6&lt;=Parameters!$G$258),Parameters!$G$245,0)</f>
        <v>0</v>
      </c>
      <c r="Y358" s="348">
        <f>IF(AND(Y$6&gt;=Parameters!$G$257,Y$6&lt;=Parameters!$G$258),Parameters!$G$245,0)</f>
        <v>0</v>
      </c>
      <c r="Z358" s="348">
        <f>IF(AND(Z$6&gt;=Parameters!$G$257,Z$6&lt;=Parameters!$G$258),Parameters!$G$245,0)</f>
        <v>0</v>
      </c>
      <c r="AA358" s="348">
        <f>IF(AND(AA$6&gt;=Parameters!$G$257,AA$6&lt;=Parameters!$G$258),Parameters!$G$245,0)</f>
        <v>0</v>
      </c>
      <c r="AB358" s="348">
        <f>IF(AND(AB$6&gt;=Parameters!$G$257,AB$6&lt;=Parameters!$G$258),Parameters!$G$245,0)</f>
        <v>0</v>
      </c>
      <c r="AC358" s="348">
        <f>IF(AND(AC$6&gt;=Parameters!$G$257,AC$6&lt;=Parameters!$G$258),Parameters!$G$245,0)</f>
        <v>0</v>
      </c>
      <c r="AD358" s="348">
        <f>IF(AND(AD$6&gt;=Parameters!$G$257,AD$6&lt;=Parameters!$G$258),Parameters!$G$245,0)</f>
        <v>0</v>
      </c>
      <c r="AE358" s="348">
        <f>IF(AND(AE$6&gt;=Parameters!$G$257,AE$6&lt;=Parameters!$G$258),Parameters!$G$245,0)</f>
        <v>0</v>
      </c>
      <c r="AF358" s="348">
        <f>IF(AND(AF$6&gt;=Parameters!$G$257,AF$6&lt;=Parameters!$G$258),Parameters!$G$245,0)</f>
        <v>0</v>
      </c>
      <c r="AG358" s="348">
        <f>IF(AND(AG$6&gt;=Parameters!$G$257,AG$6&lt;=Parameters!$G$258),Parameters!$G$245,0)</f>
        <v>0</v>
      </c>
      <c r="AH358" s="348">
        <f>IF(AND(AH$6&gt;=Parameters!$G$257,AH$6&lt;=Parameters!$G$258),Parameters!$G$245,0)</f>
        <v>0</v>
      </c>
      <c r="AI358" s="348">
        <f>IF(AND(AI$6&gt;=Parameters!$G$257,AI$6&lt;=Parameters!$G$258),Parameters!$G$245,0)</f>
        <v>0</v>
      </c>
      <c r="AJ358" s="348">
        <f>IF(AND(AJ$6&gt;=Parameters!$G$257,AJ$6&lt;=Parameters!$G$258),Parameters!$G$245,0)</f>
        <v>0</v>
      </c>
      <c r="AK358" s="348">
        <f>IF(AND(AK$6&gt;=Parameters!$G$257,AK$6&lt;=Parameters!$G$258),Parameters!$G$245,0)</f>
        <v>0</v>
      </c>
      <c r="AL358" s="348">
        <f>IF(AND(AL$6&gt;=Parameters!$G$257,AL$6&lt;=Parameters!$G$258),Parameters!$G$245,0)</f>
        <v>0</v>
      </c>
      <c r="AM358" s="348">
        <f>IF(AND(AM$6&gt;=Parameters!$G$257,AM$6&lt;=Parameters!$G$258),Parameters!$G$245,0)</f>
        <v>0</v>
      </c>
      <c r="AN358" s="348">
        <f>IF(AND(AN$6&gt;=Parameters!$G$257,AN$6&lt;=Parameters!$G$258),Parameters!$G$245,0)</f>
        <v>0</v>
      </c>
      <c r="AO358" s="348">
        <f>IF(AND(AO$6&gt;=Parameters!$G$257,AO$6&lt;=Parameters!$G$258),Parameters!$G$245,0)</f>
        <v>0</v>
      </c>
      <c r="AP358" s="348">
        <f>IF(AND(AP$6&gt;=Parameters!$G$257,AP$6&lt;=Parameters!$G$258),Parameters!$G$245,0)</f>
        <v>0</v>
      </c>
      <c r="AQ358" s="348">
        <f>IF(AND(AQ$6&gt;=Parameters!$G$257,AQ$6&lt;=Parameters!$G$258),Parameters!$G$245,0)</f>
        <v>0</v>
      </c>
      <c r="AR358" s="348">
        <f>IF(AND(AR$6&gt;=Parameters!$G$257,AR$6&lt;=Parameters!$G$258),Parameters!$G$245,0)</f>
        <v>0</v>
      </c>
      <c r="AS358" s="348">
        <f>IF(AND(AS$6&gt;=Parameters!$G$257,AS$6&lt;=Parameters!$G$258),Parameters!$G$245,0)</f>
        <v>0</v>
      </c>
      <c r="AT358" s="348">
        <f>IF(AND(AT$6&gt;=Parameters!$G$257,AT$6&lt;=Parameters!$G$258),Parameters!$G$245,0)</f>
        <v>0</v>
      </c>
      <c r="AU358" s="348">
        <f>IF(AND(AU$6&gt;=Parameters!$G$257,AU$6&lt;=Parameters!$G$258),Parameters!$G$245,0)</f>
        <v>0</v>
      </c>
      <c r="AV358" s="348">
        <f>IF(AND(AV$6&gt;=Parameters!$G$257,AV$6&lt;=Parameters!$G$258),Parameters!$G$245,0)</f>
        <v>0</v>
      </c>
      <c r="AW358" s="348">
        <f>IF(AND(AW$6&gt;=Parameters!$G$257,AW$6&lt;=Parameters!$G$258),Parameters!$G$245,0)</f>
        <v>0</v>
      </c>
      <c r="AX358" s="348">
        <f>IF(AND(AX$6&gt;=Parameters!$G$257,AX$6&lt;=Parameters!$G$258),Parameters!$G$245,0)</f>
        <v>0</v>
      </c>
      <c r="AY358" s="348">
        <f>IF(AND(AY$6&gt;=Parameters!$G$257,AY$6&lt;=Parameters!$G$258),Parameters!$G$245,0)</f>
        <v>0</v>
      </c>
      <c r="AZ358" s="348">
        <f>IF(AND(AZ$6&gt;=Parameters!$G$257,AZ$6&lt;=Parameters!$G$258),Parameters!$G$245,0)</f>
        <v>0</v>
      </c>
      <c r="BA358" s="348">
        <f>IF(AND(BA$6&gt;=Parameters!$G$257,BA$6&lt;=Parameters!$G$258),Parameters!$G$245,0)</f>
        <v>0</v>
      </c>
      <c r="BB358" s="348">
        <f>IF(AND(BB$6&gt;=Parameters!$G$257,BB$6&lt;=Parameters!$G$258),Parameters!$G$245,0)</f>
        <v>0</v>
      </c>
      <c r="BC358" s="348">
        <f>IF(AND(BC$6&gt;=Parameters!$G$257,BC$6&lt;=Parameters!$G$258),Parameters!$G$245,0)</f>
        <v>0</v>
      </c>
      <c r="BD358" s="348">
        <f>IF(AND(BD$6&gt;=Parameters!$G$257,BD$6&lt;=Parameters!$G$258),Parameters!$G$245,0)</f>
        <v>0</v>
      </c>
      <c r="BE358" s="348">
        <f>IF(AND(BE$6&gt;=Parameters!$G$257,BE$6&lt;=Parameters!$G$258),Parameters!$G$245,0)</f>
        <v>0</v>
      </c>
    </row>
    <row r="359" spans="5:57" ht="15.75" thickTop="1" x14ac:dyDescent="0.25">
      <c r="E359" s="1025" t="s">
        <v>1470</v>
      </c>
      <c r="F359" s="1025" t="s">
        <v>810</v>
      </c>
      <c r="G359" s="1109">
        <f>CEILING(MAX(J359:BE359)/$G$344,1)</f>
        <v>0</v>
      </c>
      <c r="H359" s="1025" t="s">
        <v>1614</v>
      </c>
      <c r="I359" s="1025"/>
      <c r="J359" s="1026">
        <f t="shared" ref="J359:BE359" si="187">SUM(J358:J358)</f>
        <v>0</v>
      </c>
      <c r="K359" s="1026">
        <f t="shared" si="187"/>
        <v>0</v>
      </c>
      <c r="L359" s="1026">
        <f t="shared" si="187"/>
        <v>0</v>
      </c>
      <c r="M359" s="1026">
        <f t="shared" si="187"/>
        <v>0</v>
      </c>
      <c r="N359" s="1026">
        <f t="shared" si="187"/>
        <v>0</v>
      </c>
      <c r="O359" s="1026">
        <f t="shared" si="187"/>
        <v>0</v>
      </c>
      <c r="P359" s="1026">
        <f t="shared" si="187"/>
        <v>0</v>
      </c>
      <c r="Q359" s="1026">
        <f t="shared" si="187"/>
        <v>0</v>
      </c>
      <c r="R359" s="1026">
        <f t="shared" si="187"/>
        <v>0</v>
      </c>
      <c r="S359" s="1026">
        <f t="shared" si="187"/>
        <v>0</v>
      </c>
      <c r="T359" s="1026">
        <f t="shared" si="187"/>
        <v>0</v>
      </c>
      <c r="U359" s="1026">
        <f t="shared" si="187"/>
        <v>0</v>
      </c>
      <c r="V359" s="1026">
        <f t="shared" si="187"/>
        <v>0</v>
      </c>
      <c r="W359" s="1026">
        <f t="shared" si="187"/>
        <v>0</v>
      </c>
      <c r="X359" s="1026">
        <f t="shared" si="187"/>
        <v>0</v>
      </c>
      <c r="Y359" s="1026">
        <f t="shared" si="187"/>
        <v>0</v>
      </c>
      <c r="Z359" s="1026">
        <f t="shared" si="187"/>
        <v>0</v>
      </c>
      <c r="AA359" s="1026">
        <f t="shared" si="187"/>
        <v>0</v>
      </c>
      <c r="AB359" s="1026">
        <f t="shared" si="187"/>
        <v>0</v>
      </c>
      <c r="AC359" s="1026">
        <f t="shared" si="187"/>
        <v>0</v>
      </c>
      <c r="AD359" s="1026">
        <f t="shared" si="187"/>
        <v>0</v>
      </c>
      <c r="AE359" s="1026">
        <f t="shared" si="187"/>
        <v>0</v>
      </c>
      <c r="AF359" s="1026">
        <f t="shared" si="187"/>
        <v>0</v>
      </c>
      <c r="AG359" s="1026">
        <f t="shared" si="187"/>
        <v>0</v>
      </c>
      <c r="AH359" s="1026">
        <f t="shared" si="187"/>
        <v>0</v>
      </c>
      <c r="AI359" s="1026">
        <f t="shared" si="187"/>
        <v>0</v>
      </c>
      <c r="AJ359" s="1026">
        <f t="shared" si="187"/>
        <v>0</v>
      </c>
      <c r="AK359" s="1026">
        <f t="shared" si="187"/>
        <v>0</v>
      </c>
      <c r="AL359" s="1026">
        <f t="shared" si="187"/>
        <v>0</v>
      </c>
      <c r="AM359" s="1026">
        <f t="shared" si="187"/>
        <v>0</v>
      </c>
      <c r="AN359" s="1026">
        <f t="shared" si="187"/>
        <v>0</v>
      </c>
      <c r="AO359" s="1026">
        <f t="shared" si="187"/>
        <v>0</v>
      </c>
      <c r="AP359" s="1026">
        <f t="shared" si="187"/>
        <v>0</v>
      </c>
      <c r="AQ359" s="1026">
        <f t="shared" si="187"/>
        <v>0</v>
      </c>
      <c r="AR359" s="1026">
        <f t="shared" si="187"/>
        <v>0</v>
      </c>
      <c r="AS359" s="1026">
        <f t="shared" si="187"/>
        <v>0</v>
      </c>
      <c r="AT359" s="1026">
        <f t="shared" si="187"/>
        <v>0</v>
      </c>
      <c r="AU359" s="1026">
        <f t="shared" si="187"/>
        <v>0</v>
      </c>
      <c r="AV359" s="1026">
        <f t="shared" si="187"/>
        <v>0</v>
      </c>
      <c r="AW359" s="1026">
        <f t="shared" si="187"/>
        <v>0</v>
      </c>
      <c r="AX359" s="1026">
        <f t="shared" si="187"/>
        <v>0</v>
      </c>
      <c r="AY359" s="1026">
        <f t="shared" si="187"/>
        <v>0</v>
      </c>
      <c r="AZ359" s="1026">
        <f t="shared" si="187"/>
        <v>0</v>
      </c>
      <c r="BA359" s="1026">
        <f t="shared" si="187"/>
        <v>0</v>
      </c>
      <c r="BB359" s="1026">
        <f t="shared" si="187"/>
        <v>0</v>
      </c>
      <c r="BC359" s="1026">
        <f t="shared" si="187"/>
        <v>0</v>
      </c>
      <c r="BD359" s="1026">
        <f t="shared" si="187"/>
        <v>0</v>
      </c>
      <c r="BE359" s="1026">
        <f t="shared" si="187"/>
        <v>0</v>
      </c>
    </row>
    <row r="361" spans="5:57" ht="15.75" thickBot="1" x14ac:dyDescent="0.3">
      <c r="E361" s="1108" t="str">
        <f>Parameters!E246</f>
        <v>Total weight booster</v>
      </c>
      <c r="F361" s="1108" t="str">
        <f>Parameters!F246</f>
        <v>t</v>
      </c>
      <c r="J361" s="348">
        <f>IF(AND(J$6&gt;=Parameters!$G$257,J$6&lt;=Parameters!$G$258),Parameters!$G$246,0)</f>
        <v>0</v>
      </c>
      <c r="K361" s="348">
        <f>IF(AND(K$6&gt;=Parameters!$G$257,K$6&lt;=Parameters!$G$258),Parameters!$G$246,0)</f>
        <v>0</v>
      </c>
      <c r="L361" s="348">
        <f>IF(AND(L$6&gt;=Parameters!$G$257,L$6&lt;=Parameters!$G$258),Parameters!$G$246,0)</f>
        <v>0</v>
      </c>
      <c r="M361" s="348">
        <f>IF(AND(M$6&gt;=Parameters!$G$257,M$6&lt;=Parameters!$G$258),Parameters!$G$246,0)</f>
        <v>0</v>
      </c>
      <c r="N361" s="348">
        <f>IF(AND(N$6&gt;=Parameters!$G$257,N$6&lt;=Parameters!$G$258),Parameters!$G$246,0)</f>
        <v>0</v>
      </c>
      <c r="O361" s="348">
        <f>IF(AND(O$6&gt;=Parameters!$G$257,O$6&lt;=Parameters!$G$258),Parameters!$G$246,0)</f>
        <v>0</v>
      </c>
      <c r="P361" s="348">
        <f>IF(AND(P$6&gt;=Parameters!$G$257,P$6&lt;=Parameters!$G$258),Parameters!$G$246,0)</f>
        <v>0</v>
      </c>
      <c r="Q361" s="348">
        <f>IF(AND(Q$6&gt;=Parameters!$G$257,Q$6&lt;=Parameters!$G$258),Parameters!$G$246,0)</f>
        <v>0</v>
      </c>
      <c r="R361" s="348">
        <f>IF(AND(R$6&gt;=Parameters!$G$257,R$6&lt;=Parameters!$G$258),Parameters!$G$246,0)</f>
        <v>0</v>
      </c>
      <c r="S361" s="348">
        <f>IF(AND(S$6&gt;=Parameters!$G$257,S$6&lt;=Parameters!$G$258),Parameters!$G$246,0)</f>
        <v>0</v>
      </c>
      <c r="T361" s="348">
        <f>IF(AND(T$6&gt;=Parameters!$G$257,T$6&lt;=Parameters!$G$258),Parameters!$G$246,0)</f>
        <v>0</v>
      </c>
      <c r="U361" s="348">
        <f>IF(AND(U$6&gt;=Parameters!$G$257,U$6&lt;=Parameters!$G$258),Parameters!$G$246,0)</f>
        <v>0</v>
      </c>
      <c r="V361" s="348">
        <f>IF(AND(V$6&gt;=Parameters!$G$257,V$6&lt;=Parameters!$G$258),Parameters!$G$246,0)</f>
        <v>0</v>
      </c>
      <c r="W361" s="348">
        <f>IF(AND(W$6&gt;=Parameters!$G$257,W$6&lt;=Parameters!$G$258),Parameters!$G$246,0)</f>
        <v>0</v>
      </c>
      <c r="X361" s="348">
        <f>IF(AND(X$6&gt;=Parameters!$G$257,X$6&lt;=Parameters!$G$258),Parameters!$G$246,0)</f>
        <v>0</v>
      </c>
      <c r="Y361" s="348">
        <f>IF(AND(Y$6&gt;=Parameters!$G$257,Y$6&lt;=Parameters!$G$258),Parameters!$G$246,0)</f>
        <v>0</v>
      </c>
      <c r="Z361" s="348">
        <f>IF(AND(Z$6&gt;=Parameters!$G$257,Z$6&lt;=Parameters!$G$258),Parameters!$G$246,0)</f>
        <v>0</v>
      </c>
      <c r="AA361" s="348">
        <f>IF(AND(AA$6&gt;=Parameters!$G$257,AA$6&lt;=Parameters!$G$258),Parameters!$G$246,0)</f>
        <v>0</v>
      </c>
      <c r="AB361" s="348">
        <f>IF(AND(AB$6&gt;=Parameters!$G$257,AB$6&lt;=Parameters!$G$258),Parameters!$G$246,0)</f>
        <v>0</v>
      </c>
      <c r="AC361" s="348">
        <f>IF(AND(AC$6&gt;=Parameters!$G$257,AC$6&lt;=Parameters!$G$258),Parameters!$G$246,0)</f>
        <v>0</v>
      </c>
      <c r="AD361" s="348">
        <f>IF(AND(AD$6&gt;=Parameters!$G$257,AD$6&lt;=Parameters!$G$258),Parameters!$G$246,0)</f>
        <v>0</v>
      </c>
      <c r="AE361" s="348">
        <f>IF(AND(AE$6&gt;=Parameters!$G$257,AE$6&lt;=Parameters!$G$258),Parameters!$G$246,0)</f>
        <v>0</v>
      </c>
      <c r="AF361" s="348">
        <f>IF(AND(AF$6&gt;=Parameters!$G$257,AF$6&lt;=Parameters!$G$258),Parameters!$G$246,0)</f>
        <v>0</v>
      </c>
      <c r="AG361" s="348">
        <f>IF(AND(AG$6&gt;=Parameters!$G$257,AG$6&lt;=Parameters!$G$258),Parameters!$G$246,0)</f>
        <v>0</v>
      </c>
      <c r="AH361" s="348">
        <f>IF(AND(AH$6&gt;=Parameters!$G$257,AH$6&lt;=Parameters!$G$258),Parameters!$G$246,0)</f>
        <v>0</v>
      </c>
      <c r="AI361" s="348">
        <f>IF(AND(AI$6&gt;=Parameters!$G$257,AI$6&lt;=Parameters!$G$258),Parameters!$G$246,0)</f>
        <v>0</v>
      </c>
      <c r="AJ361" s="348">
        <f>IF(AND(AJ$6&gt;=Parameters!$G$257,AJ$6&lt;=Parameters!$G$258),Parameters!$G$246,0)</f>
        <v>0</v>
      </c>
      <c r="AK361" s="348">
        <f>IF(AND(AK$6&gt;=Parameters!$G$257,AK$6&lt;=Parameters!$G$258),Parameters!$G$246,0)</f>
        <v>0</v>
      </c>
      <c r="AL361" s="348">
        <f>IF(AND(AL$6&gt;=Parameters!$G$257,AL$6&lt;=Parameters!$G$258),Parameters!$G$246,0)</f>
        <v>0</v>
      </c>
      <c r="AM361" s="348">
        <f>IF(AND(AM$6&gt;=Parameters!$G$257,AM$6&lt;=Parameters!$G$258),Parameters!$G$246,0)</f>
        <v>0</v>
      </c>
      <c r="AN361" s="348">
        <f>IF(AND(AN$6&gt;=Parameters!$G$257,AN$6&lt;=Parameters!$G$258),Parameters!$G$246,0)</f>
        <v>0</v>
      </c>
      <c r="AO361" s="348">
        <f>IF(AND(AO$6&gt;=Parameters!$G$257,AO$6&lt;=Parameters!$G$258),Parameters!$G$246,0)</f>
        <v>0</v>
      </c>
      <c r="AP361" s="348">
        <f>IF(AND(AP$6&gt;=Parameters!$G$257,AP$6&lt;=Parameters!$G$258),Parameters!$G$246,0)</f>
        <v>0</v>
      </c>
      <c r="AQ361" s="348">
        <f>IF(AND(AQ$6&gt;=Parameters!$G$257,AQ$6&lt;=Parameters!$G$258),Parameters!$G$246,0)</f>
        <v>0</v>
      </c>
      <c r="AR361" s="348">
        <f>IF(AND(AR$6&gt;=Parameters!$G$257,AR$6&lt;=Parameters!$G$258),Parameters!$G$246,0)</f>
        <v>0</v>
      </c>
      <c r="AS361" s="348">
        <f>IF(AND(AS$6&gt;=Parameters!$G$257,AS$6&lt;=Parameters!$G$258),Parameters!$G$246,0)</f>
        <v>0</v>
      </c>
      <c r="AT361" s="348">
        <f>IF(AND(AT$6&gt;=Parameters!$G$257,AT$6&lt;=Parameters!$G$258),Parameters!$G$246,0)</f>
        <v>0</v>
      </c>
      <c r="AU361" s="348">
        <f>IF(AND(AU$6&gt;=Parameters!$G$257,AU$6&lt;=Parameters!$G$258),Parameters!$G$246,0)</f>
        <v>0</v>
      </c>
      <c r="AV361" s="348">
        <f>IF(AND(AV$6&gt;=Parameters!$G$257,AV$6&lt;=Parameters!$G$258),Parameters!$G$246,0)</f>
        <v>0</v>
      </c>
      <c r="AW361" s="348">
        <f>IF(AND(AW$6&gt;=Parameters!$G$257,AW$6&lt;=Parameters!$G$258),Parameters!$G$246,0)</f>
        <v>0</v>
      </c>
      <c r="AX361" s="348">
        <f>IF(AND(AX$6&gt;=Parameters!$G$257,AX$6&lt;=Parameters!$G$258),Parameters!$G$246,0)</f>
        <v>0</v>
      </c>
      <c r="AY361" s="348">
        <f>IF(AND(AY$6&gt;=Parameters!$G$257,AY$6&lt;=Parameters!$G$258),Parameters!$G$246,0)</f>
        <v>0</v>
      </c>
      <c r="AZ361" s="348">
        <f>IF(AND(AZ$6&gt;=Parameters!$G$257,AZ$6&lt;=Parameters!$G$258),Parameters!$G$246,0)</f>
        <v>0</v>
      </c>
      <c r="BA361" s="348">
        <f>IF(AND(BA$6&gt;=Parameters!$G$257,BA$6&lt;=Parameters!$G$258),Parameters!$G$246,0)</f>
        <v>0</v>
      </c>
      <c r="BB361" s="348">
        <f>IF(AND(BB$6&gt;=Parameters!$G$257,BB$6&lt;=Parameters!$G$258),Parameters!$G$246,0)</f>
        <v>0</v>
      </c>
      <c r="BC361" s="348">
        <f>IF(AND(BC$6&gt;=Parameters!$G$257,BC$6&lt;=Parameters!$G$258),Parameters!$G$246,0)</f>
        <v>0</v>
      </c>
      <c r="BD361" s="348">
        <f>IF(AND(BD$6&gt;=Parameters!$G$257,BD$6&lt;=Parameters!$G$258),Parameters!$G$246,0)</f>
        <v>0</v>
      </c>
      <c r="BE361" s="348">
        <f>IF(AND(BE$6&gt;=Parameters!$G$257,BE$6&lt;=Parameters!$G$258),Parameters!$G$246,0)</f>
        <v>0</v>
      </c>
    </row>
    <row r="362" spans="5:57" ht="15.75" thickTop="1" x14ac:dyDescent="0.25">
      <c r="E362" s="1025" t="s">
        <v>1470</v>
      </c>
      <c r="F362" s="1025" t="s">
        <v>1540</v>
      </c>
      <c r="G362" s="1025"/>
      <c r="H362" s="1025"/>
      <c r="I362" s="1025"/>
      <c r="J362" s="1026">
        <f t="shared" ref="J362:BE362" si="188">SUM(J361:J361)</f>
        <v>0</v>
      </c>
      <c r="K362" s="1026">
        <f t="shared" si="188"/>
        <v>0</v>
      </c>
      <c r="L362" s="1026">
        <f t="shared" si="188"/>
        <v>0</v>
      </c>
      <c r="M362" s="1026">
        <f t="shared" si="188"/>
        <v>0</v>
      </c>
      <c r="N362" s="1026">
        <f t="shared" si="188"/>
        <v>0</v>
      </c>
      <c r="O362" s="1026">
        <f t="shared" si="188"/>
        <v>0</v>
      </c>
      <c r="P362" s="1026">
        <f t="shared" si="188"/>
        <v>0</v>
      </c>
      <c r="Q362" s="1026">
        <f t="shared" si="188"/>
        <v>0</v>
      </c>
      <c r="R362" s="1026">
        <f t="shared" si="188"/>
        <v>0</v>
      </c>
      <c r="S362" s="1026">
        <f t="shared" si="188"/>
        <v>0</v>
      </c>
      <c r="T362" s="1026">
        <f t="shared" si="188"/>
        <v>0</v>
      </c>
      <c r="U362" s="1026">
        <f t="shared" si="188"/>
        <v>0</v>
      </c>
      <c r="V362" s="1026">
        <f t="shared" si="188"/>
        <v>0</v>
      </c>
      <c r="W362" s="1026">
        <f t="shared" si="188"/>
        <v>0</v>
      </c>
      <c r="X362" s="1026">
        <f t="shared" si="188"/>
        <v>0</v>
      </c>
      <c r="Y362" s="1026">
        <f t="shared" si="188"/>
        <v>0</v>
      </c>
      <c r="Z362" s="1026">
        <f t="shared" si="188"/>
        <v>0</v>
      </c>
      <c r="AA362" s="1026">
        <f t="shared" si="188"/>
        <v>0</v>
      </c>
      <c r="AB362" s="1026">
        <f t="shared" si="188"/>
        <v>0</v>
      </c>
      <c r="AC362" s="1026">
        <f t="shared" si="188"/>
        <v>0</v>
      </c>
      <c r="AD362" s="1026">
        <f t="shared" si="188"/>
        <v>0</v>
      </c>
      <c r="AE362" s="1026">
        <f t="shared" si="188"/>
        <v>0</v>
      </c>
      <c r="AF362" s="1026">
        <f t="shared" si="188"/>
        <v>0</v>
      </c>
      <c r="AG362" s="1026">
        <f t="shared" si="188"/>
        <v>0</v>
      </c>
      <c r="AH362" s="1026">
        <f t="shared" si="188"/>
        <v>0</v>
      </c>
      <c r="AI362" s="1026">
        <f t="shared" si="188"/>
        <v>0</v>
      </c>
      <c r="AJ362" s="1026">
        <f t="shared" si="188"/>
        <v>0</v>
      </c>
      <c r="AK362" s="1026">
        <f t="shared" si="188"/>
        <v>0</v>
      </c>
      <c r="AL362" s="1026">
        <f t="shared" si="188"/>
        <v>0</v>
      </c>
      <c r="AM362" s="1026">
        <f t="shared" si="188"/>
        <v>0</v>
      </c>
      <c r="AN362" s="1026">
        <f t="shared" si="188"/>
        <v>0</v>
      </c>
      <c r="AO362" s="1026">
        <f t="shared" si="188"/>
        <v>0</v>
      </c>
      <c r="AP362" s="1026">
        <f t="shared" si="188"/>
        <v>0</v>
      </c>
      <c r="AQ362" s="1026">
        <f t="shared" si="188"/>
        <v>0</v>
      </c>
      <c r="AR362" s="1026">
        <f t="shared" si="188"/>
        <v>0</v>
      </c>
      <c r="AS362" s="1026">
        <f t="shared" si="188"/>
        <v>0</v>
      </c>
      <c r="AT362" s="1026">
        <f t="shared" si="188"/>
        <v>0</v>
      </c>
      <c r="AU362" s="1026">
        <f t="shared" si="188"/>
        <v>0</v>
      </c>
      <c r="AV362" s="1026">
        <f t="shared" si="188"/>
        <v>0</v>
      </c>
      <c r="AW362" s="1026">
        <f t="shared" si="188"/>
        <v>0</v>
      </c>
      <c r="AX362" s="1026">
        <f t="shared" si="188"/>
        <v>0</v>
      </c>
      <c r="AY362" s="1026">
        <f t="shared" si="188"/>
        <v>0</v>
      </c>
      <c r="AZ362" s="1026">
        <f t="shared" si="188"/>
        <v>0</v>
      </c>
      <c r="BA362" s="1026">
        <f t="shared" si="188"/>
        <v>0</v>
      </c>
      <c r="BB362" s="1026">
        <f t="shared" si="188"/>
        <v>0</v>
      </c>
      <c r="BC362" s="1026">
        <f t="shared" si="188"/>
        <v>0</v>
      </c>
      <c r="BD362" s="1026">
        <f t="shared" si="188"/>
        <v>0</v>
      </c>
      <c r="BE362" s="1026">
        <f t="shared" si="188"/>
        <v>0</v>
      </c>
    </row>
    <row r="363" spans="5:57" x14ac:dyDescent="0.25">
      <c r="E363" s="2"/>
      <c r="F363" s="2"/>
      <c r="G363" s="2"/>
      <c r="H363" s="2"/>
      <c r="I363" s="2"/>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c r="AQ363" s="85"/>
      <c r="AR363" s="85"/>
      <c r="AS363" s="85"/>
      <c r="AT363" s="85"/>
      <c r="AU363" s="85"/>
      <c r="AV363" s="85"/>
      <c r="AW363" s="85"/>
      <c r="AX363" s="85"/>
      <c r="AY363" s="85"/>
      <c r="AZ363" s="85"/>
      <c r="BA363" s="85"/>
      <c r="BB363" s="85"/>
      <c r="BC363" s="85"/>
      <c r="BD363" s="85"/>
      <c r="BE363" s="85"/>
    </row>
    <row r="364" spans="5:57" x14ac:dyDescent="0.25">
      <c r="E364" s="749" t="s">
        <v>1458</v>
      </c>
    </row>
    <row r="366" spans="5:57" x14ac:dyDescent="0.25">
      <c r="E366" s="1108" t="str">
        <f>Parameters!E293</f>
        <v>Total electrolyser area</v>
      </c>
      <c r="F366" s="1108" t="str">
        <f>Parameters!F293</f>
        <v>m²</v>
      </c>
      <c r="J366" s="348">
        <f>IF(AND(J$6&gt;=Parameters!$G$257,J$6&lt;=Parameters!$G$258),Parameters!$G$293,0)</f>
        <v>0</v>
      </c>
      <c r="K366" s="348">
        <f>IF(AND(K$6&gt;=Parameters!$G$257,K$6&lt;=Parameters!$G$258),Parameters!$G$293,0)</f>
        <v>0</v>
      </c>
      <c r="L366" s="348">
        <f>IF(AND(L$6&gt;=Parameters!$G$257,L$6&lt;=Parameters!$G$258),Parameters!$G$293,0)</f>
        <v>0</v>
      </c>
      <c r="M366" s="348">
        <f>IF(AND(M$6&gt;=Parameters!$G$257,M$6&lt;=Parameters!$G$258),Parameters!$G$293,0)</f>
        <v>0</v>
      </c>
      <c r="N366" s="348">
        <f>IF(AND(N$6&gt;=Parameters!$G$257,N$6&lt;=Parameters!$G$258),Parameters!$G$293,0)</f>
        <v>0</v>
      </c>
      <c r="O366" s="348">
        <f>IF(AND(O$6&gt;=Parameters!$G$257,O$6&lt;=Parameters!$G$258),Parameters!$G$293,0)</f>
        <v>0</v>
      </c>
      <c r="P366" s="348">
        <f>IF(AND(P$6&gt;=Parameters!$G$257,P$6&lt;=Parameters!$G$258),Parameters!$G$293,0)</f>
        <v>0</v>
      </c>
      <c r="Q366" s="348">
        <f>IF(AND(Q$6&gt;=Parameters!$G$257,Q$6&lt;=Parameters!$G$258),Parameters!$G$293,0)</f>
        <v>0</v>
      </c>
      <c r="R366" s="348">
        <f>IF(AND(R$6&gt;=Parameters!$G$257,R$6&lt;=Parameters!$G$258),Parameters!$G$293,0)</f>
        <v>148.5472</v>
      </c>
      <c r="S366" s="348">
        <f>IF(AND(S$6&gt;=Parameters!$G$257,S$6&lt;=Parameters!$G$258),Parameters!$G$293,0)</f>
        <v>148.5472</v>
      </c>
      <c r="T366" s="348">
        <f>IF(AND(T$6&gt;=Parameters!$G$257,T$6&lt;=Parameters!$G$258),Parameters!$G$293,0)</f>
        <v>148.5472</v>
      </c>
      <c r="U366" s="348">
        <f>IF(AND(U$6&gt;=Parameters!$G$257,U$6&lt;=Parameters!$G$258),Parameters!$G$293,0)</f>
        <v>148.5472</v>
      </c>
      <c r="V366" s="348">
        <f>IF(AND(V$6&gt;=Parameters!$G$257,V$6&lt;=Parameters!$G$258),Parameters!$G$293,0)</f>
        <v>148.5472</v>
      </c>
      <c r="W366" s="348">
        <f>IF(AND(W$6&gt;=Parameters!$G$257,W$6&lt;=Parameters!$G$258),Parameters!$G$293,0)</f>
        <v>0</v>
      </c>
      <c r="X366" s="348">
        <f>IF(AND(X$6&gt;=Parameters!$G$257,X$6&lt;=Parameters!$G$258),Parameters!$G$293,0)</f>
        <v>0</v>
      </c>
      <c r="Y366" s="348">
        <f>IF(AND(Y$6&gt;=Parameters!$G$257,Y$6&lt;=Parameters!$G$258),Parameters!$G$293,0)</f>
        <v>0</v>
      </c>
      <c r="Z366" s="348">
        <f>IF(AND(Z$6&gt;=Parameters!$G$257,Z$6&lt;=Parameters!$G$258),Parameters!$G$293,0)</f>
        <v>0</v>
      </c>
      <c r="AA366" s="348">
        <f>IF(AND(AA$6&gt;=Parameters!$G$257,AA$6&lt;=Parameters!$G$258),Parameters!$G$293,0)</f>
        <v>0</v>
      </c>
      <c r="AB366" s="348">
        <f>IF(AND(AB$6&gt;=Parameters!$G$257,AB$6&lt;=Parameters!$G$258),Parameters!$G$293,0)</f>
        <v>0</v>
      </c>
      <c r="AC366" s="348">
        <f>IF(AND(AC$6&gt;=Parameters!$G$257,AC$6&lt;=Parameters!$G$258),Parameters!$G$293,0)</f>
        <v>0</v>
      </c>
      <c r="AD366" s="348">
        <f>IF(AND(AD$6&gt;=Parameters!$G$257,AD$6&lt;=Parameters!$G$258),Parameters!$G$293,0)</f>
        <v>0</v>
      </c>
      <c r="AE366" s="348">
        <f>IF(AND(AE$6&gt;=Parameters!$G$257,AE$6&lt;=Parameters!$G$258),Parameters!$G$293,0)</f>
        <v>0</v>
      </c>
      <c r="AF366" s="348">
        <f>IF(AND(AF$6&gt;=Parameters!$G$257,AF$6&lt;=Parameters!$G$258),Parameters!$G$293,0)</f>
        <v>0</v>
      </c>
      <c r="AG366" s="348">
        <f>IF(AND(AG$6&gt;=Parameters!$G$257,AG$6&lt;=Parameters!$G$258),Parameters!$G$293,0)</f>
        <v>0</v>
      </c>
      <c r="AH366" s="348">
        <f>IF(AND(AH$6&gt;=Parameters!$G$257,AH$6&lt;=Parameters!$G$258),Parameters!$G$293,0)</f>
        <v>0</v>
      </c>
      <c r="AI366" s="348">
        <f>IF(AND(AI$6&gt;=Parameters!$G$257,AI$6&lt;=Parameters!$G$258),Parameters!$G$293,0)</f>
        <v>0</v>
      </c>
      <c r="AJ366" s="348">
        <f>IF(AND(AJ$6&gt;=Parameters!$G$257,AJ$6&lt;=Parameters!$G$258),Parameters!$G$293,0)</f>
        <v>0</v>
      </c>
      <c r="AK366" s="348">
        <f>IF(AND(AK$6&gt;=Parameters!$G$257,AK$6&lt;=Parameters!$G$258),Parameters!$G$293,0)</f>
        <v>0</v>
      </c>
      <c r="AL366" s="348">
        <f>IF(AND(AL$6&gt;=Parameters!$G$257,AL$6&lt;=Parameters!$G$258),Parameters!$G$293,0)</f>
        <v>0</v>
      </c>
      <c r="AM366" s="348">
        <f>IF(AND(AM$6&gt;=Parameters!$G$257,AM$6&lt;=Parameters!$G$258),Parameters!$G$293,0)</f>
        <v>0</v>
      </c>
      <c r="AN366" s="348">
        <f>IF(AND(AN$6&gt;=Parameters!$G$257,AN$6&lt;=Parameters!$G$258),Parameters!$G$293,0)</f>
        <v>0</v>
      </c>
      <c r="AO366" s="348">
        <f>IF(AND(AO$6&gt;=Parameters!$G$257,AO$6&lt;=Parameters!$G$258),Parameters!$G$293,0)</f>
        <v>0</v>
      </c>
      <c r="AP366" s="348">
        <f>IF(AND(AP$6&gt;=Parameters!$G$257,AP$6&lt;=Parameters!$G$258),Parameters!$G$293,0)</f>
        <v>0</v>
      </c>
      <c r="AQ366" s="348">
        <f>IF(AND(AQ$6&gt;=Parameters!$G$257,AQ$6&lt;=Parameters!$G$258),Parameters!$G$293,0)</f>
        <v>0</v>
      </c>
      <c r="AR366" s="348">
        <f>IF(AND(AR$6&gt;=Parameters!$G$257,AR$6&lt;=Parameters!$G$258),Parameters!$G$293,0)</f>
        <v>0</v>
      </c>
      <c r="AS366" s="348">
        <f>IF(AND(AS$6&gt;=Parameters!$G$257,AS$6&lt;=Parameters!$G$258),Parameters!$G$293,0)</f>
        <v>0</v>
      </c>
      <c r="AT366" s="348">
        <f>IF(AND(AT$6&gt;=Parameters!$G$257,AT$6&lt;=Parameters!$G$258),Parameters!$G$293,0)</f>
        <v>0</v>
      </c>
      <c r="AU366" s="348">
        <f>IF(AND(AU$6&gt;=Parameters!$G$257,AU$6&lt;=Parameters!$G$258),Parameters!$G$293,0)</f>
        <v>0</v>
      </c>
      <c r="AV366" s="348">
        <f>IF(AND(AV$6&gt;=Parameters!$G$257,AV$6&lt;=Parameters!$G$258),Parameters!$G$293,0)</f>
        <v>0</v>
      </c>
      <c r="AW366" s="348">
        <f>IF(AND(AW$6&gt;=Parameters!$G$257,AW$6&lt;=Parameters!$G$258),Parameters!$G$293,0)</f>
        <v>0</v>
      </c>
      <c r="AX366" s="348">
        <f>IF(AND(AX$6&gt;=Parameters!$G$257,AX$6&lt;=Parameters!$G$258),Parameters!$G$293,0)</f>
        <v>0</v>
      </c>
      <c r="AY366" s="348">
        <f>IF(AND(AY$6&gt;=Parameters!$G$257,AY$6&lt;=Parameters!$G$258),Parameters!$G$293,0)</f>
        <v>0</v>
      </c>
      <c r="AZ366" s="348">
        <f>IF(AND(AZ$6&gt;=Parameters!$G$257,AZ$6&lt;=Parameters!$G$258),Parameters!$G$293,0)</f>
        <v>0</v>
      </c>
      <c r="BA366" s="348">
        <f>IF(AND(BA$6&gt;=Parameters!$G$257,BA$6&lt;=Parameters!$G$258),Parameters!$G$293,0)</f>
        <v>0</v>
      </c>
      <c r="BB366" s="348">
        <f>IF(AND(BB$6&gt;=Parameters!$G$257,BB$6&lt;=Parameters!$G$258),Parameters!$G$293,0)</f>
        <v>0</v>
      </c>
      <c r="BC366" s="348">
        <f>IF(AND(BC$6&gt;=Parameters!$G$257,BC$6&lt;=Parameters!$G$258),Parameters!$G$293,0)</f>
        <v>0</v>
      </c>
      <c r="BD366" s="348">
        <f>IF(AND(BD$6&gt;=Parameters!$G$257,BD$6&lt;=Parameters!$G$258),Parameters!$G$293,0)</f>
        <v>0</v>
      </c>
      <c r="BE366" s="348">
        <f>IF(AND(BE$6&gt;=Parameters!$G$257,BE$6&lt;=Parameters!$G$258),Parameters!$G$293,0)</f>
        <v>0</v>
      </c>
    </row>
    <row r="367" spans="5:57" x14ac:dyDescent="0.25">
      <c r="E367" s="1108" t="str">
        <f>Parameters!E319</f>
        <v>Total area compressor</v>
      </c>
      <c r="F367" s="1108" t="str">
        <f>Parameters!F319</f>
        <v>m²</v>
      </c>
      <c r="J367" s="348">
        <f>IF(AND(J$6&gt;=Parameters!$G$257,J$6&lt;=Parameters!$G$258),Parameters!$G$319,0)</f>
        <v>0</v>
      </c>
      <c r="K367" s="348">
        <f>IF(AND(K$6&gt;=Parameters!$G$257,K$6&lt;=Parameters!$G$258),Parameters!$G$319,0)</f>
        <v>0</v>
      </c>
      <c r="L367" s="348">
        <f>IF(AND(L$6&gt;=Parameters!$G$257,L$6&lt;=Parameters!$G$258),Parameters!$G$319,0)</f>
        <v>0</v>
      </c>
      <c r="M367" s="348">
        <f>IF(AND(M$6&gt;=Parameters!$G$257,M$6&lt;=Parameters!$G$258),Parameters!$G$319,0)</f>
        <v>0</v>
      </c>
      <c r="N367" s="348">
        <f>IF(AND(N$6&gt;=Parameters!$G$257,N$6&lt;=Parameters!$G$258),Parameters!$G$319,0)</f>
        <v>0</v>
      </c>
      <c r="O367" s="348">
        <f>IF(AND(O$6&gt;=Parameters!$G$257,O$6&lt;=Parameters!$G$258),Parameters!$G$319,0)</f>
        <v>0</v>
      </c>
      <c r="P367" s="348">
        <f>IF(AND(P$6&gt;=Parameters!$G$257,P$6&lt;=Parameters!$G$258),Parameters!$G$319,0)</f>
        <v>0</v>
      </c>
      <c r="Q367" s="348">
        <f>IF(AND(Q$6&gt;=Parameters!$G$257,Q$6&lt;=Parameters!$G$258),Parameters!$G$319,0)</f>
        <v>0</v>
      </c>
      <c r="R367" s="348">
        <f>IF(AND(R$6&gt;=Parameters!$G$257,R$6&lt;=Parameters!$G$258),Parameters!$G$319,0)</f>
        <v>7.6119462157450011</v>
      </c>
      <c r="S367" s="348">
        <f>IF(AND(S$6&gt;=Parameters!$G$257,S$6&lt;=Parameters!$G$258),Parameters!$G$319,0)</f>
        <v>7.6119462157450011</v>
      </c>
      <c r="T367" s="348">
        <f>IF(AND(T$6&gt;=Parameters!$G$257,T$6&lt;=Parameters!$G$258),Parameters!$G$319,0)</f>
        <v>7.6119462157450011</v>
      </c>
      <c r="U367" s="348">
        <f>IF(AND(U$6&gt;=Parameters!$G$257,U$6&lt;=Parameters!$G$258),Parameters!$G$319,0)</f>
        <v>7.6119462157450011</v>
      </c>
      <c r="V367" s="348">
        <f>IF(AND(V$6&gt;=Parameters!$G$257,V$6&lt;=Parameters!$G$258),Parameters!$G$319,0)</f>
        <v>7.6119462157450011</v>
      </c>
      <c r="W367" s="348">
        <f>IF(AND(W$6&gt;=Parameters!$G$257,W$6&lt;=Parameters!$G$258),Parameters!$G$319,0)</f>
        <v>0</v>
      </c>
      <c r="X367" s="348">
        <f>IF(AND(X$6&gt;=Parameters!$G$257,X$6&lt;=Parameters!$G$258),Parameters!$G$319,0)</f>
        <v>0</v>
      </c>
      <c r="Y367" s="348">
        <f>IF(AND(Y$6&gt;=Parameters!$G$257,Y$6&lt;=Parameters!$G$258),Parameters!$G$319,0)</f>
        <v>0</v>
      </c>
      <c r="Z367" s="348">
        <f>IF(AND(Z$6&gt;=Parameters!$G$257,Z$6&lt;=Parameters!$G$258),Parameters!$G$319,0)</f>
        <v>0</v>
      </c>
      <c r="AA367" s="348">
        <f>IF(AND(AA$6&gt;=Parameters!$G$257,AA$6&lt;=Parameters!$G$258),Parameters!$G$319,0)</f>
        <v>0</v>
      </c>
      <c r="AB367" s="348">
        <f>IF(AND(AB$6&gt;=Parameters!$G$257,AB$6&lt;=Parameters!$G$258),Parameters!$G$319,0)</f>
        <v>0</v>
      </c>
      <c r="AC367" s="348">
        <f>IF(AND(AC$6&gt;=Parameters!$G$257,AC$6&lt;=Parameters!$G$258),Parameters!$G$319,0)</f>
        <v>0</v>
      </c>
      <c r="AD367" s="348">
        <f>IF(AND(AD$6&gt;=Parameters!$G$257,AD$6&lt;=Parameters!$G$258),Parameters!$G$319,0)</f>
        <v>0</v>
      </c>
      <c r="AE367" s="348">
        <f>IF(AND(AE$6&gt;=Parameters!$G$257,AE$6&lt;=Parameters!$G$258),Parameters!$G$319,0)</f>
        <v>0</v>
      </c>
      <c r="AF367" s="348">
        <f>IF(AND(AF$6&gt;=Parameters!$G$257,AF$6&lt;=Parameters!$G$258),Parameters!$G$319,0)</f>
        <v>0</v>
      </c>
      <c r="AG367" s="348">
        <f>IF(AND(AG$6&gt;=Parameters!$G$257,AG$6&lt;=Parameters!$G$258),Parameters!$G$319,0)</f>
        <v>0</v>
      </c>
      <c r="AH367" s="348">
        <f>IF(AND(AH$6&gt;=Parameters!$G$257,AH$6&lt;=Parameters!$G$258),Parameters!$G$319,0)</f>
        <v>0</v>
      </c>
      <c r="AI367" s="348">
        <f>IF(AND(AI$6&gt;=Parameters!$G$257,AI$6&lt;=Parameters!$G$258),Parameters!$G$319,0)</f>
        <v>0</v>
      </c>
      <c r="AJ367" s="348">
        <f>IF(AND(AJ$6&gt;=Parameters!$G$257,AJ$6&lt;=Parameters!$G$258),Parameters!$G$319,0)</f>
        <v>0</v>
      </c>
      <c r="AK367" s="348">
        <f>IF(AND(AK$6&gt;=Parameters!$G$257,AK$6&lt;=Parameters!$G$258),Parameters!$G$319,0)</f>
        <v>0</v>
      </c>
      <c r="AL367" s="348">
        <f>IF(AND(AL$6&gt;=Parameters!$G$257,AL$6&lt;=Parameters!$G$258),Parameters!$G$319,0)</f>
        <v>0</v>
      </c>
      <c r="AM367" s="348">
        <f>IF(AND(AM$6&gt;=Parameters!$G$257,AM$6&lt;=Parameters!$G$258),Parameters!$G$319,0)</f>
        <v>0</v>
      </c>
      <c r="AN367" s="348">
        <f>IF(AND(AN$6&gt;=Parameters!$G$257,AN$6&lt;=Parameters!$G$258),Parameters!$G$319,0)</f>
        <v>0</v>
      </c>
      <c r="AO367" s="348">
        <f>IF(AND(AO$6&gt;=Parameters!$G$257,AO$6&lt;=Parameters!$G$258),Parameters!$G$319,0)</f>
        <v>0</v>
      </c>
      <c r="AP367" s="348">
        <f>IF(AND(AP$6&gt;=Parameters!$G$257,AP$6&lt;=Parameters!$G$258),Parameters!$G$319,0)</f>
        <v>0</v>
      </c>
      <c r="AQ367" s="348">
        <f>IF(AND(AQ$6&gt;=Parameters!$G$257,AQ$6&lt;=Parameters!$G$258),Parameters!$G$319,0)</f>
        <v>0</v>
      </c>
      <c r="AR367" s="348">
        <f>IF(AND(AR$6&gt;=Parameters!$G$257,AR$6&lt;=Parameters!$G$258),Parameters!$G$319,0)</f>
        <v>0</v>
      </c>
      <c r="AS367" s="348">
        <f>IF(AND(AS$6&gt;=Parameters!$G$257,AS$6&lt;=Parameters!$G$258),Parameters!$G$319,0)</f>
        <v>0</v>
      </c>
      <c r="AT367" s="348">
        <f>IF(AND(AT$6&gt;=Parameters!$G$257,AT$6&lt;=Parameters!$G$258),Parameters!$G$319,0)</f>
        <v>0</v>
      </c>
      <c r="AU367" s="348">
        <f>IF(AND(AU$6&gt;=Parameters!$G$257,AU$6&lt;=Parameters!$G$258),Parameters!$G$319,0)</f>
        <v>0</v>
      </c>
      <c r="AV367" s="348">
        <f>IF(AND(AV$6&gt;=Parameters!$G$257,AV$6&lt;=Parameters!$G$258),Parameters!$G$319,0)</f>
        <v>0</v>
      </c>
      <c r="AW367" s="348">
        <f>IF(AND(AW$6&gt;=Parameters!$G$257,AW$6&lt;=Parameters!$G$258),Parameters!$G$319,0)</f>
        <v>0</v>
      </c>
      <c r="AX367" s="348">
        <f>IF(AND(AX$6&gt;=Parameters!$G$257,AX$6&lt;=Parameters!$G$258),Parameters!$G$319,0)</f>
        <v>0</v>
      </c>
      <c r="AY367" s="348">
        <f>IF(AND(AY$6&gt;=Parameters!$G$257,AY$6&lt;=Parameters!$G$258),Parameters!$G$319,0)</f>
        <v>0</v>
      </c>
      <c r="AZ367" s="348">
        <f>IF(AND(AZ$6&gt;=Parameters!$G$257,AZ$6&lt;=Parameters!$G$258),Parameters!$G$319,0)</f>
        <v>0</v>
      </c>
      <c r="BA367" s="348">
        <f>IF(AND(BA$6&gt;=Parameters!$G$257,BA$6&lt;=Parameters!$G$258),Parameters!$G$319,0)</f>
        <v>0</v>
      </c>
      <c r="BB367" s="348">
        <f>IF(AND(BB$6&gt;=Parameters!$G$257,BB$6&lt;=Parameters!$G$258),Parameters!$G$319,0)</f>
        <v>0</v>
      </c>
      <c r="BC367" s="348">
        <f>IF(AND(BC$6&gt;=Parameters!$G$257,BC$6&lt;=Parameters!$G$258),Parameters!$G$319,0)</f>
        <v>0</v>
      </c>
      <c r="BD367" s="348">
        <f>IF(AND(BD$6&gt;=Parameters!$G$257,BD$6&lt;=Parameters!$G$258),Parameters!$G$319,0)</f>
        <v>0</v>
      </c>
      <c r="BE367" s="348">
        <f>IF(AND(BE$6&gt;=Parameters!$G$257,BE$6&lt;=Parameters!$G$258),Parameters!$G$319,0)</f>
        <v>0</v>
      </c>
    </row>
    <row r="368" spans="5:57" ht="15.75" thickBot="1" x14ac:dyDescent="0.3">
      <c r="E368" s="1108" t="str">
        <f>Parameters!E302</f>
        <v>Total desalination unit area</v>
      </c>
      <c r="F368" s="1108" t="str">
        <f>Parameters!F302</f>
        <v>m²</v>
      </c>
      <c r="J368" s="348">
        <f>IF(AND(J$6&gt;=Parameters!$G$257,J$6&lt;=Parameters!$G$258),Parameters!$G$302,0)</f>
        <v>0</v>
      </c>
      <c r="K368" s="348">
        <f>IF(AND(K$6&gt;=Parameters!$G$257,K$6&lt;=Parameters!$G$258),Parameters!$G$302,0)</f>
        <v>0</v>
      </c>
      <c r="L368" s="348">
        <f>IF(AND(L$6&gt;=Parameters!$G$257,L$6&lt;=Parameters!$G$258),Parameters!$G$302,0)</f>
        <v>0</v>
      </c>
      <c r="M368" s="348">
        <f>IF(AND(M$6&gt;=Parameters!$G$257,M$6&lt;=Parameters!$G$258),Parameters!$G$302,0)</f>
        <v>0</v>
      </c>
      <c r="N368" s="348">
        <f>IF(AND(N$6&gt;=Parameters!$G$257,N$6&lt;=Parameters!$G$258),Parameters!$G$302,0)</f>
        <v>0</v>
      </c>
      <c r="O368" s="348">
        <f>IF(AND(O$6&gt;=Parameters!$G$257,O$6&lt;=Parameters!$G$258),Parameters!$G$302,0)</f>
        <v>0</v>
      </c>
      <c r="P368" s="348">
        <f>IF(AND(P$6&gt;=Parameters!$G$257,P$6&lt;=Parameters!$G$258),Parameters!$G$302,0)</f>
        <v>0</v>
      </c>
      <c r="Q368" s="348">
        <f>IF(AND(Q$6&gt;=Parameters!$G$257,Q$6&lt;=Parameters!$G$258),Parameters!$G$302,0)</f>
        <v>0</v>
      </c>
      <c r="R368" s="348">
        <f>IF(AND(R$6&gt;=Parameters!$G$257,R$6&lt;=Parameters!$G$258),Parameters!$G$302,0)</f>
        <v>3.8298856933808541</v>
      </c>
      <c r="S368" s="348">
        <f>IF(AND(S$6&gt;=Parameters!$G$257,S$6&lt;=Parameters!$G$258),Parameters!$G$302,0)</f>
        <v>3.8298856933808541</v>
      </c>
      <c r="T368" s="348">
        <f>IF(AND(T$6&gt;=Parameters!$G$257,T$6&lt;=Parameters!$G$258),Parameters!$G$302,0)</f>
        <v>3.8298856933808541</v>
      </c>
      <c r="U368" s="348">
        <f>IF(AND(U$6&gt;=Parameters!$G$257,U$6&lt;=Parameters!$G$258),Parameters!$G$302,0)</f>
        <v>3.8298856933808541</v>
      </c>
      <c r="V368" s="348">
        <f>IF(AND(V$6&gt;=Parameters!$G$257,V$6&lt;=Parameters!$G$258),Parameters!$G$302,0)</f>
        <v>3.8298856933808541</v>
      </c>
      <c r="W368" s="348">
        <f>IF(AND(W$6&gt;=Parameters!$G$257,W$6&lt;=Parameters!$G$258),Parameters!$G$302,0)</f>
        <v>0</v>
      </c>
      <c r="X368" s="348">
        <f>IF(AND(X$6&gt;=Parameters!$G$257,X$6&lt;=Parameters!$G$258),Parameters!$G$302,0)</f>
        <v>0</v>
      </c>
      <c r="Y368" s="348">
        <f>IF(AND(Y$6&gt;=Parameters!$G$257,Y$6&lt;=Parameters!$G$258),Parameters!$G$302,0)</f>
        <v>0</v>
      </c>
      <c r="Z368" s="348">
        <f>IF(AND(Z$6&gt;=Parameters!$G$257,Z$6&lt;=Parameters!$G$258),Parameters!$G$302,0)</f>
        <v>0</v>
      </c>
      <c r="AA368" s="348">
        <f>IF(AND(AA$6&gt;=Parameters!$G$257,AA$6&lt;=Parameters!$G$258),Parameters!$G$302,0)</f>
        <v>0</v>
      </c>
      <c r="AB368" s="348">
        <f>IF(AND(AB$6&gt;=Parameters!$G$257,AB$6&lt;=Parameters!$G$258),Parameters!$G$302,0)</f>
        <v>0</v>
      </c>
      <c r="AC368" s="348">
        <f>IF(AND(AC$6&gt;=Parameters!$G$257,AC$6&lt;=Parameters!$G$258),Parameters!$G$302,0)</f>
        <v>0</v>
      </c>
      <c r="AD368" s="348">
        <f>IF(AND(AD$6&gt;=Parameters!$G$257,AD$6&lt;=Parameters!$G$258),Parameters!$G$302,0)</f>
        <v>0</v>
      </c>
      <c r="AE368" s="348">
        <f>IF(AND(AE$6&gt;=Parameters!$G$257,AE$6&lt;=Parameters!$G$258),Parameters!$G$302,0)</f>
        <v>0</v>
      </c>
      <c r="AF368" s="348">
        <f>IF(AND(AF$6&gt;=Parameters!$G$257,AF$6&lt;=Parameters!$G$258),Parameters!$G$302,0)</f>
        <v>0</v>
      </c>
      <c r="AG368" s="348">
        <f>IF(AND(AG$6&gt;=Parameters!$G$257,AG$6&lt;=Parameters!$G$258),Parameters!$G$302,0)</f>
        <v>0</v>
      </c>
      <c r="AH368" s="348">
        <f>IF(AND(AH$6&gt;=Parameters!$G$257,AH$6&lt;=Parameters!$G$258),Parameters!$G$302,0)</f>
        <v>0</v>
      </c>
      <c r="AI368" s="348">
        <f>IF(AND(AI$6&gt;=Parameters!$G$257,AI$6&lt;=Parameters!$G$258),Parameters!$G$302,0)</f>
        <v>0</v>
      </c>
      <c r="AJ368" s="348">
        <f>IF(AND(AJ$6&gt;=Parameters!$G$257,AJ$6&lt;=Parameters!$G$258),Parameters!$G$302,0)</f>
        <v>0</v>
      </c>
      <c r="AK368" s="348">
        <f>IF(AND(AK$6&gt;=Parameters!$G$257,AK$6&lt;=Parameters!$G$258),Parameters!$G$302,0)</f>
        <v>0</v>
      </c>
      <c r="AL368" s="348">
        <f>IF(AND(AL$6&gt;=Parameters!$G$257,AL$6&lt;=Parameters!$G$258),Parameters!$G$302,0)</f>
        <v>0</v>
      </c>
      <c r="AM368" s="348">
        <f>IF(AND(AM$6&gt;=Parameters!$G$257,AM$6&lt;=Parameters!$G$258),Parameters!$G$302,0)</f>
        <v>0</v>
      </c>
      <c r="AN368" s="348">
        <f>IF(AND(AN$6&gt;=Parameters!$G$257,AN$6&lt;=Parameters!$G$258),Parameters!$G$302,0)</f>
        <v>0</v>
      </c>
      <c r="AO368" s="348">
        <f>IF(AND(AO$6&gt;=Parameters!$G$257,AO$6&lt;=Parameters!$G$258),Parameters!$G$302,0)</f>
        <v>0</v>
      </c>
      <c r="AP368" s="348">
        <f>IF(AND(AP$6&gt;=Parameters!$G$257,AP$6&lt;=Parameters!$G$258),Parameters!$G$302,0)</f>
        <v>0</v>
      </c>
      <c r="AQ368" s="348">
        <f>IF(AND(AQ$6&gt;=Parameters!$G$257,AQ$6&lt;=Parameters!$G$258),Parameters!$G$302,0)</f>
        <v>0</v>
      </c>
      <c r="AR368" s="348">
        <f>IF(AND(AR$6&gt;=Parameters!$G$257,AR$6&lt;=Parameters!$G$258),Parameters!$G$302,0)</f>
        <v>0</v>
      </c>
      <c r="AS368" s="348">
        <f>IF(AND(AS$6&gt;=Parameters!$G$257,AS$6&lt;=Parameters!$G$258),Parameters!$G$302,0)</f>
        <v>0</v>
      </c>
      <c r="AT368" s="348">
        <f>IF(AND(AT$6&gt;=Parameters!$G$257,AT$6&lt;=Parameters!$G$258),Parameters!$G$302,0)</f>
        <v>0</v>
      </c>
      <c r="AU368" s="348">
        <f>IF(AND(AU$6&gt;=Parameters!$G$257,AU$6&lt;=Parameters!$G$258),Parameters!$G$302,0)</f>
        <v>0</v>
      </c>
      <c r="AV368" s="348">
        <f>IF(AND(AV$6&gt;=Parameters!$G$257,AV$6&lt;=Parameters!$G$258),Parameters!$G$302,0)</f>
        <v>0</v>
      </c>
      <c r="AW368" s="348">
        <f>IF(AND(AW$6&gt;=Parameters!$G$257,AW$6&lt;=Parameters!$G$258),Parameters!$G$302,0)</f>
        <v>0</v>
      </c>
      <c r="AX368" s="348">
        <f>IF(AND(AX$6&gt;=Parameters!$G$257,AX$6&lt;=Parameters!$G$258),Parameters!$G$302,0)</f>
        <v>0</v>
      </c>
      <c r="AY368" s="348">
        <f>IF(AND(AY$6&gt;=Parameters!$G$257,AY$6&lt;=Parameters!$G$258),Parameters!$G$302,0)</f>
        <v>0</v>
      </c>
      <c r="AZ368" s="348">
        <f>IF(AND(AZ$6&gt;=Parameters!$G$257,AZ$6&lt;=Parameters!$G$258),Parameters!$G$302,0)</f>
        <v>0</v>
      </c>
      <c r="BA368" s="348">
        <f>IF(AND(BA$6&gt;=Parameters!$G$257,BA$6&lt;=Parameters!$G$258),Parameters!$G$302,0)</f>
        <v>0</v>
      </c>
      <c r="BB368" s="348">
        <f>IF(AND(BB$6&gt;=Parameters!$G$257,BB$6&lt;=Parameters!$G$258),Parameters!$G$302,0)</f>
        <v>0</v>
      </c>
      <c r="BC368" s="348">
        <f>IF(AND(BC$6&gt;=Parameters!$G$257,BC$6&lt;=Parameters!$G$258),Parameters!$G$302,0)</f>
        <v>0</v>
      </c>
      <c r="BD368" s="348">
        <f>IF(AND(BD$6&gt;=Parameters!$G$257,BD$6&lt;=Parameters!$G$258),Parameters!$G$302,0)</f>
        <v>0</v>
      </c>
      <c r="BE368" s="348">
        <f>IF(AND(BE$6&gt;=Parameters!$G$257,BE$6&lt;=Parameters!$G$258),Parameters!$G$302,0)</f>
        <v>0</v>
      </c>
    </row>
    <row r="369" spans="5:57" ht="15.75" thickTop="1" x14ac:dyDescent="0.25">
      <c r="E369" s="1025" t="s">
        <v>1470</v>
      </c>
      <c r="F369" s="1025" t="s">
        <v>810</v>
      </c>
      <c r="G369" s="1109">
        <f>CEILING(MAX(J369:BE369)/$G$344,1)</f>
        <v>3</v>
      </c>
      <c r="H369" s="1025" t="s">
        <v>1614</v>
      </c>
      <c r="I369" s="1025"/>
      <c r="J369" s="1026">
        <f>SUM(J366:J368)</f>
        <v>0</v>
      </c>
      <c r="K369" s="1026">
        <f t="shared" ref="K369" si="189">SUM(K366:K368)</f>
        <v>0</v>
      </c>
      <c r="L369" s="1026">
        <f t="shared" ref="L369" si="190">SUM(L366:L368)</f>
        <v>0</v>
      </c>
      <c r="M369" s="1026">
        <f t="shared" ref="M369" si="191">SUM(M366:M368)</f>
        <v>0</v>
      </c>
      <c r="N369" s="1026">
        <f t="shared" ref="N369" si="192">SUM(N366:N368)</f>
        <v>0</v>
      </c>
      <c r="O369" s="1026">
        <f t="shared" ref="O369" si="193">SUM(O366:O368)</f>
        <v>0</v>
      </c>
      <c r="P369" s="1026">
        <f t="shared" ref="P369" si="194">SUM(P366:P368)</f>
        <v>0</v>
      </c>
      <c r="Q369" s="1026">
        <f t="shared" ref="Q369" si="195">SUM(Q366:Q368)</f>
        <v>0</v>
      </c>
      <c r="R369" s="1026">
        <f t="shared" ref="R369" si="196">SUM(R366:R368)</f>
        <v>159.98903190912586</v>
      </c>
      <c r="S369" s="1026">
        <f t="shared" ref="S369" si="197">SUM(S366:S368)</f>
        <v>159.98903190912586</v>
      </c>
      <c r="T369" s="1026">
        <f t="shared" ref="T369" si="198">SUM(T366:T368)</f>
        <v>159.98903190912586</v>
      </c>
      <c r="U369" s="1026">
        <f t="shared" ref="U369" si="199">SUM(U366:U368)</f>
        <v>159.98903190912586</v>
      </c>
      <c r="V369" s="1026">
        <f t="shared" ref="V369" si="200">SUM(V366:V368)</f>
        <v>159.98903190912586</v>
      </c>
      <c r="W369" s="1026">
        <f t="shared" ref="W369" si="201">SUM(W366:W368)</f>
        <v>0</v>
      </c>
      <c r="X369" s="1026">
        <f t="shared" ref="X369" si="202">SUM(X366:X368)</f>
        <v>0</v>
      </c>
      <c r="Y369" s="1026">
        <f t="shared" ref="Y369" si="203">SUM(Y366:Y368)</f>
        <v>0</v>
      </c>
      <c r="Z369" s="1026">
        <f t="shared" ref="Z369" si="204">SUM(Z366:Z368)</f>
        <v>0</v>
      </c>
      <c r="AA369" s="1026">
        <f t="shared" ref="AA369" si="205">SUM(AA366:AA368)</f>
        <v>0</v>
      </c>
      <c r="AB369" s="1026">
        <f t="shared" ref="AB369" si="206">SUM(AB366:AB368)</f>
        <v>0</v>
      </c>
      <c r="AC369" s="1026">
        <f t="shared" ref="AC369" si="207">SUM(AC366:AC368)</f>
        <v>0</v>
      </c>
      <c r="AD369" s="1026">
        <f t="shared" ref="AD369" si="208">SUM(AD366:AD368)</f>
        <v>0</v>
      </c>
      <c r="AE369" s="1026">
        <f t="shared" ref="AE369" si="209">SUM(AE366:AE368)</f>
        <v>0</v>
      </c>
      <c r="AF369" s="1026">
        <f t="shared" ref="AF369" si="210">SUM(AF366:AF368)</f>
        <v>0</v>
      </c>
      <c r="AG369" s="1026">
        <f t="shared" ref="AG369" si="211">SUM(AG366:AG368)</f>
        <v>0</v>
      </c>
      <c r="AH369" s="1026">
        <f t="shared" ref="AH369" si="212">SUM(AH366:AH368)</f>
        <v>0</v>
      </c>
      <c r="AI369" s="1026">
        <f t="shared" ref="AI369" si="213">SUM(AI366:AI368)</f>
        <v>0</v>
      </c>
      <c r="AJ369" s="1026">
        <f t="shared" ref="AJ369" si="214">SUM(AJ366:AJ368)</f>
        <v>0</v>
      </c>
      <c r="AK369" s="1026">
        <f t="shared" ref="AK369" si="215">SUM(AK366:AK368)</f>
        <v>0</v>
      </c>
      <c r="AL369" s="1026">
        <f t="shared" ref="AL369" si="216">SUM(AL366:AL368)</f>
        <v>0</v>
      </c>
      <c r="AM369" s="1026">
        <f t="shared" ref="AM369" si="217">SUM(AM366:AM368)</f>
        <v>0</v>
      </c>
      <c r="AN369" s="1026">
        <f t="shared" ref="AN369" si="218">SUM(AN366:AN368)</f>
        <v>0</v>
      </c>
      <c r="AO369" s="1026">
        <f t="shared" ref="AO369" si="219">SUM(AO366:AO368)</f>
        <v>0</v>
      </c>
      <c r="AP369" s="1026">
        <f t="shared" ref="AP369" si="220">SUM(AP366:AP368)</f>
        <v>0</v>
      </c>
      <c r="AQ369" s="1026">
        <f t="shared" ref="AQ369" si="221">SUM(AQ366:AQ368)</f>
        <v>0</v>
      </c>
      <c r="AR369" s="1026">
        <f t="shared" ref="AR369" si="222">SUM(AR366:AR368)</f>
        <v>0</v>
      </c>
      <c r="AS369" s="1026">
        <f t="shared" ref="AS369" si="223">SUM(AS366:AS368)</f>
        <v>0</v>
      </c>
      <c r="AT369" s="1026">
        <f t="shared" ref="AT369" si="224">SUM(AT366:AT368)</f>
        <v>0</v>
      </c>
      <c r="AU369" s="1026">
        <f t="shared" ref="AU369" si="225">SUM(AU366:AU368)</f>
        <v>0</v>
      </c>
      <c r="AV369" s="1026">
        <f t="shared" ref="AV369" si="226">SUM(AV366:AV368)</f>
        <v>0</v>
      </c>
      <c r="AW369" s="1026">
        <f t="shared" ref="AW369" si="227">SUM(AW366:AW368)</f>
        <v>0</v>
      </c>
      <c r="AX369" s="1026">
        <f t="shared" ref="AX369" si="228">SUM(AX366:AX368)</f>
        <v>0</v>
      </c>
      <c r="AY369" s="1026">
        <f t="shared" ref="AY369" si="229">SUM(AY366:AY368)</f>
        <v>0</v>
      </c>
      <c r="AZ369" s="1026">
        <f t="shared" ref="AZ369" si="230">SUM(AZ366:AZ368)</f>
        <v>0</v>
      </c>
      <c r="BA369" s="1026">
        <f t="shared" ref="BA369" si="231">SUM(BA366:BA368)</f>
        <v>0</v>
      </c>
      <c r="BB369" s="1026">
        <f t="shared" ref="BB369" si="232">SUM(BB366:BB368)</f>
        <v>0</v>
      </c>
      <c r="BC369" s="1026">
        <f t="shared" ref="BC369" si="233">SUM(BC366:BC368)</f>
        <v>0</v>
      </c>
      <c r="BD369" s="1026">
        <f t="shared" ref="BD369" si="234">SUM(BD366:BD368)</f>
        <v>0</v>
      </c>
      <c r="BE369" s="1026">
        <f t="shared" ref="BE369" si="235">SUM(BE366:BE368)</f>
        <v>0</v>
      </c>
    </row>
    <row r="371" spans="5:57" x14ac:dyDescent="0.25">
      <c r="E371" s="1108" t="str">
        <f>Parameters!E292</f>
        <v>Total electrolyser weigth</v>
      </c>
      <c r="F371" s="1108" t="str">
        <f>Parameters!F292</f>
        <v>ton</v>
      </c>
      <c r="J371" s="348">
        <f>IF(AND(J$6&gt;=Parameters!$G$257,J$6&lt;=Parameters!$G$258),Parameters!$G$292,0)</f>
        <v>0</v>
      </c>
      <c r="K371" s="348">
        <f>IF(AND(K$6&gt;=Parameters!$G$257,K$6&lt;=Parameters!$G$258),Parameters!$G$292,0)</f>
        <v>0</v>
      </c>
      <c r="L371" s="348">
        <f>IF(AND(L$6&gt;=Parameters!$G$257,L$6&lt;=Parameters!$G$258),Parameters!$G$292,0)</f>
        <v>0</v>
      </c>
      <c r="M371" s="348">
        <f>IF(AND(M$6&gt;=Parameters!$G$257,M$6&lt;=Parameters!$G$258),Parameters!$G$292,0)</f>
        <v>0</v>
      </c>
      <c r="N371" s="348">
        <f>IF(AND(N$6&gt;=Parameters!$G$257,N$6&lt;=Parameters!$G$258),Parameters!$G$292,0)</f>
        <v>0</v>
      </c>
      <c r="O371" s="348">
        <f>IF(AND(O$6&gt;=Parameters!$G$257,O$6&lt;=Parameters!$G$258),Parameters!$G$292,0)</f>
        <v>0</v>
      </c>
      <c r="P371" s="348">
        <f>IF(AND(P$6&gt;=Parameters!$G$257,P$6&lt;=Parameters!$G$258),Parameters!$G$292,0)</f>
        <v>0</v>
      </c>
      <c r="Q371" s="348">
        <f>IF(AND(Q$6&gt;=Parameters!$G$257,Q$6&lt;=Parameters!$G$258),Parameters!$G$292,0)</f>
        <v>0</v>
      </c>
      <c r="R371" s="348">
        <f>IF(AND(R$6&gt;=Parameters!$G$257,R$6&lt;=Parameters!$G$258),Parameters!$G$292,0)</f>
        <v>102</v>
      </c>
      <c r="S371" s="348">
        <f>IF(AND(S$6&gt;=Parameters!$G$257,S$6&lt;=Parameters!$G$258),Parameters!$G$292,0)</f>
        <v>102</v>
      </c>
      <c r="T371" s="348">
        <f>IF(AND(T$6&gt;=Parameters!$G$257,T$6&lt;=Parameters!$G$258),Parameters!$G$292,0)</f>
        <v>102</v>
      </c>
      <c r="U371" s="348">
        <f>IF(AND(U$6&gt;=Parameters!$G$257,U$6&lt;=Parameters!$G$258),Parameters!$G$292,0)</f>
        <v>102</v>
      </c>
      <c r="V371" s="348">
        <f>IF(AND(V$6&gt;=Parameters!$G$257,V$6&lt;=Parameters!$G$258),Parameters!$G$292,0)</f>
        <v>102</v>
      </c>
      <c r="W371" s="348">
        <f>IF(AND(W$6&gt;=Parameters!$G$257,W$6&lt;=Parameters!$G$258),Parameters!$G$292,0)</f>
        <v>0</v>
      </c>
      <c r="X371" s="348">
        <f>IF(AND(X$6&gt;=Parameters!$G$257,X$6&lt;=Parameters!$G$258),Parameters!$G$292,0)</f>
        <v>0</v>
      </c>
      <c r="Y371" s="348">
        <f>IF(AND(Y$6&gt;=Parameters!$G$257,Y$6&lt;=Parameters!$G$258),Parameters!$G$292,0)</f>
        <v>0</v>
      </c>
      <c r="Z371" s="348">
        <f>IF(AND(Z$6&gt;=Parameters!$G$257,Z$6&lt;=Parameters!$G$258),Parameters!$G$292,0)</f>
        <v>0</v>
      </c>
      <c r="AA371" s="348">
        <f>IF(AND(AA$6&gt;=Parameters!$G$257,AA$6&lt;=Parameters!$G$258),Parameters!$G$292,0)</f>
        <v>0</v>
      </c>
      <c r="AB371" s="348">
        <f>IF(AND(AB$6&gt;=Parameters!$G$257,AB$6&lt;=Parameters!$G$258),Parameters!$G$292,0)</f>
        <v>0</v>
      </c>
      <c r="AC371" s="348">
        <f>IF(AND(AC$6&gt;=Parameters!$G$257,AC$6&lt;=Parameters!$G$258),Parameters!$G$292,0)</f>
        <v>0</v>
      </c>
      <c r="AD371" s="348">
        <f>IF(AND(AD$6&gt;=Parameters!$G$257,AD$6&lt;=Parameters!$G$258),Parameters!$G$292,0)</f>
        <v>0</v>
      </c>
      <c r="AE371" s="348">
        <f>IF(AND(AE$6&gt;=Parameters!$G$257,AE$6&lt;=Parameters!$G$258),Parameters!$G$292,0)</f>
        <v>0</v>
      </c>
      <c r="AF371" s="348">
        <f>IF(AND(AF$6&gt;=Parameters!$G$257,AF$6&lt;=Parameters!$G$258),Parameters!$G$292,0)</f>
        <v>0</v>
      </c>
      <c r="AG371" s="348">
        <f>IF(AND(AG$6&gt;=Parameters!$G$257,AG$6&lt;=Parameters!$G$258),Parameters!$G$292,0)</f>
        <v>0</v>
      </c>
      <c r="AH371" s="348">
        <f>IF(AND(AH$6&gt;=Parameters!$G$257,AH$6&lt;=Parameters!$G$258),Parameters!$G$292,0)</f>
        <v>0</v>
      </c>
      <c r="AI371" s="348">
        <f>IF(AND(AI$6&gt;=Parameters!$G$257,AI$6&lt;=Parameters!$G$258),Parameters!$G$292,0)</f>
        <v>0</v>
      </c>
      <c r="AJ371" s="348">
        <f>IF(AND(AJ$6&gt;=Parameters!$G$257,AJ$6&lt;=Parameters!$G$258),Parameters!$G$292,0)</f>
        <v>0</v>
      </c>
      <c r="AK371" s="348">
        <f>IF(AND(AK$6&gt;=Parameters!$G$257,AK$6&lt;=Parameters!$G$258),Parameters!$G$292,0)</f>
        <v>0</v>
      </c>
      <c r="AL371" s="348">
        <f>IF(AND(AL$6&gt;=Parameters!$G$257,AL$6&lt;=Parameters!$G$258),Parameters!$G$292,0)</f>
        <v>0</v>
      </c>
      <c r="AM371" s="348">
        <f>IF(AND(AM$6&gt;=Parameters!$G$257,AM$6&lt;=Parameters!$G$258),Parameters!$G$292,0)</f>
        <v>0</v>
      </c>
      <c r="AN371" s="348">
        <f>IF(AND(AN$6&gt;=Parameters!$G$257,AN$6&lt;=Parameters!$G$258),Parameters!$G$292,0)</f>
        <v>0</v>
      </c>
      <c r="AO371" s="348">
        <f>IF(AND(AO$6&gt;=Parameters!$G$257,AO$6&lt;=Parameters!$G$258),Parameters!$G$292,0)</f>
        <v>0</v>
      </c>
      <c r="AP371" s="348">
        <f>IF(AND(AP$6&gt;=Parameters!$G$257,AP$6&lt;=Parameters!$G$258),Parameters!$G$292,0)</f>
        <v>0</v>
      </c>
      <c r="AQ371" s="348">
        <f>IF(AND(AQ$6&gt;=Parameters!$G$257,AQ$6&lt;=Parameters!$G$258),Parameters!$G$292,0)</f>
        <v>0</v>
      </c>
      <c r="AR371" s="348">
        <f>IF(AND(AR$6&gt;=Parameters!$G$257,AR$6&lt;=Parameters!$G$258),Parameters!$G$292,0)</f>
        <v>0</v>
      </c>
      <c r="AS371" s="348">
        <f>IF(AND(AS$6&gt;=Parameters!$G$257,AS$6&lt;=Parameters!$G$258),Parameters!$G$292,0)</f>
        <v>0</v>
      </c>
      <c r="AT371" s="348">
        <f>IF(AND(AT$6&gt;=Parameters!$G$257,AT$6&lt;=Parameters!$G$258),Parameters!$G$292,0)</f>
        <v>0</v>
      </c>
      <c r="AU371" s="348">
        <f>IF(AND(AU$6&gt;=Parameters!$G$257,AU$6&lt;=Parameters!$G$258),Parameters!$G$292,0)</f>
        <v>0</v>
      </c>
      <c r="AV371" s="348">
        <f>IF(AND(AV$6&gt;=Parameters!$G$257,AV$6&lt;=Parameters!$G$258),Parameters!$G$292,0)</f>
        <v>0</v>
      </c>
      <c r="AW371" s="348">
        <f>IF(AND(AW$6&gt;=Parameters!$G$257,AW$6&lt;=Parameters!$G$258),Parameters!$G$292,0)</f>
        <v>0</v>
      </c>
      <c r="AX371" s="348">
        <f>IF(AND(AX$6&gt;=Parameters!$G$257,AX$6&lt;=Parameters!$G$258),Parameters!$G$292,0)</f>
        <v>0</v>
      </c>
      <c r="AY371" s="348">
        <f>IF(AND(AY$6&gt;=Parameters!$G$257,AY$6&lt;=Parameters!$G$258),Parameters!$G$292,0)</f>
        <v>0</v>
      </c>
      <c r="AZ371" s="348">
        <f>IF(AND(AZ$6&gt;=Parameters!$G$257,AZ$6&lt;=Parameters!$G$258),Parameters!$G$292,0)</f>
        <v>0</v>
      </c>
      <c r="BA371" s="348">
        <f>IF(AND(BA$6&gt;=Parameters!$G$257,BA$6&lt;=Parameters!$G$258),Parameters!$G$292,0)</f>
        <v>0</v>
      </c>
      <c r="BB371" s="348">
        <f>IF(AND(BB$6&gt;=Parameters!$G$257,BB$6&lt;=Parameters!$G$258),Parameters!$G$292,0)</f>
        <v>0</v>
      </c>
      <c r="BC371" s="348">
        <f>IF(AND(BC$6&gt;=Parameters!$G$257,BC$6&lt;=Parameters!$G$258),Parameters!$G$292,0)</f>
        <v>0</v>
      </c>
      <c r="BD371" s="348">
        <f>IF(AND(BD$6&gt;=Parameters!$G$257,BD$6&lt;=Parameters!$G$258),Parameters!$G$292,0)</f>
        <v>0</v>
      </c>
      <c r="BE371" s="348">
        <f>IF(AND(BE$6&gt;=Parameters!$G$257,BE$6&lt;=Parameters!$G$258),Parameters!$G$292,0)</f>
        <v>0</v>
      </c>
    </row>
    <row r="372" spans="5:57" x14ac:dyDescent="0.25">
      <c r="E372" s="1108" t="str">
        <f>Parameters!E320</f>
        <v>Total weight compressor</v>
      </c>
      <c r="F372" s="1108" t="str">
        <f>Parameters!F320</f>
        <v>t</v>
      </c>
      <c r="J372" s="348">
        <f>IF(AND(J$6&gt;=Parameters!$G$257,J$6&lt;=Parameters!$G$258),Parameters!$G$320,0)</f>
        <v>0</v>
      </c>
      <c r="K372" s="348">
        <f>IF(AND(K$6&gt;=Parameters!$G$257,K$6&lt;=Parameters!$G$258),Parameters!$G$320,0)</f>
        <v>0</v>
      </c>
      <c r="L372" s="348">
        <f>IF(AND(L$6&gt;=Parameters!$G$257,L$6&lt;=Parameters!$G$258),Parameters!$G$320,0)</f>
        <v>0</v>
      </c>
      <c r="M372" s="348">
        <f>IF(AND(M$6&gt;=Parameters!$G$257,M$6&lt;=Parameters!$G$258),Parameters!$G$320,0)</f>
        <v>0</v>
      </c>
      <c r="N372" s="348">
        <f>IF(AND(N$6&gt;=Parameters!$G$257,N$6&lt;=Parameters!$G$258),Parameters!$G$320,0)</f>
        <v>0</v>
      </c>
      <c r="O372" s="348">
        <f>IF(AND(O$6&gt;=Parameters!$G$257,O$6&lt;=Parameters!$G$258),Parameters!$G$320,0)</f>
        <v>0</v>
      </c>
      <c r="P372" s="348">
        <f>IF(AND(P$6&gt;=Parameters!$G$257,P$6&lt;=Parameters!$G$258),Parameters!$G$320,0)</f>
        <v>0</v>
      </c>
      <c r="Q372" s="348">
        <f>IF(AND(Q$6&gt;=Parameters!$G$257,Q$6&lt;=Parameters!$G$258),Parameters!$G$320,0)</f>
        <v>0</v>
      </c>
      <c r="R372" s="348">
        <f>IF(AND(R$6&gt;=Parameters!$G$257,R$6&lt;=Parameters!$G$258),Parameters!$G$320,0)</f>
        <v>0.90395118764382509</v>
      </c>
      <c r="S372" s="348">
        <f>IF(AND(S$6&gt;=Parameters!$G$257,S$6&lt;=Parameters!$G$258),Parameters!$G$320,0)</f>
        <v>0.90395118764382509</v>
      </c>
      <c r="T372" s="348">
        <f>IF(AND(T$6&gt;=Parameters!$G$257,T$6&lt;=Parameters!$G$258),Parameters!$G$320,0)</f>
        <v>0.90395118764382509</v>
      </c>
      <c r="U372" s="348">
        <f>IF(AND(U$6&gt;=Parameters!$G$257,U$6&lt;=Parameters!$G$258),Parameters!$G$320,0)</f>
        <v>0.90395118764382509</v>
      </c>
      <c r="V372" s="348">
        <f>IF(AND(V$6&gt;=Parameters!$G$257,V$6&lt;=Parameters!$G$258),Parameters!$G$320,0)</f>
        <v>0.90395118764382509</v>
      </c>
      <c r="W372" s="348">
        <f>IF(AND(W$6&gt;=Parameters!$G$257,W$6&lt;=Parameters!$G$258),Parameters!$G$320,0)</f>
        <v>0</v>
      </c>
      <c r="X372" s="348">
        <f>IF(AND(X$6&gt;=Parameters!$G$257,X$6&lt;=Parameters!$G$258),Parameters!$G$320,0)</f>
        <v>0</v>
      </c>
      <c r="Y372" s="348">
        <f>IF(AND(Y$6&gt;=Parameters!$G$257,Y$6&lt;=Parameters!$G$258),Parameters!$G$320,0)</f>
        <v>0</v>
      </c>
      <c r="Z372" s="348">
        <f>IF(AND(Z$6&gt;=Parameters!$G$257,Z$6&lt;=Parameters!$G$258),Parameters!$G$320,0)</f>
        <v>0</v>
      </c>
      <c r="AA372" s="348">
        <f>IF(AND(AA$6&gt;=Parameters!$G$257,AA$6&lt;=Parameters!$G$258),Parameters!$G$320,0)</f>
        <v>0</v>
      </c>
      <c r="AB372" s="348">
        <f>IF(AND(AB$6&gt;=Parameters!$G$257,AB$6&lt;=Parameters!$G$258),Parameters!$G$320,0)</f>
        <v>0</v>
      </c>
      <c r="AC372" s="348">
        <f>IF(AND(AC$6&gt;=Parameters!$G$257,AC$6&lt;=Parameters!$G$258),Parameters!$G$320,0)</f>
        <v>0</v>
      </c>
      <c r="AD372" s="348">
        <f>IF(AND(AD$6&gt;=Parameters!$G$257,AD$6&lt;=Parameters!$G$258),Parameters!$G$320,0)</f>
        <v>0</v>
      </c>
      <c r="AE372" s="348">
        <f>IF(AND(AE$6&gt;=Parameters!$G$257,AE$6&lt;=Parameters!$G$258),Parameters!$G$320,0)</f>
        <v>0</v>
      </c>
      <c r="AF372" s="348">
        <f>IF(AND(AF$6&gt;=Parameters!$G$257,AF$6&lt;=Parameters!$G$258),Parameters!$G$320,0)</f>
        <v>0</v>
      </c>
      <c r="AG372" s="348">
        <f>IF(AND(AG$6&gt;=Parameters!$G$257,AG$6&lt;=Parameters!$G$258),Parameters!$G$320,0)</f>
        <v>0</v>
      </c>
      <c r="AH372" s="348">
        <f>IF(AND(AH$6&gt;=Parameters!$G$257,AH$6&lt;=Parameters!$G$258),Parameters!$G$320,0)</f>
        <v>0</v>
      </c>
      <c r="AI372" s="348">
        <f>IF(AND(AI$6&gt;=Parameters!$G$257,AI$6&lt;=Parameters!$G$258),Parameters!$G$320,0)</f>
        <v>0</v>
      </c>
      <c r="AJ372" s="348">
        <f>IF(AND(AJ$6&gt;=Parameters!$G$257,AJ$6&lt;=Parameters!$G$258),Parameters!$G$320,0)</f>
        <v>0</v>
      </c>
      <c r="AK372" s="348">
        <f>IF(AND(AK$6&gt;=Parameters!$G$257,AK$6&lt;=Parameters!$G$258),Parameters!$G$320,0)</f>
        <v>0</v>
      </c>
      <c r="AL372" s="348">
        <f>IF(AND(AL$6&gt;=Parameters!$G$257,AL$6&lt;=Parameters!$G$258),Parameters!$G$320,0)</f>
        <v>0</v>
      </c>
      <c r="AM372" s="348">
        <f>IF(AND(AM$6&gt;=Parameters!$G$257,AM$6&lt;=Parameters!$G$258),Parameters!$G$320,0)</f>
        <v>0</v>
      </c>
      <c r="AN372" s="348">
        <f>IF(AND(AN$6&gt;=Parameters!$G$257,AN$6&lt;=Parameters!$G$258),Parameters!$G$320,0)</f>
        <v>0</v>
      </c>
      <c r="AO372" s="348">
        <f>IF(AND(AO$6&gt;=Parameters!$G$257,AO$6&lt;=Parameters!$G$258),Parameters!$G$320,0)</f>
        <v>0</v>
      </c>
      <c r="AP372" s="348">
        <f>IF(AND(AP$6&gt;=Parameters!$G$257,AP$6&lt;=Parameters!$G$258),Parameters!$G$320,0)</f>
        <v>0</v>
      </c>
      <c r="AQ372" s="348">
        <f>IF(AND(AQ$6&gt;=Parameters!$G$257,AQ$6&lt;=Parameters!$G$258),Parameters!$G$320,0)</f>
        <v>0</v>
      </c>
      <c r="AR372" s="348">
        <f>IF(AND(AR$6&gt;=Parameters!$G$257,AR$6&lt;=Parameters!$G$258),Parameters!$G$320,0)</f>
        <v>0</v>
      </c>
      <c r="AS372" s="348">
        <f>IF(AND(AS$6&gt;=Parameters!$G$257,AS$6&lt;=Parameters!$G$258),Parameters!$G$320,0)</f>
        <v>0</v>
      </c>
      <c r="AT372" s="348">
        <f>IF(AND(AT$6&gt;=Parameters!$G$257,AT$6&lt;=Parameters!$G$258),Parameters!$G$320,0)</f>
        <v>0</v>
      </c>
      <c r="AU372" s="348">
        <f>IF(AND(AU$6&gt;=Parameters!$G$257,AU$6&lt;=Parameters!$G$258),Parameters!$G$320,0)</f>
        <v>0</v>
      </c>
      <c r="AV372" s="348">
        <f>IF(AND(AV$6&gt;=Parameters!$G$257,AV$6&lt;=Parameters!$G$258),Parameters!$G$320,0)</f>
        <v>0</v>
      </c>
      <c r="AW372" s="348">
        <f>IF(AND(AW$6&gt;=Parameters!$G$257,AW$6&lt;=Parameters!$G$258),Parameters!$G$320,0)</f>
        <v>0</v>
      </c>
      <c r="AX372" s="348">
        <f>IF(AND(AX$6&gt;=Parameters!$G$257,AX$6&lt;=Parameters!$G$258),Parameters!$G$320,0)</f>
        <v>0</v>
      </c>
      <c r="AY372" s="348">
        <f>IF(AND(AY$6&gt;=Parameters!$G$257,AY$6&lt;=Parameters!$G$258),Parameters!$G$320,0)</f>
        <v>0</v>
      </c>
      <c r="AZ372" s="348">
        <f>IF(AND(AZ$6&gt;=Parameters!$G$257,AZ$6&lt;=Parameters!$G$258),Parameters!$G$320,0)</f>
        <v>0</v>
      </c>
      <c r="BA372" s="348">
        <f>IF(AND(BA$6&gt;=Parameters!$G$257,BA$6&lt;=Parameters!$G$258),Parameters!$G$320,0)</f>
        <v>0</v>
      </c>
      <c r="BB372" s="348">
        <f>IF(AND(BB$6&gt;=Parameters!$G$257,BB$6&lt;=Parameters!$G$258),Parameters!$G$320,0)</f>
        <v>0</v>
      </c>
      <c r="BC372" s="348">
        <f>IF(AND(BC$6&gt;=Parameters!$G$257,BC$6&lt;=Parameters!$G$258),Parameters!$G$320,0)</f>
        <v>0</v>
      </c>
      <c r="BD372" s="348">
        <f>IF(AND(BD$6&gt;=Parameters!$G$257,BD$6&lt;=Parameters!$G$258),Parameters!$G$320,0)</f>
        <v>0</v>
      </c>
      <c r="BE372" s="348">
        <f>IF(AND(BE$6&gt;=Parameters!$G$257,BE$6&lt;=Parameters!$G$258),Parameters!$G$320,0)</f>
        <v>0</v>
      </c>
    </row>
    <row r="373" spans="5:57" ht="15.75" thickBot="1" x14ac:dyDescent="0.3">
      <c r="E373" s="1108" t="str">
        <f>Parameters!E303</f>
        <v>Total desalination unit weight</v>
      </c>
      <c r="F373" s="1108" t="str">
        <f>Parameters!F303</f>
        <v>ton</v>
      </c>
      <c r="J373" s="348">
        <f>IF(AND(J$6&gt;=Parameters!$G$257,J$6&lt;=Parameters!$G$258),Parameters!$G$303,0)</f>
        <v>0</v>
      </c>
      <c r="K373" s="348">
        <f>IF(AND(K$6&gt;=Parameters!$G$257,K$6&lt;=Parameters!$G$258),Parameters!$G$303,0)</f>
        <v>0</v>
      </c>
      <c r="L373" s="348">
        <f>IF(AND(L$6&gt;=Parameters!$G$257,L$6&lt;=Parameters!$G$258),Parameters!$G$303,0)</f>
        <v>0</v>
      </c>
      <c r="M373" s="348">
        <f>IF(AND(M$6&gt;=Parameters!$G$257,M$6&lt;=Parameters!$G$258),Parameters!$G$303,0)</f>
        <v>0</v>
      </c>
      <c r="N373" s="348">
        <f>IF(AND(N$6&gt;=Parameters!$G$257,N$6&lt;=Parameters!$G$258),Parameters!$G$303,0)</f>
        <v>0</v>
      </c>
      <c r="O373" s="348">
        <f>IF(AND(O$6&gt;=Parameters!$G$257,O$6&lt;=Parameters!$G$258),Parameters!$G$303,0)</f>
        <v>0</v>
      </c>
      <c r="P373" s="348">
        <f>IF(AND(P$6&gt;=Parameters!$G$257,P$6&lt;=Parameters!$G$258),Parameters!$G$303,0)</f>
        <v>0</v>
      </c>
      <c r="Q373" s="348">
        <f>IF(AND(Q$6&gt;=Parameters!$G$257,Q$6&lt;=Parameters!$G$258),Parameters!$G$303,0)</f>
        <v>0</v>
      </c>
      <c r="R373" s="348">
        <f>IF(AND(R$6&gt;=Parameters!$G$257,R$6&lt;=Parameters!$G$258),Parameters!$G$303,0)</f>
        <v>2.62979269030212</v>
      </c>
      <c r="S373" s="348">
        <f>IF(AND(S$6&gt;=Parameters!$G$257,S$6&lt;=Parameters!$G$258),Parameters!$G$303,0)</f>
        <v>2.62979269030212</v>
      </c>
      <c r="T373" s="348">
        <f>IF(AND(T$6&gt;=Parameters!$G$257,T$6&lt;=Parameters!$G$258),Parameters!$G$303,0)</f>
        <v>2.62979269030212</v>
      </c>
      <c r="U373" s="348">
        <f>IF(AND(U$6&gt;=Parameters!$G$257,U$6&lt;=Parameters!$G$258),Parameters!$G$303,0)</f>
        <v>2.62979269030212</v>
      </c>
      <c r="V373" s="348">
        <f>IF(AND(V$6&gt;=Parameters!$G$257,V$6&lt;=Parameters!$G$258),Parameters!$G$303,0)</f>
        <v>2.62979269030212</v>
      </c>
      <c r="W373" s="348">
        <f>IF(AND(W$6&gt;=Parameters!$G$257,W$6&lt;=Parameters!$G$258),Parameters!$G$303,0)</f>
        <v>0</v>
      </c>
      <c r="X373" s="348">
        <f>IF(AND(X$6&gt;=Parameters!$G$257,X$6&lt;=Parameters!$G$258),Parameters!$G$303,0)</f>
        <v>0</v>
      </c>
      <c r="Y373" s="348">
        <f>IF(AND(Y$6&gt;=Parameters!$G$257,Y$6&lt;=Parameters!$G$258),Parameters!$G$303,0)</f>
        <v>0</v>
      </c>
      <c r="Z373" s="348">
        <f>IF(AND(Z$6&gt;=Parameters!$G$257,Z$6&lt;=Parameters!$G$258),Parameters!$G$303,0)</f>
        <v>0</v>
      </c>
      <c r="AA373" s="348">
        <f>IF(AND(AA$6&gt;=Parameters!$G$257,AA$6&lt;=Parameters!$G$258),Parameters!$G$303,0)</f>
        <v>0</v>
      </c>
      <c r="AB373" s="348">
        <f>IF(AND(AB$6&gt;=Parameters!$G$257,AB$6&lt;=Parameters!$G$258),Parameters!$G$303,0)</f>
        <v>0</v>
      </c>
      <c r="AC373" s="348">
        <f>IF(AND(AC$6&gt;=Parameters!$G$257,AC$6&lt;=Parameters!$G$258),Parameters!$G$303,0)</f>
        <v>0</v>
      </c>
      <c r="AD373" s="348">
        <f>IF(AND(AD$6&gt;=Parameters!$G$257,AD$6&lt;=Parameters!$G$258),Parameters!$G$303,0)</f>
        <v>0</v>
      </c>
      <c r="AE373" s="348">
        <f>IF(AND(AE$6&gt;=Parameters!$G$257,AE$6&lt;=Parameters!$G$258),Parameters!$G$303,0)</f>
        <v>0</v>
      </c>
      <c r="AF373" s="348">
        <f>IF(AND(AF$6&gt;=Parameters!$G$257,AF$6&lt;=Parameters!$G$258),Parameters!$G$303,0)</f>
        <v>0</v>
      </c>
      <c r="AG373" s="348">
        <f>IF(AND(AG$6&gt;=Parameters!$G$257,AG$6&lt;=Parameters!$G$258),Parameters!$G$303,0)</f>
        <v>0</v>
      </c>
      <c r="AH373" s="348">
        <f>IF(AND(AH$6&gt;=Parameters!$G$257,AH$6&lt;=Parameters!$G$258),Parameters!$G$303,0)</f>
        <v>0</v>
      </c>
      <c r="AI373" s="348">
        <f>IF(AND(AI$6&gt;=Parameters!$G$257,AI$6&lt;=Parameters!$G$258),Parameters!$G$303,0)</f>
        <v>0</v>
      </c>
      <c r="AJ373" s="348">
        <f>IF(AND(AJ$6&gt;=Parameters!$G$257,AJ$6&lt;=Parameters!$G$258),Parameters!$G$303,0)</f>
        <v>0</v>
      </c>
      <c r="AK373" s="348">
        <f>IF(AND(AK$6&gt;=Parameters!$G$257,AK$6&lt;=Parameters!$G$258),Parameters!$G$303,0)</f>
        <v>0</v>
      </c>
      <c r="AL373" s="348">
        <f>IF(AND(AL$6&gt;=Parameters!$G$257,AL$6&lt;=Parameters!$G$258),Parameters!$G$303,0)</f>
        <v>0</v>
      </c>
      <c r="AM373" s="348">
        <f>IF(AND(AM$6&gt;=Parameters!$G$257,AM$6&lt;=Parameters!$G$258),Parameters!$G$303,0)</f>
        <v>0</v>
      </c>
      <c r="AN373" s="348">
        <f>IF(AND(AN$6&gt;=Parameters!$G$257,AN$6&lt;=Parameters!$G$258),Parameters!$G$303,0)</f>
        <v>0</v>
      </c>
      <c r="AO373" s="348">
        <f>IF(AND(AO$6&gt;=Parameters!$G$257,AO$6&lt;=Parameters!$G$258),Parameters!$G$303,0)</f>
        <v>0</v>
      </c>
      <c r="AP373" s="348">
        <f>IF(AND(AP$6&gt;=Parameters!$G$257,AP$6&lt;=Parameters!$G$258),Parameters!$G$303,0)</f>
        <v>0</v>
      </c>
      <c r="AQ373" s="348">
        <f>IF(AND(AQ$6&gt;=Parameters!$G$257,AQ$6&lt;=Parameters!$G$258),Parameters!$G$303,0)</f>
        <v>0</v>
      </c>
      <c r="AR373" s="348">
        <f>IF(AND(AR$6&gt;=Parameters!$G$257,AR$6&lt;=Parameters!$G$258),Parameters!$G$303,0)</f>
        <v>0</v>
      </c>
      <c r="AS373" s="348">
        <f>IF(AND(AS$6&gt;=Parameters!$G$257,AS$6&lt;=Parameters!$G$258),Parameters!$G$303,0)</f>
        <v>0</v>
      </c>
      <c r="AT373" s="348">
        <f>IF(AND(AT$6&gt;=Parameters!$G$257,AT$6&lt;=Parameters!$G$258),Parameters!$G$303,0)</f>
        <v>0</v>
      </c>
      <c r="AU373" s="348">
        <f>IF(AND(AU$6&gt;=Parameters!$G$257,AU$6&lt;=Parameters!$G$258),Parameters!$G$303,0)</f>
        <v>0</v>
      </c>
      <c r="AV373" s="348">
        <f>IF(AND(AV$6&gt;=Parameters!$G$257,AV$6&lt;=Parameters!$G$258),Parameters!$G$303,0)</f>
        <v>0</v>
      </c>
      <c r="AW373" s="348">
        <f>IF(AND(AW$6&gt;=Parameters!$G$257,AW$6&lt;=Parameters!$G$258),Parameters!$G$303,0)</f>
        <v>0</v>
      </c>
      <c r="AX373" s="348">
        <f>IF(AND(AX$6&gt;=Parameters!$G$257,AX$6&lt;=Parameters!$G$258),Parameters!$G$303,0)</f>
        <v>0</v>
      </c>
      <c r="AY373" s="348">
        <f>IF(AND(AY$6&gt;=Parameters!$G$257,AY$6&lt;=Parameters!$G$258),Parameters!$G$303,0)</f>
        <v>0</v>
      </c>
      <c r="AZ373" s="348">
        <f>IF(AND(AZ$6&gt;=Parameters!$G$257,AZ$6&lt;=Parameters!$G$258),Parameters!$G$303,0)</f>
        <v>0</v>
      </c>
      <c r="BA373" s="348">
        <f>IF(AND(BA$6&gt;=Parameters!$G$257,BA$6&lt;=Parameters!$G$258),Parameters!$G$303,0)</f>
        <v>0</v>
      </c>
      <c r="BB373" s="348">
        <f>IF(AND(BB$6&gt;=Parameters!$G$257,BB$6&lt;=Parameters!$G$258),Parameters!$G$303,0)</f>
        <v>0</v>
      </c>
      <c r="BC373" s="348">
        <f>IF(AND(BC$6&gt;=Parameters!$G$257,BC$6&lt;=Parameters!$G$258),Parameters!$G$303,0)</f>
        <v>0</v>
      </c>
      <c r="BD373" s="348">
        <f>IF(AND(BD$6&gt;=Parameters!$G$257,BD$6&lt;=Parameters!$G$258),Parameters!$G$303,0)</f>
        <v>0</v>
      </c>
      <c r="BE373" s="348">
        <f>IF(AND(BE$6&gt;=Parameters!$G$257,BE$6&lt;=Parameters!$G$258),Parameters!$G$303,0)</f>
        <v>0</v>
      </c>
    </row>
    <row r="374" spans="5:57" ht="15.75" thickTop="1" x14ac:dyDescent="0.25">
      <c r="E374" s="1025" t="s">
        <v>1470</v>
      </c>
      <c r="F374" s="1025" t="s">
        <v>1540</v>
      </c>
      <c r="G374" s="1025"/>
      <c r="H374" s="1025"/>
      <c r="I374" s="1025"/>
      <c r="J374" s="1026">
        <f>SUM(J371:J373)</f>
        <v>0</v>
      </c>
      <c r="K374" s="1026">
        <f t="shared" ref="K374" si="236">SUM(K371:K373)</f>
        <v>0</v>
      </c>
      <c r="L374" s="1026">
        <f t="shared" ref="L374" si="237">SUM(L371:L373)</f>
        <v>0</v>
      </c>
      <c r="M374" s="1026">
        <f t="shared" ref="M374" si="238">SUM(M371:M373)</f>
        <v>0</v>
      </c>
      <c r="N374" s="1026">
        <f t="shared" ref="N374" si="239">SUM(N371:N373)</f>
        <v>0</v>
      </c>
      <c r="O374" s="1026">
        <f t="shared" ref="O374" si="240">SUM(O371:O373)</f>
        <v>0</v>
      </c>
      <c r="P374" s="1026">
        <f t="shared" ref="P374" si="241">SUM(P371:P373)</f>
        <v>0</v>
      </c>
      <c r="Q374" s="1026">
        <f t="shared" ref="Q374" si="242">SUM(Q371:Q373)</f>
        <v>0</v>
      </c>
      <c r="R374" s="1026">
        <f t="shared" ref="R374" si="243">SUM(R371:R373)</f>
        <v>105.53374387794595</v>
      </c>
      <c r="S374" s="1026">
        <f t="shared" ref="S374" si="244">SUM(S371:S373)</f>
        <v>105.53374387794595</v>
      </c>
      <c r="T374" s="1026">
        <f t="shared" ref="T374" si="245">SUM(T371:T373)</f>
        <v>105.53374387794595</v>
      </c>
      <c r="U374" s="1026">
        <f t="shared" ref="U374" si="246">SUM(U371:U373)</f>
        <v>105.53374387794595</v>
      </c>
      <c r="V374" s="1026">
        <f t="shared" ref="V374" si="247">SUM(V371:V373)</f>
        <v>105.53374387794595</v>
      </c>
      <c r="W374" s="1026">
        <f t="shared" ref="W374" si="248">SUM(W371:W373)</f>
        <v>0</v>
      </c>
      <c r="X374" s="1026">
        <f t="shared" ref="X374" si="249">SUM(X371:X373)</f>
        <v>0</v>
      </c>
      <c r="Y374" s="1026">
        <f t="shared" ref="Y374" si="250">SUM(Y371:Y373)</f>
        <v>0</v>
      </c>
      <c r="Z374" s="1026">
        <f t="shared" ref="Z374" si="251">SUM(Z371:Z373)</f>
        <v>0</v>
      </c>
      <c r="AA374" s="1026">
        <f t="shared" ref="AA374" si="252">SUM(AA371:AA373)</f>
        <v>0</v>
      </c>
      <c r="AB374" s="1026">
        <f t="shared" ref="AB374" si="253">SUM(AB371:AB373)</f>
        <v>0</v>
      </c>
      <c r="AC374" s="1026">
        <f t="shared" ref="AC374" si="254">SUM(AC371:AC373)</f>
        <v>0</v>
      </c>
      <c r="AD374" s="1026">
        <f t="shared" ref="AD374" si="255">SUM(AD371:AD373)</f>
        <v>0</v>
      </c>
      <c r="AE374" s="1026">
        <f t="shared" ref="AE374" si="256">SUM(AE371:AE373)</f>
        <v>0</v>
      </c>
      <c r="AF374" s="1026">
        <f t="shared" ref="AF374" si="257">SUM(AF371:AF373)</f>
        <v>0</v>
      </c>
      <c r="AG374" s="1026">
        <f t="shared" ref="AG374" si="258">SUM(AG371:AG373)</f>
        <v>0</v>
      </c>
      <c r="AH374" s="1026">
        <f t="shared" ref="AH374" si="259">SUM(AH371:AH373)</f>
        <v>0</v>
      </c>
      <c r="AI374" s="1026">
        <f t="shared" ref="AI374" si="260">SUM(AI371:AI373)</f>
        <v>0</v>
      </c>
      <c r="AJ374" s="1026">
        <f t="shared" ref="AJ374" si="261">SUM(AJ371:AJ373)</f>
        <v>0</v>
      </c>
      <c r="AK374" s="1026">
        <f t="shared" ref="AK374" si="262">SUM(AK371:AK373)</f>
        <v>0</v>
      </c>
      <c r="AL374" s="1026">
        <f t="shared" ref="AL374" si="263">SUM(AL371:AL373)</f>
        <v>0</v>
      </c>
      <c r="AM374" s="1026">
        <f t="shared" ref="AM374" si="264">SUM(AM371:AM373)</f>
        <v>0</v>
      </c>
      <c r="AN374" s="1026">
        <f t="shared" ref="AN374" si="265">SUM(AN371:AN373)</f>
        <v>0</v>
      </c>
      <c r="AO374" s="1026">
        <f t="shared" ref="AO374" si="266">SUM(AO371:AO373)</f>
        <v>0</v>
      </c>
      <c r="AP374" s="1026">
        <f t="shared" ref="AP374" si="267">SUM(AP371:AP373)</f>
        <v>0</v>
      </c>
      <c r="AQ374" s="1026">
        <f t="shared" ref="AQ374" si="268">SUM(AQ371:AQ373)</f>
        <v>0</v>
      </c>
      <c r="AR374" s="1026">
        <f t="shared" ref="AR374" si="269">SUM(AR371:AR373)</f>
        <v>0</v>
      </c>
      <c r="AS374" s="1026">
        <f t="shared" ref="AS374" si="270">SUM(AS371:AS373)</f>
        <v>0</v>
      </c>
      <c r="AT374" s="1026">
        <f t="shared" ref="AT374" si="271">SUM(AT371:AT373)</f>
        <v>0</v>
      </c>
      <c r="AU374" s="1026">
        <f t="shared" ref="AU374" si="272">SUM(AU371:AU373)</f>
        <v>0</v>
      </c>
      <c r="AV374" s="1026">
        <f t="shared" ref="AV374" si="273">SUM(AV371:AV373)</f>
        <v>0</v>
      </c>
      <c r="AW374" s="1026">
        <f t="shared" ref="AW374" si="274">SUM(AW371:AW373)</f>
        <v>0</v>
      </c>
      <c r="AX374" s="1026">
        <f t="shared" ref="AX374" si="275">SUM(AX371:AX373)</f>
        <v>0</v>
      </c>
      <c r="AY374" s="1026">
        <f t="shared" ref="AY374" si="276">SUM(AY371:AY373)</f>
        <v>0</v>
      </c>
      <c r="AZ374" s="1026">
        <f t="shared" ref="AZ374" si="277">SUM(AZ371:AZ373)</f>
        <v>0</v>
      </c>
      <c r="BA374" s="1026">
        <f t="shared" ref="BA374" si="278">SUM(BA371:BA373)</f>
        <v>0</v>
      </c>
      <c r="BB374" s="1026">
        <f t="shared" ref="BB374" si="279">SUM(BB371:BB373)</f>
        <v>0</v>
      </c>
      <c r="BC374" s="1026">
        <f t="shared" ref="BC374" si="280">SUM(BC371:BC373)</f>
        <v>0</v>
      </c>
      <c r="BD374" s="1026">
        <f t="shared" ref="BD374" si="281">SUM(BD371:BD373)</f>
        <v>0</v>
      </c>
      <c r="BE374" s="1026">
        <f t="shared" ref="BE374" si="282">SUM(BE371:BE373)</f>
        <v>0</v>
      </c>
    </row>
    <row r="376" spans="5:57" x14ac:dyDescent="0.25">
      <c r="E376" s="749" t="s">
        <v>1457</v>
      </c>
    </row>
    <row r="378" spans="5:57" x14ac:dyDescent="0.25">
      <c r="E378" s="1108" t="str">
        <f>Parameters!E414</f>
        <v>Total electrolyser area</v>
      </c>
      <c r="F378" s="1108" t="str">
        <f>Parameters!F414</f>
        <v>m²</v>
      </c>
      <c r="G378" s="1" t="s">
        <v>1615</v>
      </c>
      <c r="J378" s="348">
        <f>IF(AND(J$6&gt;=Parameters!$G$378,J$6&lt;=Parameters!$G$379),Parameters!$G$414,0)</f>
        <v>0</v>
      </c>
      <c r="K378" s="348">
        <f>IF(AND(K$6&gt;=Parameters!$G$378,K$6&lt;=Parameters!$G$379),Parameters!$G$414,0)</f>
        <v>0</v>
      </c>
      <c r="L378" s="348">
        <f>IF(AND(L$6&gt;=Parameters!$G$378,L$6&lt;=Parameters!$G$379),Parameters!$G$414,0)</f>
        <v>0</v>
      </c>
      <c r="M378" s="348">
        <f>IF(AND(M$6&gt;=Parameters!$G$378,M$6&lt;=Parameters!$G$379),Parameters!$G$414,0)</f>
        <v>0</v>
      </c>
      <c r="N378" s="348">
        <f>IF(AND(N$6&gt;=Parameters!$G$378,N$6&lt;=Parameters!$G$379),Parameters!$G$414,0)</f>
        <v>0</v>
      </c>
      <c r="O378" s="348">
        <f>IF(AND(O$6&gt;=Parameters!$G$378,O$6&lt;=Parameters!$G$379),Parameters!$G$414,0)</f>
        <v>0</v>
      </c>
      <c r="P378" s="348">
        <f>IF(AND(P$6&gt;=Parameters!$G$378,P$6&lt;=Parameters!$G$379),Parameters!$G$414,0)</f>
        <v>0</v>
      </c>
      <c r="Q378" s="348">
        <f>IF(AND(Q$6&gt;=Parameters!$G$378,Q$6&lt;=Parameters!$G$379),Parameters!$G$414,0)</f>
        <v>0</v>
      </c>
      <c r="R378" s="348">
        <f>IF(AND(R$6&gt;=Parameters!$G$378,R$6&lt;=Parameters!$G$379),Parameters!$G$414,0)</f>
        <v>0</v>
      </c>
      <c r="S378" s="348">
        <f>IF(AND(S$6&gt;=Parameters!$G$378,S$6&lt;=Parameters!$G$379),Parameters!$G$414,0)</f>
        <v>0</v>
      </c>
      <c r="T378" s="348">
        <f>IF(AND(T$6&gt;=Parameters!$G$378,T$6&lt;=Parameters!$G$379),Parameters!$G$414,0)</f>
        <v>0</v>
      </c>
      <c r="U378" s="348">
        <f>IF(AND(U$6&gt;=Parameters!$G$378,U$6&lt;=Parameters!$G$379),Parameters!$G$414,0)</f>
        <v>0</v>
      </c>
      <c r="V378" s="348">
        <f>IF(AND(V$6&gt;=Parameters!$G$378,V$6&lt;=Parameters!$G$379),Parameters!$G$414,0)</f>
        <v>0</v>
      </c>
      <c r="W378" s="348">
        <f>IF(AND(W$6&gt;=Parameters!$G$378,W$6&lt;=Parameters!$G$379),Parameters!$G$414,0)</f>
        <v>1019.9999999999999</v>
      </c>
      <c r="X378" s="348">
        <f>IF(AND(X$6&gt;=Parameters!$G$378,X$6&lt;=Parameters!$G$379),Parameters!$G$414,0)</f>
        <v>1019.9999999999999</v>
      </c>
      <c r="Y378" s="348">
        <f>IF(AND(Y$6&gt;=Parameters!$G$378,Y$6&lt;=Parameters!$G$379),Parameters!$G$414,0)</f>
        <v>1019.9999999999999</v>
      </c>
      <c r="Z378" s="348">
        <f>IF(AND(Z$6&gt;=Parameters!$G$378,Z$6&lt;=Parameters!$G$379),Parameters!$G$414,0)</f>
        <v>1019.9999999999999</v>
      </c>
      <c r="AA378" s="348">
        <f>IF(AND(AA$6&gt;=Parameters!$G$378,AA$6&lt;=Parameters!$G$379),Parameters!$G$414,0)</f>
        <v>1019.9999999999999</v>
      </c>
      <c r="AB378" s="348">
        <f>IF(AND(AB$6&gt;=Parameters!$G$378,AB$6&lt;=Parameters!$G$379),Parameters!$G$414,0)</f>
        <v>1019.9999999999999</v>
      </c>
      <c r="AC378" s="348">
        <f>IF(AND(AC$6&gt;=Parameters!$G$378,AC$6&lt;=Parameters!$G$379),Parameters!$G$414,0)</f>
        <v>1019.9999999999999</v>
      </c>
      <c r="AD378" s="348">
        <f>IF(AND(AD$6&gt;=Parameters!$G$378,AD$6&lt;=Parameters!$G$379),Parameters!$G$414,0)</f>
        <v>1019.9999999999999</v>
      </c>
      <c r="AE378" s="348">
        <f>IF(AND(AE$6&gt;=Parameters!$G$378,AE$6&lt;=Parameters!$G$379),Parameters!$G$414,0)</f>
        <v>1019.9999999999999</v>
      </c>
      <c r="AF378" s="348">
        <f>IF(AND(AF$6&gt;=Parameters!$G$378,AF$6&lt;=Parameters!$G$379),Parameters!$G$414,0)</f>
        <v>1019.9999999999999</v>
      </c>
      <c r="AG378" s="348">
        <f>IF(AND(AG$6&gt;=Parameters!$G$378,AG$6&lt;=Parameters!$G$379),Parameters!$G$414,0)</f>
        <v>1019.9999999999999</v>
      </c>
      <c r="AH378" s="348">
        <f>IF(AND(AH$6&gt;=Parameters!$G$378,AH$6&lt;=Parameters!$G$379),Parameters!$G$414,0)</f>
        <v>1019.9999999999999</v>
      </c>
      <c r="AI378" s="348">
        <f>IF(AND(AI$6&gt;=Parameters!$G$378,AI$6&lt;=Parameters!$G$379),Parameters!$G$414,0)</f>
        <v>1019.9999999999999</v>
      </c>
      <c r="AJ378" s="348">
        <f>IF(AND(AJ$6&gt;=Parameters!$G$378,AJ$6&lt;=Parameters!$G$379),Parameters!$G$414,0)</f>
        <v>1019.9999999999999</v>
      </c>
      <c r="AK378" s="348">
        <f>IF(AND(AK$6&gt;=Parameters!$G$378,AK$6&lt;=Parameters!$G$379),Parameters!$G$414,0)</f>
        <v>1019.9999999999999</v>
      </c>
      <c r="AL378" s="348">
        <f>IF(AND(AL$6&gt;=Parameters!$G$378,AL$6&lt;=Parameters!$G$379),Parameters!$G$414,0)</f>
        <v>1019.9999999999999</v>
      </c>
      <c r="AM378" s="348">
        <f>IF(AND(AM$6&gt;=Parameters!$G$378,AM$6&lt;=Parameters!$G$379),Parameters!$G$414,0)</f>
        <v>1019.9999999999999</v>
      </c>
      <c r="AN378" s="348">
        <f>IF(AND(AN$6&gt;=Parameters!$G$378,AN$6&lt;=Parameters!$G$379),Parameters!$G$414,0)</f>
        <v>1019.9999999999999</v>
      </c>
      <c r="AO378" s="348">
        <f>IF(AND(AO$6&gt;=Parameters!$G$378,AO$6&lt;=Parameters!$G$379),Parameters!$G$414,0)</f>
        <v>1019.9999999999999</v>
      </c>
      <c r="AP378" s="348">
        <f>IF(AND(AP$6&gt;=Parameters!$G$378,AP$6&lt;=Parameters!$G$379),Parameters!$G$414,0)</f>
        <v>1019.9999999999999</v>
      </c>
      <c r="AQ378" s="348">
        <f>IF(AND(AQ$6&gt;=Parameters!$G$378,AQ$6&lt;=Parameters!$G$379),Parameters!$G$414,0)</f>
        <v>0</v>
      </c>
      <c r="AR378" s="348">
        <f>IF(AND(AR$6&gt;=Parameters!$G$378,AR$6&lt;=Parameters!$G$379),Parameters!$G$414,0)</f>
        <v>0</v>
      </c>
      <c r="AS378" s="348">
        <f>IF(AND(AS$6&gt;=Parameters!$G$378,AS$6&lt;=Parameters!$G$379),Parameters!$G$414,0)</f>
        <v>0</v>
      </c>
      <c r="AT378" s="348">
        <f>IF(AND(AT$6&gt;=Parameters!$G$378,AT$6&lt;=Parameters!$G$379),Parameters!$G$414,0)</f>
        <v>0</v>
      </c>
      <c r="AU378" s="348">
        <f>IF(AND(AU$6&gt;=Parameters!$G$378,AU$6&lt;=Parameters!$G$379),Parameters!$G$414,0)</f>
        <v>0</v>
      </c>
      <c r="AV378" s="348">
        <f>IF(AND(AV$6&gt;=Parameters!$G$378,AV$6&lt;=Parameters!$G$379),Parameters!$G$414,0)</f>
        <v>0</v>
      </c>
      <c r="AW378" s="348">
        <f>IF(AND(AW$6&gt;=Parameters!$G$378,AW$6&lt;=Parameters!$G$379),Parameters!$G$414,0)</f>
        <v>0</v>
      </c>
      <c r="AX378" s="348">
        <f>IF(AND(AX$6&gt;=Parameters!$G$378,AX$6&lt;=Parameters!$G$379),Parameters!$G$414,0)</f>
        <v>0</v>
      </c>
      <c r="AY378" s="348">
        <f>IF(AND(AY$6&gt;=Parameters!$G$378,AY$6&lt;=Parameters!$G$379),Parameters!$G$414,0)</f>
        <v>0</v>
      </c>
      <c r="AZ378" s="348">
        <f>IF(AND(AZ$6&gt;=Parameters!$G$378,AZ$6&lt;=Parameters!$G$379),Parameters!$G$414,0)</f>
        <v>0</v>
      </c>
      <c r="BA378" s="348">
        <f>IF(AND(BA$6&gt;=Parameters!$G$378,BA$6&lt;=Parameters!$G$379),Parameters!$G$414,0)</f>
        <v>0</v>
      </c>
      <c r="BB378" s="348">
        <f>IF(AND(BB$6&gt;=Parameters!$G$378,BB$6&lt;=Parameters!$G$379),Parameters!$G$414,0)</f>
        <v>0</v>
      </c>
      <c r="BC378" s="348">
        <f>IF(AND(BC$6&gt;=Parameters!$G$378,BC$6&lt;=Parameters!$G$379),Parameters!$G$414,0)</f>
        <v>0</v>
      </c>
      <c r="BD378" s="348">
        <f>IF(AND(BD$6&gt;=Parameters!$G$378,BD$6&lt;=Parameters!$G$379),Parameters!$G$414,0)</f>
        <v>0</v>
      </c>
      <c r="BE378" s="348">
        <f>IF(AND(BE$6&gt;=Parameters!$G$378,BE$6&lt;=Parameters!$G$379),Parameters!$G$414,0)</f>
        <v>0</v>
      </c>
    </row>
    <row r="379" spans="5:57" x14ac:dyDescent="0.25">
      <c r="E379" s="1108" t="str">
        <f>Parameters!E440</f>
        <v>Total area compressor</v>
      </c>
      <c r="F379" s="1108" t="str">
        <f>Parameters!F440</f>
        <v>m²</v>
      </c>
      <c r="J379" s="348">
        <f>IF(AND(J$6&gt;=Parameters!$G$378,J$6&lt;=Parameters!$G$379),Parameters!$G$440,0)</f>
        <v>0</v>
      </c>
      <c r="K379" s="348">
        <f>IF(AND(K$6&gt;=Parameters!$G$378,K$6&lt;=Parameters!$G$379),Parameters!$G$440,0)</f>
        <v>0</v>
      </c>
      <c r="L379" s="348">
        <f>IF(AND(L$6&gt;=Parameters!$G$378,L$6&lt;=Parameters!$G$379),Parameters!$G$440,0)</f>
        <v>0</v>
      </c>
      <c r="M379" s="348">
        <f>IF(AND(M$6&gt;=Parameters!$G$378,M$6&lt;=Parameters!$G$379),Parameters!$G$440,0)</f>
        <v>0</v>
      </c>
      <c r="N379" s="348">
        <f>IF(AND(N$6&gt;=Parameters!$G$378,N$6&lt;=Parameters!$G$379),Parameters!$G$440,0)</f>
        <v>0</v>
      </c>
      <c r="O379" s="348">
        <f>IF(AND(O$6&gt;=Parameters!$G$378,O$6&lt;=Parameters!$G$379),Parameters!$G$440,0)</f>
        <v>0</v>
      </c>
      <c r="P379" s="348">
        <f>IF(AND(P$6&gt;=Parameters!$G$378,P$6&lt;=Parameters!$G$379),Parameters!$G$440,0)</f>
        <v>0</v>
      </c>
      <c r="Q379" s="348">
        <f>IF(AND(Q$6&gt;=Parameters!$G$378,Q$6&lt;=Parameters!$G$379),Parameters!$G$440,0)</f>
        <v>0</v>
      </c>
      <c r="R379" s="348">
        <f>IF(AND(R$6&gt;=Parameters!$G$378,R$6&lt;=Parameters!$G$379),Parameters!$G$440,0)</f>
        <v>0</v>
      </c>
      <c r="S379" s="348">
        <f>IF(AND(S$6&gt;=Parameters!$G$378,S$6&lt;=Parameters!$G$379),Parameters!$G$440,0)</f>
        <v>0</v>
      </c>
      <c r="T379" s="348">
        <f>IF(AND(T$6&gt;=Parameters!$G$378,T$6&lt;=Parameters!$G$379),Parameters!$G$440,0)</f>
        <v>0</v>
      </c>
      <c r="U379" s="348">
        <f>IF(AND(U$6&gt;=Parameters!$G$378,U$6&lt;=Parameters!$G$379),Parameters!$G$440,0)</f>
        <v>0</v>
      </c>
      <c r="V379" s="348">
        <f>IF(AND(V$6&gt;=Parameters!$G$378,V$6&lt;=Parameters!$G$379),Parameters!$G$440,0)</f>
        <v>0</v>
      </c>
      <c r="W379" s="348">
        <f>IF(AND(W$6&gt;=Parameters!$G$378,W$6&lt;=Parameters!$G$379),Parameters!$G$440,0)</f>
        <v>80.97815123132979</v>
      </c>
      <c r="X379" s="348">
        <f>IF(AND(X$6&gt;=Parameters!$G$378,X$6&lt;=Parameters!$G$379),Parameters!$G$440,0)</f>
        <v>80.97815123132979</v>
      </c>
      <c r="Y379" s="348">
        <f>IF(AND(Y$6&gt;=Parameters!$G$378,Y$6&lt;=Parameters!$G$379),Parameters!$G$440,0)</f>
        <v>80.97815123132979</v>
      </c>
      <c r="Z379" s="348">
        <f>IF(AND(Z$6&gt;=Parameters!$G$378,Z$6&lt;=Parameters!$G$379),Parameters!$G$440,0)</f>
        <v>80.97815123132979</v>
      </c>
      <c r="AA379" s="348">
        <f>IF(AND(AA$6&gt;=Parameters!$G$378,AA$6&lt;=Parameters!$G$379),Parameters!$G$440,0)</f>
        <v>80.97815123132979</v>
      </c>
      <c r="AB379" s="348">
        <f>IF(AND(AB$6&gt;=Parameters!$G$378,AB$6&lt;=Parameters!$G$379),Parameters!$G$440,0)</f>
        <v>80.97815123132979</v>
      </c>
      <c r="AC379" s="348">
        <f>IF(AND(AC$6&gt;=Parameters!$G$378,AC$6&lt;=Parameters!$G$379),Parameters!$G$440,0)</f>
        <v>80.97815123132979</v>
      </c>
      <c r="AD379" s="348">
        <f>IF(AND(AD$6&gt;=Parameters!$G$378,AD$6&lt;=Parameters!$G$379),Parameters!$G$440,0)</f>
        <v>80.97815123132979</v>
      </c>
      <c r="AE379" s="348">
        <f>IF(AND(AE$6&gt;=Parameters!$G$378,AE$6&lt;=Parameters!$G$379),Parameters!$G$440,0)</f>
        <v>80.97815123132979</v>
      </c>
      <c r="AF379" s="348">
        <f>IF(AND(AF$6&gt;=Parameters!$G$378,AF$6&lt;=Parameters!$G$379),Parameters!$G$440,0)</f>
        <v>80.97815123132979</v>
      </c>
      <c r="AG379" s="348">
        <f>IF(AND(AG$6&gt;=Parameters!$G$378,AG$6&lt;=Parameters!$G$379),Parameters!$G$440,0)</f>
        <v>80.97815123132979</v>
      </c>
      <c r="AH379" s="348">
        <f>IF(AND(AH$6&gt;=Parameters!$G$378,AH$6&lt;=Parameters!$G$379),Parameters!$G$440,0)</f>
        <v>80.97815123132979</v>
      </c>
      <c r="AI379" s="348">
        <f>IF(AND(AI$6&gt;=Parameters!$G$378,AI$6&lt;=Parameters!$G$379),Parameters!$G$440,0)</f>
        <v>80.97815123132979</v>
      </c>
      <c r="AJ379" s="348">
        <f>IF(AND(AJ$6&gt;=Parameters!$G$378,AJ$6&lt;=Parameters!$G$379),Parameters!$G$440,0)</f>
        <v>80.97815123132979</v>
      </c>
      <c r="AK379" s="348">
        <f>IF(AND(AK$6&gt;=Parameters!$G$378,AK$6&lt;=Parameters!$G$379),Parameters!$G$440,0)</f>
        <v>80.97815123132979</v>
      </c>
      <c r="AL379" s="348">
        <f>IF(AND(AL$6&gt;=Parameters!$G$378,AL$6&lt;=Parameters!$G$379),Parameters!$G$440,0)</f>
        <v>80.97815123132979</v>
      </c>
      <c r="AM379" s="348">
        <f>IF(AND(AM$6&gt;=Parameters!$G$378,AM$6&lt;=Parameters!$G$379),Parameters!$G$440,0)</f>
        <v>80.97815123132979</v>
      </c>
      <c r="AN379" s="348">
        <f>IF(AND(AN$6&gt;=Parameters!$G$378,AN$6&lt;=Parameters!$G$379),Parameters!$G$440,0)</f>
        <v>80.97815123132979</v>
      </c>
      <c r="AO379" s="348">
        <f>IF(AND(AO$6&gt;=Parameters!$G$378,AO$6&lt;=Parameters!$G$379),Parameters!$G$440,0)</f>
        <v>80.97815123132979</v>
      </c>
      <c r="AP379" s="348">
        <f>IF(AND(AP$6&gt;=Parameters!$G$378,AP$6&lt;=Parameters!$G$379),Parameters!$G$440,0)</f>
        <v>80.97815123132979</v>
      </c>
      <c r="AQ379" s="348">
        <f>IF(AND(AQ$6&gt;=Parameters!$G$378,AQ$6&lt;=Parameters!$G$379),Parameters!$G$440,0)</f>
        <v>0</v>
      </c>
      <c r="AR379" s="348">
        <f>IF(AND(AR$6&gt;=Parameters!$G$378,AR$6&lt;=Parameters!$G$379),Parameters!$G$440,0)</f>
        <v>0</v>
      </c>
      <c r="AS379" s="348">
        <f>IF(AND(AS$6&gt;=Parameters!$G$378,AS$6&lt;=Parameters!$G$379),Parameters!$G$440,0)</f>
        <v>0</v>
      </c>
      <c r="AT379" s="348">
        <f>IF(AND(AT$6&gt;=Parameters!$G$378,AT$6&lt;=Parameters!$G$379),Parameters!$G$440,0)</f>
        <v>0</v>
      </c>
      <c r="AU379" s="348">
        <f>IF(AND(AU$6&gt;=Parameters!$G$378,AU$6&lt;=Parameters!$G$379),Parameters!$G$440,0)</f>
        <v>0</v>
      </c>
      <c r="AV379" s="348">
        <f>IF(AND(AV$6&gt;=Parameters!$G$378,AV$6&lt;=Parameters!$G$379),Parameters!$G$440,0)</f>
        <v>0</v>
      </c>
      <c r="AW379" s="348">
        <f>IF(AND(AW$6&gt;=Parameters!$G$378,AW$6&lt;=Parameters!$G$379),Parameters!$G$440,0)</f>
        <v>0</v>
      </c>
      <c r="AX379" s="348">
        <f>IF(AND(AX$6&gt;=Parameters!$G$378,AX$6&lt;=Parameters!$G$379),Parameters!$G$440,0)</f>
        <v>0</v>
      </c>
      <c r="AY379" s="348">
        <f>IF(AND(AY$6&gt;=Parameters!$G$378,AY$6&lt;=Parameters!$G$379),Parameters!$G$440,0)</f>
        <v>0</v>
      </c>
      <c r="AZ379" s="348">
        <f>IF(AND(AZ$6&gt;=Parameters!$G$378,AZ$6&lt;=Parameters!$G$379),Parameters!$G$440,0)</f>
        <v>0</v>
      </c>
      <c r="BA379" s="348">
        <f>IF(AND(BA$6&gt;=Parameters!$G$378,BA$6&lt;=Parameters!$G$379),Parameters!$G$440,0)</f>
        <v>0</v>
      </c>
      <c r="BB379" s="348">
        <f>IF(AND(BB$6&gt;=Parameters!$G$378,BB$6&lt;=Parameters!$G$379),Parameters!$G$440,0)</f>
        <v>0</v>
      </c>
      <c r="BC379" s="348">
        <f>IF(AND(BC$6&gt;=Parameters!$G$378,BC$6&lt;=Parameters!$G$379),Parameters!$G$440,0)</f>
        <v>0</v>
      </c>
      <c r="BD379" s="348">
        <f>IF(AND(BD$6&gt;=Parameters!$G$378,BD$6&lt;=Parameters!$G$379),Parameters!$G$440,0)</f>
        <v>0</v>
      </c>
      <c r="BE379" s="348">
        <f>IF(AND(BE$6&gt;=Parameters!$G$378,BE$6&lt;=Parameters!$G$379),Parameters!$G$440,0)</f>
        <v>0</v>
      </c>
    </row>
    <row r="380" spans="5:57" ht="15.75" thickBot="1" x14ac:dyDescent="0.3">
      <c r="E380" s="1108" t="str">
        <f>Parameters!E423</f>
        <v>Total desalination unit area</v>
      </c>
      <c r="F380" s="1108" t="str">
        <f>Parameters!F423</f>
        <v>m²</v>
      </c>
      <c r="J380" s="348">
        <f>IF(AND(J$6&gt;=Parameters!$G$378,J$6&lt;=Parameters!$G$379),Parameters!$G$423,0)</f>
        <v>0</v>
      </c>
      <c r="K380" s="348">
        <f>IF(AND(K$6&gt;=Parameters!$G$378,K$6&lt;=Parameters!$G$379),Parameters!$G$423,0)</f>
        <v>0</v>
      </c>
      <c r="L380" s="348">
        <f>IF(AND(L$6&gt;=Parameters!$G$378,L$6&lt;=Parameters!$G$379),Parameters!$G$423,0)</f>
        <v>0</v>
      </c>
      <c r="M380" s="348">
        <f>IF(AND(M$6&gt;=Parameters!$G$378,M$6&lt;=Parameters!$G$379),Parameters!$G$423,0)</f>
        <v>0</v>
      </c>
      <c r="N380" s="348">
        <f>IF(AND(N$6&gt;=Parameters!$G$378,N$6&lt;=Parameters!$G$379),Parameters!$G$423,0)</f>
        <v>0</v>
      </c>
      <c r="O380" s="348">
        <f>IF(AND(O$6&gt;=Parameters!$G$378,O$6&lt;=Parameters!$G$379),Parameters!$G$423,0)</f>
        <v>0</v>
      </c>
      <c r="P380" s="348">
        <f>IF(AND(P$6&gt;=Parameters!$G$378,P$6&lt;=Parameters!$G$379),Parameters!$G$423,0)</f>
        <v>0</v>
      </c>
      <c r="Q380" s="348">
        <f>IF(AND(Q$6&gt;=Parameters!$G$378,Q$6&lt;=Parameters!$G$379),Parameters!$G$423,0)</f>
        <v>0</v>
      </c>
      <c r="R380" s="348">
        <f>IF(AND(R$6&gt;=Parameters!$G$378,R$6&lt;=Parameters!$G$379),Parameters!$G$423,0)</f>
        <v>0</v>
      </c>
      <c r="S380" s="348">
        <f>IF(AND(S$6&gt;=Parameters!$G$378,S$6&lt;=Parameters!$G$379),Parameters!$G$423,0)</f>
        <v>0</v>
      </c>
      <c r="T380" s="348">
        <f>IF(AND(T$6&gt;=Parameters!$G$378,T$6&lt;=Parameters!$G$379),Parameters!$G$423,0)</f>
        <v>0</v>
      </c>
      <c r="U380" s="348">
        <f>IF(AND(U$6&gt;=Parameters!$G$378,U$6&lt;=Parameters!$G$379),Parameters!$G$423,0)</f>
        <v>0</v>
      </c>
      <c r="V380" s="348">
        <f>IF(AND(V$6&gt;=Parameters!$G$378,V$6&lt;=Parameters!$G$379),Parameters!$G$423,0)</f>
        <v>0</v>
      </c>
      <c r="W380" s="348">
        <f>IF(AND(W$6&gt;=Parameters!$G$378,W$6&lt;=Parameters!$G$379),Parameters!$G$423,0)</f>
        <v>38.298856933808544</v>
      </c>
      <c r="X380" s="348">
        <f>IF(AND(X$6&gt;=Parameters!$G$378,X$6&lt;=Parameters!$G$379),Parameters!$G$423,0)</f>
        <v>38.298856933808544</v>
      </c>
      <c r="Y380" s="348">
        <f>IF(AND(Y$6&gt;=Parameters!$G$378,Y$6&lt;=Parameters!$G$379),Parameters!$G$423,0)</f>
        <v>38.298856933808544</v>
      </c>
      <c r="Z380" s="348">
        <f>IF(AND(Z$6&gt;=Parameters!$G$378,Z$6&lt;=Parameters!$G$379),Parameters!$G$423,0)</f>
        <v>38.298856933808544</v>
      </c>
      <c r="AA380" s="348">
        <f>IF(AND(AA$6&gt;=Parameters!$G$378,AA$6&lt;=Parameters!$G$379),Parameters!$G$423,0)</f>
        <v>38.298856933808544</v>
      </c>
      <c r="AB380" s="348">
        <f>IF(AND(AB$6&gt;=Parameters!$G$378,AB$6&lt;=Parameters!$G$379),Parameters!$G$423,0)</f>
        <v>38.298856933808544</v>
      </c>
      <c r="AC380" s="348">
        <f>IF(AND(AC$6&gt;=Parameters!$G$378,AC$6&lt;=Parameters!$G$379),Parameters!$G$423,0)</f>
        <v>38.298856933808544</v>
      </c>
      <c r="AD380" s="348">
        <f>IF(AND(AD$6&gt;=Parameters!$G$378,AD$6&lt;=Parameters!$G$379),Parameters!$G$423,0)</f>
        <v>38.298856933808544</v>
      </c>
      <c r="AE380" s="348">
        <f>IF(AND(AE$6&gt;=Parameters!$G$378,AE$6&lt;=Parameters!$G$379),Parameters!$G$423,0)</f>
        <v>38.298856933808544</v>
      </c>
      <c r="AF380" s="348">
        <f>IF(AND(AF$6&gt;=Parameters!$G$378,AF$6&lt;=Parameters!$G$379),Parameters!$G$423,0)</f>
        <v>38.298856933808544</v>
      </c>
      <c r="AG380" s="348">
        <f>IF(AND(AG$6&gt;=Parameters!$G$378,AG$6&lt;=Parameters!$G$379),Parameters!$G$423,0)</f>
        <v>38.298856933808544</v>
      </c>
      <c r="AH380" s="348">
        <f>IF(AND(AH$6&gt;=Parameters!$G$378,AH$6&lt;=Parameters!$G$379),Parameters!$G$423,0)</f>
        <v>38.298856933808544</v>
      </c>
      <c r="AI380" s="348">
        <f>IF(AND(AI$6&gt;=Parameters!$G$378,AI$6&lt;=Parameters!$G$379),Parameters!$G$423,0)</f>
        <v>38.298856933808544</v>
      </c>
      <c r="AJ380" s="348">
        <f>IF(AND(AJ$6&gt;=Parameters!$G$378,AJ$6&lt;=Parameters!$G$379),Parameters!$G$423,0)</f>
        <v>38.298856933808544</v>
      </c>
      <c r="AK380" s="348">
        <f>IF(AND(AK$6&gt;=Parameters!$G$378,AK$6&lt;=Parameters!$G$379),Parameters!$G$423,0)</f>
        <v>38.298856933808544</v>
      </c>
      <c r="AL380" s="348">
        <f>IF(AND(AL$6&gt;=Parameters!$G$378,AL$6&lt;=Parameters!$G$379),Parameters!$G$423,0)</f>
        <v>38.298856933808544</v>
      </c>
      <c r="AM380" s="348">
        <f>IF(AND(AM$6&gt;=Parameters!$G$378,AM$6&lt;=Parameters!$G$379),Parameters!$G$423,0)</f>
        <v>38.298856933808544</v>
      </c>
      <c r="AN380" s="348">
        <f>IF(AND(AN$6&gt;=Parameters!$G$378,AN$6&lt;=Parameters!$G$379),Parameters!$G$423,0)</f>
        <v>38.298856933808544</v>
      </c>
      <c r="AO380" s="348">
        <f>IF(AND(AO$6&gt;=Parameters!$G$378,AO$6&lt;=Parameters!$G$379),Parameters!$G$423,0)</f>
        <v>38.298856933808544</v>
      </c>
      <c r="AP380" s="348">
        <f>IF(AND(AP$6&gt;=Parameters!$G$378,AP$6&lt;=Parameters!$G$379),Parameters!$G$423,0)</f>
        <v>38.298856933808544</v>
      </c>
      <c r="AQ380" s="348">
        <f>IF(AND(AQ$6&gt;=Parameters!$G$378,AQ$6&lt;=Parameters!$G$379),Parameters!$G$423,0)</f>
        <v>0</v>
      </c>
      <c r="AR380" s="348">
        <f>IF(AND(AR$6&gt;=Parameters!$G$378,AR$6&lt;=Parameters!$G$379),Parameters!$G$423,0)</f>
        <v>0</v>
      </c>
      <c r="AS380" s="348">
        <f>IF(AND(AS$6&gt;=Parameters!$G$378,AS$6&lt;=Parameters!$G$379),Parameters!$G$423,0)</f>
        <v>0</v>
      </c>
      <c r="AT380" s="348">
        <f>IF(AND(AT$6&gt;=Parameters!$G$378,AT$6&lt;=Parameters!$G$379),Parameters!$G$423,0)</f>
        <v>0</v>
      </c>
      <c r="AU380" s="348">
        <f>IF(AND(AU$6&gt;=Parameters!$G$378,AU$6&lt;=Parameters!$G$379),Parameters!$G$423,0)</f>
        <v>0</v>
      </c>
      <c r="AV380" s="348">
        <f>IF(AND(AV$6&gt;=Parameters!$G$378,AV$6&lt;=Parameters!$G$379),Parameters!$G$423,0)</f>
        <v>0</v>
      </c>
      <c r="AW380" s="348">
        <f>IF(AND(AW$6&gt;=Parameters!$G$378,AW$6&lt;=Parameters!$G$379),Parameters!$G$423,0)</f>
        <v>0</v>
      </c>
      <c r="AX380" s="348">
        <f>IF(AND(AX$6&gt;=Parameters!$G$378,AX$6&lt;=Parameters!$G$379),Parameters!$G$423,0)</f>
        <v>0</v>
      </c>
      <c r="AY380" s="348">
        <f>IF(AND(AY$6&gt;=Parameters!$G$378,AY$6&lt;=Parameters!$G$379),Parameters!$G$423,0)</f>
        <v>0</v>
      </c>
      <c r="AZ380" s="348">
        <f>IF(AND(AZ$6&gt;=Parameters!$G$378,AZ$6&lt;=Parameters!$G$379),Parameters!$G$423,0)</f>
        <v>0</v>
      </c>
      <c r="BA380" s="348">
        <f>IF(AND(BA$6&gt;=Parameters!$G$378,BA$6&lt;=Parameters!$G$379),Parameters!$G$423,0)</f>
        <v>0</v>
      </c>
      <c r="BB380" s="348">
        <f>IF(AND(BB$6&gt;=Parameters!$G$378,BB$6&lt;=Parameters!$G$379),Parameters!$G$423,0)</f>
        <v>0</v>
      </c>
      <c r="BC380" s="348">
        <f>IF(AND(BC$6&gt;=Parameters!$G$378,BC$6&lt;=Parameters!$G$379),Parameters!$G$423,0)</f>
        <v>0</v>
      </c>
      <c r="BD380" s="348">
        <f>IF(AND(BD$6&gt;=Parameters!$G$378,BD$6&lt;=Parameters!$G$379),Parameters!$G$423,0)</f>
        <v>0</v>
      </c>
      <c r="BE380" s="348">
        <f>IF(AND(BE$6&gt;=Parameters!$G$378,BE$6&lt;=Parameters!$G$379),Parameters!$G$423,0)</f>
        <v>0</v>
      </c>
    </row>
    <row r="381" spans="5:57" ht="15.75" thickTop="1" x14ac:dyDescent="0.25">
      <c r="E381" s="1025" t="s">
        <v>1470</v>
      </c>
      <c r="F381" s="1025" t="s">
        <v>810</v>
      </c>
      <c r="G381" s="1109">
        <f>CEILING(MAX(J381:BE381)/$G$344,1)</f>
        <v>20</v>
      </c>
      <c r="H381" s="1025" t="s">
        <v>1614</v>
      </c>
      <c r="I381" s="1025"/>
      <c r="J381" s="1026">
        <f>SUM(J378:J380)</f>
        <v>0</v>
      </c>
      <c r="K381" s="1026">
        <f t="shared" ref="K381" si="283">SUM(K378:K380)</f>
        <v>0</v>
      </c>
      <c r="L381" s="1026">
        <f t="shared" ref="L381" si="284">SUM(L378:L380)</f>
        <v>0</v>
      </c>
      <c r="M381" s="1026">
        <f t="shared" ref="M381" si="285">SUM(M378:M380)</f>
        <v>0</v>
      </c>
      <c r="N381" s="1026">
        <f t="shared" ref="N381" si="286">SUM(N378:N380)</f>
        <v>0</v>
      </c>
      <c r="O381" s="1026">
        <f t="shared" ref="O381" si="287">SUM(O378:O380)</f>
        <v>0</v>
      </c>
      <c r="P381" s="1026">
        <f t="shared" ref="P381" si="288">SUM(P378:P380)</f>
        <v>0</v>
      </c>
      <c r="Q381" s="1026">
        <f t="shared" ref="Q381" si="289">SUM(Q378:Q380)</f>
        <v>0</v>
      </c>
      <c r="R381" s="1026">
        <f t="shared" ref="R381" si="290">SUM(R378:R380)</f>
        <v>0</v>
      </c>
      <c r="S381" s="1026">
        <f t="shared" ref="S381" si="291">SUM(S378:S380)</f>
        <v>0</v>
      </c>
      <c r="T381" s="1026">
        <f t="shared" ref="T381" si="292">SUM(T378:T380)</f>
        <v>0</v>
      </c>
      <c r="U381" s="1026">
        <f t="shared" ref="U381" si="293">SUM(U378:U380)</f>
        <v>0</v>
      </c>
      <c r="V381" s="1026">
        <f t="shared" ref="V381" si="294">SUM(V378:V380)</f>
        <v>0</v>
      </c>
      <c r="W381" s="1026">
        <f t="shared" ref="W381" si="295">SUM(W378:W380)</f>
        <v>1139.2770081651383</v>
      </c>
      <c r="X381" s="1026">
        <f t="shared" ref="X381" si="296">SUM(X378:X380)</f>
        <v>1139.2770081651383</v>
      </c>
      <c r="Y381" s="1026">
        <f t="shared" ref="Y381" si="297">SUM(Y378:Y380)</f>
        <v>1139.2770081651383</v>
      </c>
      <c r="Z381" s="1026">
        <f t="shared" ref="Z381" si="298">SUM(Z378:Z380)</f>
        <v>1139.2770081651383</v>
      </c>
      <c r="AA381" s="1026">
        <f t="shared" ref="AA381" si="299">SUM(AA378:AA380)</f>
        <v>1139.2770081651383</v>
      </c>
      <c r="AB381" s="1026">
        <f t="shared" ref="AB381" si="300">SUM(AB378:AB380)</f>
        <v>1139.2770081651383</v>
      </c>
      <c r="AC381" s="1026">
        <f t="shared" ref="AC381" si="301">SUM(AC378:AC380)</f>
        <v>1139.2770081651383</v>
      </c>
      <c r="AD381" s="1026">
        <f t="shared" ref="AD381" si="302">SUM(AD378:AD380)</f>
        <v>1139.2770081651383</v>
      </c>
      <c r="AE381" s="1026">
        <f t="shared" ref="AE381" si="303">SUM(AE378:AE380)</f>
        <v>1139.2770081651383</v>
      </c>
      <c r="AF381" s="1026">
        <f t="shared" ref="AF381" si="304">SUM(AF378:AF380)</f>
        <v>1139.2770081651383</v>
      </c>
      <c r="AG381" s="1026">
        <f t="shared" ref="AG381" si="305">SUM(AG378:AG380)</f>
        <v>1139.2770081651383</v>
      </c>
      <c r="AH381" s="1026">
        <f t="shared" ref="AH381" si="306">SUM(AH378:AH380)</f>
        <v>1139.2770081651383</v>
      </c>
      <c r="AI381" s="1026">
        <f t="shared" ref="AI381" si="307">SUM(AI378:AI380)</f>
        <v>1139.2770081651383</v>
      </c>
      <c r="AJ381" s="1026">
        <f t="shared" ref="AJ381" si="308">SUM(AJ378:AJ380)</f>
        <v>1139.2770081651383</v>
      </c>
      <c r="AK381" s="1026">
        <f t="shared" ref="AK381" si="309">SUM(AK378:AK380)</f>
        <v>1139.2770081651383</v>
      </c>
      <c r="AL381" s="1026">
        <f t="shared" ref="AL381" si="310">SUM(AL378:AL380)</f>
        <v>1139.2770081651383</v>
      </c>
      <c r="AM381" s="1026">
        <f t="shared" ref="AM381" si="311">SUM(AM378:AM380)</f>
        <v>1139.2770081651383</v>
      </c>
      <c r="AN381" s="1026">
        <f t="shared" ref="AN381" si="312">SUM(AN378:AN380)</f>
        <v>1139.2770081651383</v>
      </c>
      <c r="AO381" s="1026">
        <f t="shared" ref="AO381" si="313">SUM(AO378:AO380)</f>
        <v>1139.2770081651383</v>
      </c>
      <c r="AP381" s="1026">
        <f t="shared" ref="AP381" si="314">SUM(AP378:AP380)</f>
        <v>1139.2770081651383</v>
      </c>
      <c r="AQ381" s="1026">
        <f t="shared" ref="AQ381" si="315">SUM(AQ378:AQ380)</f>
        <v>0</v>
      </c>
      <c r="AR381" s="1026">
        <f t="shared" ref="AR381" si="316">SUM(AR378:AR380)</f>
        <v>0</v>
      </c>
      <c r="AS381" s="1026">
        <f t="shared" ref="AS381" si="317">SUM(AS378:AS380)</f>
        <v>0</v>
      </c>
      <c r="AT381" s="1026">
        <f t="shared" ref="AT381" si="318">SUM(AT378:AT380)</f>
        <v>0</v>
      </c>
      <c r="AU381" s="1026">
        <f t="shared" ref="AU381" si="319">SUM(AU378:AU380)</f>
        <v>0</v>
      </c>
      <c r="AV381" s="1026">
        <f t="shared" ref="AV381" si="320">SUM(AV378:AV380)</f>
        <v>0</v>
      </c>
      <c r="AW381" s="1026">
        <f t="shared" ref="AW381" si="321">SUM(AW378:AW380)</f>
        <v>0</v>
      </c>
      <c r="AX381" s="1026">
        <f t="shared" ref="AX381" si="322">SUM(AX378:AX380)</f>
        <v>0</v>
      </c>
      <c r="AY381" s="1026">
        <f t="shared" ref="AY381" si="323">SUM(AY378:AY380)</f>
        <v>0</v>
      </c>
      <c r="AZ381" s="1026">
        <f t="shared" ref="AZ381" si="324">SUM(AZ378:AZ380)</f>
        <v>0</v>
      </c>
      <c r="BA381" s="1026">
        <f t="shared" ref="BA381" si="325">SUM(BA378:BA380)</f>
        <v>0</v>
      </c>
      <c r="BB381" s="1026">
        <f t="shared" ref="BB381" si="326">SUM(BB378:BB380)</f>
        <v>0</v>
      </c>
      <c r="BC381" s="1026">
        <f t="shared" ref="BC381" si="327">SUM(BC378:BC380)</f>
        <v>0</v>
      </c>
      <c r="BD381" s="1026">
        <f t="shared" ref="BD381" si="328">SUM(BD378:BD380)</f>
        <v>0</v>
      </c>
      <c r="BE381" s="1026">
        <f t="shared" ref="BE381" si="329">SUM(BE378:BE380)</f>
        <v>0</v>
      </c>
    </row>
    <row r="383" spans="5:57" x14ac:dyDescent="0.25">
      <c r="E383" s="1108" t="str">
        <f>Parameters!E413</f>
        <v>Total electrolyser weigth</v>
      </c>
      <c r="F383" s="1108" t="str">
        <f>Parameters!F413</f>
        <v>ton</v>
      </c>
      <c r="J383" s="348">
        <f>IF(AND(J$6&gt;=Parameters!$G$378,J$6&lt;=Parameters!$G$379),Parameters!$G$413,0)</f>
        <v>0</v>
      </c>
      <c r="K383" s="348">
        <f>IF(AND(K$6&gt;=Parameters!$G$378,K$6&lt;=Parameters!$G$379),Parameters!$G$413,0)</f>
        <v>0</v>
      </c>
      <c r="L383" s="348">
        <f>IF(AND(L$6&gt;=Parameters!$G$378,L$6&lt;=Parameters!$G$379),Parameters!$G$413,0)</f>
        <v>0</v>
      </c>
      <c r="M383" s="348">
        <f>IF(AND(M$6&gt;=Parameters!$G$378,M$6&lt;=Parameters!$G$379),Parameters!$G$413,0)</f>
        <v>0</v>
      </c>
      <c r="N383" s="348">
        <f>IF(AND(N$6&gt;=Parameters!$G$378,N$6&lt;=Parameters!$G$379),Parameters!$G$413,0)</f>
        <v>0</v>
      </c>
      <c r="O383" s="348">
        <f>IF(AND(O$6&gt;=Parameters!$G$378,O$6&lt;=Parameters!$G$379),Parameters!$G$413,0)</f>
        <v>0</v>
      </c>
      <c r="P383" s="348">
        <f>IF(AND(P$6&gt;=Parameters!$G$378,P$6&lt;=Parameters!$G$379),Parameters!$G$413,0)</f>
        <v>0</v>
      </c>
      <c r="Q383" s="348">
        <f>IF(AND(Q$6&gt;=Parameters!$G$378,Q$6&lt;=Parameters!$G$379),Parameters!$G$413,0)</f>
        <v>0</v>
      </c>
      <c r="R383" s="348">
        <f>IF(AND(R$6&gt;=Parameters!$G$378,R$6&lt;=Parameters!$G$379),Parameters!$G$413,0)</f>
        <v>0</v>
      </c>
      <c r="S383" s="348">
        <f>IF(AND(S$6&gt;=Parameters!$G$378,S$6&lt;=Parameters!$G$379),Parameters!$G$413,0)</f>
        <v>0</v>
      </c>
      <c r="T383" s="348">
        <f>IF(AND(T$6&gt;=Parameters!$G$378,T$6&lt;=Parameters!$G$379),Parameters!$G$413,0)</f>
        <v>0</v>
      </c>
      <c r="U383" s="348">
        <f>IF(AND(U$6&gt;=Parameters!$G$378,U$6&lt;=Parameters!$G$379),Parameters!$G$413,0)</f>
        <v>0</v>
      </c>
      <c r="V383" s="348">
        <f>IF(AND(V$6&gt;=Parameters!$G$378,V$6&lt;=Parameters!$G$379),Parameters!$G$413,0)</f>
        <v>0</v>
      </c>
      <c r="W383" s="348">
        <f>IF(AND(W$6&gt;=Parameters!$G$378,W$6&lt;=Parameters!$G$379),Parameters!$G$413,0)</f>
        <v>1485.472</v>
      </c>
      <c r="X383" s="348">
        <f>IF(AND(X$6&gt;=Parameters!$G$378,X$6&lt;=Parameters!$G$379),Parameters!$G$413,0)</f>
        <v>1485.472</v>
      </c>
      <c r="Y383" s="348">
        <f>IF(AND(Y$6&gt;=Parameters!$G$378,Y$6&lt;=Parameters!$G$379),Parameters!$G$413,0)</f>
        <v>1485.472</v>
      </c>
      <c r="Z383" s="348">
        <f>IF(AND(Z$6&gt;=Parameters!$G$378,Z$6&lt;=Parameters!$G$379),Parameters!$G$413,0)</f>
        <v>1485.472</v>
      </c>
      <c r="AA383" s="348">
        <f>IF(AND(AA$6&gt;=Parameters!$G$378,AA$6&lt;=Parameters!$G$379),Parameters!$G$413,0)</f>
        <v>1485.472</v>
      </c>
      <c r="AB383" s="348">
        <f>IF(AND(AB$6&gt;=Parameters!$G$378,AB$6&lt;=Parameters!$G$379),Parameters!$G$413,0)</f>
        <v>1485.472</v>
      </c>
      <c r="AC383" s="348">
        <f>IF(AND(AC$6&gt;=Parameters!$G$378,AC$6&lt;=Parameters!$G$379),Parameters!$G$413,0)</f>
        <v>1485.472</v>
      </c>
      <c r="AD383" s="348">
        <f>IF(AND(AD$6&gt;=Parameters!$G$378,AD$6&lt;=Parameters!$G$379),Parameters!$G$413,0)</f>
        <v>1485.472</v>
      </c>
      <c r="AE383" s="348">
        <f>IF(AND(AE$6&gt;=Parameters!$G$378,AE$6&lt;=Parameters!$G$379),Parameters!$G$413,0)</f>
        <v>1485.472</v>
      </c>
      <c r="AF383" s="348">
        <f>IF(AND(AF$6&gt;=Parameters!$G$378,AF$6&lt;=Parameters!$G$379),Parameters!$G$413,0)</f>
        <v>1485.472</v>
      </c>
      <c r="AG383" s="348">
        <f>IF(AND(AG$6&gt;=Parameters!$G$378,AG$6&lt;=Parameters!$G$379),Parameters!$G$413,0)</f>
        <v>1485.472</v>
      </c>
      <c r="AH383" s="348">
        <f>IF(AND(AH$6&gt;=Parameters!$G$378,AH$6&lt;=Parameters!$G$379),Parameters!$G$413,0)</f>
        <v>1485.472</v>
      </c>
      <c r="AI383" s="348">
        <f>IF(AND(AI$6&gt;=Parameters!$G$378,AI$6&lt;=Parameters!$G$379),Parameters!$G$413,0)</f>
        <v>1485.472</v>
      </c>
      <c r="AJ383" s="348">
        <f>IF(AND(AJ$6&gt;=Parameters!$G$378,AJ$6&lt;=Parameters!$G$379),Parameters!$G$413,0)</f>
        <v>1485.472</v>
      </c>
      <c r="AK383" s="348">
        <f>IF(AND(AK$6&gt;=Parameters!$G$378,AK$6&lt;=Parameters!$G$379),Parameters!$G$413,0)</f>
        <v>1485.472</v>
      </c>
      <c r="AL383" s="348">
        <f>IF(AND(AL$6&gt;=Parameters!$G$378,AL$6&lt;=Parameters!$G$379),Parameters!$G$413,0)</f>
        <v>1485.472</v>
      </c>
      <c r="AM383" s="348">
        <f>IF(AND(AM$6&gt;=Parameters!$G$378,AM$6&lt;=Parameters!$G$379),Parameters!$G$413,0)</f>
        <v>1485.472</v>
      </c>
      <c r="AN383" s="348">
        <f>IF(AND(AN$6&gt;=Parameters!$G$378,AN$6&lt;=Parameters!$G$379),Parameters!$G$413,0)</f>
        <v>1485.472</v>
      </c>
      <c r="AO383" s="348">
        <f>IF(AND(AO$6&gt;=Parameters!$G$378,AO$6&lt;=Parameters!$G$379),Parameters!$G$413,0)</f>
        <v>1485.472</v>
      </c>
      <c r="AP383" s="348">
        <f>IF(AND(AP$6&gt;=Parameters!$G$378,AP$6&lt;=Parameters!$G$379),Parameters!$G$413,0)</f>
        <v>1485.472</v>
      </c>
      <c r="AQ383" s="348">
        <f>IF(AND(AQ$6&gt;=Parameters!$G$378,AQ$6&lt;=Parameters!$G$379),Parameters!$G$413,0)</f>
        <v>0</v>
      </c>
      <c r="AR383" s="348">
        <f>IF(AND(AR$6&gt;=Parameters!$G$378,AR$6&lt;=Parameters!$G$379),Parameters!$G$413,0)</f>
        <v>0</v>
      </c>
      <c r="AS383" s="348">
        <f>IF(AND(AS$6&gt;=Parameters!$G$378,AS$6&lt;=Parameters!$G$379),Parameters!$G$413,0)</f>
        <v>0</v>
      </c>
      <c r="AT383" s="348">
        <f>IF(AND(AT$6&gt;=Parameters!$G$378,AT$6&lt;=Parameters!$G$379),Parameters!$G$413,0)</f>
        <v>0</v>
      </c>
      <c r="AU383" s="348">
        <f>IF(AND(AU$6&gt;=Parameters!$G$378,AU$6&lt;=Parameters!$G$379),Parameters!$G$413,0)</f>
        <v>0</v>
      </c>
      <c r="AV383" s="348">
        <f>IF(AND(AV$6&gt;=Parameters!$G$378,AV$6&lt;=Parameters!$G$379),Parameters!$G$413,0)</f>
        <v>0</v>
      </c>
      <c r="AW383" s="348">
        <f>IF(AND(AW$6&gt;=Parameters!$G$378,AW$6&lt;=Parameters!$G$379),Parameters!$G$413,0)</f>
        <v>0</v>
      </c>
      <c r="AX383" s="348">
        <f>IF(AND(AX$6&gt;=Parameters!$G$378,AX$6&lt;=Parameters!$G$379),Parameters!$G$413,0)</f>
        <v>0</v>
      </c>
      <c r="AY383" s="348">
        <f>IF(AND(AY$6&gt;=Parameters!$G$378,AY$6&lt;=Parameters!$G$379),Parameters!$G$413,0)</f>
        <v>0</v>
      </c>
      <c r="AZ383" s="348">
        <f>IF(AND(AZ$6&gt;=Parameters!$G$378,AZ$6&lt;=Parameters!$G$379),Parameters!$G$413,0)</f>
        <v>0</v>
      </c>
      <c r="BA383" s="348">
        <f>IF(AND(BA$6&gt;=Parameters!$G$378,BA$6&lt;=Parameters!$G$379),Parameters!$G$413,0)</f>
        <v>0</v>
      </c>
      <c r="BB383" s="348">
        <f>IF(AND(BB$6&gt;=Parameters!$G$378,BB$6&lt;=Parameters!$G$379),Parameters!$G$413,0)</f>
        <v>0</v>
      </c>
      <c r="BC383" s="348">
        <f>IF(AND(BC$6&gt;=Parameters!$G$378,BC$6&lt;=Parameters!$G$379),Parameters!$G$413,0)</f>
        <v>0</v>
      </c>
      <c r="BD383" s="348">
        <f>IF(AND(BD$6&gt;=Parameters!$G$378,BD$6&lt;=Parameters!$G$379),Parameters!$G$413,0)</f>
        <v>0</v>
      </c>
      <c r="BE383" s="348">
        <f>IF(AND(BE$6&gt;=Parameters!$G$378,BE$6&lt;=Parameters!$G$379),Parameters!$G$413,0)</f>
        <v>0</v>
      </c>
    </row>
    <row r="384" spans="5:57" x14ac:dyDescent="0.25">
      <c r="E384" s="1108" t="str">
        <f>Parameters!E441</f>
        <v>Total weight compressor</v>
      </c>
      <c r="F384" s="1108" t="str">
        <f>Parameters!F441</f>
        <v>t</v>
      </c>
      <c r="J384" s="348">
        <f>IF(AND(J$6&gt;=Parameters!$G$378,J$6&lt;=Parameters!$G$379),Parameters!$G$441,0)</f>
        <v>0</v>
      </c>
      <c r="K384" s="348">
        <f>IF(AND(K$6&gt;=Parameters!$G$378,K$6&lt;=Parameters!$G$379),Parameters!$G$441,0)</f>
        <v>0</v>
      </c>
      <c r="L384" s="348">
        <f>IF(AND(L$6&gt;=Parameters!$G$378,L$6&lt;=Parameters!$G$379),Parameters!$G$441,0)</f>
        <v>0</v>
      </c>
      <c r="M384" s="348">
        <f>IF(AND(M$6&gt;=Parameters!$G$378,M$6&lt;=Parameters!$G$379),Parameters!$G$441,0)</f>
        <v>0</v>
      </c>
      <c r="N384" s="348">
        <f>IF(AND(N$6&gt;=Parameters!$G$378,N$6&lt;=Parameters!$G$379),Parameters!$G$441,0)</f>
        <v>0</v>
      </c>
      <c r="O384" s="348">
        <f>IF(AND(O$6&gt;=Parameters!$G$378,O$6&lt;=Parameters!$G$379),Parameters!$G$441,0)</f>
        <v>0</v>
      </c>
      <c r="P384" s="348">
        <f>IF(AND(P$6&gt;=Parameters!$G$378,P$6&lt;=Parameters!$G$379),Parameters!$G$441,0)</f>
        <v>0</v>
      </c>
      <c r="Q384" s="348">
        <f>IF(AND(Q$6&gt;=Parameters!$G$378,Q$6&lt;=Parameters!$G$379),Parameters!$G$441,0)</f>
        <v>0</v>
      </c>
      <c r="R384" s="348">
        <f>IF(AND(R$6&gt;=Parameters!$G$378,R$6&lt;=Parameters!$G$379),Parameters!$G$441,0)</f>
        <v>0</v>
      </c>
      <c r="S384" s="348">
        <f>IF(AND(S$6&gt;=Parameters!$G$378,S$6&lt;=Parameters!$G$379),Parameters!$G$441,0)</f>
        <v>0</v>
      </c>
      <c r="T384" s="348">
        <f>IF(AND(T$6&gt;=Parameters!$G$378,T$6&lt;=Parameters!$G$379),Parameters!$G$441,0)</f>
        <v>0</v>
      </c>
      <c r="U384" s="348">
        <f>IF(AND(U$6&gt;=Parameters!$G$378,U$6&lt;=Parameters!$G$379),Parameters!$G$441,0)</f>
        <v>0</v>
      </c>
      <c r="V384" s="348">
        <f>IF(AND(V$6&gt;=Parameters!$G$378,V$6&lt;=Parameters!$G$379),Parameters!$G$441,0)</f>
        <v>0</v>
      </c>
      <c r="W384" s="348">
        <f>IF(AND(W$6&gt;=Parameters!$G$378,W$6&lt;=Parameters!$G$379),Parameters!$G$441,0)</f>
        <v>9.6165019962109053</v>
      </c>
      <c r="X384" s="348">
        <f>IF(AND(X$6&gt;=Parameters!$G$378,X$6&lt;=Parameters!$G$379),Parameters!$G$441,0)</f>
        <v>9.6165019962109053</v>
      </c>
      <c r="Y384" s="348">
        <f>IF(AND(Y$6&gt;=Parameters!$G$378,Y$6&lt;=Parameters!$G$379),Parameters!$G$441,0)</f>
        <v>9.6165019962109053</v>
      </c>
      <c r="Z384" s="348">
        <f>IF(AND(Z$6&gt;=Parameters!$G$378,Z$6&lt;=Parameters!$G$379),Parameters!$G$441,0)</f>
        <v>9.6165019962109053</v>
      </c>
      <c r="AA384" s="348">
        <f>IF(AND(AA$6&gt;=Parameters!$G$378,AA$6&lt;=Parameters!$G$379),Parameters!$G$441,0)</f>
        <v>9.6165019962109053</v>
      </c>
      <c r="AB384" s="348">
        <f>IF(AND(AB$6&gt;=Parameters!$G$378,AB$6&lt;=Parameters!$G$379),Parameters!$G$441,0)</f>
        <v>9.6165019962109053</v>
      </c>
      <c r="AC384" s="348">
        <f>IF(AND(AC$6&gt;=Parameters!$G$378,AC$6&lt;=Parameters!$G$379),Parameters!$G$441,0)</f>
        <v>9.6165019962109053</v>
      </c>
      <c r="AD384" s="348">
        <f>IF(AND(AD$6&gt;=Parameters!$G$378,AD$6&lt;=Parameters!$G$379),Parameters!$G$441,0)</f>
        <v>9.6165019962109053</v>
      </c>
      <c r="AE384" s="348">
        <f>IF(AND(AE$6&gt;=Parameters!$G$378,AE$6&lt;=Parameters!$G$379),Parameters!$G$441,0)</f>
        <v>9.6165019962109053</v>
      </c>
      <c r="AF384" s="348">
        <f>IF(AND(AF$6&gt;=Parameters!$G$378,AF$6&lt;=Parameters!$G$379),Parameters!$G$441,0)</f>
        <v>9.6165019962109053</v>
      </c>
      <c r="AG384" s="348">
        <f>IF(AND(AG$6&gt;=Parameters!$G$378,AG$6&lt;=Parameters!$G$379),Parameters!$G$441,0)</f>
        <v>9.6165019962109053</v>
      </c>
      <c r="AH384" s="348">
        <f>IF(AND(AH$6&gt;=Parameters!$G$378,AH$6&lt;=Parameters!$G$379),Parameters!$G$441,0)</f>
        <v>9.6165019962109053</v>
      </c>
      <c r="AI384" s="348">
        <f>IF(AND(AI$6&gt;=Parameters!$G$378,AI$6&lt;=Parameters!$G$379),Parameters!$G$441,0)</f>
        <v>9.6165019962109053</v>
      </c>
      <c r="AJ384" s="348">
        <f>IF(AND(AJ$6&gt;=Parameters!$G$378,AJ$6&lt;=Parameters!$G$379),Parameters!$G$441,0)</f>
        <v>9.6165019962109053</v>
      </c>
      <c r="AK384" s="348">
        <f>IF(AND(AK$6&gt;=Parameters!$G$378,AK$6&lt;=Parameters!$G$379),Parameters!$G$441,0)</f>
        <v>9.6165019962109053</v>
      </c>
      <c r="AL384" s="348">
        <f>IF(AND(AL$6&gt;=Parameters!$G$378,AL$6&lt;=Parameters!$G$379),Parameters!$G$441,0)</f>
        <v>9.6165019962109053</v>
      </c>
      <c r="AM384" s="348">
        <f>IF(AND(AM$6&gt;=Parameters!$G$378,AM$6&lt;=Parameters!$G$379),Parameters!$G$441,0)</f>
        <v>9.6165019962109053</v>
      </c>
      <c r="AN384" s="348">
        <f>IF(AND(AN$6&gt;=Parameters!$G$378,AN$6&lt;=Parameters!$G$379),Parameters!$G$441,0)</f>
        <v>9.6165019962109053</v>
      </c>
      <c r="AO384" s="348">
        <f>IF(AND(AO$6&gt;=Parameters!$G$378,AO$6&lt;=Parameters!$G$379),Parameters!$G$441,0)</f>
        <v>9.6165019962109053</v>
      </c>
      <c r="AP384" s="348">
        <f>IF(AND(AP$6&gt;=Parameters!$G$378,AP$6&lt;=Parameters!$G$379),Parameters!$G$441,0)</f>
        <v>9.6165019962109053</v>
      </c>
      <c r="AQ384" s="348">
        <f>IF(AND(AQ$6&gt;=Parameters!$G$378,AQ$6&lt;=Parameters!$G$379),Parameters!$G$441,0)</f>
        <v>0</v>
      </c>
      <c r="AR384" s="348">
        <f>IF(AND(AR$6&gt;=Parameters!$G$378,AR$6&lt;=Parameters!$G$379),Parameters!$G$441,0)</f>
        <v>0</v>
      </c>
      <c r="AS384" s="348">
        <f>IF(AND(AS$6&gt;=Parameters!$G$378,AS$6&lt;=Parameters!$G$379),Parameters!$G$441,0)</f>
        <v>0</v>
      </c>
      <c r="AT384" s="348">
        <f>IF(AND(AT$6&gt;=Parameters!$G$378,AT$6&lt;=Parameters!$G$379),Parameters!$G$441,0)</f>
        <v>0</v>
      </c>
      <c r="AU384" s="348">
        <f>IF(AND(AU$6&gt;=Parameters!$G$378,AU$6&lt;=Parameters!$G$379),Parameters!$G$441,0)</f>
        <v>0</v>
      </c>
      <c r="AV384" s="348">
        <f>IF(AND(AV$6&gt;=Parameters!$G$378,AV$6&lt;=Parameters!$G$379),Parameters!$G$441,0)</f>
        <v>0</v>
      </c>
      <c r="AW384" s="348">
        <f>IF(AND(AW$6&gt;=Parameters!$G$378,AW$6&lt;=Parameters!$G$379),Parameters!$G$441,0)</f>
        <v>0</v>
      </c>
      <c r="AX384" s="348">
        <f>IF(AND(AX$6&gt;=Parameters!$G$378,AX$6&lt;=Parameters!$G$379),Parameters!$G$441,0)</f>
        <v>0</v>
      </c>
      <c r="AY384" s="348">
        <f>IF(AND(AY$6&gt;=Parameters!$G$378,AY$6&lt;=Parameters!$G$379),Parameters!$G$441,0)</f>
        <v>0</v>
      </c>
      <c r="AZ384" s="348">
        <f>IF(AND(AZ$6&gt;=Parameters!$G$378,AZ$6&lt;=Parameters!$G$379),Parameters!$G$441,0)</f>
        <v>0</v>
      </c>
      <c r="BA384" s="348">
        <f>IF(AND(BA$6&gt;=Parameters!$G$378,BA$6&lt;=Parameters!$G$379),Parameters!$G$441,0)</f>
        <v>0</v>
      </c>
      <c r="BB384" s="348">
        <f>IF(AND(BB$6&gt;=Parameters!$G$378,BB$6&lt;=Parameters!$G$379),Parameters!$G$441,0)</f>
        <v>0</v>
      </c>
      <c r="BC384" s="348">
        <f>IF(AND(BC$6&gt;=Parameters!$G$378,BC$6&lt;=Parameters!$G$379),Parameters!$G$441,0)</f>
        <v>0</v>
      </c>
      <c r="BD384" s="348">
        <f>IF(AND(BD$6&gt;=Parameters!$G$378,BD$6&lt;=Parameters!$G$379),Parameters!$G$441,0)</f>
        <v>0</v>
      </c>
      <c r="BE384" s="348">
        <f>IF(AND(BE$6&gt;=Parameters!$G$378,BE$6&lt;=Parameters!$G$379),Parameters!$G$441,0)</f>
        <v>0</v>
      </c>
    </row>
    <row r="385" spans="5:57" ht="15.75" thickBot="1" x14ac:dyDescent="0.3">
      <c r="E385" s="1108" t="str">
        <f>Parameters!E424</f>
        <v>Total desalination unit weight</v>
      </c>
      <c r="F385" s="1108" t="str">
        <f>Parameters!F424</f>
        <v>ton</v>
      </c>
      <c r="J385" s="348">
        <f>IF(AND(J$6&gt;=Parameters!$G$378,J$6&lt;=Parameters!$G$379),Parameters!$G$424,0)</f>
        <v>0</v>
      </c>
      <c r="K385" s="348">
        <f>IF(AND(K$6&gt;=Parameters!$G$378,K$6&lt;=Parameters!$G$379),Parameters!$G$424,0)</f>
        <v>0</v>
      </c>
      <c r="L385" s="348">
        <f>IF(AND(L$6&gt;=Parameters!$G$378,L$6&lt;=Parameters!$G$379),Parameters!$G$424,0)</f>
        <v>0</v>
      </c>
      <c r="M385" s="348">
        <f>IF(AND(M$6&gt;=Parameters!$G$378,M$6&lt;=Parameters!$G$379),Parameters!$G$424,0)</f>
        <v>0</v>
      </c>
      <c r="N385" s="348">
        <f>IF(AND(N$6&gt;=Parameters!$G$378,N$6&lt;=Parameters!$G$379),Parameters!$G$424,0)</f>
        <v>0</v>
      </c>
      <c r="O385" s="348">
        <f>IF(AND(O$6&gt;=Parameters!$G$378,O$6&lt;=Parameters!$G$379),Parameters!$G$424,0)</f>
        <v>0</v>
      </c>
      <c r="P385" s="348">
        <f>IF(AND(P$6&gt;=Parameters!$G$378,P$6&lt;=Parameters!$G$379),Parameters!$G$424,0)</f>
        <v>0</v>
      </c>
      <c r="Q385" s="348">
        <f>IF(AND(Q$6&gt;=Parameters!$G$378,Q$6&lt;=Parameters!$G$379),Parameters!$G$424,0)</f>
        <v>0</v>
      </c>
      <c r="R385" s="348">
        <f>IF(AND(R$6&gt;=Parameters!$G$378,R$6&lt;=Parameters!$G$379),Parameters!$G$424,0)</f>
        <v>0</v>
      </c>
      <c r="S385" s="348">
        <f>IF(AND(S$6&gt;=Parameters!$G$378,S$6&lt;=Parameters!$G$379),Parameters!$G$424,0)</f>
        <v>0</v>
      </c>
      <c r="T385" s="348">
        <f>IF(AND(T$6&gt;=Parameters!$G$378,T$6&lt;=Parameters!$G$379),Parameters!$G$424,0)</f>
        <v>0</v>
      </c>
      <c r="U385" s="348">
        <f>IF(AND(U$6&gt;=Parameters!$G$378,U$6&lt;=Parameters!$G$379),Parameters!$G$424,0)</f>
        <v>0</v>
      </c>
      <c r="V385" s="348">
        <f>IF(AND(V$6&gt;=Parameters!$G$378,V$6&lt;=Parameters!$G$379),Parameters!$G$424,0)</f>
        <v>0</v>
      </c>
      <c r="W385" s="348">
        <f>IF(AND(W$6&gt;=Parameters!$G$378,W$6&lt;=Parameters!$G$379),Parameters!$G$424,0)</f>
        <v>55.776352556057304</v>
      </c>
      <c r="X385" s="348">
        <f>IF(AND(X$6&gt;=Parameters!$G$378,X$6&lt;=Parameters!$G$379),Parameters!$G$424,0)</f>
        <v>55.776352556057304</v>
      </c>
      <c r="Y385" s="348">
        <f>IF(AND(Y$6&gt;=Parameters!$G$378,Y$6&lt;=Parameters!$G$379),Parameters!$G$424,0)</f>
        <v>55.776352556057304</v>
      </c>
      <c r="Z385" s="348">
        <f>IF(AND(Z$6&gt;=Parameters!$G$378,Z$6&lt;=Parameters!$G$379),Parameters!$G$424,0)</f>
        <v>55.776352556057304</v>
      </c>
      <c r="AA385" s="348">
        <f>IF(AND(AA$6&gt;=Parameters!$G$378,AA$6&lt;=Parameters!$G$379),Parameters!$G$424,0)</f>
        <v>55.776352556057304</v>
      </c>
      <c r="AB385" s="348">
        <f>IF(AND(AB$6&gt;=Parameters!$G$378,AB$6&lt;=Parameters!$G$379),Parameters!$G$424,0)</f>
        <v>55.776352556057304</v>
      </c>
      <c r="AC385" s="348">
        <f>IF(AND(AC$6&gt;=Parameters!$G$378,AC$6&lt;=Parameters!$G$379),Parameters!$G$424,0)</f>
        <v>55.776352556057304</v>
      </c>
      <c r="AD385" s="348">
        <f>IF(AND(AD$6&gt;=Parameters!$G$378,AD$6&lt;=Parameters!$G$379),Parameters!$G$424,0)</f>
        <v>55.776352556057304</v>
      </c>
      <c r="AE385" s="348">
        <f>IF(AND(AE$6&gt;=Parameters!$G$378,AE$6&lt;=Parameters!$G$379),Parameters!$G$424,0)</f>
        <v>55.776352556057304</v>
      </c>
      <c r="AF385" s="348">
        <f>IF(AND(AF$6&gt;=Parameters!$G$378,AF$6&lt;=Parameters!$G$379),Parameters!$G$424,0)</f>
        <v>55.776352556057304</v>
      </c>
      <c r="AG385" s="348">
        <f>IF(AND(AG$6&gt;=Parameters!$G$378,AG$6&lt;=Parameters!$G$379),Parameters!$G$424,0)</f>
        <v>55.776352556057304</v>
      </c>
      <c r="AH385" s="348">
        <f>IF(AND(AH$6&gt;=Parameters!$G$378,AH$6&lt;=Parameters!$G$379),Parameters!$G$424,0)</f>
        <v>55.776352556057304</v>
      </c>
      <c r="AI385" s="348">
        <f>IF(AND(AI$6&gt;=Parameters!$G$378,AI$6&lt;=Parameters!$G$379),Parameters!$G$424,0)</f>
        <v>55.776352556057304</v>
      </c>
      <c r="AJ385" s="348">
        <f>IF(AND(AJ$6&gt;=Parameters!$G$378,AJ$6&lt;=Parameters!$G$379),Parameters!$G$424,0)</f>
        <v>55.776352556057304</v>
      </c>
      <c r="AK385" s="348">
        <f>IF(AND(AK$6&gt;=Parameters!$G$378,AK$6&lt;=Parameters!$G$379),Parameters!$G$424,0)</f>
        <v>55.776352556057304</v>
      </c>
      <c r="AL385" s="348">
        <f>IF(AND(AL$6&gt;=Parameters!$G$378,AL$6&lt;=Parameters!$G$379),Parameters!$G$424,0)</f>
        <v>55.776352556057304</v>
      </c>
      <c r="AM385" s="348">
        <f>IF(AND(AM$6&gt;=Parameters!$G$378,AM$6&lt;=Parameters!$G$379),Parameters!$G$424,0)</f>
        <v>55.776352556057304</v>
      </c>
      <c r="AN385" s="348">
        <f>IF(AND(AN$6&gt;=Parameters!$G$378,AN$6&lt;=Parameters!$G$379),Parameters!$G$424,0)</f>
        <v>55.776352556057304</v>
      </c>
      <c r="AO385" s="348">
        <f>IF(AND(AO$6&gt;=Parameters!$G$378,AO$6&lt;=Parameters!$G$379),Parameters!$G$424,0)</f>
        <v>55.776352556057304</v>
      </c>
      <c r="AP385" s="348">
        <f>IF(AND(AP$6&gt;=Parameters!$G$378,AP$6&lt;=Parameters!$G$379),Parameters!$G$424,0)</f>
        <v>55.776352556057304</v>
      </c>
      <c r="AQ385" s="348">
        <f>IF(AND(AQ$6&gt;=Parameters!$G$378,AQ$6&lt;=Parameters!$G$379),Parameters!$G$424,0)</f>
        <v>0</v>
      </c>
      <c r="AR385" s="348">
        <f>IF(AND(AR$6&gt;=Parameters!$G$378,AR$6&lt;=Parameters!$G$379),Parameters!$G$424,0)</f>
        <v>0</v>
      </c>
      <c r="AS385" s="348">
        <f>IF(AND(AS$6&gt;=Parameters!$G$378,AS$6&lt;=Parameters!$G$379),Parameters!$G$424,0)</f>
        <v>0</v>
      </c>
      <c r="AT385" s="348">
        <f>IF(AND(AT$6&gt;=Parameters!$G$378,AT$6&lt;=Parameters!$G$379),Parameters!$G$424,0)</f>
        <v>0</v>
      </c>
      <c r="AU385" s="348">
        <f>IF(AND(AU$6&gt;=Parameters!$G$378,AU$6&lt;=Parameters!$G$379),Parameters!$G$424,0)</f>
        <v>0</v>
      </c>
      <c r="AV385" s="348">
        <f>IF(AND(AV$6&gt;=Parameters!$G$378,AV$6&lt;=Parameters!$G$379),Parameters!$G$424,0)</f>
        <v>0</v>
      </c>
      <c r="AW385" s="348">
        <f>IF(AND(AW$6&gt;=Parameters!$G$378,AW$6&lt;=Parameters!$G$379),Parameters!$G$424,0)</f>
        <v>0</v>
      </c>
      <c r="AX385" s="348">
        <f>IF(AND(AX$6&gt;=Parameters!$G$378,AX$6&lt;=Parameters!$G$379),Parameters!$G$424,0)</f>
        <v>0</v>
      </c>
      <c r="AY385" s="348">
        <f>IF(AND(AY$6&gt;=Parameters!$G$378,AY$6&lt;=Parameters!$G$379),Parameters!$G$424,0)</f>
        <v>0</v>
      </c>
      <c r="AZ385" s="348">
        <f>IF(AND(AZ$6&gt;=Parameters!$G$378,AZ$6&lt;=Parameters!$G$379),Parameters!$G$424,0)</f>
        <v>0</v>
      </c>
      <c r="BA385" s="348">
        <f>IF(AND(BA$6&gt;=Parameters!$G$378,BA$6&lt;=Parameters!$G$379),Parameters!$G$424,0)</f>
        <v>0</v>
      </c>
      <c r="BB385" s="348">
        <f>IF(AND(BB$6&gt;=Parameters!$G$378,BB$6&lt;=Parameters!$G$379),Parameters!$G$424,0)</f>
        <v>0</v>
      </c>
      <c r="BC385" s="348">
        <f>IF(AND(BC$6&gt;=Parameters!$G$378,BC$6&lt;=Parameters!$G$379),Parameters!$G$424,0)</f>
        <v>0</v>
      </c>
      <c r="BD385" s="348">
        <f>IF(AND(BD$6&gt;=Parameters!$G$378,BD$6&lt;=Parameters!$G$379),Parameters!$G$424,0)</f>
        <v>0</v>
      </c>
      <c r="BE385" s="348">
        <f>IF(AND(BE$6&gt;=Parameters!$G$378,BE$6&lt;=Parameters!$G$379),Parameters!$G$424,0)</f>
        <v>0</v>
      </c>
    </row>
    <row r="386" spans="5:57" ht="15.75" thickTop="1" x14ac:dyDescent="0.25">
      <c r="E386" s="1025" t="s">
        <v>1470</v>
      </c>
      <c r="F386" s="1025" t="s">
        <v>1540</v>
      </c>
      <c r="G386" s="1025"/>
      <c r="H386" s="1025"/>
      <c r="I386" s="1025"/>
      <c r="J386" s="1026">
        <f>SUM(J383:J385)</f>
        <v>0</v>
      </c>
      <c r="K386" s="1026">
        <f t="shared" ref="K386" si="330">SUM(K383:K385)</f>
        <v>0</v>
      </c>
      <c r="L386" s="1026">
        <f t="shared" ref="L386" si="331">SUM(L383:L385)</f>
        <v>0</v>
      </c>
      <c r="M386" s="1026">
        <f t="shared" ref="M386" si="332">SUM(M383:M385)</f>
        <v>0</v>
      </c>
      <c r="N386" s="1026">
        <f t="shared" ref="N386" si="333">SUM(N383:N385)</f>
        <v>0</v>
      </c>
      <c r="O386" s="1026">
        <f t="shared" ref="O386" si="334">SUM(O383:O385)</f>
        <v>0</v>
      </c>
      <c r="P386" s="1026">
        <f t="shared" ref="P386" si="335">SUM(P383:P385)</f>
        <v>0</v>
      </c>
      <c r="Q386" s="1026">
        <f t="shared" ref="Q386" si="336">SUM(Q383:Q385)</f>
        <v>0</v>
      </c>
      <c r="R386" s="1026">
        <f t="shared" ref="R386" si="337">SUM(R383:R385)</f>
        <v>0</v>
      </c>
      <c r="S386" s="1026">
        <f t="shared" ref="S386" si="338">SUM(S383:S385)</f>
        <v>0</v>
      </c>
      <c r="T386" s="1026">
        <f t="shared" ref="T386" si="339">SUM(T383:T385)</f>
        <v>0</v>
      </c>
      <c r="U386" s="1026">
        <f t="shared" ref="U386" si="340">SUM(U383:U385)</f>
        <v>0</v>
      </c>
      <c r="V386" s="1026">
        <f t="shared" ref="V386" si="341">SUM(V383:V385)</f>
        <v>0</v>
      </c>
      <c r="W386" s="1026">
        <f t="shared" ref="W386" si="342">SUM(W383:W385)</f>
        <v>1550.8648545522683</v>
      </c>
      <c r="X386" s="1026">
        <f t="shared" ref="X386" si="343">SUM(X383:X385)</f>
        <v>1550.8648545522683</v>
      </c>
      <c r="Y386" s="1026">
        <f t="shared" ref="Y386" si="344">SUM(Y383:Y385)</f>
        <v>1550.8648545522683</v>
      </c>
      <c r="Z386" s="1026">
        <f t="shared" ref="Z386" si="345">SUM(Z383:Z385)</f>
        <v>1550.8648545522683</v>
      </c>
      <c r="AA386" s="1026">
        <f t="shared" ref="AA386" si="346">SUM(AA383:AA385)</f>
        <v>1550.8648545522683</v>
      </c>
      <c r="AB386" s="1026">
        <f t="shared" ref="AB386" si="347">SUM(AB383:AB385)</f>
        <v>1550.8648545522683</v>
      </c>
      <c r="AC386" s="1026">
        <f t="shared" ref="AC386" si="348">SUM(AC383:AC385)</f>
        <v>1550.8648545522683</v>
      </c>
      <c r="AD386" s="1026">
        <f t="shared" ref="AD386" si="349">SUM(AD383:AD385)</f>
        <v>1550.8648545522683</v>
      </c>
      <c r="AE386" s="1026">
        <f t="shared" ref="AE386" si="350">SUM(AE383:AE385)</f>
        <v>1550.8648545522683</v>
      </c>
      <c r="AF386" s="1026">
        <f t="shared" ref="AF386" si="351">SUM(AF383:AF385)</f>
        <v>1550.8648545522683</v>
      </c>
      <c r="AG386" s="1026">
        <f t="shared" ref="AG386" si="352">SUM(AG383:AG385)</f>
        <v>1550.8648545522683</v>
      </c>
      <c r="AH386" s="1026">
        <f t="shared" ref="AH386" si="353">SUM(AH383:AH385)</f>
        <v>1550.8648545522683</v>
      </c>
      <c r="AI386" s="1026">
        <f t="shared" ref="AI386" si="354">SUM(AI383:AI385)</f>
        <v>1550.8648545522683</v>
      </c>
      <c r="AJ386" s="1026">
        <f t="shared" ref="AJ386" si="355">SUM(AJ383:AJ385)</f>
        <v>1550.8648545522683</v>
      </c>
      <c r="AK386" s="1026">
        <f t="shared" ref="AK386" si="356">SUM(AK383:AK385)</f>
        <v>1550.8648545522683</v>
      </c>
      <c r="AL386" s="1026">
        <f t="shared" ref="AL386" si="357">SUM(AL383:AL385)</f>
        <v>1550.8648545522683</v>
      </c>
      <c r="AM386" s="1026">
        <f t="shared" ref="AM386" si="358">SUM(AM383:AM385)</f>
        <v>1550.8648545522683</v>
      </c>
      <c r="AN386" s="1026">
        <f t="shared" ref="AN386" si="359">SUM(AN383:AN385)</f>
        <v>1550.8648545522683</v>
      </c>
      <c r="AO386" s="1026">
        <f t="shared" ref="AO386" si="360">SUM(AO383:AO385)</f>
        <v>1550.8648545522683</v>
      </c>
      <c r="AP386" s="1026">
        <f t="shared" ref="AP386" si="361">SUM(AP383:AP385)</f>
        <v>1550.8648545522683</v>
      </c>
      <c r="AQ386" s="1026">
        <f t="shared" ref="AQ386" si="362">SUM(AQ383:AQ385)</f>
        <v>0</v>
      </c>
      <c r="AR386" s="1026">
        <f t="shared" ref="AR386" si="363">SUM(AR383:AR385)</f>
        <v>0</v>
      </c>
      <c r="AS386" s="1026">
        <f t="shared" ref="AS386" si="364">SUM(AS383:AS385)</f>
        <v>0</v>
      </c>
      <c r="AT386" s="1026">
        <f t="shared" ref="AT386" si="365">SUM(AT383:AT385)</f>
        <v>0</v>
      </c>
      <c r="AU386" s="1026">
        <f t="shared" ref="AU386" si="366">SUM(AU383:AU385)</f>
        <v>0</v>
      </c>
      <c r="AV386" s="1026">
        <f t="shared" ref="AV386" si="367">SUM(AV383:AV385)</f>
        <v>0</v>
      </c>
      <c r="AW386" s="1026">
        <f t="shared" ref="AW386" si="368">SUM(AW383:AW385)</f>
        <v>0</v>
      </c>
      <c r="AX386" s="1026">
        <f t="shared" ref="AX386" si="369">SUM(AX383:AX385)</f>
        <v>0</v>
      </c>
      <c r="AY386" s="1026">
        <f t="shared" ref="AY386" si="370">SUM(AY383:AY385)</f>
        <v>0</v>
      </c>
      <c r="AZ386" s="1026">
        <f t="shared" ref="AZ386" si="371">SUM(AZ383:AZ385)</f>
        <v>0</v>
      </c>
      <c r="BA386" s="1026">
        <f t="shared" ref="BA386" si="372">SUM(BA383:BA385)</f>
        <v>0</v>
      </c>
      <c r="BB386" s="1026">
        <f t="shared" ref="BB386" si="373">SUM(BB383:BB385)</f>
        <v>0</v>
      </c>
      <c r="BC386" s="1026">
        <f t="shared" ref="BC386" si="374">SUM(BC383:BC385)</f>
        <v>0</v>
      </c>
      <c r="BD386" s="1026">
        <f t="shared" ref="BD386" si="375">SUM(BD383:BD385)</f>
        <v>0</v>
      </c>
      <c r="BE386" s="1026">
        <f t="shared" ref="BE386" si="376">SUM(BE383:BE385)</f>
        <v>0</v>
      </c>
    </row>
    <row r="388" spans="5:57" x14ac:dyDescent="0.25">
      <c r="E388" s="749" t="s">
        <v>1663</v>
      </c>
      <c r="F388" s="1" t="s">
        <v>810</v>
      </c>
      <c r="J388" s="88">
        <f>J381+J369+J359+J350</f>
        <v>0</v>
      </c>
      <c r="K388" s="88">
        <f t="shared" ref="K388:BE388" si="377">K381+K369+K359+K350</f>
        <v>0</v>
      </c>
      <c r="L388" s="88">
        <f t="shared" si="377"/>
        <v>0</v>
      </c>
      <c r="M388" s="88">
        <f t="shared" si="377"/>
        <v>0</v>
      </c>
      <c r="N388" s="88">
        <f t="shared" si="377"/>
        <v>198.67680265964393</v>
      </c>
      <c r="O388" s="88">
        <f>O381+O369+O359+O350</f>
        <v>198.67680265964393</v>
      </c>
      <c r="P388" s="88">
        <f t="shared" si="377"/>
        <v>198.67680265964393</v>
      </c>
      <c r="Q388" s="88">
        <f t="shared" si="377"/>
        <v>198.67680265964393</v>
      </c>
      <c r="R388" s="88">
        <f t="shared" si="377"/>
        <v>358.66583456876981</v>
      </c>
      <c r="S388" s="88">
        <f t="shared" si="377"/>
        <v>358.66583456876981</v>
      </c>
      <c r="T388" s="88">
        <f t="shared" si="377"/>
        <v>358.66583456876981</v>
      </c>
      <c r="U388" s="88">
        <f t="shared" si="377"/>
        <v>358.66583456876981</v>
      </c>
      <c r="V388" s="88">
        <f t="shared" si="377"/>
        <v>358.66583456876981</v>
      </c>
      <c r="W388" s="88">
        <f t="shared" si="377"/>
        <v>1139.2770081651383</v>
      </c>
      <c r="X388" s="88">
        <f t="shared" si="377"/>
        <v>1139.2770081651383</v>
      </c>
      <c r="Y388" s="88">
        <f t="shared" si="377"/>
        <v>1139.2770081651383</v>
      </c>
      <c r="Z388" s="88">
        <f t="shared" si="377"/>
        <v>1139.2770081651383</v>
      </c>
      <c r="AA388" s="88">
        <f t="shared" si="377"/>
        <v>1139.2770081651383</v>
      </c>
      <c r="AB388" s="88">
        <f t="shared" si="377"/>
        <v>1139.2770081651383</v>
      </c>
      <c r="AC388" s="88">
        <f t="shared" si="377"/>
        <v>1139.2770081651383</v>
      </c>
      <c r="AD388" s="88">
        <f t="shared" si="377"/>
        <v>1139.2770081651383</v>
      </c>
      <c r="AE388" s="88">
        <f t="shared" si="377"/>
        <v>1139.2770081651383</v>
      </c>
      <c r="AF388" s="88">
        <f t="shared" si="377"/>
        <v>1139.2770081651383</v>
      </c>
      <c r="AG388" s="88">
        <f t="shared" si="377"/>
        <v>1139.2770081651383</v>
      </c>
      <c r="AH388" s="88">
        <f t="shared" si="377"/>
        <v>1139.2770081651383</v>
      </c>
      <c r="AI388" s="88">
        <f t="shared" si="377"/>
        <v>1139.2770081651383</v>
      </c>
      <c r="AJ388" s="88">
        <f t="shared" si="377"/>
        <v>1139.2770081651383</v>
      </c>
      <c r="AK388" s="88">
        <f t="shared" si="377"/>
        <v>1139.2770081651383</v>
      </c>
      <c r="AL388" s="88">
        <f t="shared" si="377"/>
        <v>1139.2770081651383</v>
      </c>
      <c r="AM388" s="88">
        <f t="shared" si="377"/>
        <v>1139.2770081651383</v>
      </c>
      <c r="AN388" s="88">
        <f t="shared" si="377"/>
        <v>1139.2770081651383</v>
      </c>
      <c r="AO388" s="88">
        <f t="shared" si="377"/>
        <v>1139.2770081651383</v>
      </c>
      <c r="AP388" s="88">
        <f t="shared" si="377"/>
        <v>1139.2770081651383</v>
      </c>
      <c r="AQ388" s="88">
        <f t="shared" si="377"/>
        <v>0</v>
      </c>
      <c r="AR388" s="88">
        <f t="shared" si="377"/>
        <v>0</v>
      </c>
      <c r="AS388" s="88">
        <f t="shared" si="377"/>
        <v>0</v>
      </c>
      <c r="AT388" s="88">
        <f t="shared" si="377"/>
        <v>0</v>
      </c>
      <c r="AU388" s="88">
        <f t="shared" si="377"/>
        <v>0</v>
      </c>
      <c r="AV388" s="88">
        <f t="shared" si="377"/>
        <v>0</v>
      </c>
      <c r="AW388" s="88">
        <f t="shared" si="377"/>
        <v>0</v>
      </c>
      <c r="AX388" s="88">
        <f t="shared" si="377"/>
        <v>0</v>
      </c>
      <c r="AY388" s="88">
        <f t="shared" si="377"/>
        <v>0</v>
      </c>
      <c r="AZ388" s="88">
        <f t="shared" si="377"/>
        <v>0</v>
      </c>
      <c r="BA388" s="88">
        <f t="shared" si="377"/>
        <v>0</v>
      </c>
      <c r="BB388" s="88">
        <f t="shared" si="377"/>
        <v>0</v>
      </c>
      <c r="BC388" s="88">
        <f t="shared" si="377"/>
        <v>0</v>
      </c>
      <c r="BD388" s="88">
        <f t="shared" si="377"/>
        <v>0</v>
      </c>
      <c r="BE388" s="88">
        <f t="shared" si="377"/>
        <v>0</v>
      </c>
    </row>
    <row r="389" spans="5:57" x14ac:dyDescent="0.25">
      <c r="E389" s="749" t="s">
        <v>1663</v>
      </c>
      <c r="F389" s="1" t="s">
        <v>1664</v>
      </c>
      <c r="J389" s="1">
        <f>CEILING(J381/$G$344,1)+CEILING(J369/$G$344,1)+CEILING(J359/$G$344,1)+CEILING(J350/$G$344,1)</f>
        <v>0</v>
      </c>
      <c r="K389" s="1">
        <f t="shared" ref="K389:BE389" si="378">CEILING(K381/$G$344,1)+CEILING(K369/$G$344,1)+CEILING(K359/$G$344,1)+CEILING(K350/$G$344,1)</f>
        <v>0</v>
      </c>
      <c r="L389" s="1">
        <f t="shared" si="378"/>
        <v>0</v>
      </c>
      <c r="M389" s="1">
        <f t="shared" si="378"/>
        <v>0</v>
      </c>
      <c r="N389" s="1">
        <f t="shared" si="378"/>
        <v>4</v>
      </c>
      <c r="O389" s="1">
        <f t="shared" si="378"/>
        <v>4</v>
      </c>
      <c r="P389" s="1">
        <f t="shared" si="378"/>
        <v>4</v>
      </c>
      <c r="Q389" s="1">
        <f t="shared" si="378"/>
        <v>4</v>
      </c>
      <c r="R389" s="1">
        <f t="shared" si="378"/>
        <v>7</v>
      </c>
      <c r="S389" s="1">
        <f t="shared" si="378"/>
        <v>7</v>
      </c>
      <c r="T389" s="1">
        <f t="shared" si="378"/>
        <v>7</v>
      </c>
      <c r="U389" s="1">
        <f t="shared" si="378"/>
        <v>7</v>
      </c>
      <c r="V389" s="1">
        <f t="shared" si="378"/>
        <v>7</v>
      </c>
      <c r="W389" s="1">
        <f t="shared" si="378"/>
        <v>20</v>
      </c>
      <c r="X389" s="1">
        <f t="shared" si="378"/>
        <v>20</v>
      </c>
      <c r="Y389" s="1">
        <f t="shared" si="378"/>
        <v>20</v>
      </c>
      <c r="Z389" s="1">
        <f t="shared" si="378"/>
        <v>20</v>
      </c>
      <c r="AA389" s="1">
        <f t="shared" si="378"/>
        <v>20</v>
      </c>
      <c r="AB389" s="1">
        <f t="shared" si="378"/>
        <v>20</v>
      </c>
      <c r="AC389" s="1">
        <f t="shared" si="378"/>
        <v>20</v>
      </c>
      <c r="AD389" s="1">
        <f t="shared" si="378"/>
        <v>20</v>
      </c>
      <c r="AE389" s="1">
        <f t="shared" si="378"/>
        <v>20</v>
      </c>
      <c r="AF389" s="1">
        <f t="shared" si="378"/>
        <v>20</v>
      </c>
      <c r="AG389" s="1">
        <f t="shared" si="378"/>
        <v>20</v>
      </c>
      <c r="AH389" s="1">
        <f t="shared" si="378"/>
        <v>20</v>
      </c>
      <c r="AI389" s="1">
        <f t="shared" si="378"/>
        <v>20</v>
      </c>
      <c r="AJ389" s="1">
        <f t="shared" si="378"/>
        <v>20</v>
      </c>
      <c r="AK389" s="1">
        <f t="shared" si="378"/>
        <v>20</v>
      </c>
      <c r="AL389" s="1">
        <f t="shared" si="378"/>
        <v>20</v>
      </c>
      <c r="AM389" s="1">
        <f t="shared" si="378"/>
        <v>20</v>
      </c>
      <c r="AN389" s="1">
        <f t="shared" si="378"/>
        <v>20</v>
      </c>
      <c r="AO389" s="1">
        <f t="shared" si="378"/>
        <v>20</v>
      </c>
      <c r="AP389" s="1">
        <f t="shared" si="378"/>
        <v>20</v>
      </c>
      <c r="AQ389" s="1">
        <f t="shared" si="378"/>
        <v>0</v>
      </c>
      <c r="AR389" s="1">
        <f t="shared" si="378"/>
        <v>0</v>
      </c>
      <c r="AS389" s="1">
        <f t="shared" si="378"/>
        <v>0</v>
      </c>
      <c r="AT389" s="1">
        <f t="shared" si="378"/>
        <v>0</v>
      </c>
      <c r="AU389" s="1">
        <f t="shared" si="378"/>
        <v>0</v>
      </c>
      <c r="AV389" s="1">
        <f t="shared" si="378"/>
        <v>0</v>
      </c>
      <c r="AW389" s="1">
        <f t="shared" si="378"/>
        <v>0</v>
      </c>
      <c r="AX389" s="1">
        <f t="shared" si="378"/>
        <v>0</v>
      </c>
      <c r="AY389" s="1">
        <f t="shared" si="378"/>
        <v>0</v>
      </c>
      <c r="AZ389" s="1">
        <f t="shared" si="378"/>
        <v>0</v>
      </c>
      <c r="BA389" s="1">
        <f t="shared" si="378"/>
        <v>0</v>
      </c>
      <c r="BB389" s="1">
        <f t="shared" si="378"/>
        <v>0</v>
      </c>
      <c r="BC389" s="1">
        <f t="shared" si="378"/>
        <v>0</v>
      </c>
      <c r="BD389" s="1">
        <f t="shared" si="378"/>
        <v>0</v>
      </c>
      <c r="BE389" s="1">
        <f t="shared" si="378"/>
        <v>0</v>
      </c>
    </row>
  </sheetData>
  <mergeCells count="1">
    <mergeCell ref="B174:B183"/>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tabColor rgb="FF92D050"/>
  </sheetPr>
  <dimension ref="A2:BL121"/>
  <sheetViews>
    <sheetView showGridLines="0" zoomScale="70" zoomScaleNormal="70" workbookViewId="0">
      <pane xSplit="6" ySplit="3" topLeftCell="H4" activePane="bottomRight" state="frozen"/>
      <selection pane="topRight" activeCell="F1" sqref="F1"/>
      <selection pane="bottomLeft" activeCell="A5" sqref="A5"/>
      <selection pane="bottomRight" activeCell="F23" sqref="F23"/>
    </sheetView>
  </sheetViews>
  <sheetFormatPr defaultColWidth="9.140625" defaultRowHeight="15" x14ac:dyDescent="0.25"/>
  <cols>
    <col min="1" max="1" width="27.42578125" style="437" bestFit="1" customWidth="1"/>
    <col min="2" max="2" width="33.7109375" style="437" customWidth="1"/>
    <col min="3" max="3" width="19.5703125" style="437" bestFit="1" customWidth="1"/>
    <col min="4" max="4" width="15.7109375" style="437" customWidth="1"/>
    <col min="5" max="5" width="16.7109375" style="437" bestFit="1" customWidth="1"/>
    <col min="6" max="6" width="14.5703125" style="437" customWidth="1"/>
    <col min="7" max="7" width="30.140625" style="437" customWidth="1"/>
    <col min="8" max="8" width="13.5703125" style="437" bestFit="1" customWidth="1"/>
    <col min="9" max="9" width="13.140625" style="437" bestFit="1" customWidth="1"/>
    <col min="10" max="10" width="11.42578125" style="437" bestFit="1" customWidth="1"/>
    <col min="11" max="11" width="13.5703125" style="437" customWidth="1"/>
    <col min="12" max="12" width="15.5703125" style="437" customWidth="1"/>
    <col min="13" max="13" width="14.42578125" style="437" customWidth="1"/>
    <col min="14" max="14" width="11.7109375" style="437" customWidth="1"/>
    <col min="15" max="26" width="12.28515625" style="437" bestFit="1" customWidth="1"/>
    <col min="27" max="46" width="12.5703125" style="437" bestFit="1" customWidth="1"/>
    <col min="47" max="54" width="12.85546875" style="437" bestFit="1" customWidth="1"/>
    <col min="55" max="16384" width="9.140625" style="437"/>
  </cols>
  <sheetData>
    <row r="2" spans="2:64" ht="31.5" x14ac:dyDescent="0.5">
      <c r="B2" s="499" t="s">
        <v>976</v>
      </c>
      <c r="E2" s="500"/>
    </row>
    <row r="3" spans="2:64" x14ac:dyDescent="0.25">
      <c r="B3" s="440"/>
      <c r="C3" s="440"/>
      <c r="D3" s="440"/>
      <c r="E3" s="440"/>
      <c r="F3" s="440"/>
    </row>
    <row r="4" spans="2:64" x14ac:dyDescent="0.25">
      <c r="B4" s="452"/>
      <c r="C4" s="452"/>
      <c r="D4" s="1332">
        <v>-136023.05561108058</v>
      </c>
      <c r="E4" s="1332">
        <v>-36879.756160539473</v>
      </c>
      <c r="F4" s="452"/>
    </row>
    <row r="5" spans="2:64" ht="15.75" hidden="1" x14ac:dyDescent="0.25">
      <c r="B5" s="501" t="s">
        <v>720</v>
      </c>
      <c r="C5" s="501"/>
      <c r="D5" s="502"/>
      <c r="E5" s="503" t="s">
        <v>977</v>
      </c>
      <c r="F5" s="502"/>
      <c r="G5" s="504">
        <f>YEAR(electrification_input!$D$6)</f>
        <v>2018</v>
      </c>
      <c r="H5" s="446">
        <f>G5+1</f>
        <v>2019</v>
      </c>
      <c r="I5" s="446">
        <f t="shared" ref="I5:U5" si="0">H5+1</f>
        <v>2020</v>
      </c>
      <c r="J5" s="446">
        <f t="shared" si="0"/>
        <v>2021</v>
      </c>
      <c r="K5" s="446">
        <f t="shared" si="0"/>
        <v>2022</v>
      </c>
      <c r="L5" s="446">
        <f t="shared" si="0"/>
        <v>2023</v>
      </c>
      <c r="M5" s="446">
        <f t="shared" si="0"/>
        <v>2024</v>
      </c>
      <c r="N5" s="446">
        <f t="shared" si="0"/>
        <v>2025</v>
      </c>
      <c r="O5" s="446">
        <f t="shared" si="0"/>
        <v>2026</v>
      </c>
      <c r="P5" s="446">
        <f t="shared" si="0"/>
        <v>2027</v>
      </c>
      <c r="Q5" s="446">
        <f t="shared" si="0"/>
        <v>2028</v>
      </c>
      <c r="R5" s="446">
        <f t="shared" si="0"/>
        <v>2029</v>
      </c>
      <c r="S5" s="446">
        <f t="shared" si="0"/>
        <v>2030</v>
      </c>
      <c r="T5" s="446">
        <f t="shared" si="0"/>
        <v>2031</v>
      </c>
      <c r="U5" s="446">
        <f t="shared" si="0"/>
        <v>2032</v>
      </c>
      <c r="V5" s="446">
        <f>U5+1</f>
        <v>2033</v>
      </c>
      <c r="W5" s="446">
        <f t="shared" ref="W5:AU5" si="1">V5+1</f>
        <v>2034</v>
      </c>
      <c r="X5" s="446">
        <f t="shared" si="1"/>
        <v>2035</v>
      </c>
      <c r="Y5" s="446">
        <f t="shared" si="1"/>
        <v>2036</v>
      </c>
      <c r="Z5" s="446">
        <f t="shared" si="1"/>
        <v>2037</v>
      </c>
      <c r="AA5" s="446">
        <f t="shared" si="1"/>
        <v>2038</v>
      </c>
      <c r="AB5" s="446">
        <f t="shared" si="1"/>
        <v>2039</v>
      </c>
      <c r="AC5" s="446">
        <f t="shared" si="1"/>
        <v>2040</v>
      </c>
      <c r="AD5" s="446">
        <f t="shared" si="1"/>
        <v>2041</v>
      </c>
      <c r="AE5" s="446">
        <f t="shared" si="1"/>
        <v>2042</v>
      </c>
      <c r="AF5" s="446">
        <f t="shared" si="1"/>
        <v>2043</v>
      </c>
      <c r="AG5" s="446">
        <f t="shared" si="1"/>
        <v>2044</v>
      </c>
      <c r="AH5" s="446">
        <f t="shared" si="1"/>
        <v>2045</v>
      </c>
      <c r="AI5" s="446">
        <f t="shared" si="1"/>
        <v>2046</v>
      </c>
      <c r="AJ5" s="446">
        <f t="shared" si="1"/>
        <v>2047</v>
      </c>
      <c r="AK5" s="446">
        <f t="shared" si="1"/>
        <v>2048</v>
      </c>
      <c r="AL5" s="446">
        <f t="shared" si="1"/>
        <v>2049</v>
      </c>
      <c r="AM5" s="446">
        <f t="shared" si="1"/>
        <v>2050</v>
      </c>
      <c r="AN5" s="446">
        <f t="shared" si="1"/>
        <v>2051</v>
      </c>
      <c r="AO5" s="446">
        <f t="shared" si="1"/>
        <v>2052</v>
      </c>
      <c r="AP5" s="446">
        <f t="shared" si="1"/>
        <v>2053</v>
      </c>
      <c r="AQ5" s="446">
        <f t="shared" si="1"/>
        <v>2054</v>
      </c>
      <c r="AR5" s="446">
        <f t="shared" si="1"/>
        <v>2055</v>
      </c>
      <c r="AS5" s="446">
        <f t="shared" si="1"/>
        <v>2056</v>
      </c>
      <c r="AT5" s="446">
        <f t="shared" si="1"/>
        <v>2057</v>
      </c>
      <c r="AU5" s="446">
        <f t="shared" si="1"/>
        <v>2058</v>
      </c>
      <c r="AV5" s="446">
        <f t="shared" ref="AV5" si="2">AU5+1</f>
        <v>2059</v>
      </c>
      <c r="AW5" s="446">
        <f t="shared" ref="AW5" si="3">AV5+1</f>
        <v>2060</v>
      </c>
      <c r="AX5" s="446">
        <f t="shared" ref="AX5" si="4">AW5+1</f>
        <v>2061</v>
      </c>
      <c r="AY5" s="446">
        <f t="shared" ref="AY5" si="5">AX5+1</f>
        <v>2062</v>
      </c>
      <c r="AZ5" s="446">
        <f t="shared" ref="AZ5" si="6">AY5+1</f>
        <v>2063</v>
      </c>
      <c r="BA5" s="446">
        <f t="shared" ref="BA5" si="7">AZ5+1</f>
        <v>2064</v>
      </c>
      <c r="BB5" s="446">
        <f t="shared" ref="BB5" si="8">BA5+1</f>
        <v>2065</v>
      </c>
    </row>
    <row r="6" spans="2:64" hidden="1" x14ac:dyDescent="0.25">
      <c r="B6" s="309" t="s">
        <v>978</v>
      </c>
      <c r="C6" s="309" t="s">
        <v>979</v>
      </c>
      <c r="D6" s="505">
        <f>SUM(G6:AF6)</f>
        <v>0</v>
      </c>
      <c r="E6" s="505">
        <f t="shared" ref="E6:E16" si="9">G6+NPV($C$22,H6:AU6)</f>
        <v>0</v>
      </c>
      <c r="F6" s="309"/>
      <c r="G6" s="506">
        <f>G7+G8</f>
        <v>0</v>
      </c>
      <c r="H6" s="506">
        <f t="shared" ref="H6:AU6" si="10">H7+H8</f>
        <v>0</v>
      </c>
      <c r="I6" s="506">
        <f t="shared" si="10"/>
        <v>0</v>
      </c>
      <c r="J6" s="506">
        <f t="shared" si="10"/>
        <v>0</v>
      </c>
      <c r="K6" s="506">
        <f t="shared" si="10"/>
        <v>0</v>
      </c>
      <c r="L6" s="506">
        <f t="shared" si="10"/>
        <v>0</v>
      </c>
      <c r="M6" s="506">
        <f t="shared" si="10"/>
        <v>0</v>
      </c>
      <c r="N6" s="506">
        <f t="shared" si="10"/>
        <v>0</v>
      </c>
      <c r="O6" s="506">
        <f t="shared" si="10"/>
        <v>0</v>
      </c>
      <c r="P6" s="506">
        <f t="shared" si="10"/>
        <v>0</v>
      </c>
      <c r="Q6" s="506">
        <f t="shared" si="10"/>
        <v>0</v>
      </c>
      <c r="R6" s="506">
        <f t="shared" si="10"/>
        <v>0</v>
      </c>
      <c r="S6" s="506">
        <f t="shared" si="10"/>
        <v>0</v>
      </c>
      <c r="T6" s="506">
        <f t="shared" si="10"/>
        <v>0</v>
      </c>
      <c r="U6" s="506">
        <f t="shared" si="10"/>
        <v>0</v>
      </c>
      <c r="V6" s="506">
        <f t="shared" si="10"/>
        <v>0</v>
      </c>
      <c r="W6" s="506">
        <f t="shared" si="10"/>
        <v>0</v>
      </c>
      <c r="X6" s="506">
        <f t="shared" si="10"/>
        <v>0</v>
      </c>
      <c r="Y6" s="506">
        <f t="shared" si="10"/>
        <v>0</v>
      </c>
      <c r="Z6" s="506">
        <f t="shared" si="10"/>
        <v>0</v>
      </c>
      <c r="AA6" s="506">
        <f t="shared" si="10"/>
        <v>0</v>
      </c>
      <c r="AB6" s="506">
        <f t="shared" si="10"/>
        <v>0</v>
      </c>
      <c r="AC6" s="506">
        <f t="shared" si="10"/>
        <v>0</v>
      </c>
      <c r="AD6" s="506">
        <f t="shared" si="10"/>
        <v>0</v>
      </c>
      <c r="AE6" s="506">
        <f t="shared" si="10"/>
        <v>0</v>
      </c>
      <c r="AF6" s="506">
        <f t="shared" si="10"/>
        <v>0</v>
      </c>
      <c r="AG6" s="506">
        <f t="shared" si="10"/>
        <v>0</v>
      </c>
      <c r="AH6" s="506">
        <f t="shared" si="10"/>
        <v>0</v>
      </c>
      <c r="AI6" s="506">
        <f t="shared" si="10"/>
        <v>0</v>
      </c>
      <c r="AJ6" s="506">
        <f t="shared" si="10"/>
        <v>0</v>
      </c>
      <c r="AK6" s="506">
        <f t="shared" si="10"/>
        <v>0</v>
      </c>
      <c r="AL6" s="506">
        <f t="shared" si="10"/>
        <v>0</v>
      </c>
      <c r="AM6" s="506">
        <f t="shared" si="10"/>
        <v>0</v>
      </c>
      <c r="AN6" s="506">
        <f t="shared" si="10"/>
        <v>0</v>
      </c>
      <c r="AO6" s="506">
        <f t="shared" si="10"/>
        <v>0</v>
      </c>
      <c r="AP6" s="506">
        <f t="shared" si="10"/>
        <v>0</v>
      </c>
      <c r="AQ6" s="506">
        <f t="shared" si="10"/>
        <v>0</v>
      </c>
      <c r="AR6" s="506">
        <f t="shared" si="10"/>
        <v>0</v>
      </c>
      <c r="AS6" s="506">
        <f t="shared" si="10"/>
        <v>0</v>
      </c>
      <c r="AT6" s="506">
        <f t="shared" si="10"/>
        <v>0</v>
      </c>
      <c r="AU6" s="506">
        <f t="shared" si="10"/>
        <v>0</v>
      </c>
      <c r="AV6" s="506">
        <f t="shared" ref="AV6:BB6" si="11">AV7+AV8</f>
        <v>0</v>
      </c>
      <c r="AW6" s="506">
        <f t="shared" si="11"/>
        <v>0</v>
      </c>
      <c r="AX6" s="506">
        <f t="shared" si="11"/>
        <v>0</v>
      </c>
      <c r="AY6" s="506">
        <f t="shared" si="11"/>
        <v>0</v>
      </c>
      <c r="AZ6" s="506">
        <f t="shared" si="11"/>
        <v>0</v>
      </c>
      <c r="BA6" s="506">
        <f t="shared" si="11"/>
        <v>0</v>
      </c>
      <c r="BB6" s="506">
        <f t="shared" si="11"/>
        <v>0</v>
      </c>
    </row>
    <row r="7" spans="2:64" hidden="1" x14ac:dyDescent="0.25">
      <c r="B7" s="507" t="s">
        <v>980</v>
      </c>
      <c r="C7" s="508" t="s">
        <v>979</v>
      </c>
      <c r="D7" s="509">
        <f>SUM(G7:AU7)</f>
        <v>0</v>
      </c>
      <c r="E7" s="509">
        <f t="shared" si="9"/>
        <v>0</v>
      </c>
      <c r="F7" s="507"/>
      <c r="G7" s="510">
        <f>Investments_elec!F5</f>
        <v>0</v>
      </c>
      <c r="H7" s="510">
        <f>Investments_elec!G5</f>
        <v>0</v>
      </c>
      <c r="I7" s="510">
        <f>Investments_elec!H5</f>
        <v>0</v>
      </c>
      <c r="J7" s="510">
        <f>Investments_elec!I5</f>
        <v>0</v>
      </c>
      <c r="K7" s="510">
        <f>Investments_elec!J5</f>
        <v>0</v>
      </c>
      <c r="L7" s="510">
        <f>Investments_elec!K5</f>
        <v>0</v>
      </c>
      <c r="M7" s="510">
        <f>Investments_elec!L5</f>
        <v>0</v>
      </c>
      <c r="N7" s="510">
        <f>Investments_elec!M5</f>
        <v>0</v>
      </c>
      <c r="O7" s="510">
        <f>Investments_elec!N5</f>
        <v>0</v>
      </c>
      <c r="P7" s="510">
        <f>Investments_elec!O5</f>
        <v>0</v>
      </c>
      <c r="Q7" s="510">
        <f>Investments_elec!P5</f>
        <v>0</v>
      </c>
      <c r="R7" s="510">
        <f>Investments_elec!Q5</f>
        <v>0</v>
      </c>
      <c r="S7" s="510">
        <f>Investments_elec!R5</f>
        <v>0</v>
      </c>
      <c r="T7" s="510">
        <f>Investments_elec!S5</f>
        <v>0</v>
      </c>
      <c r="U7" s="510">
        <f>Investments_elec!T5</f>
        <v>0</v>
      </c>
      <c r="V7" s="510">
        <f>Investments_elec!U5</f>
        <v>0</v>
      </c>
      <c r="W7" s="510">
        <f>Investments_elec!V5</f>
        <v>0</v>
      </c>
      <c r="X7" s="510">
        <f>Investments_elec!W5</f>
        <v>0</v>
      </c>
      <c r="Y7" s="510">
        <f>Investments_elec!X5</f>
        <v>0</v>
      </c>
      <c r="Z7" s="510">
        <f>Investments_elec!Y5</f>
        <v>0</v>
      </c>
      <c r="AA7" s="510">
        <f>Investments_elec!Z5</f>
        <v>0</v>
      </c>
      <c r="AB7" s="510">
        <f>Investments_elec!AA5</f>
        <v>0</v>
      </c>
      <c r="AC7" s="510">
        <f>Investments_elec!AB5</f>
        <v>0</v>
      </c>
      <c r="AD7" s="510">
        <f>Investments_elec!AC5</f>
        <v>0</v>
      </c>
      <c r="AE7" s="510">
        <f>Investments_elec!AD5</f>
        <v>0</v>
      </c>
      <c r="AF7" s="510">
        <f>Investments_elec!AE5</f>
        <v>0</v>
      </c>
      <c r="AG7" s="510">
        <f>Investments_elec!AF5</f>
        <v>0</v>
      </c>
      <c r="AH7" s="510">
        <f>Investments_elec!AG5</f>
        <v>0</v>
      </c>
      <c r="AI7" s="510">
        <f>Investments_elec!AH5</f>
        <v>0</v>
      </c>
      <c r="AJ7" s="510">
        <f>Investments_elec!AI5</f>
        <v>0</v>
      </c>
      <c r="AK7" s="510">
        <f>Investments_elec!AJ5</f>
        <v>0</v>
      </c>
      <c r="AL7" s="510">
        <f>Investments_elec!AK5</f>
        <v>0</v>
      </c>
      <c r="AM7" s="510">
        <f>Investments_elec!AL5</f>
        <v>0</v>
      </c>
      <c r="AN7" s="510">
        <f>Investments_elec!AM5</f>
        <v>0</v>
      </c>
      <c r="AO7" s="510">
        <f>Investments_elec!AN5</f>
        <v>0</v>
      </c>
      <c r="AP7" s="510">
        <f>Investments_elec!AO5</f>
        <v>0</v>
      </c>
      <c r="AQ7" s="510">
        <f>Investments_elec!AP5</f>
        <v>0</v>
      </c>
      <c r="AR7" s="510">
        <f>Investments_elec!AQ5</f>
        <v>0</v>
      </c>
      <c r="AS7" s="510">
        <f>Investments_elec!AR5</f>
        <v>0</v>
      </c>
      <c r="AT7" s="510">
        <f>Investments_elec!AS5</f>
        <v>0</v>
      </c>
      <c r="AU7" s="510">
        <f>Investments_elec!AT5</f>
        <v>0</v>
      </c>
      <c r="AV7" s="510">
        <f>Investments_elec!AU5</f>
        <v>0</v>
      </c>
      <c r="AW7" s="510">
        <f>Investments_elec!AV5</f>
        <v>0</v>
      </c>
      <c r="AX7" s="510">
        <f>Investments_elec!AW5</f>
        <v>0</v>
      </c>
      <c r="AY7" s="510">
        <f>Investments_elec!AX5</f>
        <v>0</v>
      </c>
      <c r="AZ7" s="510">
        <f>Investments_elec!AY5</f>
        <v>0</v>
      </c>
      <c r="BA7" s="510">
        <f>Investments_elec!AZ5</f>
        <v>0</v>
      </c>
      <c r="BB7" s="510">
        <f>Investments_elec!BA5</f>
        <v>0</v>
      </c>
    </row>
    <row r="8" spans="2:64" hidden="1" x14ac:dyDescent="0.25">
      <c r="B8" s="478" t="s">
        <v>981</v>
      </c>
      <c r="C8" s="511" t="s">
        <v>979</v>
      </c>
      <c r="D8" s="512">
        <f>SUM(G8:AU8)</f>
        <v>0</v>
      </c>
      <c r="E8" s="512">
        <f t="shared" si="9"/>
        <v>0</v>
      </c>
      <c r="F8" s="478"/>
      <c r="G8" s="513">
        <f>-Investments_elec!F8</f>
        <v>0</v>
      </c>
      <c r="H8" s="513">
        <f>-Investments_elec!G8</f>
        <v>0</v>
      </c>
      <c r="I8" s="513">
        <f>-Investments_elec!H8</f>
        <v>0</v>
      </c>
      <c r="J8" s="513">
        <f>-Investments_elec!I8</f>
        <v>0</v>
      </c>
      <c r="K8" s="513">
        <f>-Investments_elec!J8</f>
        <v>0</v>
      </c>
      <c r="L8" s="513">
        <f>-Investments_elec!K8</f>
        <v>0</v>
      </c>
      <c r="M8" s="513">
        <f>-Investments_elec!L8</f>
        <v>0</v>
      </c>
      <c r="N8" s="513">
        <f>-Investments_elec!M8</f>
        <v>0</v>
      </c>
      <c r="O8" s="513">
        <f>-Investments_elec!N8</f>
        <v>0</v>
      </c>
      <c r="P8" s="513">
        <f>-Investments_elec!O8</f>
        <v>0</v>
      </c>
      <c r="Q8" s="513">
        <f>-Investments_elec!P8</f>
        <v>0</v>
      </c>
      <c r="R8" s="513">
        <f>-Investments_elec!Q8</f>
        <v>0</v>
      </c>
      <c r="S8" s="513">
        <f>-Investments_elec!R8</f>
        <v>0</v>
      </c>
      <c r="T8" s="513">
        <f>-Investments_elec!S8</f>
        <v>0</v>
      </c>
      <c r="U8" s="513">
        <f>-Investments_elec!T8</f>
        <v>0</v>
      </c>
      <c r="V8" s="513">
        <f>-Investments_elec!U8</f>
        <v>0</v>
      </c>
      <c r="W8" s="513">
        <f>-Investments_elec!V8</f>
        <v>0</v>
      </c>
      <c r="X8" s="513">
        <f>-Investments_elec!W8</f>
        <v>0</v>
      </c>
      <c r="Y8" s="513">
        <f>-Investments_elec!X8</f>
        <v>0</v>
      </c>
      <c r="Z8" s="513">
        <f>-Investments_elec!Y8</f>
        <v>0</v>
      </c>
      <c r="AA8" s="513">
        <f>-Investments_elec!Z8</f>
        <v>0</v>
      </c>
      <c r="AB8" s="513">
        <f>-Investments_elec!AA8</f>
        <v>0</v>
      </c>
      <c r="AC8" s="513">
        <f>-Investments_elec!AB8</f>
        <v>0</v>
      </c>
      <c r="AD8" s="513">
        <f>-Investments_elec!AC8</f>
        <v>0</v>
      </c>
      <c r="AE8" s="513">
        <f>-Investments_elec!AD8</f>
        <v>0</v>
      </c>
      <c r="AF8" s="513">
        <f>-Investments_elec!AE8</f>
        <v>0</v>
      </c>
      <c r="AG8" s="513">
        <f>-Investments_elec!AF8</f>
        <v>0</v>
      </c>
      <c r="AH8" s="513">
        <f>-Investments_elec!AG8</f>
        <v>0</v>
      </c>
      <c r="AI8" s="513">
        <f>-Investments_elec!AH8</f>
        <v>0</v>
      </c>
      <c r="AJ8" s="513">
        <f>-Investments_elec!AI8</f>
        <v>0</v>
      </c>
      <c r="AK8" s="513">
        <f>-Investments_elec!AJ8</f>
        <v>0</v>
      </c>
      <c r="AL8" s="513">
        <f>-Investments_elec!AK8</f>
        <v>0</v>
      </c>
      <c r="AM8" s="513">
        <f>-Investments_elec!AL8</f>
        <v>0</v>
      </c>
      <c r="AN8" s="513">
        <f>-Investments_elec!AM8</f>
        <v>0</v>
      </c>
      <c r="AO8" s="513">
        <f>-Investments_elec!AN8</f>
        <v>0</v>
      </c>
      <c r="AP8" s="513">
        <f>-Investments_elec!AO8</f>
        <v>0</v>
      </c>
      <c r="AQ8" s="513">
        <f>-Investments_elec!AP8</f>
        <v>0</v>
      </c>
      <c r="AR8" s="513">
        <f>-Investments_elec!AQ8</f>
        <v>0</v>
      </c>
      <c r="AS8" s="513">
        <f>-Investments_elec!AR8</f>
        <v>0</v>
      </c>
      <c r="AT8" s="513">
        <f>-Investments_elec!AS8</f>
        <v>0</v>
      </c>
      <c r="AU8" s="513">
        <f>-Investments_elec!AT8</f>
        <v>0</v>
      </c>
      <c r="AV8" s="513">
        <f>-Investments_elec!AU8</f>
        <v>0</v>
      </c>
      <c r="AW8" s="513">
        <f>-Investments_elec!AV8</f>
        <v>0</v>
      </c>
      <c r="AX8" s="513">
        <f>-Investments_elec!AW8</f>
        <v>0</v>
      </c>
      <c r="AY8" s="513">
        <f>-Investments_elec!AX8</f>
        <v>0</v>
      </c>
      <c r="AZ8" s="513">
        <f>-Investments_elec!AY8</f>
        <v>0</v>
      </c>
      <c r="BA8" s="513">
        <f>-Investments_elec!AZ8</f>
        <v>0</v>
      </c>
      <c r="BB8" s="513">
        <f>-Investments_elec!BA8</f>
        <v>0</v>
      </c>
    </row>
    <row r="9" spans="2:64" hidden="1" x14ac:dyDescent="0.25">
      <c r="B9" s="440"/>
      <c r="C9" s="440"/>
      <c r="D9" s="514"/>
      <c r="E9" s="514">
        <f t="shared" si="9"/>
        <v>0</v>
      </c>
      <c r="F9" s="440"/>
      <c r="G9" s="515"/>
      <c r="H9" s="515"/>
      <c r="I9" s="515"/>
      <c r="J9" s="515"/>
      <c r="K9" s="515"/>
      <c r="L9" s="515"/>
      <c r="M9" s="515"/>
      <c r="N9" s="515"/>
      <c r="O9" s="515"/>
      <c r="P9" s="515"/>
      <c r="Q9" s="515"/>
      <c r="R9" s="515"/>
      <c r="S9" s="515"/>
      <c r="T9" s="515"/>
      <c r="U9" s="515"/>
      <c r="V9" s="515"/>
      <c r="W9" s="515"/>
      <c r="X9" s="515"/>
      <c r="Y9" s="515"/>
      <c r="Z9" s="515"/>
      <c r="AA9" s="515"/>
      <c r="AB9" s="515"/>
      <c r="AC9" s="515"/>
      <c r="AD9" s="515"/>
      <c r="AE9" s="515"/>
      <c r="AF9" s="515"/>
      <c r="AG9" s="515"/>
      <c r="AH9" s="515"/>
      <c r="AI9" s="515"/>
      <c r="AJ9" s="515"/>
      <c r="AK9" s="515"/>
      <c r="AL9" s="515"/>
      <c r="AM9" s="515"/>
      <c r="AN9" s="515"/>
      <c r="AO9" s="515"/>
      <c r="AP9" s="515"/>
      <c r="AQ9" s="515"/>
      <c r="AR9" s="515"/>
      <c r="AS9" s="515"/>
      <c r="AT9" s="515"/>
      <c r="AU9" s="515"/>
      <c r="AV9" s="515"/>
      <c r="AW9" s="515"/>
      <c r="AX9" s="515"/>
      <c r="AY9" s="515"/>
      <c r="AZ9" s="515"/>
      <c r="BA9" s="515"/>
      <c r="BB9" s="515"/>
    </row>
    <row r="10" spans="2:64" hidden="1" x14ac:dyDescent="0.25">
      <c r="B10" s="309" t="s">
        <v>982</v>
      </c>
      <c r="C10" s="309" t="s">
        <v>979</v>
      </c>
      <c r="D10" s="505">
        <f>SUM(G10:AU10)</f>
        <v>0</v>
      </c>
      <c r="E10" s="505">
        <f t="shared" si="9"/>
        <v>0</v>
      </c>
      <c r="F10" s="309"/>
      <c r="G10" s="506">
        <f t="shared" ref="G10:BB10" si="12">SUM(G11:G11)</f>
        <v>0</v>
      </c>
      <c r="H10" s="506">
        <f t="shared" si="12"/>
        <v>0</v>
      </c>
      <c r="I10" s="506">
        <f t="shared" si="12"/>
        <v>0</v>
      </c>
      <c r="J10" s="506">
        <f t="shared" si="12"/>
        <v>0</v>
      </c>
      <c r="K10" s="506">
        <f t="shared" si="12"/>
        <v>0</v>
      </c>
      <c r="L10" s="506">
        <f t="shared" si="12"/>
        <v>0</v>
      </c>
      <c r="M10" s="506">
        <f t="shared" si="12"/>
        <v>0</v>
      </c>
      <c r="N10" s="506">
        <f t="shared" si="12"/>
        <v>0</v>
      </c>
      <c r="O10" s="506">
        <f t="shared" si="12"/>
        <v>0</v>
      </c>
      <c r="P10" s="506">
        <f t="shared" si="12"/>
        <v>0</v>
      </c>
      <c r="Q10" s="506">
        <f t="shared" si="12"/>
        <v>0</v>
      </c>
      <c r="R10" s="506">
        <f t="shared" si="12"/>
        <v>0</v>
      </c>
      <c r="S10" s="506">
        <f t="shared" si="12"/>
        <v>0</v>
      </c>
      <c r="T10" s="506">
        <f t="shared" si="12"/>
        <v>0</v>
      </c>
      <c r="U10" s="506">
        <f t="shared" si="12"/>
        <v>0</v>
      </c>
      <c r="V10" s="506">
        <f t="shared" si="12"/>
        <v>0</v>
      </c>
      <c r="W10" s="506">
        <f t="shared" si="12"/>
        <v>0</v>
      </c>
      <c r="X10" s="506">
        <f t="shared" si="12"/>
        <v>0</v>
      </c>
      <c r="Y10" s="506">
        <f t="shared" si="12"/>
        <v>0</v>
      </c>
      <c r="Z10" s="506">
        <f t="shared" si="12"/>
        <v>0</v>
      </c>
      <c r="AA10" s="506">
        <f t="shared" si="12"/>
        <v>0</v>
      </c>
      <c r="AB10" s="506">
        <f t="shared" si="12"/>
        <v>0</v>
      </c>
      <c r="AC10" s="506">
        <f t="shared" si="12"/>
        <v>0</v>
      </c>
      <c r="AD10" s="506">
        <f t="shared" si="12"/>
        <v>0</v>
      </c>
      <c r="AE10" s="506">
        <f t="shared" si="12"/>
        <v>0</v>
      </c>
      <c r="AF10" s="506">
        <f t="shared" si="12"/>
        <v>0</v>
      </c>
      <c r="AG10" s="506">
        <f t="shared" si="12"/>
        <v>0</v>
      </c>
      <c r="AH10" s="506">
        <f t="shared" si="12"/>
        <v>0</v>
      </c>
      <c r="AI10" s="506">
        <f t="shared" si="12"/>
        <v>0</v>
      </c>
      <c r="AJ10" s="506">
        <f t="shared" si="12"/>
        <v>0</v>
      </c>
      <c r="AK10" s="506">
        <f t="shared" si="12"/>
        <v>0</v>
      </c>
      <c r="AL10" s="506">
        <f t="shared" si="12"/>
        <v>0</v>
      </c>
      <c r="AM10" s="506">
        <f t="shared" si="12"/>
        <v>0</v>
      </c>
      <c r="AN10" s="506">
        <f t="shared" si="12"/>
        <v>0</v>
      </c>
      <c r="AO10" s="506">
        <f t="shared" si="12"/>
        <v>0</v>
      </c>
      <c r="AP10" s="506">
        <f t="shared" si="12"/>
        <v>0</v>
      </c>
      <c r="AQ10" s="506">
        <f t="shared" si="12"/>
        <v>0</v>
      </c>
      <c r="AR10" s="506">
        <f t="shared" si="12"/>
        <v>0</v>
      </c>
      <c r="AS10" s="506">
        <f t="shared" si="12"/>
        <v>0</v>
      </c>
      <c r="AT10" s="506">
        <f t="shared" si="12"/>
        <v>0</v>
      </c>
      <c r="AU10" s="506">
        <f t="shared" si="12"/>
        <v>0</v>
      </c>
      <c r="AV10" s="506">
        <f t="shared" si="12"/>
        <v>0</v>
      </c>
      <c r="AW10" s="506">
        <f t="shared" si="12"/>
        <v>0</v>
      </c>
      <c r="AX10" s="506">
        <f t="shared" si="12"/>
        <v>0</v>
      </c>
      <c r="AY10" s="506">
        <f t="shared" si="12"/>
        <v>0</v>
      </c>
      <c r="AZ10" s="506">
        <f t="shared" si="12"/>
        <v>0</v>
      </c>
      <c r="BA10" s="506">
        <f t="shared" si="12"/>
        <v>0</v>
      </c>
      <c r="BB10" s="506">
        <f t="shared" si="12"/>
        <v>0</v>
      </c>
    </row>
    <row r="11" spans="2:64" hidden="1" x14ac:dyDescent="0.25">
      <c r="B11" s="507" t="s">
        <v>4</v>
      </c>
      <c r="C11" s="508" t="s">
        <v>979</v>
      </c>
      <c r="D11" s="509">
        <f>SUM(G11:AU11)</f>
        <v>0</v>
      </c>
      <c r="E11" s="509">
        <f t="shared" si="9"/>
        <v>0</v>
      </c>
      <c r="F11" s="507"/>
      <c r="G11" s="510">
        <f>Exploitation_elec!F5</f>
        <v>0</v>
      </c>
      <c r="H11" s="510">
        <f>Exploitation_elec!G5</f>
        <v>0</v>
      </c>
      <c r="I11" s="510">
        <f>Exploitation_elec!H5</f>
        <v>0</v>
      </c>
      <c r="J11" s="510">
        <f>Exploitation_elec!I5</f>
        <v>0</v>
      </c>
      <c r="K11" s="510">
        <f>Exploitation_elec!J5</f>
        <v>0</v>
      </c>
      <c r="L11" s="510">
        <f>Exploitation_elec!K5</f>
        <v>0</v>
      </c>
      <c r="M11" s="510">
        <f>Exploitation_elec!L5</f>
        <v>0</v>
      </c>
      <c r="N11" s="510">
        <f>Exploitation_elec!M5</f>
        <v>0</v>
      </c>
      <c r="O11" s="510">
        <f>Exploitation_elec!N5</f>
        <v>0</v>
      </c>
      <c r="P11" s="510">
        <f>Exploitation_elec!O5</f>
        <v>0</v>
      </c>
      <c r="Q11" s="510">
        <f>Exploitation_elec!P5</f>
        <v>0</v>
      </c>
      <c r="R11" s="510">
        <f>Exploitation_elec!Q5</f>
        <v>0</v>
      </c>
      <c r="S11" s="510">
        <f>Exploitation_elec!R5</f>
        <v>0</v>
      </c>
      <c r="T11" s="510">
        <f>Exploitation_elec!S5</f>
        <v>0</v>
      </c>
      <c r="U11" s="510">
        <f>Exploitation_elec!T5</f>
        <v>0</v>
      </c>
      <c r="V11" s="510">
        <f>Exploitation_elec!U5</f>
        <v>0</v>
      </c>
      <c r="W11" s="510">
        <f>Exploitation_elec!V5</f>
        <v>0</v>
      </c>
      <c r="X11" s="510">
        <f>Exploitation_elec!W5</f>
        <v>0</v>
      </c>
      <c r="Y11" s="510">
        <f>Exploitation_elec!X5</f>
        <v>0</v>
      </c>
      <c r="Z11" s="510">
        <f>Exploitation_elec!Y5</f>
        <v>0</v>
      </c>
      <c r="AA11" s="510">
        <f>Exploitation_elec!Z5</f>
        <v>0</v>
      </c>
      <c r="AB11" s="510">
        <f>Exploitation_elec!AA5</f>
        <v>0</v>
      </c>
      <c r="AC11" s="510">
        <f>Exploitation_elec!AB5</f>
        <v>0</v>
      </c>
      <c r="AD11" s="510">
        <f>Exploitation_elec!AC5</f>
        <v>0</v>
      </c>
      <c r="AE11" s="510">
        <f>Exploitation_elec!AD5</f>
        <v>0</v>
      </c>
      <c r="AF11" s="510">
        <f>Exploitation_elec!AE5</f>
        <v>0</v>
      </c>
      <c r="AG11" s="510">
        <f>Exploitation_elec!AF5</f>
        <v>0</v>
      </c>
      <c r="AH11" s="510">
        <f>Exploitation_elec!AG5</f>
        <v>0</v>
      </c>
      <c r="AI11" s="510">
        <f>Exploitation_elec!AH5</f>
        <v>0</v>
      </c>
      <c r="AJ11" s="510">
        <f>Exploitation_elec!AI5</f>
        <v>0</v>
      </c>
      <c r="AK11" s="510">
        <f>Exploitation_elec!AJ5</f>
        <v>0</v>
      </c>
      <c r="AL11" s="510">
        <f>Exploitation_elec!AK5</f>
        <v>0</v>
      </c>
      <c r="AM11" s="510">
        <f>Exploitation_elec!AL5</f>
        <v>0</v>
      </c>
      <c r="AN11" s="510">
        <f>Exploitation_elec!AM5</f>
        <v>0</v>
      </c>
      <c r="AO11" s="510">
        <f>Exploitation_elec!AN5</f>
        <v>0</v>
      </c>
      <c r="AP11" s="510">
        <f>Exploitation_elec!AO5</f>
        <v>0</v>
      </c>
      <c r="AQ11" s="510">
        <f>Exploitation_elec!AP5</f>
        <v>0</v>
      </c>
      <c r="AR11" s="510">
        <f>Exploitation_elec!AQ5</f>
        <v>0</v>
      </c>
      <c r="AS11" s="510">
        <f>Exploitation_elec!AR5</f>
        <v>0</v>
      </c>
      <c r="AT11" s="510">
        <f>Exploitation_elec!AS5</f>
        <v>0</v>
      </c>
      <c r="AU11" s="510">
        <f>Exploitation_elec!AT5</f>
        <v>0</v>
      </c>
      <c r="AV11" s="510">
        <f>Exploitation_elec!AU5</f>
        <v>0</v>
      </c>
      <c r="AW11" s="510">
        <f>Exploitation_elec!AV5</f>
        <v>0</v>
      </c>
      <c r="AX11" s="510">
        <f>Exploitation_elec!AW5</f>
        <v>0</v>
      </c>
      <c r="AY11" s="510">
        <f>Exploitation_elec!AX5</f>
        <v>0</v>
      </c>
      <c r="AZ11" s="510">
        <f>Exploitation_elec!AY5</f>
        <v>0</v>
      </c>
      <c r="BA11" s="510">
        <f>Exploitation_elec!AZ5</f>
        <v>0</v>
      </c>
      <c r="BB11" s="510">
        <f>Exploitation_elec!BA5</f>
        <v>0</v>
      </c>
    </row>
    <row r="12" spans="2:64" hidden="1" x14ac:dyDescent="0.25">
      <c r="B12" s="440"/>
      <c r="C12" s="440"/>
      <c r="D12" s="514"/>
      <c r="E12" s="514">
        <f t="shared" si="9"/>
        <v>0</v>
      </c>
      <c r="F12" s="440"/>
      <c r="G12" s="515"/>
      <c r="H12" s="515"/>
      <c r="I12" s="515"/>
      <c r="J12" s="515"/>
      <c r="K12" s="515"/>
      <c r="L12" s="515"/>
      <c r="M12" s="515"/>
      <c r="N12" s="515"/>
      <c r="O12" s="515"/>
      <c r="P12" s="515"/>
      <c r="Q12" s="515"/>
      <c r="R12" s="515"/>
      <c r="S12" s="515"/>
      <c r="T12" s="515"/>
      <c r="U12" s="515"/>
      <c r="V12" s="515"/>
      <c r="W12" s="515"/>
      <c r="X12" s="515"/>
      <c r="Y12" s="515"/>
      <c r="Z12" s="515"/>
      <c r="AA12" s="515"/>
      <c r="AB12" s="515"/>
      <c r="AC12" s="515"/>
      <c r="AD12" s="515"/>
      <c r="AE12" s="515"/>
      <c r="AF12" s="515"/>
      <c r="AG12" s="515"/>
      <c r="AH12" s="515"/>
      <c r="AI12" s="515"/>
      <c r="AJ12" s="515"/>
      <c r="AK12" s="515"/>
      <c r="AL12" s="515"/>
      <c r="AM12" s="515"/>
      <c r="AN12" s="515"/>
      <c r="AO12" s="515"/>
      <c r="AP12" s="515"/>
      <c r="AQ12" s="515"/>
      <c r="AR12" s="515"/>
      <c r="AS12" s="515"/>
      <c r="AT12" s="515"/>
      <c r="AU12" s="515"/>
      <c r="AV12" s="515"/>
      <c r="AW12" s="515"/>
      <c r="AX12" s="515"/>
      <c r="AY12" s="515"/>
      <c r="AZ12" s="515"/>
      <c r="BA12" s="515"/>
      <c r="BB12" s="515"/>
    </row>
    <row r="13" spans="2:64" hidden="1" x14ac:dyDescent="0.25">
      <c r="B13" s="309" t="s">
        <v>983</v>
      </c>
      <c r="C13" s="309" t="s">
        <v>979</v>
      </c>
      <c r="D13" s="505">
        <f>SUM(G13:AU13)</f>
        <v>0</v>
      </c>
      <c r="E13" s="505">
        <f t="shared" si="9"/>
        <v>0</v>
      </c>
      <c r="F13" s="309"/>
      <c r="G13" s="506">
        <f>SUM(G14:G14)</f>
        <v>0</v>
      </c>
      <c r="H13" s="506">
        <f t="shared" ref="H13:BB13" si="13">SUM(H14:H14)</f>
        <v>0</v>
      </c>
      <c r="I13" s="506">
        <f t="shared" si="13"/>
        <v>0</v>
      </c>
      <c r="J13" s="506">
        <f t="shared" si="13"/>
        <v>0</v>
      </c>
      <c r="K13" s="506">
        <f t="shared" si="13"/>
        <v>0</v>
      </c>
      <c r="L13" s="506">
        <f t="shared" si="13"/>
        <v>0</v>
      </c>
      <c r="M13" s="506">
        <f t="shared" si="13"/>
        <v>0</v>
      </c>
      <c r="N13" s="506">
        <f t="shared" si="13"/>
        <v>0</v>
      </c>
      <c r="O13" s="506">
        <f t="shared" si="13"/>
        <v>0</v>
      </c>
      <c r="P13" s="506">
        <f t="shared" si="13"/>
        <v>0</v>
      </c>
      <c r="Q13" s="506">
        <f t="shared" si="13"/>
        <v>0</v>
      </c>
      <c r="R13" s="506">
        <f t="shared" si="13"/>
        <v>0</v>
      </c>
      <c r="S13" s="506">
        <f t="shared" si="13"/>
        <v>0</v>
      </c>
      <c r="T13" s="506">
        <f t="shared" si="13"/>
        <v>0</v>
      </c>
      <c r="U13" s="506">
        <f t="shared" si="13"/>
        <v>0</v>
      </c>
      <c r="V13" s="506">
        <f t="shared" si="13"/>
        <v>0</v>
      </c>
      <c r="W13" s="506">
        <f t="shared" si="13"/>
        <v>0</v>
      </c>
      <c r="X13" s="506">
        <f t="shared" si="13"/>
        <v>0</v>
      </c>
      <c r="Y13" s="506">
        <f t="shared" si="13"/>
        <v>0</v>
      </c>
      <c r="Z13" s="506">
        <f t="shared" si="13"/>
        <v>0</v>
      </c>
      <c r="AA13" s="506">
        <f t="shared" si="13"/>
        <v>0</v>
      </c>
      <c r="AB13" s="506">
        <f t="shared" si="13"/>
        <v>0</v>
      </c>
      <c r="AC13" s="506">
        <f t="shared" si="13"/>
        <v>0</v>
      </c>
      <c r="AD13" s="506">
        <f t="shared" si="13"/>
        <v>0</v>
      </c>
      <c r="AE13" s="506">
        <f t="shared" si="13"/>
        <v>0</v>
      </c>
      <c r="AF13" s="506">
        <f t="shared" si="13"/>
        <v>0</v>
      </c>
      <c r="AG13" s="506">
        <f t="shared" si="13"/>
        <v>0</v>
      </c>
      <c r="AH13" s="506">
        <f t="shared" si="13"/>
        <v>0</v>
      </c>
      <c r="AI13" s="506">
        <f t="shared" si="13"/>
        <v>0</v>
      </c>
      <c r="AJ13" s="506">
        <f t="shared" si="13"/>
        <v>0</v>
      </c>
      <c r="AK13" s="506">
        <f t="shared" si="13"/>
        <v>0</v>
      </c>
      <c r="AL13" s="506">
        <f t="shared" si="13"/>
        <v>0</v>
      </c>
      <c r="AM13" s="506">
        <f t="shared" si="13"/>
        <v>0</v>
      </c>
      <c r="AN13" s="506">
        <f t="shared" si="13"/>
        <v>0</v>
      </c>
      <c r="AO13" s="506">
        <f t="shared" si="13"/>
        <v>0</v>
      </c>
      <c r="AP13" s="506">
        <f t="shared" si="13"/>
        <v>0</v>
      </c>
      <c r="AQ13" s="506">
        <f t="shared" si="13"/>
        <v>0</v>
      </c>
      <c r="AR13" s="506">
        <f t="shared" si="13"/>
        <v>0</v>
      </c>
      <c r="AS13" s="506">
        <f t="shared" si="13"/>
        <v>0</v>
      </c>
      <c r="AT13" s="506">
        <f t="shared" si="13"/>
        <v>0</v>
      </c>
      <c r="AU13" s="506">
        <f t="shared" si="13"/>
        <v>0</v>
      </c>
      <c r="AV13" s="506">
        <f t="shared" si="13"/>
        <v>0</v>
      </c>
      <c r="AW13" s="506">
        <f t="shared" si="13"/>
        <v>0</v>
      </c>
      <c r="AX13" s="506">
        <f t="shared" si="13"/>
        <v>0</v>
      </c>
      <c r="AY13" s="506">
        <f t="shared" si="13"/>
        <v>0</v>
      </c>
      <c r="AZ13" s="506">
        <f t="shared" si="13"/>
        <v>0</v>
      </c>
      <c r="BA13" s="506">
        <f t="shared" si="13"/>
        <v>0</v>
      </c>
      <c r="BB13" s="506">
        <f t="shared" si="13"/>
        <v>0</v>
      </c>
    </row>
    <row r="14" spans="2:64" hidden="1" x14ac:dyDescent="0.25">
      <c r="B14" s="507" t="s">
        <v>984</v>
      </c>
      <c r="C14" s="508" t="s">
        <v>979</v>
      </c>
      <c r="D14" s="509">
        <f>SUM(G14:AU14)</f>
        <v>0</v>
      </c>
      <c r="E14" s="509">
        <f t="shared" si="9"/>
        <v>0</v>
      </c>
      <c r="F14" s="507"/>
      <c r="G14" s="509">
        <f>Revenues_elec!F4</f>
        <v>0</v>
      </c>
      <c r="H14" s="509">
        <f>Revenues_elec!G4</f>
        <v>0</v>
      </c>
      <c r="I14" s="509">
        <f>Revenues_elec!H4</f>
        <v>0</v>
      </c>
      <c r="J14" s="509">
        <f>Revenues_elec!I4</f>
        <v>0</v>
      </c>
      <c r="K14" s="509">
        <f>Revenues_elec!J4</f>
        <v>0</v>
      </c>
      <c r="L14" s="509">
        <f>Revenues_elec!K4</f>
        <v>0</v>
      </c>
      <c r="M14" s="509">
        <f>Revenues_elec!L4</f>
        <v>0</v>
      </c>
      <c r="N14" s="509">
        <f>Revenues_elec!M4</f>
        <v>0</v>
      </c>
      <c r="O14" s="509">
        <f>Revenues_elec!N4</f>
        <v>0</v>
      </c>
      <c r="P14" s="509">
        <f>Revenues_elec!O4</f>
        <v>0</v>
      </c>
      <c r="Q14" s="509">
        <f>Revenues_elec!P4</f>
        <v>0</v>
      </c>
      <c r="R14" s="509">
        <f>Revenues_elec!Q4</f>
        <v>0</v>
      </c>
      <c r="S14" s="509">
        <f>Revenues_elec!R4</f>
        <v>0</v>
      </c>
      <c r="T14" s="509">
        <f>Revenues_elec!S4</f>
        <v>0</v>
      </c>
      <c r="U14" s="509">
        <f>Revenues_elec!T4</f>
        <v>0</v>
      </c>
      <c r="V14" s="509">
        <f>Revenues_elec!U4</f>
        <v>0</v>
      </c>
      <c r="W14" s="509">
        <f>Revenues_elec!V4</f>
        <v>0</v>
      </c>
      <c r="X14" s="509">
        <f>Revenues_elec!W4</f>
        <v>0</v>
      </c>
      <c r="Y14" s="509">
        <f>Revenues_elec!X4</f>
        <v>0</v>
      </c>
      <c r="Z14" s="509">
        <f>Revenues_elec!Y4</f>
        <v>0</v>
      </c>
      <c r="AA14" s="509">
        <f>Revenues_elec!Z4</f>
        <v>0</v>
      </c>
      <c r="AB14" s="509">
        <f>Revenues_elec!AA4</f>
        <v>0</v>
      </c>
      <c r="AC14" s="509">
        <f>Revenues_elec!AB4</f>
        <v>0</v>
      </c>
      <c r="AD14" s="509">
        <f>Revenues_elec!AC4</f>
        <v>0</v>
      </c>
      <c r="AE14" s="509">
        <f>Revenues_elec!AD4</f>
        <v>0</v>
      </c>
      <c r="AF14" s="509">
        <f>Revenues_elec!AE4</f>
        <v>0</v>
      </c>
      <c r="AG14" s="509">
        <f>Revenues_elec!AF4</f>
        <v>0</v>
      </c>
      <c r="AH14" s="509">
        <f>Revenues_elec!AG4</f>
        <v>0</v>
      </c>
      <c r="AI14" s="509">
        <f>Revenues_elec!AH4</f>
        <v>0</v>
      </c>
      <c r="AJ14" s="509">
        <f>Revenues_elec!AI4</f>
        <v>0</v>
      </c>
      <c r="AK14" s="509">
        <f>Revenues_elec!AJ4</f>
        <v>0</v>
      </c>
      <c r="AL14" s="509">
        <f>Revenues_elec!AK4</f>
        <v>0</v>
      </c>
      <c r="AM14" s="509">
        <f>Revenues_elec!AL4</f>
        <v>0</v>
      </c>
      <c r="AN14" s="509">
        <f>Revenues_elec!AM4</f>
        <v>0</v>
      </c>
      <c r="AO14" s="509">
        <f>Revenues_elec!AN4</f>
        <v>0</v>
      </c>
      <c r="AP14" s="509">
        <f>Revenues_elec!AO4</f>
        <v>0</v>
      </c>
      <c r="AQ14" s="509">
        <f>Revenues_elec!AP4</f>
        <v>0</v>
      </c>
      <c r="AR14" s="509">
        <f>Revenues_elec!AQ4</f>
        <v>0</v>
      </c>
      <c r="AS14" s="509">
        <f>Revenues_elec!AR4</f>
        <v>0</v>
      </c>
      <c r="AT14" s="509">
        <f>Revenues_elec!AS4</f>
        <v>0</v>
      </c>
      <c r="AU14" s="509">
        <f>Revenues_elec!AT4</f>
        <v>0</v>
      </c>
      <c r="AV14" s="509">
        <f>Revenues_elec!AU4</f>
        <v>0</v>
      </c>
      <c r="AW14" s="509">
        <f>Revenues_elec!AV4</f>
        <v>0</v>
      </c>
      <c r="AX14" s="509">
        <f>Revenues_elec!AW4</f>
        <v>0</v>
      </c>
      <c r="AY14" s="509">
        <f>Revenues_elec!AX4</f>
        <v>0</v>
      </c>
      <c r="AZ14" s="509">
        <f>Revenues_elec!AY4</f>
        <v>0</v>
      </c>
      <c r="BA14" s="509">
        <f>Revenues_elec!AZ4</f>
        <v>0</v>
      </c>
      <c r="BB14" s="509">
        <f>Revenues_elec!BA4</f>
        <v>0</v>
      </c>
      <c r="BL14" s="165"/>
    </row>
    <row r="15" spans="2:64" hidden="1" x14ac:dyDescent="0.25">
      <c r="D15" s="516"/>
      <c r="E15" s="516">
        <f t="shared" si="9"/>
        <v>0</v>
      </c>
      <c r="G15" s="517"/>
      <c r="H15" s="517"/>
      <c r="I15" s="517"/>
      <c r="J15" s="517"/>
      <c r="K15" s="517"/>
      <c r="L15" s="517"/>
      <c r="M15" s="517"/>
      <c r="N15" s="517"/>
      <c r="O15" s="517"/>
      <c r="P15" s="517"/>
      <c r="Q15" s="517"/>
      <c r="R15" s="517"/>
      <c r="S15" s="517"/>
      <c r="T15" s="517"/>
      <c r="U15" s="517"/>
      <c r="V15" s="517"/>
      <c r="W15" s="517"/>
      <c r="X15" s="517"/>
      <c r="Y15" s="517"/>
      <c r="Z15" s="517"/>
      <c r="AA15" s="517"/>
      <c r="AB15" s="517"/>
      <c r="AC15" s="517"/>
      <c r="AD15" s="517"/>
      <c r="AE15" s="517"/>
      <c r="AF15" s="517"/>
      <c r="AG15" s="517"/>
      <c r="AH15" s="517"/>
      <c r="AI15" s="517"/>
      <c r="AJ15" s="517"/>
      <c r="AK15" s="517"/>
      <c r="AL15" s="517"/>
      <c r="AM15" s="517"/>
      <c r="AN15" s="517"/>
      <c r="AO15" s="517"/>
      <c r="AP15" s="517"/>
      <c r="AQ15" s="517"/>
      <c r="AR15" s="517"/>
      <c r="AS15" s="517"/>
      <c r="AT15" s="517"/>
      <c r="AU15" s="517"/>
      <c r="AV15" s="517"/>
      <c r="AW15" s="517"/>
      <c r="AX15" s="517"/>
      <c r="AY15" s="517"/>
      <c r="AZ15" s="517"/>
      <c r="BA15" s="517"/>
      <c r="BB15" s="517"/>
    </row>
    <row r="16" spans="2:64" hidden="1" x14ac:dyDescent="0.25">
      <c r="B16" s="518" t="s">
        <v>84</v>
      </c>
      <c r="C16" s="518" t="s">
        <v>979</v>
      </c>
      <c r="D16" s="519">
        <f>SUM(G16:AU16)</f>
        <v>0</v>
      </c>
      <c r="E16" s="519">
        <f t="shared" si="9"/>
        <v>0</v>
      </c>
      <c r="F16" s="518"/>
      <c r="G16" s="520">
        <f t="shared" ref="G16:AU16" si="14">G6+G10+G13</f>
        <v>0</v>
      </c>
      <c r="H16" s="520">
        <f t="shared" si="14"/>
        <v>0</v>
      </c>
      <c r="I16" s="520">
        <f t="shared" si="14"/>
        <v>0</v>
      </c>
      <c r="J16" s="520">
        <f t="shared" si="14"/>
        <v>0</v>
      </c>
      <c r="K16" s="520">
        <f t="shared" si="14"/>
        <v>0</v>
      </c>
      <c r="L16" s="520">
        <f t="shared" si="14"/>
        <v>0</v>
      </c>
      <c r="M16" s="520">
        <f t="shared" si="14"/>
        <v>0</v>
      </c>
      <c r="N16" s="520">
        <f t="shared" si="14"/>
        <v>0</v>
      </c>
      <c r="O16" s="520">
        <f t="shared" si="14"/>
        <v>0</v>
      </c>
      <c r="P16" s="520">
        <f t="shared" si="14"/>
        <v>0</v>
      </c>
      <c r="Q16" s="520">
        <f t="shared" si="14"/>
        <v>0</v>
      </c>
      <c r="R16" s="520">
        <f t="shared" si="14"/>
        <v>0</v>
      </c>
      <c r="S16" s="520">
        <f t="shared" si="14"/>
        <v>0</v>
      </c>
      <c r="T16" s="520">
        <f t="shared" si="14"/>
        <v>0</v>
      </c>
      <c r="U16" s="520">
        <f t="shared" si="14"/>
        <v>0</v>
      </c>
      <c r="V16" s="520">
        <f t="shared" si="14"/>
        <v>0</v>
      </c>
      <c r="W16" s="520">
        <f t="shared" si="14"/>
        <v>0</v>
      </c>
      <c r="X16" s="520">
        <f t="shared" si="14"/>
        <v>0</v>
      </c>
      <c r="Y16" s="520">
        <f t="shared" si="14"/>
        <v>0</v>
      </c>
      <c r="Z16" s="520">
        <f t="shared" si="14"/>
        <v>0</v>
      </c>
      <c r="AA16" s="520">
        <f t="shared" si="14"/>
        <v>0</v>
      </c>
      <c r="AB16" s="520">
        <f t="shared" si="14"/>
        <v>0</v>
      </c>
      <c r="AC16" s="520">
        <f t="shared" si="14"/>
        <v>0</v>
      </c>
      <c r="AD16" s="520">
        <f t="shared" si="14"/>
        <v>0</v>
      </c>
      <c r="AE16" s="520">
        <f t="shared" si="14"/>
        <v>0</v>
      </c>
      <c r="AF16" s="520">
        <f t="shared" si="14"/>
        <v>0</v>
      </c>
      <c r="AG16" s="520">
        <f t="shared" si="14"/>
        <v>0</v>
      </c>
      <c r="AH16" s="520">
        <f t="shared" si="14"/>
        <v>0</v>
      </c>
      <c r="AI16" s="520">
        <f t="shared" si="14"/>
        <v>0</v>
      </c>
      <c r="AJ16" s="520">
        <f t="shared" si="14"/>
        <v>0</v>
      </c>
      <c r="AK16" s="520">
        <f t="shared" si="14"/>
        <v>0</v>
      </c>
      <c r="AL16" s="520">
        <f t="shared" si="14"/>
        <v>0</v>
      </c>
      <c r="AM16" s="520">
        <f t="shared" si="14"/>
        <v>0</v>
      </c>
      <c r="AN16" s="520">
        <f t="shared" si="14"/>
        <v>0</v>
      </c>
      <c r="AO16" s="520">
        <f t="shared" si="14"/>
        <v>0</v>
      </c>
      <c r="AP16" s="520">
        <f t="shared" si="14"/>
        <v>0</v>
      </c>
      <c r="AQ16" s="520">
        <f t="shared" si="14"/>
        <v>0</v>
      </c>
      <c r="AR16" s="520">
        <f t="shared" si="14"/>
        <v>0</v>
      </c>
      <c r="AS16" s="520">
        <f t="shared" si="14"/>
        <v>0</v>
      </c>
      <c r="AT16" s="520">
        <f t="shared" si="14"/>
        <v>0</v>
      </c>
      <c r="AU16" s="520">
        <f t="shared" si="14"/>
        <v>0</v>
      </c>
      <c r="AV16" s="520">
        <f t="shared" ref="AV16:BB16" si="15">AV6+AV10+AV13</f>
        <v>0</v>
      </c>
      <c r="AW16" s="520">
        <f t="shared" si="15"/>
        <v>0</v>
      </c>
      <c r="AX16" s="520">
        <f t="shared" si="15"/>
        <v>0</v>
      </c>
      <c r="AY16" s="520">
        <f t="shared" si="15"/>
        <v>0</v>
      </c>
      <c r="AZ16" s="520">
        <f t="shared" si="15"/>
        <v>0</v>
      </c>
      <c r="BA16" s="520">
        <f t="shared" si="15"/>
        <v>0</v>
      </c>
      <c r="BB16" s="520">
        <f t="shared" si="15"/>
        <v>0</v>
      </c>
    </row>
    <row r="17" spans="1:54" hidden="1" x14ac:dyDescent="0.25">
      <c r="B17" s="474" t="s">
        <v>985</v>
      </c>
      <c r="C17" s="521" t="s">
        <v>979</v>
      </c>
      <c r="D17" s="522">
        <f>SUM(G17:AU17)</f>
        <v>0</v>
      </c>
      <c r="E17" s="522"/>
      <c r="G17" s="523">
        <f t="shared" ref="G17:AU17" si="16">G16/(1+$C$22)^(G5-$G5)</f>
        <v>0</v>
      </c>
      <c r="H17" s="523">
        <f t="shared" si="16"/>
        <v>0</v>
      </c>
      <c r="I17" s="523">
        <f t="shared" si="16"/>
        <v>0</v>
      </c>
      <c r="J17" s="523">
        <f t="shared" si="16"/>
        <v>0</v>
      </c>
      <c r="K17" s="523">
        <f t="shared" si="16"/>
        <v>0</v>
      </c>
      <c r="L17" s="523">
        <f t="shared" si="16"/>
        <v>0</v>
      </c>
      <c r="M17" s="523">
        <f t="shared" si="16"/>
        <v>0</v>
      </c>
      <c r="N17" s="523">
        <f t="shared" si="16"/>
        <v>0</v>
      </c>
      <c r="O17" s="523">
        <f t="shared" si="16"/>
        <v>0</v>
      </c>
      <c r="P17" s="523">
        <f t="shared" si="16"/>
        <v>0</v>
      </c>
      <c r="Q17" s="523">
        <f t="shared" si="16"/>
        <v>0</v>
      </c>
      <c r="R17" s="523">
        <f t="shared" si="16"/>
        <v>0</v>
      </c>
      <c r="S17" s="523">
        <f t="shared" si="16"/>
        <v>0</v>
      </c>
      <c r="T17" s="523">
        <f t="shared" si="16"/>
        <v>0</v>
      </c>
      <c r="U17" s="523">
        <f t="shared" si="16"/>
        <v>0</v>
      </c>
      <c r="V17" s="523">
        <f t="shared" si="16"/>
        <v>0</v>
      </c>
      <c r="W17" s="523">
        <f t="shared" si="16"/>
        <v>0</v>
      </c>
      <c r="X17" s="523">
        <f t="shared" si="16"/>
        <v>0</v>
      </c>
      <c r="Y17" s="523">
        <f t="shared" si="16"/>
        <v>0</v>
      </c>
      <c r="Z17" s="523">
        <f t="shared" si="16"/>
        <v>0</v>
      </c>
      <c r="AA17" s="523">
        <f t="shared" si="16"/>
        <v>0</v>
      </c>
      <c r="AB17" s="523">
        <f t="shared" si="16"/>
        <v>0</v>
      </c>
      <c r="AC17" s="523">
        <f t="shared" si="16"/>
        <v>0</v>
      </c>
      <c r="AD17" s="523">
        <f t="shared" si="16"/>
        <v>0</v>
      </c>
      <c r="AE17" s="523">
        <f t="shared" si="16"/>
        <v>0</v>
      </c>
      <c r="AF17" s="523">
        <f t="shared" si="16"/>
        <v>0</v>
      </c>
      <c r="AG17" s="523">
        <f t="shared" si="16"/>
        <v>0</v>
      </c>
      <c r="AH17" s="523">
        <f t="shared" si="16"/>
        <v>0</v>
      </c>
      <c r="AI17" s="523">
        <f t="shared" si="16"/>
        <v>0</v>
      </c>
      <c r="AJ17" s="523">
        <f t="shared" si="16"/>
        <v>0</v>
      </c>
      <c r="AK17" s="523">
        <f t="shared" si="16"/>
        <v>0</v>
      </c>
      <c r="AL17" s="523">
        <f t="shared" si="16"/>
        <v>0</v>
      </c>
      <c r="AM17" s="523">
        <f t="shared" si="16"/>
        <v>0</v>
      </c>
      <c r="AN17" s="523">
        <f t="shared" si="16"/>
        <v>0</v>
      </c>
      <c r="AO17" s="523">
        <f t="shared" si="16"/>
        <v>0</v>
      </c>
      <c r="AP17" s="523">
        <f t="shared" si="16"/>
        <v>0</v>
      </c>
      <c r="AQ17" s="523">
        <f t="shared" si="16"/>
        <v>0</v>
      </c>
      <c r="AR17" s="523">
        <f t="shared" si="16"/>
        <v>0</v>
      </c>
      <c r="AS17" s="523">
        <f t="shared" si="16"/>
        <v>0</v>
      </c>
      <c r="AT17" s="523">
        <f t="shared" si="16"/>
        <v>0</v>
      </c>
      <c r="AU17" s="523">
        <f t="shared" si="16"/>
        <v>0</v>
      </c>
      <c r="AV17" s="523">
        <f t="shared" ref="AV17:BB17" si="17">AV16/(1+$C$22)^(AV5-$G5)</f>
        <v>0</v>
      </c>
      <c r="AW17" s="523">
        <f t="shared" si="17"/>
        <v>0</v>
      </c>
      <c r="AX17" s="523">
        <f t="shared" si="17"/>
        <v>0</v>
      </c>
      <c r="AY17" s="523">
        <f t="shared" si="17"/>
        <v>0</v>
      </c>
      <c r="AZ17" s="523">
        <f t="shared" si="17"/>
        <v>0</v>
      </c>
      <c r="BA17" s="523">
        <f t="shared" si="17"/>
        <v>0</v>
      </c>
      <c r="BB17" s="523">
        <f t="shared" si="17"/>
        <v>0</v>
      </c>
    </row>
    <row r="18" spans="1:54" hidden="1" x14ac:dyDescent="0.25">
      <c r="C18" s="524"/>
      <c r="D18" s="525"/>
      <c r="E18" s="525"/>
      <c r="G18" s="523"/>
      <c r="H18" s="523"/>
      <c r="I18" s="523"/>
      <c r="J18" s="523"/>
      <c r="K18" s="523"/>
      <c r="L18" s="523"/>
      <c r="M18" s="523"/>
      <c r="N18" s="523"/>
      <c r="O18" s="523"/>
      <c r="P18" s="523"/>
      <c r="Q18" s="523"/>
      <c r="R18" s="523"/>
      <c r="S18" s="523"/>
      <c r="T18" s="523"/>
      <c r="U18" s="523"/>
      <c r="V18" s="523"/>
      <c r="W18" s="523"/>
      <c r="X18" s="523"/>
      <c r="Y18" s="523"/>
      <c r="Z18" s="523"/>
      <c r="AA18" s="523"/>
      <c r="AB18" s="523"/>
      <c r="AC18" s="523"/>
      <c r="AD18" s="523"/>
      <c r="AE18" s="523"/>
      <c r="AF18" s="523"/>
      <c r="AG18" s="523"/>
      <c r="AH18" s="523"/>
      <c r="AI18" s="523"/>
      <c r="AJ18" s="523"/>
      <c r="AK18" s="523"/>
      <c r="AL18" s="523"/>
      <c r="AM18" s="523"/>
      <c r="AN18" s="523"/>
      <c r="AO18" s="523"/>
      <c r="AP18" s="523"/>
      <c r="AQ18" s="523"/>
      <c r="AR18" s="523"/>
      <c r="AS18" s="523"/>
      <c r="AT18" s="523"/>
      <c r="AU18" s="523"/>
      <c r="AV18" s="523"/>
      <c r="AW18" s="523"/>
      <c r="AX18" s="523"/>
      <c r="AY18" s="523"/>
      <c r="AZ18" s="523"/>
      <c r="BA18" s="523"/>
      <c r="BB18" s="523"/>
    </row>
    <row r="19" spans="1:54" hidden="1" x14ac:dyDescent="0.25">
      <c r="B19" s="437" t="s">
        <v>986</v>
      </c>
      <c r="C19" s="511" t="s">
        <v>979</v>
      </c>
      <c r="D19" s="526"/>
      <c r="E19" s="526"/>
      <c r="F19" s="527"/>
      <c r="G19" s="527">
        <f>SUM($G16:G16)</f>
        <v>0</v>
      </c>
      <c r="H19" s="527">
        <f>SUM($G16:H16)</f>
        <v>0</v>
      </c>
      <c r="I19" s="527">
        <f>SUM($G16:I16)</f>
        <v>0</v>
      </c>
      <c r="J19" s="527">
        <f>SUM($G16:J16)</f>
        <v>0</v>
      </c>
      <c r="K19" s="527">
        <f>SUM($G16:K16)</f>
        <v>0</v>
      </c>
      <c r="L19" s="527">
        <f>SUM($G16:L16)</f>
        <v>0</v>
      </c>
      <c r="M19" s="527">
        <f>SUM($G16:M16)</f>
        <v>0</v>
      </c>
      <c r="N19" s="527">
        <f>SUM($G16:N16)</f>
        <v>0</v>
      </c>
      <c r="O19" s="527">
        <f>SUM($G16:O16)</f>
        <v>0</v>
      </c>
      <c r="P19" s="527">
        <f>SUM($G16:P16)</f>
        <v>0</v>
      </c>
      <c r="Q19" s="527">
        <f>SUM($G16:Q16)</f>
        <v>0</v>
      </c>
      <c r="R19" s="527">
        <f>SUM($G16:R16)</f>
        <v>0</v>
      </c>
      <c r="S19" s="527">
        <f>SUM($G16:S16)</f>
        <v>0</v>
      </c>
      <c r="T19" s="527">
        <f>SUM($G16:T16)</f>
        <v>0</v>
      </c>
      <c r="U19" s="527">
        <f>SUM($G16:U16)</f>
        <v>0</v>
      </c>
      <c r="V19" s="527">
        <f>SUM($G16:V16)</f>
        <v>0</v>
      </c>
      <c r="W19" s="527">
        <f>SUM($G16:W16)</f>
        <v>0</v>
      </c>
      <c r="X19" s="527">
        <f>SUM($G16:X16)</f>
        <v>0</v>
      </c>
      <c r="Y19" s="527">
        <f>SUM($G16:Y16)</f>
        <v>0</v>
      </c>
      <c r="Z19" s="527">
        <f>SUM($G16:Z16)</f>
        <v>0</v>
      </c>
      <c r="AA19" s="527">
        <f>SUM($G16:AA16)</f>
        <v>0</v>
      </c>
      <c r="AB19" s="527">
        <f>SUM($G16:AB16)</f>
        <v>0</v>
      </c>
      <c r="AC19" s="527">
        <f>SUM($G16:AC16)</f>
        <v>0</v>
      </c>
      <c r="AD19" s="527">
        <f>SUM($G16:AD16)</f>
        <v>0</v>
      </c>
      <c r="AE19" s="527">
        <f>SUM($G16:AE16)</f>
        <v>0</v>
      </c>
      <c r="AF19" s="527">
        <f>SUM($G16:AF16)</f>
        <v>0</v>
      </c>
      <c r="AG19" s="527">
        <f>SUM($G16:AG16)</f>
        <v>0</v>
      </c>
      <c r="AH19" s="527">
        <f>SUM($G16:AH16)</f>
        <v>0</v>
      </c>
      <c r="AI19" s="527">
        <f>SUM($G16:AI16)</f>
        <v>0</v>
      </c>
      <c r="AJ19" s="527">
        <f>SUM($G16:AJ16)</f>
        <v>0</v>
      </c>
      <c r="AK19" s="527">
        <f>SUM($G16:AK16)</f>
        <v>0</v>
      </c>
      <c r="AL19" s="527">
        <f>SUM($G16:AL16)</f>
        <v>0</v>
      </c>
      <c r="AM19" s="527">
        <f>SUM($G16:AM16)</f>
        <v>0</v>
      </c>
      <c r="AN19" s="527">
        <f>SUM($G16:AN16)</f>
        <v>0</v>
      </c>
      <c r="AO19" s="527">
        <f>SUM($G16:AO16)</f>
        <v>0</v>
      </c>
      <c r="AP19" s="527">
        <f>SUM($G16:AP16)</f>
        <v>0</v>
      </c>
      <c r="AQ19" s="527">
        <f>SUM($G16:AQ16)</f>
        <v>0</v>
      </c>
      <c r="AR19" s="527">
        <f>SUM($G16:AR16)</f>
        <v>0</v>
      </c>
      <c r="AS19" s="527">
        <f>SUM($G16:AS16)</f>
        <v>0</v>
      </c>
      <c r="AT19" s="527">
        <f>SUM($G16:AT16)</f>
        <v>0</v>
      </c>
      <c r="AU19" s="527">
        <f>SUM($G16:AU16)</f>
        <v>0</v>
      </c>
      <c r="AV19" s="527">
        <f>SUM($G16:AV16)</f>
        <v>0</v>
      </c>
      <c r="AW19" s="527">
        <f>SUM($G16:AW16)</f>
        <v>0</v>
      </c>
      <c r="AX19" s="527">
        <f>SUM($G16:AX16)</f>
        <v>0</v>
      </c>
      <c r="AY19" s="527">
        <f>SUM($G16:AY16)</f>
        <v>0</v>
      </c>
      <c r="AZ19" s="527">
        <f>SUM($G16:AZ16)</f>
        <v>0</v>
      </c>
      <c r="BA19" s="527">
        <f>SUM($G16:BA16)</f>
        <v>0</v>
      </c>
      <c r="BB19" s="527">
        <f>SUM($G16:BB16)</f>
        <v>0</v>
      </c>
    </row>
    <row r="20" spans="1:54" hidden="1" x14ac:dyDescent="0.25">
      <c r="B20" s="437" t="s">
        <v>987</v>
      </c>
      <c r="C20" s="511" t="s">
        <v>979</v>
      </c>
      <c r="D20" s="526"/>
      <c r="E20" s="526"/>
      <c r="F20" s="527"/>
      <c r="G20" s="528">
        <f>SUM($G17:G17)</f>
        <v>0</v>
      </c>
      <c r="H20" s="528">
        <f>SUM($G17:H17)</f>
        <v>0</v>
      </c>
      <c r="I20" s="528">
        <f>SUM($G17:I17)</f>
        <v>0</v>
      </c>
      <c r="J20" s="528">
        <f>SUM($G17:J17)</f>
        <v>0</v>
      </c>
      <c r="K20" s="528">
        <f>SUM($G17:K17)</f>
        <v>0</v>
      </c>
      <c r="L20" s="528">
        <f>SUM($G17:L17)</f>
        <v>0</v>
      </c>
      <c r="M20" s="528">
        <f>SUM($G17:M17)</f>
        <v>0</v>
      </c>
      <c r="N20" s="528">
        <f>SUM($G17:N17)</f>
        <v>0</v>
      </c>
      <c r="O20" s="528">
        <f>SUM($G17:O17)</f>
        <v>0</v>
      </c>
      <c r="P20" s="528">
        <f>SUM($G17:P17)</f>
        <v>0</v>
      </c>
      <c r="Q20" s="528">
        <f>SUM($G17:Q17)</f>
        <v>0</v>
      </c>
      <c r="R20" s="528">
        <f>SUM($G17:R17)</f>
        <v>0</v>
      </c>
      <c r="S20" s="528">
        <f>SUM($G17:S17)</f>
        <v>0</v>
      </c>
      <c r="T20" s="528">
        <f>SUM($G17:T17)</f>
        <v>0</v>
      </c>
      <c r="U20" s="528">
        <f>SUM($G17:U17)</f>
        <v>0</v>
      </c>
      <c r="V20" s="528">
        <f>SUM($G17:V17)</f>
        <v>0</v>
      </c>
      <c r="W20" s="528">
        <f>SUM($G17:W17)</f>
        <v>0</v>
      </c>
      <c r="X20" s="528">
        <f>SUM($G17:X17)</f>
        <v>0</v>
      </c>
      <c r="Y20" s="528">
        <f>SUM($G17:Y17)</f>
        <v>0</v>
      </c>
      <c r="Z20" s="528">
        <f>SUM($G17:Z17)</f>
        <v>0</v>
      </c>
      <c r="AA20" s="528">
        <f>SUM($G17:AA17)</f>
        <v>0</v>
      </c>
      <c r="AB20" s="528">
        <f>SUM($G17:AB17)</f>
        <v>0</v>
      </c>
      <c r="AC20" s="528">
        <f>SUM($G17:AC17)</f>
        <v>0</v>
      </c>
      <c r="AD20" s="528">
        <f>SUM($G17:AD17)</f>
        <v>0</v>
      </c>
      <c r="AE20" s="528">
        <f>SUM($G17:AE17)</f>
        <v>0</v>
      </c>
      <c r="AF20" s="528">
        <f>SUM($G17:AF17)</f>
        <v>0</v>
      </c>
      <c r="AG20" s="528">
        <f>SUM($G17:AG17)</f>
        <v>0</v>
      </c>
      <c r="AH20" s="528">
        <f>SUM($G17:AH17)</f>
        <v>0</v>
      </c>
      <c r="AI20" s="528">
        <f>SUM($G17:AI17)</f>
        <v>0</v>
      </c>
      <c r="AJ20" s="528">
        <f>SUM($G17:AJ17)</f>
        <v>0</v>
      </c>
      <c r="AK20" s="528">
        <f>SUM($G17:AK17)</f>
        <v>0</v>
      </c>
      <c r="AL20" s="528">
        <f>SUM($G17:AL17)</f>
        <v>0</v>
      </c>
      <c r="AM20" s="528">
        <f>SUM($G17:AM17)</f>
        <v>0</v>
      </c>
      <c r="AN20" s="528">
        <f>SUM($G17:AN17)</f>
        <v>0</v>
      </c>
      <c r="AO20" s="528">
        <f>SUM($G17:AO17)</f>
        <v>0</v>
      </c>
      <c r="AP20" s="528">
        <f>SUM($G17:AP17)</f>
        <v>0</v>
      </c>
      <c r="AQ20" s="528">
        <f>SUM($G17:AQ17)</f>
        <v>0</v>
      </c>
      <c r="AR20" s="528">
        <f>SUM($G17:AR17)</f>
        <v>0</v>
      </c>
      <c r="AS20" s="528">
        <f>SUM($G17:AS17)</f>
        <v>0</v>
      </c>
      <c r="AT20" s="528">
        <f>SUM($G17:AT17)</f>
        <v>0</v>
      </c>
      <c r="AU20" s="528">
        <f>SUM($G17:AU17)</f>
        <v>0</v>
      </c>
      <c r="AV20" s="528">
        <f>SUM($G17:AV17)</f>
        <v>0</v>
      </c>
      <c r="AW20" s="528">
        <f>SUM($G17:AW17)</f>
        <v>0</v>
      </c>
      <c r="AX20" s="528">
        <f>SUM($G17:AX17)</f>
        <v>0</v>
      </c>
      <c r="AY20" s="528">
        <f>SUM($G17:AY17)</f>
        <v>0</v>
      </c>
      <c r="AZ20" s="528">
        <f>SUM($G17:AZ17)</f>
        <v>0</v>
      </c>
      <c r="BA20" s="528">
        <f>SUM($G17:BA17)</f>
        <v>0</v>
      </c>
      <c r="BB20" s="528">
        <f>SUM($G17:BB17)</f>
        <v>0</v>
      </c>
    </row>
    <row r="21" spans="1:54" hidden="1" x14ac:dyDescent="0.25">
      <c r="C21" s="524"/>
      <c r="D21" s="525"/>
      <c r="E21" s="525"/>
      <c r="G21" s="523"/>
      <c r="H21" s="523"/>
      <c r="I21" s="523"/>
      <c r="J21" s="523"/>
      <c r="K21" s="523"/>
      <c r="L21" s="523"/>
      <c r="M21" s="523"/>
      <c r="N21" s="523"/>
      <c r="O21" s="523"/>
      <c r="P21" s="523"/>
      <c r="Q21" s="523"/>
      <c r="R21" s="523"/>
      <c r="S21" s="523"/>
      <c r="T21" s="523"/>
      <c r="U21" s="523"/>
      <c r="V21" s="523"/>
      <c r="W21" s="523"/>
      <c r="X21" s="523"/>
      <c r="Y21" s="523"/>
      <c r="Z21" s="523"/>
      <c r="AA21" s="523"/>
      <c r="AB21" s="523"/>
      <c r="AC21" s="523"/>
      <c r="AD21" s="523"/>
      <c r="AE21" s="523"/>
      <c r="AF21" s="523"/>
      <c r="AG21" s="523"/>
      <c r="AH21" s="523"/>
      <c r="AI21" s="523"/>
      <c r="AJ21" s="523"/>
      <c r="AK21" s="523"/>
      <c r="AL21" s="523"/>
      <c r="AM21" s="523"/>
      <c r="AN21" s="523"/>
      <c r="AO21" s="523"/>
      <c r="AP21" s="523"/>
      <c r="AQ21" s="523"/>
      <c r="AR21" s="523"/>
      <c r="AS21" s="523"/>
      <c r="AT21" s="523"/>
      <c r="AU21" s="523"/>
      <c r="AV21" s="523"/>
      <c r="AW21" s="523"/>
      <c r="AX21" s="523"/>
      <c r="AY21" s="523"/>
      <c r="AZ21" s="523"/>
      <c r="BA21" s="523"/>
      <c r="BB21" s="523"/>
    </row>
    <row r="22" spans="1:54" hidden="1" x14ac:dyDescent="0.25">
      <c r="B22" s="165" t="s">
        <v>713</v>
      </c>
      <c r="C22" s="529">
        <f>electrification_input!$D$14</f>
        <v>0.1</v>
      </c>
      <c r="D22" s="527" t="s">
        <v>988</v>
      </c>
      <c r="E22" s="527">
        <f>SUMPRODUCT((G20:AU20&gt;G$19:AU$19)*1)+1</f>
        <v>1</v>
      </c>
      <c r="F22" s="527" t="s">
        <v>111</v>
      </c>
      <c r="H22" s="517"/>
      <c r="I22" s="517"/>
      <c r="J22" s="517"/>
      <c r="K22" s="517"/>
      <c r="L22" s="517"/>
      <c r="M22" s="517"/>
      <c r="N22" s="517"/>
      <c r="O22" s="517"/>
      <c r="P22" s="517"/>
      <c r="Q22" s="517"/>
      <c r="R22" s="517"/>
      <c r="S22" s="517"/>
      <c r="T22" s="517"/>
      <c r="U22" s="517"/>
      <c r="V22" s="517"/>
      <c r="W22" s="517"/>
      <c r="X22" s="517"/>
      <c r="Y22" s="517"/>
      <c r="Z22" s="517"/>
      <c r="AA22" s="517"/>
      <c r="AB22" s="517"/>
      <c r="AC22" s="517"/>
      <c r="AD22" s="517"/>
      <c r="AE22" s="517"/>
      <c r="AF22" s="517"/>
      <c r="AG22" s="517"/>
      <c r="AH22" s="517"/>
      <c r="AI22" s="517"/>
      <c r="AJ22" s="517"/>
      <c r="AK22" s="517"/>
      <c r="AL22" s="517"/>
      <c r="AM22" s="517"/>
      <c r="AN22" s="517"/>
      <c r="AO22" s="517"/>
      <c r="AP22" s="517"/>
    </row>
    <row r="23" spans="1:54" x14ac:dyDescent="0.25">
      <c r="D23" s="990">
        <v>-45800.499390515339</v>
      </c>
      <c r="E23" s="990">
        <v>-34410.593080777857</v>
      </c>
    </row>
    <row r="24" spans="1:54" ht="15.75" x14ac:dyDescent="0.25">
      <c r="B24" s="501" t="str">
        <f>"Electrification Scenario: "&amp;Parameters!$D$6</f>
        <v>Electrification Scenario: P15 Scenario 1</v>
      </c>
      <c r="C24" s="501"/>
      <c r="D24" s="502"/>
      <c r="E24" s="503" t="s">
        <v>977</v>
      </c>
      <c r="F24" s="502"/>
      <c r="G24" s="446">
        <f t="shared" ref="G24:BB24" si="18">G5</f>
        <v>2018</v>
      </c>
      <c r="H24" s="446">
        <f t="shared" si="18"/>
        <v>2019</v>
      </c>
      <c r="I24" s="446">
        <f t="shared" si="18"/>
        <v>2020</v>
      </c>
      <c r="J24" s="446">
        <f t="shared" si="18"/>
        <v>2021</v>
      </c>
      <c r="K24" s="446">
        <f t="shared" si="18"/>
        <v>2022</v>
      </c>
      <c r="L24" s="446">
        <f t="shared" si="18"/>
        <v>2023</v>
      </c>
      <c r="M24" s="446">
        <f t="shared" si="18"/>
        <v>2024</v>
      </c>
      <c r="N24" s="446">
        <f t="shared" si="18"/>
        <v>2025</v>
      </c>
      <c r="O24" s="446">
        <f t="shared" si="18"/>
        <v>2026</v>
      </c>
      <c r="P24" s="446">
        <f t="shared" si="18"/>
        <v>2027</v>
      </c>
      <c r="Q24" s="446">
        <f t="shared" si="18"/>
        <v>2028</v>
      </c>
      <c r="R24" s="446">
        <f t="shared" si="18"/>
        <v>2029</v>
      </c>
      <c r="S24" s="446">
        <f t="shared" si="18"/>
        <v>2030</v>
      </c>
      <c r="T24" s="446">
        <f t="shared" si="18"/>
        <v>2031</v>
      </c>
      <c r="U24" s="446">
        <f t="shared" si="18"/>
        <v>2032</v>
      </c>
      <c r="V24" s="446">
        <f t="shared" si="18"/>
        <v>2033</v>
      </c>
      <c r="W24" s="446">
        <f t="shared" si="18"/>
        <v>2034</v>
      </c>
      <c r="X24" s="446">
        <f t="shared" si="18"/>
        <v>2035</v>
      </c>
      <c r="Y24" s="446">
        <f t="shared" si="18"/>
        <v>2036</v>
      </c>
      <c r="Z24" s="446">
        <f t="shared" si="18"/>
        <v>2037</v>
      </c>
      <c r="AA24" s="446">
        <f t="shared" si="18"/>
        <v>2038</v>
      </c>
      <c r="AB24" s="446">
        <f t="shared" si="18"/>
        <v>2039</v>
      </c>
      <c r="AC24" s="446">
        <f t="shared" si="18"/>
        <v>2040</v>
      </c>
      <c r="AD24" s="446">
        <f t="shared" si="18"/>
        <v>2041</v>
      </c>
      <c r="AE24" s="446">
        <f t="shared" si="18"/>
        <v>2042</v>
      </c>
      <c r="AF24" s="446">
        <f t="shared" si="18"/>
        <v>2043</v>
      </c>
      <c r="AG24" s="446">
        <f t="shared" si="18"/>
        <v>2044</v>
      </c>
      <c r="AH24" s="446">
        <f t="shared" si="18"/>
        <v>2045</v>
      </c>
      <c r="AI24" s="446">
        <f t="shared" si="18"/>
        <v>2046</v>
      </c>
      <c r="AJ24" s="446">
        <f t="shared" si="18"/>
        <v>2047</v>
      </c>
      <c r="AK24" s="446">
        <f t="shared" si="18"/>
        <v>2048</v>
      </c>
      <c r="AL24" s="446">
        <f t="shared" si="18"/>
        <v>2049</v>
      </c>
      <c r="AM24" s="446">
        <f t="shared" si="18"/>
        <v>2050</v>
      </c>
      <c r="AN24" s="446">
        <f t="shared" si="18"/>
        <v>2051</v>
      </c>
      <c r="AO24" s="446">
        <f t="shared" si="18"/>
        <v>2052</v>
      </c>
      <c r="AP24" s="446">
        <f t="shared" si="18"/>
        <v>2053</v>
      </c>
      <c r="AQ24" s="446">
        <f t="shared" si="18"/>
        <v>2054</v>
      </c>
      <c r="AR24" s="446">
        <f t="shared" si="18"/>
        <v>2055</v>
      </c>
      <c r="AS24" s="446">
        <f t="shared" si="18"/>
        <v>2056</v>
      </c>
      <c r="AT24" s="446">
        <f t="shared" si="18"/>
        <v>2057</v>
      </c>
      <c r="AU24" s="446">
        <f t="shared" si="18"/>
        <v>2058</v>
      </c>
      <c r="AV24" s="446">
        <f t="shared" si="18"/>
        <v>2059</v>
      </c>
      <c r="AW24" s="446">
        <f t="shared" si="18"/>
        <v>2060</v>
      </c>
      <c r="AX24" s="446">
        <f t="shared" si="18"/>
        <v>2061</v>
      </c>
      <c r="AY24" s="446">
        <f t="shared" si="18"/>
        <v>2062</v>
      </c>
      <c r="AZ24" s="446">
        <f t="shared" si="18"/>
        <v>2063</v>
      </c>
      <c r="BA24" s="446">
        <f t="shared" si="18"/>
        <v>2064</v>
      </c>
      <c r="BB24" s="446">
        <f t="shared" si="18"/>
        <v>2065</v>
      </c>
    </row>
    <row r="25" spans="1:54" x14ac:dyDescent="0.25">
      <c r="B25" s="309" t="s">
        <v>978</v>
      </c>
      <c r="C25" s="309" t="s">
        <v>979</v>
      </c>
      <c r="D25" s="530">
        <f>SUM(G25:BB25)</f>
        <v>-64189.426769135316</v>
      </c>
      <c r="E25" s="530">
        <f>G25+NPV($C$22,H25:BB25)</f>
        <v>-48226.466393039293</v>
      </c>
      <c r="F25" s="531"/>
      <c r="G25" s="532">
        <f>SUM(G26:G31)</f>
        <v>0</v>
      </c>
      <c r="H25" s="532">
        <f t="shared" ref="H25:BB25" si="19">SUM(H26:H31)</f>
        <v>0</v>
      </c>
      <c r="I25" s="532">
        <f t="shared" si="19"/>
        <v>0</v>
      </c>
      <c r="J25" s="532">
        <f t="shared" si="19"/>
        <v>-64189.426769135316</v>
      </c>
      <c r="K25" s="532">
        <f t="shared" si="19"/>
        <v>0</v>
      </c>
      <c r="L25" s="532">
        <f t="shared" si="19"/>
        <v>0</v>
      </c>
      <c r="M25" s="532">
        <f t="shared" si="19"/>
        <v>0</v>
      </c>
      <c r="N25" s="532">
        <f t="shared" si="19"/>
        <v>0</v>
      </c>
      <c r="O25" s="532">
        <f t="shared" si="19"/>
        <v>0</v>
      </c>
      <c r="P25" s="532">
        <f t="shared" si="19"/>
        <v>0</v>
      </c>
      <c r="Q25" s="532">
        <f t="shared" si="19"/>
        <v>0</v>
      </c>
      <c r="R25" s="532">
        <f t="shared" si="19"/>
        <v>0</v>
      </c>
      <c r="S25" s="532">
        <f t="shared" si="19"/>
        <v>0</v>
      </c>
      <c r="T25" s="532">
        <f t="shared" si="19"/>
        <v>0</v>
      </c>
      <c r="U25" s="532">
        <f t="shared" si="19"/>
        <v>0</v>
      </c>
      <c r="V25" s="532">
        <f t="shared" si="19"/>
        <v>0</v>
      </c>
      <c r="W25" s="532">
        <f t="shared" si="19"/>
        <v>0</v>
      </c>
      <c r="X25" s="532">
        <f t="shared" si="19"/>
        <v>0</v>
      </c>
      <c r="Y25" s="532">
        <f t="shared" si="19"/>
        <v>0</v>
      </c>
      <c r="Z25" s="532">
        <f t="shared" si="19"/>
        <v>0</v>
      </c>
      <c r="AA25" s="532">
        <f t="shared" si="19"/>
        <v>0</v>
      </c>
      <c r="AB25" s="532">
        <f t="shared" si="19"/>
        <v>0</v>
      </c>
      <c r="AC25" s="532">
        <f t="shared" si="19"/>
        <v>0</v>
      </c>
      <c r="AD25" s="532">
        <f t="shared" si="19"/>
        <v>0</v>
      </c>
      <c r="AE25" s="532">
        <f t="shared" si="19"/>
        <v>0</v>
      </c>
      <c r="AF25" s="532">
        <f t="shared" si="19"/>
        <v>0</v>
      </c>
      <c r="AG25" s="532">
        <f t="shared" si="19"/>
        <v>0</v>
      </c>
      <c r="AH25" s="532">
        <f t="shared" si="19"/>
        <v>0</v>
      </c>
      <c r="AI25" s="532">
        <f t="shared" si="19"/>
        <v>0</v>
      </c>
      <c r="AJ25" s="532">
        <f t="shared" si="19"/>
        <v>0</v>
      </c>
      <c r="AK25" s="532">
        <f t="shared" si="19"/>
        <v>0</v>
      </c>
      <c r="AL25" s="532">
        <f t="shared" si="19"/>
        <v>0</v>
      </c>
      <c r="AM25" s="532">
        <f t="shared" si="19"/>
        <v>0</v>
      </c>
      <c r="AN25" s="532">
        <f t="shared" si="19"/>
        <v>0</v>
      </c>
      <c r="AO25" s="532">
        <f t="shared" si="19"/>
        <v>0</v>
      </c>
      <c r="AP25" s="532">
        <f t="shared" si="19"/>
        <v>0</v>
      </c>
      <c r="AQ25" s="532">
        <f t="shared" si="19"/>
        <v>0</v>
      </c>
      <c r="AR25" s="532">
        <f t="shared" si="19"/>
        <v>0</v>
      </c>
      <c r="AS25" s="532">
        <f t="shared" si="19"/>
        <v>0</v>
      </c>
      <c r="AT25" s="532">
        <f t="shared" si="19"/>
        <v>0</v>
      </c>
      <c r="AU25" s="532">
        <f t="shared" si="19"/>
        <v>0</v>
      </c>
      <c r="AV25" s="532">
        <f t="shared" si="19"/>
        <v>0</v>
      </c>
      <c r="AW25" s="532">
        <f t="shared" si="19"/>
        <v>0</v>
      </c>
      <c r="AX25" s="532">
        <f t="shared" si="19"/>
        <v>0</v>
      </c>
      <c r="AY25" s="532">
        <f t="shared" si="19"/>
        <v>0</v>
      </c>
      <c r="AZ25" s="532">
        <f t="shared" si="19"/>
        <v>0</v>
      </c>
      <c r="BA25" s="532">
        <f t="shared" si="19"/>
        <v>0</v>
      </c>
      <c r="BB25" s="532">
        <f t="shared" si="19"/>
        <v>0</v>
      </c>
    </row>
    <row r="26" spans="1:54" x14ac:dyDescent="0.25">
      <c r="A26" s="990"/>
      <c r="B26" s="533" t="s">
        <v>746</v>
      </c>
      <c r="C26" s="508" t="s">
        <v>979</v>
      </c>
      <c r="D26" s="534">
        <f>SUM(G26:BB26)</f>
        <v>-45800.499390515339</v>
      </c>
      <c r="E26" s="534">
        <f>G26+NPV($C$22,H26:BB26)</f>
        <v>-34410.593080777857</v>
      </c>
      <c r="F26" s="535"/>
      <c r="G26" s="536">
        <f>Investments_elec!F14</f>
        <v>0</v>
      </c>
      <c r="H26" s="536">
        <f>Investments_elec!G14</f>
        <v>0</v>
      </c>
      <c r="I26" s="536">
        <f>Investments_elec!H14</f>
        <v>0</v>
      </c>
      <c r="J26" s="536">
        <f>Investments_elec!I14</f>
        <v>-45800.499390515339</v>
      </c>
      <c r="K26" s="536">
        <f>Investments_elec!J14</f>
        <v>0</v>
      </c>
      <c r="L26" s="536">
        <f>Investments_elec!K14</f>
        <v>0</v>
      </c>
      <c r="M26" s="536">
        <f>Investments_elec!L14</f>
        <v>0</v>
      </c>
      <c r="N26" s="536">
        <f>Investments_elec!M14</f>
        <v>0</v>
      </c>
      <c r="O26" s="536">
        <f>Investments_elec!N14</f>
        <v>0</v>
      </c>
      <c r="P26" s="536">
        <f>Investments_elec!O14</f>
        <v>0</v>
      </c>
      <c r="Q26" s="536">
        <f>Investments_elec!P14</f>
        <v>0</v>
      </c>
      <c r="R26" s="536">
        <f>Investments_elec!Q14</f>
        <v>0</v>
      </c>
      <c r="S26" s="536">
        <f>Investments_elec!R14</f>
        <v>0</v>
      </c>
      <c r="T26" s="536">
        <f>Investments_elec!S14</f>
        <v>0</v>
      </c>
      <c r="U26" s="536">
        <f>Investments_elec!T14</f>
        <v>0</v>
      </c>
      <c r="V26" s="536">
        <f>Investments_elec!U14</f>
        <v>0</v>
      </c>
      <c r="W26" s="536">
        <f>Investments_elec!V14</f>
        <v>0</v>
      </c>
      <c r="X26" s="536">
        <f>Investments_elec!W14</f>
        <v>0</v>
      </c>
      <c r="Y26" s="536">
        <f>Investments_elec!X14</f>
        <v>0</v>
      </c>
      <c r="Z26" s="536">
        <f>Investments_elec!Y14</f>
        <v>0</v>
      </c>
      <c r="AA26" s="536">
        <f>Investments_elec!Z14</f>
        <v>0</v>
      </c>
      <c r="AB26" s="536">
        <f>Investments_elec!AA14</f>
        <v>0</v>
      </c>
      <c r="AC26" s="536">
        <f>Investments_elec!AB14</f>
        <v>0</v>
      </c>
      <c r="AD26" s="536">
        <f>Investments_elec!AC14</f>
        <v>0</v>
      </c>
      <c r="AE26" s="536">
        <f>Investments_elec!AD14</f>
        <v>0</v>
      </c>
      <c r="AF26" s="536">
        <f>Investments_elec!AE14</f>
        <v>0</v>
      </c>
      <c r="AG26" s="536">
        <f>Investments_elec!AF14</f>
        <v>0</v>
      </c>
      <c r="AH26" s="536">
        <f>Investments_elec!AG14</f>
        <v>0</v>
      </c>
      <c r="AI26" s="536">
        <f>Investments_elec!AH14</f>
        <v>0</v>
      </c>
      <c r="AJ26" s="536">
        <f>Investments_elec!AI14</f>
        <v>0</v>
      </c>
      <c r="AK26" s="536">
        <f>Investments_elec!AJ14</f>
        <v>0</v>
      </c>
      <c r="AL26" s="536">
        <f>Investments_elec!AK14</f>
        <v>0</v>
      </c>
      <c r="AM26" s="536">
        <f>Investments_elec!AL14</f>
        <v>0</v>
      </c>
      <c r="AN26" s="536">
        <f>Investments_elec!AM14</f>
        <v>0</v>
      </c>
      <c r="AO26" s="536">
        <f>Investments_elec!AN14</f>
        <v>0</v>
      </c>
      <c r="AP26" s="536">
        <f>Investments_elec!AO14</f>
        <v>0</v>
      </c>
      <c r="AQ26" s="536">
        <f>Investments_elec!AP14</f>
        <v>0</v>
      </c>
      <c r="AR26" s="536">
        <f>Investments_elec!AQ14</f>
        <v>0</v>
      </c>
      <c r="AS26" s="536">
        <f>Investments_elec!AR14</f>
        <v>0</v>
      </c>
      <c r="AT26" s="536">
        <f>Investments_elec!AS14</f>
        <v>0</v>
      </c>
      <c r="AU26" s="536">
        <f>Investments_elec!AT14</f>
        <v>0</v>
      </c>
      <c r="AV26" s="536">
        <f>Investments_elec!AU14</f>
        <v>0</v>
      </c>
      <c r="AW26" s="536">
        <f>Investments_elec!AV14</f>
        <v>0</v>
      </c>
      <c r="AX26" s="536">
        <f>Investments_elec!AW14</f>
        <v>0</v>
      </c>
      <c r="AY26" s="536">
        <f>Investments_elec!AX14</f>
        <v>0</v>
      </c>
      <c r="AZ26" s="536">
        <f>Investments_elec!AY14</f>
        <v>0</v>
      </c>
      <c r="BA26" s="536">
        <f>Investments_elec!AZ14</f>
        <v>0</v>
      </c>
      <c r="BB26" s="536">
        <f>Investments_elec!BA14</f>
        <v>0</v>
      </c>
    </row>
    <row r="27" spans="1:54" x14ac:dyDescent="0.25">
      <c r="A27" s="990"/>
      <c r="B27" s="537" t="s">
        <v>1602</v>
      </c>
      <c r="C27" s="511" t="s">
        <v>979</v>
      </c>
      <c r="D27" s="538">
        <f t="shared" ref="D27:D31" si="20">SUM(G27:BB27)</f>
        <v>0</v>
      </c>
      <c r="E27" s="538">
        <f t="shared" ref="E27:E31" si="21">G27+NPV($C$22,H27:BB27)</f>
        <v>0</v>
      </c>
      <c r="F27" s="539"/>
      <c r="G27" s="540">
        <f>IF(G24=Parameters!$G$77,Parameters!$G$75/1000,0)</f>
        <v>0</v>
      </c>
      <c r="H27" s="540">
        <f>IF(H24=Parameters!$G$77,Parameters!$G$75/1000,0)</f>
        <v>0</v>
      </c>
      <c r="I27" s="540">
        <f>IF(I24=Parameters!$G$77,Parameters!$G$75/1000,0)</f>
        <v>0</v>
      </c>
      <c r="J27" s="540">
        <f>IF(J24=Parameters!$G$77,Parameters!$G$75/1000,0)</f>
        <v>0</v>
      </c>
      <c r="K27" s="540">
        <f>IF(K24=Parameters!$G$77,Parameters!$G$75/1000,0)</f>
        <v>0</v>
      </c>
      <c r="L27" s="540">
        <f>IF(L24=Parameters!$G$77,Parameters!$G$75/1000,0)</f>
        <v>0</v>
      </c>
      <c r="M27" s="540">
        <f>IF(M24=Parameters!$G$77,Parameters!$G$75/1000,0)</f>
        <v>0</v>
      </c>
      <c r="N27" s="540">
        <f>IF(N24=Parameters!$G$77,Parameters!$G$75/1000,0)</f>
        <v>0</v>
      </c>
      <c r="O27" s="540">
        <f>IF(O24=Parameters!$G$77,Parameters!$G$75/1000,0)</f>
        <v>0</v>
      </c>
      <c r="P27" s="540">
        <f>IF(P24=Parameters!$G$77,Parameters!$G$75/1000,0)</f>
        <v>0</v>
      </c>
      <c r="Q27" s="540">
        <f>IF(Q24=Parameters!$G$77,Parameters!$G$75/1000,0)</f>
        <v>0</v>
      </c>
      <c r="R27" s="540">
        <f>IF(R24=Parameters!$G$77,Parameters!$G$75/1000,0)</f>
        <v>0</v>
      </c>
      <c r="S27" s="540">
        <f>IF(S24=Parameters!$G$77,Parameters!$G$75/1000,0)</f>
        <v>0</v>
      </c>
      <c r="T27" s="540">
        <f>IF(T24=Parameters!$G$77,Parameters!$G$75/1000,0)</f>
        <v>0</v>
      </c>
      <c r="U27" s="540">
        <f>IF(U24=Parameters!$G$77,Parameters!$G$75/1000,0)</f>
        <v>0</v>
      </c>
      <c r="V27" s="540">
        <f>IF(V24=Parameters!$G$77,Parameters!$G$75/1000,0)</f>
        <v>0</v>
      </c>
      <c r="W27" s="540">
        <f>IF(W24=Parameters!$G$77,Parameters!$G$75/1000,0)</f>
        <v>0</v>
      </c>
      <c r="X27" s="540">
        <f>IF(X24=Parameters!$G$77,Parameters!$G$75/1000,0)</f>
        <v>0</v>
      </c>
      <c r="Y27" s="540">
        <f>IF(Y24=Parameters!$G$77,Parameters!$G$75/1000,0)</f>
        <v>0</v>
      </c>
      <c r="Z27" s="540">
        <f>IF(Z24=Parameters!$G$77,Parameters!$G$75/1000,0)</f>
        <v>0</v>
      </c>
      <c r="AA27" s="540">
        <f>IF(AA24=Parameters!$G$77,Parameters!$G$75/1000,0)</f>
        <v>0</v>
      </c>
      <c r="AB27" s="540">
        <f>IF(AB24=Parameters!$G$77,Parameters!$G$75/1000,0)</f>
        <v>0</v>
      </c>
      <c r="AC27" s="540">
        <f>IF(AC24=Parameters!$G$77,Parameters!$G$75/1000,0)</f>
        <v>0</v>
      </c>
      <c r="AD27" s="540">
        <f>IF(AD24=Parameters!$G$77,Parameters!$G$75/1000,0)</f>
        <v>0</v>
      </c>
      <c r="AE27" s="540">
        <f>IF(AE24=Parameters!$G$77,Parameters!$G$75/1000,0)</f>
        <v>0</v>
      </c>
      <c r="AF27" s="540">
        <f>IF(AF24=Parameters!$G$77,Parameters!$G$75/1000,0)</f>
        <v>0</v>
      </c>
      <c r="AG27" s="540">
        <f>IF(AG24=Parameters!$G$77,Parameters!$G$75/1000,0)</f>
        <v>0</v>
      </c>
      <c r="AH27" s="540">
        <f>IF(AH24=Parameters!$G$77,Parameters!$G$75/1000,0)</f>
        <v>0</v>
      </c>
      <c r="AI27" s="540">
        <f>IF(AI24=Parameters!$G$77,Parameters!$G$75/1000,0)</f>
        <v>0</v>
      </c>
      <c r="AJ27" s="540">
        <f>IF(AJ24=Parameters!$G$77,Parameters!$G$75/1000,0)</f>
        <v>0</v>
      </c>
      <c r="AK27" s="540">
        <f>IF(AK24=Parameters!$G$77,Parameters!$G$75/1000,0)</f>
        <v>0</v>
      </c>
      <c r="AL27" s="540">
        <f>IF(AL24=Parameters!$G$77,Parameters!$G$75/1000,0)</f>
        <v>0</v>
      </c>
      <c r="AM27" s="540">
        <f>IF(AM24=Parameters!$G$77,Parameters!$G$75/1000,0)</f>
        <v>0</v>
      </c>
      <c r="AN27" s="540">
        <f>IF(AN24=Parameters!$G$77,Parameters!$G$75/1000,0)</f>
        <v>0</v>
      </c>
      <c r="AO27" s="540">
        <f>IF(AO24=Parameters!$G$77,Parameters!$G$75/1000,0)</f>
        <v>0</v>
      </c>
      <c r="AP27" s="540">
        <f>IF(AP24=Parameters!$G$77,Parameters!$G$75/1000,0)</f>
        <v>0</v>
      </c>
      <c r="AQ27" s="540">
        <f>IF(AQ24=Parameters!$G$77,Parameters!$G$75/1000,0)</f>
        <v>0</v>
      </c>
      <c r="AR27" s="540">
        <f>IF(AR24=Parameters!$G$77,Parameters!$G$75/1000,0)</f>
        <v>0</v>
      </c>
      <c r="AS27" s="540">
        <f>IF(AS24=Parameters!$G$77,Parameters!$G$75/1000,0)</f>
        <v>0</v>
      </c>
      <c r="AT27" s="540">
        <f>IF(AT24=Parameters!$G$77,Parameters!$G$75/1000,0)</f>
        <v>0</v>
      </c>
      <c r="AU27" s="540">
        <f>IF(AU24=Parameters!$G$77,Parameters!$G$75/1000,0)</f>
        <v>0</v>
      </c>
      <c r="AV27" s="540">
        <f>IF(AV24=Parameters!$G$77,Parameters!$G$75/1000,0)</f>
        <v>0</v>
      </c>
      <c r="AW27" s="540">
        <f>IF(AW24=Parameters!$G$77,Parameters!$G$75/1000,0)</f>
        <v>0</v>
      </c>
      <c r="AX27" s="540">
        <f>IF(AX24=Parameters!$G$77,Parameters!$G$75/1000,0)</f>
        <v>0</v>
      </c>
      <c r="AY27" s="540">
        <f>IF(AY24=Parameters!$G$77,Parameters!$G$75/1000,0)</f>
        <v>0</v>
      </c>
      <c r="AZ27" s="540">
        <f>IF(AZ24=Parameters!$G$77,Parameters!$G$75/1000,0)</f>
        <v>0</v>
      </c>
      <c r="BA27" s="540">
        <f>IF(BA24=Parameters!$G$77,Parameters!$G$75/1000,0)</f>
        <v>0</v>
      </c>
      <c r="BB27" s="540">
        <f>IF(BB24=Parameters!$G$77,Parameters!$G$75/1000,0)</f>
        <v>0</v>
      </c>
    </row>
    <row r="28" spans="1:54" x14ac:dyDescent="0.25">
      <c r="A28" s="990"/>
      <c r="B28" s="537" t="s">
        <v>749</v>
      </c>
      <c r="C28" s="511" t="s">
        <v>979</v>
      </c>
      <c r="D28" s="538">
        <f t="shared" si="20"/>
        <v>-14963.032799999999</v>
      </c>
      <c r="E28" s="538">
        <f t="shared" si="21"/>
        <v>-11241.948009015774</v>
      </c>
      <c r="F28" s="539"/>
      <c r="G28" s="540">
        <f>Investments_elec!F15</f>
        <v>0</v>
      </c>
      <c r="H28" s="540">
        <f>Investments_elec!G15</f>
        <v>0</v>
      </c>
      <c r="I28" s="540">
        <f>Investments_elec!H15</f>
        <v>0</v>
      </c>
      <c r="J28" s="540">
        <f>Investments_elec!I15</f>
        <v>-14963.032799999999</v>
      </c>
      <c r="K28" s="540">
        <f>Investments_elec!J15</f>
        <v>0</v>
      </c>
      <c r="L28" s="540">
        <f>Investments_elec!K15</f>
        <v>0</v>
      </c>
      <c r="M28" s="540">
        <f>Investments_elec!L15</f>
        <v>0</v>
      </c>
      <c r="N28" s="540">
        <f>Investments_elec!M15</f>
        <v>0</v>
      </c>
      <c r="O28" s="540">
        <f>Investments_elec!N15</f>
        <v>0</v>
      </c>
      <c r="P28" s="540">
        <f>Investments_elec!O15</f>
        <v>0</v>
      </c>
      <c r="Q28" s="540">
        <f>Investments_elec!P15</f>
        <v>0</v>
      </c>
      <c r="R28" s="540">
        <f>Investments_elec!Q15</f>
        <v>0</v>
      </c>
      <c r="S28" s="540">
        <f>Investments_elec!R15</f>
        <v>0</v>
      </c>
      <c r="T28" s="540">
        <f>Investments_elec!S15</f>
        <v>0</v>
      </c>
      <c r="U28" s="540">
        <f>Investments_elec!T15</f>
        <v>0</v>
      </c>
      <c r="V28" s="540">
        <f>Investments_elec!U15</f>
        <v>0</v>
      </c>
      <c r="W28" s="540">
        <f>Investments_elec!V15</f>
        <v>0</v>
      </c>
      <c r="X28" s="540">
        <f>Investments_elec!W15</f>
        <v>0</v>
      </c>
      <c r="Y28" s="540">
        <f>Investments_elec!X15</f>
        <v>0</v>
      </c>
      <c r="Z28" s="540">
        <f>Investments_elec!Y15</f>
        <v>0</v>
      </c>
      <c r="AA28" s="540">
        <f>Investments_elec!Z15</f>
        <v>0</v>
      </c>
      <c r="AB28" s="540">
        <f>Investments_elec!AA15</f>
        <v>0</v>
      </c>
      <c r="AC28" s="540">
        <f>Investments_elec!AB15</f>
        <v>0</v>
      </c>
      <c r="AD28" s="540">
        <f>Investments_elec!AC15</f>
        <v>0</v>
      </c>
      <c r="AE28" s="540">
        <f>Investments_elec!AD15</f>
        <v>0</v>
      </c>
      <c r="AF28" s="540">
        <f>Investments_elec!AE15</f>
        <v>0</v>
      </c>
      <c r="AG28" s="540">
        <f>Investments_elec!AF15</f>
        <v>0</v>
      </c>
      <c r="AH28" s="540">
        <f>Investments_elec!AG15</f>
        <v>0</v>
      </c>
      <c r="AI28" s="540">
        <f>Investments_elec!AH15</f>
        <v>0</v>
      </c>
      <c r="AJ28" s="540">
        <f>Investments_elec!AI15</f>
        <v>0</v>
      </c>
      <c r="AK28" s="540">
        <f>Investments_elec!AJ15</f>
        <v>0</v>
      </c>
      <c r="AL28" s="540">
        <f>Investments_elec!AK15</f>
        <v>0</v>
      </c>
      <c r="AM28" s="540">
        <f>Investments_elec!AL15</f>
        <v>0</v>
      </c>
      <c r="AN28" s="540">
        <f>Investments_elec!AM15</f>
        <v>0</v>
      </c>
      <c r="AO28" s="540">
        <f>Investments_elec!AN15</f>
        <v>0</v>
      </c>
      <c r="AP28" s="540">
        <f>Investments_elec!AO15</f>
        <v>0</v>
      </c>
      <c r="AQ28" s="540">
        <f>Investments_elec!AP15</f>
        <v>0</v>
      </c>
      <c r="AR28" s="540">
        <f>Investments_elec!AQ15</f>
        <v>0</v>
      </c>
      <c r="AS28" s="540">
        <f>Investments_elec!AR15</f>
        <v>0</v>
      </c>
      <c r="AT28" s="540">
        <f>Investments_elec!AS15</f>
        <v>0</v>
      </c>
      <c r="AU28" s="540">
        <f>Investments_elec!AT15</f>
        <v>0</v>
      </c>
      <c r="AV28" s="540">
        <f>Investments_elec!AU15</f>
        <v>0</v>
      </c>
      <c r="AW28" s="540">
        <f>Investments_elec!AV15</f>
        <v>0</v>
      </c>
      <c r="AX28" s="540">
        <f>Investments_elec!AW15</f>
        <v>0</v>
      </c>
      <c r="AY28" s="540">
        <f>Investments_elec!AX15</f>
        <v>0</v>
      </c>
      <c r="AZ28" s="540">
        <f>Investments_elec!AY15</f>
        <v>0</v>
      </c>
      <c r="BA28" s="540">
        <f>Investments_elec!AZ15</f>
        <v>0</v>
      </c>
      <c r="BB28" s="540">
        <f>Investments_elec!BA15</f>
        <v>0</v>
      </c>
    </row>
    <row r="29" spans="1:54" x14ac:dyDescent="0.25">
      <c r="A29" s="990"/>
      <c r="B29" s="537" t="s">
        <v>990</v>
      </c>
      <c r="C29" s="511" t="s">
        <v>979</v>
      </c>
      <c r="D29" s="538">
        <f t="shared" si="20"/>
        <v>-3425.8945786199793</v>
      </c>
      <c r="E29" s="538">
        <f t="shared" si="21"/>
        <v>-2573.9253032456641</v>
      </c>
      <c r="F29" s="539"/>
      <c r="G29" s="540">
        <f>Investments_elec!F17</f>
        <v>0</v>
      </c>
      <c r="H29" s="540">
        <f>Investments_elec!G17</f>
        <v>0</v>
      </c>
      <c r="I29" s="540">
        <f>Investments_elec!H17</f>
        <v>0</v>
      </c>
      <c r="J29" s="540">
        <f>Investments_elec!I17</f>
        <v>-3425.8945786199793</v>
      </c>
      <c r="K29" s="540">
        <f>Investments_elec!J17</f>
        <v>0</v>
      </c>
      <c r="L29" s="540">
        <f>Investments_elec!K17</f>
        <v>0</v>
      </c>
      <c r="M29" s="540">
        <f>Investments_elec!L17</f>
        <v>0</v>
      </c>
      <c r="N29" s="540">
        <f>Investments_elec!M17</f>
        <v>0</v>
      </c>
      <c r="O29" s="540">
        <f>Investments_elec!N17</f>
        <v>0</v>
      </c>
      <c r="P29" s="540">
        <f>Investments_elec!O17</f>
        <v>0</v>
      </c>
      <c r="Q29" s="540">
        <f>Investments_elec!P17</f>
        <v>0</v>
      </c>
      <c r="R29" s="540">
        <f>Investments_elec!Q17</f>
        <v>0</v>
      </c>
      <c r="S29" s="540">
        <f>Investments_elec!R17</f>
        <v>0</v>
      </c>
      <c r="T29" s="540">
        <f>Investments_elec!S17</f>
        <v>0</v>
      </c>
      <c r="U29" s="540">
        <f>Investments_elec!T17</f>
        <v>0</v>
      </c>
      <c r="V29" s="540">
        <f>Investments_elec!U17</f>
        <v>0</v>
      </c>
      <c r="W29" s="540">
        <f>Investments_elec!V17</f>
        <v>0</v>
      </c>
      <c r="X29" s="540">
        <f>Investments_elec!W17</f>
        <v>0</v>
      </c>
      <c r="Y29" s="540">
        <f>Investments_elec!X17</f>
        <v>0</v>
      </c>
      <c r="Z29" s="540">
        <f>Investments_elec!Y17</f>
        <v>0</v>
      </c>
      <c r="AA29" s="540">
        <f>Investments_elec!Z17</f>
        <v>0</v>
      </c>
      <c r="AB29" s="540">
        <f>Investments_elec!AA17</f>
        <v>0</v>
      </c>
      <c r="AC29" s="540">
        <f>Investments_elec!AB17</f>
        <v>0</v>
      </c>
      <c r="AD29" s="540">
        <f>Investments_elec!AC17</f>
        <v>0</v>
      </c>
      <c r="AE29" s="540">
        <f>Investments_elec!AD17</f>
        <v>0</v>
      </c>
      <c r="AF29" s="540">
        <f>Investments_elec!AE17</f>
        <v>0</v>
      </c>
      <c r="AG29" s="540">
        <f>Investments_elec!AF17</f>
        <v>0</v>
      </c>
      <c r="AH29" s="540">
        <f>Investments_elec!AG17</f>
        <v>0</v>
      </c>
      <c r="AI29" s="540">
        <f>Investments_elec!AH17</f>
        <v>0</v>
      </c>
      <c r="AJ29" s="540">
        <f>Investments_elec!AI17</f>
        <v>0</v>
      </c>
      <c r="AK29" s="540">
        <f>Investments_elec!AJ17</f>
        <v>0</v>
      </c>
      <c r="AL29" s="540">
        <f>Investments_elec!AK17</f>
        <v>0</v>
      </c>
      <c r="AM29" s="540">
        <f>Investments_elec!AL17</f>
        <v>0</v>
      </c>
      <c r="AN29" s="540">
        <f>Investments_elec!AM17</f>
        <v>0</v>
      </c>
      <c r="AO29" s="540">
        <f>Investments_elec!AN17</f>
        <v>0</v>
      </c>
      <c r="AP29" s="540">
        <f>Investments_elec!AO17</f>
        <v>0</v>
      </c>
      <c r="AQ29" s="540">
        <f>Investments_elec!AP17</f>
        <v>0</v>
      </c>
      <c r="AR29" s="540">
        <f>Investments_elec!AQ17</f>
        <v>0</v>
      </c>
      <c r="AS29" s="540">
        <f>Investments_elec!AR17</f>
        <v>0</v>
      </c>
      <c r="AT29" s="540">
        <f>Investments_elec!AS17</f>
        <v>0</v>
      </c>
      <c r="AU29" s="540">
        <f>Investments_elec!AT17</f>
        <v>0</v>
      </c>
      <c r="AV29" s="540">
        <f>Investments_elec!AU17</f>
        <v>0</v>
      </c>
      <c r="AW29" s="540">
        <f>Investments_elec!AV17</f>
        <v>0</v>
      </c>
      <c r="AX29" s="540">
        <f>Investments_elec!AW17</f>
        <v>0</v>
      </c>
      <c r="AY29" s="540">
        <f>Investments_elec!AX17</f>
        <v>0</v>
      </c>
      <c r="AZ29" s="540">
        <f>Investments_elec!AY17</f>
        <v>0</v>
      </c>
      <c r="BA29" s="540">
        <f>Investments_elec!AZ17</f>
        <v>0</v>
      </c>
      <c r="BB29" s="540">
        <f>Investments_elec!BA17</f>
        <v>0</v>
      </c>
    </row>
    <row r="30" spans="1:54" s="1190" customFormat="1" x14ac:dyDescent="0.25">
      <c r="A30" s="990"/>
      <c r="B30" s="537" t="str">
        <f>Parameters!E96</f>
        <v>Additional pipeline CAPEX</v>
      </c>
      <c r="C30" s="511" t="s">
        <v>979</v>
      </c>
      <c r="D30" s="538">
        <f t="shared" si="20"/>
        <v>0</v>
      </c>
      <c r="E30" s="538">
        <f t="shared" si="21"/>
        <v>0</v>
      </c>
      <c r="F30" s="539"/>
      <c r="G30" s="540">
        <f>-IF(G$24=Parameters!$G$54,VLOOKUP($B$30,Parameters!$E$10:$G$501,3,FALSE),0)*(1+Parameters!$G$13)^(G$24-$G$24)/1000</f>
        <v>0</v>
      </c>
      <c r="H30" s="540">
        <f>-IF(H$24=Parameters!$G$54,VLOOKUP($B$30,Parameters!$E$10:$G$501,3,FALSE),0)*(1+Parameters!$G$13)^(H$24-$G$24)/1000</f>
        <v>0</v>
      </c>
      <c r="I30" s="540">
        <f>-IF(I$24=Parameters!$G$54,VLOOKUP($B$30,Parameters!$E$10:$G$501,3,FALSE),0)*(1+Parameters!$G$13)^(I$24-$G$24)/1000</f>
        <v>0</v>
      </c>
      <c r="J30" s="540">
        <f>-IF(J$24=Parameters!$G$54,VLOOKUP($B$30,Parameters!$E$10:$G$501,3,FALSE),0)*(1+Parameters!$G$13)^(J$24-$G$24)/1000</f>
        <v>0</v>
      </c>
      <c r="K30" s="540">
        <f>-IF(K$24=Parameters!$G$54,VLOOKUP($B$30,Parameters!$E$10:$G$501,3,FALSE),0)*(1+Parameters!$G$13)^(K$24-$G$24)/1000</f>
        <v>0</v>
      </c>
      <c r="L30" s="540">
        <f>-IF(L$24=Parameters!$G$54,VLOOKUP($B$30,Parameters!$E$10:$G$501,3,FALSE),0)*(1+Parameters!$G$13)^(L$24-$G$24)/1000</f>
        <v>0</v>
      </c>
      <c r="M30" s="540">
        <f>-IF(M$24=Parameters!$G$54,VLOOKUP($B$30,Parameters!$E$10:$G$501,3,FALSE),0)*(1+Parameters!$G$13)^(M$24-$G$24)/1000</f>
        <v>0</v>
      </c>
      <c r="N30" s="540">
        <f>-IF(N$24=Parameters!$G$54,VLOOKUP($B$30,Parameters!$E$10:$G$501,3,FALSE),0)*(1+Parameters!$G$13)^(N$24-$G$24)/1000</f>
        <v>0</v>
      </c>
      <c r="O30" s="540">
        <f>-IF(O$24=Parameters!$G$54,VLOOKUP($B$30,Parameters!$E$10:$G$501,3,FALSE),0)*(1+Parameters!$G$13)^(O$24-$G$24)/1000</f>
        <v>0</v>
      </c>
      <c r="P30" s="540">
        <f>-IF(P$24=Parameters!$G$54,VLOOKUP($B$30,Parameters!$E$10:$G$501,3,FALSE),0)*(1+Parameters!$G$13)^(P$24-$G$24)/1000</f>
        <v>0</v>
      </c>
      <c r="Q30" s="540">
        <f>-IF(Q$24=Parameters!$G$54,VLOOKUP($B$30,Parameters!$E$10:$G$501,3,FALSE),0)*(1+Parameters!$G$13)^(Q$24-$G$24)/1000</f>
        <v>0</v>
      </c>
      <c r="R30" s="540">
        <f>-IF(R$24=Parameters!$G$54,VLOOKUP($B$30,Parameters!$E$10:$G$501,3,FALSE),0)*(1+Parameters!$G$13)^(R$24-$G$24)/1000</f>
        <v>0</v>
      </c>
      <c r="S30" s="540">
        <f>-IF(S$24=Parameters!$G$54,VLOOKUP($B$30,Parameters!$E$10:$G$501,3,FALSE),0)*(1+Parameters!$G$13)^(S$24-$G$24)/1000</f>
        <v>0</v>
      </c>
      <c r="T30" s="540">
        <f>-IF(T$24=Parameters!$G$54,VLOOKUP($B$30,Parameters!$E$10:$G$501,3,FALSE),0)*(1+Parameters!$G$13)^(T$24-$G$24)/1000</f>
        <v>0</v>
      </c>
      <c r="U30" s="540">
        <f>-IF(U$24=Parameters!$G$54,VLOOKUP($B$30,Parameters!$E$10:$G$501,3,FALSE),0)*(1+Parameters!$G$13)^(U$24-$G$24)/1000</f>
        <v>0</v>
      </c>
      <c r="V30" s="540">
        <f>-IF(V$24=Parameters!$G$54,VLOOKUP($B$30,Parameters!$E$10:$G$501,3,FALSE),0)*(1+Parameters!$G$13)^(V$24-$G$24)/1000</f>
        <v>0</v>
      </c>
      <c r="W30" s="540">
        <f>-IF(W$24=Parameters!$G$54,VLOOKUP($B$30,Parameters!$E$10:$G$501,3,FALSE),0)*(1+Parameters!$G$13)^(W$24-$G$24)/1000</f>
        <v>0</v>
      </c>
      <c r="X30" s="540">
        <f>-IF(X$24=Parameters!$G$54,VLOOKUP($B$30,Parameters!$E$10:$G$501,3,FALSE),0)*(1+Parameters!$G$13)^(X$24-$G$24)/1000</f>
        <v>0</v>
      </c>
      <c r="Y30" s="540">
        <f>-IF(Y$24=Parameters!$G$54,VLOOKUP($B$30,Parameters!$E$10:$G$501,3,FALSE),0)*(1+Parameters!$G$13)^(Y$24-$G$24)/1000</f>
        <v>0</v>
      </c>
      <c r="Z30" s="540">
        <f>-IF(Z$24=Parameters!$G$54,VLOOKUP($B$30,Parameters!$E$10:$G$501,3,FALSE),0)*(1+Parameters!$G$13)^(Z$24-$G$24)/1000</f>
        <v>0</v>
      </c>
      <c r="AA30" s="540">
        <f>-IF(AA$24=Parameters!$G$54,VLOOKUP($B$30,Parameters!$E$10:$G$501,3,FALSE),0)*(1+Parameters!$G$13)^(AA$24-$G$24)/1000</f>
        <v>0</v>
      </c>
      <c r="AB30" s="540">
        <f>-IF(AB$24=Parameters!$G$54,VLOOKUP($B$30,Parameters!$E$10:$G$501,3,FALSE),0)*(1+Parameters!$G$13)^(AB$24-$G$24)/1000</f>
        <v>0</v>
      </c>
      <c r="AC30" s="540">
        <f>-IF(AC$24=Parameters!$G$54,VLOOKUP($B$30,Parameters!$E$10:$G$501,3,FALSE),0)*(1+Parameters!$G$13)^(AC$24-$G$24)/1000</f>
        <v>0</v>
      </c>
      <c r="AD30" s="540">
        <f>-IF(AD$24=Parameters!$G$54,VLOOKUP($B$30,Parameters!$E$10:$G$501,3,FALSE),0)*(1+Parameters!$G$13)^(AD$24-$G$24)/1000</f>
        <v>0</v>
      </c>
      <c r="AE30" s="540">
        <f>-IF(AE$24=Parameters!$G$54,VLOOKUP($B$30,Parameters!$E$10:$G$501,3,FALSE),0)*(1+Parameters!$G$13)^(AE$24-$G$24)/1000</f>
        <v>0</v>
      </c>
      <c r="AF30" s="540">
        <f>-IF(AF$24=Parameters!$G$54,VLOOKUP($B$30,Parameters!$E$10:$G$501,3,FALSE),0)*(1+Parameters!$G$13)^(AF$24-$G$24)/1000</f>
        <v>0</v>
      </c>
      <c r="AG30" s="540">
        <f>-IF(AG$24=Parameters!$G$54,VLOOKUP($B$30,Parameters!$E$10:$G$501,3,FALSE),0)*(1+Parameters!$G$13)^(AG$24-$G$24)/1000</f>
        <v>0</v>
      </c>
      <c r="AH30" s="540">
        <f>-IF(AH$24=Parameters!$G$54,VLOOKUP($B$30,Parameters!$E$10:$G$501,3,FALSE),0)*(1+Parameters!$G$13)^(AH$24-$G$24)/1000</f>
        <v>0</v>
      </c>
      <c r="AI30" s="540">
        <f>-IF(AI$24=Parameters!$G$54,VLOOKUP($B$30,Parameters!$E$10:$G$501,3,FALSE),0)*(1+Parameters!$G$13)^(AI$24-$G$24)/1000</f>
        <v>0</v>
      </c>
      <c r="AJ30" s="540">
        <f>-IF(AJ$24=Parameters!$G$54,VLOOKUP($B$30,Parameters!$E$10:$G$501,3,FALSE),0)*(1+Parameters!$G$13)^(AJ$24-$G$24)/1000</f>
        <v>0</v>
      </c>
      <c r="AK30" s="540">
        <f>-IF(AK$24=Parameters!$G$54,VLOOKUP($B$30,Parameters!$E$10:$G$501,3,FALSE),0)*(1+Parameters!$G$13)^(AK$24-$G$24)/1000</f>
        <v>0</v>
      </c>
      <c r="AL30" s="540">
        <f>-IF(AL$24=Parameters!$G$54,VLOOKUP($B$30,Parameters!$E$10:$G$501,3,FALSE),0)*(1+Parameters!$G$13)^(AL$24-$G$24)/1000</f>
        <v>0</v>
      </c>
      <c r="AM30" s="540">
        <f>-IF(AM$24=Parameters!$G$54,VLOOKUP($B$30,Parameters!$E$10:$G$501,3,FALSE),0)*(1+Parameters!$G$13)^(AM$24-$G$24)/1000</f>
        <v>0</v>
      </c>
      <c r="AN30" s="540">
        <f>-IF(AN$24=Parameters!$G$54,VLOOKUP($B$30,Parameters!$E$10:$G$501,3,FALSE),0)*(1+Parameters!$G$13)^(AN$24-$G$24)/1000</f>
        <v>0</v>
      </c>
      <c r="AO30" s="540">
        <f>-IF(AO$24=Parameters!$G$54,VLOOKUP($B$30,Parameters!$E$10:$G$501,3,FALSE),0)*(1+Parameters!$G$13)^(AO$24-$G$24)/1000</f>
        <v>0</v>
      </c>
      <c r="AP30" s="540">
        <f>-IF(AP$24=Parameters!$G$54,VLOOKUP($B$30,Parameters!$E$10:$G$501,3,FALSE),0)*(1+Parameters!$G$13)^(AP$24-$G$24)/1000</f>
        <v>0</v>
      </c>
      <c r="AQ30" s="540">
        <f>-IF(AQ$24=Parameters!$G$54,VLOOKUP($B$30,Parameters!$E$10:$G$501,3,FALSE),0)*(1+Parameters!$G$13)^(AQ$24-$G$24)/1000</f>
        <v>0</v>
      </c>
      <c r="AR30" s="540">
        <f>-IF(AR$24=Parameters!$G$54,VLOOKUP($B$30,Parameters!$E$10:$G$501,3,FALSE),0)*(1+Parameters!$G$13)^(AR$24-$G$24)/1000</f>
        <v>0</v>
      </c>
      <c r="AS30" s="540">
        <f>-IF(AS$24=Parameters!$G$54,VLOOKUP($B$30,Parameters!$E$10:$G$501,3,FALSE),0)*(1+Parameters!$G$13)^(AS$24-$G$24)/1000</f>
        <v>0</v>
      </c>
      <c r="AT30" s="540">
        <f>-IF(AT$24=Parameters!$G$54,VLOOKUP($B$30,Parameters!$E$10:$G$501,3,FALSE),0)*(1+Parameters!$G$13)^(AT$24-$G$24)/1000</f>
        <v>0</v>
      </c>
      <c r="AU30" s="540">
        <f>-IF(AU$24=Parameters!$G$54,VLOOKUP($B$30,Parameters!$E$10:$G$501,3,FALSE),0)*(1+Parameters!$G$13)^(AU$24-$G$24)/1000</f>
        <v>0</v>
      </c>
      <c r="AV30" s="540">
        <f>-IF(AV$24=Parameters!$G$54,VLOOKUP($B$30,Parameters!$E$10:$G$501,3,FALSE),0)*(1+Parameters!$G$13)^(AV$24-$G$24)/1000</f>
        <v>0</v>
      </c>
      <c r="AW30" s="540">
        <f>-IF(AW$24=Parameters!$G$54,VLOOKUP($B$30,Parameters!$E$10:$G$501,3,FALSE),0)*(1+Parameters!$G$13)^(AW$24-$G$24)/1000</f>
        <v>0</v>
      </c>
      <c r="AX30" s="540">
        <f>-IF(AX$24=Parameters!$G$54,VLOOKUP($B$30,Parameters!$E$10:$G$501,3,FALSE),0)*(1+Parameters!$G$13)^(AX$24-$G$24)/1000</f>
        <v>0</v>
      </c>
      <c r="AY30" s="540">
        <f>-IF(AY$24=Parameters!$G$54,VLOOKUP($B$30,Parameters!$E$10:$G$501,3,FALSE),0)*(1+Parameters!$G$13)^(AY$24-$G$24)/1000</f>
        <v>0</v>
      </c>
      <c r="AZ30" s="540">
        <f>-IF(AZ$24=Parameters!$G$54,VLOOKUP($B$30,Parameters!$E$10:$G$501,3,FALSE),0)*(1+Parameters!$G$13)^(AZ$24-$G$24)/1000</f>
        <v>0</v>
      </c>
      <c r="BA30" s="540">
        <f>-IF(BA$24=Parameters!$G$54,VLOOKUP($B$30,Parameters!$E$10:$G$501,3,FALSE),0)*(1+Parameters!$G$13)^(BA$24-$G$24)/1000</f>
        <v>0</v>
      </c>
      <c r="BB30" s="540">
        <f>-IF(BB$24=Parameters!$G$54,VLOOKUP($B$30,Parameters!$E$10:$G$501,3,FALSE),0)*(1+Parameters!$G$13)^(BB$24-$G$24)/1000</f>
        <v>0</v>
      </c>
    </row>
    <row r="31" spans="1:54" x14ac:dyDescent="0.25">
      <c r="A31" s="990"/>
      <c r="B31" s="537" t="s">
        <v>1442</v>
      </c>
      <c r="C31" s="986" t="s">
        <v>979</v>
      </c>
      <c r="D31" s="538">
        <f t="shared" si="20"/>
        <v>0</v>
      </c>
      <c r="E31" s="538">
        <f t="shared" si="21"/>
        <v>0</v>
      </c>
      <c r="F31" s="539"/>
      <c r="G31" s="540">
        <f>IF(G24='E Decom &amp; refub'!$E$60,-'E Decom &amp; refub'!$E$66,0)</f>
        <v>0</v>
      </c>
      <c r="H31" s="540">
        <f>IF(H24='E Decom &amp; refub'!$E$60,-'E Decom &amp; refub'!$E$66,0)</f>
        <v>0</v>
      </c>
      <c r="I31" s="540">
        <f>IF(I24='E Decom &amp; refub'!$E$60,-'E Decom &amp; refub'!$E$66,0)</f>
        <v>0</v>
      </c>
      <c r="J31" s="540">
        <f>IF(J24='E Decom &amp; refub'!$E$60,-'E Decom &amp; refub'!$E$66,0)</f>
        <v>0</v>
      </c>
      <c r="K31" s="540">
        <f>IF(K24='E Decom &amp; refub'!$E$60,-'E Decom &amp; refub'!$E$66,0)</f>
        <v>0</v>
      </c>
      <c r="L31" s="540">
        <f>IF(L24='E Decom &amp; refub'!$E$60,-'E Decom &amp; refub'!$E$66,0)</f>
        <v>0</v>
      </c>
      <c r="M31" s="540">
        <f>IF(M24='E Decom &amp; refub'!$E$60,-'E Decom &amp; refub'!$E$66,0)</f>
        <v>0</v>
      </c>
      <c r="N31" s="540">
        <f>IF(N24='E Decom &amp; refub'!$E$60,-'E Decom &amp; refub'!$E$66,0)</f>
        <v>0</v>
      </c>
      <c r="O31" s="540">
        <f>IF(O24='E Decom &amp; refub'!$E$60,-'E Decom &amp; refub'!$E$66,0)</f>
        <v>0</v>
      </c>
      <c r="P31" s="540">
        <f>IF(P24='E Decom &amp; refub'!$E$60,-'E Decom &amp; refub'!$E$66,0)</f>
        <v>0</v>
      </c>
      <c r="Q31" s="540">
        <f>IF(Q24='E Decom &amp; refub'!$E$60,-'E Decom &amp; refub'!$E$66,0)</f>
        <v>0</v>
      </c>
      <c r="R31" s="540">
        <f>IF(R24='E Decom &amp; refub'!$E$60,-'E Decom &amp; refub'!$E$66,0)</f>
        <v>0</v>
      </c>
      <c r="S31" s="540">
        <f>IF(S24='E Decom &amp; refub'!$E$60,-'E Decom &amp; refub'!$E$66,0)</f>
        <v>0</v>
      </c>
      <c r="T31" s="540">
        <f>IF(T24='E Decom &amp; refub'!$E$60,-'E Decom &amp; refub'!$E$66,0)</f>
        <v>0</v>
      </c>
      <c r="U31" s="540">
        <f>IF(U24='E Decom &amp; refub'!$E$60,-'E Decom &amp; refub'!$E$66,0)</f>
        <v>0</v>
      </c>
      <c r="V31" s="540">
        <f>IF(V24='E Decom &amp; refub'!$E$60,-'E Decom &amp; refub'!$E$66,0)</f>
        <v>0</v>
      </c>
      <c r="W31" s="540">
        <f>IF(W24='E Decom &amp; refub'!$E$60,-'E Decom &amp; refub'!$E$66,0)</f>
        <v>0</v>
      </c>
      <c r="X31" s="540">
        <f>IF(X24='E Decom &amp; refub'!$E$60,-'E Decom &amp; refub'!$E$66,0)</f>
        <v>0</v>
      </c>
      <c r="Y31" s="540">
        <f>IF(Y24='E Decom &amp; refub'!$E$60,-'E Decom &amp; refub'!$E$66,0)</f>
        <v>0</v>
      </c>
      <c r="Z31" s="540">
        <f>IF(Z24='E Decom &amp; refub'!$E$60,-'E Decom &amp; refub'!$E$66,0)</f>
        <v>0</v>
      </c>
      <c r="AA31" s="540">
        <f>IF(AA24='E Decom &amp; refub'!$E$60,-'E Decom &amp; refub'!$E$66,0)</f>
        <v>0</v>
      </c>
      <c r="AB31" s="540">
        <f>IF(AB24='E Decom &amp; refub'!$E$60,-'E Decom &amp; refub'!$E$66,0)</f>
        <v>0</v>
      </c>
      <c r="AC31" s="540">
        <f>IF(AC24='E Decom &amp; refub'!$E$60,-'E Decom &amp; refub'!$E$66,0)</f>
        <v>0</v>
      </c>
      <c r="AD31" s="540">
        <f>IF(AD24='E Decom &amp; refub'!$E$60,-'E Decom &amp; refub'!$E$66,0)</f>
        <v>0</v>
      </c>
      <c r="AE31" s="540">
        <f>IF(AE24='E Decom &amp; refub'!$E$60,-'E Decom &amp; refub'!$E$66,0)</f>
        <v>0</v>
      </c>
      <c r="AF31" s="540">
        <f>IF(AF24='E Decom &amp; refub'!$E$60,-'E Decom &amp; refub'!$E$66,0)</f>
        <v>0</v>
      </c>
      <c r="AG31" s="540">
        <f>IF(AG24='E Decom &amp; refub'!$E$60,-'E Decom &amp; refub'!$E$66,0)</f>
        <v>0</v>
      </c>
      <c r="AH31" s="540">
        <f>IF(AH24='E Decom &amp; refub'!$E$60,-'E Decom &amp; refub'!$E$66,0)</f>
        <v>0</v>
      </c>
      <c r="AI31" s="540">
        <f>IF(AI24='E Decom &amp; refub'!$E$60,-'E Decom &amp; refub'!$E$66,0)</f>
        <v>0</v>
      </c>
      <c r="AJ31" s="540">
        <f>IF(AJ24='E Decom &amp; refub'!$E$60,-'E Decom &amp; refub'!$E$66,0)</f>
        <v>0</v>
      </c>
      <c r="AK31" s="540">
        <f>IF(AK24='E Decom &amp; refub'!$E$60,-'E Decom &amp; refub'!$E$66,0)</f>
        <v>0</v>
      </c>
      <c r="AL31" s="540">
        <f>IF(AL24='E Decom &amp; refub'!$E$60,-'E Decom &amp; refub'!$E$66,0)</f>
        <v>0</v>
      </c>
      <c r="AM31" s="540">
        <f>IF(AM24='E Decom &amp; refub'!$E$60,-'E Decom &amp; refub'!$E$66,0)</f>
        <v>0</v>
      </c>
      <c r="AN31" s="540">
        <f>IF(AN24='E Decom &amp; refub'!$E$60,-'E Decom &amp; refub'!$E$66,0)</f>
        <v>0</v>
      </c>
      <c r="AO31" s="540">
        <f>IF(AO24='E Decom &amp; refub'!$E$60,-'E Decom &amp; refub'!$E$66,0)</f>
        <v>0</v>
      </c>
      <c r="AP31" s="540">
        <f>IF(AP24='E Decom &amp; refub'!$E$60,-'E Decom &amp; refub'!$E$66,0)</f>
        <v>0</v>
      </c>
      <c r="AQ31" s="540">
        <f>IF(AQ24='E Decom &amp; refub'!$E$60,-'E Decom &amp; refub'!$E$66,0)</f>
        <v>0</v>
      </c>
      <c r="AR31" s="540">
        <f>IF(AR24='E Decom &amp; refub'!$E$60,-'E Decom &amp; refub'!$E$66,0)</f>
        <v>0</v>
      </c>
      <c r="AS31" s="540">
        <f>IF(AS24='E Decom &amp; refub'!$E$60,-'E Decom &amp; refub'!$E$66,0)</f>
        <v>0</v>
      </c>
      <c r="AT31" s="540">
        <f>IF(AT24='E Decom &amp; refub'!$E$60,-'E Decom &amp; refub'!$E$66,0)</f>
        <v>0</v>
      </c>
      <c r="AU31" s="540">
        <f>IF(AU24='E Decom &amp; refub'!$E$60,-'E Decom &amp; refub'!$E$66,0)</f>
        <v>0</v>
      </c>
      <c r="AV31" s="540">
        <f>IF(AV24='E Decom &amp; refub'!$E$60,-'E Decom &amp; refub'!$E$66,0)</f>
        <v>0</v>
      </c>
      <c r="AW31" s="540">
        <f>IF(AW24='E Decom &amp; refub'!$E$60,-'E Decom &amp; refub'!$E$66,0)</f>
        <v>0</v>
      </c>
      <c r="AX31" s="540">
        <f>IF(AX24='E Decom &amp; refub'!$E$60,-'E Decom &amp; refub'!$E$66,0)</f>
        <v>0</v>
      </c>
      <c r="AY31" s="540">
        <f>IF(AY24='E Decom &amp; refub'!$E$60,-'E Decom &amp; refub'!$E$66,0)</f>
        <v>0</v>
      </c>
      <c r="AZ31" s="540">
        <f>IF(AZ24='E Decom &amp; refub'!$E$60,-'E Decom &amp; refub'!$E$66,0)</f>
        <v>0</v>
      </c>
      <c r="BA31" s="540">
        <f>IF(BA24='E Decom &amp; refub'!$E$60,-'E Decom &amp; refub'!$E$66,0)</f>
        <v>0</v>
      </c>
      <c r="BB31" s="540">
        <f>IF(BB24='E Decom &amp; refub'!$E$60,-'E Decom &amp; refub'!$E$66,0)</f>
        <v>0</v>
      </c>
    </row>
    <row r="32" spans="1:54" x14ac:dyDescent="0.25">
      <c r="B32" s="440"/>
      <c r="C32" s="440"/>
      <c r="D32" s="541"/>
      <c r="E32" s="541">
        <f t="shared" ref="E32:E46" si="22">G32+NPV($C$22,H32:AU32)</f>
        <v>0</v>
      </c>
      <c r="F32" s="542"/>
      <c r="G32" s="542"/>
      <c r="H32" s="542"/>
      <c r="I32" s="542"/>
      <c r="J32" s="542"/>
      <c r="K32" s="542"/>
      <c r="L32" s="542"/>
      <c r="M32" s="542"/>
      <c r="N32" s="542"/>
      <c r="O32" s="542"/>
      <c r="P32" s="542"/>
      <c r="Q32" s="542"/>
      <c r="R32" s="542"/>
      <c r="S32" s="542"/>
      <c r="T32" s="542"/>
      <c r="U32" s="542"/>
      <c r="V32" s="542"/>
      <c r="W32" s="542"/>
      <c r="X32" s="542"/>
      <c r="Y32" s="542"/>
      <c r="Z32" s="542"/>
      <c r="AA32" s="542"/>
      <c r="AB32" s="542"/>
      <c r="AC32" s="542"/>
      <c r="AD32" s="542"/>
      <c r="AE32" s="542"/>
      <c r="AF32" s="542"/>
      <c r="AG32" s="542"/>
      <c r="AH32" s="542"/>
      <c r="AI32" s="542"/>
      <c r="AJ32" s="542"/>
      <c r="AK32" s="542"/>
      <c r="AL32" s="542"/>
      <c r="AM32" s="542"/>
      <c r="AN32" s="542"/>
      <c r="AO32" s="542"/>
      <c r="AP32" s="542"/>
      <c r="AQ32" s="542"/>
      <c r="AR32" s="542"/>
      <c r="AS32" s="542"/>
      <c r="AT32" s="542"/>
      <c r="AU32" s="542"/>
      <c r="AV32" s="542"/>
      <c r="AW32" s="542"/>
      <c r="AX32" s="542"/>
      <c r="AY32" s="542"/>
      <c r="AZ32" s="542"/>
      <c r="BA32" s="542"/>
      <c r="BB32" s="542"/>
    </row>
    <row r="33" spans="1:64" x14ac:dyDescent="0.25">
      <c r="B33" s="309" t="s">
        <v>982</v>
      </c>
      <c r="C33" s="309" t="s">
        <v>979</v>
      </c>
      <c r="D33" s="530">
        <f>SUM(G33:BB33)</f>
        <v>-252985.88845242397</v>
      </c>
      <c r="E33" s="530">
        <f>G33+NPV($C$22,H33:BB33)</f>
        <v>-125147.72662004079</v>
      </c>
      <c r="F33" s="531"/>
      <c r="G33" s="532">
        <f>SUM(G34:G37)</f>
        <v>0</v>
      </c>
      <c r="H33" s="532">
        <f t="shared" ref="H33:BB33" si="23">SUM(H34:H37)</f>
        <v>0</v>
      </c>
      <c r="I33" s="532">
        <f t="shared" si="23"/>
        <v>0</v>
      </c>
      <c r="J33" s="532">
        <f t="shared" si="23"/>
        <v>0</v>
      </c>
      <c r="K33" s="532">
        <f t="shared" si="23"/>
        <v>-28700.054801301532</v>
      </c>
      <c r="L33" s="532">
        <f t="shared" si="23"/>
        <v>-29763.870673881116</v>
      </c>
      <c r="M33" s="532">
        <f t="shared" si="23"/>
        <v>-30432.25531839348</v>
      </c>
      <c r="N33" s="532">
        <f t="shared" si="23"/>
        <v>-31193.371668917243</v>
      </c>
      <c r="O33" s="532">
        <f t="shared" si="23"/>
        <v>-31965.995190792528</v>
      </c>
      <c r="P33" s="532">
        <f t="shared" si="23"/>
        <v>-32768.893970552199</v>
      </c>
      <c r="Q33" s="532">
        <f t="shared" si="23"/>
        <v>-33640.543890144116</v>
      </c>
      <c r="R33" s="532">
        <f t="shared" si="23"/>
        <v>-34520.902938441744</v>
      </c>
      <c r="S33" s="532">
        <f t="shared" si="23"/>
        <v>0</v>
      </c>
      <c r="T33" s="532">
        <f t="shared" si="23"/>
        <v>0</v>
      </c>
      <c r="U33" s="532">
        <f t="shared" si="23"/>
        <v>0</v>
      </c>
      <c r="V33" s="532">
        <f t="shared" si="23"/>
        <v>0</v>
      </c>
      <c r="W33" s="532">
        <f t="shared" si="23"/>
        <v>0</v>
      </c>
      <c r="X33" s="532">
        <f t="shared" si="23"/>
        <v>0</v>
      </c>
      <c r="Y33" s="532">
        <f t="shared" si="23"/>
        <v>0</v>
      </c>
      <c r="Z33" s="532">
        <f t="shared" si="23"/>
        <v>0</v>
      </c>
      <c r="AA33" s="532">
        <f t="shared" si="23"/>
        <v>0</v>
      </c>
      <c r="AB33" s="532">
        <f t="shared" si="23"/>
        <v>0</v>
      </c>
      <c r="AC33" s="532">
        <f t="shared" si="23"/>
        <v>0</v>
      </c>
      <c r="AD33" s="532">
        <f t="shared" si="23"/>
        <v>0</v>
      </c>
      <c r="AE33" s="532">
        <f t="shared" si="23"/>
        <v>0</v>
      </c>
      <c r="AF33" s="532">
        <f t="shared" si="23"/>
        <v>0</v>
      </c>
      <c r="AG33" s="532">
        <f t="shared" si="23"/>
        <v>0</v>
      </c>
      <c r="AH33" s="532">
        <f t="shared" si="23"/>
        <v>0</v>
      </c>
      <c r="AI33" s="532">
        <f t="shared" si="23"/>
        <v>0</v>
      </c>
      <c r="AJ33" s="532">
        <f t="shared" si="23"/>
        <v>0</v>
      </c>
      <c r="AK33" s="532">
        <f t="shared" si="23"/>
        <v>0</v>
      </c>
      <c r="AL33" s="532">
        <f t="shared" si="23"/>
        <v>0</v>
      </c>
      <c r="AM33" s="532">
        <f t="shared" si="23"/>
        <v>0</v>
      </c>
      <c r="AN33" s="532">
        <f t="shared" si="23"/>
        <v>0</v>
      </c>
      <c r="AO33" s="532">
        <f t="shared" si="23"/>
        <v>0</v>
      </c>
      <c r="AP33" s="532">
        <f t="shared" si="23"/>
        <v>0</v>
      </c>
      <c r="AQ33" s="532">
        <f t="shared" si="23"/>
        <v>0</v>
      </c>
      <c r="AR33" s="532">
        <f t="shared" si="23"/>
        <v>0</v>
      </c>
      <c r="AS33" s="532">
        <f t="shared" si="23"/>
        <v>0</v>
      </c>
      <c r="AT33" s="532">
        <f t="shared" si="23"/>
        <v>0</v>
      </c>
      <c r="AU33" s="532">
        <f t="shared" si="23"/>
        <v>0</v>
      </c>
      <c r="AV33" s="532">
        <f t="shared" si="23"/>
        <v>0</v>
      </c>
      <c r="AW33" s="532">
        <f t="shared" si="23"/>
        <v>0</v>
      </c>
      <c r="AX33" s="532">
        <f t="shared" si="23"/>
        <v>0</v>
      </c>
      <c r="AY33" s="532">
        <f t="shared" si="23"/>
        <v>0</v>
      </c>
      <c r="AZ33" s="532">
        <f t="shared" si="23"/>
        <v>0</v>
      </c>
      <c r="BA33" s="532">
        <f t="shared" si="23"/>
        <v>0</v>
      </c>
      <c r="BB33" s="532">
        <f t="shared" si="23"/>
        <v>0</v>
      </c>
    </row>
    <row r="34" spans="1:64" x14ac:dyDescent="0.25">
      <c r="A34" s="990"/>
      <c r="B34" s="507" t="s">
        <v>991</v>
      </c>
      <c r="C34" s="508" t="s">
        <v>979</v>
      </c>
      <c r="D34" s="534">
        <f t="shared" ref="D34:D37" si="24">SUM(G34:BB34)</f>
        <v>-66165.568083105667</v>
      </c>
      <c r="E34" s="534">
        <f t="shared" ref="E34:E37" si="25">G34+NPV($C$22,H34:BB34)</f>
        <v>-32761.557893968991</v>
      </c>
      <c r="F34" s="535"/>
      <c r="G34" s="536">
        <f>Exploitation_elec!F11</f>
        <v>0</v>
      </c>
      <c r="H34" s="536">
        <f>Exploitation_elec!G11</f>
        <v>0</v>
      </c>
      <c r="I34" s="536">
        <f>Exploitation_elec!H11</f>
        <v>0</v>
      </c>
      <c r="J34" s="536">
        <f>Exploitation_elec!I11</f>
        <v>0</v>
      </c>
      <c r="K34" s="536">
        <f>Exploitation_elec!J11</f>
        <v>-7417.1740127418498</v>
      </c>
      <c r="L34" s="536">
        <f>Exploitation_elec!K11</f>
        <v>-7895.7583359449554</v>
      </c>
      <c r="M34" s="536">
        <f>Exploitation_elec!L11</f>
        <v>-8055.8608121431243</v>
      </c>
      <c r="N34" s="536">
        <f>Exploitation_elec!M11</f>
        <v>-8219.2090840548371</v>
      </c>
      <c r="O34" s="536">
        <f>Exploitation_elec!N11</f>
        <v>-8385.8689425181656</v>
      </c>
      <c r="P34" s="536">
        <f>Exploitation_elec!O11</f>
        <v>-8555.9075116864042</v>
      </c>
      <c r="Q34" s="536">
        <f>Exploitation_elec!P11</f>
        <v>-8729.3932760443604</v>
      </c>
      <c r="R34" s="536">
        <f>Exploitation_elec!Q11</f>
        <v>-8906.3961079719684</v>
      </c>
      <c r="S34" s="536">
        <f>Exploitation_elec!R11</f>
        <v>0</v>
      </c>
      <c r="T34" s="536">
        <f>Exploitation_elec!S11</f>
        <v>0</v>
      </c>
      <c r="U34" s="536">
        <f>Exploitation_elec!T11</f>
        <v>0</v>
      </c>
      <c r="V34" s="536">
        <f>Exploitation_elec!U11</f>
        <v>0</v>
      </c>
      <c r="W34" s="536">
        <f>Exploitation_elec!V11</f>
        <v>0</v>
      </c>
      <c r="X34" s="536">
        <f>Exploitation_elec!W11</f>
        <v>0</v>
      </c>
      <c r="Y34" s="536">
        <f>Exploitation_elec!X11</f>
        <v>0</v>
      </c>
      <c r="Z34" s="536">
        <f>Exploitation_elec!Y11</f>
        <v>0</v>
      </c>
      <c r="AA34" s="536">
        <f>Exploitation_elec!Z11</f>
        <v>0</v>
      </c>
      <c r="AB34" s="536">
        <f>Exploitation_elec!AA11</f>
        <v>0</v>
      </c>
      <c r="AC34" s="536">
        <f>Exploitation_elec!AB11</f>
        <v>0</v>
      </c>
      <c r="AD34" s="536">
        <f>Exploitation_elec!AC11</f>
        <v>0</v>
      </c>
      <c r="AE34" s="536">
        <f>Exploitation_elec!AD11</f>
        <v>0</v>
      </c>
      <c r="AF34" s="536">
        <f>Exploitation_elec!AE11</f>
        <v>0</v>
      </c>
      <c r="AG34" s="536">
        <f>Exploitation_elec!AF11</f>
        <v>0</v>
      </c>
      <c r="AH34" s="536">
        <f>Exploitation_elec!AG11</f>
        <v>0</v>
      </c>
      <c r="AI34" s="536">
        <f>Exploitation_elec!AH11</f>
        <v>0</v>
      </c>
      <c r="AJ34" s="536">
        <f>Exploitation_elec!AI11</f>
        <v>0</v>
      </c>
      <c r="AK34" s="536">
        <f>Exploitation_elec!AJ11</f>
        <v>0</v>
      </c>
      <c r="AL34" s="536">
        <f>Exploitation_elec!AK11</f>
        <v>0</v>
      </c>
      <c r="AM34" s="536">
        <f>Exploitation_elec!AL11</f>
        <v>0</v>
      </c>
      <c r="AN34" s="536">
        <f>Exploitation_elec!AM11</f>
        <v>0</v>
      </c>
      <c r="AO34" s="536">
        <f>Exploitation_elec!AN11</f>
        <v>0</v>
      </c>
      <c r="AP34" s="536">
        <f>Exploitation_elec!AO11</f>
        <v>0</v>
      </c>
      <c r="AQ34" s="536">
        <f>Exploitation_elec!AP11</f>
        <v>0</v>
      </c>
      <c r="AR34" s="536">
        <f>Exploitation_elec!AQ11</f>
        <v>0</v>
      </c>
      <c r="AS34" s="536">
        <f>Exploitation_elec!AR11</f>
        <v>0</v>
      </c>
      <c r="AT34" s="536">
        <f>Exploitation_elec!AS11</f>
        <v>0</v>
      </c>
      <c r="AU34" s="536">
        <f>Exploitation_elec!AT11</f>
        <v>0</v>
      </c>
      <c r="AV34" s="536">
        <f>Exploitation_elec!AU11</f>
        <v>0</v>
      </c>
      <c r="AW34" s="536">
        <f>Exploitation_elec!AV11</f>
        <v>0</v>
      </c>
      <c r="AX34" s="536">
        <f>Exploitation_elec!AW11</f>
        <v>0</v>
      </c>
      <c r="AY34" s="536">
        <f>Exploitation_elec!AX11</f>
        <v>0</v>
      </c>
      <c r="AZ34" s="536">
        <f>Exploitation_elec!AY11</f>
        <v>0</v>
      </c>
      <c r="BA34" s="536">
        <f>Exploitation_elec!AZ11</f>
        <v>0</v>
      </c>
      <c r="BB34" s="536">
        <f>Exploitation_elec!BA11</f>
        <v>0</v>
      </c>
      <c r="BL34" s="165"/>
    </row>
    <row r="35" spans="1:64" x14ac:dyDescent="0.25">
      <c r="A35" s="990"/>
      <c r="B35" s="537" t="s">
        <v>543</v>
      </c>
      <c r="C35" s="1113" t="s">
        <v>979</v>
      </c>
      <c r="D35" s="539">
        <f t="shared" si="24"/>
        <v>-19008.207010501123</v>
      </c>
      <c r="E35" s="539">
        <f t="shared" si="25"/>
        <v>-9131.0453262271421</v>
      </c>
      <c r="F35" s="539"/>
      <c r="G35" s="540">
        <f>SUM(Exploitation_elec!F14)</f>
        <v>0</v>
      </c>
      <c r="H35" s="540">
        <f>SUM(Exploitation_elec!G14)</f>
        <v>0</v>
      </c>
      <c r="I35" s="540">
        <f>SUM(Exploitation_elec!H14)</f>
        <v>0</v>
      </c>
      <c r="J35" s="540">
        <f>SUM(Exploitation_elec!I14)</f>
        <v>0</v>
      </c>
      <c r="K35" s="540">
        <f>SUM(Exploitation_elec!J14)</f>
        <v>-1731.1251689116834</v>
      </c>
      <c r="L35" s="540">
        <f>SUM(Exploitation_elec!K14)</f>
        <v>-1925.3216058952012</v>
      </c>
      <c r="M35" s="540">
        <f>SUM(Exploitation_elec!L14)</f>
        <v>-2034.7479595685727</v>
      </c>
      <c r="N35" s="540">
        <f>SUM(Exploitation_elec!M14)</f>
        <v>-2225.6831072469972</v>
      </c>
      <c r="O35" s="540">
        <f>SUM(Exploitation_elec!N14)</f>
        <v>-2416.6771811066415</v>
      </c>
      <c r="P35" s="540">
        <f>SUM(Exploitation_elec!O14)</f>
        <v>-2626.2684103547158</v>
      </c>
      <c r="Q35" s="540">
        <f>SUM(Exploitation_elec!P14)</f>
        <v>-2892.6982046184544</v>
      </c>
      <c r="R35" s="540">
        <f>SUM(Exploitation_elec!Q14)</f>
        <v>-3155.6853727988578</v>
      </c>
      <c r="S35" s="540">
        <f>SUM(Exploitation_elec!R14)</f>
        <v>0</v>
      </c>
      <c r="T35" s="540">
        <f>SUM(Exploitation_elec!S14)</f>
        <v>0</v>
      </c>
      <c r="U35" s="540">
        <f>SUM(Exploitation_elec!T14)</f>
        <v>0</v>
      </c>
      <c r="V35" s="540">
        <f>SUM(Exploitation_elec!U14)</f>
        <v>0</v>
      </c>
      <c r="W35" s="540">
        <f>SUM(Exploitation_elec!V14)</f>
        <v>0</v>
      </c>
      <c r="X35" s="540">
        <f>SUM(Exploitation_elec!W14)</f>
        <v>0</v>
      </c>
      <c r="Y35" s="540">
        <f>SUM(Exploitation_elec!X14)</f>
        <v>0</v>
      </c>
      <c r="Z35" s="540">
        <f>SUM(Exploitation_elec!Y14)</f>
        <v>0</v>
      </c>
      <c r="AA35" s="540">
        <f>SUM(Exploitation_elec!Z14)</f>
        <v>0</v>
      </c>
      <c r="AB35" s="540">
        <f>SUM(Exploitation_elec!AA14)</f>
        <v>0</v>
      </c>
      <c r="AC35" s="540">
        <f>SUM(Exploitation_elec!AB14)</f>
        <v>0</v>
      </c>
      <c r="AD35" s="540">
        <f>SUM(Exploitation_elec!AC14)</f>
        <v>0</v>
      </c>
      <c r="AE35" s="540">
        <f>SUM(Exploitation_elec!AD14)</f>
        <v>0</v>
      </c>
      <c r="AF35" s="540">
        <f>SUM(Exploitation_elec!AE14)</f>
        <v>0</v>
      </c>
      <c r="AG35" s="540">
        <f>SUM(Exploitation_elec!AF14)</f>
        <v>0</v>
      </c>
      <c r="AH35" s="540">
        <f>SUM(Exploitation_elec!AG14)</f>
        <v>0</v>
      </c>
      <c r="AI35" s="540">
        <f>SUM(Exploitation_elec!AH14)</f>
        <v>0</v>
      </c>
      <c r="AJ35" s="540">
        <f>SUM(Exploitation_elec!AI14)</f>
        <v>0</v>
      </c>
      <c r="AK35" s="540">
        <f>SUM(Exploitation_elec!AJ14)</f>
        <v>0</v>
      </c>
      <c r="AL35" s="540">
        <f>SUM(Exploitation_elec!AK14)</f>
        <v>0</v>
      </c>
      <c r="AM35" s="540">
        <f>SUM(Exploitation_elec!AL14)</f>
        <v>0</v>
      </c>
      <c r="AN35" s="540">
        <f>SUM(Exploitation_elec!AM14)</f>
        <v>0</v>
      </c>
      <c r="AO35" s="540">
        <f>SUM(Exploitation_elec!AN14)</f>
        <v>0</v>
      </c>
      <c r="AP35" s="540">
        <f>SUM(Exploitation_elec!AO14)</f>
        <v>0</v>
      </c>
      <c r="AQ35" s="540">
        <f>SUM(Exploitation_elec!AP14)</f>
        <v>0</v>
      </c>
      <c r="AR35" s="540">
        <f>SUM(Exploitation_elec!AQ14)</f>
        <v>0</v>
      </c>
      <c r="AS35" s="540">
        <f>SUM(Exploitation_elec!AR14)</f>
        <v>0</v>
      </c>
      <c r="AT35" s="540">
        <f>SUM(Exploitation_elec!AS14)</f>
        <v>0</v>
      </c>
      <c r="AU35" s="540">
        <f>SUM(Exploitation_elec!AT14)</f>
        <v>0</v>
      </c>
      <c r="AV35" s="540">
        <f>SUM(Exploitation_elec!AU14)</f>
        <v>0</v>
      </c>
      <c r="AW35" s="540">
        <f>SUM(Exploitation_elec!AV14)</f>
        <v>0</v>
      </c>
      <c r="AX35" s="540">
        <f>SUM(Exploitation_elec!AW14)</f>
        <v>0</v>
      </c>
      <c r="AY35" s="540">
        <f>SUM(Exploitation_elec!AX14)</f>
        <v>0</v>
      </c>
      <c r="AZ35" s="540">
        <f>SUM(Exploitation_elec!AY14)</f>
        <v>0</v>
      </c>
      <c r="BA35" s="540">
        <f>SUM(Exploitation_elec!AZ14)</f>
        <v>0</v>
      </c>
      <c r="BB35" s="540">
        <f>SUM(Exploitation_elec!BA14)</f>
        <v>0</v>
      </c>
      <c r="BL35" s="165"/>
    </row>
    <row r="36" spans="1:64" x14ac:dyDescent="0.25">
      <c r="A36" s="990"/>
      <c r="B36" s="537" t="s">
        <v>742</v>
      </c>
      <c r="C36" s="1113" t="s">
        <v>979</v>
      </c>
      <c r="D36" s="539">
        <f t="shared" si="24"/>
        <v>-2441.5385981518452</v>
      </c>
      <c r="E36" s="539">
        <f t="shared" si="25"/>
        <v>-1211.298715009809</v>
      </c>
      <c r="F36" s="539"/>
      <c r="G36" s="540">
        <f>SUM(Exploitation_elec!F12:F13)</f>
        <v>0</v>
      </c>
      <c r="H36" s="540">
        <f>SUM(Exploitation_elec!G12:G13)</f>
        <v>0</v>
      </c>
      <c r="I36" s="540">
        <f>SUM(Exploitation_elec!H12:H13)</f>
        <v>0</v>
      </c>
      <c r="J36" s="540">
        <f>SUM(Exploitation_elec!I12:I13)</f>
        <v>0</v>
      </c>
      <c r="K36" s="540">
        <f>SUM(Exploitation_elec!J12:J13)</f>
        <v>-284.46317164800001</v>
      </c>
      <c r="L36" s="540">
        <f>SUM(Exploitation_elec!K12:K13)</f>
        <v>-290.15243508096</v>
      </c>
      <c r="M36" s="540">
        <f>SUM(Exploitation_elec!L12:L13)</f>
        <v>-295.95548378257917</v>
      </c>
      <c r="N36" s="540">
        <f>SUM(Exploitation_elec!M12:M13)</f>
        <v>-301.87459345823072</v>
      </c>
      <c r="O36" s="540">
        <f>SUM(Exploitation_elec!N12:N13)</f>
        <v>-307.91208532739535</v>
      </c>
      <c r="P36" s="540">
        <f>SUM(Exploitation_elec!O12:O13)</f>
        <v>-314.07032703394327</v>
      </c>
      <c r="Q36" s="540">
        <f>SUM(Exploitation_elec!P12:P13)</f>
        <v>-320.35173357462219</v>
      </c>
      <c r="R36" s="540">
        <f>SUM(Exploitation_elec!Q12:Q13)</f>
        <v>-326.75876824611453</v>
      </c>
      <c r="S36" s="540">
        <f>SUM(Exploitation_elec!R12:R13)</f>
        <v>0</v>
      </c>
      <c r="T36" s="540">
        <f>SUM(Exploitation_elec!S12:S13)</f>
        <v>0</v>
      </c>
      <c r="U36" s="540">
        <f>SUM(Exploitation_elec!T12:T13)</f>
        <v>0</v>
      </c>
      <c r="V36" s="540">
        <f>SUM(Exploitation_elec!U12:U13)</f>
        <v>0</v>
      </c>
      <c r="W36" s="540">
        <f>SUM(Exploitation_elec!V12:V13)</f>
        <v>0</v>
      </c>
      <c r="X36" s="540">
        <f>SUM(Exploitation_elec!W12:W13)</f>
        <v>0</v>
      </c>
      <c r="Y36" s="540">
        <f>SUM(Exploitation_elec!X12:X13)</f>
        <v>0</v>
      </c>
      <c r="Z36" s="540">
        <f>SUM(Exploitation_elec!Y12:Y13)</f>
        <v>0</v>
      </c>
      <c r="AA36" s="540">
        <f>SUM(Exploitation_elec!Z12:Z13)</f>
        <v>0</v>
      </c>
      <c r="AB36" s="540">
        <f>SUM(Exploitation_elec!AA12:AA13)</f>
        <v>0</v>
      </c>
      <c r="AC36" s="540">
        <f>SUM(Exploitation_elec!AB12:AB13)</f>
        <v>0</v>
      </c>
      <c r="AD36" s="540">
        <f>SUM(Exploitation_elec!AC12:AC13)</f>
        <v>0</v>
      </c>
      <c r="AE36" s="540">
        <f>SUM(Exploitation_elec!AD12:AD13)</f>
        <v>0</v>
      </c>
      <c r="AF36" s="540">
        <f>SUM(Exploitation_elec!AE12:AE13)</f>
        <v>0</v>
      </c>
      <c r="AG36" s="540">
        <f>SUM(Exploitation_elec!AF12:AF13)</f>
        <v>0</v>
      </c>
      <c r="AH36" s="540">
        <f>SUM(Exploitation_elec!AG12:AG13)</f>
        <v>0</v>
      </c>
      <c r="AI36" s="540">
        <f>SUM(Exploitation_elec!AH12:AH13)</f>
        <v>0</v>
      </c>
      <c r="AJ36" s="540">
        <f>SUM(Exploitation_elec!AI12:AI13)</f>
        <v>0</v>
      </c>
      <c r="AK36" s="540">
        <f>SUM(Exploitation_elec!AJ12:AJ13)</f>
        <v>0</v>
      </c>
      <c r="AL36" s="540">
        <f>SUM(Exploitation_elec!AK12:AK13)</f>
        <v>0</v>
      </c>
      <c r="AM36" s="540">
        <f>SUM(Exploitation_elec!AL12:AL13)</f>
        <v>0</v>
      </c>
      <c r="AN36" s="540">
        <f>SUM(Exploitation_elec!AM12:AM13)</f>
        <v>0</v>
      </c>
      <c r="AO36" s="540">
        <f>SUM(Exploitation_elec!AN12:AN13)</f>
        <v>0</v>
      </c>
      <c r="AP36" s="540">
        <f>SUM(Exploitation_elec!AO12:AO13)</f>
        <v>0</v>
      </c>
      <c r="AQ36" s="540">
        <f>SUM(Exploitation_elec!AP12:AP13)</f>
        <v>0</v>
      </c>
      <c r="AR36" s="540">
        <f>SUM(Exploitation_elec!AQ12:AQ13)</f>
        <v>0</v>
      </c>
      <c r="AS36" s="540">
        <f>SUM(Exploitation_elec!AR12:AR13)</f>
        <v>0</v>
      </c>
      <c r="AT36" s="540">
        <f>SUM(Exploitation_elec!AS12:AS13)</f>
        <v>0</v>
      </c>
      <c r="AU36" s="540">
        <f>SUM(Exploitation_elec!AT12:AT13)</f>
        <v>0</v>
      </c>
      <c r="AV36" s="540">
        <f>SUM(Exploitation_elec!AU12:AU13)</f>
        <v>0</v>
      </c>
      <c r="AW36" s="540">
        <f>SUM(Exploitation_elec!AV12:AV13)</f>
        <v>0</v>
      </c>
      <c r="AX36" s="540">
        <f>SUM(Exploitation_elec!AW12:AW13)</f>
        <v>0</v>
      </c>
      <c r="AY36" s="540">
        <f>SUM(Exploitation_elec!AX12:AX13)</f>
        <v>0</v>
      </c>
      <c r="AZ36" s="540">
        <f>SUM(Exploitation_elec!AY12:AY13)</f>
        <v>0</v>
      </c>
      <c r="BA36" s="540">
        <f>SUM(Exploitation_elec!AZ12:AZ13)</f>
        <v>0</v>
      </c>
      <c r="BB36" s="540">
        <f>SUM(Exploitation_elec!BA12:BA13)</f>
        <v>0</v>
      </c>
      <c r="BL36" s="165"/>
    </row>
    <row r="37" spans="1:64" x14ac:dyDescent="0.25">
      <c r="A37" s="990"/>
      <c r="B37" s="537" t="str">
        <f>Parameters!D85</f>
        <v>Platform</v>
      </c>
      <c r="C37" s="1113" t="s">
        <v>979</v>
      </c>
      <c r="D37" s="539">
        <f t="shared" si="24"/>
        <v>-165370.57476066533</v>
      </c>
      <c r="E37" s="539">
        <f t="shared" si="25"/>
        <v>-82043.82468483485</v>
      </c>
      <c r="F37" s="539"/>
      <c r="G37" s="540">
        <f>-IF(AND(G$24&gt;=Parameters!$G$56,G$24&lt;Parameters!$G$57),Parameters!$G$85,0)*(1+Parameters!$G$13)^(G$24-$G$24)/1000</f>
        <v>0</v>
      </c>
      <c r="H37" s="540">
        <f>-IF(AND(H$24&gt;=Parameters!$G$56,H$24&lt;Parameters!$G$57),Parameters!$G$85,0)*(1+Parameters!$G$13)^(H$24-$G$24)/1000</f>
        <v>0</v>
      </c>
      <c r="I37" s="540">
        <f>-IF(AND(I$24&gt;=Parameters!$G$56,I$24&lt;Parameters!$G$57),Parameters!$G$85,0)*(1+Parameters!$G$13)^(I$24-$G$24)/1000</f>
        <v>0</v>
      </c>
      <c r="J37" s="540">
        <f>-IF(AND(J$24&gt;=Parameters!$G$56,J$24&lt;Parameters!$G$57),Parameters!$G$85,0)*(1+Parameters!$G$13)^(J$24-$G$24)/1000</f>
        <v>0</v>
      </c>
      <c r="K37" s="540">
        <f>-IF(AND(K$24&gt;=Parameters!$G$56,K$24&lt;Parameters!$G$57),Parameters!$G$85,0)*(1+Parameters!$G$13)^(K$24-$G$24)/1000</f>
        <v>-19267.292448</v>
      </c>
      <c r="L37" s="540">
        <f>-IF(AND(L$24&gt;=Parameters!$G$56,L$24&lt;Parameters!$G$57),Parameters!$G$85,0)*(1+Parameters!$G$13)^(L$24-$G$24)/1000</f>
        <v>-19652.638296960002</v>
      </c>
      <c r="M37" s="540">
        <f>-IF(AND(M$24&gt;=Parameters!$G$56,M$24&lt;Parameters!$G$57),Parameters!$G$85,0)*(1+Parameters!$G$13)^(M$24-$G$24)/1000</f>
        <v>-20045.691062899201</v>
      </c>
      <c r="N37" s="540">
        <f>-IF(AND(N$24&gt;=Parameters!$G$56,N$24&lt;Parameters!$G$57),Parameters!$G$85,0)*(1+Parameters!$G$13)^(N$24-$G$24)/1000</f>
        <v>-20446.604884157179</v>
      </c>
      <c r="O37" s="540">
        <f>-IF(AND(O$24&gt;=Parameters!$G$56,O$24&lt;Parameters!$G$57),Parameters!$G$85,0)*(1+Parameters!$G$13)^(O$24-$G$24)/1000</f>
        <v>-20855.536981840327</v>
      </c>
      <c r="P37" s="540">
        <f>-IF(AND(P$24&gt;=Parameters!$G$56,P$24&lt;Parameters!$G$57),Parameters!$G$85,0)*(1+Parameters!$G$13)^(P$24-$G$24)/1000</f>
        <v>-21272.647721477133</v>
      </c>
      <c r="Q37" s="540">
        <f>-IF(AND(Q$24&gt;=Parameters!$G$56,Q$24&lt;Parameters!$G$57),Parameters!$G$85,0)*(1+Parameters!$G$13)^(Q$24-$G$24)/1000</f>
        <v>-21698.100675906677</v>
      </c>
      <c r="R37" s="540">
        <f>-IF(AND(R$24&gt;=Parameters!$G$56,R$24&lt;Parameters!$G$57),Parameters!$G$85,0)*(1+Parameters!$G$13)^(R$24-$G$24)/1000</f>
        <v>-22132.062689424805</v>
      </c>
      <c r="S37" s="540">
        <f>-IF(AND(S$24&gt;=Parameters!$G$56,S$24&lt;Parameters!$G$57),Parameters!$G$85,0)*(1+Parameters!$G$13)^(S$24-$G$24)/1000</f>
        <v>0</v>
      </c>
      <c r="T37" s="540">
        <f>-IF(AND(T$24&gt;=Parameters!$G$56,T$24&lt;Parameters!$G$57),Parameters!$G$85,0)*(1+Parameters!$G$13)^(T$24-$G$24)/1000</f>
        <v>0</v>
      </c>
      <c r="U37" s="540">
        <f>-IF(AND(U$24&gt;=Parameters!$G$56,U$24&lt;Parameters!$G$57),Parameters!$G$85,0)*(1+Parameters!$G$13)^(U$24-$G$24)/1000</f>
        <v>0</v>
      </c>
      <c r="V37" s="540">
        <f>-IF(AND(V$24&gt;=Parameters!$G$56,V$24&lt;Parameters!$G$57),Parameters!$G$85,0)*(1+Parameters!$G$13)^(V$24-$G$24)/1000</f>
        <v>0</v>
      </c>
      <c r="W37" s="540">
        <f>-IF(AND(W$24&gt;=Parameters!$G$56,W$24&lt;Parameters!$G$57),Parameters!$G$85,0)*(1+Parameters!$G$13)^(W$24-$G$24)/1000</f>
        <v>0</v>
      </c>
      <c r="X37" s="540">
        <f>-IF(AND(X$24&gt;=Parameters!$G$56,X$24&lt;Parameters!$G$57),Parameters!$G$85,0)*(1+Parameters!$G$13)^(X$24-$G$24)/1000</f>
        <v>0</v>
      </c>
      <c r="Y37" s="540">
        <f>-IF(AND(Y$24&gt;=Parameters!$G$56,Y$24&lt;Parameters!$G$57),Parameters!$G$85,0)*(1+Parameters!$G$13)^(Y$24-$G$24)/1000</f>
        <v>0</v>
      </c>
      <c r="Z37" s="540">
        <f>-IF(AND(Z$24&gt;=Parameters!$G$56,Z$24&lt;Parameters!$G$57),Parameters!$G$85,0)*(1+Parameters!$G$13)^(Z$24-$G$24)/1000</f>
        <v>0</v>
      </c>
      <c r="AA37" s="540">
        <f>-IF(AND(AA$24&gt;=Parameters!$G$56,AA$24&lt;Parameters!$G$57),Parameters!$G$85,0)*(1+Parameters!$G$13)^(AA$24-$G$24)/1000</f>
        <v>0</v>
      </c>
      <c r="AB37" s="540">
        <f>-IF(AND(AB$24&gt;=Parameters!$G$56,AB$24&lt;Parameters!$G$57),Parameters!$G$85,0)*(1+Parameters!$G$13)^(AB$24-$G$24)/1000</f>
        <v>0</v>
      </c>
      <c r="AC37" s="540">
        <f>-IF(AND(AC$24&gt;=Parameters!$G$56,AC$24&lt;Parameters!$G$57),Parameters!$G$85,0)*(1+Parameters!$G$13)^(AC$24-$G$24)/1000</f>
        <v>0</v>
      </c>
      <c r="AD37" s="540">
        <f>-IF(AND(AD$24&gt;=Parameters!$G$56,AD$24&lt;Parameters!$G$57),Parameters!$G$85,0)*(1+Parameters!$G$13)^(AD$24-$G$24)/1000</f>
        <v>0</v>
      </c>
      <c r="AE37" s="540">
        <f>-IF(AND(AE$24&gt;=Parameters!$G$56,AE$24&lt;Parameters!$G$57),Parameters!$G$85,0)*(1+Parameters!$G$13)^(AE$24-$G$24)/1000</f>
        <v>0</v>
      </c>
      <c r="AF37" s="540">
        <f>-IF(AND(AF$24&gt;=Parameters!$G$56,AF$24&lt;Parameters!$G$57),Parameters!$G$85,0)*(1+Parameters!$G$13)^(AF$24-$G$24)/1000</f>
        <v>0</v>
      </c>
      <c r="AG37" s="540">
        <f>-IF(AND(AG$24&gt;=Parameters!$G$56,AG$24&lt;Parameters!$G$57),Parameters!$G$85,0)*(1+Parameters!$G$13)^(AG$24-$G$24)/1000</f>
        <v>0</v>
      </c>
      <c r="AH37" s="540">
        <f>-IF(AND(AH$24&gt;=Parameters!$G$56,AH$24&lt;Parameters!$G$57),Parameters!$G$85,0)*(1+Parameters!$G$13)^(AH$24-$G$24)/1000</f>
        <v>0</v>
      </c>
      <c r="AI37" s="540">
        <f>-IF(AND(AI$24&gt;=Parameters!$G$56,AI$24&lt;Parameters!$G$57),Parameters!$G$85,0)*(1+Parameters!$G$13)^(AI$24-$G$24)/1000</f>
        <v>0</v>
      </c>
      <c r="AJ37" s="540">
        <f>-IF(AND(AJ$24&gt;=Parameters!$G$56,AJ$24&lt;Parameters!$G$57),Parameters!$G$85,0)*(1+Parameters!$G$13)^(AJ$24-$G$24)/1000</f>
        <v>0</v>
      </c>
      <c r="AK37" s="540">
        <f>-IF(AND(AK$24&gt;=Parameters!$G$56,AK$24&lt;Parameters!$G$57),Parameters!$G$85,0)*(1+Parameters!$G$13)^(AK$24-$G$24)/1000</f>
        <v>0</v>
      </c>
      <c r="AL37" s="540">
        <f>-IF(AND(AL$24&gt;=Parameters!$G$56,AL$24&lt;Parameters!$G$57),Parameters!$G$85,0)*(1+Parameters!$G$13)^(AL$24-$G$24)/1000</f>
        <v>0</v>
      </c>
      <c r="AM37" s="540">
        <f>-IF(AND(AM$24&gt;=Parameters!$G$56,AM$24&lt;Parameters!$G$57),Parameters!$G$85,0)*(1+Parameters!$G$13)^(AM$24-$G$24)/1000</f>
        <v>0</v>
      </c>
      <c r="AN37" s="540">
        <f>-IF(AND(AN$24&gt;=Parameters!$G$56,AN$24&lt;Parameters!$G$57),Parameters!$G$85,0)*(1+Parameters!$G$13)^(AN$24-$G$24)/1000</f>
        <v>0</v>
      </c>
      <c r="AO37" s="540">
        <f>-IF(AND(AO$24&gt;=Parameters!$G$56,AO$24&lt;Parameters!$G$57),Parameters!$G$85,0)*(1+Parameters!$G$13)^(AO$24-$G$24)/1000</f>
        <v>0</v>
      </c>
      <c r="AP37" s="540">
        <f>-IF(AND(AP$24&gt;=Parameters!$G$56,AP$24&lt;Parameters!$G$57),Parameters!$G$85,0)*(1+Parameters!$G$13)^(AP$24-$G$24)/1000</f>
        <v>0</v>
      </c>
      <c r="AQ37" s="540">
        <f>-IF(AND(AQ$24&gt;=Parameters!$G$56,AQ$24&lt;Parameters!$G$57),Parameters!$G$85,0)*(1+Parameters!$G$13)^(AQ$24-$G$24)/1000</f>
        <v>0</v>
      </c>
      <c r="AR37" s="540">
        <f>-IF(AND(AR$24&gt;=Parameters!$G$56,AR$24&lt;Parameters!$G$57),Parameters!$G$85,0)*(1+Parameters!$G$13)^(AR$24-$G$24)/1000</f>
        <v>0</v>
      </c>
      <c r="AS37" s="540">
        <f>-IF(AND(AS$24&gt;=Parameters!$G$56,AS$24&lt;Parameters!$G$57),Parameters!$G$85,0)*(1+Parameters!$G$13)^(AS$24-$G$24)/1000</f>
        <v>0</v>
      </c>
      <c r="AT37" s="540">
        <f>-IF(AND(AT$24&gt;=Parameters!$G$56,AT$24&lt;Parameters!$G$57),Parameters!$G$85,0)*(1+Parameters!$G$13)^(AT$24-$G$24)/1000</f>
        <v>0</v>
      </c>
      <c r="AU37" s="540">
        <f>-IF(AND(AU$24&gt;=Parameters!$G$56,AU$24&lt;Parameters!$G$57),Parameters!$G$85,0)*(1+Parameters!$G$13)^(AU$24-$G$24)/1000</f>
        <v>0</v>
      </c>
      <c r="AV37" s="540">
        <f>-IF(AND(AV$24&gt;=Parameters!$G$56,AV$24&lt;Parameters!$G$57),Parameters!$G$85,0)*(1+Parameters!$G$13)^(AV$24-$G$24)/1000</f>
        <v>0</v>
      </c>
      <c r="AW37" s="540">
        <f>-IF(AND(AW$24&gt;=Parameters!$G$56,AW$24&lt;Parameters!$G$57),Parameters!$G$85,0)*(1+Parameters!$G$13)^(AW$24-$G$24)/1000</f>
        <v>0</v>
      </c>
      <c r="AX37" s="540">
        <f>-IF(AND(AX$24&gt;=Parameters!$G$56,AX$24&lt;Parameters!$G$57),Parameters!$G$85,0)*(1+Parameters!$G$13)^(AX$24-$G$24)/1000</f>
        <v>0</v>
      </c>
      <c r="AY37" s="540">
        <f>-IF(AND(AY$24&gt;=Parameters!$G$56,AY$24&lt;Parameters!$G$57),Parameters!$G$85,0)*(1+Parameters!$G$13)^(AY$24-$G$24)/1000</f>
        <v>0</v>
      </c>
      <c r="AZ37" s="540">
        <f>-IF(AND(AZ$24&gt;=Parameters!$G$56,AZ$24&lt;Parameters!$G$57),Parameters!$G$85,0)*(1+Parameters!$G$13)^(AZ$24-$G$24)/1000</f>
        <v>0</v>
      </c>
      <c r="BA37" s="540">
        <f>-IF(AND(BA$24&gt;=Parameters!$G$56,BA$24&lt;Parameters!$G$57),Parameters!$G$85,0)*(1+Parameters!$G$13)^(BA$24-$G$24)/1000</f>
        <v>0</v>
      </c>
      <c r="BB37" s="540">
        <f>-IF(AND(BB$24&gt;=Parameters!$G$56,BB$24&lt;Parameters!$G$57),Parameters!$G$85,0)*(1+Parameters!$G$13)^(BB$24-$G$24)/1000</f>
        <v>0</v>
      </c>
      <c r="BL37" s="165"/>
    </row>
    <row r="38" spans="1:64" x14ac:dyDescent="0.25">
      <c r="A38" s="990"/>
      <c r="B38" s="440"/>
      <c r="C38" s="440"/>
      <c r="D38" s="541"/>
      <c r="E38" s="541">
        <f t="shared" si="22"/>
        <v>0</v>
      </c>
      <c r="F38" s="542"/>
      <c r="G38" s="542"/>
      <c r="H38" s="542"/>
      <c r="I38" s="542"/>
      <c r="J38" s="542"/>
      <c r="K38" s="542"/>
      <c r="L38" s="542"/>
      <c r="M38" s="542"/>
      <c r="N38" s="542"/>
      <c r="O38" s="542"/>
      <c r="P38" s="542"/>
      <c r="Q38" s="542"/>
      <c r="R38" s="542"/>
      <c r="S38" s="542"/>
      <c r="T38" s="542"/>
      <c r="U38" s="542"/>
      <c r="V38" s="542"/>
      <c r="W38" s="542"/>
      <c r="X38" s="542"/>
      <c r="Y38" s="542"/>
      <c r="Z38" s="542"/>
      <c r="AA38" s="542"/>
      <c r="AB38" s="542"/>
      <c r="AC38" s="542"/>
      <c r="AD38" s="542"/>
      <c r="AE38" s="542"/>
      <c r="AF38" s="542"/>
      <c r="AG38" s="542"/>
      <c r="AH38" s="542"/>
      <c r="AI38" s="542"/>
      <c r="AJ38" s="542"/>
      <c r="AK38" s="542"/>
      <c r="AL38" s="542"/>
      <c r="AM38" s="542"/>
      <c r="AN38" s="542"/>
      <c r="AO38" s="542"/>
      <c r="AP38" s="542"/>
      <c r="AQ38" s="542"/>
      <c r="AR38" s="542"/>
      <c r="AS38" s="542"/>
      <c r="AT38" s="542"/>
      <c r="AU38" s="542"/>
      <c r="AV38" s="542"/>
      <c r="AW38" s="542"/>
      <c r="AX38" s="542"/>
      <c r="AY38" s="542"/>
      <c r="AZ38" s="542"/>
      <c r="BA38" s="542"/>
      <c r="BB38" s="542"/>
    </row>
    <row r="39" spans="1:64" x14ac:dyDescent="0.25">
      <c r="A39" s="990"/>
      <c r="B39" s="309" t="s">
        <v>983</v>
      </c>
      <c r="C39" s="309" t="s">
        <v>979</v>
      </c>
      <c r="D39" s="530">
        <f>SUM(G39:BB39)</f>
        <v>962302.55538981804</v>
      </c>
      <c r="E39" s="530">
        <f>G39+NPV($C$22,H39:BB39)</f>
        <v>474722.0593974173</v>
      </c>
      <c r="F39" s="531"/>
      <c r="G39" s="532">
        <f t="shared" ref="G39:BB39" si="26">SUM(G40:G42)</f>
        <v>0</v>
      </c>
      <c r="H39" s="532">
        <f t="shared" si="26"/>
        <v>0</v>
      </c>
      <c r="I39" s="532">
        <f t="shared" si="26"/>
        <v>0</v>
      </c>
      <c r="J39" s="532">
        <f t="shared" si="26"/>
        <v>0</v>
      </c>
      <c r="K39" s="532">
        <f t="shared" si="26"/>
        <v>106059.96223554664</v>
      </c>
      <c r="L39" s="532">
        <f t="shared" si="26"/>
        <v>111901.67816081163</v>
      </c>
      <c r="M39" s="532">
        <f t="shared" si="26"/>
        <v>115223.97658521791</v>
      </c>
      <c r="N39" s="532">
        <f t="shared" si="26"/>
        <v>118634.40627533611</v>
      </c>
      <c r="O39" s="532">
        <f t="shared" si="26"/>
        <v>122135.16356242495</v>
      </c>
      <c r="P39" s="532">
        <f t="shared" si="26"/>
        <v>125728.4973784872</v>
      </c>
      <c r="Q39" s="532">
        <f t="shared" si="26"/>
        <v>129416.71048176699</v>
      </c>
      <c r="R39" s="532">
        <f t="shared" si="26"/>
        <v>133202.1607102266</v>
      </c>
      <c r="S39" s="532">
        <f t="shared" si="26"/>
        <v>0</v>
      </c>
      <c r="T39" s="532">
        <f t="shared" si="26"/>
        <v>0</v>
      </c>
      <c r="U39" s="532">
        <f t="shared" si="26"/>
        <v>0</v>
      </c>
      <c r="V39" s="532">
        <f t="shared" si="26"/>
        <v>0</v>
      </c>
      <c r="W39" s="532">
        <f t="shared" si="26"/>
        <v>0</v>
      </c>
      <c r="X39" s="532">
        <f t="shared" si="26"/>
        <v>0</v>
      </c>
      <c r="Y39" s="532">
        <f t="shared" si="26"/>
        <v>0</v>
      </c>
      <c r="Z39" s="532">
        <f t="shared" si="26"/>
        <v>0</v>
      </c>
      <c r="AA39" s="532">
        <f t="shared" si="26"/>
        <v>0</v>
      </c>
      <c r="AB39" s="532">
        <f t="shared" si="26"/>
        <v>0</v>
      </c>
      <c r="AC39" s="532">
        <f t="shared" si="26"/>
        <v>0</v>
      </c>
      <c r="AD39" s="532">
        <f t="shared" si="26"/>
        <v>0</v>
      </c>
      <c r="AE39" s="532">
        <f t="shared" si="26"/>
        <v>0</v>
      </c>
      <c r="AF39" s="532">
        <f t="shared" si="26"/>
        <v>0</v>
      </c>
      <c r="AG39" s="532">
        <f t="shared" si="26"/>
        <v>0</v>
      </c>
      <c r="AH39" s="532">
        <f t="shared" si="26"/>
        <v>0</v>
      </c>
      <c r="AI39" s="532">
        <f t="shared" si="26"/>
        <v>0</v>
      </c>
      <c r="AJ39" s="532">
        <f t="shared" si="26"/>
        <v>0</v>
      </c>
      <c r="AK39" s="532">
        <f t="shared" si="26"/>
        <v>0</v>
      </c>
      <c r="AL39" s="532">
        <f t="shared" si="26"/>
        <v>0</v>
      </c>
      <c r="AM39" s="532">
        <f t="shared" si="26"/>
        <v>0</v>
      </c>
      <c r="AN39" s="532">
        <f t="shared" si="26"/>
        <v>0</v>
      </c>
      <c r="AO39" s="532">
        <f t="shared" si="26"/>
        <v>0</v>
      </c>
      <c r="AP39" s="532">
        <f t="shared" si="26"/>
        <v>0</v>
      </c>
      <c r="AQ39" s="532">
        <f t="shared" si="26"/>
        <v>0</v>
      </c>
      <c r="AR39" s="532">
        <f t="shared" si="26"/>
        <v>0</v>
      </c>
      <c r="AS39" s="532">
        <f t="shared" si="26"/>
        <v>0</v>
      </c>
      <c r="AT39" s="532">
        <f t="shared" si="26"/>
        <v>0</v>
      </c>
      <c r="AU39" s="532">
        <f t="shared" si="26"/>
        <v>0</v>
      </c>
      <c r="AV39" s="532">
        <f t="shared" si="26"/>
        <v>0</v>
      </c>
      <c r="AW39" s="532">
        <f t="shared" si="26"/>
        <v>0</v>
      </c>
      <c r="AX39" s="532">
        <f t="shared" si="26"/>
        <v>0</v>
      </c>
      <c r="AY39" s="532">
        <f t="shared" si="26"/>
        <v>0</v>
      </c>
      <c r="AZ39" s="532">
        <f t="shared" si="26"/>
        <v>0</v>
      </c>
      <c r="BA39" s="532">
        <f t="shared" si="26"/>
        <v>0</v>
      </c>
      <c r="BB39" s="532">
        <f t="shared" si="26"/>
        <v>0</v>
      </c>
    </row>
    <row r="40" spans="1:64" x14ac:dyDescent="0.25">
      <c r="A40" s="990"/>
      <c r="B40" s="507" t="s">
        <v>992</v>
      </c>
      <c r="C40" s="543" t="s">
        <v>979</v>
      </c>
      <c r="D40" s="534">
        <f t="shared" ref="D40:D42" si="27">SUM(G40:BB40)</f>
        <v>8562.5154086008606</v>
      </c>
      <c r="E40" s="534">
        <f t="shared" ref="E40:E42" si="28">G40+NPV($C$22,H40:BB40)</f>
        <v>4223.9906799439159</v>
      </c>
      <c r="F40" s="535"/>
      <c r="G40" s="534">
        <f>Revenues_elec!F9</f>
        <v>0</v>
      </c>
      <c r="H40" s="534">
        <f>Revenues_elec!G9</f>
        <v>0</v>
      </c>
      <c r="I40" s="534">
        <f>Revenues_elec!H9</f>
        <v>0</v>
      </c>
      <c r="J40" s="534">
        <f>Revenues_elec!I9</f>
        <v>0</v>
      </c>
      <c r="K40" s="534">
        <f>Revenues_elec!J9</f>
        <v>943.58051012720239</v>
      </c>
      <c r="L40" s="534">
        <f>Revenues_elec!K9</f>
        <v>995.64012447904781</v>
      </c>
      <c r="M40" s="534">
        <f>Revenues_elec!L9</f>
        <v>1025.2248596064253</v>
      </c>
      <c r="N40" s="534">
        <f>Revenues_elec!M9</f>
        <v>1055.5947280891062</v>
      </c>
      <c r="O40" s="534">
        <f>Revenues_elec!N9</f>
        <v>1086.7693013672517</v>
      </c>
      <c r="P40" s="534">
        <f>Revenues_elec!O9</f>
        <v>1118.7686196852874</v>
      </c>
      <c r="Q40" s="534">
        <f>Revenues_elec!P9</f>
        <v>1151.6132030154977</v>
      </c>
      <c r="R40" s="534">
        <f>Revenues_elec!Q9</f>
        <v>1185.3240622310425</v>
      </c>
      <c r="S40" s="534">
        <f>Revenues_elec!R9</f>
        <v>0</v>
      </c>
      <c r="T40" s="534">
        <f>Revenues_elec!S9</f>
        <v>0</v>
      </c>
      <c r="U40" s="534">
        <f>Revenues_elec!T9</f>
        <v>0</v>
      </c>
      <c r="V40" s="534">
        <f>Revenues_elec!U9</f>
        <v>0</v>
      </c>
      <c r="W40" s="534">
        <f>Revenues_elec!V9</f>
        <v>0</v>
      </c>
      <c r="X40" s="534">
        <f>Revenues_elec!W9</f>
        <v>0</v>
      </c>
      <c r="Y40" s="534">
        <f>Revenues_elec!X9</f>
        <v>0</v>
      </c>
      <c r="Z40" s="534">
        <f>Revenues_elec!Y9</f>
        <v>0</v>
      </c>
      <c r="AA40" s="534">
        <f>Revenues_elec!Z9</f>
        <v>0</v>
      </c>
      <c r="AB40" s="534">
        <f>Revenues_elec!AA9</f>
        <v>0</v>
      </c>
      <c r="AC40" s="534">
        <f>Revenues_elec!AB9</f>
        <v>0</v>
      </c>
      <c r="AD40" s="534">
        <f>Revenues_elec!AC9</f>
        <v>0</v>
      </c>
      <c r="AE40" s="534">
        <f>Revenues_elec!AD9</f>
        <v>0</v>
      </c>
      <c r="AF40" s="534">
        <f>Revenues_elec!AE9</f>
        <v>0</v>
      </c>
      <c r="AG40" s="534">
        <f>Revenues_elec!AF9</f>
        <v>0</v>
      </c>
      <c r="AH40" s="534">
        <f>Revenues_elec!AG9</f>
        <v>0</v>
      </c>
      <c r="AI40" s="534">
        <f>Revenues_elec!AH9</f>
        <v>0</v>
      </c>
      <c r="AJ40" s="534">
        <f>Revenues_elec!AI9</f>
        <v>0</v>
      </c>
      <c r="AK40" s="534">
        <f>Revenues_elec!AJ9</f>
        <v>0</v>
      </c>
      <c r="AL40" s="534">
        <f>Revenues_elec!AK9</f>
        <v>0</v>
      </c>
      <c r="AM40" s="534">
        <f>Revenues_elec!AL9</f>
        <v>0</v>
      </c>
      <c r="AN40" s="534">
        <f>Revenues_elec!AM9</f>
        <v>0</v>
      </c>
      <c r="AO40" s="534">
        <f>Revenues_elec!AN9</f>
        <v>0</v>
      </c>
      <c r="AP40" s="534">
        <f>Revenues_elec!AO9</f>
        <v>0</v>
      </c>
      <c r="AQ40" s="534">
        <f>Revenues_elec!AP9</f>
        <v>0</v>
      </c>
      <c r="AR40" s="534">
        <f>Revenues_elec!AQ9</f>
        <v>0</v>
      </c>
      <c r="AS40" s="534">
        <f>Revenues_elec!AR9</f>
        <v>0</v>
      </c>
      <c r="AT40" s="534">
        <f>Revenues_elec!AS9</f>
        <v>0</v>
      </c>
      <c r="AU40" s="534">
        <f>Revenues_elec!AT9</f>
        <v>0</v>
      </c>
      <c r="AV40" s="534">
        <f>Revenues_elec!AU9</f>
        <v>0</v>
      </c>
      <c r="AW40" s="534">
        <f>Revenues_elec!AV9</f>
        <v>0</v>
      </c>
      <c r="AX40" s="534">
        <f>Revenues_elec!AW9</f>
        <v>0</v>
      </c>
      <c r="AY40" s="534">
        <f>Revenues_elec!AX9</f>
        <v>0</v>
      </c>
      <c r="AZ40" s="534">
        <f>Revenues_elec!AY9</f>
        <v>0</v>
      </c>
      <c r="BA40" s="534">
        <f>Revenues_elec!AZ9</f>
        <v>0</v>
      </c>
      <c r="BB40" s="534">
        <f>Revenues_elec!BA9</f>
        <v>0</v>
      </c>
    </row>
    <row r="41" spans="1:64" x14ac:dyDescent="0.25">
      <c r="A41" s="990"/>
      <c r="B41" s="544" t="s">
        <v>993</v>
      </c>
      <c r="C41" s="545" t="s">
        <v>979</v>
      </c>
      <c r="D41" s="538">
        <f t="shared" si="27"/>
        <v>97488.499121131113</v>
      </c>
      <c r="E41" s="538">
        <f t="shared" si="28"/>
        <v>48099.000723081794</v>
      </c>
      <c r="F41" s="539"/>
      <c r="G41" s="538">
        <f>SUM(Revenues_elec!F10:F11)</f>
        <v>0</v>
      </c>
      <c r="H41" s="538">
        <f>SUM(Revenues_elec!G10:G11)</f>
        <v>0</v>
      </c>
      <c r="I41" s="538">
        <f>SUM(Revenues_elec!H10:H11)</f>
        <v>0</v>
      </c>
      <c r="J41" s="538">
        <f>SUM(Revenues_elec!I10:I11)</f>
        <v>0</v>
      </c>
      <c r="K41" s="538">
        <f>SUM(Revenues_elec!J10:J11)</f>
        <v>10758.330712699204</v>
      </c>
      <c r="L41" s="538">
        <f>SUM(Revenues_elec!K10:K11)</f>
        <v>11342.025588427803</v>
      </c>
      <c r="M41" s="538">
        <f>SUM(Revenues_elec!L10:L11)</f>
        <v>11676.265764968961</v>
      </c>
      <c r="N41" s="538">
        <f>SUM(Revenues_elec!M10:M11)</f>
        <v>12019.338738336392</v>
      </c>
      <c r="O41" s="538">
        <f>SUM(Revenues_elec!N10:N11)</f>
        <v>12371.464124332531</v>
      </c>
      <c r="P41" s="538">
        <f>SUM(Revenues_elec!O10:O11)</f>
        <v>12732.866790273187</v>
      </c>
      <c r="Q41" s="538">
        <f>SUM(Revenues_elec!P10:P11)</f>
        <v>13103.776977201733</v>
      </c>
      <c r="R41" s="538">
        <f>SUM(Revenues_elec!Q10:Q11)</f>
        <v>13484.430424891312</v>
      </c>
      <c r="S41" s="538">
        <f>SUM(Revenues_elec!R10:R11)</f>
        <v>0</v>
      </c>
      <c r="T41" s="538">
        <f>SUM(Revenues_elec!S10:S11)</f>
        <v>0</v>
      </c>
      <c r="U41" s="538">
        <f>SUM(Revenues_elec!T10:T11)</f>
        <v>0</v>
      </c>
      <c r="V41" s="538">
        <f>SUM(Revenues_elec!U10:U11)</f>
        <v>0</v>
      </c>
      <c r="W41" s="538">
        <f>SUM(Revenues_elec!V10:V11)</f>
        <v>0</v>
      </c>
      <c r="X41" s="538">
        <f>SUM(Revenues_elec!W10:W11)</f>
        <v>0</v>
      </c>
      <c r="Y41" s="538">
        <f>SUM(Revenues_elec!X10:X11)</f>
        <v>0</v>
      </c>
      <c r="Z41" s="538">
        <f>SUM(Revenues_elec!Y10:Y11)</f>
        <v>0</v>
      </c>
      <c r="AA41" s="538">
        <f>SUM(Revenues_elec!Z10:Z11)</f>
        <v>0</v>
      </c>
      <c r="AB41" s="538">
        <f>SUM(Revenues_elec!AA10:AA11)</f>
        <v>0</v>
      </c>
      <c r="AC41" s="538">
        <f>SUM(Revenues_elec!AB10:AB11)</f>
        <v>0</v>
      </c>
      <c r="AD41" s="538">
        <f>SUM(Revenues_elec!AC10:AC11)</f>
        <v>0</v>
      </c>
      <c r="AE41" s="538">
        <f>SUM(Revenues_elec!AD10:AD11)</f>
        <v>0</v>
      </c>
      <c r="AF41" s="538">
        <f>SUM(Revenues_elec!AE10:AE11)</f>
        <v>0</v>
      </c>
      <c r="AG41" s="538">
        <f>SUM(Revenues_elec!AF10:AF11)</f>
        <v>0</v>
      </c>
      <c r="AH41" s="538">
        <f>SUM(Revenues_elec!AG10:AG11)</f>
        <v>0</v>
      </c>
      <c r="AI41" s="538">
        <f>SUM(Revenues_elec!AH10:AH11)</f>
        <v>0</v>
      </c>
      <c r="AJ41" s="538">
        <f>SUM(Revenues_elec!AI10:AI11)</f>
        <v>0</v>
      </c>
      <c r="AK41" s="538">
        <f>SUM(Revenues_elec!AJ10:AJ11)</f>
        <v>0</v>
      </c>
      <c r="AL41" s="538">
        <f>SUM(Revenues_elec!AK10:AK11)</f>
        <v>0</v>
      </c>
      <c r="AM41" s="538">
        <f>SUM(Revenues_elec!AL10:AL11)</f>
        <v>0</v>
      </c>
      <c r="AN41" s="538">
        <f>SUM(Revenues_elec!AM10:AM11)</f>
        <v>0</v>
      </c>
      <c r="AO41" s="538">
        <f>SUM(Revenues_elec!AN10:AN11)</f>
        <v>0</v>
      </c>
      <c r="AP41" s="538">
        <f>SUM(Revenues_elec!AO10:AO11)</f>
        <v>0</v>
      </c>
      <c r="AQ41" s="538">
        <f>SUM(Revenues_elec!AP10:AP11)</f>
        <v>0</v>
      </c>
      <c r="AR41" s="538">
        <f>SUM(Revenues_elec!AQ10:AQ11)</f>
        <v>0</v>
      </c>
      <c r="AS41" s="538">
        <f>SUM(Revenues_elec!AR10:AR11)</f>
        <v>0</v>
      </c>
      <c r="AT41" s="538">
        <f>SUM(Revenues_elec!AS10:AS11)</f>
        <v>0</v>
      </c>
      <c r="AU41" s="538">
        <f>SUM(Revenues_elec!AT10:AT11)</f>
        <v>0</v>
      </c>
      <c r="AV41" s="538">
        <f>SUM(Revenues_elec!AU10:AU11)</f>
        <v>0</v>
      </c>
      <c r="AW41" s="538">
        <f>SUM(Revenues_elec!AV10:AV11)</f>
        <v>0</v>
      </c>
      <c r="AX41" s="538">
        <f>SUM(Revenues_elec!AW10:AW11)</f>
        <v>0</v>
      </c>
      <c r="AY41" s="538">
        <f>SUM(Revenues_elec!AX10:AX11)</f>
        <v>0</v>
      </c>
      <c r="AZ41" s="538">
        <f>SUM(Revenues_elec!AY10:AY11)</f>
        <v>0</v>
      </c>
      <c r="BA41" s="538">
        <f>SUM(Revenues_elec!AZ10:AZ11)</f>
        <v>0</v>
      </c>
      <c r="BB41" s="538">
        <f>SUM(Revenues_elec!BA10:BA11)</f>
        <v>0</v>
      </c>
    </row>
    <row r="42" spans="1:64" x14ac:dyDescent="0.25">
      <c r="A42" s="990"/>
      <c r="B42" s="537" t="s">
        <v>1381</v>
      </c>
      <c r="C42" s="511" t="s">
        <v>979</v>
      </c>
      <c r="D42" s="546">
        <f t="shared" si="27"/>
        <v>856251.54086008598</v>
      </c>
      <c r="E42" s="546">
        <f t="shared" si="28"/>
        <v>422399.0679943916</v>
      </c>
      <c r="F42" s="539"/>
      <c r="G42" s="540">
        <f>Revenues_elec!F13</f>
        <v>0</v>
      </c>
      <c r="H42" s="540">
        <f>Revenues_elec!G13</f>
        <v>0</v>
      </c>
      <c r="I42" s="540">
        <f>Revenues_elec!H13</f>
        <v>0</v>
      </c>
      <c r="J42" s="540">
        <f>Revenues_elec!I13</f>
        <v>0</v>
      </c>
      <c r="K42" s="540">
        <f>Revenues_elec!J13</f>
        <v>94358.051012720229</v>
      </c>
      <c r="L42" s="540">
        <f>Revenues_elec!K13</f>
        <v>99564.012447904781</v>
      </c>
      <c r="M42" s="540">
        <f>Revenues_elec!L13</f>
        <v>102522.48596064253</v>
      </c>
      <c r="N42" s="540">
        <f>Revenues_elec!M13</f>
        <v>105559.47280891061</v>
      </c>
      <c r="O42" s="540">
        <f>Revenues_elec!N13</f>
        <v>108676.93013672516</v>
      </c>
      <c r="P42" s="540">
        <f>Revenues_elec!O13</f>
        <v>111876.86196852873</v>
      </c>
      <c r="Q42" s="540">
        <f>Revenues_elec!P13</f>
        <v>115161.32030154976</v>
      </c>
      <c r="R42" s="540">
        <f>Revenues_elec!Q13</f>
        <v>118532.40622310423</v>
      </c>
      <c r="S42" s="540">
        <f>Revenues_elec!R13</f>
        <v>0</v>
      </c>
      <c r="T42" s="540">
        <f>Revenues_elec!S13</f>
        <v>0</v>
      </c>
      <c r="U42" s="540">
        <f>Revenues_elec!T13</f>
        <v>0</v>
      </c>
      <c r="V42" s="540">
        <f>Revenues_elec!U13</f>
        <v>0</v>
      </c>
      <c r="W42" s="540">
        <f>Revenues_elec!V13</f>
        <v>0</v>
      </c>
      <c r="X42" s="540">
        <f>Revenues_elec!W13</f>
        <v>0</v>
      </c>
      <c r="Y42" s="540">
        <f>Revenues_elec!X13</f>
        <v>0</v>
      </c>
      <c r="Z42" s="540">
        <f>Revenues_elec!Y13</f>
        <v>0</v>
      </c>
      <c r="AA42" s="540">
        <f>Revenues_elec!Z13</f>
        <v>0</v>
      </c>
      <c r="AB42" s="540">
        <f>Revenues_elec!AA13</f>
        <v>0</v>
      </c>
      <c r="AC42" s="540">
        <f>Revenues_elec!AB13</f>
        <v>0</v>
      </c>
      <c r="AD42" s="540">
        <f>Revenues_elec!AC13</f>
        <v>0</v>
      </c>
      <c r="AE42" s="540">
        <f>Revenues_elec!AD13</f>
        <v>0</v>
      </c>
      <c r="AF42" s="540">
        <f>Revenues_elec!AE13</f>
        <v>0</v>
      </c>
      <c r="AG42" s="540">
        <f>Revenues_elec!AF13</f>
        <v>0</v>
      </c>
      <c r="AH42" s="540">
        <f>Revenues_elec!AG13</f>
        <v>0</v>
      </c>
      <c r="AI42" s="540">
        <f>Revenues_elec!AH13</f>
        <v>0</v>
      </c>
      <c r="AJ42" s="540">
        <f>Revenues_elec!AI13</f>
        <v>0</v>
      </c>
      <c r="AK42" s="540">
        <f>Revenues_elec!AJ13</f>
        <v>0</v>
      </c>
      <c r="AL42" s="540">
        <f>Revenues_elec!AK13</f>
        <v>0</v>
      </c>
      <c r="AM42" s="540">
        <f>Revenues_elec!AL13</f>
        <v>0</v>
      </c>
      <c r="AN42" s="540">
        <f>Revenues_elec!AM13</f>
        <v>0</v>
      </c>
      <c r="AO42" s="540">
        <f>Revenues_elec!AN13</f>
        <v>0</v>
      </c>
      <c r="AP42" s="540">
        <f>Revenues_elec!AO13</f>
        <v>0</v>
      </c>
      <c r="AQ42" s="540">
        <f>Revenues_elec!AP13</f>
        <v>0</v>
      </c>
      <c r="AR42" s="540">
        <f>Revenues_elec!AQ13</f>
        <v>0</v>
      </c>
      <c r="AS42" s="540">
        <f>Revenues_elec!AR13</f>
        <v>0</v>
      </c>
      <c r="AT42" s="540">
        <f>Revenues_elec!AS13</f>
        <v>0</v>
      </c>
      <c r="AU42" s="540">
        <f>Revenues_elec!AT13</f>
        <v>0</v>
      </c>
      <c r="AV42" s="540">
        <f>Revenues_elec!AU13</f>
        <v>0</v>
      </c>
      <c r="AW42" s="540">
        <f>Revenues_elec!AV13</f>
        <v>0</v>
      </c>
      <c r="AX42" s="540">
        <f>Revenues_elec!AW13</f>
        <v>0</v>
      </c>
      <c r="AY42" s="540">
        <f>Revenues_elec!AX13</f>
        <v>0</v>
      </c>
      <c r="AZ42" s="540">
        <f>Revenues_elec!AY13</f>
        <v>0</v>
      </c>
      <c r="BA42" s="540">
        <f>Revenues_elec!AZ13</f>
        <v>0</v>
      </c>
      <c r="BB42" s="540">
        <f>Revenues_elec!BA13</f>
        <v>0</v>
      </c>
    </row>
    <row r="43" spans="1:64" x14ac:dyDescent="0.25">
      <c r="A43" s="990"/>
      <c r="B43" s="440"/>
      <c r="C43" s="440"/>
      <c r="D43" s="541"/>
      <c r="E43" s="541"/>
      <c r="F43" s="542"/>
      <c r="G43" s="542"/>
      <c r="H43" s="542"/>
      <c r="I43" s="542"/>
      <c r="J43" s="542"/>
      <c r="K43" s="542"/>
      <c r="L43" s="542"/>
      <c r="M43" s="542"/>
      <c r="N43" s="542"/>
      <c r="O43" s="542"/>
      <c r="P43" s="542"/>
      <c r="Q43" s="542"/>
      <c r="R43" s="542"/>
      <c r="S43" s="542"/>
      <c r="T43" s="542"/>
      <c r="U43" s="542"/>
      <c r="V43" s="542"/>
      <c r="W43" s="542"/>
      <c r="X43" s="542"/>
      <c r="Y43" s="542"/>
      <c r="Z43" s="542"/>
      <c r="AA43" s="542"/>
      <c r="AB43" s="542"/>
      <c r="AC43" s="542"/>
      <c r="AD43" s="542"/>
      <c r="AE43" s="542"/>
      <c r="AF43" s="542"/>
      <c r="AG43" s="542"/>
      <c r="AH43" s="542"/>
      <c r="AI43" s="542"/>
      <c r="AJ43" s="542"/>
      <c r="AK43" s="542"/>
      <c r="AL43" s="542"/>
      <c r="AM43" s="542"/>
      <c r="AN43" s="542"/>
      <c r="AO43" s="542"/>
      <c r="AP43" s="542"/>
      <c r="AQ43" s="542"/>
      <c r="AR43" s="542"/>
      <c r="AS43" s="542"/>
      <c r="AT43" s="542"/>
      <c r="AU43" s="542"/>
      <c r="AV43" s="542"/>
      <c r="AW43" s="542"/>
      <c r="AX43" s="542"/>
      <c r="AY43" s="542"/>
      <c r="AZ43" s="542"/>
      <c r="BA43" s="542"/>
      <c r="BB43" s="542"/>
    </row>
    <row r="44" spans="1:64" x14ac:dyDescent="0.25">
      <c r="A44" s="990"/>
      <c r="B44" s="1187" t="s">
        <v>995</v>
      </c>
      <c r="C44" s="1187" t="s">
        <v>979</v>
      </c>
      <c r="D44" s="530">
        <f>SUM(G44:BB44)</f>
        <v>0</v>
      </c>
      <c r="E44" s="530">
        <f>G44+NPV($C$22,H44:BB44)</f>
        <v>0</v>
      </c>
      <c r="F44" s="531"/>
      <c r="G44" s="532">
        <f>G45</f>
        <v>0</v>
      </c>
      <c r="H44" s="532">
        <f t="shared" ref="H44:BB44" si="29">H45</f>
        <v>0</v>
      </c>
      <c r="I44" s="532">
        <f t="shared" si="29"/>
        <v>0</v>
      </c>
      <c r="J44" s="532">
        <f t="shared" si="29"/>
        <v>0</v>
      </c>
      <c r="K44" s="532">
        <f t="shared" si="29"/>
        <v>0</v>
      </c>
      <c r="L44" s="532">
        <f t="shared" si="29"/>
        <v>0</v>
      </c>
      <c r="M44" s="532">
        <f t="shared" si="29"/>
        <v>0</v>
      </c>
      <c r="N44" s="532">
        <f t="shared" si="29"/>
        <v>0</v>
      </c>
      <c r="O44" s="532">
        <f t="shared" si="29"/>
        <v>0</v>
      </c>
      <c r="P44" s="532">
        <f t="shared" si="29"/>
        <v>0</v>
      </c>
      <c r="Q44" s="532">
        <f t="shared" si="29"/>
        <v>0</v>
      </c>
      <c r="R44" s="532">
        <f t="shared" si="29"/>
        <v>0</v>
      </c>
      <c r="S44" s="532">
        <f t="shared" si="29"/>
        <v>0</v>
      </c>
      <c r="T44" s="532">
        <f t="shared" si="29"/>
        <v>0</v>
      </c>
      <c r="U44" s="532">
        <f t="shared" si="29"/>
        <v>0</v>
      </c>
      <c r="V44" s="532">
        <f t="shared" si="29"/>
        <v>0</v>
      </c>
      <c r="W44" s="532">
        <f t="shared" si="29"/>
        <v>0</v>
      </c>
      <c r="X44" s="532">
        <f t="shared" si="29"/>
        <v>0</v>
      </c>
      <c r="Y44" s="532">
        <f t="shared" si="29"/>
        <v>0</v>
      </c>
      <c r="Z44" s="532">
        <f t="shared" si="29"/>
        <v>0</v>
      </c>
      <c r="AA44" s="532">
        <f t="shared" si="29"/>
        <v>0</v>
      </c>
      <c r="AB44" s="532">
        <f t="shared" si="29"/>
        <v>0</v>
      </c>
      <c r="AC44" s="532">
        <f t="shared" si="29"/>
        <v>0</v>
      </c>
      <c r="AD44" s="532">
        <f t="shared" si="29"/>
        <v>0</v>
      </c>
      <c r="AE44" s="532">
        <f t="shared" si="29"/>
        <v>0</v>
      </c>
      <c r="AF44" s="532">
        <f t="shared" si="29"/>
        <v>0</v>
      </c>
      <c r="AG44" s="532">
        <f t="shared" si="29"/>
        <v>0</v>
      </c>
      <c r="AH44" s="532">
        <f t="shared" si="29"/>
        <v>0</v>
      </c>
      <c r="AI44" s="532">
        <f t="shared" si="29"/>
        <v>0</v>
      </c>
      <c r="AJ44" s="532">
        <f t="shared" si="29"/>
        <v>0</v>
      </c>
      <c r="AK44" s="532">
        <f t="shared" si="29"/>
        <v>0</v>
      </c>
      <c r="AL44" s="532">
        <f t="shared" si="29"/>
        <v>0</v>
      </c>
      <c r="AM44" s="532">
        <f t="shared" si="29"/>
        <v>0</v>
      </c>
      <c r="AN44" s="532">
        <f t="shared" si="29"/>
        <v>0</v>
      </c>
      <c r="AO44" s="532">
        <f t="shared" si="29"/>
        <v>0</v>
      </c>
      <c r="AP44" s="532">
        <f t="shared" si="29"/>
        <v>0</v>
      </c>
      <c r="AQ44" s="532">
        <f t="shared" si="29"/>
        <v>0</v>
      </c>
      <c r="AR44" s="532">
        <f t="shared" si="29"/>
        <v>0</v>
      </c>
      <c r="AS44" s="532">
        <f t="shared" si="29"/>
        <v>0</v>
      </c>
      <c r="AT44" s="532">
        <f t="shared" si="29"/>
        <v>0</v>
      </c>
      <c r="AU44" s="532">
        <f t="shared" si="29"/>
        <v>0</v>
      </c>
      <c r="AV44" s="532">
        <f t="shared" si="29"/>
        <v>0</v>
      </c>
      <c r="AW44" s="532">
        <f t="shared" si="29"/>
        <v>0</v>
      </c>
      <c r="AX44" s="532">
        <f t="shared" si="29"/>
        <v>0</v>
      </c>
      <c r="AY44" s="532">
        <f t="shared" si="29"/>
        <v>0</v>
      </c>
      <c r="AZ44" s="532">
        <f t="shared" si="29"/>
        <v>0</v>
      </c>
      <c r="BA44" s="532">
        <f t="shared" si="29"/>
        <v>0</v>
      </c>
      <c r="BB44" s="532">
        <f t="shared" si="29"/>
        <v>0</v>
      </c>
    </row>
    <row r="45" spans="1:64" x14ac:dyDescent="0.25">
      <c r="A45" s="990"/>
      <c r="B45" s="547" t="s">
        <v>10</v>
      </c>
      <c r="C45" s="508" t="s">
        <v>979</v>
      </c>
      <c r="D45" s="534">
        <f>SUM(G45:BB45)</f>
        <v>0</v>
      </c>
      <c r="E45" s="534">
        <f>G45+NPV($C$22,H45:BB45)</f>
        <v>0</v>
      </c>
      <c r="F45" s="535"/>
      <c r="G45" s="534">
        <v>0</v>
      </c>
      <c r="H45" s="534">
        <v>0</v>
      </c>
      <c r="I45" s="534">
        <v>0</v>
      </c>
      <c r="J45" s="534">
        <v>0</v>
      </c>
      <c r="K45" s="534">
        <v>0</v>
      </c>
      <c r="L45" s="534">
        <v>0</v>
      </c>
      <c r="M45" s="534">
        <v>0</v>
      </c>
      <c r="N45" s="534">
        <v>0</v>
      </c>
      <c r="O45" s="534">
        <v>0</v>
      </c>
      <c r="P45" s="534">
        <v>0</v>
      </c>
      <c r="Q45" s="534">
        <v>0</v>
      </c>
      <c r="R45" s="534">
        <v>0</v>
      </c>
      <c r="S45" s="534">
        <v>0</v>
      </c>
      <c r="T45" s="534">
        <v>0</v>
      </c>
      <c r="U45" s="534">
        <v>0</v>
      </c>
      <c r="V45" s="534">
        <v>0</v>
      </c>
      <c r="W45" s="534">
        <v>0</v>
      </c>
      <c r="X45" s="534">
        <v>0</v>
      </c>
      <c r="Y45" s="534">
        <v>0</v>
      </c>
      <c r="Z45" s="534">
        <v>0</v>
      </c>
      <c r="AA45" s="534">
        <v>0</v>
      </c>
      <c r="AB45" s="534">
        <v>0</v>
      </c>
      <c r="AC45" s="534">
        <v>0</v>
      </c>
      <c r="AD45" s="534">
        <v>0</v>
      </c>
      <c r="AE45" s="534">
        <v>0</v>
      </c>
      <c r="AF45" s="534">
        <v>0</v>
      </c>
      <c r="AG45" s="534">
        <v>0</v>
      </c>
      <c r="AH45" s="534">
        <v>0</v>
      </c>
      <c r="AI45" s="534">
        <v>0</v>
      </c>
      <c r="AJ45" s="534">
        <v>0</v>
      </c>
      <c r="AK45" s="534">
        <v>0</v>
      </c>
      <c r="AL45" s="534">
        <v>0</v>
      </c>
      <c r="AM45" s="534">
        <v>0</v>
      </c>
      <c r="AN45" s="534">
        <v>0</v>
      </c>
      <c r="AO45" s="534">
        <v>0</v>
      </c>
      <c r="AP45" s="534">
        <v>0</v>
      </c>
      <c r="AQ45" s="534">
        <v>0</v>
      </c>
      <c r="AR45" s="534">
        <v>0</v>
      </c>
      <c r="AS45" s="534">
        <v>0</v>
      </c>
      <c r="AT45" s="534">
        <v>0</v>
      </c>
      <c r="AU45" s="534">
        <v>0</v>
      </c>
      <c r="AV45" s="534">
        <v>0</v>
      </c>
      <c r="AW45" s="534">
        <v>0</v>
      </c>
      <c r="AX45" s="534">
        <v>0</v>
      </c>
      <c r="AY45" s="534">
        <v>0</v>
      </c>
      <c r="AZ45" s="534">
        <v>0</v>
      </c>
      <c r="BA45" s="534">
        <v>0</v>
      </c>
      <c r="BB45" s="534">
        <v>0</v>
      </c>
    </row>
    <row r="46" spans="1:64" x14ac:dyDescent="0.25">
      <c r="A46" s="990"/>
      <c r="D46" s="548"/>
      <c r="E46" s="548">
        <f t="shared" si="22"/>
        <v>0</v>
      </c>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row>
    <row r="47" spans="1:64" x14ac:dyDescent="0.25">
      <c r="A47" s="990"/>
      <c r="B47" s="518" t="s">
        <v>84</v>
      </c>
      <c r="C47" s="518" t="s">
        <v>979</v>
      </c>
      <c r="D47" s="550">
        <f>SUM(G47:BB47)</f>
        <v>645127.24016825878</v>
      </c>
      <c r="E47" s="550">
        <f>G47+NPV($C$22,H47:BB47)</f>
        <v>301347.86638433713</v>
      </c>
      <c r="F47" s="551"/>
      <c r="G47" s="552">
        <f t="shared" ref="G47:BB47" si="30">SUM(G48:G48)</f>
        <v>0</v>
      </c>
      <c r="H47" s="552">
        <f t="shared" si="30"/>
        <v>0</v>
      </c>
      <c r="I47" s="552">
        <f t="shared" si="30"/>
        <v>0</v>
      </c>
      <c r="J47" s="552">
        <f t="shared" si="30"/>
        <v>-64189.426769135316</v>
      </c>
      <c r="K47" s="552">
        <f t="shared" si="30"/>
        <v>77359.907434245106</v>
      </c>
      <c r="L47" s="552">
        <f t="shared" si="30"/>
        <v>82137.807486930513</v>
      </c>
      <c r="M47" s="552">
        <f t="shared" si="30"/>
        <v>84791.721266824432</v>
      </c>
      <c r="N47" s="552">
        <f t="shared" si="30"/>
        <v>87441.034606418863</v>
      </c>
      <c r="O47" s="552">
        <f t="shared" si="30"/>
        <v>90169.168371632419</v>
      </c>
      <c r="P47" s="552">
        <f t="shared" si="30"/>
        <v>92959.603407935007</v>
      </c>
      <c r="Q47" s="552">
        <f t="shared" si="30"/>
        <v>95776.166591622867</v>
      </c>
      <c r="R47" s="552">
        <f t="shared" si="30"/>
        <v>98681.257771784847</v>
      </c>
      <c r="S47" s="552">
        <f t="shared" si="30"/>
        <v>0</v>
      </c>
      <c r="T47" s="552">
        <f t="shared" si="30"/>
        <v>0</v>
      </c>
      <c r="U47" s="552">
        <f t="shared" si="30"/>
        <v>0</v>
      </c>
      <c r="V47" s="552">
        <f t="shared" si="30"/>
        <v>0</v>
      </c>
      <c r="W47" s="552">
        <f t="shared" si="30"/>
        <v>0</v>
      </c>
      <c r="X47" s="552">
        <f t="shared" si="30"/>
        <v>0</v>
      </c>
      <c r="Y47" s="552">
        <f t="shared" si="30"/>
        <v>0</v>
      </c>
      <c r="Z47" s="552">
        <f t="shared" si="30"/>
        <v>0</v>
      </c>
      <c r="AA47" s="552">
        <f t="shared" si="30"/>
        <v>0</v>
      </c>
      <c r="AB47" s="552">
        <f t="shared" si="30"/>
        <v>0</v>
      </c>
      <c r="AC47" s="552">
        <f t="shared" si="30"/>
        <v>0</v>
      </c>
      <c r="AD47" s="552">
        <f t="shared" si="30"/>
        <v>0</v>
      </c>
      <c r="AE47" s="552">
        <f t="shared" si="30"/>
        <v>0</v>
      </c>
      <c r="AF47" s="552">
        <f t="shared" si="30"/>
        <v>0</v>
      </c>
      <c r="AG47" s="552">
        <f t="shared" si="30"/>
        <v>0</v>
      </c>
      <c r="AH47" s="552">
        <f t="shared" si="30"/>
        <v>0</v>
      </c>
      <c r="AI47" s="552">
        <f t="shared" si="30"/>
        <v>0</v>
      </c>
      <c r="AJ47" s="552">
        <f t="shared" si="30"/>
        <v>0</v>
      </c>
      <c r="AK47" s="552">
        <f t="shared" si="30"/>
        <v>0</v>
      </c>
      <c r="AL47" s="552">
        <f t="shared" si="30"/>
        <v>0</v>
      </c>
      <c r="AM47" s="552">
        <f t="shared" si="30"/>
        <v>0</v>
      </c>
      <c r="AN47" s="552">
        <f t="shared" si="30"/>
        <v>0</v>
      </c>
      <c r="AO47" s="552">
        <f t="shared" si="30"/>
        <v>0</v>
      </c>
      <c r="AP47" s="552">
        <f t="shared" si="30"/>
        <v>0</v>
      </c>
      <c r="AQ47" s="552">
        <f t="shared" si="30"/>
        <v>0</v>
      </c>
      <c r="AR47" s="552">
        <f t="shared" si="30"/>
        <v>0</v>
      </c>
      <c r="AS47" s="552">
        <f t="shared" si="30"/>
        <v>0</v>
      </c>
      <c r="AT47" s="552">
        <f t="shared" si="30"/>
        <v>0</v>
      </c>
      <c r="AU47" s="552">
        <f t="shared" si="30"/>
        <v>0</v>
      </c>
      <c r="AV47" s="552">
        <f t="shared" si="30"/>
        <v>0</v>
      </c>
      <c r="AW47" s="552">
        <f t="shared" si="30"/>
        <v>0</v>
      </c>
      <c r="AX47" s="552">
        <f t="shared" si="30"/>
        <v>0</v>
      </c>
      <c r="AY47" s="552">
        <f t="shared" si="30"/>
        <v>0</v>
      </c>
      <c r="AZ47" s="552">
        <f t="shared" si="30"/>
        <v>0</v>
      </c>
      <c r="BA47" s="552">
        <f t="shared" si="30"/>
        <v>0</v>
      </c>
      <c r="BB47" s="552">
        <f t="shared" si="30"/>
        <v>0</v>
      </c>
    </row>
    <row r="48" spans="1:64" x14ac:dyDescent="0.25">
      <c r="A48" s="990"/>
      <c r="B48" s="468" t="s">
        <v>996</v>
      </c>
      <c r="C48" s="508" t="s">
        <v>979</v>
      </c>
      <c r="D48" s="534">
        <f>SUM(G48:BB48)</f>
        <v>645127.24016825878</v>
      </c>
      <c r="E48" s="534">
        <f>G48+NPV($C$22,H48:BB48)</f>
        <v>301347.86638433713</v>
      </c>
      <c r="F48" s="553"/>
      <c r="G48" s="540">
        <f t="shared" ref="G48:BB48" si="31">G25+G33+G39+G44</f>
        <v>0</v>
      </c>
      <c r="H48" s="540">
        <f t="shared" si="31"/>
        <v>0</v>
      </c>
      <c r="I48" s="540">
        <f t="shared" si="31"/>
        <v>0</v>
      </c>
      <c r="J48" s="540">
        <f t="shared" si="31"/>
        <v>-64189.426769135316</v>
      </c>
      <c r="K48" s="540">
        <f t="shared" si="31"/>
        <v>77359.907434245106</v>
      </c>
      <c r="L48" s="540">
        <f t="shared" si="31"/>
        <v>82137.807486930513</v>
      </c>
      <c r="M48" s="540">
        <f t="shared" si="31"/>
        <v>84791.721266824432</v>
      </c>
      <c r="N48" s="540">
        <f t="shared" si="31"/>
        <v>87441.034606418863</v>
      </c>
      <c r="O48" s="540">
        <f t="shared" si="31"/>
        <v>90169.168371632419</v>
      </c>
      <c r="P48" s="540">
        <f t="shared" si="31"/>
        <v>92959.603407935007</v>
      </c>
      <c r="Q48" s="540">
        <f t="shared" si="31"/>
        <v>95776.166591622867</v>
      </c>
      <c r="R48" s="540">
        <f t="shared" si="31"/>
        <v>98681.257771784847</v>
      </c>
      <c r="S48" s="540">
        <f t="shared" si="31"/>
        <v>0</v>
      </c>
      <c r="T48" s="540">
        <f t="shared" si="31"/>
        <v>0</v>
      </c>
      <c r="U48" s="540">
        <f t="shared" si="31"/>
        <v>0</v>
      </c>
      <c r="V48" s="540">
        <f t="shared" si="31"/>
        <v>0</v>
      </c>
      <c r="W48" s="540">
        <f t="shared" si="31"/>
        <v>0</v>
      </c>
      <c r="X48" s="540">
        <f t="shared" si="31"/>
        <v>0</v>
      </c>
      <c r="Y48" s="540">
        <f t="shared" si="31"/>
        <v>0</v>
      </c>
      <c r="Z48" s="540">
        <f t="shared" si="31"/>
        <v>0</v>
      </c>
      <c r="AA48" s="540">
        <f t="shared" si="31"/>
        <v>0</v>
      </c>
      <c r="AB48" s="540">
        <f t="shared" si="31"/>
        <v>0</v>
      </c>
      <c r="AC48" s="540">
        <f t="shared" si="31"/>
        <v>0</v>
      </c>
      <c r="AD48" s="540">
        <f t="shared" si="31"/>
        <v>0</v>
      </c>
      <c r="AE48" s="540">
        <f t="shared" si="31"/>
        <v>0</v>
      </c>
      <c r="AF48" s="540">
        <f t="shared" si="31"/>
        <v>0</v>
      </c>
      <c r="AG48" s="540">
        <f t="shared" si="31"/>
        <v>0</v>
      </c>
      <c r="AH48" s="540">
        <f t="shared" si="31"/>
        <v>0</v>
      </c>
      <c r="AI48" s="540">
        <f t="shared" si="31"/>
        <v>0</v>
      </c>
      <c r="AJ48" s="540">
        <f t="shared" si="31"/>
        <v>0</v>
      </c>
      <c r="AK48" s="540">
        <f t="shared" si="31"/>
        <v>0</v>
      </c>
      <c r="AL48" s="540">
        <f t="shared" si="31"/>
        <v>0</v>
      </c>
      <c r="AM48" s="540">
        <f t="shared" si="31"/>
        <v>0</v>
      </c>
      <c r="AN48" s="540">
        <f t="shared" si="31"/>
        <v>0</v>
      </c>
      <c r="AO48" s="540">
        <f t="shared" si="31"/>
        <v>0</v>
      </c>
      <c r="AP48" s="540">
        <f t="shared" si="31"/>
        <v>0</v>
      </c>
      <c r="AQ48" s="540">
        <f t="shared" si="31"/>
        <v>0</v>
      </c>
      <c r="AR48" s="540">
        <f t="shared" si="31"/>
        <v>0</v>
      </c>
      <c r="AS48" s="540">
        <f t="shared" si="31"/>
        <v>0</v>
      </c>
      <c r="AT48" s="540">
        <f t="shared" si="31"/>
        <v>0</v>
      </c>
      <c r="AU48" s="540">
        <f t="shared" si="31"/>
        <v>0</v>
      </c>
      <c r="AV48" s="540">
        <f t="shared" si="31"/>
        <v>0</v>
      </c>
      <c r="AW48" s="540">
        <f t="shared" si="31"/>
        <v>0</v>
      </c>
      <c r="AX48" s="540">
        <f t="shared" si="31"/>
        <v>0</v>
      </c>
      <c r="AY48" s="540">
        <f t="shared" si="31"/>
        <v>0</v>
      </c>
      <c r="AZ48" s="540">
        <f t="shared" si="31"/>
        <v>0</v>
      </c>
      <c r="BA48" s="540">
        <f t="shared" si="31"/>
        <v>0</v>
      </c>
      <c r="BB48" s="540">
        <f t="shared" si="31"/>
        <v>0</v>
      </c>
    </row>
    <row r="49" spans="2:64" x14ac:dyDescent="0.25">
      <c r="B49" s="468"/>
      <c r="C49" s="468"/>
      <c r="D49" s="468"/>
      <c r="E49" s="468"/>
      <c r="F49" s="553"/>
      <c r="G49" s="554"/>
      <c r="H49" s="554"/>
      <c r="I49" s="554"/>
      <c r="J49" s="554"/>
      <c r="K49" s="554"/>
      <c r="L49" s="554"/>
      <c r="M49" s="554"/>
      <c r="N49" s="554"/>
      <c r="O49" s="554"/>
      <c r="P49" s="554"/>
      <c r="Q49" s="554"/>
      <c r="R49" s="554"/>
      <c r="S49" s="554"/>
      <c r="T49" s="554"/>
      <c r="U49" s="554"/>
      <c r="V49" s="554"/>
      <c r="W49" s="554"/>
      <c r="X49" s="554"/>
      <c r="Y49" s="554"/>
      <c r="Z49" s="554"/>
      <c r="AA49" s="554"/>
      <c r="AB49" s="554"/>
      <c r="AC49" s="554"/>
      <c r="AD49" s="554"/>
      <c r="AE49" s="554"/>
      <c r="AF49" s="554"/>
      <c r="AG49" s="554"/>
      <c r="AH49" s="554"/>
      <c r="AI49" s="554"/>
      <c r="AJ49" s="554"/>
      <c r="AK49" s="554"/>
      <c r="AL49" s="554"/>
      <c r="AM49" s="554"/>
      <c r="AN49" s="554"/>
      <c r="AO49" s="554"/>
      <c r="AP49" s="554"/>
      <c r="AQ49" s="554"/>
      <c r="AR49" s="554"/>
      <c r="AS49" s="554"/>
      <c r="AT49" s="554"/>
      <c r="AU49" s="554"/>
      <c r="AV49" s="554"/>
      <c r="AW49" s="554"/>
      <c r="AX49" s="554"/>
      <c r="AY49" s="554"/>
      <c r="AZ49" s="554"/>
      <c r="BA49" s="554"/>
      <c r="BB49" s="554"/>
    </row>
    <row r="50" spans="2:64" x14ac:dyDescent="0.25">
      <c r="B50" s="518" t="s">
        <v>985</v>
      </c>
      <c r="C50" s="518" t="s">
        <v>979</v>
      </c>
      <c r="D50" s="550">
        <f>SUM(G50:BB50)</f>
        <v>301347.86638433725</v>
      </c>
      <c r="E50" s="550"/>
      <c r="F50" s="551"/>
      <c r="G50" s="552">
        <f>G47</f>
        <v>0</v>
      </c>
      <c r="H50" s="552">
        <f t="shared" ref="H50:BB50" si="32">H47/(1+$C$63)^(H24-$G24)</f>
        <v>0</v>
      </c>
      <c r="I50" s="552">
        <f t="shared" si="32"/>
        <v>0</v>
      </c>
      <c r="J50" s="552">
        <f t="shared" si="32"/>
        <v>-48226.466393039293</v>
      </c>
      <c r="K50" s="552">
        <f t="shared" si="32"/>
        <v>52837.857683385759</v>
      </c>
      <c r="L50" s="552">
        <f t="shared" si="32"/>
        <v>51001.116097963059</v>
      </c>
      <c r="M50" s="552">
        <f t="shared" si="32"/>
        <v>47862.716139508826</v>
      </c>
      <c r="N50" s="552">
        <f t="shared" si="32"/>
        <v>44871.076774775982</v>
      </c>
      <c r="O50" s="552">
        <f t="shared" si="32"/>
        <v>42064.58251274057</v>
      </c>
      <c r="P50" s="552">
        <f t="shared" si="32"/>
        <v>39423.946410155942</v>
      </c>
      <c r="Q50" s="552">
        <f t="shared" si="32"/>
        <v>36925.85831668508</v>
      </c>
      <c r="R50" s="552">
        <f t="shared" si="32"/>
        <v>34587.178842161309</v>
      </c>
      <c r="S50" s="552">
        <f t="shared" si="32"/>
        <v>0</v>
      </c>
      <c r="T50" s="552">
        <f t="shared" si="32"/>
        <v>0</v>
      </c>
      <c r="U50" s="552">
        <f t="shared" si="32"/>
        <v>0</v>
      </c>
      <c r="V50" s="552">
        <f t="shared" si="32"/>
        <v>0</v>
      </c>
      <c r="W50" s="552">
        <f t="shared" si="32"/>
        <v>0</v>
      </c>
      <c r="X50" s="552">
        <f t="shared" si="32"/>
        <v>0</v>
      </c>
      <c r="Y50" s="552">
        <f t="shared" si="32"/>
        <v>0</v>
      </c>
      <c r="Z50" s="552">
        <f t="shared" si="32"/>
        <v>0</v>
      </c>
      <c r="AA50" s="552">
        <f t="shared" si="32"/>
        <v>0</v>
      </c>
      <c r="AB50" s="552">
        <f t="shared" si="32"/>
        <v>0</v>
      </c>
      <c r="AC50" s="552">
        <f t="shared" si="32"/>
        <v>0</v>
      </c>
      <c r="AD50" s="552">
        <f t="shared" si="32"/>
        <v>0</v>
      </c>
      <c r="AE50" s="552">
        <f t="shared" si="32"/>
        <v>0</v>
      </c>
      <c r="AF50" s="552">
        <f t="shared" si="32"/>
        <v>0</v>
      </c>
      <c r="AG50" s="552">
        <f t="shared" si="32"/>
        <v>0</v>
      </c>
      <c r="AH50" s="552">
        <f t="shared" si="32"/>
        <v>0</v>
      </c>
      <c r="AI50" s="552">
        <f t="shared" si="32"/>
        <v>0</v>
      </c>
      <c r="AJ50" s="552">
        <f t="shared" si="32"/>
        <v>0</v>
      </c>
      <c r="AK50" s="552">
        <f t="shared" si="32"/>
        <v>0</v>
      </c>
      <c r="AL50" s="552">
        <f t="shared" si="32"/>
        <v>0</v>
      </c>
      <c r="AM50" s="552">
        <f t="shared" si="32"/>
        <v>0</v>
      </c>
      <c r="AN50" s="552">
        <f t="shared" si="32"/>
        <v>0</v>
      </c>
      <c r="AO50" s="552">
        <f t="shared" si="32"/>
        <v>0</v>
      </c>
      <c r="AP50" s="552">
        <f t="shared" si="32"/>
        <v>0</v>
      </c>
      <c r="AQ50" s="552">
        <f t="shared" si="32"/>
        <v>0</v>
      </c>
      <c r="AR50" s="552">
        <f t="shared" si="32"/>
        <v>0</v>
      </c>
      <c r="AS50" s="552">
        <f t="shared" si="32"/>
        <v>0</v>
      </c>
      <c r="AT50" s="552">
        <f t="shared" si="32"/>
        <v>0</v>
      </c>
      <c r="AU50" s="552">
        <f t="shared" si="32"/>
        <v>0</v>
      </c>
      <c r="AV50" s="552">
        <f t="shared" si="32"/>
        <v>0</v>
      </c>
      <c r="AW50" s="552">
        <f t="shared" si="32"/>
        <v>0</v>
      </c>
      <c r="AX50" s="552">
        <f t="shared" si="32"/>
        <v>0</v>
      </c>
      <c r="AY50" s="552">
        <f t="shared" si="32"/>
        <v>0</v>
      </c>
      <c r="AZ50" s="552">
        <f t="shared" si="32"/>
        <v>0</v>
      </c>
      <c r="BA50" s="552">
        <f t="shared" si="32"/>
        <v>0</v>
      </c>
      <c r="BB50" s="552">
        <f t="shared" si="32"/>
        <v>0</v>
      </c>
    </row>
    <row r="51" spans="2:64" x14ac:dyDescent="0.25">
      <c r="B51" s="437" t="s">
        <v>986</v>
      </c>
      <c r="C51" s="511" t="s">
        <v>979</v>
      </c>
      <c r="D51" s="526"/>
      <c r="E51" s="526"/>
      <c r="F51" s="527"/>
      <c r="G51" s="540">
        <f>SUM($G47:G47)</f>
        <v>0</v>
      </c>
      <c r="H51" s="540">
        <f>SUM($G47:H47)</f>
        <v>0</v>
      </c>
      <c r="I51" s="540">
        <f>SUM($G47:I47)</f>
        <v>0</v>
      </c>
      <c r="J51" s="540">
        <f>SUM($G47:J47)</f>
        <v>-64189.426769135316</v>
      </c>
      <c r="K51" s="540">
        <f>SUM($G47:K47)</f>
        <v>13170.48066510979</v>
      </c>
      <c r="L51" s="540">
        <f>SUM($G47:L47)</f>
        <v>95308.288152040303</v>
      </c>
      <c r="M51" s="540">
        <f>SUM($G47:M47)</f>
        <v>180100.00941886473</v>
      </c>
      <c r="N51" s="540">
        <f>SUM($G47:N47)</f>
        <v>267541.0440252836</v>
      </c>
      <c r="O51" s="540">
        <f>SUM($G47:O47)</f>
        <v>357710.212396916</v>
      </c>
      <c r="P51" s="540">
        <f>SUM($G47:P47)</f>
        <v>450669.81580485101</v>
      </c>
      <c r="Q51" s="540">
        <f>SUM($G47:Q47)</f>
        <v>546445.98239647388</v>
      </c>
      <c r="R51" s="540">
        <f>SUM($G47:R47)</f>
        <v>645127.24016825878</v>
      </c>
      <c r="S51" s="540">
        <f>SUM($G47:S47)</f>
        <v>645127.24016825878</v>
      </c>
      <c r="T51" s="540">
        <f>SUM($G47:T47)</f>
        <v>645127.24016825878</v>
      </c>
      <c r="U51" s="540">
        <f>SUM($G47:U47)</f>
        <v>645127.24016825878</v>
      </c>
      <c r="V51" s="540">
        <f>SUM($G47:V47)</f>
        <v>645127.24016825878</v>
      </c>
      <c r="W51" s="540">
        <f>SUM($G47:W47)</f>
        <v>645127.24016825878</v>
      </c>
      <c r="X51" s="540">
        <f>SUM($G47:X47)</f>
        <v>645127.24016825878</v>
      </c>
      <c r="Y51" s="540">
        <f>SUM($G47:Y47)</f>
        <v>645127.24016825878</v>
      </c>
      <c r="Z51" s="540">
        <f>SUM($G47:Z47)</f>
        <v>645127.24016825878</v>
      </c>
      <c r="AA51" s="540">
        <f>SUM($G47:AA47)</f>
        <v>645127.24016825878</v>
      </c>
      <c r="AB51" s="540">
        <f>SUM($G47:AB47)</f>
        <v>645127.24016825878</v>
      </c>
      <c r="AC51" s="540">
        <f>SUM($G47:AC47)</f>
        <v>645127.24016825878</v>
      </c>
      <c r="AD51" s="540">
        <f>SUM($G47:AD47)</f>
        <v>645127.24016825878</v>
      </c>
      <c r="AE51" s="540">
        <f>SUM($G47:AE47)</f>
        <v>645127.24016825878</v>
      </c>
      <c r="AF51" s="540">
        <f>SUM($G47:AF47)</f>
        <v>645127.24016825878</v>
      </c>
      <c r="AG51" s="540">
        <f>SUM($G47:AG47)</f>
        <v>645127.24016825878</v>
      </c>
      <c r="AH51" s="540">
        <f>SUM($G47:AH47)</f>
        <v>645127.24016825878</v>
      </c>
      <c r="AI51" s="540">
        <f>SUM($G47:AI47)</f>
        <v>645127.24016825878</v>
      </c>
      <c r="AJ51" s="540">
        <f>SUM($G47:AJ47)</f>
        <v>645127.24016825878</v>
      </c>
      <c r="AK51" s="540">
        <f>SUM($G47:AK47)</f>
        <v>645127.24016825878</v>
      </c>
      <c r="AL51" s="540">
        <f>SUM($G47:AL47)</f>
        <v>645127.24016825878</v>
      </c>
      <c r="AM51" s="540">
        <f>SUM($G47:AM47)</f>
        <v>645127.24016825878</v>
      </c>
      <c r="AN51" s="540">
        <f>SUM($G47:AN47)</f>
        <v>645127.24016825878</v>
      </c>
      <c r="AO51" s="540">
        <f>SUM($G47:AO47)</f>
        <v>645127.24016825878</v>
      </c>
      <c r="AP51" s="540">
        <f>SUM($G47:AP47)</f>
        <v>645127.24016825878</v>
      </c>
      <c r="AQ51" s="540">
        <f>SUM($G47:AQ47)</f>
        <v>645127.24016825878</v>
      </c>
      <c r="AR51" s="540">
        <f>SUM($G47:AR47)</f>
        <v>645127.24016825878</v>
      </c>
      <c r="AS51" s="540">
        <f>SUM($G47:AS47)</f>
        <v>645127.24016825878</v>
      </c>
      <c r="AT51" s="540">
        <f>SUM($G47:AT47)</f>
        <v>645127.24016825878</v>
      </c>
      <c r="AU51" s="540">
        <f>SUM($G47:AU47)</f>
        <v>645127.24016825878</v>
      </c>
      <c r="AV51" s="540">
        <f>SUM($G47:AV47)</f>
        <v>645127.24016825878</v>
      </c>
      <c r="AW51" s="540">
        <f>SUM($G47:AW47)</f>
        <v>645127.24016825878</v>
      </c>
      <c r="AX51" s="540">
        <f>SUM($G47:AX47)</f>
        <v>645127.24016825878</v>
      </c>
      <c r="AY51" s="540">
        <f>SUM($G47:AY47)</f>
        <v>645127.24016825878</v>
      </c>
      <c r="AZ51" s="540">
        <f>SUM($G47:AZ47)</f>
        <v>645127.24016825878</v>
      </c>
      <c r="BA51" s="540">
        <f>SUM($G47:BA47)</f>
        <v>645127.24016825878</v>
      </c>
      <c r="BB51" s="540">
        <f>SUM($G47:BB47)</f>
        <v>645127.24016825878</v>
      </c>
    </row>
    <row r="52" spans="2:64" x14ac:dyDescent="0.25">
      <c r="B52" s="437" t="s">
        <v>987</v>
      </c>
      <c r="C52" s="986" t="s">
        <v>1653</v>
      </c>
      <c r="D52" s="526"/>
      <c r="E52" s="526"/>
      <c r="F52" s="527"/>
      <c r="G52" s="540">
        <f>SUM($G50:G50)/1000</f>
        <v>0</v>
      </c>
      <c r="H52" s="540">
        <f>SUM($G50:H50)/1000</f>
        <v>0</v>
      </c>
      <c r="I52" s="540">
        <f>SUM($G50:I50)/1000</f>
        <v>0</v>
      </c>
      <c r="J52" s="540">
        <f>SUM($G50:J50)/1000</f>
        <v>-48.226466393039296</v>
      </c>
      <c r="K52" s="540">
        <f>SUM($G50:K50)/1000</f>
        <v>4.6113912903464662</v>
      </c>
      <c r="L52" s="540">
        <f>SUM($G50:L50)/1000</f>
        <v>55.612507388309524</v>
      </c>
      <c r="M52" s="540">
        <f>SUM($G50:M50)/1000</f>
        <v>103.47522352781836</v>
      </c>
      <c r="N52" s="540">
        <f>SUM($G50:N50)/1000</f>
        <v>148.34630030259433</v>
      </c>
      <c r="O52" s="540">
        <f>SUM($G50:O50)/1000</f>
        <v>190.4108828153349</v>
      </c>
      <c r="P52" s="540">
        <f>SUM($G50:P50)/1000</f>
        <v>229.83482922549084</v>
      </c>
      <c r="Q52" s="540">
        <f>SUM($G50:Q50)/1000</f>
        <v>266.76068754217596</v>
      </c>
      <c r="R52" s="540">
        <f>SUM($G50:R50)/1000</f>
        <v>301.34786638433724</v>
      </c>
      <c r="S52" s="540">
        <f>SUM($G50:S50)/1000</f>
        <v>301.34786638433724</v>
      </c>
      <c r="T52" s="540">
        <f>SUM($G50:T50)/1000</f>
        <v>301.34786638433724</v>
      </c>
      <c r="U52" s="540">
        <f>SUM($G50:U50)/1000</f>
        <v>301.34786638433724</v>
      </c>
      <c r="V52" s="540">
        <f>SUM($G50:V50)/1000</f>
        <v>301.34786638433724</v>
      </c>
      <c r="W52" s="540">
        <f>SUM($G50:W50)/1000</f>
        <v>301.34786638433724</v>
      </c>
      <c r="X52" s="540">
        <f>SUM($G50:X50)/1000</f>
        <v>301.34786638433724</v>
      </c>
      <c r="Y52" s="540">
        <f>SUM($G50:Y50)/1000</f>
        <v>301.34786638433724</v>
      </c>
      <c r="Z52" s="540">
        <f>SUM($G50:Z50)/1000</f>
        <v>301.34786638433724</v>
      </c>
      <c r="AA52" s="540">
        <f>SUM($G50:AA50)/1000</f>
        <v>301.34786638433724</v>
      </c>
      <c r="AB52" s="540">
        <f>SUM($G50:AB50)/1000</f>
        <v>301.34786638433724</v>
      </c>
      <c r="AC52" s="540">
        <f>SUM($G50:AC50)/1000</f>
        <v>301.34786638433724</v>
      </c>
      <c r="AD52" s="540">
        <f>SUM($G50:AD50)/1000</f>
        <v>301.34786638433724</v>
      </c>
      <c r="AE52" s="540">
        <f>SUM($G50:AE50)/1000</f>
        <v>301.34786638433724</v>
      </c>
      <c r="AF52" s="540">
        <f>SUM($G50:AF50)/1000</f>
        <v>301.34786638433724</v>
      </c>
      <c r="AG52" s="540">
        <f>SUM($G50:AG50)/1000</f>
        <v>301.34786638433724</v>
      </c>
      <c r="AH52" s="540">
        <f>SUM($G50:AH50)/1000</f>
        <v>301.34786638433724</v>
      </c>
      <c r="AI52" s="540">
        <f>SUM($G50:AI50)/1000</f>
        <v>301.34786638433724</v>
      </c>
      <c r="AJ52" s="540">
        <f>SUM($G50:AJ50)/1000</f>
        <v>301.34786638433724</v>
      </c>
      <c r="AK52" s="540">
        <f>SUM($G50:AK50)/1000</f>
        <v>301.34786638433724</v>
      </c>
      <c r="AL52" s="540">
        <f>SUM($G50:AL50)/1000</f>
        <v>301.34786638433724</v>
      </c>
      <c r="AM52" s="540">
        <f>SUM($G50:AM50)/1000</f>
        <v>301.34786638433724</v>
      </c>
      <c r="AN52" s="540">
        <f>SUM($G50:AN50)/1000</f>
        <v>301.34786638433724</v>
      </c>
      <c r="AO52" s="540">
        <f>SUM($G50:AO50)/1000</f>
        <v>301.34786638433724</v>
      </c>
      <c r="AP52" s="540">
        <f>SUM($G50:AP50)/1000</f>
        <v>301.34786638433724</v>
      </c>
      <c r="AQ52" s="540">
        <f>SUM($G50:AQ50)/1000</f>
        <v>301.34786638433724</v>
      </c>
      <c r="AR52" s="540">
        <f>SUM($G50:AR50)/1000</f>
        <v>301.34786638433724</v>
      </c>
      <c r="AS52" s="540">
        <f>SUM($G50:AS50)/1000</f>
        <v>301.34786638433724</v>
      </c>
      <c r="AT52" s="540">
        <f>SUM($G50:AT50)/1000</f>
        <v>301.34786638433724</v>
      </c>
      <c r="AU52" s="540">
        <f>SUM($G50:AU50)/1000</f>
        <v>301.34786638433724</v>
      </c>
      <c r="AV52" s="540">
        <f>SUM($G50:AV50)/1000</f>
        <v>301.34786638433724</v>
      </c>
      <c r="AW52" s="540">
        <f>SUM($G50:AW50)/1000</f>
        <v>301.34786638433724</v>
      </c>
      <c r="AX52" s="540">
        <f>SUM($G50:AX50)/1000</f>
        <v>301.34786638433724</v>
      </c>
      <c r="AY52" s="540">
        <f>SUM($G50:AY50)/1000</f>
        <v>301.34786638433724</v>
      </c>
      <c r="AZ52" s="540">
        <f>SUM($G50:AZ50)/1000</f>
        <v>301.34786638433724</v>
      </c>
      <c r="BA52" s="540">
        <f>SUM($G50:BA50)/1000</f>
        <v>301.34786638433724</v>
      </c>
      <c r="BB52" s="540">
        <f>SUM($G50:BB50)/1000</f>
        <v>301.34786638433724</v>
      </c>
    </row>
    <row r="53" spans="2:64" x14ac:dyDescent="0.25">
      <c r="B53" s="555"/>
      <c r="C53" s="555"/>
      <c r="D53" s="556"/>
      <c r="E53" s="556"/>
      <c r="F53" s="557"/>
      <c r="G53" s="557"/>
      <c r="H53" s="557"/>
      <c r="I53" s="557"/>
      <c r="J53" s="557"/>
      <c r="K53" s="557"/>
      <c r="L53" s="557"/>
      <c r="M53" s="557"/>
      <c r="N53" s="557"/>
      <c r="O53" s="557"/>
      <c r="P53" s="557"/>
      <c r="Q53" s="557"/>
      <c r="R53" s="557"/>
      <c r="S53" s="557"/>
      <c r="T53" s="557"/>
      <c r="U53" s="557"/>
      <c r="V53" s="557"/>
      <c r="W53" s="557"/>
      <c r="X53" s="557"/>
      <c r="Y53" s="557"/>
      <c r="Z53" s="557"/>
      <c r="AA53" s="557"/>
      <c r="AB53" s="557"/>
      <c r="AC53" s="557"/>
      <c r="AD53" s="557"/>
      <c r="AE53" s="557"/>
      <c r="AF53" s="557"/>
      <c r="AG53" s="557"/>
      <c r="AH53" s="557"/>
      <c r="AI53" s="557"/>
      <c r="AJ53" s="557"/>
      <c r="AK53" s="557"/>
      <c r="AL53" s="557"/>
      <c r="AM53" s="557"/>
      <c r="AN53" s="557"/>
      <c r="AO53" s="557"/>
      <c r="AP53" s="557"/>
      <c r="AQ53" s="557"/>
      <c r="AR53" s="557"/>
      <c r="AS53" s="557"/>
      <c r="AT53" s="557"/>
      <c r="AU53" s="557"/>
      <c r="AV53" s="557"/>
      <c r="AW53" s="557"/>
      <c r="AX53" s="557"/>
      <c r="AY53" s="557"/>
      <c r="AZ53" s="557"/>
      <c r="BA53" s="557"/>
      <c r="BB53" s="557"/>
    </row>
    <row r="54" spans="2:64" x14ac:dyDescent="0.25">
      <c r="B54" s="452"/>
      <c r="C54" s="452"/>
      <c r="D54" s="541"/>
      <c r="E54" s="541"/>
      <c r="F54" s="542"/>
      <c r="G54" s="558"/>
      <c r="H54" s="558"/>
      <c r="I54" s="558"/>
      <c r="J54" s="558"/>
      <c r="K54" s="558"/>
      <c r="L54" s="558"/>
      <c r="M54" s="558"/>
      <c r="N54" s="558"/>
      <c r="O54" s="558"/>
      <c r="P54" s="558"/>
      <c r="Q54" s="558"/>
      <c r="R54" s="558"/>
      <c r="S54" s="558"/>
      <c r="T54" s="558"/>
      <c r="U54" s="558"/>
      <c r="V54" s="558"/>
      <c r="W54" s="558"/>
      <c r="X54" s="558"/>
      <c r="Y54" s="558"/>
      <c r="Z54" s="558"/>
      <c r="AA54" s="558"/>
      <c r="AB54" s="558"/>
      <c r="AC54" s="558"/>
      <c r="AD54" s="558"/>
      <c r="AE54" s="558"/>
      <c r="AF54" s="558"/>
      <c r="AG54" s="558"/>
      <c r="AH54" s="558"/>
      <c r="AI54" s="558"/>
      <c r="AJ54" s="558"/>
      <c r="AK54" s="558"/>
      <c r="AL54" s="558"/>
      <c r="AM54" s="558"/>
      <c r="AN54" s="558"/>
      <c r="AO54" s="558"/>
      <c r="AP54" s="558"/>
      <c r="AQ54" s="558"/>
      <c r="AR54" s="558"/>
      <c r="AS54" s="558"/>
      <c r="AT54" s="558"/>
      <c r="AU54" s="558"/>
      <c r="AV54" s="558"/>
      <c r="AW54" s="558"/>
      <c r="AX54" s="558"/>
      <c r="AY54" s="558"/>
      <c r="AZ54" s="558"/>
      <c r="BA54" s="558"/>
      <c r="BB54" s="558"/>
    </row>
    <row r="55" spans="2:64" x14ac:dyDescent="0.25">
      <c r="B55" s="559" t="s">
        <v>997</v>
      </c>
      <c r="C55" s="559" t="s">
        <v>979</v>
      </c>
      <c r="D55" s="530">
        <f t="shared" ref="D55:D57" si="33">SUM(G55:BB55)</f>
        <v>-46802.218323300745</v>
      </c>
      <c r="E55" s="530">
        <f t="shared" ref="E55:E57" si="34">G55+NPV($C$22,H55:BB55)</f>
        <v>-39802.829014895731</v>
      </c>
      <c r="F55" s="531"/>
      <c r="G55" s="560">
        <f>G56+G57</f>
        <v>0</v>
      </c>
      <c r="H55" s="560">
        <f t="shared" ref="H55:AU55" si="35">H56+H57</f>
        <v>0</v>
      </c>
      <c r="I55" s="560">
        <f t="shared" si="35"/>
        <v>0</v>
      </c>
      <c r="J55" s="560">
        <f t="shared" si="35"/>
        <v>-64189.426769135316</v>
      </c>
      <c r="K55" s="560">
        <f t="shared" si="35"/>
        <v>1717.5084599573538</v>
      </c>
      <c r="L55" s="560">
        <f t="shared" si="35"/>
        <v>1790.1460476828479</v>
      </c>
      <c r="M55" s="560">
        <f t="shared" si="35"/>
        <v>1931.1613239298367</v>
      </c>
      <c r="N55" s="560">
        <f t="shared" si="35"/>
        <v>2077.1011528076342</v>
      </c>
      <c r="O55" s="560">
        <f t="shared" si="35"/>
        <v>2228.1061103109678</v>
      </c>
      <c r="P55" s="560">
        <f t="shared" si="35"/>
        <v>2384.3204256533172</v>
      </c>
      <c r="Q55" s="560">
        <f t="shared" si="35"/>
        <v>2545.8920711652372</v>
      </c>
      <c r="R55" s="560">
        <f t="shared" si="35"/>
        <v>2712.972854327365</v>
      </c>
      <c r="S55" s="560">
        <f t="shared" si="35"/>
        <v>0</v>
      </c>
      <c r="T55" s="560">
        <f t="shared" si="35"/>
        <v>0</v>
      </c>
      <c r="U55" s="560">
        <f t="shared" si="35"/>
        <v>0</v>
      </c>
      <c r="V55" s="560">
        <f t="shared" si="35"/>
        <v>0</v>
      </c>
      <c r="W55" s="560">
        <f t="shared" si="35"/>
        <v>0</v>
      </c>
      <c r="X55" s="560">
        <f t="shared" si="35"/>
        <v>0</v>
      </c>
      <c r="Y55" s="560">
        <f t="shared" si="35"/>
        <v>0</v>
      </c>
      <c r="Z55" s="560">
        <f t="shared" si="35"/>
        <v>0</v>
      </c>
      <c r="AA55" s="560">
        <f t="shared" si="35"/>
        <v>0</v>
      </c>
      <c r="AB55" s="560">
        <f t="shared" si="35"/>
        <v>0</v>
      </c>
      <c r="AC55" s="560">
        <f t="shared" si="35"/>
        <v>0</v>
      </c>
      <c r="AD55" s="560">
        <f t="shared" si="35"/>
        <v>0</v>
      </c>
      <c r="AE55" s="560">
        <f t="shared" si="35"/>
        <v>0</v>
      </c>
      <c r="AF55" s="560">
        <f t="shared" si="35"/>
        <v>0</v>
      </c>
      <c r="AG55" s="560">
        <f t="shared" si="35"/>
        <v>0</v>
      </c>
      <c r="AH55" s="560">
        <f t="shared" si="35"/>
        <v>0</v>
      </c>
      <c r="AI55" s="560">
        <f t="shared" si="35"/>
        <v>0</v>
      </c>
      <c r="AJ55" s="560">
        <f t="shared" si="35"/>
        <v>0</v>
      </c>
      <c r="AK55" s="560">
        <f t="shared" si="35"/>
        <v>0</v>
      </c>
      <c r="AL55" s="560">
        <f t="shared" si="35"/>
        <v>0</v>
      </c>
      <c r="AM55" s="560">
        <f t="shared" si="35"/>
        <v>0</v>
      </c>
      <c r="AN55" s="560">
        <f t="shared" si="35"/>
        <v>0</v>
      </c>
      <c r="AO55" s="560">
        <f t="shared" si="35"/>
        <v>0</v>
      </c>
      <c r="AP55" s="560">
        <f t="shared" si="35"/>
        <v>0</v>
      </c>
      <c r="AQ55" s="560">
        <f t="shared" si="35"/>
        <v>0</v>
      </c>
      <c r="AR55" s="560">
        <f t="shared" si="35"/>
        <v>0</v>
      </c>
      <c r="AS55" s="560">
        <f t="shared" si="35"/>
        <v>0</v>
      </c>
      <c r="AT55" s="560">
        <f t="shared" si="35"/>
        <v>0</v>
      </c>
      <c r="AU55" s="560">
        <f t="shared" si="35"/>
        <v>0</v>
      </c>
      <c r="AV55" s="560">
        <f t="shared" ref="AV55:BB55" si="36">AV56+AV57</f>
        <v>0</v>
      </c>
      <c r="AW55" s="560">
        <f t="shared" si="36"/>
        <v>0</v>
      </c>
      <c r="AX55" s="560">
        <f t="shared" si="36"/>
        <v>0</v>
      </c>
      <c r="AY55" s="560">
        <f t="shared" si="36"/>
        <v>0</v>
      </c>
      <c r="AZ55" s="560">
        <f t="shared" si="36"/>
        <v>0</v>
      </c>
      <c r="BA55" s="560">
        <f t="shared" si="36"/>
        <v>0</v>
      </c>
      <c r="BB55" s="560">
        <f t="shared" si="36"/>
        <v>0</v>
      </c>
    </row>
    <row r="56" spans="2:64" x14ac:dyDescent="0.25">
      <c r="B56" s="507" t="s">
        <v>998</v>
      </c>
      <c r="C56" s="543" t="s">
        <v>979</v>
      </c>
      <c r="D56" s="534">
        <f t="shared" si="33"/>
        <v>83552.776528940216</v>
      </c>
      <c r="E56" s="534">
        <f t="shared" si="34"/>
        <v>41185.195272112564</v>
      </c>
      <c r="F56" s="535"/>
      <c r="G56" s="536">
        <f t="shared" ref="G56:BB56" si="37">G41+G77</f>
        <v>0</v>
      </c>
      <c r="H56" s="536">
        <f t="shared" si="37"/>
        <v>0</v>
      </c>
      <c r="I56" s="536">
        <f t="shared" si="37"/>
        <v>0</v>
      </c>
      <c r="J56" s="536">
        <f t="shared" si="37"/>
        <v>0</v>
      </c>
      <c r="K56" s="536">
        <f t="shared" si="37"/>
        <v>9134.6824726992036</v>
      </c>
      <c r="L56" s="536">
        <f t="shared" si="37"/>
        <v>9685.9043836278033</v>
      </c>
      <c r="M56" s="536">
        <f t="shared" si="37"/>
        <v>9987.0221360729611</v>
      </c>
      <c r="N56" s="536">
        <f t="shared" si="37"/>
        <v>10296.310236862471</v>
      </c>
      <c r="O56" s="536">
        <f t="shared" si="37"/>
        <v>10613.975052829133</v>
      </c>
      <c r="P56" s="536">
        <f t="shared" si="37"/>
        <v>10940.227937339721</v>
      </c>
      <c r="Q56" s="536">
        <f t="shared" si="37"/>
        <v>11275.285347209598</v>
      </c>
      <c r="R56" s="536">
        <f t="shared" si="37"/>
        <v>11619.368962299333</v>
      </c>
      <c r="S56" s="536">
        <f t="shared" si="37"/>
        <v>0</v>
      </c>
      <c r="T56" s="536">
        <f t="shared" si="37"/>
        <v>0</v>
      </c>
      <c r="U56" s="536">
        <f t="shared" si="37"/>
        <v>0</v>
      </c>
      <c r="V56" s="536">
        <f t="shared" si="37"/>
        <v>0</v>
      </c>
      <c r="W56" s="536">
        <f t="shared" si="37"/>
        <v>0</v>
      </c>
      <c r="X56" s="536">
        <f t="shared" si="37"/>
        <v>0</v>
      </c>
      <c r="Y56" s="536">
        <f t="shared" si="37"/>
        <v>0</v>
      </c>
      <c r="Z56" s="536">
        <f t="shared" si="37"/>
        <v>0</v>
      </c>
      <c r="AA56" s="536">
        <f t="shared" si="37"/>
        <v>0</v>
      </c>
      <c r="AB56" s="536">
        <f t="shared" si="37"/>
        <v>0</v>
      </c>
      <c r="AC56" s="536">
        <f t="shared" si="37"/>
        <v>0</v>
      </c>
      <c r="AD56" s="536">
        <f t="shared" si="37"/>
        <v>0</v>
      </c>
      <c r="AE56" s="536">
        <f t="shared" si="37"/>
        <v>0</v>
      </c>
      <c r="AF56" s="536">
        <f t="shared" si="37"/>
        <v>0</v>
      </c>
      <c r="AG56" s="536">
        <f t="shared" si="37"/>
        <v>0</v>
      </c>
      <c r="AH56" s="536">
        <f t="shared" si="37"/>
        <v>0</v>
      </c>
      <c r="AI56" s="536">
        <f t="shared" si="37"/>
        <v>0</v>
      </c>
      <c r="AJ56" s="536">
        <f t="shared" si="37"/>
        <v>0</v>
      </c>
      <c r="AK56" s="536">
        <f t="shared" si="37"/>
        <v>0</v>
      </c>
      <c r="AL56" s="536">
        <f t="shared" si="37"/>
        <v>0</v>
      </c>
      <c r="AM56" s="536">
        <f t="shared" si="37"/>
        <v>0</v>
      </c>
      <c r="AN56" s="536">
        <f t="shared" si="37"/>
        <v>0</v>
      </c>
      <c r="AO56" s="536">
        <f t="shared" si="37"/>
        <v>0</v>
      </c>
      <c r="AP56" s="536">
        <f t="shared" si="37"/>
        <v>0</v>
      </c>
      <c r="AQ56" s="536">
        <f t="shared" si="37"/>
        <v>0</v>
      </c>
      <c r="AR56" s="536">
        <f t="shared" si="37"/>
        <v>0</v>
      </c>
      <c r="AS56" s="536">
        <f t="shared" si="37"/>
        <v>0</v>
      </c>
      <c r="AT56" s="536">
        <f t="shared" si="37"/>
        <v>0</v>
      </c>
      <c r="AU56" s="536">
        <f t="shared" si="37"/>
        <v>0</v>
      </c>
      <c r="AV56" s="536">
        <f t="shared" si="37"/>
        <v>0</v>
      </c>
      <c r="AW56" s="536">
        <f t="shared" si="37"/>
        <v>0</v>
      </c>
      <c r="AX56" s="536">
        <f t="shared" si="37"/>
        <v>0</v>
      </c>
      <c r="AY56" s="536">
        <f t="shared" si="37"/>
        <v>0</v>
      </c>
      <c r="AZ56" s="536">
        <f t="shared" si="37"/>
        <v>0</v>
      </c>
      <c r="BA56" s="536">
        <f t="shared" si="37"/>
        <v>0</v>
      </c>
      <c r="BB56" s="536">
        <f t="shared" si="37"/>
        <v>0</v>
      </c>
    </row>
    <row r="57" spans="2:64" x14ac:dyDescent="0.25">
      <c r="B57" s="544" t="s">
        <v>999</v>
      </c>
      <c r="C57" s="545" t="s">
        <v>979</v>
      </c>
      <c r="D57" s="538">
        <f t="shared" si="33"/>
        <v>-130354.99485224098</v>
      </c>
      <c r="E57" s="538">
        <f t="shared" si="34"/>
        <v>-80988.024287008273</v>
      </c>
      <c r="F57" s="539"/>
      <c r="G57" s="540">
        <f t="shared" ref="G57:BB57" si="38">G25+G34</f>
        <v>0</v>
      </c>
      <c r="H57" s="540">
        <f t="shared" si="38"/>
        <v>0</v>
      </c>
      <c r="I57" s="540">
        <f t="shared" si="38"/>
        <v>0</v>
      </c>
      <c r="J57" s="540">
        <f t="shared" si="38"/>
        <v>-64189.426769135316</v>
      </c>
      <c r="K57" s="540">
        <f t="shared" si="38"/>
        <v>-7417.1740127418498</v>
      </c>
      <c r="L57" s="540">
        <f t="shared" si="38"/>
        <v>-7895.7583359449554</v>
      </c>
      <c r="M57" s="540">
        <f t="shared" si="38"/>
        <v>-8055.8608121431243</v>
      </c>
      <c r="N57" s="540">
        <f t="shared" si="38"/>
        <v>-8219.2090840548371</v>
      </c>
      <c r="O57" s="540">
        <f t="shared" si="38"/>
        <v>-8385.8689425181656</v>
      </c>
      <c r="P57" s="540">
        <f t="shared" si="38"/>
        <v>-8555.9075116864042</v>
      </c>
      <c r="Q57" s="540">
        <f t="shared" si="38"/>
        <v>-8729.3932760443604</v>
      </c>
      <c r="R57" s="540">
        <f t="shared" si="38"/>
        <v>-8906.3961079719684</v>
      </c>
      <c r="S57" s="540">
        <f t="shared" si="38"/>
        <v>0</v>
      </c>
      <c r="T57" s="540">
        <f t="shared" si="38"/>
        <v>0</v>
      </c>
      <c r="U57" s="540">
        <f t="shared" si="38"/>
        <v>0</v>
      </c>
      <c r="V57" s="540">
        <f t="shared" si="38"/>
        <v>0</v>
      </c>
      <c r="W57" s="540">
        <f t="shared" si="38"/>
        <v>0</v>
      </c>
      <c r="X57" s="540">
        <f t="shared" si="38"/>
        <v>0</v>
      </c>
      <c r="Y57" s="540">
        <f t="shared" si="38"/>
        <v>0</v>
      </c>
      <c r="Z57" s="540">
        <f t="shared" si="38"/>
        <v>0</v>
      </c>
      <c r="AA57" s="540">
        <f t="shared" si="38"/>
        <v>0</v>
      </c>
      <c r="AB57" s="540">
        <f t="shared" si="38"/>
        <v>0</v>
      </c>
      <c r="AC57" s="540">
        <f t="shared" si="38"/>
        <v>0</v>
      </c>
      <c r="AD57" s="540">
        <f t="shared" si="38"/>
        <v>0</v>
      </c>
      <c r="AE57" s="540">
        <f t="shared" si="38"/>
        <v>0</v>
      </c>
      <c r="AF57" s="540">
        <f t="shared" si="38"/>
        <v>0</v>
      </c>
      <c r="AG57" s="540">
        <f t="shared" si="38"/>
        <v>0</v>
      </c>
      <c r="AH57" s="540">
        <f t="shared" si="38"/>
        <v>0</v>
      </c>
      <c r="AI57" s="540">
        <f t="shared" si="38"/>
        <v>0</v>
      </c>
      <c r="AJ57" s="540">
        <f t="shared" si="38"/>
        <v>0</v>
      </c>
      <c r="AK57" s="540">
        <f t="shared" si="38"/>
        <v>0</v>
      </c>
      <c r="AL57" s="540">
        <f t="shared" si="38"/>
        <v>0</v>
      </c>
      <c r="AM57" s="540">
        <f t="shared" si="38"/>
        <v>0</v>
      </c>
      <c r="AN57" s="540">
        <f t="shared" si="38"/>
        <v>0</v>
      </c>
      <c r="AO57" s="540">
        <f t="shared" si="38"/>
        <v>0</v>
      </c>
      <c r="AP57" s="540">
        <f t="shared" si="38"/>
        <v>0</v>
      </c>
      <c r="AQ57" s="540">
        <f t="shared" si="38"/>
        <v>0</v>
      </c>
      <c r="AR57" s="540">
        <f t="shared" si="38"/>
        <v>0</v>
      </c>
      <c r="AS57" s="540">
        <f t="shared" si="38"/>
        <v>0</v>
      </c>
      <c r="AT57" s="540">
        <f t="shared" si="38"/>
        <v>0</v>
      </c>
      <c r="AU57" s="540">
        <f t="shared" si="38"/>
        <v>0</v>
      </c>
      <c r="AV57" s="540">
        <f t="shared" si="38"/>
        <v>0</v>
      </c>
      <c r="AW57" s="540">
        <f t="shared" si="38"/>
        <v>0</v>
      </c>
      <c r="AX57" s="540">
        <f t="shared" si="38"/>
        <v>0</v>
      </c>
      <c r="AY57" s="540">
        <f t="shared" si="38"/>
        <v>0</v>
      </c>
      <c r="AZ57" s="540">
        <f t="shared" si="38"/>
        <v>0</v>
      </c>
      <c r="BA57" s="540">
        <f t="shared" si="38"/>
        <v>0</v>
      </c>
      <c r="BB57" s="540">
        <f t="shared" si="38"/>
        <v>0</v>
      </c>
    </row>
    <row r="58" spans="2:64" x14ac:dyDescent="0.25">
      <c r="B58" s="440"/>
      <c r="C58" s="440"/>
      <c r="D58" s="541"/>
      <c r="E58" s="541"/>
      <c r="F58" s="542"/>
      <c r="G58" s="542"/>
      <c r="H58" s="542"/>
      <c r="I58" s="542"/>
      <c r="J58" s="542"/>
      <c r="K58" s="542"/>
      <c r="L58" s="542"/>
      <c r="M58" s="542"/>
      <c r="N58" s="542"/>
      <c r="O58" s="542"/>
      <c r="P58" s="542"/>
      <c r="Q58" s="542"/>
      <c r="R58" s="542"/>
      <c r="S58" s="542"/>
      <c r="T58" s="542"/>
      <c r="U58" s="542"/>
      <c r="V58" s="542"/>
      <c r="W58" s="542"/>
      <c r="X58" s="542"/>
      <c r="Y58" s="542"/>
      <c r="Z58" s="542"/>
      <c r="AA58" s="542"/>
      <c r="AB58" s="542"/>
      <c r="AC58" s="542"/>
      <c r="AD58" s="542"/>
      <c r="AE58" s="542"/>
      <c r="AF58" s="542"/>
      <c r="AG58" s="542"/>
      <c r="AH58" s="542"/>
      <c r="AI58" s="542"/>
      <c r="AJ58" s="542"/>
      <c r="AK58" s="542"/>
      <c r="AL58" s="542"/>
      <c r="AM58" s="542"/>
      <c r="AN58" s="542"/>
      <c r="AO58" s="542"/>
      <c r="AP58" s="542"/>
      <c r="AQ58" s="542"/>
      <c r="AR58" s="542"/>
      <c r="AS58" s="542"/>
      <c r="AT58" s="542"/>
      <c r="AU58" s="542"/>
      <c r="AV58" s="542"/>
      <c r="AW58" s="542"/>
      <c r="AX58" s="542"/>
      <c r="AY58" s="542"/>
      <c r="AZ58" s="542"/>
      <c r="BA58" s="542"/>
      <c r="BB58" s="542"/>
    </row>
    <row r="59" spans="2:64" x14ac:dyDescent="0.25">
      <c r="B59" s="309" t="s">
        <v>1000</v>
      </c>
      <c r="C59" s="309" t="s">
        <v>979</v>
      </c>
      <c r="D59" s="530">
        <f t="shared" ref="D59:D61" si="39">SUM(G59:BB59)</f>
        <v>8562.5154086008606</v>
      </c>
      <c r="E59" s="530">
        <f t="shared" ref="E59:E61" si="40">G59+NPV($C$22,H59:BB59)</f>
        <v>4223.9906799439159</v>
      </c>
      <c r="F59" s="531"/>
      <c r="G59" s="532">
        <f>G60+G61</f>
        <v>0</v>
      </c>
      <c r="H59" s="532">
        <f t="shared" ref="H59:AU59" si="41">H60+H61</f>
        <v>0</v>
      </c>
      <c r="I59" s="532">
        <f t="shared" si="41"/>
        <v>0</v>
      </c>
      <c r="J59" s="532">
        <f t="shared" si="41"/>
        <v>0</v>
      </c>
      <c r="K59" s="532">
        <f t="shared" si="41"/>
        <v>943.58051012720239</v>
      </c>
      <c r="L59" s="532">
        <f t="shared" si="41"/>
        <v>995.64012447904781</v>
      </c>
      <c r="M59" s="532">
        <f t="shared" si="41"/>
        <v>1025.2248596064253</v>
      </c>
      <c r="N59" s="532">
        <f t="shared" si="41"/>
        <v>1055.5947280891062</v>
      </c>
      <c r="O59" s="532">
        <f t="shared" si="41"/>
        <v>1086.7693013672517</v>
      </c>
      <c r="P59" s="532">
        <f t="shared" si="41"/>
        <v>1118.7686196852874</v>
      </c>
      <c r="Q59" s="532">
        <f t="shared" si="41"/>
        <v>1151.6132030154977</v>
      </c>
      <c r="R59" s="532">
        <f t="shared" si="41"/>
        <v>1185.3240622310425</v>
      </c>
      <c r="S59" s="532">
        <f t="shared" si="41"/>
        <v>0</v>
      </c>
      <c r="T59" s="532">
        <f t="shared" si="41"/>
        <v>0</v>
      </c>
      <c r="U59" s="532">
        <f t="shared" si="41"/>
        <v>0</v>
      </c>
      <c r="V59" s="532">
        <f t="shared" si="41"/>
        <v>0</v>
      </c>
      <c r="W59" s="532">
        <f t="shared" si="41"/>
        <v>0</v>
      </c>
      <c r="X59" s="532">
        <f t="shared" si="41"/>
        <v>0</v>
      </c>
      <c r="Y59" s="532">
        <f t="shared" si="41"/>
        <v>0</v>
      </c>
      <c r="Z59" s="532">
        <f t="shared" si="41"/>
        <v>0</v>
      </c>
      <c r="AA59" s="532">
        <f t="shared" si="41"/>
        <v>0</v>
      </c>
      <c r="AB59" s="532">
        <f t="shared" si="41"/>
        <v>0</v>
      </c>
      <c r="AC59" s="532">
        <f t="shared" si="41"/>
        <v>0</v>
      </c>
      <c r="AD59" s="532">
        <f t="shared" si="41"/>
        <v>0</v>
      </c>
      <c r="AE59" s="532">
        <f t="shared" si="41"/>
        <v>0</v>
      </c>
      <c r="AF59" s="532">
        <f t="shared" si="41"/>
        <v>0</v>
      </c>
      <c r="AG59" s="532">
        <f t="shared" si="41"/>
        <v>0</v>
      </c>
      <c r="AH59" s="532">
        <f t="shared" si="41"/>
        <v>0</v>
      </c>
      <c r="AI59" s="532">
        <f t="shared" si="41"/>
        <v>0</v>
      </c>
      <c r="AJ59" s="532">
        <f t="shared" si="41"/>
        <v>0</v>
      </c>
      <c r="AK59" s="532">
        <f t="shared" si="41"/>
        <v>0</v>
      </c>
      <c r="AL59" s="532">
        <f t="shared" si="41"/>
        <v>0</v>
      </c>
      <c r="AM59" s="532">
        <f t="shared" si="41"/>
        <v>0</v>
      </c>
      <c r="AN59" s="532">
        <f t="shared" si="41"/>
        <v>0</v>
      </c>
      <c r="AO59" s="532">
        <f t="shared" si="41"/>
        <v>0</v>
      </c>
      <c r="AP59" s="532">
        <f t="shared" si="41"/>
        <v>0</v>
      </c>
      <c r="AQ59" s="532">
        <f t="shared" si="41"/>
        <v>0</v>
      </c>
      <c r="AR59" s="532">
        <f t="shared" si="41"/>
        <v>0</v>
      </c>
      <c r="AS59" s="532">
        <f t="shared" si="41"/>
        <v>0</v>
      </c>
      <c r="AT59" s="532">
        <f t="shared" si="41"/>
        <v>0</v>
      </c>
      <c r="AU59" s="532">
        <f t="shared" si="41"/>
        <v>0</v>
      </c>
      <c r="AV59" s="532">
        <f t="shared" ref="AV59:BB59" si="42">AV60+AV61</f>
        <v>0</v>
      </c>
      <c r="AW59" s="532">
        <f t="shared" si="42"/>
        <v>0</v>
      </c>
      <c r="AX59" s="532">
        <f t="shared" si="42"/>
        <v>0</v>
      </c>
      <c r="AY59" s="532">
        <f t="shared" si="42"/>
        <v>0</v>
      </c>
      <c r="AZ59" s="532">
        <f t="shared" si="42"/>
        <v>0</v>
      </c>
      <c r="BA59" s="532">
        <f t="shared" si="42"/>
        <v>0</v>
      </c>
      <c r="BB59" s="532">
        <f t="shared" si="42"/>
        <v>0</v>
      </c>
      <c r="BL59" s="165"/>
    </row>
    <row r="60" spans="2:64" x14ac:dyDescent="0.25">
      <c r="B60" s="507" t="s">
        <v>998</v>
      </c>
      <c r="C60" s="543" t="s">
        <v>979</v>
      </c>
      <c r="D60" s="534">
        <f t="shared" si="39"/>
        <v>8562.5154086008606</v>
      </c>
      <c r="E60" s="534">
        <f t="shared" si="40"/>
        <v>4223.9906799439159</v>
      </c>
      <c r="F60" s="535"/>
      <c r="G60" s="536">
        <f t="shared" ref="G60:BB60" si="43">G40</f>
        <v>0</v>
      </c>
      <c r="H60" s="536">
        <f t="shared" si="43"/>
        <v>0</v>
      </c>
      <c r="I60" s="536">
        <f t="shared" si="43"/>
        <v>0</v>
      </c>
      <c r="J60" s="536">
        <f t="shared" si="43"/>
        <v>0</v>
      </c>
      <c r="K60" s="536">
        <f t="shared" si="43"/>
        <v>943.58051012720239</v>
      </c>
      <c r="L60" s="536">
        <f t="shared" si="43"/>
        <v>995.64012447904781</v>
      </c>
      <c r="M60" s="536">
        <f t="shared" si="43"/>
        <v>1025.2248596064253</v>
      </c>
      <c r="N60" s="536">
        <f t="shared" si="43"/>
        <v>1055.5947280891062</v>
      </c>
      <c r="O60" s="536">
        <f t="shared" si="43"/>
        <v>1086.7693013672517</v>
      </c>
      <c r="P60" s="536">
        <f t="shared" si="43"/>
        <v>1118.7686196852874</v>
      </c>
      <c r="Q60" s="536">
        <f t="shared" si="43"/>
        <v>1151.6132030154977</v>
      </c>
      <c r="R60" s="536">
        <f t="shared" si="43"/>
        <v>1185.3240622310425</v>
      </c>
      <c r="S60" s="536">
        <f t="shared" si="43"/>
        <v>0</v>
      </c>
      <c r="T60" s="536">
        <f t="shared" si="43"/>
        <v>0</v>
      </c>
      <c r="U60" s="536">
        <f t="shared" si="43"/>
        <v>0</v>
      </c>
      <c r="V60" s="536">
        <f t="shared" si="43"/>
        <v>0</v>
      </c>
      <c r="W60" s="536">
        <f t="shared" si="43"/>
        <v>0</v>
      </c>
      <c r="X60" s="536">
        <f t="shared" si="43"/>
        <v>0</v>
      </c>
      <c r="Y60" s="536">
        <f t="shared" si="43"/>
        <v>0</v>
      </c>
      <c r="Z60" s="536">
        <f t="shared" si="43"/>
        <v>0</v>
      </c>
      <c r="AA60" s="536">
        <f t="shared" si="43"/>
        <v>0</v>
      </c>
      <c r="AB60" s="536">
        <f t="shared" si="43"/>
        <v>0</v>
      </c>
      <c r="AC60" s="536">
        <f t="shared" si="43"/>
        <v>0</v>
      </c>
      <c r="AD60" s="536">
        <f t="shared" si="43"/>
        <v>0</v>
      </c>
      <c r="AE60" s="536">
        <f t="shared" si="43"/>
        <v>0</v>
      </c>
      <c r="AF60" s="536">
        <f t="shared" si="43"/>
        <v>0</v>
      </c>
      <c r="AG60" s="536">
        <f t="shared" si="43"/>
        <v>0</v>
      </c>
      <c r="AH60" s="536">
        <f t="shared" si="43"/>
        <v>0</v>
      </c>
      <c r="AI60" s="536">
        <f t="shared" si="43"/>
        <v>0</v>
      </c>
      <c r="AJ60" s="536">
        <f t="shared" si="43"/>
        <v>0</v>
      </c>
      <c r="AK60" s="536">
        <f t="shared" si="43"/>
        <v>0</v>
      </c>
      <c r="AL60" s="536">
        <f t="shared" si="43"/>
        <v>0</v>
      </c>
      <c r="AM60" s="536">
        <f t="shared" si="43"/>
        <v>0</v>
      </c>
      <c r="AN60" s="536">
        <f t="shared" si="43"/>
        <v>0</v>
      </c>
      <c r="AO60" s="536">
        <f t="shared" si="43"/>
        <v>0</v>
      </c>
      <c r="AP60" s="536">
        <f t="shared" si="43"/>
        <v>0</v>
      </c>
      <c r="AQ60" s="536">
        <f t="shared" si="43"/>
        <v>0</v>
      </c>
      <c r="AR60" s="536">
        <f t="shared" si="43"/>
        <v>0</v>
      </c>
      <c r="AS60" s="536">
        <f t="shared" si="43"/>
        <v>0</v>
      </c>
      <c r="AT60" s="536">
        <f t="shared" si="43"/>
        <v>0</v>
      </c>
      <c r="AU60" s="536">
        <f t="shared" si="43"/>
        <v>0</v>
      </c>
      <c r="AV60" s="536">
        <f t="shared" si="43"/>
        <v>0</v>
      </c>
      <c r="AW60" s="536">
        <f t="shared" si="43"/>
        <v>0</v>
      </c>
      <c r="AX60" s="536">
        <f t="shared" si="43"/>
        <v>0</v>
      </c>
      <c r="AY60" s="536">
        <f t="shared" si="43"/>
        <v>0</v>
      </c>
      <c r="AZ60" s="536">
        <f t="shared" si="43"/>
        <v>0</v>
      </c>
      <c r="BA60" s="536">
        <f t="shared" si="43"/>
        <v>0</v>
      </c>
      <c r="BB60" s="536">
        <f t="shared" si="43"/>
        <v>0</v>
      </c>
    </row>
    <row r="61" spans="2:64" x14ac:dyDescent="0.25">
      <c r="B61" s="544" t="s">
        <v>999</v>
      </c>
      <c r="C61" s="545" t="s">
        <v>979</v>
      </c>
      <c r="D61" s="538">
        <f t="shared" si="39"/>
        <v>0</v>
      </c>
      <c r="E61" s="538">
        <f t="shared" si="40"/>
        <v>0</v>
      </c>
      <c r="F61" s="539"/>
      <c r="G61" s="540">
        <v>0</v>
      </c>
      <c r="H61" s="540">
        <v>0</v>
      </c>
      <c r="I61" s="540">
        <v>0</v>
      </c>
      <c r="J61" s="540">
        <v>0</v>
      </c>
      <c r="K61" s="540">
        <v>0</v>
      </c>
      <c r="L61" s="540">
        <v>0</v>
      </c>
      <c r="M61" s="540">
        <v>0</v>
      </c>
      <c r="N61" s="540">
        <v>0</v>
      </c>
      <c r="O61" s="540">
        <v>0</v>
      </c>
      <c r="P61" s="540">
        <v>0</v>
      </c>
      <c r="Q61" s="540">
        <v>0</v>
      </c>
      <c r="R61" s="540">
        <v>0</v>
      </c>
      <c r="S61" s="540">
        <v>0</v>
      </c>
      <c r="T61" s="540">
        <v>0</v>
      </c>
      <c r="U61" s="540">
        <v>0</v>
      </c>
      <c r="V61" s="540">
        <v>0</v>
      </c>
      <c r="W61" s="540">
        <v>0</v>
      </c>
      <c r="X61" s="540">
        <v>0</v>
      </c>
      <c r="Y61" s="540">
        <v>0</v>
      </c>
      <c r="Z61" s="540">
        <v>0</v>
      </c>
      <c r="AA61" s="540">
        <v>0</v>
      </c>
      <c r="AB61" s="540">
        <v>0</v>
      </c>
      <c r="AC61" s="540">
        <v>0</v>
      </c>
      <c r="AD61" s="540">
        <v>0</v>
      </c>
      <c r="AE61" s="540">
        <v>0</v>
      </c>
      <c r="AF61" s="540">
        <v>0</v>
      </c>
      <c r="AG61" s="540">
        <v>0</v>
      </c>
      <c r="AH61" s="540">
        <v>0</v>
      </c>
      <c r="AI61" s="540">
        <v>0</v>
      </c>
      <c r="AJ61" s="540">
        <v>0</v>
      </c>
      <c r="AK61" s="540">
        <v>0</v>
      </c>
      <c r="AL61" s="540">
        <v>0</v>
      </c>
      <c r="AM61" s="540">
        <v>0</v>
      </c>
      <c r="AN61" s="540">
        <v>0</v>
      </c>
      <c r="AO61" s="540">
        <v>0</v>
      </c>
      <c r="AP61" s="540">
        <v>0</v>
      </c>
      <c r="AQ61" s="540">
        <v>0</v>
      </c>
      <c r="AR61" s="540">
        <v>0</v>
      </c>
      <c r="AS61" s="540">
        <v>0</v>
      </c>
      <c r="AT61" s="540">
        <v>0</v>
      </c>
      <c r="AU61" s="540">
        <v>0</v>
      </c>
      <c r="AV61" s="540">
        <v>0</v>
      </c>
      <c r="AW61" s="540">
        <v>0</v>
      </c>
      <c r="AX61" s="540">
        <v>0</v>
      </c>
      <c r="AY61" s="540">
        <v>0</v>
      </c>
      <c r="AZ61" s="540">
        <v>0</v>
      </c>
      <c r="BA61" s="540">
        <v>0</v>
      </c>
      <c r="BB61" s="540">
        <v>0</v>
      </c>
    </row>
    <row r="62" spans="2:64" x14ac:dyDescent="0.25">
      <c r="B62" s="165"/>
      <c r="C62" s="452"/>
      <c r="D62" s="452"/>
      <c r="E62" s="452"/>
      <c r="G62" s="517"/>
      <c r="H62" s="517"/>
      <c r="I62" s="517"/>
      <c r="J62" s="517"/>
      <c r="K62" s="517"/>
      <c r="L62" s="517"/>
      <c r="M62" s="517"/>
      <c r="N62" s="517"/>
      <c r="O62" s="517"/>
      <c r="P62" s="517"/>
      <c r="Q62" s="517"/>
      <c r="R62" s="517"/>
      <c r="S62" s="517"/>
      <c r="T62" s="517"/>
      <c r="U62" s="517"/>
      <c r="V62" s="517"/>
      <c r="W62" s="517"/>
      <c r="X62" s="517"/>
      <c r="Y62" s="517"/>
      <c r="Z62" s="517"/>
      <c r="AA62" s="517"/>
      <c r="AB62" s="517"/>
      <c r="AC62" s="517"/>
      <c r="AD62" s="517"/>
      <c r="AE62" s="517"/>
      <c r="AF62" s="517"/>
      <c r="AG62" s="517"/>
      <c r="AH62" s="517"/>
      <c r="AI62" s="517"/>
      <c r="AJ62" s="517"/>
      <c r="AK62" s="517"/>
      <c r="AL62" s="517"/>
      <c r="AM62" s="517"/>
      <c r="AN62" s="517"/>
      <c r="AO62" s="517"/>
      <c r="AP62" s="517"/>
    </row>
    <row r="63" spans="2:64" s="452" customFormat="1" x14ac:dyDescent="0.25">
      <c r="B63" s="468" t="s">
        <v>713</v>
      </c>
      <c r="C63" s="529">
        <f>electrification_input!$D$14</f>
        <v>0.1</v>
      </c>
      <c r="D63" s="526" t="s">
        <v>988</v>
      </c>
      <c r="E63" s="526">
        <f>SUMPRODUCT((G52:AU52&lt;=G$20:AU$20)*1)+1</f>
        <v>5</v>
      </c>
      <c r="F63" s="526" t="s">
        <v>111</v>
      </c>
    </row>
    <row r="64" spans="2:64" x14ac:dyDescent="0.25">
      <c r="B64" s="458" t="s">
        <v>1001</v>
      </c>
      <c r="C64" s="529">
        <f>IRR(G47:AU47)</f>
        <v>1.2506039114324339</v>
      </c>
      <c r="D64" s="527"/>
      <c r="E64" s="527"/>
      <c r="F64" s="527"/>
    </row>
    <row r="65" spans="2:54" x14ac:dyDescent="0.25">
      <c r="C65" s="517"/>
      <c r="D65" s="517"/>
      <c r="E65" s="517"/>
      <c r="F65" s="500"/>
      <c r="H65" s="517"/>
      <c r="I65" s="517"/>
      <c r="J65" s="517"/>
      <c r="K65" s="517"/>
      <c r="L65" s="517"/>
      <c r="M65" s="517"/>
      <c r="N65" s="517"/>
      <c r="O65" s="517"/>
      <c r="P65" s="517"/>
      <c r="Q65" s="517"/>
      <c r="R65" s="517"/>
      <c r="S65" s="517"/>
      <c r="T65" s="517"/>
      <c r="U65" s="517"/>
      <c r="V65" s="517"/>
      <c r="W65" s="517"/>
      <c r="X65" s="517"/>
      <c r="Y65" s="517"/>
      <c r="Z65" s="517"/>
      <c r="AA65" s="517"/>
      <c r="AB65" s="517"/>
      <c r="AC65" s="517"/>
      <c r="AD65" s="517"/>
      <c r="AE65" s="517"/>
      <c r="AF65" s="517"/>
      <c r="AG65" s="517"/>
      <c r="AH65" s="517"/>
      <c r="AI65" s="517"/>
      <c r="AJ65" s="517"/>
      <c r="AK65" s="517"/>
      <c r="AL65" s="517"/>
      <c r="AM65" s="517"/>
      <c r="AN65" s="517"/>
      <c r="AO65" s="517"/>
      <c r="AP65" s="517"/>
    </row>
    <row r="66" spans="2:54" ht="15.75" x14ac:dyDescent="0.25">
      <c r="B66" s="501" t="s">
        <v>1002</v>
      </c>
      <c r="C66" s="501"/>
      <c r="D66" s="561"/>
      <c r="E66" s="561">
        <f>G66+NPV($C$22,H66:BB66)</f>
        <v>301347.86638433713</v>
      </c>
      <c r="F66" s="561"/>
      <c r="G66" s="562">
        <f>G67</f>
        <v>0</v>
      </c>
      <c r="H66" s="562">
        <f t="shared" ref="H66:BB66" si="44">H67</f>
        <v>0</v>
      </c>
      <c r="I66" s="562">
        <f t="shared" si="44"/>
        <v>0</v>
      </c>
      <c r="J66" s="562">
        <f t="shared" si="44"/>
        <v>-64189.426769135316</v>
      </c>
      <c r="K66" s="562">
        <f t="shared" si="44"/>
        <v>77359.907434245106</v>
      </c>
      <c r="L66" s="562">
        <f t="shared" si="44"/>
        <v>82137.807486930513</v>
      </c>
      <c r="M66" s="562">
        <f t="shared" si="44"/>
        <v>84791.721266824432</v>
      </c>
      <c r="N66" s="562">
        <f t="shared" si="44"/>
        <v>87441.034606418863</v>
      </c>
      <c r="O66" s="562">
        <f t="shared" si="44"/>
        <v>90169.168371632419</v>
      </c>
      <c r="P66" s="562">
        <f t="shared" si="44"/>
        <v>92959.603407935007</v>
      </c>
      <c r="Q66" s="562">
        <f t="shared" si="44"/>
        <v>95776.166591622867</v>
      </c>
      <c r="R66" s="562">
        <f t="shared" si="44"/>
        <v>98681.257771784847</v>
      </c>
      <c r="S66" s="562">
        <f t="shared" si="44"/>
        <v>0</v>
      </c>
      <c r="T66" s="562">
        <f t="shared" si="44"/>
        <v>0</v>
      </c>
      <c r="U66" s="562">
        <f t="shared" si="44"/>
        <v>0</v>
      </c>
      <c r="V66" s="562">
        <f t="shared" si="44"/>
        <v>0</v>
      </c>
      <c r="W66" s="562">
        <f t="shared" si="44"/>
        <v>0</v>
      </c>
      <c r="X66" s="562">
        <f t="shared" si="44"/>
        <v>0</v>
      </c>
      <c r="Y66" s="562">
        <f t="shared" si="44"/>
        <v>0</v>
      </c>
      <c r="Z66" s="562">
        <f t="shared" si="44"/>
        <v>0</v>
      </c>
      <c r="AA66" s="562">
        <f t="shared" si="44"/>
        <v>0</v>
      </c>
      <c r="AB66" s="562">
        <f t="shared" si="44"/>
        <v>0</v>
      </c>
      <c r="AC66" s="562">
        <f t="shared" si="44"/>
        <v>0</v>
      </c>
      <c r="AD66" s="562">
        <f t="shared" si="44"/>
        <v>0</v>
      </c>
      <c r="AE66" s="562">
        <f t="shared" si="44"/>
        <v>0</v>
      </c>
      <c r="AF66" s="562">
        <f t="shared" si="44"/>
        <v>0</v>
      </c>
      <c r="AG66" s="562">
        <f t="shared" si="44"/>
        <v>0</v>
      </c>
      <c r="AH66" s="562">
        <f t="shared" si="44"/>
        <v>0</v>
      </c>
      <c r="AI66" s="562">
        <f t="shared" si="44"/>
        <v>0</v>
      </c>
      <c r="AJ66" s="562">
        <f t="shared" si="44"/>
        <v>0</v>
      </c>
      <c r="AK66" s="562">
        <f t="shared" si="44"/>
        <v>0</v>
      </c>
      <c r="AL66" s="562">
        <f t="shared" si="44"/>
        <v>0</v>
      </c>
      <c r="AM66" s="562">
        <f t="shared" si="44"/>
        <v>0</v>
      </c>
      <c r="AN66" s="562">
        <f t="shared" si="44"/>
        <v>0</v>
      </c>
      <c r="AO66" s="562">
        <f t="shared" si="44"/>
        <v>0</v>
      </c>
      <c r="AP66" s="562">
        <f t="shared" si="44"/>
        <v>0</v>
      </c>
      <c r="AQ66" s="562">
        <f t="shared" si="44"/>
        <v>0</v>
      </c>
      <c r="AR66" s="562">
        <f t="shared" si="44"/>
        <v>0</v>
      </c>
      <c r="AS66" s="562">
        <f t="shared" si="44"/>
        <v>0</v>
      </c>
      <c r="AT66" s="562">
        <f t="shared" si="44"/>
        <v>0</v>
      </c>
      <c r="AU66" s="562">
        <f t="shared" si="44"/>
        <v>0</v>
      </c>
      <c r="AV66" s="562">
        <f t="shared" si="44"/>
        <v>0</v>
      </c>
      <c r="AW66" s="562">
        <f t="shared" si="44"/>
        <v>0</v>
      </c>
      <c r="AX66" s="562">
        <f t="shared" si="44"/>
        <v>0</v>
      </c>
      <c r="AY66" s="562">
        <f t="shared" si="44"/>
        <v>0</v>
      </c>
      <c r="AZ66" s="562">
        <f t="shared" si="44"/>
        <v>0</v>
      </c>
      <c r="BA66" s="562">
        <f t="shared" si="44"/>
        <v>0</v>
      </c>
      <c r="BB66" s="562">
        <f t="shared" si="44"/>
        <v>0</v>
      </c>
    </row>
    <row r="67" spans="2:54" x14ac:dyDescent="0.25">
      <c r="B67" s="563" t="s">
        <v>1003</v>
      </c>
      <c r="C67" s="518" t="s">
        <v>979</v>
      </c>
      <c r="D67" s="550">
        <f>SUM(G67:BB67)</f>
        <v>645127.24016825878</v>
      </c>
      <c r="E67" s="550">
        <f>G67+NPV($C$22,H67:BB67)</f>
        <v>301347.86638433713</v>
      </c>
      <c r="F67" s="542"/>
      <c r="G67" s="542">
        <f t="shared" ref="G67:BB67" si="45">G47-G$16</f>
        <v>0</v>
      </c>
      <c r="H67" s="542">
        <f t="shared" si="45"/>
        <v>0</v>
      </c>
      <c r="I67" s="542">
        <f t="shared" si="45"/>
        <v>0</v>
      </c>
      <c r="J67" s="542">
        <f t="shared" si="45"/>
        <v>-64189.426769135316</v>
      </c>
      <c r="K67" s="542">
        <f t="shared" si="45"/>
        <v>77359.907434245106</v>
      </c>
      <c r="L67" s="542">
        <f t="shared" si="45"/>
        <v>82137.807486930513</v>
      </c>
      <c r="M67" s="542">
        <f t="shared" si="45"/>
        <v>84791.721266824432</v>
      </c>
      <c r="N67" s="542">
        <f t="shared" si="45"/>
        <v>87441.034606418863</v>
      </c>
      <c r="O67" s="542">
        <f t="shared" si="45"/>
        <v>90169.168371632419</v>
      </c>
      <c r="P67" s="542">
        <f t="shared" si="45"/>
        <v>92959.603407935007</v>
      </c>
      <c r="Q67" s="542">
        <f t="shared" si="45"/>
        <v>95776.166591622867</v>
      </c>
      <c r="R67" s="542">
        <f t="shared" si="45"/>
        <v>98681.257771784847</v>
      </c>
      <c r="S67" s="542">
        <f t="shared" si="45"/>
        <v>0</v>
      </c>
      <c r="T67" s="542">
        <f t="shared" si="45"/>
        <v>0</v>
      </c>
      <c r="U67" s="542">
        <f t="shared" si="45"/>
        <v>0</v>
      </c>
      <c r="V67" s="542">
        <f t="shared" si="45"/>
        <v>0</v>
      </c>
      <c r="W67" s="542">
        <f t="shared" si="45"/>
        <v>0</v>
      </c>
      <c r="X67" s="542">
        <f t="shared" si="45"/>
        <v>0</v>
      </c>
      <c r="Y67" s="542">
        <f t="shared" si="45"/>
        <v>0</v>
      </c>
      <c r="Z67" s="542">
        <f t="shared" si="45"/>
        <v>0</v>
      </c>
      <c r="AA67" s="542">
        <f t="shared" si="45"/>
        <v>0</v>
      </c>
      <c r="AB67" s="542">
        <f t="shared" si="45"/>
        <v>0</v>
      </c>
      <c r="AC67" s="542">
        <f t="shared" si="45"/>
        <v>0</v>
      </c>
      <c r="AD67" s="542">
        <f t="shared" si="45"/>
        <v>0</v>
      </c>
      <c r="AE67" s="542">
        <f t="shared" si="45"/>
        <v>0</v>
      </c>
      <c r="AF67" s="542">
        <f t="shared" si="45"/>
        <v>0</v>
      </c>
      <c r="AG67" s="542">
        <f t="shared" si="45"/>
        <v>0</v>
      </c>
      <c r="AH67" s="542">
        <f t="shared" si="45"/>
        <v>0</v>
      </c>
      <c r="AI67" s="542">
        <f t="shared" si="45"/>
        <v>0</v>
      </c>
      <c r="AJ67" s="542">
        <f t="shared" si="45"/>
        <v>0</v>
      </c>
      <c r="AK67" s="542">
        <f t="shared" si="45"/>
        <v>0</v>
      </c>
      <c r="AL67" s="542">
        <f t="shared" si="45"/>
        <v>0</v>
      </c>
      <c r="AM67" s="542">
        <f t="shared" si="45"/>
        <v>0</v>
      </c>
      <c r="AN67" s="542">
        <f t="shared" si="45"/>
        <v>0</v>
      </c>
      <c r="AO67" s="542">
        <f t="shared" si="45"/>
        <v>0</v>
      </c>
      <c r="AP67" s="542">
        <f t="shared" si="45"/>
        <v>0</v>
      </c>
      <c r="AQ67" s="542">
        <f t="shared" si="45"/>
        <v>0</v>
      </c>
      <c r="AR67" s="542">
        <f t="shared" si="45"/>
        <v>0</v>
      </c>
      <c r="AS67" s="542">
        <f t="shared" si="45"/>
        <v>0</v>
      </c>
      <c r="AT67" s="542">
        <f t="shared" si="45"/>
        <v>0</v>
      </c>
      <c r="AU67" s="542">
        <f t="shared" si="45"/>
        <v>0</v>
      </c>
      <c r="AV67" s="542">
        <f t="shared" si="45"/>
        <v>0</v>
      </c>
      <c r="AW67" s="542">
        <f t="shared" si="45"/>
        <v>0</v>
      </c>
      <c r="AX67" s="542">
        <f t="shared" si="45"/>
        <v>0</v>
      </c>
      <c r="AY67" s="542">
        <f t="shared" si="45"/>
        <v>0</v>
      </c>
      <c r="AZ67" s="542">
        <f t="shared" si="45"/>
        <v>0</v>
      </c>
      <c r="BA67" s="542">
        <f t="shared" si="45"/>
        <v>0</v>
      </c>
      <c r="BB67" s="542">
        <f t="shared" si="45"/>
        <v>0</v>
      </c>
    </row>
    <row r="69" spans="2:54" x14ac:dyDescent="0.25">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row>
    <row r="70" spans="2:54" s="1190" customFormat="1" ht="15.75" x14ac:dyDescent="0.25">
      <c r="B70" s="501" t="str">
        <f>"Scenario: business as usual"</f>
        <v>Scenario: business as usual</v>
      </c>
      <c r="C70" s="501"/>
      <c r="D70" s="501"/>
      <c r="E70" s="501"/>
      <c r="F70" s="501"/>
      <c r="G70" s="501">
        <f>G24</f>
        <v>2018</v>
      </c>
      <c r="H70" s="501">
        <f t="shared" ref="H70:BB70" si="46">H24</f>
        <v>2019</v>
      </c>
      <c r="I70" s="501">
        <f t="shared" si="46"/>
        <v>2020</v>
      </c>
      <c r="J70" s="501">
        <f t="shared" si="46"/>
        <v>2021</v>
      </c>
      <c r="K70" s="501">
        <f t="shared" si="46"/>
        <v>2022</v>
      </c>
      <c r="L70" s="501">
        <f t="shared" si="46"/>
        <v>2023</v>
      </c>
      <c r="M70" s="501">
        <f t="shared" si="46"/>
        <v>2024</v>
      </c>
      <c r="N70" s="501">
        <f t="shared" si="46"/>
        <v>2025</v>
      </c>
      <c r="O70" s="501">
        <f t="shared" si="46"/>
        <v>2026</v>
      </c>
      <c r="P70" s="501">
        <f t="shared" si="46"/>
        <v>2027</v>
      </c>
      <c r="Q70" s="501">
        <f t="shared" si="46"/>
        <v>2028</v>
      </c>
      <c r="R70" s="501">
        <f t="shared" si="46"/>
        <v>2029</v>
      </c>
      <c r="S70" s="501">
        <f t="shared" si="46"/>
        <v>2030</v>
      </c>
      <c r="T70" s="501">
        <f t="shared" si="46"/>
        <v>2031</v>
      </c>
      <c r="U70" s="501">
        <f t="shared" si="46"/>
        <v>2032</v>
      </c>
      <c r="V70" s="501">
        <f t="shared" si="46"/>
        <v>2033</v>
      </c>
      <c r="W70" s="501">
        <f t="shared" si="46"/>
        <v>2034</v>
      </c>
      <c r="X70" s="501">
        <f t="shared" si="46"/>
        <v>2035</v>
      </c>
      <c r="Y70" s="501">
        <f t="shared" si="46"/>
        <v>2036</v>
      </c>
      <c r="Z70" s="501">
        <f t="shared" si="46"/>
        <v>2037</v>
      </c>
      <c r="AA70" s="501">
        <f t="shared" si="46"/>
        <v>2038</v>
      </c>
      <c r="AB70" s="501">
        <f t="shared" si="46"/>
        <v>2039</v>
      </c>
      <c r="AC70" s="501">
        <f t="shared" si="46"/>
        <v>2040</v>
      </c>
      <c r="AD70" s="501">
        <f t="shared" si="46"/>
        <v>2041</v>
      </c>
      <c r="AE70" s="501">
        <f t="shared" si="46"/>
        <v>2042</v>
      </c>
      <c r="AF70" s="501">
        <f t="shared" si="46"/>
        <v>2043</v>
      </c>
      <c r="AG70" s="501">
        <f t="shared" si="46"/>
        <v>2044</v>
      </c>
      <c r="AH70" s="501">
        <f t="shared" si="46"/>
        <v>2045</v>
      </c>
      <c r="AI70" s="501">
        <f t="shared" si="46"/>
        <v>2046</v>
      </c>
      <c r="AJ70" s="501">
        <f t="shared" si="46"/>
        <v>2047</v>
      </c>
      <c r="AK70" s="501">
        <f t="shared" si="46"/>
        <v>2048</v>
      </c>
      <c r="AL70" s="501">
        <f t="shared" si="46"/>
        <v>2049</v>
      </c>
      <c r="AM70" s="501">
        <f t="shared" si="46"/>
        <v>2050</v>
      </c>
      <c r="AN70" s="501">
        <f t="shared" si="46"/>
        <v>2051</v>
      </c>
      <c r="AO70" s="501">
        <f t="shared" si="46"/>
        <v>2052</v>
      </c>
      <c r="AP70" s="501">
        <f t="shared" si="46"/>
        <v>2053</v>
      </c>
      <c r="AQ70" s="501">
        <f t="shared" si="46"/>
        <v>2054</v>
      </c>
      <c r="AR70" s="501">
        <f t="shared" si="46"/>
        <v>2055</v>
      </c>
      <c r="AS70" s="501">
        <f t="shared" si="46"/>
        <v>2056</v>
      </c>
      <c r="AT70" s="501">
        <f t="shared" si="46"/>
        <v>2057</v>
      </c>
      <c r="AU70" s="501">
        <f t="shared" si="46"/>
        <v>2058</v>
      </c>
      <c r="AV70" s="501">
        <f t="shared" si="46"/>
        <v>2059</v>
      </c>
      <c r="AW70" s="501">
        <f t="shared" si="46"/>
        <v>2060</v>
      </c>
      <c r="AX70" s="501">
        <f t="shared" si="46"/>
        <v>2061</v>
      </c>
      <c r="AY70" s="501">
        <f t="shared" si="46"/>
        <v>2062</v>
      </c>
      <c r="AZ70" s="501">
        <f t="shared" si="46"/>
        <v>2063</v>
      </c>
      <c r="BA70" s="501">
        <f t="shared" si="46"/>
        <v>2064</v>
      </c>
      <c r="BB70" s="501">
        <f t="shared" si="46"/>
        <v>2065</v>
      </c>
    </row>
    <row r="71" spans="2:54" s="1190" customFormat="1" x14ac:dyDescent="0.25">
      <c r="B71" s="1187" t="s">
        <v>978</v>
      </c>
      <c r="C71" s="1187" t="s">
        <v>979</v>
      </c>
      <c r="D71" s="530">
        <f t="shared" ref="D71:D72" si="47">SUM(G71:BB71)</f>
        <v>-60798.414857142852</v>
      </c>
      <c r="E71" s="530">
        <f t="shared" ref="E71:E72" si="48">G71+NPV($C$22,H71:BB71)</f>
        <v>-19372.248641424914</v>
      </c>
      <c r="F71" s="531"/>
      <c r="G71" s="532">
        <f>SUM(G72)</f>
        <v>0</v>
      </c>
      <c r="H71" s="532">
        <f t="shared" ref="H71:BB71" si="49">SUM(H72)</f>
        <v>0</v>
      </c>
      <c r="I71" s="532">
        <f t="shared" si="49"/>
        <v>0</v>
      </c>
      <c r="J71" s="532">
        <f t="shared" si="49"/>
        <v>0</v>
      </c>
      <c r="K71" s="532">
        <f t="shared" si="49"/>
        <v>0</v>
      </c>
      <c r="L71" s="532">
        <f t="shared" si="49"/>
        <v>0</v>
      </c>
      <c r="M71" s="532">
        <f t="shared" si="49"/>
        <v>0</v>
      </c>
      <c r="N71" s="532">
        <f t="shared" si="49"/>
        <v>0</v>
      </c>
      <c r="O71" s="532">
        <f t="shared" si="49"/>
        <v>0</v>
      </c>
      <c r="P71" s="532">
        <f t="shared" si="49"/>
        <v>0</v>
      </c>
      <c r="Q71" s="532">
        <f t="shared" si="49"/>
        <v>0</v>
      </c>
      <c r="R71" s="532">
        <f t="shared" si="49"/>
        <v>0</v>
      </c>
      <c r="S71" s="532">
        <f t="shared" si="49"/>
        <v>-60798.414857142852</v>
      </c>
      <c r="T71" s="532">
        <f t="shared" si="49"/>
        <v>0</v>
      </c>
      <c r="U71" s="532">
        <f t="shared" si="49"/>
        <v>0</v>
      </c>
      <c r="V71" s="532">
        <f t="shared" si="49"/>
        <v>0</v>
      </c>
      <c r="W71" s="532">
        <f t="shared" si="49"/>
        <v>0</v>
      </c>
      <c r="X71" s="532">
        <f t="shared" si="49"/>
        <v>0</v>
      </c>
      <c r="Y71" s="532">
        <f t="shared" si="49"/>
        <v>0</v>
      </c>
      <c r="Z71" s="532">
        <f t="shared" si="49"/>
        <v>0</v>
      </c>
      <c r="AA71" s="532">
        <f t="shared" si="49"/>
        <v>0</v>
      </c>
      <c r="AB71" s="532">
        <f t="shared" si="49"/>
        <v>0</v>
      </c>
      <c r="AC71" s="532">
        <f t="shared" si="49"/>
        <v>0</v>
      </c>
      <c r="AD71" s="532">
        <f t="shared" si="49"/>
        <v>0</v>
      </c>
      <c r="AE71" s="532">
        <f t="shared" si="49"/>
        <v>0</v>
      </c>
      <c r="AF71" s="532">
        <f t="shared" si="49"/>
        <v>0</v>
      </c>
      <c r="AG71" s="532">
        <f t="shared" si="49"/>
        <v>0</v>
      </c>
      <c r="AH71" s="532">
        <f t="shared" si="49"/>
        <v>0</v>
      </c>
      <c r="AI71" s="532">
        <f t="shared" si="49"/>
        <v>0</v>
      </c>
      <c r="AJ71" s="532">
        <f t="shared" si="49"/>
        <v>0</v>
      </c>
      <c r="AK71" s="532">
        <f t="shared" si="49"/>
        <v>0</v>
      </c>
      <c r="AL71" s="532">
        <f t="shared" si="49"/>
        <v>0</v>
      </c>
      <c r="AM71" s="532">
        <f t="shared" si="49"/>
        <v>0</v>
      </c>
      <c r="AN71" s="532">
        <f t="shared" si="49"/>
        <v>0</v>
      </c>
      <c r="AO71" s="532">
        <f t="shared" si="49"/>
        <v>0</v>
      </c>
      <c r="AP71" s="532">
        <f t="shared" si="49"/>
        <v>0</v>
      </c>
      <c r="AQ71" s="532">
        <f t="shared" si="49"/>
        <v>0</v>
      </c>
      <c r="AR71" s="532">
        <f t="shared" si="49"/>
        <v>0</v>
      </c>
      <c r="AS71" s="532">
        <f t="shared" si="49"/>
        <v>0</v>
      </c>
      <c r="AT71" s="532">
        <f t="shared" si="49"/>
        <v>0</v>
      </c>
      <c r="AU71" s="532">
        <f t="shared" si="49"/>
        <v>0</v>
      </c>
      <c r="AV71" s="532">
        <f t="shared" si="49"/>
        <v>0</v>
      </c>
      <c r="AW71" s="532">
        <f t="shared" si="49"/>
        <v>0</v>
      </c>
      <c r="AX71" s="532">
        <f t="shared" si="49"/>
        <v>0</v>
      </c>
      <c r="AY71" s="532">
        <f t="shared" si="49"/>
        <v>0</v>
      </c>
      <c r="AZ71" s="532">
        <f t="shared" si="49"/>
        <v>0</v>
      </c>
      <c r="BA71" s="532">
        <f t="shared" si="49"/>
        <v>0</v>
      </c>
      <c r="BB71" s="532">
        <f t="shared" si="49"/>
        <v>0</v>
      </c>
    </row>
    <row r="72" spans="2:54" s="1190" customFormat="1" x14ac:dyDescent="0.25">
      <c r="B72" s="533" t="s">
        <v>1706</v>
      </c>
      <c r="C72" s="508" t="s">
        <v>979</v>
      </c>
      <c r="D72" s="534">
        <f t="shared" si="47"/>
        <v>-60798.414857142852</v>
      </c>
      <c r="E72" s="534">
        <f t="shared" si="48"/>
        <v>-19372.248641424914</v>
      </c>
      <c r="F72" s="535"/>
      <c r="G72" s="536">
        <f>IF(G70='E Decom &amp; refub'!$I$60,-'E Decom &amp; refub'!$I$66,0)</f>
        <v>0</v>
      </c>
      <c r="H72" s="536">
        <f>IF(H70='E Decom &amp; refub'!$I$60,-'E Decom &amp; refub'!$I$66,0)</f>
        <v>0</v>
      </c>
      <c r="I72" s="536">
        <f>IF(I70='E Decom &amp; refub'!$I$60,-'E Decom &amp; refub'!$I$66,0)</f>
        <v>0</v>
      </c>
      <c r="J72" s="536">
        <f>IF(J70='E Decom &amp; refub'!$I$60,-'E Decom &amp; refub'!$I$66,0)</f>
        <v>0</v>
      </c>
      <c r="K72" s="536">
        <f>IF(K70='E Decom &amp; refub'!$I$60,-'E Decom &amp; refub'!$I$66,0)</f>
        <v>0</v>
      </c>
      <c r="L72" s="536">
        <f>IF(L70='E Decom &amp; refub'!$I$60,-'E Decom &amp; refub'!$I$66,0)</f>
        <v>0</v>
      </c>
      <c r="M72" s="536">
        <f>IF(M70='E Decom &amp; refub'!$I$60,-'E Decom &amp; refub'!$I$66,0)</f>
        <v>0</v>
      </c>
      <c r="N72" s="536">
        <f>IF(N70='E Decom &amp; refub'!$I$60,-'E Decom &amp; refub'!$I$66,0)</f>
        <v>0</v>
      </c>
      <c r="O72" s="536">
        <f>IF(O70='E Decom &amp; refub'!$I$60,-'E Decom &amp; refub'!$I$66,0)</f>
        <v>0</v>
      </c>
      <c r="P72" s="536">
        <f>IF(P70='E Decom &amp; refub'!$I$60,-'E Decom &amp; refub'!$I$66,0)</f>
        <v>0</v>
      </c>
      <c r="Q72" s="536">
        <f>IF(Q70='E Decom &amp; refub'!$I$60,-'E Decom &amp; refub'!$I$66,0)</f>
        <v>0</v>
      </c>
      <c r="R72" s="536">
        <f>IF(R70='E Decom &amp; refub'!$I$60,-'E Decom &amp; refub'!$I$66,0)</f>
        <v>0</v>
      </c>
      <c r="S72" s="536">
        <f>IF(S70='E Decom &amp; refub'!$I$60,-'E Decom &amp; refub'!$I$66,0)</f>
        <v>-60798.414857142852</v>
      </c>
      <c r="T72" s="536">
        <f>IF(T70='E Decom &amp; refub'!$I$60,-'E Decom &amp; refub'!$I$66,0)</f>
        <v>0</v>
      </c>
      <c r="U72" s="536">
        <f>IF(U70='E Decom &amp; refub'!$I$60,-'E Decom &amp; refub'!$I$66,0)</f>
        <v>0</v>
      </c>
      <c r="V72" s="536">
        <f>IF(V70='E Decom &amp; refub'!$I$60,-'E Decom &amp; refub'!$I$66,0)</f>
        <v>0</v>
      </c>
      <c r="W72" s="536">
        <f>IF(W70='E Decom &amp; refub'!$I$60,-'E Decom &amp; refub'!$I$66,0)</f>
        <v>0</v>
      </c>
      <c r="X72" s="536">
        <f>IF(X70='E Decom &amp; refub'!$I$60,-'E Decom &amp; refub'!$I$66,0)</f>
        <v>0</v>
      </c>
      <c r="Y72" s="536">
        <f>IF(Y70='E Decom &amp; refub'!$I$60,-'E Decom &amp; refub'!$I$66,0)</f>
        <v>0</v>
      </c>
      <c r="Z72" s="536">
        <f>IF(Z70='E Decom &amp; refub'!$I$60,-'E Decom &amp; refub'!$I$66,0)</f>
        <v>0</v>
      </c>
      <c r="AA72" s="536">
        <f>IF(AA70='E Decom &amp; refub'!$I$60,-'E Decom &amp; refub'!$I$66,0)</f>
        <v>0</v>
      </c>
      <c r="AB72" s="536">
        <f>IF(AB70='E Decom &amp; refub'!$I$60,-'E Decom &amp; refub'!$I$66,0)</f>
        <v>0</v>
      </c>
      <c r="AC72" s="536">
        <f>IF(AC70='E Decom &amp; refub'!$I$60,-'E Decom &amp; refub'!$I$66,0)</f>
        <v>0</v>
      </c>
      <c r="AD72" s="536">
        <f>IF(AD70='E Decom &amp; refub'!$I$60,-'E Decom &amp; refub'!$I$66,0)</f>
        <v>0</v>
      </c>
      <c r="AE72" s="536">
        <f>IF(AE70='E Decom &amp; refub'!$I$60,-'E Decom &amp; refub'!$I$66,0)</f>
        <v>0</v>
      </c>
      <c r="AF72" s="536">
        <f>IF(AF70='E Decom &amp; refub'!$I$60,-'E Decom &amp; refub'!$I$66,0)</f>
        <v>0</v>
      </c>
      <c r="AG72" s="536">
        <f>IF(AG70='E Decom &amp; refub'!$I$60,-'E Decom &amp; refub'!$I$66,0)</f>
        <v>0</v>
      </c>
      <c r="AH72" s="536">
        <f>IF(AH70='E Decom &amp; refub'!$I$60,-'E Decom &amp; refub'!$I$66,0)</f>
        <v>0</v>
      </c>
      <c r="AI72" s="536">
        <f>IF(AI70='E Decom &amp; refub'!$I$60,-'E Decom &amp; refub'!$I$66,0)</f>
        <v>0</v>
      </c>
      <c r="AJ72" s="536">
        <f>IF(AJ70='E Decom &amp; refub'!$I$60,-'E Decom &amp; refub'!$I$66,0)</f>
        <v>0</v>
      </c>
      <c r="AK72" s="536">
        <f>IF(AK70='E Decom &amp; refub'!$I$60,-'E Decom &amp; refub'!$I$66,0)</f>
        <v>0</v>
      </c>
      <c r="AL72" s="536">
        <f>IF(AL70='E Decom &amp; refub'!$I$60,-'E Decom &amp; refub'!$I$66,0)</f>
        <v>0</v>
      </c>
      <c r="AM72" s="536">
        <f>IF(AM70='E Decom &amp; refub'!$I$60,-'E Decom &amp; refub'!$I$66,0)</f>
        <v>0</v>
      </c>
      <c r="AN72" s="536">
        <f>IF(AN70='E Decom &amp; refub'!$I$60,-'E Decom &amp; refub'!$I$66,0)</f>
        <v>0</v>
      </c>
      <c r="AO72" s="536">
        <f>IF(AO70='E Decom &amp; refub'!$I$60,-'E Decom &amp; refub'!$I$66,0)</f>
        <v>0</v>
      </c>
      <c r="AP72" s="536">
        <f>IF(AP70='E Decom &amp; refub'!$I$60,-'E Decom &amp; refub'!$I$66,0)</f>
        <v>0</v>
      </c>
      <c r="AQ72" s="536">
        <f>IF(AQ70='E Decom &amp; refub'!$I$60,-'E Decom &amp; refub'!$I$66,0)</f>
        <v>0</v>
      </c>
      <c r="AR72" s="536">
        <f>IF(AR70='E Decom &amp; refub'!$I$60,-'E Decom &amp; refub'!$I$66,0)</f>
        <v>0</v>
      </c>
      <c r="AS72" s="536">
        <f>IF(AS70='E Decom &amp; refub'!$I$60,-'E Decom &amp; refub'!$I$66,0)</f>
        <v>0</v>
      </c>
      <c r="AT72" s="536">
        <f>IF(AT70='E Decom &amp; refub'!$I$60,-'E Decom &amp; refub'!$I$66,0)</f>
        <v>0</v>
      </c>
      <c r="AU72" s="536">
        <f>IF(AU70='E Decom &amp; refub'!$I$60,-'E Decom &amp; refub'!$I$66,0)</f>
        <v>0</v>
      </c>
      <c r="AV72" s="536">
        <f>IF(AV70='E Decom &amp; refub'!$I$60,-'E Decom &amp; refub'!$I$66,0)</f>
        <v>0</v>
      </c>
      <c r="AW72" s="536">
        <f>IF(AW70='E Decom &amp; refub'!$I$60,-'E Decom &amp; refub'!$I$66,0)</f>
        <v>0</v>
      </c>
      <c r="AX72" s="536">
        <f>IF(AX70='E Decom &amp; refub'!$I$60,-'E Decom &amp; refub'!$I$66,0)</f>
        <v>0</v>
      </c>
      <c r="AY72" s="536">
        <f>IF(AY70='E Decom &amp; refub'!$I$60,-'E Decom &amp; refub'!$I$66,0)</f>
        <v>0</v>
      </c>
      <c r="AZ72" s="536">
        <f>IF(AZ70='E Decom &amp; refub'!$I$60,-'E Decom &amp; refub'!$I$66,0)</f>
        <v>0</v>
      </c>
      <c r="BA72" s="536">
        <f>IF(BA70='E Decom &amp; refub'!$I$60,-'E Decom &amp; refub'!$I$66,0)</f>
        <v>0</v>
      </c>
      <c r="BB72" s="536">
        <f>IF(BB70='E Decom &amp; refub'!$I$60,-'E Decom &amp; refub'!$I$66,0)</f>
        <v>0</v>
      </c>
    </row>
    <row r="73" spans="2:54" x14ac:dyDescent="0.25">
      <c r="B73" s="440"/>
      <c r="C73" s="440"/>
      <c r="D73" s="541"/>
      <c r="E73" s="541">
        <f t="shared" ref="E73" si="50">G73+NPV($C$22,H73:AU73)</f>
        <v>0</v>
      </c>
      <c r="F73" s="542"/>
      <c r="G73" s="542"/>
      <c r="H73" s="542"/>
      <c r="I73" s="542"/>
      <c r="J73" s="542"/>
      <c r="K73" s="542"/>
      <c r="L73" s="542"/>
      <c r="M73" s="542"/>
      <c r="N73" s="542"/>
      <c r="O73" s="542"/>
      <c r="P73" s="542"/>
      <c r="Q73" s="542"/>
      <c r="R73" s="542"/>
      <c r="S73" s="542"/>
      <c r="T73" s="542"/>
      <c r="U73" s="542"/>
      <c r="V73" s="542"/>
      <c r="W73" s="542"/>
      <c r="X73" s="542"/>
      <c r="Y73" s="542"/>
      <c r="Z73" s="542"/>
      <c r="AA73" s="542"/>
      <c r="AB73" s="542"/>
      <c r="AC73" s="542"/>
      <c r="AD73" s="542"/>
      <c r="AE73" s="542"/>
      <c r="AF73" s="542"/>
      <c r="AG73" s="542"/>
      <c r="AH73" s="542"/>
      <c r="AI73" s="542"/>
      <c r="AJ73" s="542"/>
      <c r="AK73" s="542"/>
      <c r="AL73" s="542"/>
      <c r="AM73" s="542"/>
      <c r="AN73" s="542"/>
      <c r="AO73" s="542"/>
      <c r="AP73" s="542"/>
      <c r="AQ73" s="542"/>
      <c r="AR73" s="542"/>
      <c r="AS73" s="542"/>
      <c r="AT73" s="542"/>
      <c r="AU73" s="542"/>
      <c r="AV73" s="542"/>
      <c r="AW73" s="542"/>
      <c r="AX73" s="542"/>
      <c r="AY73" s="542"/>
      <c r="AZ73" s="542"/>
      <c r="BA73" s="542"/>
      <c r="BB73" s="542"/>
    </row>
    <row r="74" spans="2:54" s="1190" customFormat="1" x14ac:dyDescent="0.25">
      <c r="B74" s="1187" t="s">
        <v>982</v>
      </c>
      <c r="C74" s="1187" t="s">
        <v>979</v>
      </c>
      <c r="D74" s="530">
        <f t="shared" ref="D74:D77" si="51">SUM(G74:BB74)</f>
        <v>-198314.50436335732</v>
      </c>
      <c r="E74" s="530">
        <f t="shared" ref="E74:E77" si="52">G74+NPV($C$22,H74:BB74)</f>
        <v>-98088.675462031228</v>
      </c>
      <c r="F74" s="531"/>
      <c r="G74" s="532">
        <f>SUM(G75:G77)</f>
        <v>0</v>
      </c>
      <c r="H74" s="532">
        <f t="shared" ref="H74:BB74" si="53">SUM(H75:H77)</f>
        <v>0</v>
      </c>
      <c r="I74" s="532">
        <f t="shared" si="53"/>
        <v>0</v>
      </c>
      <c r="J74" s="532">
        <f t="shared" si="53"/>
        <v>0</v>
      </c>
      <c r="K74" s="532">
        <f t="shared" si="53"/>
        <v>-22622.065856911682</v>
      </c>
      <c r="L74" s="532">
        <f t="shared" si="53"/>
        <v>-23234.081107655205</v>
      </c>
      <c r="M74" s="532">
        <f t="shared" si="53"/>
        <v>-23769.682651363775</v>
      </c>
      <c r="N74" s="532">
        <f t="shared" si="53"/>
        <v>-24395.316492878097</v>
      </c>
      <c r="O74" s="532">
        <f t="shared" si="53"/>
        <v>-25029.703234450368</v>
      </c>
      <c r="P74" s="532">
        <f t="shared" si="53"/>
        <v>-25691.554984765313</v>
      </c>
      <c r="Q74" s="532">
        <f t="shared" si="53"/>
        <v>-26419.290510517265</v>
      </c>
      <c r="R74" s="532">
        <f t="shared" si="53"/>
        <v>-27152.809524815639</v>
      </c>
      <c r="S74" s="532">
        <f t="shared" si="53"/>
        <v>0</v>
      </c>
      <c r="T74" s="532">
        <f t="shared" si="53"/>
        <v>0</v>
      </c>
      <c r="U74" s="532">
        <f t="shared" si="53"/>
        <v>0</v>
      </c>
      <c r="V74" s="532">
        <f t="shared" si="53"/>
        <v>0</v>
      </c>
      <c r="W74" s="532">
        <f t="shared" si="53"/>
        <v>0</v>
      </c>
      <c r="X74" s="532">
        <f t="shared" si="53"/>
        <v>0</v>
      </c>
      <c r="Y74" s="532">
        <f t="shared" si="53"/>
        <v>0</v>
      </c>
      <c r="Z74" s="532">
        <f t="shared" si="53"/>
        <v>0</v>
      </c>
      <c r="AA74" s="532">
        <f t="shared" si="53"/>
        <v>0</v>
      </c>
      <c r="AB74" s="532">
        <f t="shared" si="53"/>
        <v>0</v>
      </c>
      <c r="AC74" s="532">
        <f t="shared" si="53"/>
        <v>0</v>
      </c>
      <c r="AD74" s="532">
        <f t="shared" si="53"/>
        <v>0</v>
      </c>
      <c r="AE74" s="532">
        <f t="shared" si="53"/>
        <v>0</v>
      </c>
      <c r="AF74" s="532">
        <f t="shared" si="53"/>
        <v>0</v>
      </c>
      <c r="AG74" s="532">
        <f t="shared" si="53"/>
        <v>0</v>
      </c>
      <c r="AH74" s="532">
        <f t="shared" si="53"/>
        <v>0</v>
      </c>
      <c r="AI74" s="532">
        <f t="shared" si="53"/>
        <v>0</v>
      </c>
      <c r="AJ74" s="532">
        <f t="shared" si="53"/>
        <v>0</v>
      </c>
      <c r="AK74" s="532">
        <f t="shared" si="53"/>
        <v>0</v>
      </c>
      <c r="AL74" s="532">
        <f t="shared" si="53"/>
        <v>0</v>
      </c>
      <c r="AM74" s="532">
        <f t="shared" si="53"/>
        <v>0</v>
      </c>
      <c r="AN74" s="532">
        <f t="shared" si="53"/>
        <v>0</v>
      </c>
      <c r="AO74" s="532">
        <f t="shared" si="53"/>
        <v>0</v>
      </c>
      <c r="AP74" s="532">
        <f t="shared" si="53"/>
        <v>0</v>
      </c>
      <c r="AQ74" s="532">
        <f t="shared" si="53"/>
        <v>0</v>
      </c>
      <c r="AR74" s="532">
        <f t="shared" si="53"/>
        <v>0</v>
      </c>
      <c r="AS74" s="532">
        <f t="shared" si="53"/>
        <v>0</v>
      </c>
      <c r="AT74" s="532">
        <f t="shared" si="53"/>
        <v>0</v>
      </c>
      <c r="AU74" s="532">
        <f t="shared" si="53"/>
        <v>0</v>
      </c>
      <c r="AV74" s="532">
        <f t="shared" si="53"/>
        <v>0</v>
      </c>
      <c r="AW74" s="532">
        <f t="shared" si="53"/>
        <v>0</v>
      </c>
      <c r="AX74" s="532">
        <f t="shared" si="53"/>
        <v>0</v>
      </c>
      <c r="AY74" s="532">
        <f t="shared" si="53"/>
        <v>0</v>
      </c>
      <c r="AZ74" s="532">
        <f t="shared" si="53"/>
        <v>0</v>
      </c>
      <c r="BA74" s="532">
        <f t="shared" si="53"/>
        <v>0</v>
      </c>
      <c r="BB74" s="532">
        <f t="shared" si="53"/>
        <v>0</v>
      </c>
    </row>
    <row r="75" spans="2:54" s="1190" customFormat="1" x14ac:dyDescent="0.25">
      <c r="B75" s="533" t="s">
        <v>1380</v>
      </c>
      <c r="C75" s="508" t="s">
        <v>979</v>
      </c>
      <c r="D75" s="534">
        <f t="shared" si="51"/>
        <v>-19008.207010501123</v>
      </c>
      <c r="E75" s="534">
        <f t="shared" si="52"/>
        <v>-9131.0453262271421</v>
      </c>
      <c r="F75" s="535"/>
      <c r="G75" s="536">
        <f>G35</f>
        <v>0</v>
      </c>
      <c r="H75" s="536">
        <f t="shared" ref="H75:BB75" si="54">H35</f>
        <v>0</v>
      </c>
      <c r="I75" s="536">
        <f t="shared" si="54"/>
        <v>0</v>
      </c>
      <c r="J75" s="536">
        <f t="shared" si="54"/>
        <v>0</v>
      </c>
      <c r="K75" s="536">
        <f t="shared" si="54"/>
        <v>-1731.1251689116834</v>
      </c>
      <c r="L75" s="536">
        <f t="shared" si="54"/>
        <v>-1925.3216058952012</v>
      </c>
      <c r="M75" s="536">
        <f t="shared" si="54"/>
        <v>-2034.7479595685727</v>
      </c>
      <c r="N75" s="536">
        <f t="shared" si="54"/>
        <v>-2225.6831072469972</v>
      </c>
      <c r="O75" s="536">
        <f t="shared" si="54"/>
        <v>-2416.6771811066415</v>
      </c>
      <c r="P75" s="536">
        <f t="shared" si="54"/>
        <v>-2626.2684103547158</v>
      </c>
      <c r="Q75" s="536">
        <f t="shared" si="54"/>
        <v>-2892.6982046184544</v>
      </c>
      <c r="R75" s="536">
        <f t="shared" si="54"/>
        <v>-3155.6853727988578</v>
      </c>
      <c r="S75" s="536">
        <f t="shared" si="54"/>
        <v>0</v>
      </c>
      <c r="T75" s="536">
        <f t="shared" si="54"/>
        <v>0</v>
      </c>
      <c r="U75" s="536">
        <f t="shared" si="54"/>
        <v>0</v>
      </c>
      <c r="V75" s="536">
        <f t="shared" si="54"/>
        <v>0</v>
      </c>
      <c r="W75" s="536">
        <f t="shared" si="54"/>
        <v>0</v>
      </c>
      <c r="X75" s="536">
        <f t="shared" si="54"/>
        <v>0</v>
      </c>
      <c r="Y75" s="536">
        <f t="shared" si="54"/>
        <v>0</v>
      </c>
      <c r="Z75" s="536">
        <f t="shared" si="54"/>
        <v>0</v>
      </c>
      <c r="AA75" s="536">
        <f t="shared" si="54"/>
        <v>0</v>
      </c>
      <c r="AB75" s="536">
        <f t="shared" si="54"/>
        <v>0</v>
      </c>
      <c r="AC75" s="536">
        <f t="shared" si="54"/>
        <v>0</v>
      </c>
      <c r="AD75" s="536">
        <f t="shared" si="54"/>
        <v>0</v>
      </c>
      <c r="AE75" s="536">
        <f t="shared" si="54"/>
        <v>0</v>
      </c>
      <c r="AF75" s="536">
        <f t="shared" si="54"/>
        <v>0</v>
      </c>
      <c r="AG75" s="536">
        <f t="shared" si="54"/>
        <v>0</v>
      </c>
      <c r="AH75" s="536">
        <f t="shared" si="54"/>
        <v>0</v>
      </c>
      <c r="AI75" s="536">
        <f t="shared" si="54"/>
        <v>0</v>
      </c>
      <c r="AJ75" s="536">
        <f t="shared" si="54"/>
        <v>0</v>
      </c>
      <c r="AK75" s="536">
        <f t="shared" si="54"/>
        <v>0</v>
      </c>
      <c r="AL75" s="536">
        <f t="shared" si="54"/>
        <v>0</v>
      </c>
      <c r="AM75" s="536">
        <f t="shared" si="54"/>
        <v>0</v>
      </c>
      <c r="AN75" s="536">
        <f t="shared" si="54"/>
        <v>0</v>
      </c>
      <c r="AO75" s="536">
        <f t="shared" si="54"/>
        <v>0</v>
      </c>
      <c r="AP75" s="536">
        <f t="shared" si="54"/>
        <v>0</v>
      </c>
      <c r="AQ75" s="536">
        <f t="shared" si="54"/>
        <v>0</v>
      </c>
      <c r="AR75" s="536">
        <f t="shared" si="54"/>
        <v>0</v>
      </c>
      <c r="AS75" s="536">
        <f t="shared" si="54"/>
        <v>0</v>
      </c>
      <c r="AT75" s="536">
        <f t="shared" si="54"/>
        <v>0</v>
      </c>
      <c r="AU75" s="536">
        <f t="shared" si="54"/>
        <v>0</v>
      </c>
      <c r="AV75" s="536">
        <f t="shared" si="54"/>
        <v>0</v>
      </c>
      <c r="AW75" s="536">
        <f t="shared" si="54"/>
        <v>0</v>
      </c>
      <c r="AX75" s="536">
        <f t="shared" si="54"/>
        <v>0</v>
      </c>
      <c r="AY75" s="536">
        <f t="shared" si="54"/>
        <v>0</v>
      </c>
      <c r="AZ75" s="536">
        <f t="shared" si="54"/>
        <v>0</v>
      </c>
      <c r="BA75" s="536">
        <f t="shared" si="54"/>
        <v>0</v>
      </c>
      <c r="BB75" s="536">
        <f t="shared" si="54"/>
        <v>0</v>
      </c>
    </row>
    <row r="76" spans="2:54" s="1190" customFormat="1" x14ac:dyDescent="0.25">
      <c r="B76" s="537" t="s">
        <v>1707</v>
      </c>
      <c r="C76" s="1113" t="s">
        <v>979</v>
      </c>
      <c r="D76" s="539">
        <f t="shared" si="51"/>
        <v>-165370.57476066533</v>
      </c>
      <c r="E76" s="539">
        <f t="shared" si="52"/>
        <v>-82043.82468483485</v>
      </c>
      <c r="F76" s="539"/>
      <c r="G76" s="540">
        <f>G37</f>
        <v>0</v>
      </c>
      <c r="H76" s="540">
        <f t="shared" ref="H76:BB76" si="55">H37</f>
        <v>0</v>
      </c>
      <c r="I76" s="540">
        <f t="shared" si="55"/>
        <v>0</v>
      </c>
      <c r="J76" s="540">
        <f t="shared" si="55"/>
        <v>0</v>
      </c>
      <c r="K76" s="540">
        <f t="shared" si="55"/>
        <v>-19267.292448</v>
      </c>
      <c r="L76" s="540">
        <f t="shared" si="55"/>
        <v>-19652.638296960002</v>
      </c>
      <c r="M76" s="540">
        <f t="shared" si="55"/>
        <v>-20045.691062899201</v>
      </c>
      <c r="N76" s="540">
        <f t="shared" si="55"/>
        <v>-20446.604884157179</v>
      </c>
      <c r="O76" s="540">
        <f t="shared" si="55"/>
        <v>-20855.536981840327</v>
      </c>
      <c r="P76" s="540">
        <f t="shared" si="55"/>
        <v>-21272.647721477133</v>
      </c>
      <c r="Q76" s="540">
        <f t="shared" si="55"/>
        <v>-21698.100675906677</v>
      </c>
      <c r="R76" s="540">
        <f t="shared" si="55"/>
        <v>-22132.062689424805</v>
      </c>
      <c r="S76" s="540">
        <f t="shared" si="55"/>
        <v>0</v>
      </c>
      <c r="T76" s="540">
        <f t="shared" si="55"/>
        <v>0</v>
      </c>
      <c r="U76" s="540">
        <f t="shared" si="55"/>
        <v>0</v>
      </c>
      <c r="V76" s="540">
        <f t="shared" si="55"/>
        <v>0</v>
      </c>
      <c r="W76" s="540">
        <f t="shared" si="55"/>
        <v>0</v>
      </c>
      <c r="X76" s="540">
        <f t="shared" si="55"/>
        <v>0</v>
      </c>
      <c r="Y76" s="540">
        <f t="shared" si="55"/>
        <v>0</v>
      </c>
      <c r="Z76" s="540">
        <f t="shared" si="55"/>
        <v>0</v>
      </c>
      <c r="AA76" s="540">
        <f t="shared" si="55"/>
        <v>0</v>
      </c>
      <c r="AB76" s="540">
        <f t="shared" si="55"/>
        <v>0</v>
      </c>
      <c r="AC76" s="540">
        <f t="shared" si="55"/>
        <v>0</v>
      </c>
      <c r="AD76" s="540">
        <f t="shared" si="55"/>
        <v>0</v>
      </c>
      <c r="AE76" s="540">
        <f t="shared" si="55"/>
        <v>0</v>
      </c>
      <c r="AF76" s="540">
        <f t="shared" si="55"/>
        <v>0</v>
      </c>
      <c r="AG76" s="540">
        <f t="shared" si="55"/>
        <v>0</v>
      </c>
      <c r="AH76" s="540">
        <f t="shared" si="55"/>
        <v>0</v>
      </c>
      <c r="AI76" s="540">
        <f t="shared" si="55"/>
        <v>0</v>
      </c>
      <c r="AJ76" s="540">
        <f t="shared" si="55"/>
        <v>0</v>
      </c>
      <c r="AK76" s="540">
        <f t="shared" si="55"/>
        <v>0</v>
      </c>
      <c r="AL76" s="540">
        <f t="shared" si="55"/>
        <v>0</v>
      </c>
      <c r="AM76" s="540">
        <f t="shared" si="55"/>
        <v>0</v>
      </c>
      <c r="AN76" s="540">
        <f t="shared" si="55"/>
        <v>0</v>
      </c>
      <c r="AO76" s="540">
        <f t="shared" si="55"/>
        <v>0</v>
      </c>
      <c r="AP76" s="540">
        <f t="shared" si="55"/>
        <v>0</v>
      </c>
      <c r="AQ76" s="540">
        <f t="shared" si="55"/>
        <v>0</v>
      </c>
      <c r="AR76" s="540">
        <f t="shared" si="55"/>
        <v>0</v>
      </c>
      <c r="AS76" s="540">
        <f t="shared" si="55"/>
        <v>0</v>
      </c>
      <c r="AT76" s="540">
        <f t="shared" si="55"/>
        <v>0</v>
      </c>
      <c r="AU76" s="540">
        <f t="shared" si="55"/>
        <v>0</v>
      </c>
      <c r="AV76" s="540">
        <f t="shared" si="55"/>
        <v>0</v>
      </c>
      <c r="AW76" s="540">
        <f t="shared" si="55"/>
        <v>0</v>
      </c>
      <c r="AX76" s="540">
        <f t="shared" si="55"/>
        <v>0</v>
      </c>
      <c r="AY76" s="540">
        <f t="shared" si="55"/>
        <v>0</v>
      </c>
      <c r="AZ76" s="540">
        <f t="shared" si="55"/>
        <v>0</v>
      </c>
      <c r="BA76" s="540">
        <f t="shared" si="55"/>
        <v>0</v>
      </c>
      <c r="BB76" s="540">
        <f t="shared" si="55"/>
        <v>0</v>
      </c>
    </row>
    <row r="77" spans="2:54" s="1190" customFormat="1" x14ac:dyDescent="0.25">
      <c r="B77" s="537" t="s">
        <v>1708</v>
      </c>
      <c r="C77" s="511" t="s">
        <v>979</v>
      </c>
      <c r="D77" s="539">
        <f t="shared" si="51"/>
        <v>-13935.722592190898</v>
      </c>
      <c r="E77" s="539">
        <f t="shared" si="52"/>
        <v>-6913.8054509692292</v>
      </c>
      <c r="F77" s="539"/>
      <c r="G77" s="540">
        <f>-Revenues_elec!F12</f>
        <v>0</v>
      </c>
      <c r="H77" s="540">
        <f>-Revenues_elec!G12</f>
        <v>0</v>
      </c>
      <c r="I77" s="540">
        <f>-Revenues_elec!H12</f>
        <v>0</v>
      </c>
      <c r="J77" s="540">
        <f>-Revenues_elec!I12</f>
        <v>0</v>
      </c>
      <c r="K77" s="540">
        <f>-Revenues_elec!J12</f>
        <v>-1623.64824</v>
      </c>
      <c r="L77" s="540">
        <f>-Revenues_elec!K12</f>
        <v>-1656.1212048</v>
      </c>
      <c r="M77" s="540">
        <f>-Revenues_elec!L12</f>
        <v>-1689.243628896</v>
      </c>
      <c r="N77" s="540">
        <f>-Revenues_elec!M12</f>
        <v>-1723.0285014739197</v>
      </c>
      <c r="O77" s="540">
        <f>-Revenues_elec!N12</f>
        <v>-1757.4890715033982</v>
      </c>
      <c r="P77" s="540">
        <f>-Revenues_elec!O12</f>
        <v>-1792.6388529334663</v>
      </c>
      <c r="Q77" s="540">
        <f>-Revenues_elec!P12</f>
        <v>-1828.4916299921356</v>
      </c>
      <c r="R77" s="540">
        <f>-Revenues_elec!Q12</f>
        <v>-1865.0614625919779</v>
      </c>
      <c r="S77" s="540">
        <f>-Revenues_elec!R12</f>
        <v>0</v>
      </c>
      <c r="T77" s="540">
        <f>-Revenues_elec!S12</f>
        <v>0</v>
      </c>
      <c r="U77" s="540">
        <f>-Revenues_elec!T12</f>
        <v>0</v>
      </c>
      <c r="V77" s="540">
        <f>-Revenues_elec!U12</f>
        <v>0</v>
      </c>
      <c r="W77" s="540">
        <f>-Revenues_elec!V12</f>
        <v>0</v>
      </c>
      <c r="X77" s="540">
        <f>-Revenues_elec!W12</f>
        <v>0</v>
      </c>
      <c r="Y77" s="540">
        <f>-Revenues_elec!X12</f>
        <v>0</v>
      </c>
      <c r="Z77" s="540">
        <f>-Revenues_elec!Y12</f>
        <v>0</v>
      </c>
      <c r="AA77" s="540">
        <f>-Revenues_elec!Z12</f>
        <v>0</v>
      </c>
      <c r="AB77" s="540">
        <f>-Revenues_elec!AA12</f>
        <v>0</v>
      </c>
      <c r="AC77" s="540">
        <f>-Revenues_elec!AB12</f>
        <v>0</v>
      </c>
      <c r="AD77" s="540">
        <f>-Revenues_elec!AC12</f>
        <v>0</v>
      </c>
      <c r="AE77" s="540">
        <f>-Revenues_elec!AD12</f>
        <v>0</v>
      </c>
      <c r="AF77" s="540">
        <f>-Revenues_elec!AE12</f>
        <v>0</v>
      </c>
      <c r="AG77" s="540">
        <f>-Revenues_elec!AF12</f>
        <v>0</v>
      </c>
      <c r="AH77" s="540">
        <f>-Revenues_elec!AG12</f>
        <v>0</v>
      </c>
      <c r="AI77" s="540">
        <f>-Revenues_elec!AH12</f>
        <v>0</v>
      </c>
      <c r="AJ77" s="540">
        <f>-Revenues_elec!AI12</f>
        <v>0</v>
      </c>
      <c r="AK77" s="540">
        <f>-Revenues_elec!AJ12</f>
        <v>0</v>
      </c>
      <c r="AL77" s="540">
        <f>-Revenues_elec!AK12</f>
        <v>0</v>
      </c>
      <c r="AM77" s="540">
        <f>-Revenues_elec!AL12</f>
        <v>0</v>
      </c>
      <c r="AN77" s="540">
        <f>-Revenues_elec!AM12</f>
        <v>0</v>
      </c>
      <c r="AO77" s="540">
        <f>-Revenues_elec!AN12</f>
        <v>0</v>
      </c>
      <c r="AP77" s="540">
        <f>-Revenues_elec!AO12</f>
        <v>0</v>
      </c>
      <c r="AQ77" s="540">
        <f>-Revenues_elec!AP12</f>
        <v>0</v>
      </c>
      <c r="AR77" s="540">
        <f>-Revenues_elec!AQ12</f>
        <v>0</v>
      </c>
      <c r="AS77" s="540">
        <f>-Revenues_elec!AR12</f>
        <v>0</v>
      </c>
      <c r="AT77" s="540">
        <f>-Revenues_elec!AS12</f>
        <v>0</v>
      </c>
      <c r="AU77" s="540">
        <f>-Revenues_elec!AT12</f>
        <v>0</v>
      </c>
      <c r="AV77" s="540">
        <f>-Revenues_elec!AU12</f>
        <v>0</v>
      </c>
      <c r="AW77" s="540">
        <f>-Revenues_elec!AV12</f>
        <v>0</v>
      </c>
      <c r="AX77" s="540">
        <f>-Revenues_elec!AW12</f>
        <v>0</v>
      </c>
      <c r="AY77" s="540">
        <f>-Revenues_elec!AX12</f>
        <v>0</v>
      </c>
      <c r="AZ77" s="540">
        <f>-Revenues_elec!AY12</f>
        <v>0</v>
      </c>
      <c r="BA77" s="540">
        <f>-Revenues_elec!AZ12</f>
        <v>0</v>
      </c>
      <c r="BB77" s="540">
        <f>-Revenues_elec!BA12</f>
        <v>0</v>
      </c>
    </row>
    <row r="78" spans="2:54" s="1190" customFormat="1" x14ac:dyDescent="0.25">
      <c r="B78" s="440"/>
      <c r="C78" s="440"/>
      <c r="D78" s="541"/>
      <c r="E78" s="541"/>
      <c r="F78" s="542"/>
      <c r="G78" s="542"/>
      <c r="H78" s="542"/>
      <c r="I78" s="542"/>
      <c r="J78" s="542"/>
      <c r="K78" s="542"/>
      <c r="L78" s="542"/>
      <c r="M78" s="542"/>
      <c r="N78" s="542"/>
      <c r="O78" s="542"/>
      <c r="P78" s="542"/>
      <c r="Q78" s="542"/>
      <c r="R78" s="542"/>
      <c r="S78" s="542"/>
      <c r="T78" s="542"/>
      <c r="U78" s="542"/>
      <c r="V78" s="542"/>
      <c r="W78" s="542"/>
      <c r="X78" s="542"/>
      <c r="Y78" s="542"/>
      <c r="Z78" s="542"/>
      <c r="AA78" s="542"/>
      <c r="AB78" s="542"/>
      <c r="AC78" s="542"/>
      <c r="AD78" s="542"/>
      <c r="AE78" s="542"/>
      <c r="AF78" s="542"/>
      <c r="AG78" s="542"/>
      <c r="AH78" s="542"/>
      <c r="AI78" s="542"/>
      <c r="AJ78" s="542"/>
      <c r="AK78" s="542"/>
      <c r="AL78" s="542"/>
      <c r="AM78" s="542"/>
      <c r="AN78" s="542"/>
      <c r="AO78" s="542"/>
      <c r="AP78" s="542"/>
      <c r="AQ78" s="542"/>
      <c r="AR78" s="542"/>
      <c r="AS78" s="542"/>
      <c r="AT78" s="542"/>
      <c r="AU78" s="542"/>
      <c r="AV78" s="542"/>
      <c r="AW78" s="542"/>
      <c r="AX78" s="542"/>
      <c r="AY78" s="542"/>
      <c r="AZ78" s="542"/>
      <c r="BA78" s="542"/>
      <c r="BB78" s="542"/>
    </row>
    <row r="79" spans="2:54" s="1190" customFormat="1" x14ac:dyDescent="0.25">
      <c r="B79" s="1187" t="s">
        <v>983</v>
      </c>
      <c r="C79" s="1187" t="s">
        <v>979</v>
      </c>
      <c r="D79" s="530">
        <f t="shared" ref="D79:D80" si="56">SUM(G79:BB79)</f>
        <v>758763.04173895507</v>
      </c>
      <c r="E79" s="530">
        <f t="shared" ref="E79:E80" si="57">G79+NPV($C$22,H79:BB79)</f>
        <v>374300.06727130979</v>
      </c>
      <c r="F79" s="531"/>
      <c r="G79" s="532">
        <f t="shared" ref="G79:BB79" si="58">SUM(G80:G80)</f>
        <v>0</v>
      </c>
      <c r="H79" s="532">
        <f t="shared" si="58"/>
        <v>0</v>
      </c>
      <c r="I79" s="532">
        <f t="shared" si="58"/>
        <v>0</v>
      </c>
      <c r="J79" s="532">
        <f t="shared" si="58"/>
        <v>0</v>
      </c>
      <c r="K79" s="532">
        <f t="shared" si="58"/>
        <v>83599.720300021028</v>
      </c>
      <c r="L79" s="532">
        <f t="shared" si="58"/>
        <v>88221.98685947698</v>
      </c>
      <c r="M79" s="532">
        <f t="shared" si="58"/>
        <v>90846.220195673566</v>
      </c>
      <c r="N79" s="532">
        <f t="shared" si="58"/>
        <v>93540.134070574219</v>
      </c>
      <c r="O79" s="532">
        <f t="shared" si="58"/>
        <v>96305.46601239263</v>
      </c>
      <c r="P79" s="532">
        <f t="shared" si="58"/>
        <v>99143.995178255544</v>
      </c>
      <c r="Q79" s="532">
        <f t="shared" si="58"/>
        <v>102057.54332434802</v>
      </c>
      <c r="R79" s="532">
        <f t="shared" si="58"/>
        <v>105047.97579821292</v>
      </c>
      <c r="S79" s="532">
        <f t="shared" si="58"/>
        <v>0</v>
      </c>
      <c r="T79" s="532">
        <f t="shared" si="58"/>
        <v>0</v>
      </c>
      <c r="U79" s="532">
        <f t="shared" si="58"/>
        <v>0</v>
      </c>
      <c r="V79" s="532">
        <f t="shared" si="58"/>
        <v>0</v>
      </c>
      <c r="W79" s="532">
        <f t="shared" si="58"/>
        <v>0</v>
      </c>
      <c r="X79" s="532">
        <f t="shared" si="58"/>
        <v>0</v>
      </c>
      <c r="Y79" s="532">
        <f t="shared" si="58"/>
        <v>0</v>
      </c>
      <c r="Z79" s="532">
        <f t="shared" si="58"/>
        <v>0</v>
      </c>
      <c r="AA79" s="532">
        <f t="shared" si="58"/>
        <v>0</v>
      </c>
      <c r="AB79" s="532">
        <f t="shared" si="58"/>
        <v>0</v>
      </c>
      <c r="AC79" s="532">
        <f t="shared" si="58"/>
        <v>0</v>
      </c>
      <c r="AD79" s="532">
        <f t="shared" si="58"/>
        <v>0</v>
      </c>
      <c r="AE79" s="532">
        <f t="shared" si="58"/>
        <v>0</v>
      </c>
      <c r="AF79" s="532">
        <f t="shared" si="58"/>
        <v>0</v>
      </c>
      <c r="AG79" s="532">
        <f t="shared" si="58"/>
        <v>0</v>
      </c>
      <c r="AH79" s="532">
        <f t="shared" si="58"/>
        <v>0</v>
      </c>
      <c r="AI79" s="532">
        <f t="shared" si="58"/>
        <v>0</v>
      </c>
      <c r="AJ79" s="532">
        <f t="shared" si="58"/>
        <v>0</v>
      </c>
      <c r="AK79" s="532">
        <f t="shared" si="58"/>
        <v>0</v>
      </c>
      <c r="AL79" s="532">
        <f t="shared" si="58"/>
        <v>0</v>
      </c>
      <c r="AM79" s="532">
        <f t="shared" si="58"/>
        <v>0</v>
      </c>
      <c r="AN79" s="532">
        <f t="shared" si="58"/>
        <v>0</v>
      </c>
      <c r="AO79" s="532">
        <f t="shared" si="58"/>
        <v>0</v>
      </c>
      <c r="AP79" s="532">
        <f t="shared" si="58"/>
        <v>0</v>
      </c>
      <c r="AQ79" s="532">
        <f t="shared" si="58"/>
        <v>0</v>
      </c>
      <c r="AR79" s="532">
        <f t="shared" si="58"/>
        <v>0</v>
      </c>
      <c r="AS79" s="532">
        <f t="shared" si="58"/>
        <v>0</v>
      </c>
      <c r="AT79" s="532">
        <f t="shared" si="58"/>
        <v>0</v>
      </c>
      <c r="AU79" s="532">
        <f t="shared" si="58"/>
        <v>0</v>
      </c>
      <c r="AV79" s="532">
        <f t="shared" si="58"/>
        <v>0</v>
      </c>
      <c r="AW79" s="532">
        <f t="shared" si="58"/>
        <v>0</v>
      </c>
      <c r="AX79" s="532">
        <f t="shared" si="58"/>
        <v>0</v>
      </c>
      <c r="AY79" s="532">
        <f t="shared" si="58"/>
        <v>0</v>
      </c>
      <c r="AZ79" s="532">
        <f t="shared" si="58"/>
        <v>0</v>
      </c>
      <c r="BA79" s="532">
        <f t="shared" si="58"/>
        <v>0</v>
      </c>
      <c r="BB79" s="532">
        <f t="shared" si="58"/>
        <v>0</v>
      </c>
    </row>
    <row r="80" spans="2:54" s="1190" customFormat="1" x14ac:dyDescent="0.25">
      <c r="B80" s="533" t="s">
        <v>1381</v>
      </c>
      <c r="C80" s="508" t="s">
        <v>979</v>
      </c>
      <c r="D80" s="534">
        <f t="shared" si="56"/>
        <v>758763.04173895507</v>
      </c>
      <c r="E80" s="534">
        <f t="shared" si="57"/>
        <v>374300.06727130979</v>
      </c>
      <c r="F80" s="535"/>
      <c r="G80" s="536">
        <f t="shared" ref="G80:BB80" si="59">G42-G41</f>
        <v>0</v>
      </c>
      <c r="H80" s="536">
        <f t="shared" si="59"/>
        <v>0</v>
      </c>
      <c r="I80" s="536">
        <f t="shared" si="59"/>
        <v>0</v>
      </c>
      <c r="J80" s="536">
        <f t="shared" si="59"/>
        <v>0</v>
      </c>
      <c r="K80" s="536">
        <f t="shared" si="59"/>
        <v>83599.720300021028</v>
      </c>
      <c r="L80" s="536">
        <f t="shared" si="59"/>
        <v>88221.98685947698</v>
      </c>
      <c r="M80" s="536">
        <f t="shared" si="59"/>
        <v>90846.220195673566</v>
      </c>
      <c r="N80" s="536">
        <f t="shared" si="59"/>
        <v>93540.134070574219</v>
      </c>
      <c r="O80" s="536">
        <f t="shared" si="59"/>
        <v>96305.46601239263</v>
      </c>
      <c r="P80" s="536">
        <f t="shared" si="59"/>
        <v>99143.995178255544</v>
      </c>
      <c r="Q80" s="536">
        <f t="shared" si="59"/>
        <v>102057.54332434802</v>
      </c>
      <c r="R80" s="536">
        <f t="shared" si="59"/>
        <v>105047.97579821292</v>
      </c>
      <c r="S80" s="536">
        <f t="shared" si="59"/>
        <v>0</v>
      </c>
      <c r="T80" s="536">
        <f t="shared" si="59"/>
        <v>0</v>
      </c>
      <c r="U80" s="536">
        <f t="shared" si="59"/>
        <v>0</v>
      </c>
      <c r="V80" s="536">
        <f t="shared" si="59"/>
        <v>0</v>
      </c>
      <c r="W80" s="536">
        <f t="shared" si="59"/>
        <v>0</v>
      </c>
      <c r="X80" s="536">
        <f t="shared" si="59"/>
        <v>0</v>
      </c>
      <c r="Y80" s="536">
        <f t="shared" si="59"/>
        <v>0</v>
      </c>
      <c r="Z80" s="536">
        <f t="shared" si="59"/>
        <v>0</v>
      </c>
      <c r="AA80" s="536">
        <f t="shared" si="59"/>
        <v>0</v>
      </c>
      <c r="AB80" s="536">
        <f t="shared" si="59"/>
        <v>0</v>
      </c>
      <c r="AC80" s="536">
        <f t="shared" si="59"/>
        <v>0</v>
      </c>
      <c r="AD80" s="536">
        <f t="shared" si="59"/>
        <v>0</v>
      </c>
      <c r="AE80" s="536">
        <f t="shared" si="59"/>
        <v>0</v>
      </c>
      <c r="AF80" s="536">
        <f t="shared" si="59"/>
        <v>0</v>
      </c>
      <c r="AG80" s="536">
        <f t="shared" si="59"/>
        <v>0</v>
      </c>
      <c r="AH80" s="536">
        <f t="shared" si="59"/>
        <v>0</v>
      </c>
      <c r="AI80" s="536">
        <f t="shared" si="59"/>
        <v>0</v>
      </c>
      <c r="AJ80" s="536">
        <f t="shared" si="59"/>
        <v>0</v>
      </c>
      <c r="AK80" s="536">
        <f t="shared" si="59"/>
        <v>0</v>
      </c>
      <c r="AL80" s="536">
        <f t="shared" si="59"/>
        <v>0</v>
      </c>
      <c r="AM80" s="536">
        <f t="shared" si="59"/>
        <v>0</v>
      </c>
      <c r="AN80" s="536">
        <f t="shared" si="59"/>
        <v>0</v>
      </c>
      <c r="AO80" s="536">
        <f t="shared" si="59"/>
        <v>0</v>
      </c>
      <c r="AP80" s="536">
        <f t="shared" si="59"/>
        <v>0</v>
      </c>
      <c r="AQ80" s="536">
        <f t="shared" si="59"/>
        <v>0</v>
      </c>
      <c r="AR80" s="536">
        <f t="shared" si="59"/>
        <v>0</v>
      </c>
      <c r="AS80" s="536">
        <f t="shared" si="59"/>
        <v>0</v>
      </c>
      <c r="AT80" s="536">
        <f t="shared" si="59"/>
        <v>0</v>
      </c>
      <c r="AU80" s="536">
        <f t="shared" si="59"/>
        <v>0</v>
      </c>
      <c r="AV80" s="536">
        <f t="shared" si="59"/>
        <v>0</v>
      </c>
      <c r="AW80" s="536">
        <f t="shared" si="59"/>
        <v>0</v>
      </c>
      <c r="AX80" s="536">
        <f t="shared" si="59"/>
        <v>0</v>
      </c>
      <c r="AY80" s="536">
        <f t="shared" si="59"/>
        <v>0</v>
      </c>
      <c r="AZ80" s="536">
        <f t="shared" si="59"/>
        <v>0</v>
      </c>
      <c r="BA80" s="536">
        <f t="shared" si="59"/>
        <v>0</v>
      </c>
      <c r="BB80" s="536">
        <f t="shared" si="59"/>
        <v>0</v>
      </c>
    </row>
    <row r="81" spans="1:54" s="1190" customFormat="1" x14ac:dyDescent="0.25">
      <c r="B81" s="440"/>
      <c r="C81" s="440"/>
      <c r="D81" s="541"/>
      <c r="E81" s="541"/>
      <c r="F81" s="542"/>
      <c r="G81" s="542"/>
      <c r="H81" s="542"/>
      <c r="I81" s="542"/>
      <c r="J81" s="542"/>
      <c r="K81" s="542"/>
      <c r="L81" s="542"/>
      <c r="M81" s="542"/>
      <c r="N81" s="542"/>
      <c r="O81" s="542"/>
      <c r="P81" s="542"/>
      <c r="Q81" s="542"/>
      <c r="R81" s="542"/>
      <c r="S81" s="542"/>
      <c r="T81" s="542"/>
      <c r="U81" s="542"/>
      <c r="V81" s="542"/>
      <c r="W81" s="542"/>
      <c r="X81" s="542"/>
      <c r="Y81" s="542"/>
      <c r="Z81" s="542"/>
      <c r="AA81" s="542"/>
      <c r="AB81" s="542"/>
      <c r="AC81" s="542"/>
      <c r="AD81" s="542"/>
      <c r="AE81" s="542"/>
      <c r="AF81" s="542"/>
      <c r="AG81" s="542"/>
      <c r="AH81" s="542"/>
      <c r="AI81" s="542"/>
      <c r="AJ81" s="542"/>
      <c r="AK81" s="542"/>
      <c r="AL81" s="542"/>
      <c r="AM81" s="542"/>
      <c r="AN81" s="542"/>
      <c r="AO81" s="542"/>
      <c r="AP81" s="542"/>
      <c r="AQ81" s="542"/>
      <c r="AR81" s="542"/>
      <c r="AS81" s="542"/>
      <c r="AT81" s="542"/>
      <c r="AU81" s="542"/>
      <c r="AV81" s="542"/>
      <c r="AW81" s="542"/>
      <c r="AX81" s="542"/>
      <c r="AY81" s="542"/>
      <c r="AZ81" s="542"/>
      <c r="BA81" s="542"/>
      <c r="BB81" s="542"/>
    </row>
    <row r="82" spans="1:54" s="1190" customFormat="1" x14ac:dyDescent="0.25">
      <c r="B82" s="1187" t="s">
        <v>995</v>
      </c>
      <c r="C82" s="1187" t="s">
        <v>979</v>
      </c>
      <c r="D82" s="530">
        <f t="shared" ref="D82:D83" si="60">SUM(G82:BB82)</f>
        <v>-35644.168374717658</v>
      </c>
      <c r="E82" s="530">
        <f t="shared" ref="E82:E83" si="61">G82+NPV($C$22,H82:BB82)</f>
        <v>-17683.822562777099</v>
      </c>
      <c r="F82" s="531"/>
      <c r="G82" s="532">
        <f>G83</f>
        <v>0</v>
      </c>
      <c r="H82" s="532">
        <f t="shared" ref="H82:BB82" si="62">H83</f>
        <v>0</v>
      </c>
      <c r="I82" s="532">
        <f t="shared" si="62"/>
        <v>0</v>
      </c>
      <c r="J82" s="532">
        <f t="shared" si="62"/>
        <v>0</v>
      </c>
      <c r="K82" s="532">
        <f t="shared" si="62"/>
        <v>-4152.89489762837</v>
      </c>
      <c r="L82" s="532">
        <f t="shared" si="62"/>
        <v>-4235.9527955809372</v>
      </c>
      <c r="M82" s="532">
        <f>M83</f>
        <v>-4320.6718514925569</v>
      </c>
      <c r="N82" s="532">
        <f t="shared" si="62"/>
        <v>-4407.0852885224067</v>
      </c>
      <c r="O82" s="532">
        <f t="shared" si="62"/>
        <v>-4495.2269942928551</v>
      </c>
      <c r="P82" s="532">
        <f t="shared" si="62"/>
        <v>-4585.1315341787122</v>
      </c>
      <c r="Q82" s="532">
        <f t="shared" si="62"/>
        <v>-4676.8341648622873</v>
      </c>
      <c r="R82" s="532">
        <f t="shared" si="62"/>
        <v>-4770.3708481595322</v>
      </c>
      <c r="S82" s="532">
        <f t="shared" si="62"/>
        <v>0</v>
      </c>
      <c r="T82" s="532">
        <f t="shared" si="62"/>
        <v>0</v>
      </c>
      <c r="U82" s="532">
        <f t="shared" si="62"/>
        <v>0</v>
      </c>
      <c r="V82" s="532">
        <f t="shared" si="62"/>
        <v>0</v>
      </c>
      <c r="W82" s="532">
        <f t="shared" si="62"/>
        <v>0</v>
      </c>
      <c r="X82" s="532">
        <f t="shared" si="62"/>
        <v>0</v>
      </c>
      <c r="Y82" s="532">
        <f t="shared" si="62"/>
        <v>0</v>
      </c>
      <c r="Z82" s="532">
        <f t="shared" si="62"/>
        <v>0</v>
      </c>
      <c r="AA82" s="532">
        <f t="shared" si="62"/>
        <v>0</v>
      </c>
      <c r="AB82" s="532">
        <f t="shared" si="62"/>
        <v>0</v>
      </c>
      <c r="AC82" s="532">
        <f t="shared" si="62"/>
        <v>0</v>
      </c>
      <c r="AD82" s="532">
        <f t="shared" si="62"/>
        <v>0</v>
      </c>
      <c r="AE82" s="532">
        <f t="shared" si="62"/>
        <v>0</v>
      </c>
      <c r="AF82" s="532">
        <f t="shared" si="62"/>
        <v>0</v>
      </c>
      <c r="AG82" s="532">
        <f t="shared" si="62"/>
        <v>0</v>
      </c>
      <c r="AH82" s="532">
        <f t="shared" si="62"/>
        <v>0</v>
      </c>
      <c r="AI82" s="532">
        <f t="shared" si="62"/>
        <v>0</v>
      </c>
      <c r="AJ82" s="532">
        <f t="shared" si="62"/>
        <v>0</v>
      </c>
      <c r="AK82" s="532">
        <f t="shared" si="62"/>
        <v>0</v>
      </c>
      <c r="AL82" s="532">
        <f t="shared" si="62"/>
        <v>0</v>
      </c>
      <c r="AM82" s="532">
        <f t="shared" si="62"/>
        <v>0</v>
      </c>
      <c r="AN82" s="532">
        <f t="shared" si="62"/>
        <v>0</v>
      </c>
      <c r="AO82" s="532">
        <f t="shared" si="62"/>
        <v>0</v>
      </c>
      <c r="AP82" s="532">
        <f t="shared" si="62"/>
        <v>0</v>
      </c>
      <c r="AQ82" s="532">
        <f t="shared" si="62"/>
        <v>0</v>
      </c>
      <c r="AR82" s="532">
        <f t="shared" si="62"/>
        <v>0</v>
      </c>
      <c r="AS82" s="532">
        <f t="shared" si="62"/>
        <v>0</v>
      </c>
      <c r="AT82" s="532">
        <f t="shared" si="62"/>
        <v>0</v>
      </c>
      <c r="AU82" s="532">
        <f t="shared" si="62"/>
        <v>0</v>
      </c>
      <c r="AV82" s="532">
        <f t="shared" si="62"/>
        <v>0</v>
      </c>
      <c r="AW82" s="532">
        <f t="shared" si="62"/>
        <v>0</v>
      </c>
      <c r="AX82" s="532">
        <f t="shared" si="62"/>
        <v>0</v>
      </c>
      <c r="AY82" s="532">
        <f t="shared" si="62"/>
        <v>0</v>
      </c>
      <c r="AZ82" s="532">
        <f t="shared" si="62"/>
        <v>0</v>
      </c>
      <c r="BA82" s="532">
        <f t="shared" si="62"/>
        <v>0</v>
      </c>
      <c r="BB82" s="532">
        <f t="shared" si="62"/>
        <v>0</v>
      </c>
    </row>
    <row r="83" spans="1:54" s="1190" customFormat="1" x14ac:dyDescent="0.25">
      <c r="B83" s="533" t="s">
        <v>10</v>
      </c>
      <c r="C83" s="508" t="s">
        <v>979</v>
      </c>
      <c r="D83" s="534">
        <f t="shared" si="60"/>
        <v>-35644.168374717658</v>
      </c>
      <c r="E83" s="534">
        <f t="shared" si="61"/>
        <v>-17683.822562777099</v>
      </c>
      <c r="F83" s="535"/>
      <c r="G83" s="534">
        <f>-'CO2 emissions_elec'!F9</f>
        <v>0</v>
      </c>
      <c r="H83" s="534">
        <f>-'CO2 emissions_elec'!G9</f>
        <v>0</v>
      </c>
      <c r="I83" s="534">
        <f>-'CO2 emissions_elec'!H9</f>
        <v>0</v>
      </c>
      <c r="J83" s="534">
        <f>-'CO2 emissions_elec'!I9</f>
        <v>0</v>
      </c>
      <c r="K83" s="534">
        <f>-'CO2 emissions_elec'!J9</f>
        <v>-4152.89489762837</v>
      </c>
      <c r="L83" s="534">
        <f>-'CO2 emissions_elec'!K9</f>
        <v>-4235.9527955809372</v>
      </c>
      <c r="M83" s="534">
        <f>-'CO2 emissions_elec'!L9</f>
        <v>-4320.6718514925569</v>
      </c>
      <c r="N83" s="534">
        <f>-'CO2 emissions_elec'!M9</f>
        <v>-4407.0852885224067</v>
      </c>
      <c r="O83" s="534">
        <f>-'CO2 emissions_elec'!N9</f>
        <v>-4495.2269942928551</v>
      </c>
      <c r="P83" s="534">
        <f>-'CO2 emissions_elec'!O9</f>
        <v>-4585.1315341787122</v>
      </c>
      <c r="Q83" s="534">
        <f>-'CO2 emissions_elec'!P9</f>
        <v>-4676.8341648622873</v>
      </c>
      <c r="R83" s="534">
        <f>-'CO2 emissions_elec'!Q9</f>
        <v>-4770.3708481595322</v>
      </c>
      <c r="S83" s="534">
        <f>-'CO2 emissions_elec'!R9</f>
        <v>0</v>
      </c>
      <c r="T83" s="534">
        <f>-'CO2 emissions_elec'!S9</f>
        <v>0</v>
      </c>
      <c r="U83" s="534">
        <f>-'CO2 emissions_elec'!T9</f>
        <v>0</v>
      </c>
      <c r="V83" s="534">
        <f>-'CO2 emissions_elec'!U9</f>
        <v>0</v>
      </c>
      <c r="W83" s="534">
        <f>-'CO2 emissions_elec'!V9</f>
        <v>0</v>
      </c>
      <c r="X83" s="534">
        <f>-'CO2 emissions_elec'!W9</f>
        <v>0</v>
      </c>
      <c r="Y83" s="534">
        <f>-'CO2 emissions_elec'!X9</f>
        <v>0</v>
      </c>
      <c r="Z83" s="534">
        <f>-'CO2 emissions_elec'!Y9</f>
        <v>0</v>
      </c>
      <c r="AA83" s="534">
        <f>-'CO2 emissions_elec'!Z9</f>
        <v>0</v>
      </c>
      <c r="AB83" s="534">
        <f>-'CO2 emissions_elec'!AA9</f>
        <v>0</v>
      </c>
      <c r="AC83" s="534">
        <f>-'CO2 emissions_elec'!AB9</f>
        <v>0</v>
      </c>
      <c r="AD83" s="534">
        <f>-'CO2 emissions_elec'!AC9</f>
        <v>0</v>
      </c>
      <c r="AE83" s="534">
        <f>-'CO2 emissions_elec'!AD9</f>
        <v>0</v>
      </c>
      <c r="AF83" s="534">
        <f>-'CO2 emissions_elec'!AE9</f>
        <v>0</v>
      </c>
      <c r="AG83" s="534">
        <f>-'CO2 emissions_elec'!AF9</f>
        <v>0</v>
      </c>
      <c r="AH83" s="534">
        <f>-'CO2 emissions_elec'!AG9</f>
        <v>0</v>
      </c>
      <c r="AI83" s="534">
        <f>-'CO2 emissions_elec'!AH9</f>
        <v>0</v>
      </c>
      <c r="AJ83" s="534">
        <f>-'CO2 emissions_elec'!AI9</f>
        <v>0</v>
      </c>
      <c r="AK83" s="534">
        <f>-'CO2 emissions_elec'!AJ9</f>
        <v>0</v>
      </c>
      <c r="AL83" s="534">
        <f>-'CO2 emissions_elec'!AK9</f>
        <v>0</v>
      </c>
      <c r="AM83" s="534">
        <f>-'CO2 emissions_elec'!AL9</f>
        <v>0</v>
      </c>
      <c r="AN83" s="534">
        <f>-'CO2 emissions_elec'!AM9</f>
        <v>0</v>
      </c>
      <c r="AO83" s="534">
        <f>-'CO2 emissions_elec'!AN9</f>
        <v>0</v>
      </c>
      <c r="AP83" s="534">
        <f>-'CO2 emissions_elec'!AO9</f>
        <v>0</v>
      </c>
      <c r="AQ83" s="534">
        <f>-'CO2 emissions_elec'!AP9</f>
        <v>0</v>
      </c>
      <c r="AR83" s="534">
        <f>-'CO2 emissions_elec'!AQ9</f>
        <v>0</v>
      </c>
      <c r="AS83" s="534">
        <f>-'CO2 emissions_elec'!AR9</f>
        <v>0</v>
      </c>
      <c r="AT83" s="534">
        <f>-'CO2 emissions_elec'!AS9</f>
        <v>0</v>
      </c>
      <c r="AU83" s="534">
        <f>-'CO2 emissions_elec'!AT9</f>
        <v>0</v>
      </c>
      <c r="AV83" s="534">
        <f>-'CO2 emissions_elec'!AU9</f>
        <v>0</v>
      </c>
      <c r="AW83" s="534">
        <f>-'CO2 emissions_elec'!AV9</f>
        <v>0</v>
      </c>
      <c r="AX83" s="534">
        <f>-'CO2 emissions_elec'!AW9</f>
        <v>0</v>
      </c>
      <c r="AY83" s="534">
        <f>-'CO2 emissions_elec'!AX9</f>
        <v>0</v>
      </c>
      <c r="AZ83" s="534">
        <f>-'CO2 emissions_elec'!AY9</f>
        <v>0</v>
      </c>
      <c r="BA83" s="534">
        <f>-'CO2 emissions_elec'!AZ9</f>
        <v>0</v>
      </c>
      <c r="BB83" s="534">
        <f>-'CO2 emissions_elec'!BA9</f>
        <v>0</v>
      </c>
    </row>
    <row r="84" spans="1:54" s="1190" customFormat="1" x14ac:dyDescent="0.25"/>
    <row r="85" spans="1:54" s="1190" customFormat="1" x14ac:dyDescent="0.25">
      <c r="B85" s="518" t="s">
        <v>84</v>
      </c>
      <c r="C85" s="518" t="s">
        <v>979</v>
      </c>
      <c r="D85" s="550">
        <f t="shared" ref="D85:D88" si="63">SUM(G85:BB85)</f>
        <v>464005.95414373698</v>
      </c>
      <c r="E85" s="550">
        <f t="shared" ref="E85:E86" si="64">G85+NPV($C$22,H85:BB85)</f>
        <v>239155.3206050765</v>
      </c>
      <c r="F85" s="551"/>
      <c r="G85" s="552">
        <f t="shared" ref="G85:BB85" si="65">SUM(G86:G86)</f>
        <v>0</v>
      </c>
      <c r="H85" s="552">
        <f t="shared" si="65"/>
        <v>0</v>
      </c>
      <c r="I85" s="552">
        <f t="shared" si="65"/>
        <v>0</v>
      </c>
      <c r="J85" s="552">
        <f t="shared" si="65"/>
        <v>0</v>
      </c>
      <c r="K85" s="552">
        <f t="shared" si="65"/>
        <v>56824.759545480978</v>
      </c>
      <c r="L85" s="552">
        <f t="shared" si="65"/>
        <v>60751.952956240835</v>
      </c>
      <c r="M85" s="552">
        <f t="shared" si="65"/>
        <v>62755.865692817228</v>
      </c>
      <c r="N85" s="552">
        <f t="shared" si="65"/>
        <v>64737.732289173706</v>
      </c>
      <c r="O85" s="552">
        <f t="shared" si="65"/>
        <v>66780.535783649408</v>
      </c>
      <c r="P85" s="552">
        <f t="shared" si="65"/>
        <v>68867.308659311515</v>
      </c>
      <c r="Q85" s="552">
        <f t="shared" si="65"/>
        <v>70961.418648968465</v>
      </c>
      <c r="R85" s="552">
        <f t="shared" si="65"/>
        <v>73124.795425237739</v>
      </c>
      <c r="S85" s="552">
        <f t="shared" si="65"/>
        <v>-60798.414857142852</v>
      </c>
      <c r="T85" s="552">
        <f t="shared" si="65"/>
        <v>0</v>
      </c>
      <c r="U85" s="552">
        <f t="shared" si="65"/>
        <v>0</v>
      </c>
      <c r="V85" s="552">
        <f t="shared" si="65"/>
        <v>0</v>
      </c>
      <c r="W85" s="552">
        <f t="shared" si="65"/>
        <v>0</v>
      </c>
      <c r="X85" s="552">
        <f t="shared" si="65"/>
        <v>0</v>
      </c>
      <c r="Y85" s="552">
        <f t="shared" si="65"/>
        <v>0</v>
      </c>
      <c r="Z85" s="552">
        <f t="shared" si="65"/>
        <v>0</v>
      </c>
      <c r="AA85" s="552">
        <f t="shared" si="65"/>
        <v>0</v>
      </c>
      <c r="AB85" s="552">
        <f t="shared" si="65"/>
        <v>0</v>
      </c>
      <c r="AC85" s="552">
        <f t="shared" si="65"/>
        <v>0</v>
      </c>
      <c r="AD85" s="552">
        <f t="shared" si="65"/>
        <v>0</v>
      </c>
      <c r="AE85" s="552">
        <f t="shared" si="65"/>
        <v>0</v>
      </c>
      <c r="AF85" s="552">
        <f t="shared" si="65"/>
        <v>0</v>
      </c>
      <c r="AG85" s="552">
        <f t="shared" si="65"/>
        <v>0</v>
      </c>
      <c r="AH85" s="552">
        <f t="shared" si="65"/>
        <v>0</v>
      </c>
      <c r="AI85" s="552">
        <f t="shared" si="65"/>
        <v>0</v>
      </c>
      <c r="AJ85" s="552">
        <f t="shared" si="65"/>
        <v>0</v>
      </c>
      <c r="AK85" s="552">
        <f t="shared" si="65"/>
        <v>0</v>
      </c>
      <c r="AL85" s="552">
        <f t="shared" si="65"/>
        <v>0</v>
      </c>
      <c r="AM85" s="552">
        <f t="shared" si="65"/>
        <v>0</v>
      </c>
      <c r="AN85" s="552">
        <f t="shared" si="65"/>
        <v>0</v>
      </c>
      <c r="AO85" s="552">
        <f t="shared" si="65"/>
        <v>0</v>
      </c>
      <c r="AP85" s="552">
        <f t="shared" si="65"/>
        <v>0</v>
      </c>
      <c r="AQ85" s="552">
        <f t="shared" si="65"/>
        <v>0</v>
      </c>
      <c r="AR85" s="552">
        <f t="shared" si="65"/>
        <v>0</v>
      </c>
      <c r="AS85" s="552">
        <f t="shared" si="65"/>
        <v>0</v>
      </c>
      <c r="AT85" s="552">
        <f t="shared" si="65"/>
        <v>0</v>
      </c>
      <c r="AU85" s="552">
        <f t="shared" si="65"/>
        <v>0</v>
      </c>
      <c r="AV85" s="552">
        <f t="shared" si="65"/>
        <v>0</v>
      </c>
      <c r="AW85" s="552">
        <f t="shared" si="65"/>
        <v>0</v>
      </c>
      <c r="AX85" s="552">
        <f t="shared" si="65"/>
        <v>0</v>
      </c>
      <c r="AY85" s="552">
        <f t="shared" si="65"/>
        <v>0</v>
      </c>
      <c r="AZ85" s="552">
        <f t="shared" si="65"/>
        <v>0</v>
      </c>
      <c r="BA85" s="552">
        <f t="shared" si="65"/>
        <v>0</v>
      </c>
      <c r="BB85" s="552">
        <f t="shared" si="65"/>
        <v>0</v>
      </c>
    </row>
    <row r="86" spans="1:54" s="1190" customFormat="1" x14ac:dyDescent="0.25">
      <c r="B86" s="468" t="s">
        <v>996</v>
      </c>
      <c r="C86" s="508" t="s">
        <v>979</v>
      </c>
      <c r="D86" s="534">
        <f t="shared" si="63"/>
        <v>464005.95414373698</v>
      </c>
      <c r="E86" s="534">
        <f t="shared" si="64"/>
        <v>239155.3206050765</v>
      </c>
      <c r="F86" s="553"/>
      <c r="G86" s="540">
        <f t="shared" ref="G86:BB86" si="66">G71+G74+G79+G82</f>
        <v>0</v>
      </c>
      <c r="H86" s="540">
        <f t="shared" si="66"/>
        <v>0</v>
      </c>
      <c r="I86" s="540">
        <f t="shared" si="66"/>
        <v>0</v>
      </c>
      <c r="J86" s="540">
        <f t="shared" si="66"/>
        <v>0</v>
      </c>
      <c r="K86" s="540">
        <f t="shared" si="66"/>
        <v>56824.759545480978</v>
      </c>
      <c r="L86" s="540">
        <f t="shared" si="66"/>
        <v>60751.952956240835</v>
      </c>
      <c r="M86" s="540">
        <f t="shared" si="66"/>
        <v>62755.865692817228</v>
      </c>
      <c r="N86" s="540">
        <f t="shared" si="66"/>
        <v>64737.732289173706</v>
      </c>
      <c r="O86" s="540">
        <f t="shared" si="66"/>
        <v>66780.535783649408</v>
      </c>
      <c r="P86" s="540">
        <f t="shared" si="66"/>
        <v>68867.308659311515</v>
      </c>
      <c r="Q86" s="540">
        <f t="shared" si="66"/>
        <v>70961.418648968465</v>
      </c>
      <c r="R86" s="540">
        <f t="shared" si="66"/>
        <v>73124.795425237739</v>
      </c>
      <c r="S86" s="540">
        <f t="shared" si="66"/>
        <v>-60798.414857142852</v>
      </c>
      <c r="T86" s="540">
        <f t="shared" si="66"/>
        <v>0</v>
      </c>
      <c r="U86" s="540">
        <f t="shared" si="66"/>
        <v>0</v>
      </c>
      <c r="V86" s="540">
        <f t="shared" si="66"/>
        <v>0</v>
      </c>
      <c r="W86" s="540">
        <f t="shared" si="66"/>
        <v>0</v>
      </c>
      <c r="X86" s="540">
        <f t="shared" si="66"/>
        <v>0</v>
      </c>
      <c r="Y86" s="540">
        <f t="shared" si="66"/>
        <v>0</v>
      </c>
      <c r="Z86" s="540">
        <f t="shared" si="66"/>
        <v>0</v>
      </c>
      <c r="AA86" s="540">
        <f t="shared" si="66"/>
        <v>0</v>
      </c>
      <c r="AB86" s="540">
        <f t="shared" si="66"/>
        <v>0</v>
      </c>
      <c r="AC86" s="540">
        <f t="shared" si="66"/>
        <v>0</v>
      </c>
      <c r="AD86" s="540">
        <f t="shared" si="66"/>
        <v>0</v>
      </c>
      <c r="AE86" s="540">
        <f t="shared" si="66"/>
        <v>0</v>
      </c>
      <c r="AF86" s="540">
        <f t="shared" si="66"/>
        <v>0</v>
      </c>
      <c r="AG86" s="540">
        <f t="shared" si="66"/>
        <v>0</v>
      </c>
      <c r="AH86" s="540">
        <f t="shared" si="66"/>
        <v>0</v>
      </c>
      <c r="AI86" s="540">
        <f t="shared" si="66"/>
        <v>0</v>
      </c>
      <c r="AJ86" s="540">
        <f t="shared" si="66"/>
        <v>0</v>
      </c>
      <c r="AK86" s="540">
        <f t="shared" si="66"/>
        <v>0</v>
      </c>
      <c r="AL86" s="540">
        <f t="shared" si="66"/>
        <v>0</v>
      </c>
      <c r="AM86" s="540">
        <f t="shared" si="66"/>
        <v>0</v>
      </c>
      <c r="AN86" s="540">
        <f t="shared" si="66"/>
        <v>0</v>
      </c>
      <c r="AO86" s="540">
        <f t="shared" si="66"/>
        <v>0</v>
      </c>
      <c r="AP86" s="540">
        <f t="shared" si="66"/>
        <v>0</v>
      </c>
      <c r="AQ86" s="540">
        <f t="shared" si="66"/>
        <v>0</v>
      </c>
      <c r="AR86" s="540">
        <f t="shared" si="66"/>
        <v>0</v>
      </c>
      <c r="AS86" s="540">
        <f t="shared" si="66"/>
        <v>0</v>
      </c>
      <c r="AT86" s="540">
        <f t="shared" si="66"/>
        <v>0</v>
      </c>
      <c r="AU86" s="540">
        <f t="shared" si="66"/>
        <v>0</v>
      </c>
      <c r="AV86" s="540">
        <f t="shared" si="66"/>
        <v>0</v>
      </c>
      <c r="AW86" s="540">
        <f t="shared" si="66"/>
        <v>0</v>
      </c>
      <c r="AX86" s="540">
        <f t="shared" si="66"/>
        <v>0</v>
      </c>
      <c r="AY86" s="540">
        <f t="shared" si="66"/>
        <v>0</v>
      </c>
      <c r="AZ86" s="540">
        <f t="shared" si="66"/>
        <v>0</v>
      </c>
      <c r="BA86" s="540">
        <f t="shared" si="66"/>
        <v>0</v>
      </c>
      <c r="BB86" s="540">
        <f t="shared" si="66"/>
        <v>0</v>
      </c>
    </row>
    <row r="87" spans="1:54" s="1190" customFormat="1" x14ac:dyDescent="0.25">
      <c r="B87" s="468"/>
      <c r="C87" s="468"/>
      <c r="D87" s="468"/>
      <c r="E87" s="468"/>
      <c r="F87" s="553"/>
      <c r="G87" s="554"/>
      <c r="H87" s="554"/>
      <c r="I87" s="554"/>
      <c r="J87" s="554"/>
      <c r="K87" s="554"/>
      <c r="L87" s="554"/>
      <c r="M87" s="554"/>
      <c r="N87" s="554"/>
      <c r="O87" s="554"/>
      <c r="P87" s="554"/>
      <c r="Q87" s="554"/>
      <c r="R87" s="554"/>
      <c r="S87" s="554"/>
      <c r="T87" s="554"/>
      <c r="U87" s="554"/>
      <c r="V87" s="554"/>
      <c r="W87" s="554"/>
      <c r="X87" s="554"/>
      <c r="Y87" s="554"/>
      <c r="Z87" s="554"/>
      <c r="AA87" s="554"/>
      <c r="AB87" s="554"/>
      <c r="AC87" s="554"/>
      <c r="AD87" s="554"/>
      <c r="AE87" s="554"/>
      <c r="AF87" s="554"/>
      <c r="AG87" s="554"/>
      <c r="AH87" s="554"/>
      <c r="AI87" s="554"/>
      <c r="AJ87" s="554"/>
      <c r="AK87" s="554"/>
      <c r="AL87" s="554"/>
      <c r="AM87" s="554"/>
      <c r="AN87" s="554"/>
      <c r="AO87" s="554"/>
      <c r="AP87" s="554"/>
      <c r="AQ87" s="554"/>
      <c r="AR87" s="554"/>
      <c r="AS87" s="554"/>
      <c r="AT87" s="554"/>
      <c r="AU87" s="554"/>
      <c r="AV87" s="554"/>
      <c r="AW87" s="554"/>
      <c r="AX87" s="554"/>
      <c r="AY87" s="554"/>
      <c r="AZ87" s="554"/>
      <c r="BA87" s="554"/>
      <c r="BB87" s="554"/>
    </row>
    <row r="88" spans="1:54" s="1190" customFormat="1" x14ac:dyDescent="0.25">
      <c r="B88" s="518" t="s">
        <v>985</v>
      </c>
      <c r="C88" s="518" t="s">
        <v>979</v>
      </c>
      <c r="D88" s="550">
        <f t="shared" si="63"/>
        <v>239155.32060507656</v>
      </c>
      <c r="E88" s="550"/>
      <c r="F88" s="551"/>
      <c r="G88" s="552">
        <f>G85</f>
        <v>0</v>
      </c>
      <c r="H88" s="552">
        <f t="shared" ref="H88:BB88" si="67">H85/(1+$C$63)^(H70-$G70)</f>
        <v>0</v>
      </c>
      <c r="I88" s="552">
        <f t="shared" si="67"/>
        <v>0</v>
      </c>
      <c r="J88" s="552">
        <f t="shared" si="67"/>
        <v>0</v>
      </c>
      <c r="K88" s="552">
        <f t="shared" si="67"/>
        <v>38812.075367448233</v>
      </c>
      <c r="L88" s="552">
        <f t="shared" si="67"/>
        <v>37722.183008016596</v>
      </c>
      <c r="M88" s="552">
        <f t="shared" si="67"/>
        <v>35424.050141551546</v>
      </c>
      <c r="N88" s="552">
        <f t="shared" si="67"/>
        <v>33220.692880035625</v>
      </c>
      <c r="O88" s="552">
        <f t="shared" si="67"/>
        <v>31153.612797432626</v>
      </c>
      <c r="P88" s="552">
        <f t="shared" si="67"/>
        <v>29206.461586136804</v>
      </c>
      <c r="Q88" s="552">
        <f t="shared" si="67"/>
        <v>27358.698768509403</v>
      </c>
      <c r="R88" s="552">
        <f t="shared" si="67"/>
        <v>25629.794697370642</v>
      </c>
      <c r="S88" s="552">
        <f t="shared" si="67"/>
        <v>-19372.248641424918</v>
      </c>
      <c r="T88" s="552">
        <f t="shared" si="67"/>
        <v>0</v>
      </c>
      <c r="U88" s="552">
        <f t="shared" si="67"/>
        <v>0</v>
      </c>
      <c r="V88" s="552">
        <f t="shared" si="67"/>
        <v>0</v>
      </c>
      <c r="W88" s="552">
        <f t="shared" si="67"/>
        <v>0</v>
      </c>
      <c r="X88" s="552">
        <f t="shared" si="67"/>
        <v>0</v>
      </c>
      <c r="Y88" s="552">
        <f t="shared" si="67"/>
        <v>0</v>
      </c>
      <c r="Z88" s="552">
        <f t="shared" si="67"/>
        <v>0</v>
      </c>
      <c r="AA88" s="552">
        <f t="shared" si="67"/>
        <v>0</v>
      </c>
      <c r="AB88" s="552">
        <f t="shared" si="67"/>
        <v>0</v>
      </c>
      <c r="AC88" s="552">
        <f t="shared" si="67"/>
        <v>0</v>
      </c>
      <c r="AD88" s="552">
        <f t="shared" si="67"/>
        <v>0</v>
      </c>
      <c r="AE88" s="552">
        <f t="shared" si="67"/>
        <v>0</v>
      </c>
      <c r="AF88" s="552">
        <f t="shared" si="67"/>
        <v>0</v>
      </c>
      <c r="AG88" s="552">
        <f t="shared" si="67"/>
        <v>0</v>
      </c>
      <c r="AH88" s="552">
        <f t="shared" si="67"/>
        <v>0</v>
      </c>
      <c r="AI88" s="552">
        <f t="shared" si="67"/>
        <v>0</v>
      </c>
      <c r="AJ88" s="552">
        <f t="shared" si="67"/>
        <v>0</v>
      </c>
      <c r="AK88" s="552">
        <f t="shared" si="67"/>
        <v>0</v>
      </c>
      <c r="AL88" s="552">
        <f t="shared" si="67"/>
        <v>0</v>
      </c>
      <c r="AM88" s="552">
        <f t="shared" si="67"/>
        <v>0</v>
      </c>
      <c r="AN88" s="552">
        <f t="shared" si="67"/>
        <v>0</v>
      </c>
      <c r="AO88" s="552">
        <f t="shared" si="67"/>
        <v>0</v>
      </c>
      <c r="AP88" s="552">
        <f t="shared" si="67"/>
        <v>0</v>
      </c>
      <c r="AQ88" s="552">
        <f t="shared" si="67"/>
        <v>0</v>
      </c>
      <c r="AR88" s="552">
        <f t="shared" si="67"/>
        <v>0</v>
      </c>
      <c r="AS88" s="552">
        <f t="shared" si="67"/>
        <v>0</v>
      </c>
      <c r="AT88" s="552">
        <f t="shared" si="67"/>
        <v>0</v>
      </c>
      <c r="AU88" s="552">
        <f t="shared" si="67"/>
        <v>0</v>
      </c>
      <c r="AV88" s="552">
        <f t="shared" si="67"/>
        <v>0</v>
      </c>
      <c r="AW88" s="552">
        <f t="shared" si="67"/>
        <v>0</v>
      </c>
      <c r="AX88" s="552">
        <f t="shared" si="67"/>
        <v>0</v>
      </c>
      <c r="AY88" s="552">
        <f t="shared" si="67"/>
        <v>0</v>
      </c>
      <c r="AZ88" s="552">
        <f t="shared" si="67"/>
        <v>0</v>
      </c>
      <c r="BA88" s="552">
        <f t="shared" si="67"/>
        <v>0</v>
      </c>
      <c r="BB88" s="552">
        <f t="shared" si="67"/>
        <v>0</v>
      </c>
    </row>
    <row r="89" spans="1:54" s="1190" customFormat="1" x14ac:dyDescent="0.25">
      <c r="B89" s="1190" t="s">
        <v>986</v>
      </c>
      <c r="C89" s="511" t="s">
        <v>979</v>
      </c>
      <c r="D89" s="526"/>
      <c r="E89" s="526"/>
      <c r="F89" s="527"/>
      <c r="G89" s="527">
        <f>SUM($G85:G85)</f>
        <v>0</v>
      </c>
      <c r="H89" s="527">
        <f>SUM($G85:H85)</f>
        <v>0</v>
      </c>
      <c r="I89" s="527">
        <f>SUM($G85:I85)</f>
        <v>0</v>
      </c>
      <c r="J89" s="527">
        <f>SUM($G85:J85)</f>
        <v>0</v>
      </c>
      <c r="K89" s="527">
        <f>SUM($G85:K85)</f>
        <v>56824.759545480978</v>
      </c>
      <c r="L89" s="527">
        <f>SUM($G85:L85)</f>
        <v>117576.71250172181</v>
      </c>
      <c r="M89" s="527">
        <f>SUM($G85:M85)</f>
        <v>180332.57819453903</v>
      </c>
      <c r="N89" s="527">
        <f>SUM($G85:N85)</f>
        <v>245070.31048371273</v>
      </c>
      <c r="O89" s="527">
        <f>SUM($G85:O85)</f>
        <v>311850.84626736213</v>
      </c>
      <c r="P89" s="527">
        <f>SUM($G85:P85)</f>
        <v>380718.15492667363</v>
      </c>
      <c r="Q89" s="527">
        <f>SUM($G85:Q85)</f>
        <v>451679.57357564208</v>
      </c>
      <c r="R89" s="527">
        <f>SUM($G85:R85)</f>
        <v>524804.36900087981</v>
      </c>
      <c r="S89" s="527">
        <f>SUM($G85:S85)</f>
        <v>464005.95414373698</v>
      </c>
      <c r="T89" s="527">
        <f>SUM($G85:T85)</f>
        <v>464005.95414373698</v>
      </c>
      <c r="U89" s="527">
        <f>SUM($G85:U85)</f>
        <v>464005.95414373698</v>
      </c>
      <c r="V89" s="527">
        <f>SUM($G85:V85)</f>
        <v>464005.95414373698</v>
      </c>
      <c r="W89" s="527">
        <f>SUM($G85:W85)</f>
        <v>464005.95414373698</v>
      </c>
      <c r="X89" s="527">
        <f>SUM($G85:X85)</f>
        <v>464005.95414373698</v>
      </c>
      <c r="Y89" s="527">
        <f>SUM($G85:Y85)</f>
        <v>464005.95414373698</v>
      </c>
      <c r="Z89" s="527">
        <f>SUM($G85:Z85)</f>
        <v>464005.95414373698</v>
      </c>
      <c r="AA89" s="527">
        <f>SUM($G85:AA85)</f>
        <v>464005.95414373698</v>
      </c>
      <c r="AB89" s="527">
        <f>SUM($G85:AB85)</f>
        <v>464005.95414373698</v>
      </c>
      <c r="AC89" s="527">
        <f>SUM($G85:AC85)</f>
        <v>464005.95414373698</v>
      </c>
      <c r="AD89" s="527">
        <f>SUM($G85:AD85)</f>
        <v>464005.95414373698</v>
      </c>
      <c r="AE89" s="527">
        <f>SUM($G85:AE85)</f>
        <v>464005.95414373698</v>
      </c>
      <c r="AF89" s="527">
        <f>SUM($G85:AF85)</f>
        <v>464005.95414373698</v>
      </c>
      <c r="AG89" s="527">
        <f>SUM($G85:AG85)</f>
        <v>464005.95414373698</v>
      </c>
      <c r="AH89" s="527">
        <f>SUM($G85:AH85)</f>
        <v>464005.95414373698</v>
      </c>
      <c r="AI89" s="527">
        <f>SUM($G85:AI85)</f>
        <v>464005.95414373698</v>
      </c>
      <c r="AJ89" s="527">
        <f>SUM($G85:AJ85)</f>
        <v>464005.95414373698</v>
      </c>
      <c r="AK89" s="527">
        <f>SUM($G85:AK85)</f>
        <v>464005.95414373698</v>
      </c>
      <c r="AL89" s="527">
        <f>SUM($G85:AL85)</f>
        <v>464005.95414373698</v>
      </c>
      <c r="AM89" s="527">
        <f>SUM($G85:AM85)</f>
        <v>464005.95414373698</v>
      </c>
      <c r="AN89" s="527">
        <f>SUM($G85:AN85)</f>
        <v>464005.95414373698</v>
      </c>
      <c r="AO89" s="527">
        <f>SUM($G85:AO85)</f>
        <v>464005.95414373698</v>
      </c>
      <c r="AP89" s="527">
        <f>SUM($G85:AP85)</f>
        <v>464005.95414373698</v>
      </c>
      <c r="AQ89" s="527">
        <f>SUM($G85:AQ85)</f>
        <v>464005.95414373698</v>
      </c>
      <c r="AR89" s="527">
        <f>SUM($G85:AR85)</f>
        <v>464005.95414373698</v>
      </c>
      <c r="AS89" s="527">
        <f>SUM($G85:AS85)</f>
        <v>464005.95414373698</v>
      </c>
      <c r="AT89" s="527">
        <f>SUM($G85:AT85)</f>
        <v>464005.95414373698</v>
      </c>
      <c r="AU89" s="527">
        <f>SUM($G85:AU85)</f>
        <v>464005.95414373698</v>
      </c>
      <c r="AV89" s="527">
        <f>SUM($G85:AV85)</f>
        <v>464005.95414373698</v>
      </c>
      <c r="AW89" s="527">
        <f>SUM($G85:AW85)</f>
        <v>464005.95414373698</v>
      </c>
      <c r="AX89" s="527">
        <f>SUM($G85:AX85)</f>
        <v>464005.95414373698</v>
      </c>
      <c r="AY89" s="527">
        <f>SUM($G85:AY85)</f>
        <v>464005.95414373698</v>
      </c>
      <c r="AZ89" s="527">
        <f>SUM($G85:AZ85)</f>
        <v>464005.95414373698</v>
      </c>
      <c r="BA89" s="527">
        <f>SUM($G85:BA85)</f>
        <v>464005.95414373698</v>
      </c>
      <c r="BB89" s="527">
        <f>SUM($G85:BB85)</f>
        <v>464005.95414373698</v>
      </c>
    </row>
    <row r="90" spans="1:54" s="1190" customFormat="1" x14ac:dyDescent="0.25">
      <c r="B90" s="1190" t="s">
        <v>987</v>
      </c>
      <c r="C90" s="986" t="s">
        <v>1653</v>
      </c>
      <c r="D90" s="526"/>
      <c r="E90" s="526"/>
      <c r="F90" s="527"/>
      <c r="G90" s="528">
        <f>SUM($G88:G88)/1000</f>
        <v>0</v>
      </c>
      <c r="H90" s="528">
        <f>SUM($G88:H88)/1000</f>
        <v>0</v>
      </c>
      <c r="I90" s="528">
        <f>SUM($G88:I88)/1000</f>
        <v>0</v>
      </c>
      <c r="J90" s="528">
        <f>SUM($G88:J88)/1000</f>
        <v>0</v>
      </c>
      <c r="K90" s="528">
        <f>SUM($G88:K88)/1000</f>
        <v>38.81207536744823</v>
      </c>
      <c r="L90" s="528">
        <f>SUM($G88:L88)/1000</f>
        <v>76.534258375464816</v>
      </c>
      <c r="M90" s="528">
        <f>SUM($G88:M88)/1000</f>
        <v>111.95830851701636</v>
      </c>
      <c r="N90" s="528">
        <f>SUM($G88:N88)/1000</f>
        <v>145.17900139705199</v>
      </c>
      <c r="O90" s="528">
        <f>SUM($G88:O88)/1000</f>
        <v>176.33261419448462</v>
      </c>
      <c r="P90" s="528">
        <f>SUM($G88:P88)/1000</f>
        <v>205.53907578062143</v>
      </c>
      <c r="Q90" s="528">
        <f>SUM($G88:Q88)/1000</f>
        <v>232.89777454913084</v>
      </c>
      <c r="R90" s="528">
        <f>SUM($G88:R88)/1000</f>
        <v>258.52756924650151</v>
      </c>
      <c r="S90" s="528">
        <f>SUM($G88:S88)/1000</f>
        <v>239.15532060507655</v>
      </c>
      <c r="T90" s="528">
        <f>SUM($G88:T88)/1000</f>
        <v>239.15532060507655</v>
      </c>
      <c r="U90" s="528">
        <f>SUM($G88:U88)/1000</f>
        <v>239.15532060507655</v>
      </c>
      <c r="V90" s="528">
        <f>SUM($G88:V88)/1000</f>
        <v>239.15532060507655</v>
      </c>
      <c r="W90" s="528">
        <f>SUM($G88:W88)/1000</f>
        <v>239.15532060507655</v>
      </c>
      <c r="X90" s="528">
        <f>SUM($G88:X88)/1000</f>
        <v>239.15532060507655</v>
      </c>
      <c r="Y90" s="528">
        <f>SUM($G88:Y88)/1000</f>
        <v>239.15532060507655</v>
      </c>
      <c r="Z90" s="528">
        <f>SUM($G88:Z88)/1000</f>
        <v>239.15532060507655</v>
      </c>
      <c r="AA90" s="528">
        <f>SUM($G88:AA88)/1000</f>
        <v>239.15532060507655</v>
      </c>
      <c r="AB90" s="528">
        <f>SUM($G88:AB88)/1000</f>
        <v>239.15532060507655</v>
      </c>
      <c r="AC90" s="528">
        <f>SUM($G88:AC88)/1000</f>
        <v>239.15532060507655</v>
      </c>
      <c r="AD90" s="528">
        <f>SUM($G88:AD88)/1000</f>
        <v>239.15532060507655</v>
      </c>
      <c r="AE90" s="528">
        <f>SUM($G88:AE88)/1000</f>
        <v>239.15532060507655</v>
      </c>
      <c r="AF90" s="528">
        <f>SUM($G88:AF88)/1000</f>
        <v>239.15532060507655</v>
      </c>
      <c r="AG90" s="528">
        <f>SUM($G88:AG88)/1000</f>
        <v>239.15532060507655</v>
      </c>
      <c r="AH90" s="528">
        <f>SUM($G88:AH88)/1000</f>
        <v>239.15532060507655</v>
      </c>
      <c r="AI90" s="528">
        <f>SUM($G88:AI88)/1000</f>
        <v>239.15532060507655</v>
      </c>
      <c r="AJ90" s="528">
        <f>SUM($G88:AJ88)/1000</f>
        <v>239.15532060507655</v>
      </c>
      <c r="AK90" s="528">
        <f>SUM($G88:AK88)/1000</f>
        <v>239.15532060507655</v>
      </c>
      <c r="AL90" s="528">
        <f>SUM($G88:AL88)/1000</f>
        <v>239.15532060507655</v>
      </c>
      <c r="AM90" s="528">
        <f>SUM($G88:AM88)/1000</f>
        <v>239.15532060507655</v>
      </c>
      <c r="AN90" s="528">
        <f>SUM($G88:AN88)/1000</f>
        <v>239.15532060507655</v>
      </c>
      <c r="AO90" s="528">
        <f>SUM($G88:AO88)/1000</f>
        <v>239.15532060507655</v>
      </c>
      <c r="AP90" s="528">
        <f>SUM($G88:AP88)/1000</f>
        <v>239.15532060507655</v>
      </c>
      <c r="AQ90" s="528">
        <f>SUM($G88:AQ88)/1000</f>
        <v>239.15532060507655</v>
      </c>
      <c r="AR90" s="528">
        <f>SUM($G88:AR88)/1000</f>
        <v>239.15532060507655</v>
      </c>
      <c r="AS90" s="528">
        <f>SUM($G88:AS88)/1000</f>
        <v>239.15532060507655</v>
      </c>
      <c r="AT90" s="528">
        <f>SUM($G88:AT88)/1000</f>
        <v>239.15532060507655</v>
      </c>
      <c r="AU90" s="528">
        <f>SUM($G88:AU88)/1000</f>
        <v>239.15532060507655</v>
      </c>
      <c r="AV90" s="528">
        <f>SUM($G88:AV88)/1000</f>
        <v>239.15532060507655</v>
      </c>
      <c r="AW90" s="528">
        <f>SUM($G88:AW88)/1000</f>
        <v>239.15532060507655</v>
      </c>
      <c r="AX90" s="528">
        <f>SUM($G88:AX88)/1000</f>
        <v>239.15532060507655</v>
      </c>
      <c r="AY90" s="528">
        <f>SUM($G88:AY88)/1000</f>
        <v>239.15532060507655</v>
      </c>
      <c r="AZ90" s="528">
        <f>SUM($G88:AZ88)/1000</f>
        <v>239.15532060507655</v>
      </c>
      <c r="BA90" s="528">
        <f>SUM($G88:BA88)/1000</f>
        <v>239.15532060507655</v>
      </c>
      <c r="BB90" s="528">
        <f>SUM($G88:BB88)/1000</f>
        <v>239.15532060507655</v>
      </c>
    </row>
    <row r="91" spans="1:54" s="1190" customFormat="1" x14ac:dyDescent="0.25"/>
    <row r="92" spans="1:54" s="1190" customFormat="1" x14ac:dyDescent="0.25"/>
    <row r="95" spans="1:54" x14ac:dyDescent="0.25">
      <c r="B95" s="437" t="str">
        <f>B5</f>
        <v>Reference</v>
      </c>
      <c r="C95" s="437" t="str">
        <f>_xlfn.CONCAT(Parameters!$D$6,"- NPV breakdown")</f>
        <v>P15 Scenario 1- NPV breakdown</v>
      </c>
      <c r="F95" s="745"/>
      <c r="G95" s="746"/>
      <c r="H95" s="746"/>
      <c r="I95" s="746"/>
      <c r="J95" s="746"/>
      <c r="K95" s="746"/>
      <c r="L95" s="746"/>
      <c r="M95" s="746"/>
      <c r="N95" s="746"/>
      <c r="O95" s="746"/>
      <c r="P95" s="746"/>
      <c r="Q95" s="746"/>
      <c r="R95" s="746"/>
      <c r="S95" s="746"/>
      <c r="T95" s="746"/>
      <c r="U95" s="746"/>
      <c r="V95" s="746"/>
      <c r="W95" s="746"/>
      <c r="X95" s="746"/>
      <c r="Y95" s="746"/>
      <c r="Z95" s="746"/>
      <c r="AA95" s="746"/>
      <c r="AB95" s="746"/>
      <c r="AC95" s="746"/>
      <c r="AD95" s="746"/>
      <c r="AE95" s="746"/>
      <c r="AF95" s="746"/>
      <c r="AG95" s="746"/>
      <c r="AH95" s="746"/>
      <c r="AI95" s="746"/>
      <c r="AJ95" s="746"/>
      <c r="AK95" s="746"/>
      <c r="AL95" s="746"/>
      <c r="AM95" s="746"/>
      <c r="AN95" s="746"/>
      <c r="AO95" s="746"/>
      <c r="AP95" s="746"/>
      <c r="AQ95" s="746"/>
      <c r="AR95" s="746"/>
      <c r="AS95" s="746"/>
      <c r="AT95" s="746"/>
      <c r="AU95" s="746"/>
    </row>
    <row r="96" spans="1:54" x14ac:dyDescent="0.25">
      <c r="A96" s="437" t="str">
        <f>B26</f>
        <v>Cable costs</v>
      </c>
      <c r="B96" s="517">
        <f>E7</f>
        <v>0</v>
      </c>
      <c r="C96" s="564">
        <f>E26</f>
        <v>-34410.593080777857</v>
      </c>
      <c r="D96" s="564"/>
      <c r="E96" s="564"/>
      <c r="F96" s="747"/>
      <c r="G96" s="745"/>
      <c r="H96" s="745"/>
      <c r="I96" s="745"/>
      <c r="J96" s="745"/>
      <c r="K96" s="745"/>
      <c r="L96" s="745"/>
      <c r="M96" s="745"/>
      <c r="N96" s="745"/>
      <c r="O96" s="745"/>
      <c r="P96" s="745"/>
      <c r="Q96" s="745"/>
      <c r="R96" s="745"/>
      <c r="S96" s="745"/>
      <c r="T96" s="745"/>
      <c r="U96" s="745"/>
      <c r="V96" s="745"/>
      <c r="W96" s="745"/>
      <c r="X96" s="745"/>
      <c r="Y96" s="745"/>
      <c r="Z96" s="745"/>
      <c r="AA96" s="745"/>
      <c r="AB96" s="745"/>
      <c r="AC96" s="745"/>
      <c r="AD96" s="745"/>
      <c r="AE96" s="745"/>
      <c r="AF96" s="745"/>
      <c r="AG96" s="745"/>
      <c r="AH96" s="745"/>
      <c r="AI96" s="745"/>
      <c r="AJ96" s="745"/>
      <c r="AK96" s="745"/>
      <c r="AL96" s="745"/>
      <c r="AM96" s="745"/>
      <c r="AN96" s="745"/>
      <c r="AO96" s="745"/>
      <c r="AP96" s="745"/>
      <c r="AQ96" s="745"/>
      <c r="AR96" s="745"/>
      <c r="AS96" s="745"/>
      <c r="AT96" s="745"/>
      <c r="AU96" s="745"/>
    </row>
    <row r="97" spans="1:47" x14ac:dyDescent="0.25">
      <c r="A97" s="437" t="str">
        <f>B28</f>
        <v>Refurbishment costs</v>
      </c>
      <c r="B97" s="517">
        <f>E8</f>
        <v>0</v>
      </c>
      <c r="C97" s="564">
        <f>E28</f>
        <v>-11241.948009015774</v>
      </c>
      <c r="D97" s="564"/>
      <c r="E97" s="564"/>
      <c r="F97" s="745"/>
      <c r="G97" s="745"/>
      <c r="H97" s="745"/>
      <c r="I97" s="745"/>
      <c r="J97" s="745"/>
      <c r="K97" s="745"/>
      <c r="L97" s="745"/>
      <c r="M97" s="745"/>
      <c r="N97" s="745"/>
      <c r="O97" s="745"/>
      <c r="P97" s="745"/>
      <c r="Q97" s="745"/>
      <c r="R97" s="745"/>
      <c r="S97" s="745"/>
      <c r="T97" s="745"/>
      <c r="U97" s="745"/>
      <c r="V97" s="745"/>
      <c r="W97" s="745"/>
      <c r="X97" s="745"/>
      <c r="Y97" s="745"/>
      <c r="Z97" s="745"/>
      <c r="AA97" s="745"/>
      <c r="AB97" s="745"/>
      <c r="AC97" s="745"/>
      <c r="AD97" s="745"/>
      <c r="AE97" s="745"/>
      <c r="AF97" s="745"/>
      <c r="AG97" s="745"/>
      <c r="AH97" s="745"/>
      <c r="AI97" s="745"/>
      <c r="AJ97" s="745"/>
      <c r="AK97" s="745"/>
      <c r="AL97" s="745"/>
      <c r="AM97" s="745"/>
      <c r="AN97" s="745"/>
      <c r="AO97" s="745"/>
      <c r="AP97" s="745"/>
      <c r="AQ97" s="745"/>
      <c r="AR97" s="745"/>
      <c r="AS97" s="745"/>
      <c r="AT97" s="745"/>
      <c r="AU97" s="745"/>
    </row>
    <row r="98" spans="1:47" x14ac:dyDescent="0.25">
      <c r="A98" s="437" t="str">
        <f>B29</f>
        <v>Platform downtime</v>
      </c>
      <c r="B98" s="517"/>
      <c r="C98" s="564">
        <f>E29</f>
        <v>-2573.9253032456641</v>
      </c>
      <c r="D98" s="564"/>
      <c r="E98" s="564"/>
      <c r="F98" s="745"/>
      <c r="G98" s="745"/>
      <c r="H98" s="745"/>
      <c r="I98" s="745"/>
      <c r="J98" s="745"/>
      <c r="K98" s="745"/>
      <c r="L98" s="745"/>
      <c r="M98" s="745"/>
      <c r="N98" s="745"/>
      <c r="O98" s="745"/>
      <c r="P98" s="745"/>
      <c r="Q98" s="745"/>
      <c r="R98" s="745"/>
      <c r="S98" s="745"/>
      <c r="T98" s="745"/>
      <c r="U98" s="745"/>
      <c r="V98" s="745"/>
      <c r="W98" s="745"/>
      <c r="X98" s="745"/>
      <c r="Y98" s="745"/>
      <c r="Z98" s="745"/>
      <c r="AA98" s="745"/>
      <c r="AB98" s="745"/>
      <c r="AC98" s="745"/>
      <c r="AD98" s="745"/>
      <c r="AE98" s="745"/>
      <c r="AF98" s="745"/>
      <c r="AG98" s="745"/>
      <c r="AH98" s="745"/>
      <c r="AI98" s="745"/>
      <c r="AJ98" s="745"/>
      <c r="AK98" s="745"/>
      <c r="AL98" s="745"/>
      <c r="AM98" s="745"/>
      <c r="AN98" s="745"/>
      <c r="AO98" s="745"/>
      <c r="AP98" s="745"/>
      <c r="AQ98" s="745"/>
      <c r="AR98" s="745"/>
      <c r="AS98" s="745"/>
      <c r="AT98" s="745"/>
      <c r="AU98" s="745"/>
    </row>
    <row r="99" spans="1:47" x14ac:dyDescent="0.25">
      <c r="A99" s="165" t="s">
        <v>1005</v>
      </c>
      <c r="B99" s="517">
        <f>E11</f>
        <v>0</v>
      </c>
      <c r="C99" s="564">
        <f>E34</f>
        <v>-32761.557893968991</v>
      </c>
      <c r="D99" s="564"/>
      <c r="E99" s="564"/>
      <c r="F99" s="745"/>
      <c r="G99" s="745"/>
      <c r="H99" s="745"/>
      <c r="I99" s="745"/>
      <c r="J99" s="745"/>
      <c r="K99" s="745"/>
      <c r="L99" s="745"/>
      <c r="M99" s="745"/>
      <c r="N99" s="745"/>
      <c r="O99" s="745"/>
      <c r="P99" s="745"/>
      <c r="Q99" s="745"/>
      <c r="R99" s="745"/>
      <c r="S99" s="745"/>
      <c r="T99" s="745"/>
      <c r="U99" s="745"/>
      <c r="V99" s="745"/>
      <c r="W99" s="745"/>
      <c r="X99" s="745"/>
      <c r="Y99" s="745"/>
      <c r="Z99" s="745"/>
      <c r="AA99" s="745"/>
      <c r="AB99" s="745"/>
      <c r="AC99" s="745"/>
      <c r="AD99" s="745"/>
      <c r="AE99" s="745"/>
      <c r="AF99" s="745"/>
      <c r="AG99" s="745"/>
      <c r="AH99" s="745"/>
      <c r="AI99" s="745"/>
      <c r="AJ99" s="745"/>
      <c r="AK99" s="745"/>
      <c r="AL99" s="745"/>
      <c r="AM99" s="745"/>
      <c r="AN99" s="745"/>
      <c r="AO99" s="745"/>
      <c r="AP99" s="745"/>
      <c r="AQ99" s="745"/>
      <c r="AR99" s="745"/>
      <c r="AS99" s="745"/>
      <c r="AT99" s="745"/>
      <c r="AU99" s="745"/>
    </row>
    <row r="100" spans="1:47" x14ac:dyDescent="0.25">
      <c r="A100" s="127" t="s">
        <v>993</v>
      </c>
      <c r="B100" s="517">
        <f>E12</f>
        <v>0</v>
      </c>
      <c r="C100" s="564">
        <f>E41</f>
        <v>48099.000723081794</v>
      </c>
      <c r="D100" s="564"/>
      <c r="E100" s="564"/>
      <c r="F100" s="747"/>
      <c r="G100" s="745"/>
      <c r="H100" s="745"/>
      <c r="I100" s="745"/>
      <c r="J100" s="745"/>
      <c r="K100" s="745"/>
      <c r="L100" s="745"/>
      <c r="M100" s="745"/>
      <c r="N100" s="745"/>
      <c r="O100" s="745"/>
      <c r="P100" s="745"/>
      <c r="Q100" s="745"/>
      <c r="R100" s="745"/>
      <c r="S100" s="745"/>
      <c r="T100" s="745"/>
      <c r="U100" s="745"/>
      <c r="V100" s="745"/>
      <c r="W100" s="745"/>
      <c r="X100" s="745"/>
      <c r="Y100" s="745"/>
      <c r="Z100" s="745"/>
      <c r="AA100" s="745"/>
      <c r="AB100" s="745"/>
      <c r="AC100" s="745"/>
      <c r="AD100" s="745"/>
      <c r="AE100" s="745"/>
      <c r="AF100" s="745"/>
      <c r="AG100" s="745"/>
      <c r="AH100" s="745"/>
      <c r="AI100" s="745"/>
      <c r="AJ100" s="745"/>
      <c r="AK100" s="745"/>
      <c r="AL100" s="745"/>
      <c r="AM100" s="745"/>
      <c r="AN100" s="745"/>
      <c r="AO100" s="745"/>
      <c r="AP100" s="745"/>
      <c r="AQ100" s="745"/>
      <c r="AR100" s="745"/>
      <c r="AS100" s="745"/>
      <c r="AT100" s="745"/>
      <c r="AU100" s="745"/>
    </row>
    <row r="101" spans="1:47" x14ac:dyDescent="0.25">
      <c r="A101" s="165" t="s">
        <v>992</v>
      </c>
      <c r="B101" s="517">
        <f>E14</f>
        <v>0</v>
      </c>
      <c r="C101" s="564">
        <f>E40</f>
        <v>4223.9906799439159</v>
      </c>
      <c r="D101" s="564"/>
      <c r="E101" s="564"/>
      <c r="F101" s="745"/>
      <c r="G101" s="745"/>
      <c r="H101" s="745"/>
      <c r="I101" s="745"/>
      <c r="J101" s="745"/>
      <c r="K101" s="745"/>
      <c r="L101" s="745"/>
      <c r="M101" s="745"/>
      <c r="N101" s="745"/>
      <c r="O101" s="745"/>
      <c r="P101" s="745"/>
      <c r="Q101" s="745"/>
      <c r="R101" s="745"/>
      <c r="S101" s="745"/>
      <c r="T101" s="745"/>
      <c r="U101" s="745"/>
      <c r="V101" s="745"/>
      <c r="W101" s="745"/>
      <c r="X101" s="745"/>
      <c r="Y101" s="745"/>
      <c r="Z101" s="745"/>
      <c r="AA101" s="745"/>
      <c r="AB101" s="745"/>
      <c r="AC101" s="745"/>
      <c r="AD101" s="745"/>
      <c r="AE101" s="745"/>
      <c r="AF101" s="745"/>
      <c r="AG101" s="745"/>
      <c r="AH101" s="745"/>
      <c r="AI101" s="745"/>
      <c r="AJ101" s="745"/>
      <c r="AK101" s="745"/>
      <c r="AL101" s="745"/>
      <c r="AM101" s="745"/>
      <c r="AN101" s="745"/>
      <c r="AO101" s="745"/>
      <c r="AP101" s="745"/>
      <c r="AQ101" s="745"/>
      <c r="AR101" s="745"/>
      <c r="AS101" s="745"/>
      <c r="AT101" s="745"/>
      <c r="AU101" s="745"/>
    </row>
    <row r="102" spans="1:47" x14ac:dyDescent="0.25">
      <c r="A102" s="437" t="s">
        <v>994</v>
      </c>
      <c r="B102" s="517">
        <f>E15</f>
        <v>0</v>
      </c>
      <c r="C102" s="564">
        <f>E77</f>
        <v>-6913.8054509692292</v>
      </c>
      <c r="D102" s="564"/>
      <c r="E102" s="487"/>
      <c r="F102" s="745"/>
      <c r="G102" s="745"/>
      <c r="H102" s="745"/>
      <c r="I102" s="745"/>
      <c r="J102" s="745"/>
      <c r="K102" s="745"/>
      <c r="L102" s="745"/>
      <c r="M102" s="745"/>
      <c r="N102" s="745"/>
      <c r="O102" s="745"/>
      <c r="P102" s="745"/>
      <c r="Q102" s="745"/>
      <c r="R102" s="745"/>
      <c r="S102" s="745"/>
      <c r="T102" s="745"/>
      <c r="U102" s="745"/>
      <c r="V102" s="745"/>
      <c r="W102" s="745"/>
      <c r="X102" s="745"/>
      <c r="Y102" s="745"/>
      <c r="Z102" s="745"/>
      <c r="AA102" s="745"/>
      <c r="AB102" s="745"/>
      <c r="AC102" s="745"/>
      <c r="AD102" s="745"/>
      <c r="AE102" s="745"/>
      <c r="AF102" s="745"/>
      <c r="AG102" s="745"/>
      <c r="AH102" s="745"/>
      <c r="AI102" s="745"/>
      <c r="AJ102" s="745"/>
      <c r="AK102" s="745"/>
      <c r="AL102" s="745"/>
      <c r="AM102" s="745"/>
      <c r="AN102" s="745"/>
      <c r="AO102" s="745"/>
      <c r="AP102" s="745"/>
      <c r="AQ102" s="745"/>
      <c r="AR102" s="745"/>
      <c r="AS102" s="745"/>
      <c r="AT102" s="745"/>
      <c r="AU102" s="745"/>
    </row>
    <row r="103" spans="1:47" x14ac:dyDescent="0.25">
      <c r="A103" s="165" t="s">
        <v>1006</v>
      </c>
      <c r="B103" s="517">
        <f>E16</f>
        <v>0</v>
      </c>
      <c r="C103" s="564">
        <f>E44</f>
        <v>0</v>
      </c>
      <c r="D103" s="564"/>
      <c r="F103" s="745"/>
      <c r="G103" s="745"/>
      <c r="H103" s="745"/>
      <c r="I103" s="745"/>
      <c r="J103" s="745"/>
      <c r="K103" s="745"/>
      <c r="L103" s="745"/>
      <c r="M103" s="745"/>
      <c r="N103" s="745"/>
      <c r="O103" s="745"/>
      <c r="P103" s="745"/>
      <c r="Q103" s="745"/>
      <c r="R103" s="745"/>
      <c r="S103" s="745"/>
      <c r="T103" s="745"/>
      <c r="U103" s="745"/>
      <c r="V103" s="745"/>
      <c r="W103" s="745"/>
      <c r="X103" s="745"/>
      <c r="Y103" s="745"/>
      <c r="Z103" s="745"/>
      <c r="AA103" s="745"/>
      <c r="AB103" s="745"/>
      <c r="AC103" s="745"/>
      <c r="AD103" s="745"/>
      <c r="AE103" s="745"/>
      <c r="AF103" s="745"/>
      <c r="AG103" s="745"/>
      <c r="AH103" s="745"/>
      <c r="AI103" s="745"/>
      <c r="AJ103" s="745"/>
      <c r="AK103" s="745"/>
      <c r="AL103" s="745"/>
      <c r="AM103" s="745"/>
      <c r="AN103" s="745"/>
      <c r="AO103" s="745"/>
      <c r="AP103" s="745"/>
      <c r="AQ103" s="745"/>
      <c r="AR103" s="745"/>
      <c r="AS103" s="745"/>
      <c r="AT103" s="745"/>
      <c r="AU103" s="745"/>
    </row>
    <row r="104" spans="1:47" x14ac:dyDescent="0.25">
      <c r="F104" s="745"/>
      <c r="G104" s="746"/>
      <c r="H104" s="746"/>
      <c r="I104" s="746"/>
      <c r="J104" s="746"/>
      <c r="K104" s="746"/>
      <c r="L104" s="746"/>
      <c r="M104" s="746"/>
      <c r="N104" s="746"/>
      <c r="O104" s="746"/>
      <c r="P104" s="746"/>
      <c r="Q104" s="746"/>
      <c r="R104" s="746"/>
      <c r="S104" s="746"/>
      <c r="T104" s="746"/>
      <c r="U104" s="746"/>
      <c r="V104" s="746"/>
      <c r="W104" s="746"/>
      <c r="X104" s="746"/>
      <c r="Y104" s="746"/>
      <c r="Z104" s="746"/>
      <c r="AA104" s="746"/>
      <c r="AB104" s="746"/>
      <c r="AC104" s="746"/>
      <c r="AD104" s="746"/>
      <c r="AE104" s="746"/>
      <c r="AF104" s="746"/>
      <c r="AG104" s="746"/>
      <c r="AH104" s="746"/>
      <c r="AI104" s="746"/>
      <c r="AJ104" s="746"/>
      <c r="AK104" s="746"/>
      <c r="AL104" s="746"/>
      <c r="AM104" s="746"/>
      <c r="AN104" s="746"/>
      <c r="AO104" s="746"/>
      <c r="AP104" s="746"/>
      <c r="AQ104" s="746"/>
      <c r="AR104" s="746"/>
      <c r="AS104" s="746"/>
      <c r="AT104" s="746"/>
      <c r="AU104" s="746"/>
    </row>
    <row r="105" spans="1:47" x14ac:dyDescent="0.25">
      <c r="C105" s="565">
        <f>SUM(C96:C99)/1000</f>
        <v>-80.988024287008287</v>
      </c>
      <c r="D105" s="565"/>
      <c r="E105" s="565"/>
      <c r="F105" s="747"/>
      <c r="G105" s="745"/>
      <c r="H105" s="745"/>
      <c r="I105" s="745"/>
      <c r="J105" s="745"/>
      <c r="K105" s="745"/>
      <c r="L105" s="745"/>
      <c r="M105" s="745"/>
      <c r="N105" s="745"/>
      <c r="O105" s="745"/>
      <c r="P105" s="745"/>
      <c r="Q105" s="745"/>
      <c r="R105" s="745"/>
      <c r="S105" s="745"/>
      <c r="T105" s="745"/>
      <c r="U105" s="745"/>
      <c r="V105" s="745"/>
      <c r="W105" s="745"/>
      <c r="X105" s="745"/>
      <c r="Y105" s="745"/>
      <c r="Z105" s="745"/>
      <c r="AA105" s="745"/>
      <c r="AB105" s="745"/>
      <c r="AC105" s="745"/>
      <c r="AD105" s="745"/>
      <c r="AE105" s="745"/>
      <c r="AF105" s="745"/>
      <c r="AG105" s="745"/>
      <c r="AH105" s="745"/>
      <c r="AI105" s="745"/>
      <c r="AJ105" s="745"/>
      <c r="AK105" s="745"/>
      <c r="AL105" s="745"/>
      <c r="AM105" s="745"/>
      <c r="AN105" s="745"/>
      <c r="AO105" s="745"/>
      <c r="AP105" s="745"/>
      <c r="AQ105" s="745"/>
      <c r="AR105" s="745"/>
      <c r="AS105" s="745"/>
      <c r="AT105" s="745"/>
      <c r="AU105" s="745"/>
    </row>
    <row r="106" spans="1:47" x14ac:dyDescent="0.25">
      <c r="C106" s="565">
        <f>SUM(C100:C103)/1000</f>
        <v>45.409185952056475</v>
      </c>
      <c r="D106" s="565"/>
      <c r="E106" s="565"/>
      <c r="F106" s="747"/>
      <c r="G106" s="745"/>
      <c r="H106" s="745"/>
      <c r="I106" s="745"/>
      <c r="J106" s="745"/>
      <c r="K106" s="745"/>
      <c r="L106" s="745"/>
      <c r="M106" s="745"/>
      <c r="N106" s="745"/>
      <c r="O106" s="745"/>
      <c r="P106" s="745"/>
      <c r="Q106" s="745"/>
      <c r="R106" s="745"/>
      <c r="S106" s="745"/>
      <c r="T106" s="745"/>
      <c r="U106" s="745"/>
      <c r="V106" s="745"/>
      <c r="W106" s="745"/>
      <c r="X106" s="745"/>
      <c r="Y106" s="745"/>
      <c r="Z106" s="745"/>
      <c r="AA106" s="745"/>
      <c r="AB106" s="745"/>
      <c r="AC106" s="745"/>
      <c r="AD106" s="745"/>
      <c r="AE106" s="745"/>
      <c r="AF106" s="745"/>
      <c r="AG106" s="745"/>
      <c r="AH106" s="745"/>
      <c r="AI106" s="745"/>
      <c r="AJ106" s="745"/>
      <c r="AK106" s="745"/>
      <c r="AL106" s="745"/>
      <c r="AM106" s="745"/>
      <c r="AN106" s="745"/>
      <c r="AO106" s="745"/>
      <c r="AP106" s="745"/>
      <c r="AQ106" s="745"/>
      <c r="AR106" s="745"/>
      <c r="AS106" s="745"/>
      <c r="AT106" s="745"/>
      <c r="AU106" s="745"/>
    </row>
    <row r="107" spans="1:47" x14ac:dyDescent="0.25">
      <c r="C107" s="565">
        <f>SUM(C105:C106)</f>
        <v>-35.578838334951811</v>
      </c>
      <c r="D107" s="565"/>
      <c r="E107" s="565"/>
      <c r="F107" s="747"/>
      <c r="G107" s="745"/>
      <c r="H107" s="745"/>
      <c r="I107" s="745"/>
      <c r="J107" s="745"/>
      <c r="K107" s="745"/>
      <c r="L107" s="745"/>
      <c r="M107" s="745"/>
      <c r="N107" s="745"/>
      <c r="O107" s="745"/>
      <c r="P107" s="745"/>
      <c r="Q107" s="745"/>
      <c r="R107" s="745"/>
      <c r="S107" s="745"/>
      <c r="T107" s="745"/>
      <c r="U107" s="745"/>
      <c r="V107" s="745"/>
      <c r="W107" s="745"/>
      <c r="X107" s="745"/>
      <c r="Y107" s="745"/>
      <c r="Z107" s="745"/>
      <c r="AA107" s="745"/>
      <c r="AB107" s="745"/>
      <c r="AC107" s="745"/>
      <c r="AD107" s="745"/>
      <c r="AE107" s="745"/>
      <c r="AF107" s="745"/>
      <c r="AG107" s="745"/>
      <c r="AH107" s="745"/>
      <c r="AI107" s="745"/>
      <c r="AJ107" s="745"/>
      <c r="AK107" s="745"/>
      <c r="AL107" s="745"/>
      <c r="AM107" s="745"/>
      <c r="AN107" s="745"/>
      <c r="AO107" s="745"/>
      <c r="AP107" s="745"/>
      <c r="AQ107" s="745"/>
      <c r="AR107" s="745"/>
      <c r="AS107" s="745"/>
      <c r="AT107" s="745"/>
      <c r="AU107" s="745"/>
    </row>
    <row r="108" spans="1:47" x14ac:dyDescent="0.25">
      <c r="F108" s="747"/>
      <c r="G108" s="745"/>
      <c r="H108" s="745"/>
      <c r="I108" s="745"/>
      <c r="J108" s="745"/>
      <c r="K108" s="745"/>
      <c r="L108" s="745"/>
      <c r="M108" s="745"/>
      <c r="N108" s="745"/>
      <c r="O108" s="745"/>
      <c r="P108" s="745"/>
      <c r="Q108" s="745"/>
      <c r="R108" s="745"/>
      <c r="S108" s="745"/>
      <c r="T108" s="745"/>
      <c r="U108" s="745"/>
      <c r="V108" s="745"/>
      <c r="W108" s="745"/>
      <c r="X108" s="745"/>
      <c r="Y108" s="745"/>
      <c r="Z108" s="745"/>
      <c r="AA108" s="745"/>
      <c r="AB108" s="745"/>
      <c r="AC108" s="745"/>
      <c r="AD108" s="745"/>
      <c r="AE108" s="745"/>
      <c r="AF108" s="745"/>
      <c r="AG108" s="745"/>
      <c r="AH108" s="745"/>
      <c r="AI108" s="745"/>
      <c r="AJ108" s="745"/>
      <c r="AK108" s="745"/>
      <c r="AL108" s="745"/>
      <c r="AM108" s="745"/>
      <c r="AN108" s="745"/>
      <c r="AO108" s="745"/>
      <c r="AP108" s="745"/>
      <c r="AQ108" s="745"/>
      <c r="AR108" s="745"/>
      <c r="AS108" s="745"/>
      <c r="AT108" s="745"/>
      <c r="AU108" s="745"/>
    </row>
    <row r="109" spans="1:47" x14ac:dyDescent="0.25">
      <c r="F109" s="747"/>
      <c r="G109" s="745"/>
      <c r="H109" s="745"/>
      <c r="I109" s="745"/>
      <c r="J109" s="745"/>
      <c r="K109" s="745"/>
      <c r="L109" s="745"/>
      <c r="M109" s="745"/>
      <c r="N109" s="745"/>
      <c r="O109" s="745"/>
      <c r="P109" s="745"/>
      <c r="Q109" s="745"/>
      <c r="R109" s="745"/>
      <c r="S109" s="745"/>
      <c r="T109" s="745"/>
      <c r="U109" s="745"/>
      <c r="V109" s="745"/>
      <c r="W109" s="745"/>
      <c r="X109" s="745"/>
      <c r="Y109" s="745"/>
      <c r="Z109" s="745"/>
      <c r="AA109" s="745"/>
      <c r="AB109" s="745"/>
      <c r="AC109" s="745"/>
      <c r="AD109" s="745"/>
      <c r="AE109" s="745"/>
      <c r="AF109" s="745"/>
      <c r="AG109" s="745"/>
      <c r="AH109" s="745"/>
      <c r="AI109" s="745"/>
      <c r="AJ109" s="745"/>
      <c r="AK109" s="745"/>
      <c r="AL109" s="745"/>
      <c r="AM109" s="745"/>
      <c r="AN109" s="745"/>
      <c r="AO109" s="745"/>
      <c r="AP109" s="745"/>
      <c r="AQ109" s="745"/>
      <c r="AR109" s="745"/>
      <c r="AS109" s="745"/>
      <c r="AT109" s="745"/>
      <c r="AU109" s="745"/>
    </row>
    <row r="110" spans="1:47" x14ac:dyDescent="0.25">
      <c r="F110" s="745"/>
      <c r="G110" s="745"/>
      <c r="H110" s="745"/>
      <c r="I110" s="745"/>
      <c r="J110" s="745"/>
      <c r="K110" s="745"/>
      <c r="L110" s="745"/>
      <c r="M110" s="745"/>
      <c r="N110" s="745"/>
      <c r="O110" s="745"/>
      <c r="P110" s="745"/>
      <c r="Q110" s="745"/>
      <c r="R110" s="745"/>
      <c r="S110" s="745"/>
      <c r="T110" s="745"/>
      <c r="U110" s="745"/>
      <c r="V110" s="745"/>
      <c r="W110" s="745"/>
      <c r="X110" s="745"/>
      <c r="Y110" s="745"/>
      <c r="Z110" s="745"/>
      <c r="AA110" s="745"/>
      <c r="AB110" s="745"/>
      <c r="AC110" s="745"/>
      <c r="AD110" s="745"/>
      <c r="AE110" s="745"/>
      <c r="AF110" s="745"/>
      <c r="AG110" s="745"/>
      <c r="AH110" s="745"/>
      <c r="AI110" s="745"/>
      <c r="AJ110" s="745"/>
      <c r="AK110" s="745"/>
      <c r="AL110" s="745"/>
      <c r="AM110" s="745"/>
      <c r="AN110" s="745"/>
      <c r="AO110" s="745"/>
      <c r="AP110" s="745"/>
      <c r="AQ110" s="745"/>
      <c r="AR110" s="745"/>
      <c r="AS110" s="745"/>
      <c r="AT110" s="745"/>
      <c r="AU110" s="745"/>
    </row>
    <row r="111" spans="1:47" x14ac:dyDescent="0.25">
      <c r="F111" s="747"/>
      <c r="G111" s="745"/>
      <c r="H111" s="745"/>
      <c r="I111" s="745"/>
      <c r="J111" s="745"/>
      <c r="K111" s="745"/>
      <c r="L111" s="745"/>
      <c r="M111" s="745"/>
      <c r="N111" s="745"/>
      <c r="O111" s="745"/>
      <c r="P111" s="745"/>
      <c r="Q111" s="745"/>
      <c r="R111" s="745"/>
      <c r="S111" s="745"/>
      <c r="T111" s="745"/>
      <c r="U111" s="745"/>
      <c r="V111" s="745"/>
      <c r="W111" s="745"/>
      <c r="X111" s="745"/>
      <c r="Y111" s="745"/>
      <c r="Z111" s="745"/>
      <c r="AA111" s="745"/>
      <c r="AB111" s="745"/>
      <c r="AC111" s="745"/>
      <c r="AD111" s="745"/>
      <c r="AE111" s="745"/>
      <c r="AF111" s="745"/>
      <c r="AG111" s="745"/>
      <c r="AH111" s="745"/>
      <c r="AI111" s="745"/>
      <c r="AJ111" s="745"/>
      <c r="AK111" s="745"/>
      <c r="AL111" s="745"/>
      <c r="AM111" s="745"/>
      <c r="AN111" s="745"/>
      <c r="AO111" s="745"/>
      <c r="AP111" s="745"/>
      <c r="AQ111" s="745"/>
      <c r="AR111" s="745"/>
      <c r="AS111" s="745"/>
      <c r="AT111" s="745"/>
      <c r="AU111" s="745"/>
    </row>
    <row r="112" spans="1:47" x14ac:dyDescent="0.25">
      <c r="F112" s="745"/>
      <c r="G112" s="745"/>
      <c r="H112" s="745"/>
      <c r="I112" s="745"/>
      <c r="J112" s="745"/>
      <c r="K112" s="745"/>
      <c r="L112" s="745"/>
      <c r="M112" s="745"/>
      <c r="N112" s="745"/>
      <c r="O112" s="745"/>
      <c r="P112" s="745"/>
      <c r="Q112" s="745"/>
      <c r="R112" s="745"/>
      <c r="S112" s="745"/>
      <c r="T112" s="745"/>
      <c r="U112" s="745"/>
      <c r="V112" s="745"/>
      <c r="W112" s="745"/>
      <c r="X112" s="745"/>
      <c r="Y112" s="745"/>
      <c r="Z112" s="745"/>
      <c r="AA112" s="745"/>
      <c r="AB112" s="745"/>
      <c r="AC112" s="745"/>
      <c r="AD112" s="745"/>
      <c r="AE112" s="745"/>
      <c r="AF112" s="745"/>
      <c r="AG112" s="745"/>
      <c r="AH112" s="745"/>
      <c r="AI112" s="745"/>
      <c r="AJ112" s="745"/>
      <c r="AK112" s="745"/>
      <c r="AL112" s="745"/>
      <c r="AM112" s="745"/>
      <c r="AN112" s="745"/>
      <c r="AO112" s="745"/>
      <c r="AP112" s="745"/>
      <c r="AQ112" s="745"/>
      <c r="AR112" s="745"/>
      <c r="AS112" s="745"/>
      <c r="AT112" s="745"/>
      <c r="AU112" s="745"/>
    </row>
    <row r="113" spans="6:47" x14ac:dyDescent="0.25">
      <c r="F113" s="745"/>
      <c r="G113" s="746"/>
      <c r="H113" s="746"/>
      <c r="I113" s="746"/>
      <c r="J113" s="746"/>
      <c r="K113" s="746"/>
      <c r="L113" s="746"/>
      <c r="M113" s="746"/>
      <c r="N113" s="746"/>
      <c r="O113" s="746"/>
      <c r="P113" s="746"/>
      <c r="Q113" s="746"/>
      <c r="R113" s="746"/>
      <c r="S113" s="746"/>
      <c r="T113" s="746"/>
      <c r="U113" s="746"/>
      <c r="V113" s="746"/>
      <c r="W113" s="746"/>
      <c r="X113" s="746"/>
      <c r="Y113" s="746"/>
      <c r="Z113" s="746"/>
      <c r="AA113" s="746"/>
      <c r="AB113" s="746"/>
      <c r="AC113" s="746"/>
      <c r="AD113" s="746"/>
      <c r="AE113" s="746"/>
      <c r="AF113" s="746"/>
      <c r="AG113" s="746"/>
      <c r="AH113" s="746"/>
      <c r="AI113" s="746"/>
      <c r="AJ113" s="746"/>
      <c r="AK113" s="746"/>
      <c r="AL113" s="746"/>
      <c r="AM113" s="746"/>
      <c r="AN113" s="746"/>
      <c r="AO113" s="746"/>
      <c r="AP113" s="746"/>
      <c r="AQ113" s="746"/>
      <c r="AR113" s="746"/>
      <c r="AS113" s="746"/>
      <c r="AT113" s="746"/>
      <c r="AU113" s="746"/>
    </row>
    <row r="114" spans="6:47" x14ac:dyDescent="0.25">
      <c r="F114" s="747"/>
      <c r="G114" s="745"/>
      <c r="H114" s="745"/>
      <c r="I114" s="745"/>
      <c r="J114" s="745"/>
      <c r="K114" s="745"/>
      <c r="L114" s="745"/>
      <c r="M114" s="745"/>
      <c r="N114" s="745"/>
      <c r="O114" s="745"/>
      <c r="P114" s="745"/>
      <c r="Q114" s="745"/>
      <c r="R114" s="745"/>
      <c r="S114" s="745"/>
      <c r="T114" s="745"/>
      <c r="U114" s="745"/>
      <c r="V114" s="745"/>
      <c r="W114" s="745"/>
      <c r="X114" s="745"/>
      <c r="Y114" s="745"/>
      <c r="Z114" s="745"/>
      <c r="AA114" s="745"/>
      <c r="AB114" s="745"/>
      <c r="AC114" s="745"/>
      <c r="AD114" s="745"/>
      <c r="AE114" s="745"/>
      <c r="AF114" s="745"/>
      <c r="AG114" s="745"/>
      <c r="AH114" s="745"/>
      <c r="AI114" s="745"/>
      <c r="AJ114" s="745"/>
      <c r="AK114" s="745"/>
      <c r="AL114" s="745"/>
      <c r="AM114" s="745"/>
      <c r="AN114" s="745"/>
      <c r="AO114" s="745"/>
      <c r="AP114" s="745"/>
      <c r="AQ114" s="745"/>
      <c r="AR114" s="745"/>
      <c r="AS114" s="745"/>
      <c r="AT114" s="745"/>
      <c r="AU114" s="745"/>
    </row>
    <row r="115" spans="6:47" x14ac:dyDescent="0.25">
      <c r="F115" s="747"/>
      <c r="G115" s="748"/>
      <c r="H115" s="748"/>
      <c r="I115" s="748"/>
      <c r="J115" s="748"/>
      <c r="K115" s="748"/>
      <c r="L115" s="748"/>
      <c r="M115" s="745"/>
      <c r="N115" s="745"/>
      <c r="O115" s="745"/>
      <c r="P115" s="745"/>
      <c r="Q115" s="745"/>
      <c r="R115" s="745"/>
      <c r="S115" s="745"/>
      <c r="T115" s="745"/>
      <c r="U115" s="745"/>
      <c r="V115" s="745"/>
      <c r="W115" s="745"/>
      <c r="X115" s="745"/>
      <c r="Y115" s="745"/>
      <c r="Z115" s="745"/>
      <c r="AA115" s="745"/>
      <c r="AB115" s="745"/>
      <c r="AC115" s="745"/>
      <c r="AD115" s="745"/>
      <c r="AE115" s="745"/>
      <c r="AF115" s="745"/>
      <c r="AG115" s="745"/>
      <c r="AH115" s="745"/>
      <c r="AI115" s="745"/>
      <c r="AJ115" s="745"/>
      <c r="AK115" s="745"/>
      <c r="AL115" s="745"/>
      <c r="AM115" s="745"/>
      <c r="AN115" s="745"/>
      <c r="AO115" s="745"/>
      <c r="AP115" s="745"/>
      <c r="AQ115" s="745"/>
      <c r="AR115" s="745"/>
      <c r="AS115" s="745"/>
      <c r="AT115" s="745"/>
      <c r="AU115" s="745"/>
    </row>
    <row r="116" spans="6:47" x14ac:dyDescent="0.25">
      <c r="F116" s="747"/>
      <c r="G116" s="745"/>
      <c r="H116" s="745"/>
      <c r="I116" s="745"/>
      <c r="J116" s="745"/>
      <c r="K116" s="745"/>
      <c r="L116" s="745"/>
      <c r="M116" s="745"/>
      <c r="N116" s="745"/>
      <c r="O116" s="745"/>
      <c r="P116" s="745"/>
      <c r="Q116" s="745"/>
      <c r="R116" s="745"/>
      <c r="S116" s="745"/>
      <c r="T116" s="745"/>
      <c r="U116" s="745"/>
      <c r="V116" s="745"/>
      <c r="W116" s="745"/>
      <c r="X116" s="745"/>
      <c r="Y116" s="745"/>
      <c r="Z116" s="745"/>
      <c r="AA116" s="745"/>
      <c r="AB116" s="745"/>
      <c r="AC116" s="745"/>
      <c r="AD116" s="745"/>
      <c r="AE116" s="745"/>
      <c r="AF116" s="745"/>
      <c r="AG116" s="745"/>
      <c r="AH116" s="745"/>
      <c r="AI116" s="745"/>
      <c r="AJ116" s="745"/>
      <c r="AK116" s="745"/>
      <c r="AL116" s="745"/>
      <c r="AM116" s="745"/>
      <c r="AN116" s="745"/>
      <c r="AO116" s="745"/>
      <c r="AP116" s="745"/>
      <c r="AQ116" s="745"/>
      <c r="AR116" s="745"/>
      <c r="AS116" s="745"/>
      <c r="AT116" s="745"/>
      <c r="AU116" s="745"/>
    </row>
    <row r="117" spans="6:47" x14ac:dyDescent="0.25">
      <c r="F117" s="747"/>
      <c r="G117" s="745"/>
      <c r="H117" s="745"/>
      <c r="I117" s="745"/>
      <c r="J117" s="745"/>
      <c r="K117" s="745"/>
      <c r="L117" s="745"/>
      <c r="M117" s="745"/>
      <c r="N117" s="745"/>
      <c r="O117" s="745"/>
      <c r="P117" s="745"/>
      <c r="Q117" s="745"/>
      <c r="R117" s="745"/>
      <c r="S117" s="745"/>
      <c r="T117" s="745"/>
      <c r="U117" s="745"/>
      <c r="V117" s="745"/>
      <c r="W117" s="745"/>
      <c r="X117" s="745"/>
      <c r="Y117" s="745"/>
      <c r="Z117" s="745"/>
      <c r="AA117" s="745"/>
      <c r="AB117" s="745"/>
      <c r="AC117" s="745"/>
      <c r="AD117" s="745"/>
      <c r="AE117" s="745"/>
      <c r="AF117" s="745"/>
      <c r="AG117" s="745"/>
      <c r="AH117" s="745"/>
      <c r="AI117" s="745"/>
      <c r="AJ117" s="745"/>
      <c r="AK117" s="745"/>
      <c r="AL117" s="745"/>
      <c r="AM117" s="745"/>
      <c r="AN117" s="745"/>
      <c r="AO117" s="745"/>
      <c r="AP117" s="745"/>
      <c r="AQ117" s="745"/>
      <c r="AR117" s="745"/>
      <c r="AS117" s="745"/>
      <c r="AT117" s="745"/>
      <c r="AU117" s="745"/>
    </row>
    <row r="118" spans="6:47" x14ac:dyDescent="0.25">
      <c r="F118" s="747"/>
      <c r="G118" s="745"/>
      <c r="H118" s="745"/>
      <c r="I118" s="745"/>
      <c r="J118" s="745"/>
      <c r="K118" s="745"/>
      <c r="L118" s="745"/>
      <c r="M118" s="745"/>
      <c r="N118" s="745"/>
      <c r="O118" s="745"/>
      <c r="P118" s="745"/>
      <c r="Q118" s="745"/>
      <c r="R118" s="745"/>
      <c r="S118" s="745"/>
      <c r="T118" s="745"/>
      <c r="U118" s="745"/>
      <c r="V118" s="745"/>
      <c r="W118" s="745"/>
      <c r="X118" s="745"/>
      <c r="Y118" s="745"/>
      <c r="Z118" s="745"/>
      <c r="AA118" s="745"/>
      <c r="AB118" s="745"/>
      <c r="AC118" s="745"/>
      <c r="AD118" s="745"/>
      <c r="AE118" s="745"/>
      <c r="AF118" s="745"/>
      <c r="AG118" s="745"/>
      <c r="AH118" s="745"/>
      <c r="AI118" s="745"/>
      <c r="AJ118" s="745"/>
      <c r="AK118" s="745"/>
      <c r="AL118" s="745"/>
      <c r="AM118" s="745"/>
      <c r="AN118" s="745"/>
      <c r="AO118" s="745"/>
      <c r="AP118" s="745"/>
      <c r="AQ118" s="745"/>
      <c r="AR118" s="745"/>
      <c r="AS118" s="745"/>
      <c r="AT118" s="745"/>
      <c r="AU118" s="745"/>
    </row>
    <row r="119" spans="6:47" x14ac:dyDescent="0.25">
      <c r="F119" s="745"/>
      <c r="G119" s="745"/>
      <c r="H119" s="745"/>
      <c r="I119" s="745"/>
      <c r="J119" s="745"/>
      <c r="K119" s="745"/>
      <c r="L119" s="745"/>
      <c r="M119" s="745"/>
      <c r="N119" s="745"/>
      <c r="O119" s="745"/>
      <c r="P119" s="745"/>
      <c r="Q119" s="745"/>
      <c r="R119" s="745"/>
      <c r="S119" s="745"/>
      <c r="T119" s="745"/>
      <c r="U119" s="745"/>
      <c r="V119" s="745"/>
      <c r="W119" s="745"/>
      <c r="X119" s="745"/>
      <c r="Y119" s="745"/>
      <c r="Z119" s="745"/>
      <c r="AA119" s="745"/>
      <c r="AB119" s="745"/>
      <c r="AC119" s="745"/>
      <c r="AD119" s="745"/>
      <c r="AE119" s="745"/>
      <c r="AF119" s="745"/>
      <c r="AG119" s="745"/>
      <c r="AH119" s="745"/>
      <c r="AI119" s="745"/>
      <c r="AJ119" s="745"/>
      <c r="AK119" s="745"/>
      <c r="AL119" s="745"/>
      <c r="AM119" s="745"/>
      <c r="AN119" s="745"/>
      <c r="AO119" s="745"/>
      <c r="AP119" s="745"/>
      <c r="AQ119" s="745"/>
      <c r="AR119" s="745"/>
      <c r="AS119" s="745"/>
      <c r="AT119" s="745"/>
      <c r="AU119" s="745"/>
    </row>
    <row r="120" spans="6:47" x14ac:dyDescent="0.25">
      <c r="F120" s="747"/>
      <c r="G120" s="745"/>
      <c r="H120" s="745"/>
      <c r="I120" s="745"/>
      <c r="J120" s="745"/>
      <c r="K120" s="745"/>
      <c r="L120" s="745"/>
      <c r="M120" s="745"/>
      <c r="N120" s="745"/>
      <c r="O120" s="745"/>
      <c r="P120" s="745"/>
      <c r="Q120" s="745"/>
      <c r="R120" s="745"/>
      <c r="S120" s="745"/>
      <c r="T120" s="745"/>
      <c r="U120" s="745"/>
      <c r="V120" s="745"/>
      <c r="W120" s="745"/>
      <c r="X120" s="745"/>
      <c r="Y120" s="745"/>
      <c r="Z120" s="745"/>
      <c r="AA120" s="745"/>
      <c r="AB120" s="745"/>
      <c r="AC120" s="745"/>
      <c r="AD120" s="745"/>
      <c r="AE120" s="745"/>
      <c r="AF120" s="745"/>
      <c r="AG120" s="745"/>
      <c r="AH120" s="745"/>
      <c r="AI120" s="745"/>
      <c r="AJ120" s="745"/>
      <c r="AK120" s="745"/>
      <c r="AL120" s="745"/>
      <c r="AM120" s="745"/>
      <c r="AN120" s="745"/>
      <c r="AO120" s="745"/>
      <c r="AP120" s="745"/>
      <c r="AQ120" s="745"/>
      <c r="AR120" s="745"/>
      <c r="AS120" s="745"/>
      <c r="AT120" s="745"/>
      <c r="AU120" s="745"/>
    </row>
    <row r="121" spans="6:47" x14ac:dyDescent="0.25">
      <c r="F121" s="747"/>
      <c r="G121" s="745"/>
      <c r="H121" s="745"/>
      <c r="I121" s="745"/>
      <c r="J121" s="745"/>
      <c r="K121" s="745"/>
      <c r="L121" s="745"/>
      <c r="M121" s="745"/>
      <c r="N121" s="745"/>
      <c r="O121" s="745"/>
      <c r="P121" s="745"/>
      <c r="Q121" s="745"/>
      <c r="R121" s="745"/>
      <c r="S121" s="745"/>
      <c r="T121" s="745"/>
      <c r="U121" s="745"/>
      <c r="V121" s="745"/>
      <c r="W121" s="745"/>
      <c r="X121" s="745"/>
      <c r="Y121" s="745"/>
      <c r="Z121" s="745"/>
      <c r="AA121" s="745"/>
      <c r="AB121" s="745"/>
      <c r="AC121" s="745"/>
      <c r="AD121" s="745"/>
      <c r="AE121" s="745"/>
      <c r="AF121" s="745"/>
      <c r="AG121" s="745"/>
      <c r="AH121" s="745"/>
      <c r="AI121" s="745"/>
      <c r="AJ121" s="745"/>
      <c r="AK121" s="745"/>
      <c r="AL121" s="745"/>
      <c r="AM121" s="745"/>
      <c r="AN121" s="745"/>
      <c r="AO121" s="745"/>
      <c r="AP121" s="745"/>
      <c r="AQ121" s="745"/>
      <c r="AR121" s="745"/>
      <c r="AS121" s="745"/>
      <c r="AT121" s="745"/>
      <c r="AU121" s="745"/>
    </row>
  </sheetData>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2">
    <tabColor rgb="FF92D050"/>
  </sheetPr>
  <dimension ref="B2:XFD57"/>
  <sheetViews>
    <sheetView showGridLines="0" zoomScale="70" zoomScaleNormal="70" workbookViewId="0">
      <selection activeCell="D43" sqref="D43"/>
    </sheetView>
  </sheetViews>
  <sheetFormatPr defaultColWidth="9.140625" defaultRowHeight="15" x14ac:dyDescent="0.25"/>
  <cols>
    <col min="1" max="1" width="14.42578125" style="437" customWidth="1"/>
    <col min="2" max="2" width="33.7109375" style="437" customWidth="1"/>
    <col min="3" max="3" width="19.5703125" style="437" bestFit="1" customWidth="1"/>
    <col min="4" max="5" width="16.7109375" style="437" bestFit="1" customWidth="1"/>
    <col min="6" max="6" width="53.5703125" style="437" customWidth="1"/>
    <col min="7" max="7" width="16.42578125" style="437" customWidth="1"/>
    <col min="8" max="8" width="13.7109375" style="437" bestFit="1" customWidth="1"/>
    <col min="9" max="9" width="11.85546875" style="437" bestFit="1" customWidth="1"/>
    <col min="10" max="10" width="11.5703125" style="437" bestFit="1" customWidth="1"/>
    <col min="11" max="11" width="13.5703125" style="437" customWidth="1"/>
    <col min="12" max="12" width="11.85546875" style="437" bestFit="1" customWidth="1"/>
    <col min="13" max="13" width="14.42578125" style="437" customWidth="1"/>
    <col min="14" max="14" width="11.7109375" style="437" customWidth="1"/>
    <col min="15" max="16" width="12.42578125" style="437" bestFit="1" customWidth="1"/>
    <col min="17" max="17" width="16.5703125" style="437" customWidth="1"/>
    <col min="18" max="38" width="13.28515625" style="437" bestFit="1" customWidth="1"/>
    <col min="39" max="46" width="12.7109375" style="437" bestFit="1" customWidth="1"/>
    <col min="47" max="54" width="12" style="437" bestFit="1" customWidth="1"/>
    <col min="55" max="16384" width="9.140625" style="437"/>
  </cols>
  <sheetData>
    <row r="2" spans="2:54" ht="31.5" x14ac:dyDescent="0.5">
      <c r="B2" s="499" t="s">
        <v>976</v>
      </c>
      <c r="E2" s="500"/>
    </row>
    <row r="3" spans="2:54" x14ac:dyDescent="0.25">
      <c r="B3" s="440"/>
      <c r="C3" s="440"/>
      <c r="D3" s="440"/>
      <c r="E3" s="440"/>
      <c r="F3" s="440"/>
    </row>
    <row r="4" spans="2:54" x14ac:dyDescent="0.25">
      <c r="B4" s="452" t="str">
        <f>Parameters!E108</f>
        <v>Start investment</v>
      </c>
      <c r="C4" s="452">
        <f>Parameters!G108</f>
        <v>2031</v>
      </c>
      <c r="E4" s="452"/>
      <c r="F4" s="452"/>
    </row>
    <row r="5" spans="2:54" x14ac:dyDescent="0.25">
      <c r="B5" s="452" t="str">
        <f>Parameters!E109</f>
        <v>Start operations</v>
      </c>
      <c r="C5" s="452">
        <f>Parameters!G109</f>
        <v>2033</v>
      </c>
      <c r="E5" s="452"/>
      <c r="F5" s="452"/>
    </row>
    <row r="6" spans="2:54" x14ac:dyDescent="0.25">
      <c r="B6" s="452" t="str">
        <f>Parameters!E110</f>
        <v>Stop operation</v>
      </c>
      <c r="C6" s="452">
        <f>Parameters!G110</f>
        <v>2048</v>
      </c>
      <c r="E6" s="452"/>
      <c r="F6" s="452"/>
    </row>
    <row r="7" spans="2:54" x14ac:dyDescent="0.25">
      <c r="B7" s="452"/>
      <c r="C7" s="452"/>
      <c r="D7" s="452"/>
      <c r="E7" s="452"/>
      <c r="F7" s="452"/>
    </row>
    <row r="8" spans="2:54" ht="15.75" x14ac:dyDescent="0.25">
      <c r="B8" s="501" t="str">
        <f>"CCS Scenario: "&amp;Parameters!$D$6</f>
        <v>CCS Scenario: P15 Scenario 1</v>
      </c>
      <c r="C8" s="501"/>
      <c r="D8" s="502"/>
      <c r="E8" s="503" t="s">
        <v>977</v>
      </c>
      <c r="F8" s="502"/>
      <c r="G8" s="504">
        <f>Parameters!G10</f>
        <v>2018</v>
      </c>
      <c r="H8" s="446">
        <f>G8+1</f>
        <v>2019</v>
      </c>
      <c r="I8" s="446">
        <f t="shared" ref="I8:U8" si="0">H8+1</f>
        <v>2020</v>
      </c>
      <c r="J8" s="446">
        <f t="shared" si="0"/>
        <v>2021</v>
      </c>
      <c r="K8" s="446">
        <f t="shared" si="0"/>
        <v>2022</v>
      </c>
      <c r="L8" s="446">
        <f t="shared" si="0"/>
        <v>2023</v>
      </c>
      <c r="M8" s="446">
        <f t="shared" si="0"/>
        <v>2024</v>
      </c>
      <c r="N8" s="446">
        <f t="shared" si="0"/>
        <v>2025</v>
      </c>
      <c r="O8" s="446">
        <f t="shared" si="0"/>
        <v>2026</v>
      </c>
      <c r="P8" s="446">
        <f t="shared" si="0"/>
        <v>2027</v>
      </c>
      <c r="Q8" s="446">
        <f t="shared" si="0"/>
        <v>2028</v>
      </c>
      <c r="R8" s="446">
        <f t="shared" si="0"/>
        <v>2029</v>
      </c>
      <c r="S8" s="446">
        <f t="shared" si="0"/>
        <v>2030</v>
      </c>
      <c r="T8" s="446">
        <f t="shared" si="0"/>
        <v>2031</v>
      </c>
      <c r="U8" s="446">
        <f t="shared" si="0"/>
        <v>2032</v>
      </c>
      <c r="V8" s="446">
        <f>U8+1</f>
        <v>2033</v>
      </c>
      <c r="W8" s="446">
        <f t="shared" ref="W8:AU8" si="1">V8+1</f>
        <v>2034</v>
      </c>
      <c r="X8" s="446">
        <f t="shared" si="1"/>
        <v>2035</v>
      </c>
      <c r="Y8" s="446">
        <f t="shared" si="1"/>
        <v>2036</v>
      </c>
      <c r="Z8" s="446">
        <f t="shared" si="1"/>
        <v>2037</v>
      </c>
      <c r="AA8" s="446">
        <f t="shared" si="1"/>
        <v>2038</v>
      </c>
      <c r="AB8" s="446">
        <f t="shared" si="1"/>
        <v>2039</v>
      </c>
      <c r="AC8" s="446">
        <f t="shared" si="1"/>
        <v>2040</v>
      </c>
      <c r="AD8" s="446">
        <f t="shared" si="1"/>
        <v>2041</v>
      </c>
      <c r="AE8" s="446">
        <f t="shared" si="1"/>
        <v>2042</v>
      </c>
      <c r="AF8" s="446">
        <f t="shared" si="1"/>
        <v>2043</v>
      </c>
      <c r="AG8" s="446">
        <f t="shared" si="1"/>
        <v>2044</v>
      </c>
      <c r="AH8" s="446">
        <f t="shared" si="1"/>
        <v>2045</v>
      </c>
      <c r="AI8" s="446">
        <f t="shared" si="1"/>
        <v>2046</v>
      </c>
      <c r="AJ8" s="446">
        <f t="shared" si="1"/>
        <v>2047</v>
      </c>
      <c r="AK8" s="446">
        <f t="shared" si="1"/>
        <v>2048</v>
      </c>
      <c r="AL8" s="446">
        <f t="shared" si="1"/>
        <v>2049</v>
      </c>
      <c r="AM8" s="446">
        <f t="shared" si="1"/>
        <v>2050</v>
      </c>
      <c r="AN8" s="446">
        <f t="shared" si="1"/>
        <v>2051</v>
      </c>
      <c r="AO8" s="446">
        <f t="shared" si="1"/>
        <v>2052</v>
      </c>
      <c r="AP8" s="446">
        <f t="shared" si="1"/>
        <v>2053</v>
      </c>
      <c r="AQ8" s="446">
        <f t="shared" si="1"/>
        <v>2054</v>
      </c>
      <c r="AR8" s="446">
        <f t="shared" si="1"/>
        <v>2055</v>
      </c>
      <c r="AS8" s="446">
        <f t="shared" si="1"/>
        <v>2056</v>
      </c>
      <c r="AT8" s="446">
        <f t="shared" si="1"/>
        <v>2057</v>
      </c>
      <c r="AU8" s="446">
        <f t="shared" si="1"/>
        <v>2058</v>
      </c>
      <c r="AV8" s="446">
        <f t="shared" ref="AV8" si="2">AU8+1</f>
        <v>2059</v>
      </c>
      <c r="AW8" s="446">
        <f t="shared" ref="AW8" si="3">AV8+1</f>
        <v>2060</v>
      </c>
      <c r="AX8" s="446">
        <f t="shared" ref="AX8" si="4">AW8+1</f>
        <v>2061</v>
      </c>
      <c r="AY8" s="446">
        <f t="shared" ref="AY8" si="5">AX8+1</f>
        <v>2062</v>
      </c>
      <c r="AZ8" s="446">
        <f t="shared" ref="AZ8" si="6">AY8+1</f>
        <v>2063</v>
      </c>
      <c r="BA8" s="446">
        <f t="shared" ref="BA8" si="7">AZ8+1</f>
        <v>2064</v>
      </c>
      <c r="BB8" s="446">
        <f t="shared" ref="BB8" si="8">BA8+1</f>
        <v>2065</v>
      </c>
    </row>
    <row r="9" spans="2:54" x14ac:dyDescent="0.25">
      <c r="B9" s="309" t="s">
        <v>978</v>
      </c>
      <c r="C9" s="309" t="s">
        <v>979</v>
      </c>
      <c r="D9" s="505">
        <f>SUM(G9:BB9)</f>
        <v>253397.45702293498</v>
      </c>
      <c r="E9" s="505">
        <f>G9+NPV($C$48,H9:BB9)</f>
        <v>68329.549208789569</v>
      </c>
      <c r="F9" s="309"/>
      <c r="G9" s="506">
        <f>SUM(G10:G22)</f>
        <v>0</v>
      </c>
      <c r="H9" s="506">
        <f t="shared" ref="H9:AU9" si="9">SUM(H10:H22)</f>
        <v>0</v>
      </c>
      <c r="I9" s="506">
        <f t="shared" si="9"/>
        <v>0</v>
      </c>
      <c r="J9" s="506">
        <f t="shared" si="9"/>
        <v>0</v>
      </c>
      <c r="K9" s="506">
        <f t="shared" si="9"/>
        <v>0</v>
      </c>
      <c r="L9" s="506">
        <f t="shared" si="9"/>
        <v>0</v>
      </c>
      <c r="M9" s="506">
        <f t="shared" si="9"/>
        <v>0</v>
      </c>
      <c r="N9" s="506">
        <f t="shared" si="9"/>
        <v>0</v>
      </c>
      <c r="O9" s="506">
        <f t="shared" si="9"/>
        <v>0</v>
      </c>
      <c r="P9" s="506">
        <f t="shared" si="9"/>
        <v>0</v>
      </c>
      <c r="Q9" s="506">
        <f t="shared" si="9"/>
        <v>0</v>
      </c>
      <c r="R9" s="506">
        <f t="shared" si="9"/>
        <v>0</v>
      </c>
      <c r="S9" s="506">
        <f t="shared" si="9"/>
        <v>0</v>
      </c>
      <c r="T9" s="506">
        <f t="shared" si="9"/>
        <v>231574.59988007782</v>
      </c>
      <c r="U9" s="506">
        <f t="shared" si="9"/>
        <v>0</v>
      </c>
      <c r="V9" s="506">
        <f t="shared" si="9"/>
        <v>0</v>
      </c>
      <c r="W9" s="506">
        <f t="shared" si="9"/>
        <v>0</v>
      </c>
      <c r="X9" s="506">
        <f t="shared" si="9"/>
        <v>0</v>
      </c>
      <c r="Y9" s="506">
        <f t="shared" si="9"/>
        <v>0</v>
      </c>
      <c r="Z9" s="506">
        <f t="shared" si="9"/>
        <v>0</v>
      </c>
      <c r="AA9" s="506">
        <f t="shared" si="9"/>
        <v>0</v>
      </c>
      <c r="AB9" s="506">
        <f t="shared" si="9"/>
        <v>0</v>
      </c>
      <c r="AC9" s="506">
        <f t="shared" si="9"/>
        <v>0</v>
      </c>
      <c r="AD9" s="506">
        <f t="shared" si="9"/>
        <v>0</v>
      </c>
      <c r="AE9" s="506">
        <f t="shared" si="9"/>
        <v>0</v>
      </c>
      <c r="AF9" s="506">
        <f t="shared" si="9"/>
        <v>0</v>
      </c>
      <c r="AG9" s="506">
        <f t="shared" si="9"/>
        <v>0</v>
      </c>
      <c r="AH9" s="506">
        <f t="shared" si="9"/>
        <v>0</v>
      </c>
      <c r="AI9" s="506">
        <f t="shared" si="9"/>
        <v>0</v>
      </c>
      <c r="AJ9" s="506">
        <f t="shared" si="9"/>
        <v>0</v>
      </c>
      <c r="AK9" s="506">
        <f t="shared" si="9"/>
        <v>21822.857142857145</v>
      </c>
      <c r="AL9" s="506">
        <f t="shared" si="9"/>
        <v>0</v>
      </c>
      <c r="AM9" s="506">
        <f t="shared" si="9"/>
        <v>0</v>
      </c>
      <c r="AN9" s="506">
        <f t="shared" si="9"/>
        <v>0</v>
      </c>
      <c r="AO9" s="506">
        <f t="shared" si="9"/>
        <v>0</v>
      </c>
      <c r="AP9" s="506">
        <f t="shared" si="9"/>
        <v>0</v>
      </c>
      <c r="AQ9" s="506">
        <f t="shared" si="9"/>
        <v>0</v>
      </c>
      <c r="AR9" s="506">
        <f t="shared" si="9"/>
        <v>0</v>
      </c>
      <c r="AS9" s="506">
        <f t="shared" si="9"/>
        <v>0</v>
      </c>
      <c r="AT9" s="506">
        <f t="shared" si="9"/>
        <v>0</v>
      </c>
      <c r="AU9" s="506">
        <f t="shared" si="9"/>
        <v>0</v>
      </c>
      <c r="AV9" s="506">
        <f t="shared" ref="AV9:BB9" si="10">SUM(AV10:AV22)</f>
        <v>0</v>
      </c>
      <c r="AW9" s="506">
        <f t="shared" si="10"/>
        <v>0</v>
      </c>
      <c r="AX9" s="506">
        <f t="shared" si="10"/>
        <v>0</v>
      </c>
      <c r="AY9" s="506">
        <f t="shared" si="10"/>
        <v>0</v>
      </c>
      <c r="AZ9" s="506">
        <f t="shared" si="10"/>
        <v>0</v>
      </c>
      <c r="BA9" s="506">
        <f t="shared" si="10"/>
        <v>0</v>
      </c>
      <c r="BB9" s="506">
        <f t="shared" si="10"/>
        <v>0</v>
      </c>
    </row>
    <row r="10" spans="2:54" x14ac:dyDescent="0.25">
      <c r="B10" s="740" t="str">
        <f>Parameters!E139</f>
        <v>Capex compressor &amp; pump onshore</v>
      </c>
      <c r="C10" s="508" t="s">
        <v>979</v>
      </c>
      <c r="D10" s="509">
        <f>SUM(G10:BB10)</f>
        <v>67643.575459610132</v>
      </c>
      <c r="E10" s="509">
        <f>G10+NPV($C$48,H10:BB10)</f>
        <v>19593.934328679796</v>
      </c>
      <c r="F10" s="507"/>
      <c r="G10" s="510">
        <f>IF(G$8=$C$4,VLOOKUP($B10,Parameters!$E$108:$G$501,3,FALSE),0)*(1+Parameters!$G$13)^(G$8-$G$8)/1000</f>
        <v>0</v>
      </c>
      <c r="H10" s="510">
        <f>IF(H$8=$C$4,VLOOKUP($B10,Parameters!$E$108:$G$501,3,FALSE),0)*(1+Parameters!$G$13)^(H$8-$G$8)/1000</f>
        <v>0</v>
      </c>
      <c r="I10" s="510">
        <f>IF(I$8=$C$4,VLOOKUP($B10,Parameters!$E$108:$G$501,3,FALSE),0)*(1+Parameters!$G$13)^(I$8-$G$8)/1000</f>
        <v>0</v>
      </c>
      <c r="J10" s="510">
        <f>IF(J$8=$C$4,VLOOKUP($B10,Parameters!$E$108:$G$501,3,FALSE),0)*(1+Parameters!$G$13)^(J$8-$G$8)/1000</f>
        <v>0</v>
      </c>
      <c r="K10" s="510">
        <f>IF(K$8=$C$4,VLOOKUP($B10,Parameters!$E$108:$G$501,3,FALSE),0)*(1+Parameters!$G$13)^(K$8-$G$8)/1000</f>
        <v>0</v>
      </c>
      <c r="L10" s="510">
        <f>IF(L$8=$C$4,VLOOKUP($B10,Parameters!$E$108:$G$501,3,FALSE),0)*(1+Parameters!$G$13)^(L$8-$G$8)/1000</f>
        <v>0</v>
      </c>
      <c r="M10" s="510">
        <f>IF(M$8=$C$4,VLOOKUP($B10,Parameters!$E$108:$G$501,3,FALSE),0)*(1+Parameters!$G$13)^(M$8-$G$8)/1000</f>
        <v>0</v>
      </c>
      <c r="N10" s="510">
        <f>IF(N$8=$C$4,VLOOKUP($B10,Parameters!$E$108:$G$501,3,FALSE),0)*(1+Parameters!$G$13)^(N$8-$G$8)/1000</f>
        <v>0</v>
      </c>
      <c r="O10" s="510">
        <f>IF(O$8=$C$4,VLOOKUP($B10,Parameters!$E$108:$G$501,3,FALSE),0)*(1+Parameters!$G$13)^(O$8-$G$8)/1000</f>
        <v>0</v>
      </c>
      <c r="P10" s="510">
        <f>IF(P$8=$C$4,VLOOKUP($B10,Parameters!$E$108:$G$501,3,FALSE),0)*(1+Parameters!$G$13)^(P$8-$G$8)/1000</f>
        <v>0</v>
      </c>
      <c r="Q10" s="510">
        <f>IF(Q$8=$C$4,VLOOKUP($B10,Parameters!$E$108:$G$501,3,FALSE),0)*(1+Parameters!$G$13)^(Q$8-$G$8)/1000</f>
        <v>0</v>
      </c>
      <c r="R10" s="510">
        <f>IF(R$8=$C$4,VLOOKUP($B10,Parameters!$E$108:$G$501,3,FALSE),0)*(1+Parameters!$G$13)^(R$8-$G$8)/1000</f>
        <v>0</v>
      </c>
      <c r="S10" s="510">
        <f>IF(S$8=$C$4,VLOOKUP($B10,Parameters!$E$108:$G$501,3,FALSE),0)*(1+Parameters!$G$13)^(S$8-$G$8)/1000</f>
        <v>0</v>
      </c>
      <c r="T10" s="510">
        <f>IF(T$8=$C$4,VLOOKUP($B10,Parameters!$E$108:$G$501,3,FALSE),0)*(1+Parameters!$G$13)^(T$8-$G$8)/1000</f>
        <v>67643.575459610132</v>
      </c>
      <c r="U10" s="510">
        <f>IF(U$8=$C$4,VLOOKUP($B10,Parameters!$E$108:$G$501,3,FALSE),0)*(1+Parameters!$G$13)^(U$8-$G$8)/1000</f>
        <v>0</v>
      </c>
      <c r="V10" s="510">
        <f>IF(V$8=$C$4,VLOOKUP($B10,Parameters!$E$108:$G$501,3,FALSE),0)*(1+Parameters!$G$13)^(V$8-$G$8)/1000</f>
        <v>0</v>
      </c>
      <c r="W10" s="510">
        <f>IF(W$8=$C$4,VLOOKUP($B10,Parameters!$E$108:$G$501,3,FALSE),0)*(1+Parameters!$G$13)^(W$8-$G$8)/1000</f>
        <v>0</v>
      </c>
      <c r="X10" s="510">
        <f>IF(X$8=$C$4,VLOOKUP($B10,Parameters!$E$108:$G$501,3,FALSE),0)*(1+Parameters!$G$13)^(X$8-$G$8)/1000</f>
        <v>0</v>
      </c>
      <c r="Y10" s="510">
        <f>IF(Y$8=$C$4,VLOOKUP($B10,Parameters!$E$108:$G$501,3,FALSE),0)*(1+Parameters!$G$13)^(Y$8-$G$8)/1000</f>
        <v>0</v>
      </c>
      <c r="Z10" s="510">
        <f>IF(Z$8=$C$4,VLOOKUP($B10,Parameters!$E$108:$G$501,3,FALSE),0)*(1+Parameters!$G$13)^(Z$8-$G$8)/1000</f>
        <v>0</v>
      </c>
      <c r="AA10" s="510">
        <f>IF(AA$8=$C$4,VLOOKUP($B10,Parameters!$E$108:$G$501,3,FALSE),0)*(1+Parameters!$G$13)^(AA$8-$G$8)/1000</f>
        <v>0</v>
      </c>
      <c r="AB10" s="510">
        <f>IF(AB$8=$C$4,VLOOKUP($B10,Parameters!$E$108:$G$501,3,FALSE),0)*(1+Parameters!$G$13)^(AB$8-$G$8)/1000</f>
        <v>0</v>
      </c>
      <c r="AC10" s="510">
        <f>IF(AC$8=$C$4,VLOOKUP($B10,Parameters!$E$108:$G$501,3,FALSE),0)*(1+Parameters!$G$13)^(AC$8-$G$8)/1000</f>
        <v>0</v>
      </c>
      <c r="AD10" s="510">
        <f>IF(AD$8=$C$4,VLOOKUP($B10,Parameters!$E$108:$G$501,3,FALSE),0)*(1+Parameters!$G$13)^(AD$8-$G$8)/1000</f>
        <v>0</v>
      </c>
      <c r="AE10" s="510">
        <f>IF(AE$8=$C$4,VLOOKUP($B10,Parameters!$E$108:$G$501,3,FALSE),0)*(1+Parameters!$G$13)^(AE$8-$G$8)/1000</f>
        <v>0</v>
      </c>
      <c r="AF10" s="510">
        <f>IF(AF$8=$C$4,VLOOKUP($B10,Parameters!$E$108:$G$501,3,FALSE),0)*(1+Parameters!$G$13)^(AF$8-$G$8)/1000</f>
        <v>0</v>
      </c>
      <c r="AG10" s="510">
        <f>IF(AG$8=$C$4,VLOOKUP($B10,Parameters!$E$108:$G$501,3,FALSE),0)*(1+Parameters!$G$13)^(AG$8-$G$8)/1000</f>
        <v>0</v>
      </c>
      <c r="AH10" s="510">
        <f>IF(AH$8=$C$4,VLOOKUP($B10,Parameters!$E$108:$G$501,3,FALSE),0)*(1+Parameters!$G$13)^(AH$8-$G$8)/1000</f>
        <v>0</v>
      </c>
      <c r="AI10" s="510">
        <f>IF(AI$8=$C$4,VLOOKUP($B10,Parameters!$E$108:$G$501,3,FALSE),0)*(1+Parameters!$G$13)^(AI$8-$G$8)/1000</f>
        <v>0</v>
      </c>
      <c r="AJ10" s="510">
        <f>IF(AJ$8=$C$4,VLOOKUP($B10,Parameters!$E$108:$G$501,3,FALSE),0)*(1+Parameters!$G$13)^(AJ$8-$G$8)/1000</f>
        <v>0</v>
      </c>
      <c r="AK10" s="510">
        <f>IF(AK$8=$C$4,VLOOKUP($B10,Parameters!$E$108:$G$501,3,FALSE),0)*(1+Parameters!$G$13)^(AK$8-$G$8)/1000</f>
        <v>0</v>
      </c>
      <c r="AL10" s="510">
        <f>IF(AL$8=$C$4,VLOOKUP($B10,Parameters!$E$108:$G$501,3,FALSE),0)*(1+Parameters!$G$13)^(AL$8-$G$8)/1000</f>
        <v>0</v>
      </c>
      <c r="AM10" s="510">
        <f>IF(AM$8=$C$4,VLOOKUP($B10,Parameters!$E$108:$G$501,3,FALSE),0)*(1+Parameters!$G$13)^(AM$8-$G$8)/1000</f>
        <v>0</v>
      </c>
      <c r="AN10" s="510">
        <f>IF(AN$8=$C$4,VLOOKUP($B10,Parameters!$E$108:$G$501,3,FALSE),0)*(1+Parameters!$G$13)^(AN$8-$G$8)/1000</f>
        <v>0</v>
      </c>
      <c r="AO10" s="510">
        <f>IF(AO$8=$C$4,VLOOKUP($B10,Parameters!$E$108:$G$501,3,FALSE),0)*(1+Parameters!$G$13)^(AO$8-$G$8)/1000</f>
        <v>0</v>
      </c>
      <c r="AP10" s="510">
        <f>IF(AP$8=$C$4,VLOOKUP($B10,Parameters!$E$108:$G$501,3,FALSE),0)*(1+Parameters!$G$13)^(AP$8-$G$8)/1000</f>
        <v>0</v>
      </c>
      <c r="AQ10" s="510">
        <f>IF(AQ$8=$C$4,VLOOKUP($B10,Parameters!$E$108:$G$501,3,FALSE),0)*(1+Parameters!$G$13)^(AQ$8-$G$8)/1000</f>
        <v>0</v>
      </c>
      <c r="AR10" s="510">
        <f>IF(AR$8=$C$4,VLOOKUP($B10,Parameters!$E$108:$G$501,3,FALSE),0)*(1+Parameters!$G$13)^(AR$8-$G$8)/1000</f>
        <v>0</v>
      </c>
      <c r="AS10" s="510">
        <f>IF(AS$8=$C$4,VLOOKUP($B10,Parameters!$E$108:$G$501,3,FALSE),0)*(1+Parameters!$G$13)^(AS$8-$G$8)/1000</f>
        <v>0</v>
      </c>
      <c r="AT10" s="510">
        <f>IF(AT$8=$C$4,VLOOKUP($B10,Parameters!$E$108:$G$501,3,FALSE),0)*(1+Parameters!$G$13)^(AT$8-$G$8)/1000</f>
        <v>0</v>
      </c>
      <c r="AU10" s="510">
        <f>IF(AU$8=$C$4,VLOOKUP($B10,Parameters!$E$108:$G$501,3,FALSE),0)*(1+Parameters!$G$13)^(AU$8-$G$8)/1000</f>
        <v>0</v>
      </c>
      <c r="AV10" s="510">
        <f>IF(AV$8=$C$4,VLOOKUP($B10,Parameters!$E$108:$G$501,3,FALSE),0)*(1+Parameters!$G$13)^(AV$8-$G$8)/1000</f>
        <v>0</v>
      </c>
      <c r="AW10" s="510">
        <f>IF(AW$8=$C$4,VLOOKUP($B10,Parameters!$E$108:$G$501,3,FALSE),0)*(1+Parameters!$G$13)^(AW$8-$G$8)/1000</f>
        <v>0</v>
      </c>
      <c r="AX10" s="510">
        <f>IF(AX$8=$C$4,VLOOKUP($B10,Parameters!$E$108:$G$501,3,FALSE),0)*(1+Parameters!$G$13)^(AX$8-$G$8)/1000</f>
        <v>0</v>
      </c>
      <c r="AY10" s="510">
        <f>IF(AY$8=$C$4,VLOOKUP($B10,Parameters!$E$108:$G$501,3,FALSE),0)*(1+Parameters!$G$13)^(AY$8-$G$8)/1000</f>
        <v>0</v>
      </c>
      <c r="AZ10" s="510">
        <f>IF(AZ$8=$C$4,VLOOKUP($B10,Parameters!$E$108:$G$501,3,FALSE),0)*(1+Parameters!$G$13)^(AZ$8-$G$8)/1000</f>
        <v>0</v>
      </c>
      <c r="BA10" s="510">
        <f>IF(BA$8=$C$4,VLOOKUP($B10,Parameters!$E$108:$G$501,3,FALSE),0)*(1+Parameters!$G$13)^(BA$8-$G$8)/1000</f>
        <v>0</v>
      </c>
      <c r="BB10" s="510">
        <f>IF(BB$8=$C$4,VLOOKUP($B10,Parameters!$E$108:$G$501,3,FALSE),0)*(1+Parameters!$G$13)^(BB$8-$G$8)/1000</f>
        <v>0</v>
      </c>
    </row>
    <row r="11" spans="2:54" x14ac:dyDescent="0.25">
      <c r="B11" s="478" t="str">
        <f>Parameters!E175</f>
        <v>Capex pipeline</v>
      </c>
      <c r="C11" s="511" t="s">
        <v>979</v>
      </c>
      <c r="D11" s="512">
        <f t="shared" ref="D11:D21" si="11">SUM(G11:BB11)</f>
        <v>44631.746278617604</v>
      </c>
      <c r="E11" s="512">
        <f t="shared" ref="E11:E21" si="12">G11+NPV($C$48,H11:BB11)</f>
        <v>12928.227102360986</v>
      </c>
      <c r="F11" s="478"/>
      <c r="G11" s="527">
        <f>IF(G$8=$C$4,VLOOKUP($B11,Parameters!$E$108:$G$501,3,FALSE),0)*(1+Parameters!$G$13)^(G$8-$G$8)/1000</f>
        <v>0</v>
      </c>
      <c r="H11" s="527">
        <f>IF(H$8=$C$4,VLOOKUP($B11,Parameters!$E$108:$G$501,3,FALSE),0)*(1+Parameters!$G$13)^(H$8-$G$8)/1000</f>
        <v>0</v>
      </c>
      <c r="I11" s="527">
        <f>IF(I$8=$C$4,VLOOKUP($B11,Parameters!$E$108:$G$501,3,FALSE),0)*(1+Parameters!$G$13)^(I$8-$G$8)/1000</f>
        <v>0</v>
      </c>
      <c r="J11" s="527">
        <f>IF(J$8=$C$4,VLOOKUP($B11,Parameters!$E$108:$G$501,3,FALSE),0)*(1+Parameters!$G$13)^(J$8-$G$8)/1000</f>
        <v>0</v>
      </c>
      <c r="K11" s="527">
        <f>IF(K$8=$C$4,VLOOKUP($B11,Parameters!$E$108:$G$501,3,FALSE),0)*(1+Parameters!$G$13)^(K$8-$G$8)/1000</f>
        <v>0</v>
      </c>
      <c r="L11" s="527">
        <f>IF(L$8=$C$4,VLOOKUP($B11,Parameters!$E$108:$G$501,3,FALSE),0)*(1+Parameters!$G$13)^(L$8-$G$8)/1000</f>
        <v>0</v>
      </c>
      <c r="M11" s="527">
        <f>IF(M$8=$C$4,VLOOKUP($B11,Parameters!$E$108:$G$501,3,FALSE),0)*(1+Parameters!$G$13)^(M$8-$G$8)/1000</f>
        <v>0</v>
      </c>
      <c r="N11" s="527">
        <f>IF(N$8=$C$4,VLOOKUP($B11,Parameters!$E$108:$G$501,3,FALSE),0)*(1+Parameters!$G$13)^(N$8-$G$8)/1000</f>
        <v>0</v>
      </c>
      <c r="O11" s="527">
        <f>IF(O$8=$C$4,VLOOKUP($B11,Parameters!$E$108:$G$501,3,FALSE),0)*(1+Parameters!$G$13)^(O$8-$G$8)/1000</f>
        <v>0</v>
      </c>
      <c r="P11" s="527">
        <f>IF(P$8=$C$4,VLOOKUP($B11,Parameters!$E$108:$G$501,3,FALSE),0)*(1+Parameters!$G$13)^(P$8-$G$8)/1000</f>
        <v>0</v>
      </c>
      <c r="Q11" s="527">
        <f>IF(Q$8=$C$4,VLOOKUP($B11,Parameters!$E$108:$G$501,3,FALSE),0)*(1+Parameters!$G$13)^(Q$8-$G$8)/1000</f>
        <v>0</v>
      </c>
      <c r="R11" s="527">
        <f>IF(R$8=$C$4,VLOOKUP($B11,Parameters!$E$108:$G$501,3,FALSE),0)*(1+Parameters!$G$13)^(R$8-$G$8)/1000</f>
        <v>0</v>
      </c>
      <c r="S11" s="527">
        <f>IF(S$8=$C$4,VLOOKUP($B11,Parameters!$E$108:$G$501,3,FALSE),0)*(1+Parameters!$G$13)^(S$8-$G$8)/1000</f>
        <v>0</v>
      </c>
      <c r="T11" s="527">
        <f>IF(T$8=$C$4,VLOOKUP($B11,Parameters!$E$108:$G$501,3,FALSE),0)*(1+Parameters!$G$13)^(T$8-$G$8)/1000</f>
        <v>44631.746278617604</v>
      </c>
      <c r="U11" s="527">
        <f>IF(U$8=$C$4,VLOOKUP($B11,Parameters!$E$108:$G$501,3,FALSE),0)*(1+Parameters!$G$13)^(U$8-$G$8)/1000</f>
        <v>0</v>
      </c>
      <c r="V11" s="527">
        <f>IF(V$8=$C$4,VLOOKUP($B11,Parameters!$E$108:$G$501,3,FALSE),0)*(1+Parameters!$G$13)^(V$8-$G$8)/1000</f>
        <v>0</v>
      </c>
      <c r="W11" s="527">
        <f>IF(W$8=$C$4,VLOOKUP($B11,Parameters!$E$108:$G$501,3,FALSE),0)*(1+Parameters!$G$13)^(W$8-$G$8)/1000</f>
        <v>0</v>
      </c>
      <c r="X11" s="527">
        <f>IF(X$8=$C$4,VLOOKUP($B11,Parameters!$E$108:$G$501,3,FALSE),0)*(1+Parameters!$G$13)^(X$8-$G$8)/1000</f>
        <v>0</v>
      </c>
      <c r="Y11" s="527">
        <f>IF(Y$8=$C$4,VLOOKUP($B11,Parameters!$E$108:$G$501,3,FALSE),0)*(1+Parameters!$G$13)^(Y$8-$G$8)/1000</f>
        <v>0</v>
      </c>
      <c r="Z11" s="527">
        <f>IF(Z$8=$C$4,VLOOKUP($B11,Parameters!$E$108:$G$501,3,FALSE),0)*(1+Parameters!$G$13)^(Z$8-$G$8)/1000</f>
        <v>0</v>
      </c>
      <c r="AA11" s="527">
        <f>IF(AA$8=$C$4,VLOOKUP($B11,Parameters!$E$108:$G$501,3,FALSE),0)*(1+Parameters!$G$13)^(AA$8-$G$8)/1000</f>
        <v>0</v>
      </c>
      <c r="AB11" s="527">
        <f>IF(AB$8=$C$4,VLOOKUP($B11,Parameters!$E$108:$G$501,3,FALSE),0)*(1+Parameters!$G$13)^(AB$8-$G$8)/1000</f>
        <v>0</v>
      </c>
      <c r="AC11" s="527">
        <f>IF(AC$8=$C$4,VLOOKUP($B11,Parameters!$E$108:$G$501,3,FALSE),0)*(1+Parameters!$G$13)^(AC$8-$G$8)/1000</f>
        <v>0</v>
      </c>
      <c r="AD11" s="527">
        <f>IF(AD$8=$C$4,VLOOKUP($B11,Parameters!$E$108:$G$501,3,FALSE),0)*(1+Parameters!$G$13)^(AD$8-$G$8)/1000</f>
        <v>0</v>
      </c>
      <c r="AE11" s="527">
        <f>IF(AE$8=$C$4,VLOOKUP($B11,Parameters!$E$108:$G$501,3,FALSE),0)*(1+Parameters!$G$13)^(AE$8-$G$8)/1000</f>
        <v>0</v>
      </c>
      <c r="AF11" s="527">
        <f>IF(AF$8=$C$4,VLOOKUP($B11,Parameters!$E$108:$G$501,3,FALSE),0)*(1+Parameters!$G$13)^(AF$8-$G$8)/1000</f>
        <v>0</v>
      </c>
      <c r="AG11" s="527">
        <f>IF(AG$8=$C$4,VLOOKUP($B11,Parameters!$E$108:$G$501,3,FALSE),0)*(1+Parameters!$G$13)^(AG$8-$G$8)/1000</f>
        <v>0</v>
      </c>
      <c r="AH11" s="527">
        <f>IF(AH$8=$C$4,VLOOKUP($B11,Parameters!$E$108:$G$501,3,FALSE),0)*(1+Parameters!$G$13)^(AH$8-$G$8)/1000</f>
        <v>0</v>
      </c>
      <c r="AI11" s="527">
        <f>IF(AI$8=$C$4,VLOOKUP($B11,Parameters!$E$108:$G$501,3,FALSE),0)*(1+Parameters!$G$13)^(AI$8-$G$8)/1000</f>
        <v>0</v>
      </c>
      <c r="AJ11" s="527">
        <f>IF(AJ$8=$C$4,VLOOKUP($B11,Parameters!$E$108:$G$501,3,FALSE),0)*(1+Parameters!$G$13)^(AJ$8-$G$8)/1000</f>
        <v>0</v>
      </c>
      <c r="AK11" s="527">
        <f>IF(AK$8=$C$4,VLOOKUP($B11,Parameters!$E$108:$G$501,3,FALSE),0)*(1+Parameters!$G$13)^(AK$8-$G$8)/1000</f>
        <v>0</v>
      </c>
      <c r="AL11" s="527">
        <f>IF(AL$8=$C$4,VLOOKUP($B11,Parameters!$E$108:$G$501,3,FALSE),0)*(1+Parameters!$G$13)^(AL$8-$G$8)/1000</f>
        <v>0</v>
      </c>
      <c r="AM11" s="527">
        <f>IF(AM$8=$C$4,VLOOKUP($B11,Parameters!$E$108:$G$501,3,FALSE),0)*(1+Parameters!$G$13)^(AM$8-$G$8)/1000</f>
        <v>0</v>
      </c>
      <c r="AN11" s="527">
        <f>IF(AN$8=$C$4,VLOOKUP($B11,Parameters!$E$108:$G$501,3,FALSE),0)*(1+Parameters!$G$13)^(AN$8-$G$8)/1000</f>
        <v>0</v>
      </c>
      <c r="AO11" s="527">
        <f>IF(AO$8=$C$4,VLOOKUP($B11,Parameters!$E$108:$G$501,3,FALSE),0)*(1+Parameters!$G$13)^(AO$8-$G$8)/1000</f>
        <v>0</v>
      </c>
      <c r="AP11" s="527">
        <f>IF(AP$8=$C$4,VLOOKUP($B11,Parameters!$E$108:$G$501,3,FALSE),0)*(1+Parameters!$G$13)^(AP$8-$G$8)/1000</f>
        <v>0</v>
      </c>
      <c r="AQ11" s="527">
        <f>IF(AQ$8=$C$4,VLOOKUP($B11,Parameters!$E$108:$G$501,3,FALSE),0)*(1+Parameters!$G$13)^(AQ$8-$G$8)/1000</f>
        <v>0</v>
      </c>
      <c r="AR11" s="527">
        <f>IF(AR$8=$C$4,VLOOKUP($B11,Parameters!$E$108:$G$501,3,FALSE),0)*(1+Parameters!$G$13)^(AR$8-$G$8)/1000</f>
        <v>0</v>
      </c>
      <c r="AS11" s="527">
        <f>IF(AS$8=$C$4,VLOOKUP($B11,Parameters!$E$108:$G$501,3,FALSE),0)*(1+Parameters!$G$13)^(AS$8-$G$8)/1000</f>
        <v>0</v>
      </c>
      <c r="AT11" s="527">
        <f>IF(AT$8=$C$4,VLOOKUP($B11,Parameters!$E$108:$G$501,3,FALSE),0)*(1+Parameters!$G$13)^(AT$8-$G$8)/1000</f>
        <v>0</v>
      </c>
      <c r="AU11" s="527">
        <f>IF(AU$8=$C$4,VLOOKUP($B11,Parameters!$E$108:$G$501,3,FALSE),0)*(1+Parameters!$G$13)^(AU$8-$G$8)/1000</f>
        <v>0</v>
      </c>
      <c r="AV11" s="527">
        <f>IF(AV$8=$C$4,VLOOKUP($B11,Parameters!$E$108:$G$501,3,FALSE),0)*(1+Parameters!$G$13)^(AV$8-$G$8)/1000</f>
        <v>0</v>
      </c>
      <c r="AW11" s="527">
        <f>IF(AW$8=$C$4,VLOOKUP($B11,Parameters!$E$108:$G$501,3,FALSE),0)*(1+Parameters!$G$13)^(AW$8-$G$8)/1000</f>
        <v>0</v>
      </c>
      <c r="AX11" s="527">
        <f>IF(AX$8=$C$4,VLOOKUP($B11,Parameters!$E$108:$G$501,3,FALSE),0)*(1+Parameters!$G$13)^(AX$8-$G$8)/1000</f>
        <v>0</v>
      </c>
      <c r="AY11" s="527">
        <f>IF(AY$8=$C$4,VLOOKUP($B11,Parameters!$E$108:$G$501,3,FALSE),0)*(1+Parameters!$G$13)^(AY$8-$G$8)/1000</f>
        <v>0</v>
      </c>
      <c r="AZ11" s="527">
        <f>IF(AZ$8=$C$4,VLOOKUP($B11,Parameters!$E$108:$G$501,3,FALSE),0)*(1+Parameters!$G$13)^(AZ$8-$G$8)/1000</f>
        <v>0</v>
      </c>
      <c r="BA11" s="527">
        <f>IF(BA$8=$C$4,VLOOKUP($B11,Parameters!$E$108:$G$501,3,FALSE),0)*(1+Parameters!$G$13)^(BA$8-$G$8)/1000</f>
        <v>0</v>
      </c>
      <c r="BB11" s="527">
        <f>IF(BB$8=$C$4,VLOOKUP($B11,Parameters!$E$108:$G$501,3,FALSE),0)*(1+Parameters!$G$13)^(BB$8-$G$8)/1000</f>
        <v>0</v>
      </c>
    </row>
    <row r="12" spans="2:54" x14ac:dyDescent="0.25">
      <c r="B12" s="738" t="str">
        <f>Parameters!E177</f>
        <v>Capex crossings &amp; landing</v>
      </c>
      <c r="C12" s="511" t="s">
        <v>979</v>
      </c>
      <c r="D12" s="512">
        <f t="shared" si="11"/>
        <v>45276.232065882861</v>
      </c>
      <c r="E12" s="512">
        <f t="shared" si="12"/>
        <v>13114.911678178287</v>
      </c>
      <c r="F12" s="478"/>
      <c r="G12" s="527">
        <f>IF(G$8=$C$4,VLOOKUP($B12,Parameters!$E$108:$G$501,3,FALSE),0)*(1+Parameters!$G$13)^(G$8-$G$8)/1000</f>
        <v>0</v>
      </c>
      <c r="H12" s="527">
        <f>IF(H$8=$C$4,VLOOKUP($B12,Parameters!$E$108:$G$501,3,FALSE),0)*(1+Parameters!$G$13)^(H$8-$G$8)/1000</f>
        <v>0</v>
      </c>
      <c r="I12" s="527">
        <f>IF(I$8=$C$4,VLOOKUP($B12,Parameters!$E$108:$G$501,3,FALSE),0)*(1+Parameters!$G$13)^(I$8-$G$8)/1000</f>
        <v>0</v>
      </c>
      <c r="J12" s="527">
        <f>IF(J$8=$C$4,VLOOKUP($B12,Parameters!$E$108:$G$501,3,FALSE),0)*(1+Parameters!$G$13)^(J$8-$G$8)/1000</f>
        <v>0</v>
      </c>
      <c r="K12" s="527">
        <f>IF(K$8=$C$4,VLOOKUP($B12,Parameters!$E$108:$G$501,3,FALSE),0)*(1+Parameters!$G$13)^(K$8-$G$8)/1000</f>
        <v>0</v>
      </c>
      <c r="L12" s="527">
        <f>IF(L$8=$C$4,VLOOKUP($B12,Parameters!$E$108:$G$501,3,FALSE),0)*(1+Parameters!$G$13)^(L$8-$G$8)/1000</f>
        <v>0</v>
      </c>
      <c r="M12" s="527">
        <f>IF(M$8=$C$4,VLOOKUP($B12,Parameters!$E$108:$G$501,3,FALSE),0)*(1+Parameters!$G$13)^(M$8-$G$8)/1000</f>
        <v>0</v>
      </c>
      <c r="N12" s="527">
        <f>IF(N$8=$C$4,VLOOKUP($B12,Parameters!$E$108:$G$501,3,FALSE),0)*(1+Parameters!$G$13)^(N$8-$G$8)/1000</f>
        <v>0</v>
      </c>
      <c r="O12" s="527">
        <f>IF(O$8=$C$4,VLOOKUP($B12,Parameters!$E$108:$G$501,3,FALSE),0)*(1+Parameters!$G$13)^(O$8-$G$8)/1000</f>
        <v>0</v>
      </c>
      <c r="P12" s="527">
        <f>IF(P$8=$C$4,VLOOKUP($B12,Parameters!$E$108:$G$501,3,FALSE),0)*(1+Parameters!$G$13)^(P$8-$G$8)/1000</f>
        <v>0</v>
      </c>
      <c r="Q12" s="527">
        <f>IF(Q$8=$C$4,VLOOKUP($B12,Parameters!$E$108:$G$501,3,FALSE),0)*(1+Parameters!$G$13)^(Q$8-$G$8)/1000</f>
        <v>0</v>
      </c>
      <c r="R12" s="527">
        <f>IF(R$8=$C$4,VLOOKUP($B12,Parameters!$E$108:$G$501,3,FALSE),0)*(1+Parameters!$G$13)^(R$8-$G$8)/1000</f>
        <v>0</v>
      </c>
      <c r="S12" s="527">
        <f>IF(S$8=$C$4,VLOOKUP($B12,Parameters!$E$108:$G$501,3,FALSE),0)*(1+Parameters!$G$13)^(S$8-$G$8)/1000</f>
        <v>0</v>
      </c>
      <c r="T12" s="527">
        <f>IF(T$8=$C$4,VLOOKUP($B12,Parameters!$E$108:$G$501,3,FALSE),0)*(1+Parameters!$G$13)^(T$8-$G$8)/1000</f>
        <v>45276.232065882861</v>
      </c>
      <c r="U12" s="527">
        <f>IF(U$8=$C$4,VLOOKUP($B12,Parameters!$E$108:$G$501,3,FALSE),0)*(1+Parameters!$G$13)^(U$8-$G$8)/1000</f>
        <v>0</v>
      </c>
      <c r="V12" s="527">
        <f>IF(V$8=$C$4,VLOOKUP($B12,Parameters!$E$108:$G$501,3,FALSE),0)*(1+Parameters!$G$13)^(V$8-$G$8)/1000</f>
        <v>0</v>
      </c>
      <c r="W12" s="527">
        <f>IF(W$8=$C$4,VLOOKUP($B12,Parameters!$E$108:$G$501,3,FALSE),0)*(1+Parameters!$G$13)^(W$8-$G$8)/1000</f>
        <v>0</v>
      </c>
      <c r="X12" s="527">
        <f>IF(X$8=$C$4,VLOOKUP($B12,Parameters!$E$108:$G$501,3,FALSE),0)*(1+Parameters!$G$13)^(X$8-$G$8)/1000</f>
        <v>0</v>
      </c>
      <c r="Y12" s="527">
        <f>IF(Y$8=$C$4,VLOOKUP($B12,Parameters!$E$108:$G$501,3,FALSE),0)*(1+Parameters!$G$13)^(Y$8-$G$8)/1000</f>
        <v>0</v>
      </c>
      <c r="Z12" s="527">
        <f>IF(Z$8=$C$4,VLOOKUP($B12,Parameters!$E$108:$G$501,3,FALSE),0)*(1+Parameters!$G$13)^(Z$8-$G$8)/1000</f>
        <v>0</v>
      </c>
      <c r="AA12" s="527">
        <f>IF(AA$8=$C$4,VLOOKUP($B12,Parameters!$E$108:$G$501,3,FALSE),0)*(1+Parameters!$G$13)^(AA$8-$G$8)/1000</f>
        <v>0</v>
      </c>
      <c r="AB12" s="527">
        <f>IF(AB$8=$C$4,VLOOKUP($B12,Parameters!$E$108:$G$501,3,FALSE),0)*(1+Parameters!$G$13)^(AB$8-$G$8)/1000</f>
        <v>0</v>
      </c>
      <c r="AC12" s="527">
        <f>IF(AC$8=$C$4,VLOOKUP($B12,Parameters!$E$108:$G$501,3,FALSE),0)*(1+Parameters!$G$13)^(AC$8-$G$8)/1000</f>
        <v>0</v>
      </c>
      <c r="AD12" s="527">
        <f>IF(AD$8=$C$4,VLOOKUP($B12,Parameters!$E$108:$G$501,3,FALSE),0)*(1+Parameters!$G$13)^(AD$8-$G$8)/1000</f>
        <v>0</v>
      </c>
      <c r="AE12" s="527">
        <f>IF(AE$8=$C$4,VLOOKUP($B12,Parameters!$E$108:$G$501,3,FALSE),0)*(1+Parameters!$G$13)^(AE$8-$G$8)/1000</f>
        <v>0</v>
      </c>
      <c r="AF12" s="527">
        <f>IF(AF$8=$C$4,VLOOKUP($B12,Parameters!$E$108:$G$501,3,FALSE),0)*(1+Parameters!$G$13)^(AF$8-$G$8)/1000</f>
        <v>0</v>
      </c>
      <c r="AG12" s="527">
        <f>IF(AG$8=$C$4,VLOOKUP($B12,Parameters!$E$108:$G$501,3,FALSE),0)*(1+Parameters!$G$13)^(AG$8-$G$8)/1000</f>
        <v>0</v>
      </c>
      <c r="AH12" s="527">
        <f>IF(AH$8=$C$4,VLOOKUP($B12,Parameters!$E$108:$G$501,3,FALSE),0)*(1+Parameters!$G$13)^(AH$8-$G$8)/1000</f>
        <v>0</v>
      </c>
      <c r="AI12" s="527">
        <f>IF(AI$8=$C$4,VLOOKUP($B12,Parameters!$E$108:$G$501,3,FALSE),0)*(1+Parameters!$G$13)^(AI$8-$G$8)/1000</f>
        <v>0</v>
      </c>
      <c r="AJ12" s="527">
        <f>IF(AJ$8=$C$4,VLOOKUP($B12,Parameters!$E$108:$G$501,3,FALSE),0)*(1+Parameters!$G$13)^(AJ$8-$G$8)/1000</f>
        <v>0</v>
      </c>
      <c r="AK12" s="527">
        <f>IF(AK$8=$C$4,VLOOKUP($B12,Parameters!$E$108:$G$501,3,FALSE),0)*(1+Parameters!$G$13)^(AK$8-$G$8)/1000</f>
        <v>0</v>
      </c>
      <c r="AL12" s="527">
        <f>IF(AL$8=$C$4,VLOOKUP($B12,Parameters!$E$108:$G$501,3,FALSE),0)*(1+Parameters!$G$13)^(AL$8-$G$8)/1000</f>
        <v>0</v>
      </c>
      <c r="AM12" s="527">
        <f>IF(AM$8=$C$4,VLOOKUP($B12,Parameters!$E$108:$G$501,3,FALSE),0)*(1+Parameters!$G$13)^(AM$8-$G$8)/1000</f>
        <v>0</v>
      </c>
      <c r="AN12" s="527">
        <f>IF(AN$8=$C$4,VLOOKUP($B12,Parameters!$E$108:$G$501,3,FALSE),0)*(1+Parameters!$G$13)^(AN$8-$G$8)/1000</f>
        <v>0</v>
      </c>
      <c r="AO12" s="527">
        <f>IF(AO$8=$C$4,VLOOKUP($B12,Parameters!$E$108:$G$501,3,FALSE),0)*(1+Parameters!$G$13)^(AO$8-$G$8)/1000</f>
        <v>0</v>
      </c>
      <c r="AP12" s="527">
        <f>IF(AP$8=$C$4,VLOOKUP($B12,Parameters!$E$108:$G$501,3,FALSE),0)*(1+Parameters!$G$13)^(AP$8-$G$8)/1000</f>
        <v>0</v>
      </c>
      <c r="AQ12" s="527">
        <f>IF(AQ$8=$C$4,VLOOKUP($B12,Parameters!$E$108:$G$501,3,FALSE),0)*(1+Parameters!$G$13)^(AQ$8-$G$8)/1000</f>
        <v>0</v>
      </c>
      <c r="AR12" s="527">
        <f>IF(AR$8=$C$4,VLOOKUP($B12,Parameters!$E$108:$G$501,3,FALSE),0)*(1+Parameters!$G$13)^(AR$8-$G$8)/1000</f>
        <v>0</v>
      </c>
      <c r="AS12" s="527">
        <f>IF(AS$8=$C$4,VLOOKUP($B12,Parameters!$E$108:$G$501,3,FALSE),0)*(1+Parameters!$G$13)^(AS$8-$G$8)/1000</f>
        <v>0</v>
      </c>
      <c r="AT12" s="527">
        <f>IF(AT$8=$C$4,VLOOKUP($B12,Parameters!$E$108:$G$501,3,FALSE),0)*(1+Parameters!$G$13)^(AT$8-$G$8)/1000</f>
        <v>0</v>
      </c>
      <c r="AU12" s="527">
        <f>IF(AU$8=$C$4,VLOOKUP($B12,Parameters!$E$108:$G$501,3,FALSE),0)*(1+Parameters!$G$13)^(AU$8-$G$8)/1000</f>
        <v>0</v>
      </c>
      <c r="AV12" s="527">
        <f>IF(AV$8=$C$4,VLOOKUP($B12,Parameters!$E$108:$G$501,3,FALSE),0)*(1+Parameters!$G$13)^(AV$8-$G$8)/1000</f>
        <v>0</v>
      </c>
      <c r="AW12" s="527">
        <f>IF(AW$8=$C$4,VLOOKUP($B12,Parameters!$E$108:$G$501,3,FALSE),0)*(1+Parameters!$G$13)^(AW$8-$G$8)/1000</f>
        <v>0</v>
      </c>
      <c r="AX12" s="527">
        <f>IF(AX$8=$C$4,VLOOKUP($B12,Parameters!$E$108:$G$501,3,FALSE),0)*(1+Parameters!$G$13)^(AX$8-$G$8)/1000</f>
        <v>0</v>
      </c>
      <c r="AY12" s="527">
        <f>IF(AY$8=$C$4,VLOOKUP($B12,Parameters!$E$108:$G$501,3,FALSE),0)*(1+Parameters!$G$13)^(AY$8-$G$8)/1000</f>
        <v>0</v>
      </c>
      <c r="AZ12" s="527">
        <f>IF(AZ$8=$C$4,VLOOKUP($B12,Parameters!$E$108:$G$501,3,FALSE),0)*(1+Parameters!$G$13)^(AZ$8-$G$8)/1000</f>
        <v>0</v>
      </c>
      <c r="BA12" s="527">
        <f>IF(BA$8=$C$4,VLOOKUP($B12,Parameters!$E$108:$G$501,3,FALSE),0)*(1+Parameters!$G$13)^(BA$8-$G$8)/1000</f>
        <v>0</v>
      </c>
      <c r="BB12" s="527">
        <f>IF(BB$8=$C$4,VLOOKUP($B12,Parameters!$E$108:$G$501,3,FALSE),0)*(1+Parameters!$G$13)^(BB$8-$G$8)/1000</f>
        <v>0</v>
      </c>
    </row>
    <row r="13" spans="2:54" x14ac:dyDescent="0.25">
      <c r="B13" s="478" t="str">
        <f>Parameters!E209</f>
        <v>Capex new offshore wells</v>
      </c>
      <c r="C13" s="511" t="s">
        <v>979</v>
      </c>
      <c r="D13" s="512">
        <f t="shared" si="11"/>
        <v>0</v>
      </c>
      <c r="E13" s="512">
        <f t="shared" si="12"/>
        <v>0</v>
      </c>
      <c r="F13" s="478"/>
      <c r="G13" s="527">
        <f>IF(G$8=$C$4,VLOOKUP($B13,Parameters!$E$108:$G$501,3,FALSE),0)*(1+Parameters!$G$13)^(G$8-$G$8)/1000</f>
        <v>0</v>
      </c>
      <c r="H13" s="527">
        <f>IF(H$8=$C$4,VLOOKUP($B13,Parameters!$E$108:$G$501,3,FALSE),0)*(1+Parameters!$G$13)^(H$8-$G$8)/1000</f>
        <v>0</v>
      </c>
      <c r="I13" s="527">
        <f>IF(I$8=$C$4,VLOOKUP($B13,Parameters!$E$108:$G$501,3,FALSE),0)*(1+Parameters!$G$13)^(I$8-$G$8)/1000</f>
        <v>0</v>
      </c>
      <c r="J13" s="527">
        <f>IF(J$8=$C$4,VLOOKUP($B13,Parameters!$E$108:$G$501,3,FALSE),0)*(1+Parameters!$G$13)^(J$8-$G$8)/1000</f>
        <v>0</v>
      </c>
      <c r="K13" s="527">
        <f>IF(K$8=$C$4,VLOOKUP($B13,Parameters!$E$108:$G$501,3,FALSE),0)*(1+Parameters!$G$13)^(K$8-$G$8)/1000</f>
        <v>0</v>
      </c>
      <c r="L13" s="527">
        <f>IF(L$8=$C$4,VLOOKUP($B13,Parameters!$E$108:$G$501,3,FALSE),0)*(1+Parameters!$G$13)^(L$8-$G$8)/1000</f>
        <v>0</v>
      </c>
      <c r="M13" s="527">
        <f>IF(M$8=$C$4,VLOOKUP($B13,Parameters!$E$108:$G$501,3,FALSE),0)*(1+Parameters!$G$13)^(M$8-$G$8)/1000</f>
        <v>0</v>
      </c>
      <c r="N13" s="527">
        <f>IF(N$8=$C$4,VLOOKUP($B13,Parameters!$E$108:$G$501,3,FALSE),0)*(1+Parameters!$G$13)^(N$8-$G$8)/1000</f>
        <v>0</v>
      </c>
      <c r="O13" s="527">
        <f>IF(O$8=$C$4,VLOOKUP($B13,Parameters!$E$108:$G$501,3,FALSE),0)*(1+Parameters!$G$13)^(O$8-$G$8)/1000</f>
        <v>0</v>
      </c>
      <c r="P13" s="527">
        <f>IF(P$8=$C$4,VLOOKUP($B13,Parameters!$E$108:$G$501,3,FALSE),0)*(1+Parameters!$G$13)^(P$8-$G$8)/1000</f>
        <v>0</v>
      </c>
      <c r="Q13" s="527">
        <f>IF(Q$8=$C$4,VLOOKUP($B13,Parameters!$E$108:$G$501,3,FALSE),0)*(1+Parameters!$G$13)^(Q$8-$G$8)/1000</f>
        <v>0</v>
      </c>
      <c r="R13" s="527">
        <f>IF(R$8=$C$4,VLOOKUP($B13,Parameters!$E$108:$G$501,3,FALSE),0)*(1+Parameters!$G$13)^(R$8-$G$8)/1000</f>
        <v>0</v>
      </c>
      <c r="S13" s="527">
        <f>IF(S$8=$C$4,VLOOKUP($B13,Parameters!$E$108:$G$501,3,FALSE),0)*(1+Parameters!$G$13)^(S$8-$G$8)/1000</f>
        <v>0</v>
      </c>
      <c r="T13" s="527">
        <f>IF(T$8=$C$4,VLOOKUP($B13,Parameters!$E$108:$G$501,3,FALSE),0)*(1+Parameters!$G$13)^(T$8-$G$8)/1000</f>
        <v>0</v>
      </c>
      <c r="U13" s="527">
        <f>IF(U$8=$C$4,VLOOKUP($B13,Parameters!$E$108:$G$501,3,FALSE),0)*(1+Parameters!$G$13)^(U$8-$G$8)/1000</f>
        <v>0</v>
      </c>
      <c r="V13" s="527">
        <f>IF(V$8=$C$4,VLOOKUP($B13,Parameters!$E$108:$G$501,3,FALSE),0)*(1+Parameters!$G$13)^(V$8-$G$8)/1000</f>
        <v>0</v>
      </c>
      <c r="W13" s="527">
        <f>IF(W$8=$C$4,VLOOKUP($B13,Parameters!$E$108:$G$501,3,FALSE),0)*(1+Parameters!$G$13)^(W$8-$G$8)/1000</f>
        <v>0</v>
      </c>
      <c r="X13" s="527">
        <f>IF(X$8=$C$4,VLOOKUP($B13,Parameters!$E$108:$G$501,3,FALSE),0)*(1+Parameters!$G$13)^(X$8-$G$8)/1000</f>
        <v>0</v>
      </c>
      <c r="Y13" s="527">
        <f>IF(Y$8=$C$4,VLOOKUP($B13,Parameters!$E$108:$G$501,3,FALSE),0)*(1+Parameters!$G$13)^(Y$8-$G$8)/1000</f>
        <v>0</v>
      </c>
      <c r="Z13" s="527">
        <f>IF(Z$8=$C$4,VLOOKUP($B13,Parameters!$E$108:$G$501,3,FALSE),0)*(1+Parameters!$G$13)^(Z$8-$G$8)/1000</f>
        <v>0</v>
      </c>
      <c r="AA13" s="527">
        <f>IF(AA$8=$C$4,VLOOKUP($B13,Parameters!$E$108:$G$501,3,FALSE),0)*(1+Parameters!$G$13)^(AA$8-$G$8)/1000</f>
        <v>0</v>
      </c>
      <c r="AB13" s="527">
        <f>IF(AB$8=$C$4,VLOOKUP($B13,Parameters!$E$108:$G$501,3,FALSE),0)*(1+Parameters!$G$13)^(AB$8-$G$8)/1000</f>
        <v>0</v>
      </c>
      <c r="AC13" s="527">
        <f>IF(AC$8=$C$4,VLOOKUP($B13,Parameters!$E$108:$G$501,3,FALSE),0)*(1+Parameters!$G$13)^(AC$8-$G$8)/1000</f>
        <v>0</v>
      </c>
      <c r="AD13" s="527">
        <f>IF(AD$8=$C$4,VLOOKUP($B13,Parameters!$E$108:$G$501,3,FALSE),0)*(1+Parameters!$G$13)^(AD$8-$G$8)/1000</f>
        <v>0</v>
      </c>
      <c r="AE13" s="527">
        <f>IF(AE$8=$C$4,VLOOKUP($B13,Parameters!$E$108:$G$501,3,FALSE),0)*(1+Parameters!$G$13)^(AE$8-$G$8)/1000</f>
        <v>0</v>
      </c>
      <c r="AF13" s="527">
        <f>IF(AF$8=$C$4,VLOOKUP($B13,Parameters!$E$108:$G$501,3,FALSE),0)*(1+Parameters!$G$13)^(AF$8-$G$8)/1000</f>
        <v>0</v>
      </c>
      <c r="AG13" s="527">
        <f>IF(AG$8=$C$4,VLOOKUP($B13,Parameters!$E$108:$G$501,3,FALSE),0)*(1+Parameters!$G$13)^(AG$8-$G$8)/1000</f>
        <v>0</v>
      </c>
      <c r="AH13" s="527">
        <f>IF(AH$8=$C$4,VLOOKUP($B13,Parameters!$E$108:$G$501,3,FALSE),0)*(1+Parameters!$G$13)^(AH$8-$G$8)/1000</f>
        <v>0</v>
      </c>
      <c r="AI13" s="527">
        <f>IF(AI$8=$C$4,VLOOKUP($B13,Parameters!$E$108:$G$501,3,FALSE),0)*(1+Parameters!$G$13)^(AI$8-$G$8)/1000</f>
        <v>0</v>
      </c>
      <c r="AJ13" s="527">
        <f>IF(AJ$8=$C$4,VLOOKUP($B13,Parameters!$E$108:$G$501,3,FALSE),0)*(1+Parameters!$G$13)^(AJ$8-$G$8)/1000</f>
        <v>0</v>
      </c>
      <c r="AK13" s="527">
        <f>IF(AK$8=$C$4,VLOOKUP($B13,Parameters!$E$108:$G$501,3,FALSE),0)*(1+Parameters!$G$13)^(AK$8-$G$8)/1000</f>
        <v>0</v>
      </c>
      <c r="AL13" s="527">
        <f>IF(AL$8=$C$4,VLOOKUP($B13,Parameters!$E$108:$G$501,3,FALSE),0)*(1+Parameters!$G$13)^(AL$8-$G$8)/1000</f>
        <v>0</v>
      </c>
      <c r="AM13" s="527">
        <f>IF(AM$8=$C$4,VLOOKUP($B13,Parameters!$E$108:$G$501,3,FALSE),0)*(1+Parameters!$G$13)^(AM$8-$G$8)/1000</f>
        <v>0</v>
      </c>
      <c r="AN13" s="527">
        <f>IF(AN$8=$C$4,VLOOKUP($B13,Parameters!$E$108:$G$501,3,FALSE),0)*(1+Parameters!$G$13)^(AN$8-$G$8)/1000</f>
        <v>0</v>
      </c>
      <c r="AO13" s="527">
        <f>IF(AO$8=$C$4,VLOOKUP($B13,Parameters!$E$108:$G$501,3,FALSE),0)*(1+Parameters!$G$13)^(AO$8-$G$8)/1000</f>
        <v>0</v>
      </c>
      <c r="AP13" s="527">
        <f>IF(AP$8=$C$4,VLOOKUP($B13,Parameters!$E$108:$G$501,3,FALSE),0)*(1+Parameters!$G$13)^(AP$8-$G$8)/1000</f>
        <v>0</v>
      </c>
      <c r="AQ13" s="527">
        <f>IF(AQ$8=$C$4,VLOOKUP($B13,Parameters!$E$108:$G$501,3,FALSE),0)*(1+Parameters!$G$13)^(AQ$8-$G$8)/1000</f>
        <v>0</v>
      </c>
      <c r="AR13" s="527">
        <f>IF(AR$8=$C$4,VLOOKUP($B13,Parameters!$E$108:$G$501,3,FALSE),0)*(1+Parameters!$G$13)^(AR$8-$G$8)/1000</f>
        <v>0</v>
      </c>
      <c r="AS13" s="527">
        <f>IF(AS$8=$C$4,VLOOKUP($B13,Parameters!$E$108:$G$501,3,FALSE),0)*(1+Parameters!$G$13)^(AS$8-$G$8)/1000</f>
        <v>0</v>
      </c>
      <c r="AT13" s="527">
        <f>IF(AT$8=$C$4,VLOOKUP($B13,Parameters!$E$108:$G$501,3,FALSE),0)*(1+Parameters!$G$13)^(AT$8-$G$8)/1000</f>
        <v>0</v>
      </c>
      <c r="AU13" s="527">
        <f>IF(AU$8=$C$4,VLOOKUP($B13,Parameters!$E$108:$G$501,3,FALSE),0)*(1+Parameters!$G$13)^(AU$8-$G$8)/1000</f>
        <v>0</v>
      </c>
      <c r="AV13" s="527">
        <f>IF(AV$8=$C$4,VLOOKUP($B13,Parameters!$E$108:$G$501,3,FALSE),0)*(1+Parameters!$G$13)^(AV$8-$G$8)/1000</f>
        <v>0</v>
      </c>
      <c r="AW13" s="527">
        <f>IF(AW$8=$C$4,VLOOKUP($B13,Parameters!$E$108:$G$501,3,FALSE),0)*(1+Parameters!$G$13)^(AW$8-$G$8)/1000</f>
        <v>0</v>
      </c>
      <c r="AX13" s="527">
        <f>IF(AX$8=$C$4,VLOOKUP($B13,Parameters!$E$108:$G$501,3,FALSE),0)*(1+Parameters!$G$13)^(AX$8-$G$8)/1000</f>
        <v>0</v>
      </c>
      <c r="AY13" s="527">
        <f>IF(AY$8=$C$4,VLOOKUP($B13,Parameters!$E$108:$G$501,3,FALSE),0)*(1+Parameters!$G$13)^(AY$8-$G$8)/1000</f>
        <v>0</v>
      </c>
      <c r="AZ13" s="527">
        <f>IF(AZ$8=$C$4,VLOOKUP($B13,Parameters!$E$108:$G$501,3,FALSE),0)*(1+Parameters!$G$13)^(AZ$8-$G$8)/1000</f>
        <v>0</v>
      </c>
      <c r="BA13" s="527">
        <f>IF(BA$8=$C$4,VLOOKUP($B13,Parameters!$E$108:$G$501,3,FALSE),0)*(1+Parameters!$G$13)^(BA$8-$G$8)/1000</f>
        <v>0</v>
      </c>
      <c r="BB13" s="527">
        <f>IF(BB$8=$C$4,VLOOKUP($B13,Parameters!$E$108:$G$501,3,FALSE),0)*(1+Parameters!$G$13)^(BB$8-$G$8)/1000</f>
        <v>0</v>
      </c>
    </row>
    <row r="14" spans="2:54" x14ac:dyDescent="0.25">
      <c r="B14" s="478" t="str">
        <f>Parameters!E210</f>
        <v>Capex workover wells</v>
      </c>
      <c r="C14" s="511" t="s">
        <v>979</v>
      </c>
      <c r="D14" s="512">
        <f t="shared" si="11"/>
        <v>45276.232065882861</v>
      </c>
      <c r="E14" s="512">
        <f t="shared" si="12"/>
        <v>13114.911678178287</v>
      </c>
      <c r="F14" s="478"/>
      <c r="G14" s="527">
        <f>IF(G$8=$C$4,VLOOKUP($B14,Parameters!$E$108:$G$501,3,FALSE),0)*(1+Parameters!$G$13)^(G$8-$G$8)/1000</f>
        <v>0</v>
      </c>
      <c r="H14" s="527">
        <f>IF(H$8=$C$4,VLOOKUP($B14,Parameters!$E$108:$G$501,3,FALSE),0)*(1+Parameters!$G$13)^(H$8-$G$8)/1000</f>
        <v>0</v>
      </c>
      <c r="I14" s="527">
        <f>IF(I$8=$C$4,VLOOKUP($B14,Parameters!$E$108:$G$501,3,FALSE),0)*(1+Parameters!$G$13)^(I$8-$G$8)/1000</f>
        <v>0</v>
      </c>
      <c r="J14" s="527">
        <f>IF(J$8=$C$4,VLOOKUP($B14,Parameters!$E$108:$G$501,3,FALSE),0)*(1+Parameters!$G$13)^(J$8-$G$8)/1000</f>
        <v>0</v>
      </c>
      <c r="K14" s="527">
        <f>IF(K$8=$C$4,VLOOKUP($B14,Parameters!$E$108:$G$501,3,FALSE),0)*(1+Parameters!$G$13)^(K$8-$G$8)/1000</f>
        <v>0</v>
      </c>
      <c r="L14" s="527">
        <f>IF(L$8=$C$4,VLOOKUP($B14,Parameters!$E$108:$G$501,3,FALSE),0)*(1+Parameters!$G$13)^(L$8-$G$8)/1000</f>
        <v>0</v>
      </c>
      <c r="M14" s="527">
        <f>IF(M$8=$C$4,VLOOKUP($B14,Parameters!$E$108:$G$501,3,FALSE),0)*(1+Parameters!$G$13)^(M$8-$G$8)/1000</f>
        <v>0</v>
      </c>
      <c r="N14" s="527">
        <f>IF(N$8=$C$4,VLOOKUP($B14,Parameters!$E$108:$G$501,3,FALSE),0)*(1+Parameters!$G$13)^(N$8-$G$8)/1000</f>
        <v>0</v>
      </c>
      <c r="O14" s="527">
        <f>IF(O$8=$C$4,VLOOKUP($B14,Parameters!$E$108:$G$501,3,FALSE),0)*(1+Parameters!$G$13)^(O$8-$G$8)/1000</f>
        <v>0</v>
      </c>
      <c r="P14" s="527">
        <f>IF(P$8=$C$4,VLOOKUP($B14,Parameters!$E$108:$G$501,3,FALSE),0)*(1+Parameters!$G$13)^(P$8-$G$8)/1000</f>
        <v>0</v>
      </c>
      <c r="Q14" s="527">
        <f>IF(Q$8=$C$4,VLOOKUP($B14,Parameters!$E$108:$G$501,3,FALSE),0)*(1+Parameters!$G$13)^(Q$8-$G$8)/1000</f>
        <v>0</v>
      </c>
      <c r="R14" s="527">
        <f>IF(R$8=$C$4,VLOOKUP($B14,Parameters!$E$108:$G$501,3,FALSE),0)*(1+Parameters!$G$13)^(R$8-$G$8)/1000</f>
        <v>0</v>
      </c>
      <c r="S14" s="527">
        <f>IF(S$8=$C$4,VLOOKUP($B14,Parameters!$E$108:$G$501,3,FALSE),0)*(1+Parameters!$G$13)^(S$8-$G$8)/1000</f>
        <v>0</v>
      </c>
      <c r="T14" s="527">
        <f>IF(T$8=$C$4,VLOOKUP($B14,Parameters!$E$108:$G$501,3,FALSE),0)*(1+Parameters!$G$13)^(T$8-$G$8)/1000</f>
        <v>45276.232065882861</v>
      </c>
      <c r="U14" s="527">
        <f>IF(U$8=$C$4,VLOOKUP($B14,Parameters!$E$108:$G$501,3,FALSE),0)*(1+Parameters!$G$13)^(U$8-$G$8)/1000</f>
        <v>0</v>
      </c>
      <c r="V14" s="527">
        <f>IF(V$8=$C$4,VLOOKUP($B14,Parameters!$E$108:$G$501,3,FALSE),0)*(1+Parameters!$G$13)^(V$8-$G$8)/1000</f>
        <v>0</v>
      </c>
      <c r="W14" s="527">
        <f>IF(W$8=$C$4,VLOOKUP($B14,Parameters!$E$108:$G$501,3,FALSE),0)*(1+Parameters!$G$13)^(W$8-$G$8)/1000</f>
        <v>0</v>
      </c>
      <c r="X14" s="527">
        <f>IF(X$8=$C$4,VLOOKUP($B14,Parameters!$E$108:$G$501,3,FALSE),0)*(1+Parameters!$G$13)^(X$8-$G$8)/1000</f>
        <v>0</v>
      </c>
      <c r="Y14" s="527">
        <f>IF(Y$8=$C$4,VLOOKUP($B14,Parameters!$E$108:$G$501,3,FALSE),0)*(1+Parameters!$G$13)^(Y$8-$G$8)/1000</f>
        <v>0</v>
      </c>
      <c r="Z14" s="527">
        <f>IF(Z$8=$C$4,VLOOKUP($B14,Parameters!$E$108:$G$501,3,FALSE),0)*(1+Parameters!$G$13)^(Z$8-$G$8)/1000</f>
        <v>0</v>
      </c>
      <c r="AA14" s="527">
        <f>IF(AA$8=$C$4,VLOOKUP($B14,Parameters!$E$108:$G$501,3,FALSE),0)*(1+Parameters!$G$13)^(AA$8-$G$8)/1000</f>
        <v>0</v>
      </c>
      <c r="AB14" s="527">
        <f>IF(AB$8=$C$4,VLOOKUP($B14,Parameters!$E$108:$G$501,3,FALSE),0)*(1+Parameters!$G$13)^(AB$8-$G$8)/1000</f>
        <v>0</v>
      </c>
      <c r="AC14" s="527">
        <f>IF(AC$8=$C$4,VLOOKUP($B14,Parameters!$E$108:$G$501,3,FALSE),0)*(1+Parameters!$G$13)^(AC$8-$G$8)/1000</f>
        <v>0</v>
      </c>
      <c r="AD14" s="527">
        <f>IF(AD$8=$C$4,VLOOKUP($B14,Parameters!$E$108:$G$501,3,FALSE),0)*(1+Parameters!$G$13)^(AD$8-$G$8)/1000</f>
        <v>0</v>
      </c>
      <c r="AE14" s="527">
        <f>IF(AE$8=$C$4,VLOOKUP($B14,Parameters!$E$108:$G$501,3,FALSE),0)*(1+Parameters!$G$13)^(AE$8-$G$8)/1000</f>
        <v>0</v>
      </c>
      <c r="AF14" s="527">
        <f>IF(AF$8=$C$4,VLOOKUP($B14,Parameters!$E$108:$G$501,3,FALSE),0)*(1+Parameters!$G$13)^(AF$8-$G$8)/1000</f>
        <v>0</v>
      </c>
      <c r="AG14" s="527">
        <f>IF(AG$8=$C$4,VLOOKUP($B14,Parameters!$E$108:$G$501,3,FALSE),0)*(1+Parameters!$G$13)^(AG$8-$G$8)/1000</f>
        <v>0</v>
      </c>
      <c r="AH14" s="527">
        <f>IF(AH$8=$C$4,VLOOKUP($B14,Parameters!$E$108:$G$501,3,FALSE),0)*(1+Parameters!$G$13)^(AH$8-$G$8)/1000</f>
        <v>0</v>
      </c>
      <c r="AI14" s="527">
        <f>IF(AI$8=$C$4,VLOOKUP($B14,Parameters!$E$108:$G$501,3,FALSE),0)*(1+Parameters!$G$13)^(AI$8-$G$8)/1000</f>
        <v>0</v>
      </c>
      <c r="AJ14" s="527">
        <f>IF(AJ$8=$C$4,VLOOKUP($B14,Parameters!$E$108:$G$501,3,FALSE),0)*(1+Parameters!$G$13)^(AJ$8-$G$8)/1000</f>
        <v>0</v>
      </c>
      <c r="AK14" s="527">
        <f>IF(AK$8=$C$4,VLOOKUP($B14,Parameters!$E$108:$G$501,3,FALSE),0)*(1+Parameters!$G$13)^(AK$8-$G$8)/1000</f>
        <v>0</v>
      </c>
      <c r="AL14" s="527">
        <f>IF(AL$8=$C$4,VLOOKUP($B14,Parameters!$E$108:$G$501,3,FALSE),0)*(1+Parameters!$G$13)^(AL$8-$G$8)/1000</f>
        <v>0</v>
      </c>
      <c r="AM14" s="527">
        <f>IF(AM$8=$C$4,VLOOKUP($B14,Parameters!$E$108:$G$501,3,FALSE),0)*(1+Parameters!$G$13)^(AM$8-$G$8)/1000</f>
        <v>0</v>
      </c>
      <c r="AN14" s="527">
        <f>IF(AN$8=$C$4,VLOOKUP($B14,Parameters!$E$108:$G$501,3,FALSE),0)*(1+Parameters!$G$13)^(AN$8-$G$8)/1000</f>
        <v>0</v>
      </c>
      <c r="AO14" s="527">
        <f>IF(AO$8=$C$4,VLOOKUP($B14,Parameters!$E$108:$G$501,3,FALSE),0)*(1+Parameters!$G$13)^(AO$8-$G$8)/1000</f>
        <v>0</v>
      </c>
      <c r="AP14" s="527">
        <f>IF(AP$8=$C$4,VLOOKUP($B14,Parameters!$E$108:$G$501,3,FALSE),0)*(1+Parameters!$G$13)^(AP$8-$G$8)/1000</f>
        <v>0</v>
      </c>
      <c r="AQ14" s="527">
        <f>IF(AQ$8=$C$4,VLOOKUP($B14,Parameters!$E$108:$G$501,3,FALSE),0)*(1+Parameters!$G$13)^(AQ$8-$G$8)/1000</f>
        <v>0</v>
      </c>
      <c r="AR14" s="527">
        <f>IF(AR$8=$C$4,VLOOKUP($B14,Parameters!$E$108:$G$501,3,FALSE),0)*(1+Parameters!$G$13)^(AR$8-$G$8)/1000</f>
        <v>0</v>
      </c>
      <c r="AS14" s="527">
        <f>IF(AS$8=$C$4,VLOOKUP($B14,Parameters!$E$108:$G$501,3,FALSE),0)*(1+Parameters!$G$13)^(AS$8-$G$8)/1000</f>
        <v>0</v>
      </c>
      <c r="AT14" s="527">
        <f>IF(AT$8=$C$4,VLOOKUP($B14,Parameters!$E$108:$G$501,3,FALSE),0)*(1+Parameters!$G$13)^(AT$8-$G$8)/1000</f>
        <v>0</v>
      </c>
      <c r="AU14" s="527">
        <f>IF(AU$8=$C$4,VLOOKUP($B14,Parameters!$E$108:$G$501,3,FALSE),0)*(1+Parameters!$G$13)^(AU$8-$G$8)/1000</f>
        <v>0</v>
      </c>
      <c r="AV14" s="527">
        <f>IF(AV$8=$C$4,VLOOKUP($B14,Parameters!$E$108:$G$501,3,FALSE),0)*(1+Parameters!$G$13)^(AV$8-$G$8)/1000</f>
        <v>0</v>
      </c>
      <c r="AW14" s="527">
        <f>IF(AW$8=$C$4,VLOOKUP($B14,Parameters!$E$108:$G$501,3,FALSE),0)*(1+Parameters!$G$13)^(AW$8-$G$8)/1000</f>
        <v>0</v>
      </c>
      <c r="AX14" s="527">
        <f>IF(AX$8=$C$4,VLOOKUP($B14,Parameters!$E$108:$G$501,3,FALSE),0)*(1+Parameters!$G$13)^(AX$8-$G$8)/1000</f>
        <v>0</v>
      </c>
      <c r="AY14" s="527">
        <f>IF(AY$8=$C$4,VLOOKUP($B14,Parameters!$E$108:$G$501,3,FALSE),0)*(1+Parameters!$G$13)^(AY$8-$G$8)/1000</f>
        <v>0</v>
      </c>
      <c r="AZ14" s="527">
        <f>IF(AZ$8=$C$4,VLOOKUP($B14,Parameters!$E$108:$G$501,3,FALSE),0)*(1+Parameters!$G$13)^(AZ$8-$G$8)/1000</f>
        <v>0</v>
      </c>
      <c r="BA14" s="527">
        <f>IF(BA$8=$C$4,VLOOKUP($B14,Parameters!$E$108:$G$501,3,FALSE),0)*(1+Parameters!$G$13)^(BA$8-$G$8)/1000</f>
        <v>0</v>
      </c>
      <c r="BB14" s="527">
        <f>IF(BB$8=$C$4,VLOOKUP($B14,Parameters!$E$108:$G$501,3,FALSE),0)*(1+Parameters!$G$13)^(BB$8-$G$8)/1000</f>
        <v>0</v>
      </c>
    </row>
    <row r="15" spans="2:54" x14ac:dyDescent="0.25">
      <c r="B15" s="478" t="str">
        <f>Parameters!E213</f>
        <v>Decommissioning (P&amp;A) natural gas wells</v>
      </c>
      <c r="C15" s="511" t="s">
        <v>979</v>
      </c>
      <c r="D15" s="512">
        <f t="shared" si="11"/>
        <v>28746.814010084359</v>
      </c>
      <c r="E15" s="512">
        <f t="shared" si="12"/>
        <v>8326.9280496370102</v>
      </c>
      <c r="F15" s="478"/>
      <c r="G15" s="527">
        <f>IF(G$8=$C$4,VLOOKUP($B15,Parameters!$E$108:$G$501,3,FALSE),0)*(1+Parameters!$G$13)^(G$8-$G$8)/1000</f>
        <v>0</v>
      </c>
      <c r="H15" s="527">
        <f>IF(H$8=$C$4,VLOOKUP($B15,Parameters!$E$108:$G$501,3,FALSE),0)*(1+Parameters!$G$13)^(H$8-$G$8)/1000</f>
        <v>0</v>
      </c>
      <c r="I15" s="527">
        <f>IF(I$8=$C$4,VLOOKUP($B15,Parameters!$E$108:$G$501,3,FALSE),0)*(1+Parameters!$G$13)^(I$8-$G$8)/1000</f>
        <v>0</v>
      </c>
      <c r="J15" s="527">
        <f>IF(J$8=$C$4,VLOOKUP($B15,Parameters!$E$108:$G$501,3,FALSE),0)*(1+Parameters!$G$13)^(J$8-$G$8)/1000</f>
        <v>0</v>
      </c>
      <c r="K15" s="527">
        <f>IF(K$8=$C$4,VLOOKUP($B15,Parameters!$E$108:$G$501,3,FALSE),0)*(1+Parameters!$G$13)^(K$8-$G$8)/1000</f>
        <v>0</v>
      </c>
      <c r="L15" s="527">
        <f>IF(L$8=$C$4,VLOOKUP($B15,Parameters!$E$108:$G$501,3,FALSE),0)*(1+Parameters!$G$13)^(L$8-$G$8)/1000</f>
        <v>0</v>
      </c>
      <c r="M15" s="527">
        <f>IF(M$8=$C$4,VLOOKUP($B15,Parameters!$E$108:$G$501,3,FALSE),0)*(1+Parameters!$G$13)^(M$8-$G$8)/1000</f>
        <v>0</v>
      </c>
      <c r="N15" s="527">
        <f>IF(N$8=$C$4,VLOOKUP($B15,Parameters!$E$108:$G$501,3,FALSE),0)*(1+Parameters!$G$13)^(N$8-$G$8)/1000</f>
        <v>0</v>
      </c>
      <c r="O15" s="527">
        <f>IF(O$8=$C$4,VLOOKUP($B15,Parameters!$E$108:$G$501,3,FALSE),0)*(1+Parameters!$G$13)^(O$8-$G$8)/1000</f>
        <v>0</v>
      </c>
      <c r="P15" s="527">
        <f>IF(P$8=$C$4,VLOOKUP($B15,Parameters!$E$108:$G$501,3,FALSE),0)*(1+Parameters!$G$13)^(P$8-$G$8)/1000</f>
        <v>0</v>
      </c>
      <c r="Q15" s="527">
        <f>IF(Q$8=$C$4,VLOOKUP($B15,Parameters!$E$108:$G$501,3,FALSE),0)*(1+Parameters!$G$13)^(Q$8-$G$8)/1000</f>
        <v>0</v>
      </c>
      <c r="R15" s="527">
        <f>IF(R$8=$C$4,VLOOKUP($B15,Parameters!$E$108:$G$501,3,FALSE),0)*(1+Parameters!$G$13)^(R$8-$G$8)/1000</f>
        <v>0</v>
      </c>
      <c r="S15" s="527">
        <f>IF(S$8=$C$4,VLOOKUP($B15,Parameters!$E$108:$G$501,3,FALSE),0)*(1+Parameters!$G$13)^(S$8-$G$8)/1000</f>
        <v>0</v>
      </c>
      <c r="T15" s="527">
        <f>IF(T$8=$C$4,VLOOKUP($B15,Parameters!$E$108:$G$501,3,FALSE),0)*(1+Parameters!$G$13)^(T$8-$G$8)/1000</f>
        <v>28746.814010084359</v>
      </c>
      <c r="U15" s="527">
        <f>IF(U$8=$C$4,VLOOKUP($B15,Parameters!$E$108:$G$501,3,FALSE),0)*(1+Parameters!$G$13)^(U$8-$G$8)/1000</f>
        <v>0</v>
      </c>
      <c r="V15" s="527">
        <f>IF(V$8=$C$4,VLOOKUP($B15,Parameters!$E$108:$G$501,3,FALSE),0)*(1+Parameters!$G$13)^(V$8-$G$8)/1000</f>
        <v>0</v>
      </c>
      <c r="W15" s="527">
        <f>IF(W$8=$C$4,VLOOKUP($B15,Parameters!$E$108:$G$501,3,FALSE),0)*(1+Parameters!$G$13)^(W$8-$G$8)/1000</f>
        <v>0</v>
      </c>
      <c r="X15" s="527">
        <f>IF(X$8=$C$4,VLOOKUP($B15,Parameters!$E$108:$G$501,3,FALSE),0)*(1+Parameters!$G$13)^(X$8-$G$8)/1000</f>
        <v>0</v>
      </c>
      <c r="Y15" s="527">
        <f>IF(Y$8=$C$4,VLOOKUP($B15,Parameters!$E$108:$G$501,3,FALSE),0)*(1+Parameters!$G$13)^(Y$8-$G$8)/1000</f>
        <v>0</v>
      </c>
      <c r="Z15" s="527">
        <f>IF(Z$8=$C$4,VLOOKUP($B15,Parameters!$E$108:$G$501,3,FALSE),0)*(1+Parameters!$G$13)^(Z$8-$G$8)/1000</f>
        <v>0</v>
      </c>
      <c r="AA15" s="527">
        <f>IF(AA$8=$C$4,VLOOKUP($B15,Parameters!$E$108:$G$501,3,FALSE),0)*(1+Parameters!$G$13)^(AA$8-$G$8)/1000</f>
        <v>0</v>
      </c>
      <c r="AB15" s="527">
        <f>IF(AB$8=$C$4,VLOOKUP($B15,Parameters!$E$108:$G$501,3,FALSE),0)*(1+Parameters!$G$13)^(AB$8-$G$8)/1000</f>
        <v>0</v>
      </c>
      <c r="AC15" s="527">
        <f>IF(AC$8=$C$4,VLOOKUP($B15,Parameters!$E$108:$G$501,3,FALSE),0)*(1+Parameters!$G$13)^(AC$8-$G$8)/1000</f>
        <v>0</v>
      </c>
      <c r="AD15" s="527">
        <f>IF(AD$8=$C$4,VLOOKUP($B15,Parameters!$E$108:$G$501,3,FALSE),0)*(1+Parameters!$G$13)^(AD$8-$G$8)/1000</f>
        <v>0</v>
      </c>
      <c r="AE15" s="527">
        <f>IF(AE$8=$C$4,VLOOKUP($B15,Parameters!$E$108:$G$501,3,FALSE),0)*(1+Parameters!$G$13)^(AE$8-$G$8)/1000</f>
        <v>0</v>
      </c>
      <c r="AF15" s="527">
        <f>IF(AF$8=$C$4,VLOOKUP($B15,Parameters!$E$108:$G$501,3,FALSE),0)*(1+Parameters!$G$13)^(AF$8-$G$8)/1000</f>
        <v>0</v>
      </c>
      <c r="AG15" s="527">
        <f>IF(AG$8=$C$4,VLOOKUP($B15,Parameters!$E$108:$G$501,3,FALSE),0)*(1+Parameters!$G$13)^(AG$8-$G$8)/1000</f>
        <v>0</v>
      </c>
      <c r="AH15" s="527">
        <f>IF(AH$8=$C$4,VLOOKUP($B15,Parameters!$E$108:$G$501,3,FALSE),0)*(1+Parameters!$G$13)^(AH$8-$G$8)/1000</f>
        <v>0</v>
      </c>
      <c r="AI15" s="527">
        <f>IF(AI$8=$C$4,VLOOKUP($B15,Parameters!$E$108:$G$501,3,FALSE),0)*(1+Parameters!$G$13)^(AI$8-$G$8)/1000</f>
        <v>0</v>
      </c>
      <c r="AJ15" s="527">
        <f>IF(AJ$8=$C$4,VLOOKUP($B15,Parameters!$E$108:$G$501,3,FALSE),0)*(1+Parameters!$G$13)^(AJ$8-$G$8)/1000</f>
        <v>0</v>
      </c>
      <c r="AK15" s="527">
        <f>IF(AK$8=$C$4,VLOOKUP($B15,Parameters!$E$108:$G$501,3,FALSE),0)*(1+Parameters!$G$13)^(AK$8-$G$8)/1000</f>
        <v>0</v>
      </c>
      <c r="AL15" s="527">
        <f>IF(AL$8=$C$4,VLOOKUP($B15,Parameters!$E$108:$G$501,3,FALSE),0)*(1+Parameters!$G$13)^(AL$8-$G$8)/1000</f>
        <v>0</v>
      </c>
      <c r="AM15" s="527">
        <f>IF(AM$8=$C$4,VLOOKUP($B15,Parameters!$E$108:$G$501,3,FALSE),0)*(1+Parameters!$G$13)^(AM$8-$G$8)/1000</f>
        <v>0</v>
      </c>
      <c r="AN15" s="527">
        <f>IF(AN$8=$C$4,VLOOKUP($B15,Parameters!$E$108:$G$501,3,FALSE),0)*(1+Parameters!$G$13)^(AN$8-$G$8)/1000</f>
        <v>0</v>
      </c>
      <c r="AO15" s="527">
        <f>IF(AO$8=$C$4,VLOOKUP($B15,Parameters!$E$108:$G$501,3,FALSE),0)*(1+Parameters!$G$13)^(AO$8-$G$8)/1000</f>
        <v>0</v>
      </c>
      <c r="AP15" s="527">
        <f>IF(AP$8=$C$4,VLOOKUP($B15,Parameters!$E$108:$G$501,3,FALSE),0)*(1+Parameters!$G$13)^(AP$8-$G$8)/1000</f>
        <v>0</v>
      </c>
      <c r="AQ15" s="527">
        <f>IF(AQ$8=$C$4,VLOOKUP($B15,Parameters!$E$108:$G$501,3,FALSE),0)*(1+Parameters!$G$13)^(AQ$8-$G$8)/1000</f>
        <v>0</v>
      </c>
      <c r="AR15" s="527">
        <f>IF(AR$8=$C$4,VLOOKUP($B15,Parameters!$E$108:$G$501,3,FALSE),0)*(1+Parameters!$G$13)^(AR$8-$G$8)/1000</f>
        <v>0</v>
      </c>
      <c r="AS15" s="527">
        <f>IF(AS$8=$C$4,VLOOKUP($B15,Parameters!$E$108:$G$501,3,FALSE),0)*(1+Parameters!$G$13)^(AS$8-$G$8)/1000</f>
        <v>0</v>
      </c>
      <c r="AT15" s="527">
        <f>IF(AT$8=$C$4,VLOOKUP($B15,Parameters!$E$108:$G$501,3,FALSE),0)*(1+Parameters!$G$13)^(AT$8-$G$8)/1000</f>
        <v>0</v>
      </c>
      <c r="AU15" s="527">
        <f>IF(AU$8=$C$4,VLOOKUP($B15,Parameters!$E$108:$G$501,3,FALSE),0)*(1+Parameters!$G$13)^(AU$8-$G$8)/1000</f>
        <v>0</v>
      </c>
      <c r="AV15" s="527">
        <f>IF(AV$8=$C$4,VLOOKUP($B15,Parameters!$E$108:$G$501,3,FALSE),0)*(1+Parameters!$G$13)^(AV$8-$G$8)/1000</f>
        <v>0</v>
      </c>
      <c r="AW15" s="527">
        <f>IF(AW$8=$C$4,VLOOKUP($B15,Parameters!$E$108:$G$501,3,FALSE),0)*(1+Parameters!$G$13)^(AW$8-$G$8)/1000</f>
        <v>0</v>
      </c>
      <c r="AX15" s="527">
        <f>IF(AX$8=$C$4,VLOOKUP($B15,Parameters!$E$108:$G$501,3,FALSE),0)*(1+Parameters!$G$13)^(AX$8-$G$8)/1000</f>
        <v>0</v>
      </c>
      <c r="AY15" s="527">
        <f>IF(AY$8=$C$4,VLOOKUP($B15,Parameters!$E$108:$G$501,3,FALSE),0)*(1+Parameters!$G$13)^(AY$8-$G$8)/1000</f>
        <v>0</v>
      </c>
      <c r="AZ15" s="527">
        <f>IF(AZ$8=$C$4,VLOOKUP($B15,Parameters!$E$108:$G$501,3,FALSE),0)*(1+Parameters!$G$13)^(AZ$8-$G$8)/1000</f>
        <v>0</v>
      </c>
      <c r="BA15" s="527">
        <f>IF(BA$8=$C$4,VLOOKUP($B15,Parameters!$E$108:$G$501,3,FALSE),0)*(1+Parameters!$G$13)^(BA$8-$G$8)/1000</f>
        <v>0</v>
      </c>
      <c r="BB15" s="527">
        <f>IF(BB$8=$C$4,VLOOKUP($B15,Parameters!$E$108:$G$501,3,FALSE),0)*(1+Parameters!$G$13)^(BB$8-$G$8)/1000</f>
        <v>0</v>
      </c>
    </row>
    <row r="16" spans="2:54" x14ac:dyDescent="0.25">
      <c r="B16" s="478" t="str">
        <f>Parameters!E195</f>
        <v>Heating and power generator</v>
      </c>
      <c r="C16" s="511" t="s">
        <v>979</v>
      </c>
      <c r="D16" s="512">
        <f t="shared" si="11"/>
        <v>0</v>
      </c>
      <c r="E16" s="512">
        <f t="shared" si="12"/>
        <v>0</v>
      </c>
      <c r="F16" s="478"/>
      <c r="G16" s="527">
        <f>IF(G$8=$C$4,VLOOKUP($B16,Parameters!$E$108:$G$501,3,FALSE),0)*(1+Parameters!$G$13)^(G$8-$G$8)/1000</f>
        <v>0</v>
      </c>
      <c r="H16" s="527">
        <f>IF(H$8=$C$4,VLOOKUP($B16,Parameters!$E$108:$G$501,3,FALSE),0)*(1+Parameters!$G$13)^(H$8-$G$8)/1000</f>
        <v>0</v>
      </c>
      <c r="I16" s="527">
        <f>IF(I$8=$C$4,VLOOKUP($B16,Parameters!$E$108:$G$501,3,FALSE),0)*(1+Parameters!$G$13)^(I$8-$G$8)/1000</f>
        <v>0</v>
      </c>
      <c r="J16" s="527">
        <f>IF(J$8=$C$4,VLOOKUP($B16,Parameters!$E$108:$G$501,3,FALSE),0)*(1+Parameters!$G$13)^(J$8-$G$8)/1000</f>
        <v>0</v>
      </c>
      <c r="K16" s="527">
        <f>IF(K$8=$C$4,VLOOKUP($B16,Parameters!$E$108:$G$501,3,FALSE),0)*(1+Parameters!$G$13)^(K$8-$G$8)/1000</f>
        <v>0</v>
      </c>
      <c r="L16" s="527">
        <f>IF(L$8=$C$4,VLOOKUP($B16,Parameters!$E$108:$G$501,3,FALSE),0)*(1+Parameters!$G$13)^(L$8-$G$8)/1000</f>
        <v>0</v>
      </c>
      <c r="M16" s="527">
        <f>IF(M$8=$C$4,VLOOKUP($B16,Parameters!$E$108:$G$501,3,FALSE),0)*(1+Parameters!$G$13)^(M$8-$G$8)/1000</f>
        <v>0</v>
      </c>
      <c r="N16" s="527">
        <f>IF(N$8=$C$4,VLOOKUP($B16,Parameters!$E$108:$G$501,3,FALSE),0)*(1+Parameters!$G$13)^(N$8-$G$8)/1000</f>
        <v>0</v>
      </c>
      <c r="O16" s="527">
        <f>IF(O$8=$C$4,VLOOKUP($B16,Parameters!$E$108:$G$501,3,FALSE),0)*(1+Parameters!$G$13)^(O$8-$G$8)/1000</f>
        <v>0</v>
      </c>
      <c r="P16" s="527">
        <f>IF(P$8=$C$4,VLOOKUP($B16,Parameters!$E$108:$G$501,3,FALSE),0)*(1+Parameters!$G$13)^(P$8-$G$8)/1000</f>
        <v>0</v>
      </c>
      <c r="Q16" s="527">
        <f>IF(Q$8=$C$4,VLOOKUP($B16,Parameters!$E$108:$G$501,3,FALSE),0)*(1+Parameters!$G$13)^(Q$8-$G$8)/1000</f>
        <v>0</v>
      </c>
      <c r="R16" s="527">
        <f>IF(R$8=$C$4,VLOOKUP($B16,Parameters!$E$108:$G$501,3,FALSE),0)*(1+Parameters!$G$13)^(R$8-$G$8)/1000</f>
        <v>0</v>
      </c>
      <c r="S16" s="527">
        <f>IF(S$8=$C$4,VLOOKUP($B16,Parameters!$E$108:$G$501,3,FALSE),0)*(1+Parameters!$G$13)^(S$8-$G$8)/1000</f>
        <v>0</v>
      </c>
      <c r="T16" s="527">
        <f>IF(T$8=$C$4,VLOOKUP($B16,Parameters!$E$108:$G$501,3,FALSE),0)*(1+Parameters!$G$13)^(T$8-$G$8)/1000</f>
        <v>0</v>
      </c>
      <c r="U16" s="527">
        <f>IF(U$8=$C$4,VLOOKUP($B16,Parameters!$E$108:$G$501,3,FALSE),0)*(1+Parameters!$G$13)^(U$8-$G$8)/1000</f>
        <v>0</v>
      </c>
      <c r="V16" s="527">
        <f>IF(V$8=$C$4,VLOOKUP($B16,Parameters!$E$108:$G$501,3,FALSE),0)*(1+Parameters!$G$13)^(V$8-$G$8)/1000</f>
        <v>0</v>
      </c>
      <c r="W16" s="527">
        <f>IF(W$8=$C$4,VLOOKUP($B16,Parameters!$E$108:$G$501,3,FALSE),0)*(1+Parameters!$G$13)^(W$8-$G$8)/1000</f>
        <v>0</v>
      </c>
      <c r="X16" s="527">
        <f>IF(X$8=$C$4,VLOOKUP($B16,Parameters!$E$108:$G$501,3,FALSE),0)*(1+Parameters!$G$13)^(X$8-$G$8)/1000</f>
        <v>0</v>
      </c>
      <c r="Y16" s="527">
        <f>IF(Y$8=$C$4,VLOOKUP($B16,Parameters!$E$108:$G$501,3,FALSE),0)*(1+Parameters!$G$13)^(Y$8-$G$8)/1000</f>
        <v>0</v>
      </c>
      <c r="Z16" s="527">
        <f>IF(Z$8=$C$4,VLOOKUP($B16,Parameters!$E$108:$G$501,3,FALSE),0)*(1+Parameters!$G$13)^(Z$8-$G$8)/1000</f>
        <v>0</v>
      </c>
      <c r="AA16" s="527">
        <f>IF(AA$8=$C$4,VLOOKUP($B16,Parameters!$E$108:$G$501,3,FALSE),0)*(1+Parameters!$G$13)^(AA$8-$G$8)/1000</f>
        <v>0</v>
      </c>
      <c r="AB16" s="527">
        <f>IF(AB$8=$C$4,VLOOKUP($B16,Parameters!$E$108:$G$501,3,FALSE),0)*(1+Parameters!$G$13)^(AB$8-$G$8)/1000</f>
        <v>0</v>
      </c>
      <c r="AC16" s="527">
        <f>IF(AC$8=$C$4,VLOOKUP($B16,Parameters!$E$108:$G$501,3,FALSE),0)*(1+Parameters!$G$13)^(AC$8-$G$8)/1000</f>
        <v>0</v>
      </c>
      <c r="AD16" s="527">
        <f>IF(AD$8=$C$4,VLOOKUP($B16,Parameters!$E$108:$G$501,3,FALSE),0)*(1+Parameters!$G$13)^(AD$8-$G$8)/1000</f>
        <v>0</v>
      </c>
      <c r="AE16" s="527">
        <f>IF(AE$8=$C$4,VLOOKUP($B16,Parameters!$E$108:$G$501,3,FALSE),0)*(1+Parameters!$G$13)^(AE$8-$G$8)/1000</f>
        <v>0</v>
      </c>
      <c r="AF16" s="527">
        <f>IF(AF$8=$C$4,VLOOKUP($B16,Parameters!$E$108:$G$501,3,FALSE),0)*(1+Parameters!$G$13)^(AF$8-$G$8)/1000</f>
        <v>0</v>
      </c>
      <c r="AG16" s="527">
        <f>IF(AG$8=$C$4,VLOOKUP($B16,Parameters!$E$108:$G$501,3,FALSE),0)*(1+Parameters!$G$13)^(AG$8-$G$8)/1000</f>
        <v>0</v>
      </c>
      <c r="AH16" s="527">
        <f>IF(AH$8=$C$4,VLOOKUP($B16,Parameters!$E$108:$G$501,3,FALSE),0)*(1+Parameters!$G$13)^(AH$8-$G$8)/1000</f>
        <v>0</v>
      </c>
      <c r="AI16" s="527">
        <f>IF(AI$8=$C$4,VLOOKUP($B16,Parameters!$E$108:$G$501,3,FALSE),0)*(1+Parameters!$G$13)^(AI$8-$G$8)/1000</f>
        <v>0</v>
      </c>
      <c r="AJ16" s="527">
        <f>IF(AJ$8=$C$4,VLOOKUP($B16,Parameters!$E$108:$G$501,3,FALSE),0)*(1+Parameters!$G$13)^(AJ$8-$G$8)/1000</f>
        <v>0</v>
      </c>
      <c r="AK16" s="527">
        <f>IF(AK$8=$C$4,VLOOKUP($B16,Parameters!$E$108:$G$501,3,FALSE),0)*(1+Parameters!$G$13)^(AK$8-$G$8)/1000</f>
        <v>0</v>
      </c>
      <c r="AL16" s="527">
        <f>IF(AL$8=$C$4,VLOOKUP($B16,Parameters!$E$108:$G$501,3,FALSE),0)*(1+Parameters!$G$13)^(AL$8-$G$8)/1000</f>
        <v>0</v>
      </c>
      <c r="AM16" s="527">
        <f>IF(AM$8=$C$4,VLOOKUP($B16,Parameters!$E$108:$G$501,3,FALSE),0)*(1+Parameters!$G$13)^(AM$8-$G$8)/1000</f>
        <v>0</v>
      </c>
      <c r="AN16" s="527">
        <f>IF(AN$8=$C$4,VLOOKUP($B16,Parameters!$E$108:$G$501,3,FALSE),0)*(1+Parameters!$G$13)^(AN$8-$G$8)/1000</f>
        <v>0</v>
      </c>
      <c r="AO16" s="527">
        <f>IF(AO$8=$C$4,VLOOKUP($B16,Parameters!$E$108:$G$501,3,FALSE),0)*(1+Parameters!$G$13)^(AO$8-$G$8)/1000</f>
        <v>0</v>
      </c>
      <c r="AP16" s="527">
        <f>IF(AP$8=$C$4,VLOOKUP($B16,Parameters!$E$108:$G$501,3,FALSE),0)*(1+Parameters!$G$13)^(AP$8-$G$8)/1000</f>
        <v>0</v>
      </c>
      <c r="AQ16" s="527">
        <f>IF(AQ$8=$C$4,VLOOKUP($B16,Parameters!$E$108:$G$501,3,FALSE),0)*(1+Parameters!$G$13)^(AQ$8-$G$8)/1000</f>
        <v>0</v>
      </c>
      <c r="AR16" s="527">
        <f>IF(AR$8=$C$4,VLOOKUP($B16,Parameters!$E$108:$G$501,3,FALSE),0)*(1+Parameters!$G$13)^(AR$8-$G$8)/1000</f>
        <v>0</v>
      </c>
      <c r="AS16" s="527">
        <f>IF(AS$8=$C$4,VLOOKUP($B16,Parameters!$E$108:$G$501,3,FALSE),0)*(1+Parameters!$G$13)^(AS$8-$G$8)/1000</f>
        <v>0</v>
      </c>
      <c r="AT16" s="527">
        <f>IF(AT$8=$C$4,VLOOKUP($B16,Parameters!$E$108:$G$501,3,FALSE),0)*(1+Parameters!$G$13)^(AT$8-$G$8)/1000</f>
        <v>0</v>
      </c>
      <c r="AU16" s="527">
        <f>IF(AU$8=$C$4,VLOOKUP($B16,Parameters!$E$108:$G$501,3,FALSE),0)*(1+Parameters!$G$13)^(AU$8-$G$8)/1000</f>
        <v>0</v>
      </c>
      <c r="AV16" s="527">
        <f>IF(AV$8=$C$4,VLOOKUP($B16,Parameters!$E$108:$G$501,3,FALSE),0)*(1+Parameters!$G$13)^(AV$8-$G$8)/1000</f>
        <v>0</v>
      </c>
      <c r="AW16" s="527">
        <f>IF(AW$8=$C$4,VLOOKUP($B16,Parameters!$E$108:$G$501,3,FALSE),0)*(1+Parameters!$G$13)^(AW$8-$G$8)/1000</f>
        <v>0</v>
      </c>
      <c r="AX16" s="527">
        <f>IF(AX$8=$C$4,VLOOKUP($B16,Parameters!$E$108:$G$501,3,FALSE),0)*(1+Parameters!$G$13)^(AX$8-$G$8)/1000</f>
        <v>0</v>
      </c>
      <c r="AY16" s="527">
        <f>IF(AY$8=$C$4,VLOOKUP($B16,Parameters!$E$108:$G$501,3,FALSE),0)*(1+Parameters!$G$13)^(AY$8-$G$8)/1000</f>
        <v>0</v>
      </c>
      <c r="AZ16" s="527">
        <f>IF(AZ$8=$C$4,VLOOKUP($B16,Parameters!$E$108:$G$501,3,FALSE),0)*(1+Parameters!$G$13)^(AZ$8-$G$8)/1000</f>
        <v>0</v>
      </c>
      <c r="BA16" s="527">
        <f>IF(BA$8=$C$4,VLOOKUP($B16,Parameters!$E$108:$G$501,3,FALSE),0)*(1+Parameters!$G$13)^(BA$8-$G$8)/1000</f>
        <v>0</v>
      </c>
      <c r="BB16" s="527">
        <f>IF(BB$8=$C$4,VLOOKUP($B16,Parameters!$E$108:$G$501,3,FALSE),0)*(1+Parameters!$G$13)^(BB$8-$G$8)/1000</f>
        <v>0</v>
      </c>
    </row>
    <row r="17" spans="2:54 16384:16384" x14ac:dyDescent="0.25">
      <c r="B17" s="478" t="str">
        <f>Parameters!E236</f>
        <v>Capex adjustments CCS on platform</v>
      </c>
      <c r="C17" s="511" t="s">
        <v>979</v>
      </c>
      <c r="D17" s="512">
        <f t="shared" si="11"/>
        <v>0</v>
      </c>
      <c r="E17" s="512">
        <f t="shared" si="12"/>
        <v>0</v>
      </c>
      <c r="F17" s="478"/>
      <c r="G17" s="527">
        <f>IF(G$8=$C$4,VLOOKUP($B17,Parameters!$E$108:$G$501,3,FALSE),0)*(1+Parameters!$G$13)^(G$8-$G$8)/1000</f>
        <v>0</v>
      </c>
      <c r="H17" s="527">
        <f>IF(H$8=$C$4,VLOOKUP($B17,Parameters!$E$108:$G$501,3,FALSE),0)*(1+Parameters!$G$13)^(H$8-$G$8)/1000</f>
        <v>0</v>
      </c>
      <c r="I17" s="527">
        <f>IF(I$8=$C$4,VLOOKUP($B17,Parameters!$E$108:$G$501,3,FALSE),0)*(1+Parameters!$G$13)^(I$8-$G$8)/1000</f>
        <v>0</v>
      </c>
      <c r="J17" s="527">
        <f>IF(J$8=$C$4,VLOOKUP($B17,Parameters!$E$108:$G$501,3,FALSE),0)*(1+Parameters!$G$13)^(J$8-$G$8)/1000</f>
        <v>0</v>
      </c>
      <c r="K17" s="527">
        <f>IF(K$8=$C$4,VLOOKUP($B17,Parameters!$E$108:$G$501,3,FALSE),0)*(1+Parameters!$G$13)^(K$8-$G$8)/1000</f>
        <v>0</v>
      </c>
      <c r="L17" s="527">
        <f>IF(L$8=$C$4,VLOOKUP($B17,Parameters!$E$108:$G$501,3,FALSE),0)*(1+Parameters!$G$13)^(L$8-$G$8)/1000</f>
        <v>0</v>
      </c>
      <c r="M17" s="527">
        <f>IF(M$8=$C$4,VLOOKUP($B17,Parameters!$E$108:$G$501,3,FALSE),0)*(1+Parameters!$G$13)^(M$8-$G$8)/1000</f>
        <v>0</v>
      </c>
      <c r="N17" s="527">
        <f>IF(N$8=$C$4,VLOOKUP($B17,Parameters!$E$108:$G$501,3,FALSE),0)*(1+Parameters!$G$13)^(N$8-$G$8)/1000</f>
        <v>0</v>
      </c>
      <c r="O17" s="527">
        <f>IF(O$8=$C$4,VLOOKUP($B17,Parameters!$E$108:$G$501,3,FALSE),0)*(1+Parameters!$G$13)^(O$8-$G$8)/1000</f>
        <v>0</v>
      </c>
      <c r="P17" s="527">
        <f>IF(P$8=$C$4,VLOOKUP($B17,Parameters!$E$108:$G$501,3,FALSE),0)*(1+Parameters!$G$13)^(P$8-$G$8)/1000</f>
        <v>0</v>
      </c>
      <c r="Q17" s="527">
        <f>IF(Q$8=$C$4,VLOOKUP($B17,Parameters!$E$108:$G$501,3,FALSE),0)*(1+Parameters!$G$13)^(Q$8-$G$8)/1000</f>
        <v>0</v>
      </c>
      <c r="R17" s="527">
        <f>IF(R$8=$C$4,VLOOKUP($B17,Parameters!$E$108:$G$501,3,FALSE),0)*(1+Parameters!$G$13)^(R$8-$G$8)/1000</f>
        <v>0</v>
      </c>
      <c r="S17" s="527">
        <f>IF(S$8=$C$4,VLOOKUP($B17,Parameters!$E$108:$G$501,3,FALSE),0)*(1+Parameters!$G$13)^(S$8-$G$8)/1000</f>
        <v>0</v>
      </c>
      <c r="T17" s="527">
        <f>IF(T$8=$C$4,VLOOKUP($B17,Parameters!$E$108:$G$501,3,FALSE),0)*(1+Parameters!$G$13)^(T$8-$G$8)/1000</f>
        <v>0</v>
      </c>
      <c r="U17" s="527">
        <f>IF(U$8=$C$4,VLOOKUP($B17,Parameters!$E$108:$G$501,3,FALSE),0)*(1+Parameters!$G$13)^(U$8-$G$8)/1000</f>
        <v>0</v>
      </c>
      <c r="V17" s="527">
        <f>IF(V$8=$C$4,VLOOKUP($B17,Parameters!$E$108:$G$501,3,FALSE),0)*(1+Parameters!$G$13)^(V$8-$G$8)/1000</f>
        <v>0</v>
      </c>
      <c r="W17" s="527">
        <f>IF(W$8=$C$4,VLOOKUP($B17,Parameters!$E$108:$G$501,3,FALSE),0)*(1+Parameters!$G$13)^(W$8-$G$8)/1000</f>
        <v>0</v>
      </c>
      <c r="X17" s="527">
        <f>IF(X$8=$C$4,VLOOKUP($B17,Parameters!$E$108:$G$501,3,FALSE),0)*(1+Parameters!$G$13)^(X$8-$G$8)/1000</f>
        <v>0</v>
      </c>
      <c r="Y17" s="527">
        <f>IF(Y$8=$C$4,VLOOKUP($B17,Parameters!$E$108:$G$501,3,FALSE),0)*(1+Parameters!$G$13)^(Y$8-$G$8)/1000</f>
        <v>0</v>
      </c>
      <c r="Z17" s="527">
        <f>IF(Z$8=$C$4,VLOOKUP($B17,Parameters!$E$108:$G$501,3,FALSE),0)*(1+Parameters!$G$13)^(Z$8-$G$8)/1000</f>
        <v>0</v>
      </c>
      <c r="AA17" s="527">
        <f>IF(AA$8=$C$4,VLOOKUP($B17,Parameters!$E$108:$G$501,3,FALSE),0)*(1+Parameters!$G$13)^(AA$8-$G$8)/1000</f>
        <v>0</v>
      </c>
      <c r="AB17" s="527">
        <f>IF(AB$8=$C$4,VLOOKUP($B17,Parameters!$E$108:$G$501,3,FALSE),0)*(1+Parameters!$G$13)^(AB$8-$G$8)/1000</f>
        <v>0</v>
      </c>
      <c r="AC17" s="527">
        <f>IF(AC$8=$C$4,VLOOKUP($B17,Parameters!$E$108:$G$501,3,FALSE),0)*(1+Parameters!$G$13)^(AC$8-$G$8)/1000</f>
        <v>0</v>
      </c>
      <c r="AD17" s="527">
        <f>IF(AD$8=$C$4,VLOOKUP($B17,Parameters!$E$108:$G$501,3,FALSE),0)*(1+Parameters!$G$13)^(AD$8-$G$8)/1000</f>
        <v>0</v>
      </c>
      <c r="AE17" s="527">
        <f>IF(AE$8=$C$4,VLOOKUP($B17,Parameters!$E$108:$G$501,3,FALSE),0)*(1+Parameters!$G$13)^(AE$8-$G$8)/1000</f>
        <v>0</v>
      </c>
      <c r="AF17" s="527">
        <f>IF(AF$8=$C$4,VLOOKUP($B17,Parameters!$E$108:$G$501,3,FALSE),0)*(1+Parameters!$G$13)^(AF$8-$G$8)/1000</f>
        <v>0</v>
      </c>
      <c r="AG17" s="527">
        <f>IF(AG$8=$C$4,VLOOKUP($B17,Parameters!$E$108:$G$501,3,FALSE),0)*(1+Parameters!$G$13)^(AG$8-$G$8)/1000</f>
        <v>0</v>
      </c>
      <c r="AH17" s="527">
        <f>IF(AH$8=$C$4,VLOOKUP($B17,Parameters!$E$108:$G$501,3,FALSE),0)*(1+Parameters!$G$13)^(AH$8-$G$8)/1000</f>
        <v>0</v>
      </c>
      <c r="AI17" s="527">
        <f>IF(AI$8=$C$4,VLOOKUP($B17,Parameters!$E$108:$G$501,3,FALSE),0)*(1+Parameters!$G$13)^(AI$8-$G$8)/1000</f>
        <v>0</v>
      </c>
      <c r="AJ17" s="527">
        <f>IF(AJ$8=$C$4,VLOOKUP($B17,Parameters!$E$108:$G$501,3,FALSE),0)*(1+Parameters!$G$13)^(AJ$8-$G$8)/1000</f>
        <v>0</v>
      </c>
      <c r="AK17" s="527">
        <f>IF(AK$8=$C$4,VLOOKUP($B17,Parameters!$E$108:$G$501,3,FALSE),0)*(1+Parameters!$G$13)^(AK$8-$G$8)/1000</f>
        <v>0</v>
      </c>
      <c r="AL17" s="527">
        <f>IF(AL$8=$C$4,VLOOKUP($B17,Parameters!$E$108:$G$501,3,FALSE),0)*(1+Parameters!$G$13)^(AL$8-$G$8)/1000</f>
        <v>0</v>
      </c>
      <c r="AM17" s="527">
        <f>IF(AM$8=$C$4,VLOOKUP($B17,Parameters!$E$108:$G$501,3,FALSE),0)*(1+Parameters!$G$13)^(AM$8-$G$8)/1000</f>
        <v>0</v>
      </c>
      <c r="AN17" s="527">
        <f>IF(AN$8=$C$4,VLOOKUP($B17,Parameters!$E$108:$G$501,3,FALSE),0)*(1+Parameters!$G$13)^(AN$8-$G$8)/1000</f>
        <v>0</v>
      </c>
      <c r="AO17" s="527">
        <f>IF(AO$8=$C$4,VLOOKUP($B17,Parameters!$E$108:$G$501,3,FALSE),0)*(1+Parameters!$G$13)^(AO$8-$G$8)/1000</f>
        <v>0</v>
      </c>
      <c r="AP17" s="527">
        <f>IF(AP$8=$C$4,VLOOKUP($B17,Parameters!$E$108:$G$501,3,FALSE),0)*(1+Parameters!$G$13)^(AP$8-$G$8)/1000</f>
        <v>0</v>
      </c>
      <c r="AQ17" s="527">
        <f>IF(AQ$8=$C$4,VLOOKUP($B17,Parameters!$E$108:$G$501,3,FALSE),0)*(1+Parameters!$G$13)^(AQ$8-$G$8)/1000</f>
        <v>0</v>
      </c>
      <c r="AR17" s="527">
        <f>IF(AR$8=$C$4,VLOOKUP($B17,Parameters!$E$108:$G$501,3,FALSE),0)*(1+Parameters!$G$13)^(AR$8-$G$8)/1000</f>
        <v>0</v>
      </c>
      <c r="AS17" s="527">
        <f>IF(AS$8=$C$4,VLOOKUP($B17,Parameters!$E$108:$G$501,3,FALSE),0)*(1+Parameters!$G$13)^(AS$8-$G$8)/1000</f>
        <v>0</v>
      </c>
      <c r="AT17" s="527">
        <f>IF(AT$8=$C$4,VLOOKUP($B17,Parameters!$E$108:$G$501,3,FALSE),0)*(1+Parameters!$G$13)^(AT$8-$G$8)/1000</f>
        <v>0</v>
      </c>
      <c r="AU17" s="527">
        <f>IF(AU$8=$C$4,VLOOKUP($B17,Parameters!$E$108:$G$501,3,FALSE),0)*(1+Parameters!$G$13)^(AU$8-$G$8)/1000</f>
        <v>0</v>
      </c>
      <c r="AV17" s="527">
        <f>IF(AV$8=$C$4,VLOOKUP($B17,Parameters!$E$108:$G$501,3,FALSE),0)*(1+Parameters!$G$13)^(AV$8-$G$8)/1000</f>
        <v>0</v>
      </c>
      <c r="AW17" s="527">
        <f>IF(AW$8=$C$4,VLOOKUP($B17,Parameters!$E$108:$G$501,3,FALSE),0)*(1+Parameters!$G$13)^(AW$8-$G$8)/1000</f>
        <v>0</v>
      </c>
      <c r="AX17" s="527">
        <f>IF(AX$8=$C$4,VLOOKUP($B17,Parameters!$E$108:$G$501,3,FALSE),0)*(1+Parameters!$G$13)^(AX$8-$G$8)/1000</f>
        <v>0</v>
      </c>
      <c r="AY17" s="527">
        <f>IF(AY$8=$C$4,VLOOKUP($B17,Parameters!$E$108:$G$501,3,FALSE),0)*(1+Parameters!$G$13)^(AY$8-$G$8)/1000</f>
        <v>0</v>
      </c>
      <c r="AZ17" s="527">
        <f>IF(AZ$8=$C$4,VLOOKUP($B17,Parameters!$E$108:$G$501,3,FALSE),0)*(1+Parameters!$G$13)^(AZ$8-$G$8)/1000</f>
        <v>0</v>
      </c>
      <c r="BA17" s="527">
        <f>IF(BA$8=$C$4,VLOOKUP($B17,Parameters!$E$108:$G$501,3,FALSE),0)*(1+Parameters!$G$13)^(BA$8-$G$8)/1000</f>
        <v>0</v>
      </c>
      <c r="BB17" s="527">
        <f>IF(BB$8=$C$4,VLOOKUP($B17,Parameters!$E$108:$G$501,3,FALSE),0)*(1+Parameters!$G$13)^(BB$8-$G$8)/1000</f>
        <v>0</v>
      </c>
    </row>
    <row r="18" spans="2:54 16384:16384" x14ac:dyDescent="0.25">
      <c r="B18" s="478" t="str">
        <f>Parameters!E239</f>
        <v>Capex cable (CCS)</v>
      </c>
      <c r="C18" s="511" t="s">
        <v>979</v>
      </c>
      <c r="D18" s="512">
        <f t="shared" si="11"/>
        <v>0</v>
      </c>
      <c r="E18" s="512">
        <f t="shared" si="12"/>
        <v>0</v>
      </c>
      <c r="F18" s="478"/>
      <c r="G18" s="527">
        <f>IF(G$8=$C$4,VLOOKUP($B18,Parameters!$E$108:$G$501,3,FALSE),0)*(1+Parameters!$G$13)^(G$8-$G$8)/1000</f>
        <v>0</v>
      </c>
      <c r="H18" s="527">
        <f>IF(H$8=$C$4,VLOOKUP($B18,Parameters!$E$108:$G$501,3,FALSE),0)*(1+Parameters!$G$13)^(H$8-$G$8)/1000</f>
        <v>0</v>
      </c>
      <c r="I18" s="527">
        <f>IF(I$8=$C$4,VLOOKUP($B18,Parameters!$E$108:$G$501,3,FALSE),0)*(1+Parameters!$G$13)^(I$8-$G$8)/1000</f>
        <v>0</v>
      </c>
      <c r="J18" s="527">
        <f>IF(J$8=$C$4,VLOOKUP($B18,Parameters!$E$108:$G$501,3,FALSE),0)*(1+Parameters!$G$13)^(J$8-$G$8)/1000</f>
        <v>0</v>
      </c>
      <c r="K18" s="527">
        <f>IF(K$8=$C$4,VLOOKUP($B18,Parameters!$E$108:$G$501,3,FALSE),0)*(1+Parameters!$G$13)^(K$8-$G$8)/1000</f>
        <v>0</v>
      </c>
      <c r="L18" s="527">
        <f>IF(L$8=$C$4,VLOOKUP($B18,Parameters!$E$108:$G$501,3,FALSE),0)*(1+Parameters!$G$13)^(L$8-$G$8)/1000</f>
        <v>0</v>
      </c>
      <c r="M18" s="527">
        <f>IF(M$8=$C$4,VLOOKUP($B18,Parameters!$E$108:$G$501,3,FALSE),0)*(1+Parameters!$G$13)^(M$8-$G$8)/1000</f>
        <v>0</v>
      </c>
      <c r="N18" s="527">
        <f>IF(N$8=$C$4,VLOOKUP($B18,Parameters!$E$108:$G$501,3,FALSE),0)*(1+Parameters!$G$13)^(N$8-$G$8)/1000</f>
        <v>0</v>
      </c>
      <c r="O18" s="527">
        <f>IF(O$8=$C$4,VLOOKUP($B18,Parameters!$E$108:$G$501,3,FALSE),0)*(1+Parameters!$G$13)^(O$8-$G$8)/1000</f>
        <v>0</v>
      </c>
      <c r="P18" s="527">
        <f>IF(P$8=$C$4,VLOOKUP($B18,Parameters!$E$108:$G$501,3,FALSE),0)*(1+Parameters!$G$13)^(P$8-$G$8)/1000</f>
        <v>0</v>
      </c>
      <c r="Q18" s="527">
        <f>IF(Q$8=$C$4,VLOOKUP($B18,Parameters!$E$108:$G$501,3,FALSE),0)*(1+Parameters!$G$13)^(Q$8-$G$8)/1000</f>
        <v>0</v>
      </c>
      <c r="R18" s="527">
        <f>IF(R$8=$C$4,VLOOKUP($B18,Parameters!$E$108:$G$501,3,FALSE),0)*(1+Parameters!$G$13)^(R$8-$G$8)/1000</f>
        <v>0</v>
      </c>
      <c r="S18" s="527">
        <f>IF(S$8=$C$4,VLOOKUP($B18,Parameters!$E$108:$G$501,3,FALSE),0)*(1+Parameters!$G$13)^(S$8-$G$8)/1000</f>
        <v>0</v>
      </c>
      <c r="T18" s="527">
        <f>IF(T$8=$C$4,VLOOKUP($B18,Parameters!$E$108:$G$501,3,FALSE),0)*(1+Parameters!$G$13)^(T$8-$G$8)/1000</f>
        <v>0</v>
      </c>
      <c r="U18" s="527">
        <f>IF(U$8=$C$4,VLOOKUP($B18,Parameters!$E$108:$G$501,3,FALSE),0)*(1+Parameters!$G$13)^(U$8-$G$8)/1000</f>
        <v>0</v>
      </c>
      <c r="V18" s="527">
        <f>IF(V$8=$C$4,VLOOKUP($B18,Parameters!$E$108:$G$501,3,FALSE),0)*(1+Parameters!$G$13)^(V$8-$G$8)/1000</f>
        <v>0</v>
      </c>
      <c r="W18" s="527">
        <f>IF(W$8=$C$4,VLOOKUP($B18,Parameters!$E$108:$G$501,3,FALSE),0)*(1+Parameters!$G$13)^(W$8-$G$8)/1000</f>
        <v>0</v>
      </c>
      <c r="X18" s="527">
        <f>IF(X$8=$C$4,VLOOKUP($B18,Parameters!$E$108:$G$501,3,FALSE),0)*(1+Parameters!$G$13)^(X$8-$G$8)/1000</f>
        <v>0</v>
      </c>
      <c r="Y18" s="527">
        <f>IF(Y$8=$C$4,VLOOKUP($B18,Parameters!$E$108:$G$501,3,FALSE),0)*(1+Parameters!$G$13)^(Y$8-$G$8)/1000</f>
        <v>0</v>
      </c>
      <c r="Z18" s="527">
        <f>IF(Z$8=$C$4,VLOOKUP($B18,Parameters!$E$108:$G$501,3,FALSE),0)*(1+Parameters!$G$13)^(Z$8-$G$8)/1000</f>
        <v>0</v>
      </c>
      <c r="AA18" s="527">
        <f>IF(AA$8=$C$4,VLOOKUP($B18,Parameters!$E$108:$G$501,3,FALSE),0)*(1+Parameters!$G$13)^(AA$8-$G$8)/1000</f>
        <v>0</v>
      </c>
      <c r="AB18" s="527">
        <f>IF(AB$8=$C$4,VLOOKUP($B18,Parameters!$E$108:$G$501,3,FALSE),0)*(1+Parameters!$G$13)^(AB$8-$G$8)/1000</f>
        <v>0</v>
      </c>
      <c r="AC18" s="527">
        <f>IF(AC$8=$C$4,VLOOKUP($B18,Parameters!$E$108:$G$501,3,FALSE),0)*(1+Parameters!$G$13)^(AC$8-$G$8)/1000</f>
        <v>0</v>
      </c>
      <c r="AD18" s="527">
        <f>IF(AD$8=$C$4,VLOOKUP($B18,Parameters!$E$108:$G$501,3,FALSE),0)*(1+Parameters!$G$13)^(AD$8-$G$8)/1000</f>
        <v>0</v>
      </c>
      <c r="AE18" s="527">
        <f>IF(AE$8=$C$4,VLOOKUP($B18,Parameters!$E$108:$G$501,3,FALSE),0)*(1+Parameters!$G$13)^(AE$8-$G$8)/1000</f>
        <v>0</v>
      </c>
      <c r="AF18" s="527">
        <f>IF(AF$8=$C$4,VLOOKUP($B18,Parameters!$E$108:$G$501,3,FALSE),0)*(1+Parameters!$G$13)^(AF$8-$G$8)/1000</f>
        <v>0</v>
      </c>
      <c r="AG18" s="527">
        <f>IF(AG$8=$C$4,VLOOKUP($B18,Parameters!$E$108:$G$501,3,FALSE),0)*(1+Parameters!$G$13)^(AG$8-$G$8)/1000</f>
        <v>0</v>
      </c>
      <c r="AH18" s="527">
        <f>IF(AH$8=$C$4,VLOOKUP($B18,Parameters!$E$108:$G$501,3,FALSE),0)*(1+Parameters!$G$13)^(AH$8-$G$8)/1000</f>
        <v>0</v>
      </c>
      <c r="AI18" s="527">
        <f>IF(AI$8=$C$4,VLOOKUP($B18,Parameters!$E$108:$G$501,3,FALSE),0)*(1+Parameters!$G$13)^(AI$8-$G$8)/1000</f>
        <v>0</v>
      </c>
      <c r="AJ18" s="527">
        <f>IF(AJ$8=$C$4,VLOOKUP($B18,Parameters!$E$108:$G$501,3,FALSE),0)*(1+Parameters!$G$13)^(AJ$8-$G$8)/1000</f>
        <v>0</v>
      </c>
      <c r="AK18" s="527">
        <f>IF(AK$8=$C$4,VLOOKUP($B18,Parameters!$E$108:$G$501,3,FALSE),0)*(1+Parameters!$G$13)^(AK$8-$G$8)/1000</f>
        <v>0</v>
      </c>
      <c r="AL18" s="527">
        <f>IF(AL$8=$C$4,VLOOKUP($B18,Parameters!$E$108:$G$501,3,FALSE),0)*(1+Parameters!$G$13)^(AL$8-$G$8)/1000</f>
        <v>0</v>
      </c>
      <c r="AM18" s="527">
        <f>IF(AM$8=$C$4,VLOOKUP($B18,Parameters!$E$108:$G$501,3,FALSE),0)*(1+Parameters!$G$13)^(AM$8-$G$8)/1000</f>
        <v>0</v>
      </c>
      <c r="AN18" s="527">
        <f>IF(AN$8=$C$4,VLOOKUP($B18,Parameters!$E$108:$G$501,3,FALSE),0)*(1+Parameters!$G$13)^(AN$8-$G$8)/1000</f>
        <v>0</v>
      </c>
      <c r="AO18" s="527">
        <f>IF(AO$8=$C$4,VLOOKUP($B18,Parameters!$E$108:$G$501,3,FALSE),0)*(1+Parameters!$G$13)^(AO$8-$G$8)/1000</f>
        <v>0</v>
      </c>
      <c r="AP18" s="527">
        <f>IF(AP$8=$C$4,VLOOKUP($B18,Parameters!$E$108:$G$501,3,FALSE),0)*(1+Parameters!$G$13)^(AP$8-$G$8)/1000</f>
        <v>0</v>
      </c>
      <c r="AQ18" s="527">
        <f>IF(AQ$8=$C$4,VLOOKUP($B18,Parameters!$E$108:$G$501,3,FALSE),0)*(1+Parameters!$G$13)^(AQ$8-$G$8)/1000</f>
        <v>0</v>
      </c>
      <c r="AR18" s="527">
        <f>IF(AR$8=$C$4,VLOOKUP($B18,Parameters!$E$108:$G$501,3,FALSE),0)*(1+Parameters!$G$13)^(AR$8-$G$8)/1000</f>
        <v>0</v>
      </c>
      <c r="AS18" s="527">
        <f>IF(AS$8=$C$4,VLOOKUP($B18,Parameters!$E$108:$G$501,3,FALSE),0)*(1+Parameters!$G$13)^(AS$8-$G$8)/1000</f>
        <v>0</v>
      </c>
      <c r="AT18" s="527">
        <f>IF(AT$8=$C$4,VLOOKUP($B18,Parameters!$E$108:$G$501,3,FALSE),0)*(1+Parameters!$G$13)^(AT$8-$G$8)/1000</f>
        <v>0</v>
      </c>
      <c r="AU18" s="527">
        <f>IF(AU$8=$C$4,VLOOKUP($B18,Parameters!$E$108:$G$501,3,FALSE),0)*(1+Parameters!$G$13)^(AU$8-$G$8)/1000</f>
        <v>0</v>
      </c>
      <c r="AV18" s="527">
        <f>IF(AV$8=$C$4,VLOOKUP($B18,Parameters!$E$108:$G$501,3,FALSE),0)*(1+Parameters!$G$13)^(AV$8-$G$8)/1000</f>
        <v>0</v>
      </c>
      <c r="AW18" s="527">
        <f>IF(AW$8=$C$4,VLOOKUP($B18,Parameters!$E$108:$G$501,3,FALSE),0)*(1+Parameters!$G$13)^(AW$8-$G$8)/1000</f>
        <v>0</v>
      </c>
      <c r="AX18" s="527">
        <f>IF(AX$8=$C$4,VLOOKUP($B18,Parameters!$E$108:$G$501,3,FALSE),0)*(1+Parameters!$G$13)^(AX$8-$G$8)/1000</f>
        <v>0</v>
      </c>
      <c r="AY18" s="527">
        <f>IF(AY$8=$C$4,VLOOKUP($B18,Parameters!$E$108:$G$501,3,FALSE),0)*(1+Parameters!$G$13)^(AY$8-$G$8)/1000</f>
        <v>0</v>
      </c>
      <c r="AZ18" s="527">
        <f>IF(AZ$8=$C$4,VLOOKUP($B18,Parameters!$E$108:$G$501,3,FALSE),0)*(1+Parameters!$G$13)^(AZ$8-$G$8)/1000</f>
        <v>0</v>
      </c>
      <c r="BA18" s="527">
        <f>IF(BA$8=$C$4,VLOOKUP($B18,Parameters!$E$108:$G$501,3,FALSE),0)*(1+Parameters!$G$13)^(BA$8-$G$8)/1000</f>
        <v>0</v>
      </c>
      <c r="BB18" s="527">
        <f>IF(BB$8=$C$4,VLOOKUP($B18,Parameters!$E$108:$G$501,3,FALSE),0)*(1+Parameters!$G$13)^(BB$8-$G$8)/1000</f>
        <v>0</v>
      </c>
    </row>
    <row r="19" spans="2:54 16384:16384" s="1146" customFormat="1" x14ac:dyDescent="0.25">
      <c r="B19" s="738" t="str">
        <f>Parameters!E241</f>
        <v>Capex booster</v>
      </c>
      <c r="C19" s="511" t="s">
        <v>979</v>
      </c>
      <c r="D19" s="512">
        <f t="shared" si="11"/>
        <v>0</v>
      </c>
      <c r="E19" s="512">
        <f t="shared" si="12"/>
        <v>0</v>
      </c>
      <c r="F19" s="478"/>
      <c r="G19" s="527">
        <f>IF(G$8=$C$4,VLOOKUP($B19,Parameters!$E$108:$G$501,3,FALSE),0)*(1+Parameters!$G$13)^(G$8-$G$8)/1000</f>
        <v>0</v>
      </c>
      <c r="H19" s="527">
        <f>IF(H$8=$C$4,VLOOKUP($B19,Parameters!$E$108:$G$501,3,FALSE),0)*(1+Parameters!$G$13)^(H$8-$G$8)/1000</f>
        <v>0</v>
      </c>
      <c r="I19" s="527">
        <f>IF(I$8=$C$4,VLOOKUP($B19,Parameters!$E$108:$G$501,3,FALSE),0)*(1+Parameters!$G$13)^(I$8-$G$8)/1000</f>
        <v>0</v>
      </c>
      <c r="J19" s="527">
        <f>IF(J$8=$C$4,VLOOKUP($B19,Parameters!$E$108:$G$501,3,FALSE),0)*(1+Parameters!$G$13)^(J$8-$G$8)/1000</f>
        <v>0</v>
      </c>
      <c r="K19" s="527">
        <f>IF(K$8=$C$4,VLOOKUP($B19,Parameters!$E$108:$G$501,3,FALSE),0)*(1+Parameters!$G$13)^(K$8-$G$8)/1000</f>
        <v>0</v>
      </c>
      <c r="L19" s="527">
        <f>IF(L$8=$C$4,VLOOKUP($B19,Parameters!$E$108:$G$501,3,FALSE),0)*(1+Parameters!$G$13)^(L$8-$G$8)/1000</f>
        <v>0</v>
      </c>
      <c r="M19" s="527">
        <f>IF(M$8=$C$4,VLOOKUP($B19,Parameters!$E$108:$G$501,3,FALSE),0)*(1+Parameters!$G$13)^(M$8-$G$8)/1000</f>
        <v>0</v>
      </c>
      <c r="N19" s="527">
        <f>IF(N$8=$C$4,VLOOKUP($B19,Parameters!$E$108:$G$501,3,FALSE),0)*(1+Parameters!$G$13)^(N$8-$G$8)/1000</f>
        <v>0</v>
      </c>
      <c r="O19" s="527">
        <f>IF(O$8=$C$4,VLOOKUP($B19,Parameters!$E$108:$G$501,3,FALSE),0)*(1+Parameters!$G$13)^(O$8-$G$8)/1000</f>
        <v>0</v>
      </c>
      <c r="P19" s="527">
        <f>IF(P$8=$C$4,VLOOKUP($B19,Parameters!$E$108:$G$501,3,FALSE),0)*(1+Parameters!$G$13)^(P$8-$G$8)/1000</f>
        <v>0</v>
      </c>
      <c r="Q19" s="527">
        <f>IF(Q$8=$C$4,VLOOKUP($B19,Parameters!$E$108:$G$501,3,FALSE),0)*(1+Parameters!$G$13)^(Q$8-$G$8)/1000</f>
        <v>0</v>
      </c>
      <c r="R19" s="527">
        <f>IF(R$8=$C$4,VLOOKUP($B19,Parameters!$E$108:$G$501,3,FALSE),0)*(1+Parameters!$G$13)^(R$8-$G$8)/1000</f>
        <v>0</v>
      </c>
      <c r="S19" s="527">
        <f>IF(S$8=$C$4,VLOOKUP($B19,Parameters!$E$108:$G$501,3,FALSE),0)*(1+Parameters!$G$13)^(S$8-$G$8)/1000</f>
        <v>0</v>
      </c>
      <c r="T19" s="527">
        <f>IF(T$8=$C$4,VLOOKUP($B19,Parameters!$E$108:$G$501,3,FALSE),0)*(1+Parameters!$G$13)^(T$8-$G$8)/1000</f>
        <v>0</v>
      </c>
      <c r="U19" s="527">
        <f>IF(U$8=$C$4,VLOOKUP($B19,Parameters!$E$108:$G$501,3,FALSE),0)*(1+Parameters!$G$13)^(U$8-$G$8)/1000</f>
        <v>0</v>
      </c>
      <c r="V19" s="527">
        <f>IF(V$8=$C$4,VLOOKUP($B19,Parameters!$E$108:$G$501,3,FALSE),0)*(1+Parameters!$G$13)^(V$8-$G$8)/1000</f>
        <v>0</v>
      </c>
      <c r="W19" s="527">
        <f>IF(W$8=$C$4,VLOOKUP($B19,Parameters!$E$108:$G$501,3,FALSE),0)*(1+Parameters!$G$13)^(W$8-$G$8)/1000</f>
        <v>0</v>
      </c>
      <c r="X19" s="527">
        <f>IF(X$8=$C$4,VLOOKUP($B19,Parameters!$E$108:$G$501,3,FALSE),0)*(1+Parameters!$G$13)^(X$8-$G$8)/1000</f>
        <v>0</v>
      </c>
      <c r="Y19" s="527">
        <f>IF(Y$8=$C$4,VLOOKUP($B19,Parameters!$E$108:$G$501,3,FALSE),0)*(1+Parameters!$G$13)^(Y$8-$G$8)/1000</f>
        <v>0</v>
      </c>
      <c r="Z19" s="527">
        <f>IF(Z$8=$C$4,VLOOKUP($B19,Parameters!$E$108:$G$501,3,FALSE),0)*(1+Parameters!$G$13)^(Z$8-$G$8)/1000</f>
        <v>0</v>
      </c>
      <c r="AA19" s="527">
        <f>IF(AA$8=$C$4,VLOOKUP($B19,Parameters!$E$108:$G$501,3,FALSE),0)*(1+Parameters!$G$13)^(AA$8-$G$8)/1000</f>
        <v>0</v>
      </c>
      <c r="AB19" s="527">
        <f>IF(AB$8=$C$4,VLOOKUP($B19,Parameters!$E$108:$G$501,3,FALSE),0)*(1+Parameters!$G$13)^(AB$8-$G$8)/1000</f>
        <v>0</v>
      </c>
      <c r="AC19" s="527">
        <f>IF(AC$8=$C$4,VLOOKUP($B19,Parameters!$E$108:$G$501,3,FALSE),0)*(1+Parameters!$G$13)^(AC$8-$G$8)/1000</f>
        <v>0</v>
      </c>
      <c r="AD19" s="527">
        <f>IF(AD$8=$C$4,VLOOKUP($B19,Parameters!$E$108:$G$501,3,FALSE),0)*(1+Parameters!$G$13)^(AD$8-$G$8)/1000</f>
        <v>0</v>
      </c>
      <c r="AE19" s="527">
        <f>IF(AE$8=$C$4,VLOOKUP($B19,Parameters!$E$108:$G$501,3,FALSE),0)*(1+Parameters!$G$13)^(AE$8-$G$8)/1000</f>
        <v>0</v>
      </c>
      <c r="AF19" s="527">
        <f>IF(AF$8=$C$4,VLOOKUP($B19,Parameters!$E$108:$G$501,3,FALSE),0)*(1+Parameters!$G$13)^(AF$8-$G$8)/1000</f>
        <v>0</v>
      </c>
      <c r="AG19" s="527">
        <f>IF(AG$8=$C$4,VLOOKUP($B19,Parameters!$E$108:$G$501,3,FALSE),0)*(1+Parameters!$G$13)^(AG$8-$G$8)/1000</f>
        <v>0</v>
      </c>
      <c r="AH19" s="527">
        <f>IF(AH$8=$C$4,VLOOKUP($B19,Parameters!$E$108:$G$501,3,FALSE),0)*(1+Parameters!$G$13)^(AH$8-$G$8)/1000</f>
        <v>0</v>
      </c>
      <c r="AI19" s="527">
        <f>IF(AI$8=$C$4,VLOOKUP($B19,Parameters!$E$108:$G$501,3,FALSE),0)*(1+Parameters!$G$13)^(AI$8-$G$8)/1000</f>
        <v>0</v>
      </c>
      <c r="AJ19" s="527">
        <f>IF(AJ$8=$C$4,VLOOKUP($B19,Parameters!$E$108:$G$501,3,FALSE),0)*(1+Parameters!$G$13)^(AJ$8-$G$8)/1000</f>
        <v>0</v>
      </c>
      <c r="AK19" s="527">
        <f>IF(AK$8=$C$4,VLOOKUP($B19,Parameters!$E$108:$G$501,3,FALSE),0)*(1+Parameters!$G$13)^(AK$8-$G$8)/1000</f>
        <v>0</v>
      </c>
      <c r="AL19" s="527">
        <f>IF(AL$8=$C$4,VLOOKUP($B19,Parameters!$E$108:$G$501,3,FALSE),0)*(1+Parameters!$G$13)^(AL$8-$G$8)/1000</f>
        <v>0</v>
      </c>
      <c r="AM19" s="527">
        <f>IF(AM$8=$C$4,VLOOKUP($B19,Parameters!$E$108:$G$501,3,FALSE),0)*(1+Parameters!$G$13)^(AM$8-$G$8)/1000</f>
        <v>0</v>
      </c>
      <c r="AN19" s="527">
        <f>IF(AN$8=$C$4,VLOOKUP($B19,Parameters!$E$108:$G$501,3,FALSE),0)*(1+Parameters!$G$13)^(AN$8-$G$8)/1000</f>
        <v>0</v>
      </c>
      <c r="AO19" s="527">
        <f>IF(AO$8=$C$4,VLOOKUP($B19,Parameters!$E$108:$G$501,3,FALSE),0)*(1+Parameters!$G$13)^(AO$8-$G$8)/1000</f>
        <v>0</v>
      </c>
      <c r="AP19" s="527">
        <f>IF(AP$8=$C$4,VLOOKUP($B19,Parameters!$E$108:$G$501,3,FALSE),0)*(1+Parameters!$G$13)^(AP$8-$G$8)/1000</f>
        <v>0</v>
      </c>
      <c r="AQ19" s="527">
        <f>IF(AQ$8=$C$4,VLOOKUP($B19,Parameters!$E$108:$G$501,3,FALSE),0)*(1+Parameters!$G$13)^(AQ$8-$G$8)/1000</f>
        <v>0</v>
      </c>
      <c r="AR19" s="527">
        <f>IF(AR$8=$C$4,VLOOKUP($B19,Parameters!$E$108:$G$501,3,FALSE),0)*(1+Parameters!$G$13)^(AR$8-$G$8)/1000</f>
        <v>0</v>
      </c>
      <c r="AS19" s="527">
        <f>IF(AS$8=$C$4,VLOOKUP($B19,Parameters!$E$108:$G$501,3,FALSE),0)*(1+Parameters!$G$13)^(AS$8-$G$8)/1000</f>
        <v>0</v>
      </c>
      <c r="AT19" s="527">
        <f>IF(AT$8=$C$4,VLOOKUP($B19,Parameters!$E$108:$G$501,3,FALSE),0)*(1+Parameters!$G$13)^(AT$8-$G$8)/1000</f>
        <v>0</v>
      </c>
      <c r="AU19" s="527">
        <f>IF(AU$8=$C$4,VLOOKUP($B19,Parameters!$E$108:$G$501,3,FALSE),0)*(1+Parameters!$G$13)^(AU$8-$G$8)/1000</f>
        <v>0</v>
      </c>
      <c r="AV19" s="527">
        <f>IF(AV$8=$C$4,VLOOKUP($B19,Parameters!$E$108:$G$501,3,FALSE),0)*(1+Parameters!$G$13)^(AV$8-$G$8)/1000</f>
        <v>0</v>
      </c>
      <c r="AW19" s="527">
        <f>IF(AW$8=$C$4,VLOOKUP($B19,Parameters!$E$108:$G$501,3,FALSE),0)*(1+Parameters!$G$13)^(AW$8-$G$8)/1000</f>
        <v>0</v>
      </c>
      <c r="AX19" s="527">
        <f>IF(AX$8=$C$4,VLOOKUP($B19,Parameters!$E$108:$G$501,3,FALSE),0)*(1+Parameters!$G$13)^(AX$8-$G$8)/1000</f>
        <v>0</v>
      </c>
      <c r="AY19" s="527">
        <f>IF(AY$8=$C$4,VLOOKUP($B19,Parameters!$E$108:$G$501,3,FALSE),0)*(1+Parameters!$G$13)^(AY$8-$G$8)/1000</f>
        <v>0</v>
      </c>
      <c r="AZ19" s="527">
        <f>IF(AZ$8=$C$4,VLOOKUP($B19,Parameters!$E$108:$G$501,3,FALSE),0)*(1+Parameters!$G$13)^(AZ$8-$G$8)/1000</f>
        <v>0</v>
      </c>
      <c r="BA19" s="527">
        <f>IF(BA$8=$C$4,VLOOKUP($B19,Parameters!$E$108:$G$501,3,FALSE),0)*(1+Parameters!$G$13)^(BA$8-$G$8)/1000</f>
        <v>0</v>
      </c>
      <c r="BB19" s="527">
        <f>IF(BB$8=$C$4,VLOOKUP($B19,Parameters!$E$108:$G$501,3,FALSE),0)*(1+Parameters!$G$13)^(BB$8-$G$8)/1000</f>
        <v>0</v>
      </c>
    </row>
    <row r="20" spans="2:54 16384:16384" s="1190" customFormat="1" x14ac:dyDescent="0.25">
      <c r="B20" s="738" t="str">
        <f>Parameters!E237</f>
        <v>Total capex new platforms (CCS)</v>
      </c>
      <c r="C20" s="511" t="s">
        <v>979</v>
      </c>
      <c r="D20" s="512">
        <f t="shared" si="11"/>
        <v>0</v>
      </c>
      <c r="E20" s="512">
        <f t="shared" si="12"/>
        <v>0</v>
      </c>
      <c r="F20" s="478"/>
      <c r="G20" s="527">
        <f>IF(G$8=$C$4,VLOOKUP($B20,Parameters!$E$108:$G$501,3,FALSE),0)*(1+Parameters!$G$13)^(G$8-$G$8)/1000</f>
        <v>0</v>
      </c>
      <c r="H20" s="527">
        <f>IF(H$8=$C$4,VLOOKUP($B20,Parameters!$E$108:$G$501,3,FALSE),0)*(1+Parameters!$G$13)^(H$8-$G$8)/1000</f>
        <v>0</v>
      </c>
      <c r="I20" s="527">
        <f>IF(I$8=$C$4,VLOOKUP($B20,Parameters!$E$108:$G$501,3,FALSE),0)*(1+Parameters!$G$13)^(I$8-$G$8)/1000</f>
        <v>0</v>
      </c>
      <c r="J20" s="527">
        <f>IF(J$8=$C$4,VLOOKUP($B20,Parameters!$E$108:$G$501,3,FALSE),0)*(1+Parameters!$G$13)^(J$8-$G$8)/1000</f>
        <v>0</v>
      </c>
      <c r="K20" s="527">
        <f>IF(K$8=$C$4,VLOOKUP($B20,Parameters!$E$108:$G$501,3,FALSE),0)*(1+Parameters!$G$13)^(K$8-$G$8)/1000</f>
        <v>0</v>
      </c>
      <c r="L20" s="527">
        <f>IF(L$8=$C$4,VLOOKUP($B20,Parameters!$E$108:$G$501,3,FALSE),0)*(1+Parameters!$G$13)^(L$8-$G$8)/1000</f>
        <v>0</v>
      </c>
      <c r="M20" s="527">
        <f>IF(M$8=$C$4,VLOOKUP($B20,Parameters!$E$108:$G$501,3,FALSE),0)*(1+Parameters!$G$13)^(M$8-$G$8)/1000</f>
        <v>0</v>
      </c>
      <c r="N20" s="527">
        <f>IF(N$8=$C$4,VLOOKUP($B20,Parameters!$E$108:$G$501,3,FALSE),0)*(1+Parameters!$G$13)^(N$8-$G$8)/1000</f>
        <v>0</v>
      </c>
      <c r="O20" s="527">
        <f>IF(O$8=$C$4,VLOOKUP($B20,Parameters!$E$108:$G$501,3,FALSE),0)*(1+Parameters!$G$13)^(O$8-$G$8)/1000</f>
        <v>0</v>
      </c>
      <c r="P20" s="527">
        <f>IF(P$8=$C$4,VLOOKUP($B20,Parameters!$E$108:$G$501,3,FALSE),0)*(1+Parameters!$G$13)^(P$8-$G$8)/1000</f>
        <v>0</v>
      </c>
      <c r="Q20" s="527">
        <f>IF(Q$8=$C$4,VLOOKUP($B20,Parameters!$E$108:$G$501,3,FALSE),0)*(1+Parameters!$G$13)^(Q$8-$G$8)/1000</f>
        <v>0</v>
      </c>
      <c r="R20" s="527">
        <f>IF(R$8=$C$4,VLOOKUP($B20,Parameters!$E$108:$G$501,3,FALSE),0)*(1+Parameters!$G$13)^(R$8-$G$8)/1000</f>
        <v>0</v>
      </c>
      <c r="S20" s="527">
        <f>IF(S$8=$C$4,VLOOKUP($B20,Parameters!$E$108:$G$501,3,FALSE),0)*(1+Parameters!$G$13)^(S$8-$G$8)/1000</f>
        <v>0</v>
      </c>
      <c r="T20" s="527">
        <f>IF(T$8=$C$4,VLOOKUP($B20,Parameters!$E$108:$G$501,3,FALSE),0)*(1+Parameters!$G$13)^(T$8-$G$8)/1000</f>
        <v>0</v>
      </c>
      <c r="U20" s="527">
        <f>IF(U$8=$C$4,VLOOKUP($B20,Parameters!$E$108:$G$501,3,FALSE),0)*(1+Parameters!$G$13)^(U$8-$G$8)/1000</f>
        <v>0</v>
      </c>
      <c r="V20" s="527">
        <f>IF(V$8=$C$4,VLOOKUP($B20,Parameters!$E$108:$G$501,3,FALSE),0)*(1+Parameters!$G$13)^(V$8-$G$8)/1000</f>
        <v>0</v>
      </c>
      <c r="W20" s="527">
        <f>IF(W$8=$C$4,VLOOKUP($B20,Parameters!$E$108:$G$501,3,FALSE),0)*(1+Parameters!$G$13)^(W$8-$G$8)/1000</f>
        <v>0</v>
      </c>
      <c r="X20" s="527">
        <f>IF(X$8=$C$4,VLOOKUP($B20,Parameters!$E$108:$G$501,3,FALSE),0)*(1+Parameters!$G$13)^(X$8-$G$8)/1000</f>
        <v>0</v>
      </c>
      <c r="Y20" s="527">
        <f>IF(Y$8=$C$4,VLOOKUP($B20,Parameters!$E$108:$G$501,3,FALSE),0)*(1+Parameters!$G$13)^(Y$8-$G$8)/1000</f>
        <v>0</v>
      </c>
      <c r="Z20" s="527">
        <f>IF(Z$8=$C$4,VLOOKUP($B20,Parameters!$E$108:$G$501,3,FALSE),0)*(1+Parameters!$G$13)^(Z$8-$G$8)/1000</f>
        <v>0</v>
      </c>
      <c r="AA20" s="527">
        <f>IF(AA$8=$C$4,VLOOKUP($B20,Parameters!$E$108:$G$501,3,FALSE),0)*(1+Parameters!$G$13)^(AA$8-$G$8)/1000</f>
        <v>0</v>
      </c>
      <c r="AB20" s="527">
        <f>IF(AB$8=$C$4,VLOOKUP($B20,Parameters!$E$108:$G$501,3,FALSE),0)*(1+Parameters!$G$13)^(AB$8-$G$8)/1000</f>
        <v>0</v>
      </c>
      <c r="AC20" s="527">
        <f>IF(AC$8=$C$4,VLOOKUP($B20,Parameters!$E$108:$G$501,3,FALSE),0)*(1+Parameters!$G$13)^(AC$8-$G$8)/1000</f>
        <v>0</v>
      </c>
      <c r="AD20" s="527">
        <f>IF(AD$8=$C$4,VLOOKUP($B20,Parameters!$E$108:$G$501,3,FALSE),0)*(1+Parameters!$G$13)^(AD$8-$G$8)/1000</f>
        <v>0</v>
      </c>
      <c r="AE20" s="527">
        <f>IF(AE$8=$C$4,VLOOKUP($B20,Parameters!$E$108:$G$501,3,FALSE),0)*(1+Parameters!$G$13)^(AE$8-$G$8)/1000</f>
        <v>0</v>
      </c>
      <c r="AF20" s="527">
        <f>IF(AF$8=$C$4,VLOOKUP($B20,Parameters!$E$108:$G$501,3,FALSE),0)*(1+Parameters!$G$13)^(AF$8-$G$8)/1000</f>
        <v>0</v>
      </c>
      <c r="AG20" s="527">
        <f>IF(AG$8=$C$4,VLOOKUP($B20,Parameters!$E$108:$G$501,3,FALSE),0)*(1+Parameters!$G$13)^(AG$8-$G$8)/1000</f>
        <v>0</v>
      </c>
      <c r="AH20" s="527">
        <f>IF(AH$8=$C$4,VLOOKUP($B20,Parameters!$E$108:$G$501,3,FALSE),0)*(1+Parameters!$G$13)^(AH$8-$G$8)/1000</f>
        <v>0</v>
      </c>
      <c r="AI20" s="527">
        <f>IF(AI$8=$C$4,VLOOKUP($B20,Parameters!$E$108:$G$501,3,FALSE),0)*(1+Parameters!$G$13)^(AI$8-$G$8)/1000</f>
        <v>0</v>
      </c>
      <c r="AJ20" s="527">
        <f>IF(AJ$8=$C$4,VLOOKUP($B20,Parameters!$E$108:$G$501,3,FALSE),0)*(1+Parameters!$G$13)^(AJ$8-$G$8)/1000</f>
        <v>0</v>
      </c>
      <c r="AK20" s="527">
        <f>IF(AK$8=$C$4,VLOOKUP($B20,Parameters!$E$108:$G$501,3,FALSE),0)*(1+Parameters!$G$13)^(AK$8-$G$8)/1000</f>
        <v>0</v>
      </c>
      <c r="AL20" s="527">
        <f>IF(AL$8=$C$4,VLOOKUP($B20,Parameters!$E$108:$G$501,3,FALSE),0)*(1+Parameters!$G$13)^(AL$8-$G$8)/1000</f>
        <v>0</v>
      </c>
      <c r="AM20" s="527">
        <f>IF(AM$8=$C$4,VLOOKUP($B20,Parameters!$E$108:$G$501,3,FALSE),0)*(1+Parameters!$G$13)^(AM$8-$G$8)/1000</f>
        <v>0</v>
      </c>
      <c r="AN20" s="527">
        <f>IF(AN$8=$C$4,VLOOKUP($B20,Parameters!$E$108:$G$501,3,FALSE),0)*(1+Parameters!$G$13)^(AN$8-$G$8)/1000</f>
        <v>0</v>
      </c>
      <c r="AO20" s="527">
        <f>IF(AO$8=$C$4,VLOOKUP($B20,Parameters!$E$108:$G$501,3,FALSE),0)*(1+Parameters!$G$13)^(AO$8-$G$8)/1000</f>
        <v>0</v>
      </c>
      <c r="AP20" s="527">
        <f>IF(AP$8=$C$4,VLOOKUP($B20,Parameters!$E$108:$G$501,3,FALSE),0)*(1+Parameters!$G$13)^(AP$8-$G$8)/1000</f>
        <v>0</v>
      </c>
      <c r="AQ20" s="527">
        <f>IF(AQ$8=$C$4,VLOOKUP($B20,Parameters!$E$108:$G$501,3,FALSE),0)*(1+Parameters!$G$13)^(AQ$8-$G$8)/1000</f>
        <v>0</v>
      </c>
      <c r="AR20" s="527">
        <f>IF(AR$8=$C$4,VLOOKUP($B20,Parameters!$E$108:$G$501,3,FALSE),0)*(1+Parameters!$G$13)^(AR$8-$G$8)/1000</f>
        <v>0</v>
      </c>
      <c r="AS20" s="527">
        <f>IF(AS$8=$C$4,VLOOKUP($B20,Parameters!$E$108:$G$501,3,FALSE),0)*(1+Parameters!$G$13)^(AS$8-$G$8)/1000</f>
        <v>0</v>
      </c>
      <c r="AT20" s="527">
        <f>IF(AT$8=$C$4,VLOOKUP($B20,Parameters!$E$108:$G$501,3,FALSE),0)*(1+Parameters!$G$13)^(AT$8-$G$8)/1000</f>
        <v>0</v>
      </c>
      <c r="AU20" s="527">
        <f>IF(AU$8=$C$4,VLOOKUP($B20,Parameters!$E$108:$G$501,3,FALSE),0)*(1+Parameters!$G$13)^(AU$8-$G$8)/1000</f>
        <v>0</v>
      </c>
      <c r="AV20" s="527">
        <f>IF(AV$8=$C$4,VLOOKUP($B20,Parameters!$E$108:$G$501,3,FALSE),0)*(1+Parameters!$G$13)^(AV$8-$G$8)/1000</f>
        <v>0</v>
      </c>
      <c r="AW20" s="527">
        <f>IF(AW$8=$C$4,VLOOKUP($B20,Parameters!$E$108:$G$501,3,FALSE),0)*(1+Parameters!$G$13)^(AW$8-$G$8)/1000</f>
        <v>0</v>
      </c>
      <c r="AX20" s="527">
        <f>IF(AX$8=$C$4,VLOOKUP($B20,Parameters!$E$108:$G$501,3,FALSE),0)*(1+Parameters!$G$13)^(AX$8-$G$8)/1000</f>
        <v>0</v>
      </c>
      <c r="AY20" s="527">
        <f>IF(AY$8=$C$4,VLOOKUP($B20,Parameters!$E$108:$G$501,3,FALSE),0)*(1+Parameters!$G$13)^(AY$8-$G$8)/1000</f>
        <v>0</v>
      </c>
      <c r="AZ20" s="527">
        <f>IF(AZ$8=$C$4,VLOOKUP($B20,Parameters!$E$108:$G$501,3,FALSE),0)*(1+Parameters!$G$13)^(AZ$8-$G$8)/1000</f>
        <v>0</v>
      </c>
      <c r="BA20" s="527">
        <f>IF(BA$8=$C$4,VLOOKUP($B20,Parameters!$E$108:$G$501,3,FALSE),0)*(1+Parameters!$G$13)^(BA$8-$G$8)/1000</f>
        <v>0</v>
      </c>
      <c r="BB20" s="527">
        <f>IF(BB$8=$C$4,VLOOKUP($B20,Parameters!$E$108:$G$501,3,FALSE),0)*(1+Parameters!$G$13)^(BB$8-$G$8)/1000</f>
        <v>0</v>
      </c>
    </row>
    <row r="21" spans="2:54 16384:16384" x14ac:dyDescent="0.25">
      <c r="B21" s="537" t="s">
        <v>1577</v>
      </c>
      <c r="C21" s="511" t="s">
        <v>979</v>
      </c>
      <c r="D21" s="512">
        <f t="shared" si="11"/>
        <v>21822.857142857145</v>
      </c>
      <c r="E21" s="512">
        <f t="shared" si="12"/>
        <v>1250.6363717552026</v>
      </c>
      <c r="F21" s="478"/>
      <c r="G21" s="527">
        <f>IF(G8='CO2 decom &amp; refub'!$E$59,'CO2 decom &amp; refub'!$E$65,0)</f>
        <v>0</v>
      </c>
      <c r="H21" s="527">
        <f>IF(H8='CO2 decom &amp; refub'!$E$59,'CO2 decom &amp; refub'!$E$65,0)</f>
        <v>0</v>
      </c>
      <c r="I21" s="527">
        <f>IF(I8='CO2 decom &amp; refub'!$E$59,'CO2 decom &amp; refub'!$E$65,0)</f>
        <v>0</v>
      </c>
      <c r="J21" s="527">
        <f>IF(J8='CO2 decom &amp; refub'!$E$59,'CO2 decom &amp; refub'!$E$65,0)</f>
        <v>0</v>
      </c>
      <c r="K21" s="527">
        <f>IF(K8='CO2 decom &amp; refub'!$E$59,'CO2 decom &amp; refub'!$E$65,0)</f>
        <v>0</v>
      </c>
      <c r="L21" s="527">
        <f>IF(L8='CO2 decom &amp; refub'!$E$59,'CO2 decom &amp; refub'!$E$65,0)</f>
        <v>0</v>
      </c>
      <c r="M21" s="527">
        <f>IF(M8='CO2 decom &amp; refub'!$E$59,'CO2 decom &amp; refub'!$E$65,0)</f>
        <v>0</v>
      </c>
      <c r="N21" s="527">
        <f>IF(N8='CO2 decom &amp; refub'!$E$59,'CO2 decom &amp; refub'!$E$65,0)</f>
        <v>0</v>
      </c>
      <c r="O21" s="527">
        <f>IF(O8='CO2 decom &amp; refub'!$E$59,'CO2 decom &amp; refub'!$E$65,0)</f>
        <v>0</v>
      </c>
      <c r="P21" s="527">
        <f>IF(P8='CO2 decom &amp; refub'!$E$59,'CO2 decom &amp; refub'!$E$65,0)</f>
        <v>0</v>
      </c>
      <c r="Q21" s="527">
        <f>IF(Q8='CO2 decom &amp; refub'!$E$59,'CO2 decom &amp; refub'!$E$65,0)</f>
        <v>0</v>
      </c>
      <c r="R21" s="527">
        <f>IF(R8='CO2 decom &amp; refub'!$E$59,'CO2 decom &amp; refub'!$E$65,0)</f>
        <v>0</v>
      </c>
      <c r="S21" s="527">
        <f>IF(S8='CO2 decom &amp; refub'!$E$59,'CO2 decom &amp; refub'!$E$65,0)</f>
        <v>0</v>
      </c>
      <c r="T21" s="527">
        <f>IF(T8='CO2 decom &amp; refub'!$E$59,'CO2 decom &amp; refub'!$E$65,0)</f>
        <v>0</v>
      </c>
      <c r="U21" s="527">
        <f>IF(U8='CO2 decom &amp; refub'!$E$59,'CO2 decom &amp; refub'!$E$65,0)</f>
        <v>0</v>
      </c>
      <c r="V21" s="527">
        <f>IF(V8='CO2 decom &amp; refub'!$E$59,'CO2 decom &amp; refub'!$E$65,0)</f>
        <v>0</v>
      </c>
      <c r="W21" s="527">
        <f>IF(W8='CO2 decom &amp; refub'!$E$59,'CO2 decom &amp; refub'!$E$65,0)</f>
        <v>0</v>
      </c>
      <c r="X21" s="527">
        <f>IF(X8='CO2 decom &amp; refub'!$E$59,'CO2 decom &amp; refub'!$E$65,0)</f>
        <v>0</v>
      </c>
      <c r="Y21" s="527">
        <f>IF(Y8='CO2 decom &amp; refub'!$E$59,'CO2 decom &amp; refub'!$E$65,0)</f>
        <v>0</v>
      </c>
      <c r="Z21" s="527">
        <f>IF(Z8='CO2 decom &amp; refub'!$E$59,'CO2 decom &amp; refub'!$E$65,0)</f>
        <v>0</v>
      </c>
      <c r="AA21" s="527">
        <f>IF(AA8='CO2 decom &amp; refub'!$E$59,'CO2 decom &amp; refub'!$E$65,0)</f>
        <v>0</v>
      </c>
      <c r="AB21" s="527">
        <f>IF(AB8='CO2 decom &amp; refub'!$E$59,'CO2 decom &amp; refub'!$E$65,0)</f>
        <v>0</v>
      </c>
      <c r="AC21" s="527">
        <f>IF(AC8='CO2 decom &amp; refub'!$E$59,'CO2 decom &amp; refub'!$E$65,0)</f>
        <v>0</v>
      </c>
      <c r="AD21" s="527">
        <f>IF(AD8='CO2 decom &amp; refub'!$E$59,'CO2 decom &amp; refub'!$E$65,0)</f>
        <v>0</v>
      </c>
      <c r="AE21" s="527">
        <f>IF(AE8='CO2 decom &amp; refub'!$E$59,'CO2 decom &amp; refub'!$E$65,0)</f>
        <v>0</v>
      </c>
      <c r="AF21" s="527">
        <f>IF(AF8='CO2 decom &amp; refub'!$E$59,'CO2 decom &amp; refub'!$E$65,0)</f>
        <v>0</v>
      </c>
      <c r="AG21" s="527">
        <f>IF(AG8='CO2 decom &amp; refub'!$E$59,'CO2 decom &amp; refub'!$E$65,0)</f>
        <v>0</v>
      </c>
      <c r="AH21" s="527">
        <f>IF(AH8='CO2 decom &amp; refub'!$E$59,'CO2 decom &amp; refub'!$E$65,0)</f>
        <v>0</v>
      </c>
      <c r="AI21" s="527">
        <f>IF(AI8='CO2 decom &amp; refub'!$E$59,'CO2 decom &amp; refub'!$E$65,0)</f>
        <v>0</v>
      </c>
      <c r="AJ21" s="527">
        <f>IF(AJ8='CO2 decom &amp; refub'!$E$59,'CO2 decom &amp; refub'!$E$65,0)</f>
        <v>0</v>
      </c>
      <c r="AK21" s="527">
        <f>IF(AK8='CO2 decom &amp; refub'!$E$59,'CO2 decom &amp; refub'!$E$65,0)</f>
        <v>21822.857142857145</v>
      </c>
      <c r="AL21" s="527">
        <f>IF(AL8='CO2 decom &amp; refub'!$E$59,'CO2 decom &amp; refub'!$E$65,0)</f>
        <v>0</v>
      </c>
      <c r="AM21" s="527">
        <f>IF(AM8='CO2 decom &amp; refub'!$E$59,'CO2 decom &amp; refub'!$E$65,0)</f>
        <v>0</v>
      </c>
      <c r="AN21" s="527">
        <f>IF(AN8='CO2 decom &amp; refub'!$E$59,'CO2 decom &amp; refub'!$E$65,0)</f>
        <v>0</v>
      </c>
      <c r="AO21" s="527">
        <f>IF(AO8='CO2 decom &amp; refub'!$E$59,'CO2 decom &amp; refub'!$E$65,0)</f>
        <v>0</v>
      </c>
      <c r="AP21" s="527">
        <f>IF(AP8='CO2 decom &amp; refub'!$E$59,'CO2 decom &amp; refub'!$E$65,0)</f>
        <v>0</v>
      </c>
      <c r="AQ21" s="527">
        <f>IF(AQ8='CO2 decom &amp; refub'!$E$59,'CO2 decom &amp; refub'!$E$65,0)</f>
        <v>0</v>
      </c>
      <c r="AR21" s="527">
        <f>IF(AR8='CO2 decom &amp; refub'!$E$59,'CO2 decom &amp; refub'!$E$65,0)</f>
        <v>0</v>
      </c>
      <c r="AS21" s="527">
        <f>IF(AS8='CO2 decom &amp; refub'!$E$59,'CO2 decom &amp; refub'!$E$65,0)</f>
        <v>0</v>
      </c>
      <c r="AT21" s="527">
        <f>IF(AT8='CO2 decom &amp; refub'!$E$59,'CO2 decom &amp; refub'!$E$65,0)</f>
        <v>0</v>
      </c>
      <c r="AU21" s="527">
        <f>IF(AU8='CO2 decom &amp; refub'!$E$59,'CO2 decom &amp; refub'!$E$65,0)</f>
        <v>0</v>
      </c>
      <c r="AV21" s="527">
        <f>IF(AV8='CO2 decom &amp; refub'!$E$59,'CO2 decom &amp; refub'!$E$65,0)</f>
        <v>0</v>
      </c>
      <c r="AW21" s="527">
        <f>IF(AW8='CO2 decom &amp; refub'!$E$59,'CO2 decom &amp; refub'!$E$65,0)</f>
        <v>0</v>
      </c>
      <c r="AX21" s="527">
        <f>IF(AX8='CO2 decom &amp; refub'!$E$59,'CO2 decom &amp; refub'!$E$65,0)</f>
        <v>0</v>
      </c>
      <c r="AY21" s="527">
        <f>IF(AY8='CO2 decom &amp; refub'!$E$59,'CO2 decom &amp; refub'!$E$65,0)</f>
        <v>0</v>
      </c>
      <c r="AZ21" s="527">
        <f>IF(AZ8='CO2 decom &amp; refub'!$E$59,'CO2 decom &amp; refub'!$E$65,0)</f>
        <v>0</v>
      </c>
      <c r="BA21" s="527">
        <f>IF(BA8='CO2 decom &amp; refub'!$E$59,'CO2 decom &amp; refub'!$E$65,0)</f>
        <v>0</v>
      </c>
      <c r="BB21" s="527">
        <f>IF(BB8='CO2 decom &amp; refub'!$E$59,'CO2 decom &amp; refub'!$E$65,0)</f>
        <v>0</v>
      </c>
      <c r="XFD21" s="437">
        <f>SUM(A21:XFC21)</f>
        <v>44896.350657469491</v>
      </c>
    </row>
    <row r="22" spans="2:54 16384:16384" x14ac:dyDescent="0.25">
      <c r="B22" s="440"/>
      <c r="C22" s="440"/>
      <c r="D22" s="514"/>
      <c r="E22" s="1176"/>
      <c r="F22" s="440"/>
      <c r="G22" s="515"/>
      <c r="H22" s="515"/>
      <c r="I22" s="515"/>
      <c r="J22" s="515"/>
      <c r="K22" s="515"/>
      <c r="L22" s="515"/>
      <c r="M22" s="515"/>
      <c r="N22" s="515"/>
      <c r="O22" s="515"/>
      <c r="P22" s="515"/>
      <c r="Q22" s="515"/>
      <c r="R22" s="515"/>
      <c r="S22" s="515"/>
      <c r="T22" s="515"/>
      <c r="U22" s="515"/>
      <c r="V22" s="515"/>
      <c r="W22" s="515"/>
      <c r="X22" s="515"/>
      <c r="Y22" s="515"/>
      <c r="Z22" s="515"/>
      <c r="AA22" s="515"/>
      <c r="AB22" s="515"/>
      <c r="AC22" s="515"/>
      <c r="AD22" s="515"/>
      <c r="AE22" s="515"/>
      <c r="AF22" s="515"/>
      <c r="AG22" s="515"/>
      <c r="AH22" s="515"/>
      <c r="AI22" s="515"/>
      <c r="AJ22" s="515"/>
      <c r="AK22" s="515"/>
      <c r="AL22" s="515"/>
      <c r="AM22" s="515"/>
      <c r="AN22" s="515"/>
      <c r="AO22" s="515"/>
      <c r="AP22" s="515"/>
      <c r="AQ22" s="515"/>
      <c r="AR22" s="515"/>
      <c r="AS22" s="515"/>
      <c r="AT22" s="515"/>
      <c r="AU22" s="515"/>
      <c r="AV22" s="515"/>
      <c r="AW22" s="515"/>
      <c r="AX22" s="515"/>
      <c r="AY22" s="515"/>
      <c r="AZ22" s="515"/>
      <c r="BA22" s="515"/>
      <c r="BB22" s="515"/>
    </row>
    <row r="23" spans="2:54 16384:16384" x14ac:dyDescent="0.25">
      <c r="B23" s="309" t="s">
        <v>982</v>
      </c>
      <c r="C23" s="309" t="s">
        <v>979</v>
      </c>
      <c r="D23" s="505">
        <f>SUM(G23:BB23)</f>
        <v>258569.40746278386</v>
      </c>
      <c r="E23" s="505">
        <f>G23+NPV($C$48,H23:BB23)</f>
        <v>31856.298721456205</v>
      </c>
      <c r="F23" s="309"/>
      <c r="G23" s="506">
        <f t="shared" ref="G23" si="13">SUM(G24:G36)</f>
        <v>0</v>
      </c>
      <c r="H23" s="506">
        <f t="shared" ref="H23:AU23" si="14">SUM(H24:H36)</f>
        <v>0</v>
      </c>
      <c r="I23" s="506">
        <f t="shared" si="14"/>
        <v>0</v>
      </c>
      <c r="J23" s="506">
        <f t="shared" si="14"/>
        <v>0</v>
      </c>
      <c r="K23" s="506">
        <f t="shared" si="14"/>
        <v>0</v>
      </c>
      <c r="L23" s="506">
        <f t="shared" si="14"/>
        <v>0</v>
      </c>
      <c r="M23" s="506">
        <f t="shared" si="14"/>
        <v>0</v>
      </c>
      <c r="N23" s="506">
        <f t="shared" si="14"/>
        <v>0</v>
      </c>
      <c r="O23" s="506">
        <f t="shared" si="14"/>
        <v>0</v>
      </c>
      <c r="P23" s="506">
        <f t="shared" si="14"/>
        <v>0</v>
      </c>
      <c r="Q23" s="506">
        <f t="shared" si="14"/>
        <v>0</v>
      </c>
      <c r="R23" s="506">
        <f t="shared" si="14"/>
        <v>0</v>
      </c>
      <c r="S23" s="506">
        <f t="shared" si="14"/>
        <v>0</v>
      </c>
      <c r="T23" s="506">
        <f t="shared" si="14"/>
        <v>0</v>
      </c>
      <c r="U23" s="506">
        <f t="shared" si="14"/>
        <v>0</v>
      </c>
      <c r="V23" s="506">
        <f t="shared" si="14"/>
        <v>13993.487171770188</v>
      </c>
      <c r="W23" s="506">
        <f t="shared" si="14"/>
        <v>14273.86684466266</v>
      </c>
      <c r="X23" s="506">
        <f t="shared" si="14"/>
        <v>14559.864309602122</v>
      </c>
      <c r="Y23" s="506">
        <f t="shared" si="14"/>
        <v>14851.592126401292</v>
      </c>
      <c r="Z23" s="506">
        <f t="shared" si="14"/>
        <v>15149.165110148591</v>
      </c>
      <c r="AA23" s="506">
        <f t="shared" si="14"/>
        <v>15452.700376395223</v>
      </c>
      <c r="AB23" s="506">
        <f t="shared" si="14"/>
        <v>15762.317387247662</v>
      </c>
      <c r="AC23" s="506">
        <f t="shared" si="14"/>
        <v>16078.137998383638</v>
      </c>
      <c r="AD23" s="506">
        <f t="shared" si="14"/>
        <v>16399.700758351304</v>
      </c>
      <c r="AE23" s="506">
        <f t="shared" si="14"/>
        <v>16727.694773518331</v>
      </c>
      <c r="AF23" s="506">
        <f t="shared" si="14"/>
        <v>17062.248668988701</v>
      </c>
      <c r="AG23" s="506">
        <f t="shared" si="14"/>
        <v>17403.493642368478</v>
      </c>
      <c r="AH23" s="506">
        <f t="shared" si="14"/>
        <v>17751.563515215843</v>
      </c>
      <c r="AI23" s="506">
        <f t="shared" si="14"/>
        <v>18106.594785520163</v>
      </c>
      <c r="AJ23" s="506">
        <f t="shared" si="14"/>
        <v>18468.726681230564</v>
      </c>
      <c r="AK23" s="506">
        <f t="shared" si="14"/>
        <v>1509.4679867527943</v>
      </c>
      <c r="AL23" s="506">
        <f t="shared" si="14"/>
        <v>1539.65734648785</v>
      </c>
      <c r="AM23" s="506">
        <f t="shared" si="14"/>
        <v>1570.450493417607</v>
      </c>
      <c r="AN23" s="506">
        <f t="shared" si="14"/>
        <v>1601.8595032859596</v>
      </c>
      <c r="AO23" s="506">
        <f t="shared" si="14"/>
        <v>1633.8966933516786</v>
      </c>
      <c r="AP23" s="506">
        <f t="shared" si="14"/>
        <v>1666.5746272187121</v>
      </c>
      <c r="AQ23" s="506">
        <f t="shared" si="14"/>
        <v>1699.9061197630863</v>
      </c>
      <c r="AR23" s="506">
        <f t="shared" si="14"/>
        <v>1733.9042421583481</v>
      </c>
      <c r="AS23" s="506">
        <f t="shared" si="14"/>
        <v>1768.5823270015153</v>
      </c>
      <c r="AT23" s="506">
        <f t="shared" si="14"/>
        <v>1803.9539735415449</v>
      </c>
      <c r="AU23" s="506">
        <f t="shared" si="14"/>
        <v>0</v>
      </c>
      <c r="AV23" s="506">
        <f t="shared" ref="AV23:BB23" si="15">SUM(AV24:AV36)</f>
        <v>0</v>
      </c>
      <c r="AW23" s="506">
        <f t="shared" si="15"/>
        <v>0</v>
      </c>
      <c r="AX23" s="506">
        <f t="shared" si="15"/>
        <v>0</v>
      </c>
      <c r="AY23" s="506">
        <f t="shared" si="15"/>
        <v>0</v>
      </c>
      <c r="AZ23" s="506">
        <f t="shared" si="15"/>
        <v>0</v>
      </c>
      <c r="BA23" s="506">
        <f t="shared" si="15"/>
        <v>0</v>
      </c>
      <c r="BB23" s="506">
        <f t="shared" si="15"/>
        <v>0</v>
      </c>
    </row>
    <row r="24" spans="2:54 16384:16384" x14ac:dyDescent="0.25">
      <c r="B24" s="740" t="str">
        <f>Parameters!E141</f>
        <v>Electricity used combined onshore</v>
      </c>
      <c r="C24" s="508" t="s">
        <v>979</v>
      </c>
      <c r="D24" s="509">
        <f t="shared" ref="D24:D33" si="16">SUM(G24:BB24)</f>
        <v>621.10355723121711</v>
      </c>
      <c r="E24" s="509">
        <f t="shared" ref="E24:E33" si="17">G24+NPV($C$48,H24:BB24)</f>
        <v>79.106141162112039</v>
      </c>
      <c r="F24" s="507"/>
      <c r="G24" s="510">
        <f>IF(AND(G$8&gt;=$C$5,G$8&lt;$C$6),VLOOKUP($B24,Parameters!$E$108:$G$501,3,FALSE),0)/1000*(Parameters!$G$37+INDEX('Electricity price scenarios'!$B$3:$CI$11,MATCH(Parameters!$G$15,'Electricity price scenarios'!$B$3:$B$11,0),MATCH(G$8,'Electricity price scenarios'!$B$3:$CI$3,0)))*(1+Parameters!$G$13)^(G$8-$G$8)/1000</f>
        <v>0</v>
      </c>
      <c r="H24" s="510">
        <f>IF(AND(H$8&gt;=$C$5,H$8&lt;$C$6),VLOOKUP($B24,Parameters!$E$108:$G$501,3,FALSE),0)/1000*(Parameters!$G$37+INDEX('Electricity price scenarios'!$B$3:$CI$11,MATCH(Parameters!$G$15,'Electricity price scenarios'!$B$3:$B$11,0),MATCH(H$8,'Electricity price scenarios'!$B$3:$CI$3,0)))*(1+Parameters!$G$13)^(H$8-$G$8)/1000</f>
        <v>0</v>
      </c>
      <c r="I24" s="510">
        <f>IF(AND(I$8&gt;=$C$5,I$8&lt;$C$6),VLOOKUP($B24,Parameters!$E$108:$G$501,3,FALSE),0)/1000*(Parameters!$G$37+INDEX('Electricity price scenarios'!$B$3:$CI$11,MATCH(Parameters!$G$15,'Electricity price scenarios'!$B$3:$B$11,0),MATCH(I$8,'Electricity price scenarios'!$B$3:$CI$3,0)))*(1+Parameters!$G$13)^(I$8-$G$8)/1000</f>
        <v>0</v>
      </c>
      <c r="J24" s="510">
        <f>IF(AND(J$8&gt;=$C$5,J$8&lt;$C$6),VLOOKUP($B24,Parameters!$E$108:$G$501,3,FALSE),0)/1000*(Parameters!$G$37+INDEX('Electricity price scenarios'!$B$3:$CI$11,MATCH(Parameters!$G$15,'Electricity price scenarios'!$B$3:$B$11,0),MATCH(J$8,'Electricity price scenarios'!$B$3:$CI$3,0)))*(1+Parameters!$G$13)^(J$8-$G$8)/1000</f>
        <v>0</v>
      </c>
      <c r="K24" s="510">
        <f>IF(AND(K$8&gt;=$C$5,K$8&lt;$C$6),VLOOKUP($B24,Parameters!$E$108:$G$501,3,FALSE),0)/1000*(Parameters!$G$37+INDEX('Electricity price scenarios'!$B$3:$CI$11,MATCH(Parameters!$G$15,'Electricity price scenarios'!$B$3:$B$11,0),MATCH(K$8,'Electricity price scenarios'!$B$3:$CI$3,0)))*(1+Parameters!$G$13)^(K$8-$G$8)/1000</f>
        <v>0</v>
      </c>
      <c r="L24" s="510">
        <f>IF(AND(L$8&gt;=$C$5,L$8&lt;$C$6),VLOOKUP($B24,Parameters!$E$108:$G$501,3,FALSE),0)/1000*(Parameters!$G$37+INDEX('Electricity price scenarios'!$B$3:$CI$11,MATCH(Parameters!$G$15,'Electricity price scenarios'!$B$3:$B$11,0),MATCH(L$8,'Electricity price scenarios'!$B$3:$CI$3,0)))*(1+Parameters!$G$13)^(L$8-$G$8)/1000</f>
        <v>0</v>
      </c>
      <c r="M24" s="510">
        <f>IF(AND(M$8&gt;=$C$5,M$8&lt;$C$6),VLOOKUP($B24,Parameters!$E$108:$G$501,3,FALSE),0)/1000*(Parameters!$G$37+INDEX('Electricity price scenarios'!$B$3:$CI$11,MATCH(Parameters!$G$15,'Electricity price scenarios'!$B$3:$B$11,0),MATCH(M$8,'Electricity price scenarios'!$B$3:$CI$3,0)))*(1+Parameters!$G$13)^(M$8-$G$8)/1000</f>
        <v>0</v>
      </c>
      <c r="N24" s="510">
        <f>IF(AND(N$8&gt;=$C$5,N$8&lt;$C$6),VLOOKUP($B24,Parameters!$E$108:$G$501,3,FALSE),0)/1000*(Parameters!$G$37+INDEX('Electricity price scenarios'!$B$3:$CI$11,MATCH(Parameters!$G$15,'Electricity price scenarios'!$B$3:$B$11,0),MATCH(N$8,'Electricity price scenarios'!$B$3:$CI$3,0)))*(1+Parameters!$G$13)^(N$8-$G$8)/1000</f>
        <v>0</v>
      </c>
      <c r="O24" s="510">
        <f>IF(AND(O$8&gt;=$C$5,O$8&lt;$C$6),VLOOKUP($B24,Parameters!$E$108:$G$501,3,FALSE),0)/1000*(Parameters!$G$37+INDEX('Electricity price scenarios'!$B$3:$CI$11,MATCH(Parameters!$G$15,'Electricity price scenarios'!$B$3:$B$11,0),MATCH(O$8,'Electricity price scenarios'!$B$3:$CI$3,0)))*(1+Parameters!$G$13)^(O$8-$G$8)/1000</f>
        <v>0</v>
      </c>
      <c r="P24" s="510">
        <f>IF(AND(P$8&gt;=$C$5,P$8&lt;$C$6),VLOOKUP($B24,Parameters!$E$108:$G$501,3,FALSE),0)/1000*(Parameters!$G$37+INDEX('Electricity price scenarios'!$B$3:$CI$11,MATCH(Parameters!$G$15,'Electricity price scenarios'!$B$3:$B$11,0),MATCH(P$8,'Electricity price scenarios'!$B$3:$CI$3,0)))*(1+Parameters!$G$13)^(P$8-$G$8)/1000</f>
        <v>0</v>
      </c>
      <c r="Q24" s="510">
        <f>IF(AND(Q$8&gt;=$C$5,Q$8&lt;$C$6),VLOOKUP($B24,Parameters!$E$108:$G$501,3,FALSE),0)/1000*(Parameters!$G$37+INDEX('Electricity price scenarios'!$B$3:$CI$11,MATCH(Parameters!$G$15,'Electricity price scenarios'!$B$3:$B$11,0),MATCH(Q$8,'Electricity price scenarios'!$B$3:$CI$3,0)))*(1+Parameters!$G$13)^(Q$8-$G$8)/1000</f>
        <v>0</v>
      </c>
      <c r="R24" s="510">
        <f>IF(AND(R$8&gt;=$C$5,R$8&lt;$C$6),VLOOKUP($B24,Parameters!$E$108:$G$501,3,FALSE),0)/1000*(Parameters!$G$37+INDEX('Electricity price scenarios'!$B$3:$CI$11,MATCH(Parameters!$G$15,'Electricity price scenarios'!$B$3:$B$11,0),MATCH(R$8,'Electricity price scenarios'!$B$3:$CI$3,0)))*(1+Parameters!$G$13)^(R$8-$G$8)/1000</f>
        <v>0</v>
      </c>
      <c r="S24" s="510">
        <f>IF(AND(S$8&gt;=$C$5,S$8&lt;$C$6),VLOOKUP($B24,Parameters!$E$108:$G$501,3,FALSE),0)/1000*(Parameters!$G$37+INDEX('Electricity price scenarios'!$B$3:$CI$11,MATCH(Parameters!$G$15,'Electricity price scenarios'!$B$3:$B$11,0),MATCH(S$8,'Electricity price scenarios'!$B$3:$CI$3,0)))*(1+Parameters!$G$13)^(S$8-$G$8)/1000</f>
        <v>0</v>
      </c>
      <c r="T24" s="510">
        <f>IF(AND(T$8&gt;=$C$5,T$8&lt;$C$6),VLOOKUP($B24,Parameters!$E$108:$G$501,3,FALSE),0)/1000*(Parameters!$G$37+INDEX('Electricity price scenarios'!$B$3:$CI$11,MATCH(Parameters!$G$15,'Electricity price scenarios'!$B$3:$B$11,0),MATCH(T$8,'Electricity price scenarios'!$B$3:$CI$3,0)))*(1+Parameters!$G$13)^(T$8-$G$8)/1000</f>
        <v>0</v>
      </c>
      <c r="U24" s="510">
        <f>IF(AND(U$8&gt;=$C$5,U$8&lt;$C$6),VLOOKUP($B24,Parameters!$E$108:$G$501,3,FALSE),0)/1000*(Parameters!$G$37+INDEX('Electricity price scenarios'!$B$3:$CI$11,MATCH(Parameters!$G$15,'Electricity price scenarios'!$B$3:$B$11,0),MATCH(U$8,'Electricity price scenarios'!$B$3:$CI$3,0)))*(1+Parameters!$G$13)^(U$8-$G$8)/1000</f>
        <v>0</v>
      </c>
      <c r="V24" s="510">
        <f>IF(AND(V$8&gt;=$C$5,V$8&lt;$C$6),VLOOKUP($B24,Parameters!$E$108:$G$501,3,FALSE),0)/1000*(Parameters!$G$37+INDEX('Electricity price scenarios'!$B$3:$CI$11,MATCH(Parameters!$G$15,'Electricity price scenarios'!$B$3:$B$11,0),MATCH(V$8,'Electricity price scenarios'!$B$3:$CI$3,0)))*(1+Parameters!$G$13)^(V$8-$G$8)/1000</f>
        <v>33.258735576797648</v>
      </c>
      <c r="W24" s="510">
        <f>IF(AND(W$8&gt;=$C$5,W$8&lt;$C$6),VLOOKUP($B24,Parameters!$E$108:$G$501,3,FALSE),0)/1000*(Parameters!$G$37+INDEX('Electricity price scenarios'!$B$3:$CI$11,MATCH(Parameters!$G$15,'Electricity price scenarios'!$B$3:$B$11,0),MATCH(W$8,'Electricity price scenarios'!$B$3:$CI$3,0)))*(1+Parameters!$G$13)^(W$8-$G$8)/1000</f>
        <v>34.433839745399055</v>
      </c>
      <c r="X24" s="510">
        <f>IF(AND(X$8&gt;=$C$5,X$8&lt;$C$6),VLOOKUP($B24,Parameters!$E$108:$G$501,3,FALSE),0)/1000*(Parameters!$G$37+INDEX('Electricity price scenarios'!$B$3:$CI$11,MATCH(Parameters!$G$15,'Electricity price scenarios'!$B$3:$B$11,0),MATCH(X$8,'Electricity price scenarios'!$B$3:$CI$3,0)))*(1+Parameters!$G$13)^(X$8-$G$8)/1000</f>
        <v>35.642644586513796</v>
      </c>
      <c r="Y24" s="510">
        <f>IF(AND(Y$8&gt;=$C$5,Y$8&lt;$C$6),VLOOKUP($B24,Parameters!$E$108:$G$501,3,FALSE),0)/1000*(Parameters!$G$37+INDEX('Electricity price scenarios'!$B$3:$CI$11,MATCH(Parameters!$G$15,'Electricity price scenarios'!$B$3:$B$11,0),MATCH(Y$8,'Electricity price scenarios'!$B$3:$CI$3,0)))*(1+Parameters!$G$13)^(Y$8-$G$8)/1000</f>
        <v>36.88602808537496</v>
      </c>
      <c r="Z24" s="510">
        <f>IF(AND(Z$8&gt;=$C$5,Z$8&lt;$C$6),VLOOKUP($B24,Parameters!$E$108:$G$501,3,FALSE),0)/1000*(Parameters!$G$37+INDEX('Electricity price scenarios'!$B$3:$CI$11,MATCH(Parameters!$G$15,'Electricity price scenarios'!$B$3:$B$11,0),MATCH(Z$8,'Electricity price scenarios'!$B$3:$CI$3,0)))*(1+Parameters!$G$13)^(Z$8-$G$8)/1000</f>
        <v>38.164889866355971</v>
      </c>
      <c r="AA24" s="510">
        <f>IF(AND(AA$8&gt;=$C$5,AA$8&lt;$C$6),VLOOKUP($B24,Parameters!$E$108:$G$501,3,FALSE),0)/1000*(Parameters!$G$37+INDEX('Electricity price scenarios'!$B$3:$CI$11,MATCH(Parameters!$G$15,'Electricity price scenarios'!$B$3:$B$11,0),MATCH(AA$8,'Electricity price scenarios'!$B$3:$CI$3,0)))*(1+Parameters!$G$13)^(AA$8-$G$8)/1000</f>
        <v>39.480151707342074</v>
      </c>
      <c r="AB24" s="510">
        <f>IF(AND(AB$8&gt;=$C$5,AB$8&lt;$C$6),VLOOKUP($B24,Parameters!$E$108:$G$501,3,FALSE),0)/1000*(Parameters!$G$37+INDEX('Electricity price scenarios'!$B$3:$CI$11,MATCH(Parameters!$G$15,'Electricity price scenarios'!$B$3:$B$11,0),MATCH(AB$8,'Electricity price scenarios'!$B$3:$CI$3,0)))*(1+Parameters!$G$13)^(AB$8-$G$8)/1000</f>
        <v>40.832758066021071</v>
      </c>
      <c r="AC24" s="510">
        <f>IF(AND(AC$8&gt;=$C$5,AC$8&lt;$C$6),VLOOKUP($B24,Parameters!$E$108:$G$501,3,FALSE),0)/1000*(Parameters!$G$37+INDEX('Electricity price scenarios'!$B$3:$CI$11,MATCH(Parameters!$G$15,'Electricity price scenarios'!$B$3:$B$11,0),MATCH(AC$8,'Electricity price scenarios'!$B$3:$CI$3,0)))*(1+Parameters!$G$13)^(AC$8-$G$8)/1000</f>
        <v>42.223676618364294</v>
      </c>
      <c r="AD24" s="510">
        <f>IF(AND(AD$8&gt;=$C$5,AD$8&lt;$C$6),VLOOKUP($B24,Parameters!$E$108:$G$501,3,FALSE),0)/1000*(Parameters!$G$37+INDEX('Electricity price scenarios'!$B$3:$CI$11,MATCH(Parameters!$G$15,'Electricity price scenarios'!$B$3:$B$11,0),MATCH(AD$8,'Electricity price scenarios'!$B$3:$CI$3,0)))*(1+Parameters!$G$13)^(AD$8-$G$8)/1000</f>
        <v>43.068150150731576</v>
      </c>
      <c r="AE24" s="510">
        <f>IF(AND(AE$8&gt;=$C$5,AE$8&lt;$C$6),VLOOKUP($B24,Parameters!$E$108:$G$501,3,FALSE),0)/1000*(Parameters!$G$37+INDEX('Electricity price scenarios'!$B$3:$CI$11,MATCH(Parameters!$G$15,'Electricity price scenarios'!$B$3:$B$11,0),MATCH(AE$8,'Electricity price scenarios'!$B$3:$CI$3,0)))*(1+Parameters!$G$13)^(AE$8-$G$8)/1000</f>
        <v>43.929513153746207</v>
      </c>
      <c r="AF24" s="510">
        <f>IF(AND(AF$8&gt;=$C$5,AF$8&lt;$C$6),VLOOKUP($B24,Parameters!$E$108:$G$501,3,FALSE),0)/1000*(Parameters!$G$37+INDEX('Electricity price scenarios'!$B$3:$CI$11,MATCH(Parameters!$G$15,'Electricity price scenarios'!$B$3:$B$11,0),MATCH(AF$8,'Electricity price scenarios'!$B$3:$CI$3,0)))*(1+Parameters!$G$13)^(AF$8-$G$8)/1000</f>
        <v>44.808103416821133</v>
      </c>
      <c r="AG24" s="510">
        <f>IF(AND(AG$8&gt;=$C$5,AG$8&lt;$C$6),VLOOKUP($B24,Parameters!$E$108:$G$501,3,FALSE),0)/1000*(Parameters!$G$37+INDEX('Electricity price scenarios'!$B$3:$CI$11,MATCH(Parameters!$G$15,'Electricity price scenarios'!$B$3:$B$11,0),MATCH(AG$8,'Electricity price scenarios'!$B$3:$CI$3,0)))*(1+Parameters!$G$13)^(AG$8-$G$8)/1000</f>
        <v>45.704265485157556</v>
      </c>
      <c r="AH24" s="510">
        <f>IF(AND(AH$8&gt;=$C$5,AH$8&lt;$C$6),VLOOKUP($B24,Parameters!$E$108:$G$501,3,FALSE),0)/1000*(Parameters!$G$37+INDEX('Electricity price scenarios'!$B$3:$CI$11,MATCH(Parameters!$G$15,'Electricity price scenarios'!$B$3:$B$11,0),MATCH(AH$8,'Electricity price scenarios'!$B$3:$CI$3,0)))*(1+Parameters!$G$13)^(AH$8-$G$8)/1000</f>
        <v>46.618350794860703</v>
      </c>
      <c r="AI24" s="510">
        <f>IF(AND(AI$8&gt;=$C$5,AI$8&lt;$C$6),VLOOKUP($B24,Parameters!$E$108:$G$501,3,FALSE),0)/1000*(Parameters!$G$37+INDEX('Electricity price scenarios'!$B$3:$CI$11,MATCH(Parameters!$G$15,'Electricity price scenarios'!$B$3:$B$11,0),MATCH(AI$8,'Electricity price scenarios'!$B$3:$CI$3,0)))*(1+Parameters!$G$13)^(AI$8-$G$8)/1000</f>
        <v>47.550717810757924</v>
      </c>
      <c r="AJ24" s="510">
        <f>IF(AND(AJ$8&gt;=$C$5,AJ$8&lt;$C$6),VLOOKUP($B24,Parameters!$E$108:$G$501,3,FALSE),0)/1000*(Parameters!$G$37+INDEX('Electricity price scenarios'!$B$3:$CI$11,MATCH(Parameters!$G$15,'Electricity price scenarios'!$B$3:$B$11,0),MATCH(AJ$8,'Electricity price scenarios'!$B$3:$CI$3,0)))*(1+Parameters!$G$13)^(AJ$8-$G$8)/1000</f>
        <v>48.501732166973078</v>
      </c>
      <c r="AK24" s="510">
        <f>IF(AND(AK$8&gt;=$C$5,AK$8&lt;$C$6),VLOOKUP($B24,Parameters!$E$108:$G$501,3,FALSE),0)/1000*(Parameters!$G$37+INDEX('Electricity price scenarios'!$B$3:$CI$11,MATCH(Parameters!$G$15,'Electricity price scenarios'!$B$3:$B$11,0),MATCH(AK$8,'Electricity price scenarios'!$B$3:$CI$3,0)))*(1+Parameters!$G$13)^(AK$8-$G$8)/1000</f>
        <v>0</v>
      </c>
      <c r="AL24" s="510">
        <f>IF(AND(AL$8&gt;=$C$5,AL$8&lt;$C$6),VLOOKUP($B24,Parameters!$E$108:$G$501,3,FALSE),0)/1000*(Parameters!$G$37+INDEX('Electricity price scenarios'!$B$3:$CI$11,MATCH(Parameters!$G$15,'Electricity price scenarios'!$B$3:$B$11,0),MATCH(AL$8,'Electricity price scenarios'!$B$3:$CI$3,0)))*(1+Parameters!$G$13)^(AL$8-$G$8)/1000</f>
        <v>0</v>
      </c>
      <c r="AM24" s="510">
        <f>IF(AND(AM$8&gt;=$C$5,AM$8&lt;$C$6),VLOOKUP($B24,Parameters!$E$108:$G$501,3,FALSE),0)/1000*(Parameters!$G$37+INDEX('Electricity price scenarios'!$B$3:$CI$11,MATCH(Parameters!$G$15,'Electricity price scenarios'!$B$3:$B$11,0),MATCH(AM$8,'Electricity price scenarios'!$B$3:$CI$3,0)))*(1+Parameters!$G$13)^(AM$8-$G$8)/1000</f>
        <v>0</v>
      </c>
      <c r="AN24" s="510">
        <f>IF(AND(AN$8&gt;=$C$5,AN$8&lt;$C$6),VLOOKUP($B24,Parameters!$E$108:$G$501,3,FALSE),0)/1000*(Parameters!$G$37+INDEX('Electricity price scenarios'!$B$3:$CI$11,MATCH(Parameters!$G$15,'Electricity price scenarios'!$B$3:$B$11,0),MATCH(AN$8,'Electricity price scenarios'!$B$3:$CI$3,0)))*(1+Parameters!$G$13)^(AN$8-$G$8)/1000</f>
        <v>0</v>
      </c>
      <c r="AO24" s="510">
        <f>IF(AND(AO$8&gt;=$C$5,AO$8&lt;$C$6),VLOOKUP($B24,Parameters!$E$108:$G$501,3,FALSE),0)/1000*(Parameters!$G$37+INDEX('Electricity price scenarios'!$B$3:$CI$11,MATCH(Parameters!$G$15,'Electricity price scenarios'!$B$3:$B$11,0),MATCH(AO$8,'Electricity price scenarios'!$B$3:$CI$3,0)))*(1+Parameters!$G$13)^(AO$8-$G$8)/1000</f>
        <v>0</v>
      </c>
      <c r="AP24" s="510">
        <f>IF(AND(AP$8&gt;=$C$5,AP$8&lt;$C$6),VLOOKUP($B24,Parameters!$E$108:$G$501,3,FALSE),0)/1000*(Parameters!$G$37+INDEX('Electricity price scenarios'!$B$3:$CI$11,MATCH(Parameters!$G$15,'Electricity price scenarios'!$B$3:$B$11,0),MATCH(AP$8,'Electricity price scenarios'!$B$3:$CI$3,0)))*(1+Parameters!$G$13)^(AP$8-$G$8)/1000</f>
        <v>0</v>
      </c>
      <c r="AQ24" s="510">
        <f>IF(AND(AQ$8&gt;=$C$5,AQ$8&lt;$C$6),VLOOKUP($B24,Parameters!$E$108:$G$501,3,FALSE),0)/1000*(Parameters!$G$37+INDEX('Electricity price scenarios'!$B$3:$CI$11,MATCH(Parameters!$G$15,'Electricity price scenarios'!$B$3:$B$11,0),MATCH(AQ$8,'Electricity price scenarios'!$B$3:$CI$3,0)))*(1+Parameters!$G$13)^(AQ$8-$G$8)/1000</f>
        <v>0</v>
      </c>
      <c r="AR24" s="510">
        <f>IF(AND(AR$8&gt;=$C$5,AR$8&lt;$C$6),VLOOKUP($B24,Parameters!$E$108:$G$501,3,FALSE),0)/1000*(Parameters!$G$37+INDEX('Electricity price scenarios'!$B$3:$CI$11,MATCH(Parameters!$G$15,'Electricity price scenarios'!$B$3:$B$11,0),MATCH(AR$8,'Electricity price scenarios'!$B$3:$CI$3,0)))*(1+Parameters!$G$13)^(AR$8-$G$8)/1000</f>
        <v>0</v>
      </c>
      <c r="AS24" s="510">
        <f>IF(AND(AS$8&gt;=$C$5,AS$8&lt;$C$6),VLOOKUP($B24,Parameters!$E$108:$G$501,3,FALSE),0)/1000*(Parameters!$G$37+INDEX('Electricity price scenarios'!$B$3:$CI$11,MATCH(Parameters!$G$15,'Electricity price scenarios'!$B$3:$B$11,0),MATCH(AS$8,'Electricity price scenarios'!$B$3:$CI$3,0)))*(1+Parameters!$G$13)^(AS$8-$G$8)/1000</f>
        <v>0</v>
      </c>
      <c r="AT24" s="510">
        <f>IF(AND(AT$8&gt;=$C$5,AT$8&lt;$C$6),VLOOKUP($B24,Parameters!$E$108:$G$501,3,FALSE),0)/1000*(Parameters!$G$37+INDEX('Electricity price scenarios'!$B$3:$CI$11,MATCH(Parameters!$G$15,'Electricity price scenarios'!$B$3:$B$11,0),MATCH(AT$8,'Electricity price scenarios'!$B$3:$CI$3,0)))*(1+Parameters!$G$13)^(AT$8-$G$8)/1000</f>
        <v>0</v>
      </c>
      <c r="AU24" s="510">
        <f>IF(AND(AU$8&gt;=$C$5,AU$8&lt;$C$6),VLOOKUP($B24,Parameters!$E$108:$G$501,3,FALSE),0)/1000*(Parameters!$G$37+INDEX('Electricity price scenarios'!$B$3:$CI$11,MATCH(Parameters!$G$15,'Electricity price scenarios'!$B$3:$B$11,0),MATCH(AU$8,'Electricity price scenarios'!$B$3:$CI$3,0)))*(1+Parameters!$G$13)^(AU$8-$G$8)/1000</f>
        <v>0</v>
      </c>
      <c r="AV24" s="510">
        <f>IF(AND(AV$8&gt;=$C$5,AV$8&lt;$C$6),VLOOKUP($B24,Parameters!$E$108:$G$501,3,FALSE),0)/1000*(Parameters!$G$37+INDEX('Electricity price scenarios'!$B$3:$CI$11,MATCH(Parameters!$G$15,'Electricity price scenarios'!$B$3:$B$11,0),MATCH(AV$8,'Electricity price scenarios'!$B$3:$CI$3,0)))*(1+Parameters!$G$13)^(AV$8-$G$8)/1000</f>
        <v>0</v>
      </c>
      <c r="AW24" s="510">
        <f>IF(AND(AW$8&gt;=$C$5,AW$8&lt;$C$6),VLOOKUP($B24,Parameters!$E$108:$G$501,3,FALSE),0)/1000*(Parameters!$G$37+INDEX('Electricity price scenarios'!$B$3:$CI$11,MATCH(Parameters!$G$15,'Electricity price scenarios'!$B$3:$B$11,0),MATCH(AW$8,'Electricity price scenarios'!$B$3:$CI$3,0)))*(1+Parameters!$G$13)^(AW$8-$G$8)/1000</f>
        <v>0</v>
      </c>
      <c r="AX24" s="510">
        <f>IF(AND(AX$8&gt;=$C$5,AX$8&lt;$C$6),VLOOKUP($B24,Parameters!$E$108:$G$501,3,FALSE),0)/1000*(Parameters!$G$37+INDEX('Electricity price scenarios'!$B$3:$CI$11,MATCH(Parameters!$G$15,'Electricity price scenarios'!$B$3:$B$11,0),MATCH(AX$8,'Electricity price scenarios'!$B$3:$CI$3,0)))*(1+Parameters!$G$13)^(AX$8-$G$8)/1000</f>
        <v>0</v>
      </c>
      <c r="AY24" s="510">
        <f>IF(AND(AY$8&gt;=$C$5,AY$8&lt;$C$6),VLOOKUP($B24,Parameters!$E$108:$G$501,3,FALSE),0)/1000*(Parameters!$G$37+INDEX('Electricity price scenarios'!$B$3:$CI$11,MATCH(Parameters!$G$15,'Electricity price scenarios'!$B$3:$B$11,0),MATCH(AY$8,'Electricity price scenarios'!$B$3:$CI$3,0)))*(1+Parameters!$G$13)^(AY$8-$G$8)/1000</f>
        <v>0</v>
      </c>
      <c r="AZ24" s="510">
        <f>IF(AND(AZ$8&gt;=$C$5,AZ$8&lt;$C$6),VLOOKUP($B24,Parameters!$E$108:$G$501,3,FALSE),0)/1000*(Parameters!$G$37+INDEX('Electricity price scenarios'!$B$3:$CI$11,MATCH(Parameters!$G$15,'Electricity price scenarios'!$B$3:$B$11,0),MATCH(AZ$8,'Electricity price scenarios'!$B$3:$CI$3,0)))*(1+Parameters!$G$13)^(AZ$8-$G$8)/1000</f>
        <v>0</v>
      </c>
      <c r="BA24" s="510">
        <f>IF(AND(BA$8&gt;=$C$5,BA$8&lt;$C$6),VLOOKUP($B24,Parameters!$E$108:$G$501,3,FALSE),0)/1000*(Parameters!$G$37+INDEX('Electricity price scenarios'!$B$3:$CI$11,MATCH(Parameters!$G$15,'Electricity price scenarios'!$B$3:$B$11,0),MATCH(BA$8,'Electricity price scenarios'!$B$3:$CI$3,0)))*(1+Parameters!$G$13)^(BA$8-$G$8)/1000</f>
        <v>0</v>
      </c>
      <c r="BB24" s="510">
        <f>IF(AND(BB$8&gt;=$C$5,BB$8&lt;$C$6),VLOOKUP($B24,Parameters!$E$108:$G$501,3,FALSE),0)/1000*(Parameters!$G$37+INDEX('Electricity price scenarios'!$B$3:$CI$11,MATCH(Parameters!$G$15,'Electricity price scenarios'!$B$3:$B$11,0),MATCH(BB$8,'Electricity price scenarios'!$B$3:$CI$3,0)))*(1+Parameters!$G$13)^(BB$8-$G$8)/1000</f>
        <v>0</v>
      </c>
    </row>
    <row r="25" spans="2:54 16384:16384" x14ac:dyDescent="0.25">
      <c r="B25" s="478" t="str">
        <f>Parameters!E140</f>
        <v>OPEX compressor &amp; pump onshore</v>
      </c>
      <c r="C25" s="527" t="s">
        <v>979</v>
      </c>
      <c r="D25" s="527">
        <f t="shared" si="16"/>
        <v>24340.960192635965</v>
      </c>
      <c r="E25" s="527">
        <f t="shared" si="17"/>
        <v>3140.3436216226992</v>
      </c>
      <c r="F25" s="527"/>
      <c r="G25" s="527">
        <f>IF(AND(G$8&gt;=$C$5,G$8&lt;$C$6),VLOOKUP($B25,Parameters!$E$108:$G$501,3,FALSE),0)*(1+Parameters!$G$13)^(G$8-$G$8)/1000</f>
        <v>0</v>
      </c>
      <c r="H25" s="527">
        <f>IF(AND(H$8&gt;=$C$5,H$8&lt;$C$6),VLOOKUP($B25,Parameters!$E$108:$G$501,3,FALSE),0)*(1+Parameters!$G$13)^(H$8-$G$8)/1000</f>
        <v>0</v>
      </c>
      <c r="I25" s="527">
        <f>IF(AND(I$8&gt;=$C$5,I$8&lt;$C$6),VLOOKUP($B25,Parameters!$E$108:$G$501,3,FALSE),0)*(1+Parameters!$G$13)^(I$8-$G$8)/1000</f>
        <v>0</v>
      </c>
      <c r="J25" s="527">
        <f>IF(AND(J$8&gt;=$C$5,J$8&lt;$C$6),VLOOKUP($B25,Parameters!$E$108:$G$501,3,FALSE),0)*(1+Parameters!$G$13)^(J$8-$G$8)/1000</f>
        <v>0</v>
      </c>
      <c r="K25" s="527">
        <f>IF(AND(K$8&gt;=$C$5,K$8&lt;$C$6),VLOOKUP($B25,Parameters!$E$108:$G$501,3,FALSE),0)*(1+Parameters!$G$13)^(K$8-$G$8)/1000</f>
        <v>0</v>
      </c>
      <c r="L25" s="527">
        <f>IF(AND(L$8&gt;=$C$5,L$8&lt;$C$6),VLOOKUP($B25,Parameters!$E$108:$G$501,3,FALSE),0)*(1+Parameters!$G$13)^(L$8-$G$8)/1000</f>
        <v>0</v>
      </c>
      <c r="M25" s="527">
        <f>IF(AND(M$8&gt;=$C$5,M$8&lt;$C$6),VLOOKUP($B25,Parameters!$E$108:$G$501,3,FALSE),0)*(1+Parameters!$G$13)^(M$8-$G$8)/1000</f>
        <v>0</v>
      </c>
      <c r="N25" s="527">
        <f>IF(AND(N$8&gt;=$C$5,N$8&lt;$C$6),VLOOKUP($B25,Parameters!$E$108:$G$501,3,FALSE),0)*(1+Parameters!$G$13)^(N$8-$G$8)/1000</f>
        <v>0</v>
      </c>
      <c r="O25" s="527">
        <f>IF(AND(O$8&gt;=$C$5,O$8&lt;$C$6),VLOOKUP($B25,Parameters!$E$108:$G$501,3,FALSE),0)*(1+Parameters!$G$13)^(O$8-$G$8)/1000</f>
        <v>0</v>
      </c>
      <c r="P25" s="527">
        <f>IF(AND(P$8&gt;=$C$5,P$8&lt;$C$6),VLOOKUP($B25,Parameters!$E$108:$G$501,3,FALSE),0)*(1+Parameters!$G$13)^(P$8-$G$8)/1000</f>
        <v>0</v>
      </c>
      <c r="Q25" s="527">
        <f>IF(AND(Q$8&gt;=$C$5,Q$8&lt;$C$6),VLOOKUP($B25,Parameters!$E$108:$G$501,3,FALSE),0)*(1+Parameters!$G$13)^(Q$8-$G$8)/1000</f>
        <v>0</v>
      </c>
      <c r="R25" s="527">
        <f>IF(AND(R$8&gt;=$C$5,R$8&lt;$C$6),VLOOKUP($B25,Parameters!$E$108:$G$501,3,FALSE),0)*(1+Parameters!$G$13)^(R$8-$G$8)/1000</f>
        <v>0</v>
      </c>
      <c r="S25" s="527">
        <f>IF(AND(S$8&gt;=$C$5,S$8&lt;$C$6),VLOOKUP($B25,Parameters!$E$108:$G$501,3,FALSE),0)*(1+Parameters!$G$13)^(S$8-$G$8)/1000</f>
        <v>0</v>
      </c>
      <c r="T25" s="527">
        <f>IF(AND(T$8&gt;=$C$5,T$8&lt;$C$6),VLOOKUP($B25,Parameters!$E$108:$G$501,3,FALSE),0)*(1+Parameters!$G$13)^(T$8-$G$8)/1000</f>
        <v>0</v>
      </c>
      <c r="U25" s="527">
        <f>IF(AND(U$8&gt;=$C$5,U$8&lt;$C$6),VLOOKUP($B25,Parameters!$E$108:$G$501,3,FALSE),0)*(1+Parameters!$G$13)^(U$8-$G$8)/1000</f>
        <v>0</v>
      </c>
      <c r="V25" s="527">
        <f>IF(AND(V$8&gt;=$C$5,V$8&lt;$C$6),VLOOKUP($B25,Parameters!$E$108:$G$501,3,FALSE),0)*(1+Parameters!$G$13)^(V$8-$G$8)/1000</f>
        <v>1407.5275181635675</v>
      </c>
      <c r="W25" s="527">
        <f>IF(AND(W$8&gt;=$C$5,W$8&lt;$C$6),VLOOKUP($B25,Parameters!$E$108:$G$501,3,FALSE),0)*(1+Parameters!$G$13)^(W$8-$G$8)/1000</f>
        <v>1435.6780685268388</v>
      </c>
      <c r="X25" s="527">
        <f>IF(AND(X$8&gt;=$C$5,X$8&lt;$C$6),VLOOKUP($B25,Parameters!$E$108:$G$501,3,FALSE),0)*(1+Parameters!$G$13)^(X$8-$G$8)/1000</f>
        <v>1464.3916298973759</v>
      </c>
      <c r="Y25" s="527">
        <f>IF(AND(Y$8&gt;=$C$5,Y$8&lt;$C$6),VLOOKUP($B25,Parameters!$E$108:$G$501,3,FALSE),0)*(1+Parameters!$G$13)^(Y$8-$G$8)/1000</f>
        <v>1493.6794624953234</v>
      </c>
      <c r="Z25" s="527">
        <f>IF(AND(Z$8&gt;=$C$5,Z$8&lt;$C$6),VLOOKUP($B25,Parameters!$E$108:$G$501,3,FALSE),0)*(1+Parameters!$G$13)^(Z$8-$G$8)/1000</f>
        <v>1523.5530517452296</v>
      </c>
      <c r="AA25" s="527">
        <f>IF(AND(AA$8&gt;=$C$5,AA$8&lt;$C$6),VLOOKUP($B25,Parameters!$E$108:$G$501,3,FALSE),0)*(1+Parameters!$G$13)^(AA$8-$G$8)/1000</f>
        <v>1554.0241127801344</v>
      </c>
      <c r="AB25" s="527">
        <f>IF(AND(AB$8&gt;=$C$5,AB$8&lt;$C$6),VLOOKUP($B25,Parameters!$E$108:$G$501,3,FALSE),0)*(1+Parameters!$G$13)^(AB$8-$G$8)/1000</f>
        <v>1585.104595035737</v>
      </c>
      <c r="AC25" s="527">
        <f>IF(AND(AC$8&gt;=$C$5,AC$8&lt;$C$6),VLOOKUP($B25,Parameters!$E$108:$G$501,3,FALSE),0)*(1+Parameters!$G$13)^(AC$8-$G$8)/1000</f>
        <v>1616.8066869364518</v>
      </c>
      <c r="AD25" s="527">
        <f>IF(AND(AD$8&gt;=$C$5,AD$8&lt;$C$6),VLOOKUP($B25,Parameters!$E$108:$G$501,3,FALSE),0)*(1+Parameters!$G$13)^(AD$8-$G$8)/1000</f>
        <v>1649.1428206751805</v>
      </c>
      <c r="AE25" s="527">
        <f>IF(AND(AE$8&gt;=$C$5,AE$8&lt;$C$6),VLOOKUP($B25,Parameters!$E$108:$G$501,3,FALSE),0)*(1+Parameters!$G$13)^(AE$8-$G$8)/1000</f>
        <v>1682.1256770886841</v>
      </c>
      <c r="AF25" s="527">
        <f>IF(AND(AF$8&gt;=$C$5,AF$8&lt;$C$6),VLOOKUP($B25,Parameters!$E$108:$G$501,3,FALSE),0)*(1+Parameters!$G$13)^(AF$8-$G$8)/1000</f>
        <v>1715.7681906304579</v>
      </c>
      <c r="AG25" s="527">
        <f>IF(AND(AG$8&gt;=$C$5,AG$8&lt;$C$6),VLOOKUP($B25,Parameters!$E$108:$G$501,3,FALSE),0)*(1+Parameters!$G$13)^(AG$8-$G$8)/1000</f>
        <v>1750.0835544430672</v>
      </c>
      <c r="AH25" s="527">
        <f>IF(AND(AH$8&gt;=$C$5,AH$8&lt;$C$6),VLOOKUP($B25,Parameters!$E$108:$G$501,3,FALSE),0)*(1+Parameters!$G$13)^(AH$8-$G$8)/1000</f>
        <v>1785.0852255319282</v>
      </c>
      <c r="AI25" s="527">
        <f>IF(AND(AI$8&gt;=$C$5,AI$8&lt;$C$6),VLOOKUP($B25,Parameters!$E$108:$G$501,3,FALSE),0)*(1+Parameters!$G$13)^(AI$8-$G$8)/1000</f>
        <v>1820.7869300425673</v>
      </c>
      <c r="AJ25" s="527">
        <f>IF(AND(AJ$8&gt;=$C$5,AJ$8&lt;$C$6),VLOOKUP($B25,Parameters!$E$108:$G$501,3,FALSE),0)*(1+Parameters!$G$13)^(AJ$8-$G$8)/1000</f>
        <v>1857.2026686434183</v>
      </c>
      <c r="AK25" s="527">
        <f>IF(AND(AK$8&gt;=$C$5,AK$8&lt;$C$6),VLOOKUP($B25,Parameters!$E$108:$G$501,3,FALSE),0)*(1+Parameters!$G$13)^(AK$8-$G$8)/1000</f>
        <v>0</v>
      </c>
      <c r="AL25" s="527">
        <f>IF(AND(AL$8&gt;=$C$5,AL$8&lt;$C$6),VLOOKUP($B25,Parameters!$E$108:$G$501,3,FALSE),0)*(1+Parameters!$G$13)^(AL$8-$G$8)/1000</f>
        <v>0</v>
      </c>
      <c r="AM25" s="527">
        <f>IF(AND(AM$8&gt;=$C$5,AM$8&lt;$C$6),VLOOKUP($B25,Parameters!$E$108:$G$501,3,FALSE),0)*(1+Parameters!$G$13)^(AM$8-$G$8)/1000</f>
        <v>0</v>
      </c>
      <c r="AN25" s="527">
        <f>IF(AND(AN$8&gt;=$C$5,AN$8&lt;$C$6),VLOOKUP($B25,Parameters!$E$108:$G$501,3,FALSE),0)*(1+Parameters!$G$13)^(AN$8-$G$8)/1000</f>
        <v>0</v>
      </c>
      <c r="AO25" s="527">
        <f>IF(AND(AO$8&gt;=$C$5,AO$8&lt;$C$6),VLOOKUP($B25,Parameters!$E$108:$G$501,3,FALSE),0)*(1+Parameters!$G$13)^(AO$8-$G$8)/1000</f>
        <v>0</v>
      </c>
      <c r="AP25" s="527">
        <f>IF(AND(AP$8&gt;=$C$5,AP$8&lt;$C$6),VLOOKUP($B25,Parameters!$E$108:$G$501,3,FALSE),0)*(1+Parameters!$G$13)^(AP$8-$G$8)/1000</f>
        <v>0</v>
      </c>
      <c r="AQ25" s="527">
        <f>IF(AND(AQ$8&gt;=$C$5,AQ$8&lt;$C$6),VLOOKUP($B25,Parameters!$E$108:$G$501,3,FALSE),0)*(1+Parameters!$G$13)^(AQ$8-$G$8)/1000</f>
        <v>0</v>
      </c>
      <c r="AR25" s="527">
        <f>IF(AND(AR$8&gt;=$C$5,AR$8&lt;$C$6),VLOOKUP($B25,Parameters!$E$108:$G$501,3,FALSE),0)*(1+Parameters!$G$13)^(AR$8-$G$8)/1000</f>
        <v>0</v>
      </c>
      <c r="AS25" s="527">
        <f>IF(AND(AS$8&gt;=$C$5,AS$8&lt;$C$6),VLOOKUP($B25,Parameters!$E$108:$G$501,3,FALSE),0)*(1+Parameters!$G$13)^(AS$8-$G$8)/1000</f>
        <v>0</v>
      </c>
      <c r="AT25" s="527">
        <f>IF(AND(AT$8&gt;=$C$5,AT$8&lt;$C$6),VLOOKUP($B25,Parameters!$E$108:$G$501,3,FALSE),0)*(1+Parameters!$G$13)^(AT$8-$G$8)/1000</f>
        <v>0</v>
      </c>
      <c r="AU25" s="527">
        <f>IF(AND(AU$8&gt;=$C$5,AU$8&lt;$C$6),VLOOKUP($B25,Parameters!$E$108:$G$501,3,FALSE),0)*(1+Parameters!$G$13)^(AU$8-$G$8)/1000</f>
        <v>0</v>
      </c>
      <c r="AV25" s="527">
        <f>IF(AND(AV$8&gt;=$C$5,AV$8&lt;$C$6),VLOOKUP($B25,Parameters!$E$108:$G$501,3,FALSE),0)*(1+Parameters!$G$13)^(AV$8-$G$8)/1000</f>
        <v>0</v>
      </c>
      <c r="AW25" s="527">
        <f>IF(AND(AW$8&gt;=$C$5,AW$8&lt;$C$6),VLOOKUP($B25,Parameters!$E$108:$G$501,3,FALSE),0)*(1+Parameters!$G$13)^(AW$8-$G$8)/1000</f>
        <v>0</v>
      </c>
      <c r="AX25" s="527">
        <f>IF(AND(AX$8&gt;=$C$5,AX$8&lt;$C$6),VLOOKUP($B25,Parameters!$E$108:$G$501,3,FALSE),0)*(1+Parameters!$G$13)^(AX$8-$G$8)/1000</f>
        <v>0</v>
      </c>
      <c r="AY25" s="527">
        <f>IF(AND(AY$8&gt;=$C$5,AY$8&lt;$C$6),VLOOKUP($B25,Parameters!$E$108:$G$501,3,FALSE),0)*(1+Parameters!$G$13)^(AY$8-$G$8)/1000</f>
        <v>0</v>
      </c>
      <c r="AZ25" s="527">
        <f>IF(AND(AZ$8&gt;=$C$5,AZ$8&lt;$C$6),VLOOKUP($B25,Parameters!$E$108:$G$501,3,FALSE),0)*(1+Parameters!$G$13)^(AZ$8-$G$8)/1000</f>
        <v>0</v>
      </c>
      <c r="BA25" s="527">
        <f>IF(AND(BA$8&gt;=$C$5,BA$8&lt;$C$6),VLOOKUP($B25,Parameters!$E$108:$G$501,3,FALSE),0)*(1+Parameters!$G$13)^(BA$8-$G$8)/1000</f>
        <v>0</v>
      </c>
      <c r="BB25" s="527">
        <f>IF(AND(BB$8&gt;=$C$5,BB$8&lt;$C$6),VLOOKUP($B25,Parameters!$E$108:$G$501,3,FALSE),0)*(1+Parameters!$G$13)^(BB$8-$G$8)/1000</f>
        <v>0</v>
      </c>
    </row>
    <row r="26" spans="2:54 16384:16384" x14ac:dyDescent="0.25">
      <c r="B26" s="905" t="str">
        <f>Parameters!E217</f>
        <v>Energy for CO2 heating</v>
      </c>
      <c r="C26" s="527" t="s">
        <v>979</v>
      </c>
      <c r="D26" s="527">
        <f t="shared" si="16"/>
        <v>0</v>
      </c>
      <c r="E26" s="527">
        <f t="shared" si="17"/>
        <v>0</v>
      </c>
      <c r="F26" s="527"/>
      <c r="G26" s="527">
        <f>IF(AND(G$8&gt;=$C$5,G$8&lt;$C$6),INDEX('CO2 INJECTION'!$C$42:$BP$48,MATCH('CO2 INJECTION'!$C$47,'CO2 INJECTION'!$C$42:$C$48,0),MATCH(G$8,'CO2 INJECTION'!$C$42:$BP$42,0))*INDEX('Electricity price scenarios'!$B$3:$CI$11,MATCH(Parameters!$G$15,'Electricity price scenarios'!$B$3:$B$11,0),MATCH(G$8,'Electricity price scenarios'!$B$3:$CI$3,0))*(1+Parameters!$G$13)^(G$8-$G$8)/1000,0)</f>
        <v>0</v>
      </c>
      <c r="H26" s="527">
        <f>IF(AND(H$8&gt;=$C$5,H$8&lt;$C$6),INDEX('CO2 INJECTION'!$C$42:$BP$48,MATCH('CO2 INJECTION'!$C$47,'CO2 INJECTION'!$C$42:$C$48,0),MATCH(H$8,'CO2 INJECTION'!$C$42:$BP$42,0))*INDEX('Electricity price scenarios'!$B$3:$CI$11,MATCH(Parameters!$G$15,'Electricity price scenarios'!$B$3:$B$11,0),MATCH(H$8,'Electricity price scenarios'!$B$3:$CI$3,0))*(1+Parameters!$G$13)^(H$8-$G$8)/1000,0)</f>
        <v>0</v>
      </c>
      <c r="I26" s="527">
        <f>IF(AND(I$8&gt;=$C$5,I$8&lt;$C$6),INDEX('CO2 INJECTION'!$C$42:$BP$48,MATCH('CO2 INJECTION'!$C$47,'CO2 INJECTION'!$C$42:$C$48,0),MATCH(I$8,'CO2 INJECTION'!$C$42:$BP$42,0))*INDEX('Electricity price scenarios'!$B$3:$CI$11,MATCH(Parameters!$G$15,'Electricity price scenarios'!$B$3:$B$11,0),MATCH(I$8,'Electricity price scenarios'!$B$3:$CI$3,0))*(1+Parameters!$G$13)^(I$8-$G$8)/1000,0)</f>
        <v>0</v>
      </c>
      <c r="J26" s="527">
        <f>IF(AND(J$8&gt;=$C$5,J$8&lt;$C$6),INDEX('CO2 INJECTION'!$C$42:$BP$48,MATCH('CO2 INJECTION'!$C$47,'CO2 INJECTION'!$C$42:$C$48,0),MATCH(J$8,'CO2 INJECTION'!$C$42:$BP$42,0))*INDEX('Electricity price scenarios'!$B$3:$CI$11,MATCH(Parameters!$G$15,'Electricity price scenarios'!$B$3:$B$11,0),MATCH(J$8,'Electricity price scenarios'!$B$3:$CI$3,0))*(1+Parameters!$G$13)^(J$8-$G$8)/1000,0)</f>
        <v>0</v>
      </c>
      <c r="K26" s="527">
        <f>IF(AND(K$8&gt;=$C$5,K$8&lt;$C$6),INDEX('CO2 INJECTION'!$C$42:$BP$48,MATCH('CO2 INJECTION'!$C$47,'CO2 INJECTION'!$C$42:$C$48,0),MATCH(K$8,'CO2 INJECTION'!$C$42:$BP$42,0))*INDEX('Electricity price scenarios'!$B$3:$CI$11,MATCH(Parameters!$G$15,'Electricity price scenarios'!$B$3:$B$11,0),MATCH(K$8,'Electricity price scenarios'!$B$3:$CI$3,0))*(1+Parameters!$G$13)^(K$8-$G$8)/1000,0)</f>
        <v>0</v>
      </c>
      <c r="L26" s="527">
        <f>IF(AND(L$8&gt;=$C$5,L$8&lt;$C$6),INDEX('CO2 INJECTION'!$C$42:$BP$48,MATCH('CO2 INJECTION'!$C$47,'CO2 INJECTION'!$C$42:$C$48,0),MATCH(L$8,'CO2 INJECTION'!$C$42:$BP$42,0))*INDEX('Electricity price scenarios'!$B$3:$CI$11,MATCH(Parameters!$G$15,'Electricity price scenarios'!$B$3:$B$11,0),MATCH(L$8,'Electricity price scenarios'!$B$3:$CI$3,0))*(1+Parameters!$G$13)^(L$8-$G$8)/1000,0)</f>
        <v>0</v>
      </c>
      <c r="M26" s="527">
        <f>IF(AND(M$8&gt;=$C$5,M$8&lt;$C$6),INDEX('CO2 INJECTION'!$C$42:$BP$48,MATCH('CO2 INJECTION'!$C$47,'CO2 INJECTION'!$C$42:$C$48,0),MATCH(M$8,'CO2 INJECTION'!$C$42:$BP$42,0))*INDEX('Electricity price scenarios'!$B$3:$CI$11,MATCH(Parameters!$G$15,'Electricity price scenarios'!$B$3:$B$11,0),MATCH(M$8,'Electricity price scenarios'!$B$3:$CI$3,0))*(1+Parameters!$G$13)^(M$8-$G$8)/1000,0)</f>
        <v>0</v>
      </c>
      <c r="N26" s="527">
        <f>IF(AND(N$8&gt;=$C$5,N$8&lt;$C$6),INDEX('CO2 INJECTION'!$C$42:$BP$48,MATCH('CO2 INJECTION'!$C$47,'CO2 INJECTION'!$C$42:$C$48,0),MATCH(N$8,'CO2 INJECTION'!$C$42:$BP$42,0))*INDEX('Electricity price scenarios'!$B$3:$CI$11,MATCH(Parameters!$G$15,'Electricity price scenarios'!$B$3:$B$11,0),MATCH(N$8,'Electricity price scenarios'!$B$3:$CI$3,0))*(1+Parameters!$G$13)^(N$8-$G$8)/1000,0)</f>
        <v>0</v>
      </c>
      <c r="O26" s="527">
        <f>IF(AND(O$8&gt;=$C$5,O$8&lt;$C$6),INDEX('CO2 INJECTION'!$C$42:$BP$48,MATCH('CO2 INJECTION'!$C$47,'CO2 INJECTION'!$C$42:$C$48,0),MATCH(O$8,'CO2 INJECTION'!$C$42:$BP$42,0))*INDEX('Electricity price scenarios'!$B$3:$CI$11,MATCH(Parameters!$G$15,'Electricity price scenarios'!$B$3:$B$11,0),MATCH(O$8,'Electricity price scenarios'!$B$3:$CI$3,0))*(1+Parameters!$G$13)^(O$8-$G$8)/1000,0)</f>
        <v>0</v>
      </c>
      <c r="P26" s="527">
        <f>IF(AND(P$8&gt;=$C$5,P$8&lt;$C$6),INDEX('CO2 INJECTION'!$C$42:$BP$48,MATCH('CO2 INJECTION'!$C$47,'CO2 INJECTION'!$C$42:$C$48,0),MATCH(P$8,'CO2 INJECTION'!$C$42:$BP$42,0))*INDEX('Electricity price scenarios'!$B$3:$CI$11,MATCH(Parameters!$G$15,'Electricity price scenarios'!$B$3:$B$11,0),MATCH(P$8,'Electricity price scenarios'!$B$3:$CI$3,0))*(1+Parameters!$G$13)^(P$8-$G$8)/1000,0)</f>
        <v>0</v>
      </c>
      <c r="Q26" s="527">
        <f>IF(AND(Q$8&gt;=$C$5,Q$8&lt;$C$6),INDEX('CO2 INJECTION'!$C$42:$BP$48,MATCH('CO2 INJECTION'!$C$47,'CO2 INJECTION'!$C$42:$C$48,0),MATCH(Q$8,'CO2 INJECTION'!$C$42:$BP$42,0))*INDEX('Electricity price scenarios'!$B$3:$CI$11,MATCH(Parameters!$G$15,'Electricity price scenarios'!$B$3:$B$11,0),MATCH(Q$8,'Electricity price scenarios'!$B$3:$CI$3,0))*(1+Parameters!$G$13)^(Q$8-$G$8)/1000,0)</f>
        <v>0</v>
      </c>
      <c r="R26" s="527">
        <f>IF(AND(R$8&gt;=$C$5,R$8&lt;$C$6),INDEX('CO2 INJECTION'!$C$42:$BP$48,MATCH('CO2 INJECTION'!$C$47,'CO2 INJECTION'!$C$42:$C$48,0),MATCH(R$8,'CO2 INJECTION'!$C$42:$BP$42,0))*INDEX('Electricity price scenarios'!$B$3:$CI$11,MATCH(Parameters!$G$15,'Electricity price scenarios'!$B$3:$B$11,0),MATCH(R$8,'Electricity price scenarios'!$B$3:$CI$3,0))*(1+Parameters!$G$13)^(R$8-$G$8)/1000,0)</f>
        <v>0</v>
      </c>
      <c r="S26" s="527">
        <f>IF(AND(S$8&gt;=$C$5,S$8&lt;$C$6),INDEX('CO2 INJECTION'!$C$42:$BP$48,MATCH('CO2 INJECTION'!$C$47,'CO2 INJECTION'!$C$42:$C$48,0),MATCH(S$8,'CO2 INJECTION'!$C$42:$BP$42,0))*INDEX('Electricity price scenarios'!$B$3:$CI$11,MATCH(Parameters!$G$15,'Electricity price scenarios'!$B$3:$B$11,0),MATCH(S$8,'Electricity price scenarios'!$B$3:$CI$3,0))*(1+Parameters!$G$13)^(S$8-$G$8)/1000,0)</f>
        <v>0</v>
      </c>
      <c r="T26" s="527">
        <f>IF(AND(T$8&gt;=$C$5,T$8&lt;$C$6),INDEX('CO2 INJECTION'!$C$42:$BP$48,MATCH('CO2 INJECTION'!$C$47,'CO2 INJECTION'!$C$42:$C$48,0),MATCH(T$8,'CO2 INJECTION'!$C$42:$BP$42,0))*INDEX('Electricity price scenarios'!$B$3:$CI$11,MATCH(Parameters!$G$15,'Electricity price scenarios'!$B$3:$B$11,0),MATCH(T$8,'Electricity price scenarios'!$B$3:$CI$3,0))*(1+Parameters!$G$13)^(T$8-$G$8)/1000,0)</f>
        <v>0</v>
      </c>
      <c r="U26" s="527">
        <f>IF(AND(U$8&gt;=$C$5,U$8&lt;$C$6),INDEX('CO2 INJECTION'!$C$42:$BP$48,MATCH('CO2 INJECTION'!$C$47,'CO2 INJECTION'!$C$42:$C$48,0),MATCH(U$8,'CO2 INJECTION'!$C$42:$BP$42,0))*INDEX('Electricity price scenarios'!$B$3:$CI$11,MATCH(Parameters!$G$15,'Electricity price scenarios'!$B$3:$B$11,0),MATCH(U$8,'Electricity price scenarios'!$B$3:$CI$3,0))*(1+Parameters!$G$13)^(U$8-$G$8)/1000,0)</f>
        <v>0</v>
      </c>
      <c r="V26" s="527">
        <f>IF(AND(V$8&gt;=$C$5,V$8&lt;$C$6),INDEX('CO2 INJECTION'!$C$42:$BP$48,MATCH('CO2 INJECTION'!$C$47,'CO2 INJECTION'!$C$42:$C$48,0),MATCH(V$8,'CO2 INJECTION'!$C$42:$BP$42,0))*INDEX('Electricity price scenarios'!$B$3:$CI$11,MATCH(Parameters!$G$15,'Electricity price scenarios'!$B$3:$B$11,0),MATCH(V$8,'Electricity price scenarios'!$B$3:$CI$3,0))*(1+Parameters!$G$13)^(V$8-$G$8)/1000,0)</f>
        <v>0</v>
      </c>
      <c r="W26" s="527">
        <f>IF(AND(W$8&gt;=$C$5,W$8&lt;$C$6),INDEX('CO2 INJECTION'!$C$42:$BP$48,MATCH('CO2 INJECTION'!$C$47,'CO2 INJECTION'!$C$42:$C$48,0),MATCH(W$8,'CO2 INJECTION'!$C$42:$BP$42,0))*INDEX('Electricity price scenarios'!$B$3:$CI$11,MATCH(Parameters!$G$15,'Electricity price scenarios'!$B$3:$B$11,0),MATCH(W$8,'Electricity price scenarios'!$B$3:$CI$3,0))*(1+Parameters!$G$13)^(W$8-$G$8)/1000,0)</f>
        <v>0</v>
      </c>
      <c r="X26" s="527">
        <f>IF(AND(X$8&gt;=$C$5,X$8&lt;$C$6),INDEX('CO2 INJECTION'!$C$42:$BP$48,MATCH('CO2 INJECTION'!$C$47,'CO2 INJECTION'!$C$42:$C$48,0),MATCH(X$8,'CO2 INJECTION'!$C$42:$BP$42,0))*INDEX('Electricity price scenarios'!$B$3:$CI$11,MATCH(Parameters!$G$15,'Electricity price scenarios'!$B$3:$B$11,0),MATCH(X$8,'Electricity price scenarios'!$B$3:$CI$3,0))*(1+Parameters!$G$13)^(X$8-$G$8)/1000,0)</f>
        <v>0</v>
      </c>
      <c r="Y26" s="527">
        <f>IF(AND(Y$8&gt;=$C$5,Y$8&lt;$C$6),INDEX('CO2 INJECTION'!$C$42:$BP$48,MATCH('CO2 INJECTION'!$C$47,'CO2 INJECTION'!$C$42:$C$48,0),MATCH(Y$8,'CO2 INJECTION'!$C$42:$BP$42,0))*INDEX('Electricity price scenarios'!$B$3:$CI$11,MATCH(Parameters!$G$15,'Electricity price scenarios'!$B$3:$B$11,0),MATCH(Y$8,'Electricity price scenarios'!$B$3:$CI$3,0))*(1+Parameters!$G$13)^(Y$8-$G$8)/1000,0)</f>
        <v>0</v>
      </c>
      <c r="Z26" s="527">
        <f>IF(AND(Z$8&gt;=$C$5,Z$8&lt;$C$6),INDEX('CO2 INJECTION'!$C$42:$BP$48,MATCH('CO2 INJECTION'!$C$47,'CO2 INJECTION'!$C$42:$C$48,0),MATCH(Z$8,'CO2 INJECTION'!$C$42:$BP$42,0))*INDEX('Electricity price scenarios'!$B$3:$CI$11,MATCH(Parameters!$G$15,'Electricity price scenarios'!$B$3:$B$11,0),MATCH(Z$8,'Electricity price scenarios'!$B$3:$CI$3,0))*(1+Parameters!$G$13)^(Z$8-$G$8)/1000,0)</f>
        <v>0</v>
      </c>
      <c r="AA26" s="527">
        <f>IF(AND(AA$8&gt;=$C$5,AA$8&lt;$C$6),INDEX('CO2 INJECTION'!$C$42:$BP$48,MATCH('CO2 INJECTION'!$C$47,'CO2 INJECTION'!$C$42:$C$48,0),MATCH(AA$8,'CO2 INJECTION'!$C$42:$BP$42,0))*INDEX('Electricity price scenarios'!$B$3:$CI$11,MATCH(Parameters!$G$15,'Electricity price scenarios'!$B$3:$B$11,0),MATCH(AA$8,'Electricity price scenarios'!$B$3:$CI$3,0))*(1+Parameters!$G$13)^(AA$8-$G$8)/1000,0)</f>
        <v>0</v>
      </c>
      <c r="AB26" s="527">
        <f>IF(AND(AB$8&gt;=$C$5,AB$8&lt;$C$6),INDEX('CO2 INJECTION'!$C$42:$BP$48,MATCH('CO2 INJECTION'!$C$47,'CO2 INJECTION'!$C$42:$C$48,0),MATCH(AB$8,'CO2 INJECTION'!$C$42:$BP$42,0))*INDEX('Electricity price scenarios'!$B$3:$CI$11,MATCH(Parameters!$G$15,'Electricity price scenarios'!$B$3:$B$11,0),MATCH(AB$8,'Electricity price scenarios'!$B$3:$CI$3,0))*(1+Parameters!$G$13)^(AB$8-$G$8)/1000,0)</f>
        <v>0</v>
      </c>
      <c r="AC26" s="527">
        <f>IF(AND(AC$8&gt;=$C$5,AC$8&lt;$C$6),INDEX('CO2 INJECTION'!$C$42:$BP$48,MATCH('CO2 INJECTION'!$C$47,'CO2 INJECTION'!$C$42:$C$48,0),MATCH(AC$8,'CO2 INJECTION'!$C$42:$BP$42,0))*INDEX('Electricity price scenarios'!$B$3:$CI$11,MATCH(Parameters!$G$15,'Electricity price scenarios'!$B$3:$B$11,0),MATCH(AC$8,'Electricity price scenarios'!$B$3:$CI$3,0))*(1+Parameters!$G$13)^(AC$8-$G$8)/1000,0)</f>
        <v>0</v>
      </c>
      <c r="AD26" s="527">
        <f>IF(AND(AD$8&gt;=$C$5,AD$8&lt;$C$6),INDEX('CO2 INJECTION'!$C$42:$BP$48,MATCH('CO2 INJECTION'!$C$47,'CO2 INJECTION'!$C$42:$C$48,0),MATCH(AD$8,'CO2 INJECTION'!$C$42:$BP$42,0))*INDEX('Electricity price scenarios'!$B$3:$CI$11,MATCH(Parameters!$G$15,'Electricity price scenarios'!$B$3:$B$11,0),MATCH(AD$8,'Electricity price scenarios'!$B$3:$CI$3,0))*(1+Parameters!$G$13)^(AD$8-$G$8)/1000,0)</f>
        <v>0</v>
      </c>
      <c r="AE26" s="527">
        <f>IF(AND(AE$8&gt;=$C$5,AE$8&lt;$C$6),INDEX('CO2 INJECTION'!$C$42:$BP$48,MATCH('CO2 INJECTION'!$C$47,'CO2 INJECTION'!$C$42:$C$48,0),MATCH(AE$8,'CO2 INJECTION'!$C$42:$BP$42,0))*INDEX('Electricity price scenarios'!$B$3:$CI$11,MATCH(Parameters!$G$15,'Electricity price scenarios'!$B$3:$B$11,0),MATCH(AE$8,'Electricity price scenarios'!$B$3:$CI$3,0))*(1+Parameters!$G$13)^(AE$8-$G$8)/1000,0)</f>
        <v>0</v>
      </c>
      <c r="AF26" s="527">
        <f>IF(AND(AF$8&gt;=$C$5,AF$8&lt;$C$6),INDEX('CO2 INJECTION'!$C$42:$BP$48,MATCH('CO2 INJECTION'!$C$47,'CO2 INJECTION'!$C$42:$C$48,0),MATCH(AF$8,'CO2 INJECTION'!$C$42:$BP$42,0))*INDEX('Electricity price scenarios'!$B$3:$CI$11,MATCH(Parameters!$G$15,'Electricity price scenarios'!$B$3:$B$11,0),MATCH(AF$8,'Electricity price scenarios'!$B$3:$CI$3,0))*(1+Parameters!$G$13)^(AF$8-$G$8)/1000,0)</f>
        <v>0</v>
      </c>
      <c r="AG26" s="527">
        <f>IF(AND(AG$8&gt;=$C$5,AG$8&lt;$C$6),INDEX('CO2 INJECTION'!$C$42:$BP$48,MATCH('CO2 INJECTION'!$C$47,'CO2 INJECTION'!$C$42:$C$48,0),MATCH(AG$8,'CO2 INJECTION'!$C$42:$BP$42,0))*INDEX('Electricity price scenarios'!$B$3:$CI$11,MATCH(Parameters!$G$15,'Electricity price scenarios'!$B$3:$B$11,0),MATCH(AG$8,'Electricity price scenarios'!$B$3:$CI$3,0))*(1+Parameters!$G$13)^(AG$8-$G$8)/1000,0)</f>
        <v>0</v>
      </c>
      <c r="AH26" s="527">
        <f>IF(AND(AH$8&gt;=$C$5,AH$8&lt;$C$6),INDEX('CO2 INJECTION'!$C$42:$BP$48,MATCH('CO2 INJECTION'!$C$47,'CO2 INJECTION'!$C$42:$C$48,0),MATCH(AH$8,'CO2 INJECTION'!$C$42:$BP$42,0))*INDEX('Electricity price scenarios'!$B$3:$CI$11,MATCH(Parameters!$G$15,'Electricity price scenarios'!$B$3:$B$11,0),MATCH(AH$8,'Electricity price scenarios'!$B$3:$CI$3,0))*(1+Parameters!$G$13)^(AH$8-$G$8)/1000,0)</f>
        <v>0</v>
      </c>
      <c r="AI26" s="527">
        <f>IF(AND(AI$8&gt;=$C$5,AI$8&lt;$C$6),INDEX('CO2 INJECTION'!$C$42:$BP$48,MATCH('CO2 INJECTION'!$C$47,'CO2 INJECTION'!$C$42:$C$48,0),MATCH(AI$8,'CO2 INJECTION'!$C$42:$BP$42,0))*INDEX('Electricity price scenarios'!$B$3:$CI$11,MATCH(Parameters!$G$15,'Electricity price scenarios'!$B$3:$B$11,0),MATCH(AI$8,'Electricity price scenarios'!$B$3:$CI$3,0))*(1+Parameters!$G$13)^(AI$8-$G$8)/1000,0)</f>
        <v>0</v>
      </c>
      <c r="AJ26" s="527">
        <f>IF(AND(AJ$8&gt;=$C$5,AJ$8&lt;$C$6),INDEX('CO2 INJECTION'!$C$42:$BP$48,MATCH('CO2 INJECTION'!$C$47,'CO2 INJECTION'!$C$42:$C$48,0),MATCH(AJ$8,'CO2 INJECTION'!$C$42:$BP$42,0))*INDEX('Electricity price scenarios'!$B$3:$CI$11,MATCH(Parameters!$G$15,'Electricity price scenarios'!$B$3:$B$11,0),MATCH(AJ$8,'Electricity price scenarios'!$B$3:$CI$3,0))*(1+Parameters!$G$13)^(AJ$8-$G$8)/1000,0)</f>
        <v>0</v>
      </c>
      <c r="AK26" s="527">
        <f>IF(AND(AK$8&gt;=$C$5,AK$8&lt;$C$6),INDEX('CO2 INJECTION'!$C$42:$BP$48,MATCH('CO2 INJECTION'!$C$47,'CO2 INJECTION'!$C$42:$C$48,0),MATCH(AK$8,'CO2 INJECTION'!$C$42:$BP$42,0))*INDEX('Electricity price scenarios'!$B$3:$CI$11,MATCH(Parameters!$G$15,'Electricity price scenarios'!$B$3:$B$11,0),MATCH(AK$8,'Electricity price scenarios'!$B$3:$CI$3,0))*(1+Parameters!$G$13)^(AK$8-$G$8)/1000,0)</f>
        <v>0</v>
      </c>
      <c r="AL26" s="527">
        <f>IF(AND(AL$8&gt;=$C$5,AL$8&lt;$C$6),INDEX('CO2 INJECTION'!$C$42:$BP$48,MATCH('CO2 INJECTION'!$C$47,'CO2 INJECTION'!$C$42:$C$48,0),MATCH(AL$8,'CO2 INJECTION'!$C$42:$BP$42,0))*INDEX('Electricity price scenarios'!$B$3:$CI$11,MATCH(Parameters!$G$15,'Electricity price scenarios'!$B$3:$B$11,0),MATCH(AL$8,'Electricity price scenarios'!$B$3:$CI$3,0))*(1+Parameters!$G$13)^(AL$8-$G$8)/1000,0)</f>
        <v>0</v>
      </c>
      <c r="AM26" s="527">
        <f>IF(AND(AM$8&gt;=$C$5,AM$8&lt;$C$6),INDEX('CO2 INJECTION'!$C$42:$BP$48,MATCH('CO2 INJECTION'!$C$47,'CO2 INJECTION'!$C$42:$C$48,0),MATCH(AM$8,'CO2 INJECTION'!$C$42:$BP$42,0))*INDEX('Electricity price scenarios'!$B$3:$CI$11,MATCH(Parameters!$G$15,'Electricity price scenarios'!$B$3:$B$11,0),MATCH(AM$8,'Electricity price scenarios'!$B$3:$CI$3,0))*(1+Parameters!$G$13)^(AM$8-$G$8)/1000,0)</f>
        <v>0</v>
      </c>
      <c r="AN26" s="527">
        <f>IF(AND(AN$8&gt;=$C$5,AN$8&lt;$C$6),INDEX('CO2 INJECTION'!$C$42:$BP$48,MATCH('CO2 INJECTION'!$C$47,'CO2 INJECTION'!$C$42:$C$48,0),MATCH(AN$8,'CO2 INJECTION'!$C$42:$BP$42,0))*INDEX('Electricity price scenarios'!$B$3:$CI$11,MATCH(Parameters!$G$15,'Electricity price scenarios'!$B$3:$B$11,0),MATCH(AN$8,'Electricity price scenarios'!$B$3:$CI$3,0))*(1+Parameters!$G$13)^(AN$8-$G$8)/1000,0)</f>
        <v>0</v>
      </c>
      <c r="AO26" s="527">
        <f>IF(AND(AO$8&gt;=$C$5,AO$8&lt;$C$6),INDEX('CO2 INJECTION'!$C$42:$BP$48,MATCH('CO2 INJECTION'!$C$47,'CO2 INJECTION'!$C$42:$C$48,0),MATCH(AO$8,'CO2 INJECTION'!$C$42:$BP$42,0))*INDEX('Electricity price scenarios'!$B$3:$CI$11,MATCH(Parameters!$G$15,'Electricity price scenarios'!$B$3:$B$11,0),MATCH(AO$8,'Electricity price scenarios'!$B$3:$CI$3,0))*(1+Parameters!$G$13)^(AO$8-$G$8)/1000,0)</f>
        <v>0</v>
      </c>
      <c r="AP26" s="527">
        <f>IF(AND(AP$8&gt;=$C$5,AP$8&lt;$C$6),INDEX('CO2 INJECTION'!$C$42:$BP$48,MATCH('CO2 INJECTION'!$C$47,'CO2 INJECTION'!$C$42:$C$48,0),MATCH(AP$8,'CO2 INJECTION'!$C$42:$BP$42,0))*INDEX('Electricity price scenarios'!$B$3:$CI$11,MATCH(Parameters!$G$15,'Electricity price scenarios'!$B$3:$B$11,0),MATCH(AP$8,'Electricity price scenarios'!$B$3:$CI$3,0))*(1+Parameters!$G$13)^(AP$8-$G$8)/1000,0)</f>
        <v>0</v>
      </c>
      <c r="AQ26" s="527">
        <f>IF(AND(AQ$8&gt;=$C$5,AQ$8&lt;$C$6),INDEX('CO2 INJECTION'!$C$42:$BP$48,MATCH('CO2 INJECTION'!$C$47,'CO2 INJECTION'!$C$42:$C$48,0),MATCH(AQ$8,'CO2 INJECTION'!$C$42:$BP$42,0))*INDEX('Electricity price scenarios'!$B$3:$CI$11,MATCH(Parameters!$G$15,'Electricity price scenarios'!$B$3:$B$11,0),MATCH(AQ$8,'Electricity price scenarios'!$B$3:$CI$3,0))*(1+Parameters!$G$13)^(AQ$8-$G$8)/1000,0)</f>
        <v>0</v>
      </c>
      <c r="AR26" s="527">
        <f>IF(AND(AR$8&gt;=$C$5,AR$8&lt;$C$6),INDEX('CO2 INJECTION'!$C$42:$BP$48,MATCH('CO2 INJECTION'!$C$47,'CO2 INJECTION'!$C$42:$C$48,0),MATCH(AR$8,'CO2 INJECTION'!$C$42:$BP$42,0))*INDEX('Electricity price scenarios'!$B$3:$CI$11,MATCH(Parameters!$G$15,'Electricity price scenarios'!$B$3:$B$11,0),MATCH(AR$8,'Electricity price scenarios'!$B$3:$CI$3,0))*(1+Parameters!$G$13)^(AR$8-$G$8)/1000,0)</f>
        <v>0</v>
      </c>
      <c r="AS26" s="527">
        <f>IF(AND(AS$8&gt;=$C$5,AS$8&lt;$C$6),INDEX('CO2 INJECTION'!$C$42:$BP$48,MATCH('CO2 INJECTION'!$C$47,'CO2 INJECTION'!$C$42:$C$48,0),MATCH(AS$8,'CO2 INJECTION'!$C$42:$BP$42,0))*INDEX('Electricity price scenarios'!$B$3:$CI$11,MATCH(Parameters!$G$15,'Electricity price scenarios'!$B$3:$B$11,0),MATCH(AS$8,'Electricity price scenarios'!$B$3:$CI$3,0))*(1+Parameters!$G$13)^(AS$8-$G$8)/1000,0)</f>
        <v>0</v>
      </c>
      <c r="AT26" s="527">
        <f>IF(AND(AT$8&gt;=$C$5,AT$8&lt;$C$6),INDEX('CO2 INJECTION'!$C$42:$BP$48,MATCH('CO2 INJECTION'!$C$47,'CO2 INJECTION'!$C$42:$C$48,0),MATCH(AT$8,'CO2 INJECTION'!$C$42:$BP$42,0))*INDEX('Electricity price scenarios'!$B$3:$CI$11,MATCH(Parameters!$G$15,'Electricity price scenarios'!$B$3:$B$11,0),MATCH(AT$8,'Electricity price scenarios'!$B$3:$CI$3,0))*(1+Parameters!$G$13)^(AT$8-$G$8)/1000,0)</f>
        <v>0</v>
      </c>
      <c r="AU26" s="527">
        <f>IF(AND(AU$8&gt;=$C$5,AU$8&lt;$C$6),INDEX('CO2 INJECTION'!$C$42:$BP$48,MATCH('CO2 INJECTION'!$C$47,'CO2 INJECTION'!$C$42:$C$48,0),MATCH(AU$8,'CO2 INJECTION'!$C$42:$BP$42,0))*INDEX('Electricity price scenarios'!$B$3:$CI$11,MATCH(Parameters!$G$15,'Electricity price scenarios'!$B$3:$B$11,0),MATCH(AU$8,'Electricity price scenarios'!$B$3:$CI$3,0))*(1+Parameters!$G$13)^(AU$8-$G$8)/1000,0)</f>
        <v>0</v>
      </c>
      <c r="AV26" s="527">
        <f>IF(AND(AV$8&gt;=$C$5,AV$8&lt;$C$6),INDEX('CO2 INJECTION'!$C$42:$BP$48,MATCH('CO2 INJECTION'!$C$47,'CO2 INJECTION'!$C$42:$C$48,0),MATCH(AV$8,'CO2 INJECTION'!$C$42:$BP$42,0))*INDEX('Electricity price scenarios'!$B$3:$CI$11,MATCH(Parameters!$G$15,'Electricity price scenarios'!$B$3:$B$11,0),MATCH(AV$8,'Electricity price scenarios'!$B$3:$CI$3,0))*(1+Parameters!$G$13)^(AV$8-$G$8)/1000,0)</f>
        <v>0</v>
      </c>
      <c r="AW26" s="527">
        <f>IF(AND(AW$8&gt;=$C$5,AW$8&lt;$C$6),INDEX('CO2 INJECTION'!$C$42:$BP$48,MATCH('CO2 INJECTION'!$C$47,'CO2 INJECTION'!$C$42:$C$48,0),MATCH(AW$8,'CO2 INJECTION'!$C$42:$BP$42,0))*INDEX('Electricity price scenarios'!$B$3:$CI$11,MATCH(Parameters!$G$15,'Electricity price scenarios'!$B$3:$B$11,0),MATCH(AW$8,'Electricity price scenarios'!$B$3:$CI$3,0))*(1+Parameters!$G$13)^(AW$8-$G$8)/1000,0)</f>
        <v>0</v>
      </c>
      <c r="AX26" s="527">
        <f>IF(AND(AX$8&gt;=$C$5,AX$8&lt;$C$6),INDEX('CO2 INJECTION'!$C$42:$BP$48,MATCH('CO2 INJECTION'!$C$47,'CO2 INJECTION'!$C$42:$C$48,0),MATCH(AX$8,'CO2 INJECTION'!$C$42:$BP$42,0))*INDEX('Electricity price scenarios'!$B$3:$CI$11,MATCH(Parameters!$G$15,'Electricity price scenarios'!$B$3:$B$11,0),MATCH(AX$8,'Electricity price scenarios'!$B$3:$CI$3,0))*(1+Parameters!$G$13)^(AX$8-$G$8)/1000,0)</f>
        <v>0</v>
      </c>
      <c r="AY26" s="527">
        <f>IF(AND(AY$8&gt;=$C$5,AY$8&lt;$C$6),INDEX('CO2 INJECTION'!$C$42:$BP$48,MATCH('CO2 INJECTION'!$C$47,'CO2 INJECTION'!$C$42:$C$48,0),MATCH(AY$8,'CO2 INJECTION'!$C$42:$BP$42,0))*INDEX('Electricity price scenarios'!$B$3:$CI$11,MATCH(Parameters!$G$15,'Electricity price scenarios'!$B$3:$B$11,0),MATCH(AY$8,'Electricity price scenarios'!$B$3:$CI$3,0))*(1+Parameters!$G$13)^(AY$8-$G$8)/1000,0)</f>
        <v>0</v>
      </c>
      <c r="AZ26" s="527">
        <f>IF(AND(AZ$8&gt;=$C$5,AZ$8&lt;$C$6),INDEX('CO2 INJECTION'!$C$42:$BP$48,MATCH('CO2 INJECTION'!$C$47,'CO2 INJECTION'!$C$42:$C$48,0),MATCH(AZ$8,'CO2 INJECTION'!$C$42:$BP$42,0))*INDEX('Electricity price scenarios'!$B$3:$CI$11,MATCH(Parameters!$G$15,'Electricity price scenarios'!$B$3:$B$11,0),MATCH(AZ$8,'Electricity price scenarios'!$B$3:$CI$3,0))*(1+Parameters!$G$13)^(AZ$8-$G$8)/1000,0)</f>
        <v>0</v>
      </c>
      <c r="BA26" s="527">
        <f>IF(AND(BA$8&gt;=$C$5,BA$8&lt;$C$6),INDEX('CO2 INJECTION'!$C$42:$BP$48,MATCH('CO2 INJECTION'!$C$47,'CO2 INJECTION'!$C$42:$C$48,0),MATCH(BA$8,'CO2 INJECTION'!$C$42:$BP$42,0))*INDEX('Electricity price scenarios'!$B$3:$CI$11,MATCH(Parameters!$G$15,'Electricity price scenarios'!$B$3:$B$11,0),MATCH(BA$8,'Electricity price scenarios'!$B$3:$CI$3,0))*(1+Parameters!$G$13)^(BA$8-$G$8)/1000,0)</f>
        <v>0</v>
      </c>
      <c r="BB26" s="527">
        <f>IF(AND(BB$8&gt;=$C$5,BB$8&lt;$C$6),INDEX('CO2 INJECTION'!$C$42:$BP$48,MATCH('CO2 INJECTION'!$C$47,'CO2 INJECTION'!$C$42:$C$48,0),MATCH(BB$8,'CO2 INJECTION'!$C$42:$BP$42,0))*INDEX('Electricity price scenarios'!$B$3:$CI$11,MATCH(Parameters!$G$15,'Electricity price scenarios'!$B$3:$B$11,0),MATCH(BB$8,'Electricity price scenarios'!$B$3:$CI$3,0))*(1+Parameters!$G$13)^(BB$8-$G$8)/1000,0)</f>
        <v>0</v>
      </c>
    </row>
    <row r="27" spans="2:54 16384:16384" x14ac:dyDescent="0.25">
      <c r="B27" s="1148" t="s">
        <v>1648</v>
      </c>
      <c r="C27" s="527" t="s">
        <v>979</v>
      </c>
      <c r="D27" s="527">
        <f t="shared" si="16"/>
        <v>0</v>
      </c>
      <c r="E27" s="527">
        <f t="shared" si="17"/>
        <v>0</v>
      </c>
      <c r="G27" s="527">
        <f>IF(AND(G$8&gt;=$C$5,G$8&lt;$C$6),(Parameters!$G$224+INDEX('CO2 INJECTION'!$C$42:$BP$48,MATCH('CO2 INJECTION'!$C$48,'CO2 INJECTION'!$C$42:$C$48,0),MATCH(G$8,'CO2 INJECTION'!$C$42:$BP$42,0)))*(INDEX('Electricity price scenarios'!$B$3:$CI$11,MATCH(Parameters!$G$15,'Electricity price scenarios'!$B$3:$B$11,0),MATCH(G$8,'Electricity price scenarios'!$B$3:$CI$3,0))+Parameters!$G$37)*(1+Parameters!$G$13)^(G$8-$G$8)/1000,0)</f>
        <v>0</v>
      </c>
      <c r="H27" s="527">
        <f>IF(AND(H$8&gt;=$C$5,H$8&lt;$C$6),(Parameters!$G$224+INDEX('CO2 INJECTION'!$C$42:$BP$48,MATCH('CO2 INJECTION'!$C$48,'CO2 INJECTION'!$C$42:$C$48,0),MATCH(H$8,'CO2 INJECTION'!$C$42:$BP$42,0)))*(INDEX('Electricity price scenarios'!$B$3:$CI$11,MATCH(Parameters!$G$15,'Electricity price scenarios'!$B$3:$B$11,0),MATCH(H$8,'Electricity price scenarios'!$B$3:$CI$3,0))+Parameters!$G$37)*(1+Parameters!$G$13)^(H$8-$G$8)/1000,0)</f>
        <v>0</v>
      </c>
      <c r="I27" s="527">
        <f>IF(AND(I$8&gt;=$C$5,I$8&lt;$C$6),(Parameters!$G$224+INDEX('CO2 INJECTION'!$C$42:$BP$48,MATCH('CO2 INJECTION'!$C$48,'CO2 INJECTION'!$C$42:$C$48,0),MATCH(I$8,'CO2 INJECTION'!$C$42:$BP$42,0)))*(INDEX('Electricity price scenarios'!$B$3:$CI$11,MATCH(Parameters!$G$15,'Electricity price scenarios'!$B$3:$B$11,0),MATCH(I$8,'Electricity price scenarios'!$B$3:$CI$3,0))+Parameters!$G$37)*(1+Parameters!$G$13)^(I$8-$G$8)/1000,0)</f>
        <v>0</v>
      </c>
      <c r="J27" s="527">
        <f>IF(AND(J$8&gt;=$C$5,J$8&lt;$C$6),(Parameters!$G$224+INDEX('CO2 INJECTION'!$C$42:$BP$48,MATCH('CO2 INJECTION'!$C$48,'CO2 INJECTION'!$C$42:$C$48,0),MATCH(J$8,'CO2 INJECTION'!$C$42:$BP$42,0)))*(INDEX('Electricity price scenarios'!$B$3:$CI$11,MATCH(Parameters!$G$15,'Electricity price scenarios'!$B$3:$B$11,0),MATCH(J$8,'Electricity price scenarios'!$B$3:$CI$3,0))+Parameters!$G$37)*(1+Parameters!$G$13)^(J$8-$G$8)/1000,0)</f>
        <v>0</v>
      </c>
      <c r="K27" s="527">
        <f>IF(AND(K$8&gt;=$C$5,K$8&lt;$C$6),(Parameters!$G$224+INDEX('CO2 INJECTION'!$C$42:$BP$48,MATCH('CO2 INJECTION'!$C$48,'CO2 INJECTION'!$C$42:$C$48,0),MATCH(K$8,'CO2 INJECTION'!$C$42:$BP$42,0)))*(INDEX('Electricity price scenarios'!$B$3:$CI$11,MATCH(Parameters!$G$15,'Electricity price scenarios'!$B$3:$B$11,0),MATCH(K$8,'Electricity price scenarios'!$B$3:$CI$3,0))+Parameters!$G$37)*(1+Parameters!$G$13)^(K$8-$G$8)/1000,0)</f>
        <v>0</v>
      </c>
      <c r="L27" s="527">
        <f>IF(AND(L$8&gt;=$C$5,L$8&lt;$C$6),(Parameters!$G$224+INDEX('CO2 INJECTION'!$C$42:$BP$48,MATCH('CO2 INJECTION'!$C$48,'CO2 INJECTION'!$C$42:$C$48,0),MATCH(L$8,'CO2 INJECTION'!$C$42:$BP$42,0)))*(INDEX('Electricity price scenarios'!$B$3:$CI$11,MATCH(Parameters!$G$15,'Electricity price scenarios'!$B$3:$B$11,0),MATCH(L$8,'Electricity price scenarios'!$B$3:$CI$3,0))+Parameters!$G$37)*(1+Parameters!$G$13)^(L$8-$G$8)/1000,0)</f>
        <v>0</v>
      </c>
      <c r="M27" s="527">
        <f>IF(AND(M$8&gt;=$C$5,M$8&lt;$C$6),(Parameters!$G$224+INDEX('CO2 INJECTION'!$C$42:$BP$48,MATCH('CO2 INJECTION'!$C$48,'CO2 INJECTION'!$C$42:$C$48,0),MATCH(M$8,'CO2 INJECTION'!$C$42:$BP$42,0)))*(INDEX('Electricity price scenarios'!$B$3:$CI$11,MATCH(Parameters!$G$15,'Electricity price scenarios'!$B$3:$B$11,0),MATCH(M$8,'Electricity price scenarios'!$B$3:$CI$3,0))+Parameters!$G$37)*(1+Parameters!$G$13)^(M$8-$G$8)/1000,0)</f>
        <v>0</v>
      </c>
      <c r="N27" s="527">
        <f>IF(AND(N$8&gt;=$C$5,N$8&lt;$C$6),(Parameters!$G$224+INDEX('CO2 INJECTION'!$C$42:$BP$48,MATCH('CO2 INJECTION'!$C$48,'CO2 INJECTION'!$C$42:$C$48,0),MATCH(N$8,'CO2 INJECTION'!$C$42:$BP$42,0)))*(INDEX('Electricity price scenarios'!$B$3:$CI$11,MATCH(Parameters!$G$15,'Electricity price scenarios'!$B$3:$B$11,0),MATCH(N$8,'Electricity price scenarios'!$B$3:$CI$3,0))+Parameters!$G$37)*(1+Parameters!$G$13)^(N$8-$G$8)/1000,0)</f>
        <v>0</v>
      </c>
      <c r="O27" s="527">
        <f>IF(AND(O$8&gt;=$C$5,O$8&lt;$C$6),(Parameters!$G$224+INDEX('CO2 INJECTION'!$C$42:$BP$48,MATCH('CO2 INJECTION'!$C$48,'CO2 INJECTION'!$C$42:$C$48,0),MATCH(O$8,'CO2 INJECTION'!$C$42:$BP$42,0)))*(INDEX('Electricity price scenarios'!$B$3:$CI$11,MATCH(Parameters!$G$15,'Electricity price scenarios'!$B$3:$B$11,0),MATCH(O$8,'Electricity price scenarios'!$B$3:$CI$3,0))+Parameters!$G$37)*(1+Parameters!$G$13)^(O$8-$G$8)/1000,0)</f>
        <v>0</v>
      </c>
      <c r="P27" s="527">
        <f>IF(AND(P$8&gt;=$C$5,P$8&lt;$C$6),(Parameters!$G$224+INDEX('CO2 INJECTION'!$C$42:$BP$48,MATCH('CO2 INJECTION'!$C$48,'CO2 INJECTION'!$C$42:$C$48,0),MATCH(P$8,'CO2 INJECTION'!$C$42:$BP$42,0)))*(INDEX('Electricity price scenarios'!$B$3:$CI$11,MATCH(Parameters!$G$15,'Electricity price scenarios'!$B$3:$B$11,0),MATCH(P$8,'Electricity price scenarios'!$B$3:$CI$3,0))+Parameters!$G$37)*(1+Parameters!$G$13)^(P$8-$G$8)/1000,0)</f>
        <v>0</v>
      </c>
      <c r="Q27" s="527">
        <f>IF(AND(Q$8&gt;=$C$5,Q$8&lt;$C$6),(Parameters!$G$224+INDEX('CO2 INJECTION'!$C$42:$BP$48,MATCH('CO2 INJECTION'!$C$48,'CO2 INJECTION'!$C$42:$C$48,0),MATCH(Q$8,'CO2 INJECTION'!$C$42:$BP$42,0)))*(INDEX('Electricity price scenarios'!$B$3:$CI$11,MATCH(Parameters!$G$15,'Electricity price scenarios'!$B$3:$B$11,0),MATCH(Q$8,'Electricity price scenarios'!$B$3:$CI$3,0))+Parameters!$G$37)*(1+Parameters!$G$13)^(Q$8-$G$8)/1000,0)</f>
        <v>0</v>
      </c>
      <c r="R27" s="527">
        <f>IF(AND(R$8&gt;=$C$5,R$8&lt;$C$6),(Parameters!$G$224+INDEX('CO2 INJECTION'!$C$42:$BP$48,MATCH('CO2 INJECTION'!$C$48,'CO2 INJECTION'!$C$42:$C$48,0),MATCH(R$8,'CO2 INJECTION'!$C$42:$BP$42,0)))*(INDEX('Electricity price scenarios'!$B$3:$CI$11,MATCH(Parameters!$G$15,'Electricity price scenarios'!$B$3:$B$11,0),MATCH(R$8,'Electricity price scenarios'!$B$3:$CI$3,0))+Parameters!$G$37)*(1+Parameters!$G$13)^(R$8-$G$8)/1000,0)</f>
        <v>0</v>
      </c>
      <c r="S27" s="527">
        <f>IF(AND(S$8&gt;=$C$5,S$8&lt;$C$6),(Parameters!$G$224+INDEX('CO2 INJECTION'!$C$42:$BP$48,MATCH('CO2 INJECTION'!$C$48,'CO2 INJECTION'!$C$42:$C$48,0),MATCH(S$8,'CO2 INJECTION'!$C$42:$BP$42,0)))*(INDEX('Electricity price scenarios'!$B$3:$CI$11,MATCH(Parameters!$G$15,'Electricity price scenarios'!$B$3:$B$11,0),MATCH(S$8,'Electricity price scenarios'!$B$3:$CI$3,0))+Parameters!$G$37)*(1+Parameters!$G$13)^(S$8-$G$8)/1000,0)</f>
        <v>0</v>
      </c>
      <c r="T27" s="527">
        <f>IF(AND(T$8&gt;=$C$5,T$8&lt;$C$6),(Parameters!$G$224+INDEX('CO2 INJECTION'!$C$42:$BP$48,MATCH('CO2 INJECTION'!$C$48,'CO2 INJECTION'!$C$42:$C$48,0),MATCH(T$8,'CO2 INJECTION'!$C$42:$BP$42,0)))*(INDEX('Electricity price scenarios'!$B$3:$CI$11,MATCH(Parameters!$G$15,'Electricity price scenarios'!$B$3:$B$11,0),MATCH(T$8,'Electricity price scenarios'!$B$3:$CI$3,0))+Parameters!$G$37)*(1+Parameters!$G$13)^(T$8-$G$8)/1000,0)</f>
        <v>0</v>
      </c>
      <c r="U27" s="527">
        <f>IF(AND(U$8&gt;=$C$5,U$8&lt;$C$6),(Parameters!$G$224+INDEX('CO2 INJECTION'!$C$42:$BP$48,MATCH('CO2 INJECTION'!$C$48,'CO2 INJECTION'!$C$42:$C$48,0),MATCH(U$8,'CO2 INJECTION'!$C$42:$BP$42,0)))*(INDEX('Electricity price scenarios'!$B$3:$CI$11,MATCH(Parameters!$G$15,'Electricity price scenarios'!$B$3:$B$11,0),MATCH(U$8,'Electricity price scenarios'!$B$3:$CI$3,0))+Parameters!$G$37)*(1+Parameters!$G$13)^(U$8-$G$8)/1000,0)</f>
        <v>0</v>
      </c>
      <c r="V27" s="527">
        <f>IF(AND(V$8&gt;=$C$5,V$8&lt;$C$6),(Parameters!$G$224+INDEX('CO2 INJECTION'!$C$42:$BP$48,MATCH('CO2 INJECTION'!$C$48,'CO2 INJECTION'!$C$42:$C$48,0),MATCH(V$8,'CO2 INJECTION'!$C$42:$BP$42,0)))*(INDEX('Electricity price scenarios'!$B$3:$CI$11,MATCH(Parameters!$G$15,'Electricity price scenarios'!$B$3:$B$11,0),MATCH(V$8,'Electricity price scenarios'!$B$3:$CI$3,0))+Parameters!$G$37)*(1+Parameters!$G$13)^(V$8-$G$8)/1000,0)</f>
        <v>0</v>
      </c>
      <c r="W27" s="527">
        <f>IF(AND(W$8&gt;=$C$5,W$8&lt;$C$6),(Parameters!$G$224+INDEX('CO2 INJECTION'!$C$42:$BP$48,MATCH('CO2 INJECTION'!$C$48,'CO2 INJECTION'!$C$42:$C$48,0),MATCH(W$8,'CO2 INJECTION'!$C$42:$BP$42,0)))*(INDEX('Electricity price scenarios'!$B$3:$CI$11,MATCH(Parameters!$G$15,'Electricity price scenarios'!$B$3:$B$11,0),MATCH(W$8,'Electricity price scenarios'!$B$3:$CI$3,0))+Parameters!$G$37)*(1+Parameters!$G$13)^(W$8-$G$8)/1000,0)</f>
        <v>0</v>
      </c>
      <c r="X27" s="527">
        <f>IF(AND(X$8&gt;=$C$5,X$8&lt;$C$6),(Parameters!$G$224+INDEX('CO2 INJECTION'!$C$42:$BP$48,MATCH('CO2 INJECTION'!$C$48,'CO2 INJECTION'!$C$42:$C$48,0),MATCH(X$8,'CO2 INJECTION'!$C$42:$BP$42,0)))*(INDEX('Electricity price scenarios'!$B$3:$CI$11,MATCH(Parameters!$G$15,'Electricity price scenarios'!$B$3:$B$11,0),MATCH(X$8,'Electricity price scenarios'!$B$3:$CI$3,0))+Parameters!$G$37)*(1+Parameters!$G$13)^(X$8-$G$8)/1000,0)</f>
        <v>0</v>
      </c>
      <c r="Y27" s="527">
        <f>IF(AND(Y$8&gt;=$C$5,Y$8&lt;$C$6),(Parameters!$G$224+INDEX('CO2 INJECTION'!$C$42:$BP$48,MATCH('CO2 INJECTION'!$C$48,'CO2 INJECTION'!$C$42:$C$48,0),MATCH(Y$8,'CO2 INJECTION'!$C$42:$BP$42,0)))*(INDEX('Electricity price scenarios'!$B$3:$CI$11,MATCH(Parameters!$G$15,'Electricity price scenarios'!$B$3:$B$11,0),MATCH(Y$8,'Electricity price scenarios'!$B$3:$CI$3,0))+Parameters!$G$37)*(1+Parameters!$G$13)^(Y$8-$G$8)/1000,0)</f>
        <v>0</v>
      </c>
      <c r="Z27" s="527">
        <f>IF(AND(Z$8&gt;=$C$5,Z$8&lt;$C$6),(Parameters!$G$224+INDEX('CO2 INJECTION'!$C$42:$BP$48,MATCH('CO2 INJECTION'!$C$48,'CO2 INJECTION'!$C$42:$C$48,0),MATCH(Z$8,'CO2 INJECTION'!$C$42:$BP$42,0)))*(INDEX('Electricity price scenarios'!$B$3:$CI$11,MATCH(Parameters!$G$15,'Electricity price scenarios'!$B$3:$B$11,0),MATCH(Z$8,'Electricity price scenarios'!$B$3:$CI$3,0))+Parameters!$G$37)*(1+Parameters!$G$13)^(Z$8-$G$8)/1000,0)</f>
        <v>0</v>
      </c>
      <c r="AA27" s="527">
        <f>IF(AND(AA$8&gt;=$C$5,AA$8&lt;$C$6),(Parameters!$G$224+INDEX('CO2 INJECTION'!$C$42:$BP$48,MATCH('CO2 INJECTION'!$C$48,'CO2 INJECTION'!$C$42:$C$48,0),MATCH(AA$8,'CO2 INJECTION'!$C$42:$BP$42,0)))*(INDEX('Electricity price scenarios'!$B$3:$CI$11,MATCH(Parameters!$G$15,'Electricity price scenarios'!$B$3:$B$11,0),MATCH(AA$8,'Electricity price scenarios'!$B$3:$CI$3,0))+Parameters!$G$37)*(1+Parameters!$G$13)^(AA$8-$G$8)/1000,0)</f>
        <v>0</v>
      </c>
      <c r="AB27" s="527">
        <f>IF(AND(AB$8&gt;=$C$5,AB$8&lt;$C$6),(Parameters!$G$224+INDEX('CO2 INJECTION'!$C$42:$BP$48,MATCH('CO2 INJECTION'!$C$48,'CO2 INJECTION'!$C$42:$C$48,0),MATCH(AB$8,'CO2 INJECTION'!$C$42:$BP$42,0)))*(INDEX('Electricity price scenarios'!$B$3:$CI$11,MATCH(Parameters!$G$15,'Electricity price scenarios'!$B$3:$B$11,0),MATCH(AB$8,'Electricity price scenarios'!$B$3:$CI$3,0))+Parameters!$G$37)*(1+Parameters!$G$13)^(AB$8-$G$8)/1000,0)</f>
        <v>0</v>
      </c>
      <c r="AC27" s="527">
        <f>IF(AND(AC$8&gt;=$C$5,AC$8&lt;$C$6),(Parameters!$G$224+INDEX('CO2 INJECTION'!$C$42:$BP$48,MATCH('CO2 INJECTION'!$C$48,'CO2 INJECTION'!$C$42:$C$48,0),MATCH(AC$8,'CO2 INJECTION'!$C$42:$BP$42,0)))*(INDEX('Electricity price scenarios'!$B$3:$CI$11,MATCH(Parameters!$G$15,'Electricity price scenarios'!$B$3:$B$11,0),MATCH(AC$8,'Electricity price scenarios'!$B$3:$CI$3,0))+Parameters!$G$37)*(1+Parameters!$G$13)^(AC$8-$G$8)/1000,0)</f>
        <v>0</v>
      </c>
      <c r="AD27" s="527">
        <f>IF(AND(AD$8&gt;=$C$5,AD$8&lt;$C$6),(Parameters!$G$224+INDEX('CO2 INJECTION'!$C$42:$BP$48,MATCH('CO2 INJECTION'!$C$48,'CO2 INJECTION'!$C$42:$C$48,0),MATCH(AD$8,'CO2 INJECTION'!$C$42:$BP$42,0)))*(INDEX('Electricity price scenarios'!$B$3:$CI$11,MATCH(Parameters!$G$15,'Electricity price scenarios'!$B$3:$B$11,0),MATCH(AD$8,'Electricity price scenarios'!$B$3:$CI$3,0))+Parameters!$G$37)*(1+Parameters!$G$13)^(AD$8-$G$8)/1000,0)</f>
        <v>0</v>
      </c>
      <c r="AE27" s="527">
        <f>IF(AND(AE$8&gt;=$C$5,AE$8&lt;$C$6),(Parameters!$G$224+INDEX('CO2 INJECTION'!$C$42:$BP$48,MATCH('CO2 INJECTION'!$C$48,'CO2 INJECTION'!$C$42:$C$48,0),MATCH(AE$8,'CO2 INJECTION'!$C$42:$BP$42,0)))*(INDEX('Electricity price scenarios'!$B$3:$CI$11,MATCH(Parameters!$G$15,'Electricity price scenarios'!$B$3:$B$11,0),MATCH(AE$8,'Electricity price scenarios'!$B$3:$CI$3,0))+Parameters!$G$37)*(1+Parameters!$G$13)^(AE$8-$G$8)/1000,0)</f>
        <v>0</v>
      </c>
      <c r="AF27" s="527">
        <f>IF(AND(AF$8&gt;=$C$5,AF$8&lt;$C$6),(Parameters!$G$224+INDEX('CO2 INJECTION'!$C$42:$BP$48,MATCH('CO2 INJECTION'!$C$48,'CO2 INJECTION'!$C$42:$C$48,0),MATCH(AF$8,'CO2 INJECTION'!$C$42:$BP$42,0)))*(INDEX('Electricity price scenarios'!$B$3:$CI$11,MATCH(Parameters!$G$15,'Electricity price scenarios'!$B$3:$B$11,0),MATCH(AF$8,'Electricity price scenarios'!$B$3:$CI$3,0))+Parameters!$G$37)*(1+Parameters!$G$13)^(AF$8-$G$8)/1000,0)</f>
        <v>0</v>
      </c>
      <c r="AG27" s="527">
        <f>IF(AND(AG$8&gt;=$C$5,AG$8&lt;$C$6),(Parameters!$G$224+INDEX('CO2 INJECTION'!$C$42:$BP$48,MATCH('CO2 INJECTION'!$C$48,'CO2 INJECTION'!$C$42:$C$48,0),MATCH(AG$8,'CO2 INJECTION'!$C$42:$BP$42,0)))*(INDEX('Electricity price scenarios'!$B$3:$CI$11,MATCH(Parameters!$G$15,'Electricity price scenarios'!$B$3:$B$11,0),MATCH(AG$8,'Electricity price scenarios'!$B$3:$CI$3,0))+Parameters!$G$37)*(1+Parameters!$G$13)^(AG$8-$G$8)/1000,0)</f>
        <v>0</v>
      </c>
      <c r="AH27" s="527">
        <f>IF(AND(AH$8&gt;=$C$5,AH$8&lt;$C$6),(Parameters!$G$224+INDEX('CO2 INJECTION'!$C$42:$BP$48,MATCH('CO2 INJECTION'!$C$48,'CO2 INJECTION'!$C$42:$C$48,0),MATCH(AH$8,'CO2 INJECTION'!$C$42:$BP$42,0)))*(INDEX('Electricity price scenarios'!$B$3:$CI$11,MATCH(Parameters!$G$15,'Electricity price scenarios'!$B$3:$B$11,0),MATCH(AH$8,'Electricity price scenarios'!$B$3:$CI$3,0))+Parameters!$G$37)*(1+Parameters!$G$13)^(AH$8-$G$8)/1000,0)</f>
        <v>0</v>
      </c>
      <c r="AI27" s="527">
        <f>IF(AND(AI$8&gt;=$C$5,AI$8&lt;$C$6),(Parameters!$G$224+INDEX('CO2 INJECTION'!$C$42:$BP$48,MATCH('CO2 INJECTION'!$C$48,'CO2 INJECTION'!$C$42:$C$48,0),MATCH(AI$8,'CO2 INJECTION'!$C$42:$BP$42,0)))*(INDEX('Electricity price scenarios'!$B$3:$CI$11,MATCH(Parameters!$G$15,'Electricity price scenarios'!$B$3:$B$11,0),MATCH(AI$8,'Electricity price scenarios'!$B$3:$CI$3,0))+Parameters!$G$37)*(1+Parameters!$G$13)^(AI$8-$G$8)/1000,0)</f>
        <v>0</v>
      </c>
      <c r="AJ27" s="527">
        <f>IF(AND(AJ$8&gt;=$C$5,AJ$8&lt;$C$6),(Parameters!$G$224+INDEX('CO2 INJECTION'!$C$42:$BP$48,MATCH('CO2 INJECTION'!$C$48,'CO2 INJECTION'!$C$42:$C$48,0),MATCH(AJ$8,'CO2 INJECTION'!$C$42:$BP$42,0)))*(INDEX('Electricity price scenarios'!$B$3:$CI$11,MATCH(Parameters!$G$15,'Electricity price scenarios'!$B$3:$B$11,0),MATCH(AJ$8,'Electricity price scenarios'!$B$3:$CI$3,0))+Parameters!$G$37)*(1+Parameters!$G$13)^(AJ$8-$G$8)/1000,0)</f>
        <v>0</v>
      </c>
      <c r="AK27" s="527">
        <f>IF(AND(AK$8&gt;=$C$5,AK$8&lt;$C$6),(Parameters!$G$224+INDEX('CO2 INJECTION'!$C$42:$BP$48,MATCH('CO2 INJECTION'!$C$48,'CO2 INJECTION'!$C$42:$C$48,0),MATCH(AK$8,'CO2 INJECTION'!$C$42:$BP$42,0)))*(INDEX('Electricity price scenarios'!$B$3:$CI$11,MATCH(Parameters!$G$15,'Electricity price scenarios'!$B$3:$B$11,0),MATCH(AK$8,'Electricity price scenarios'!$B$3:$CI$3,0))+Parameters!$G$37)*(1+Parameters!$G$13)^(AK$8-$G$8)/1000,0)</f>
        <v>0</v>
      </c>
      <c r="AL27" s="527">
        <f>IF(AND(AL$8&gt;=$C$5,AL$8&lt;$C$6),(Parameters!$G$224+INDEX('CO2 INJECTION'!$C$42:$BP$48,MATCH('CO2 INJECTION'!$C$48,'CO2 INJECTION'!$C$42:$C$48,0),MATCH(AL$8,'CO2 INJECTION'!$C$42:$BP$42,0)))*(INDEX('Electricity price scenarios'!$B$3:$CI$11,MATCH(Parameters!$G$15,'Electricity price scenarios'!$B$3:$B$11,0),MATCH(AL$8,'Electricity price scenarios'!$B$3:$CI$3,0))+Parameters!$G$37)*(1+Parameters!$G$13)^(AL$8-$G$8)/1000,0)</f>
        <v>0</v>
      </c>
      <c r="AM27" s="527">
        <f>IF(AND(AM$8&gt;=$C$5,AM$8&lt;$C$6),(Parameters!$G$224+INDEX('CO2 INJECTION'!$C$42:$BP$48,MATCH('CO2 INJECTION'!$C$48,'CO2 INJECTION'!$C$42:$C$48,0),MATCH(AM$8,'CO2 INJECTION'!$C$42:$BP$42,0)))*(INDEX('Electricity price scenarios'!$B$3:$CI$11,MATCH(Parameters!$G$15,'Electricity price scenarios'!$B$3:$B$11,0),MATCH(AM$8,'Electricity price scenarios'!$B$3:$CI$3,0))+Parameters!$G$37)*(1+Parameters!$G$13)^(AM$8-$G$8)/1000,0)</f>
        <v>0</v>
      </c>
      <c r="AN27" s="527">
        <f>IF(AND(AN$8&gt;=$C$5,AN$8&lt;$C$6),(Parameters!$G$224+INDEX('CO2 INJECTION'!$C$42:$BP$48,MATCH('CO2 INJECTION'!$C$48,'CO2 INJECTION'!$C$42:$C$48,0),MATCH(AN$8,'CO2 INJECTION'!$C$42:$BP$42,0)))*(INDEX('Electricity price scenarios'!$B$3:$CI$11,MATCH(Parameters!$G$15,'Electricity price scenarios'!$B$3:$B$11,0),MATCH(AN$8,'Electricity price scenarios'!$B$3:$CI$3,0))+Parameters!$G$37)*(1+Parameters!$G$13)^(AN$8-$G$8)/1000,0)</f>
        <v>0</v>
      </c>
      <c r="AO27" s="527">
        <f>IF(AND(AO$8&gt;=$C$5,AO$8&lt;$C$6),(Parameters!$G$224+INDEX('CO2 INJECTION'!$C$42:$BP$48,MATCH('CO2 INJECTION'!$C$48,'CO2 INJECTION'!$C$42:$C$48,0),MATCH(AO$8,'CO2 INJECTION'!$C$42:$BP$42,0)))*(INDEX('Electricity price scenarios'!$B$3:$CI$11,MATCH(Parameters!$G$15,'Electricity price scenarios'!$B$3:$B$11,0),MATCH(AO$8,'Electricity price scenarios'!$B$3:$CI$3,0))+Parameters!$G$37)*(1+Parameters!$G$13)^(AO$8-$G$8)/1000,0)</f>
        <v>0</v>
      </c>
      <c r="AP27" s="527">
        <f>IF(AND(AP$8&gt;=$C$5,AP$8&lt;$C$6),(Parameters!$G$224+INDEX('CO2 INJECTION'!$C$42:$BP$48,MATCH('CO2 INJECTION'!$C$48,'CO2 INJECTION'!$C$42:$C$48,0),MATCH(AP$8,'CO2 INJECTION'!$C$42:$BP$42,0)))*(INDEX('Electricity price scenarios'!$B$3:$CI$11,MATCH(Parameters!$G$15,'Electricity price scenarios'!$B$3:$B$11,0),MATCH(AP$8,'Electricity price scenarios'!$B$3:$CI$3,0))+Parameters!$G$37)*(1+Parameters!$G$13)^(AP$8-$G$8)/1000,0)</f>
        <v>0</v>
      </c>
      <c r="AQ27" s="527">
        <f>IF(AND(AQ$8&gt;=$C$5,AQ$8&lt;$C$6),(Parameters!$G$224+INDEX('CO2 INJECTION'!$C$42:$BP$48,MATCH('CO2 INJECTION'!$C$48,'CO2 INJECTION'!$C$42:$C$48,0),MATCH(AQ$8,'CO2 INJECTION'!$C$42:$BP$42,0)))*(INDEX('Electricity price scenarios'!$B$3:$CI$11,MATCH(Parameters!$G$15,'Electricity price scenarios'!$B$3:$B$11,0),MATCH(AQ$8,'Electricity price scenarios'!$B$3:$CI$3,0))+Parameters!$G$37)*(1+Parameters!$G$13)^(AQ$8-$G$8)/1000,0)</f>
        <v>0</v>
      </c>
      <c r="AR27" s="527">
        <f>IF(AND(AR$8&gt;=$C$5,AR$8&lt;$C$6),(Parameters!$G$224+INDEX('CO2 INJECTION'!$C$42:$BP$48,MATCH('CO2 INJECTION'!$C$48,'CO2 INJECTION'!$C$42:$C$48,0),MATCH(AR$8,'CO2 INJECTION'!$C$42:$BP$42,0)))*(INDEX('Electricity price scenarios'!$B$3:$CI$11,MATCH(Parameters!$G$15,'Electricity price scenarios'!$B$3:$B$11,0),MATCH(AR$8,'Electricity price scenarios'!$B$3:$CI$3,0))+Parameters!$G$37)*(1+Parameters!$G$13)^(AR$8-$G$8)/1000,0)</f>
        <v>0</v>
      </c>
      <c r="AS27" s="527">
        <f>IF(AND(AS$8&gt;=$C$5,AS$8&lt;$C$6),(Parameters!$G$224+INDEX('CO2 INJECTION'!$C$42:$BP$48,MATCH('CO2 INJECTION'!$C$48,'CO2 INJECTION'!$C$42:$C$48,0),MATCH(AS$8,'CO2 INJECTION'!$C$42:$BP$42,0)))*(INDEX('Electricity price scenarios'!$B$3:$CI$11,MATCH(Parameters!$G$15,'Electricity price scenarios'!$B$3:$B$11,0),MATCH(AS$8,'Electricity price scenarios'!$B$3:$CI$3,0))+Parameters!$G$37)*(1+Parameters!$G$13)^(AS$8-$G$8)/1000,0)</f>
        <v>0</v>
      </c>
      <c r="AT27" s="527">
        <f>IF(AND(AT$8&gt;=$C$5,AT$8&lt;$C$6),(Parameters!$G$224+INDEX('CO2 INJECTION'!$C$42:$BP$48,MATCH('CO2 INJECTION'!$C$48,'CO2 INJECTION'!$C$42:$C$48,0),MATCH(AT$8,'CO2 INJECTION'!$C$42:$BP$42,0)))*(INDEX('Electricity price scenarios'!$B$3:$CI$11,MATCH(Parameters!$G$15,'Electricity price scenarios'!$B$3:$B$11,0),MATCH(AT$8,'Electricity price scenarios'!$B$3:$CI$3,0))+Parameters!$G$37)*(1+Parameters!$G$13)^(AT$8-$G$8)/1000,0)</f>
        <v>0</v>
      </c>
      <c r="AU27" s="527">
        <f>IF(AND(AU$8&gt;=$C$5,AU$8&lt;$C$6),(Parameters!$G$224+INDEX('CO2 INJECTION'!$C$42:$BP$48,MATCH('CO2 INJECTION'!$C$48,'CO2 INJECTION'!$C$42:$C$48,0),MATCH(AU$8,'CO2 INJECTION'!$C$42:$BP$42,0)))*(INDEX('Electricity price scenarios'!$B$3:$CI$11,MATCH(Parameters!$G$15,'Electricity price scenarios'!$B$3:$B$11,0),MATCH(AU$8,'Electricity price scenarios'!$B$3:$CI$3,0))+Parameters!$G$37)*(1+Parameters!$G$13)^(AU$8-$G$8)/1000,0)</f>
        <v>0</v>
      </c>
      <c r="AV27" s="527">
        <f>IF(AND(AV$8&gt;=$C$5,AV$8&lt;$C$6),(Parameters!$G$224+INDEX('CO2 INJECTION'!$C$42:$BP$48,MATCH('CO2 INJECTION'!$C$48,'CO2 INJECTION'!$C$42:$C$48,0),MATCH(AV$8,'CO2 INJECTION'!$C$42:$BP$42,0)))*(INDEX('Electricity price scenarios'!$B$3:$CI$11,MATCH(Parameters!$G$15,'Electricity price scenarios'!$B$3:$B$11,0),MATCH(AV$8,'Electricity price scenarios'!$B$3:$CI$3,0))+Parameters!$G$37)*(1+Parameters!$G$13)^(AV$8-$G$8)/1000,0)</f>
        <v>0</v>
      </c>
      <c r="AW27" s="527">
        <f>IF(AND(AW$8&gt;=$C$5,AW$8&lt;$C$6),(Parameters!$G$224+INDEX('CO2 INJECTION'!$C$42:$BP$48,MATCH('CO2 INJECTION'!$C$48,'CO2 INJECTION'!$C$42:$C$48,0),MATCH(AW$8,'CO2 INJECTION'!$C$42:$BP$42,0)))*(INDEX('Electricity price scenarios'!$B$3:$CI$11,MATCH(Parameters!$G$15,'Electricity price scenarios'!$B$3:$B$11,0),MATCH(AW$8,'Electricity price scenarios'!$B$3:$CI$3,0))+Parameters!$G$37)*(1+Parameters!$G$13)^(AW$8-$G$8)/1000,0)</f>
        <v>0</v>
      </c>
      <c r="AX27" s="527">
        <f>IF(AND(AX$8&gt;=$C$5,AX$8&lt;$C$6),(Parameters!$G$224+INDEX('CO2 INJECTION'!$C$42:$BP$48,MATCH('CO2 INJECTION'!$C$48,'CO2 INJECTION'!$C$42:$C$48,0),MATCH(AX$8,'CO2 INJECTION'!$C$42:$BP$42,0)))*(INDEX('Electricity price scenarios'!$B$3:$CI$11,MATCH(Parameters!$G$15,'Electricity price scenarios'!$B$3:$B$11,0),MATCH(AX$8,'Electricity price scenarios'!$B$3:$CI$3,0))+Parameters!$G$37)*(1+Parameters!$G$13)^(AX$8-$G$8)/1000,0)</f>
        <v>0</v>
      </c>
      <c r="AY27" s="527">
        <f>IF(AND(AY$8&gt;=$C$5,AY$8&lt;$C$6),(Parameters!$G$224+INDEX('CO2 INJECTION'!$C$42:$BP$48,MATCH('CO2 INJECTION'!$C$48,'CO2 INJECTION'!$C$42:$C$48,0),MATCH(AY$8,'CO2 INJECTION'!$C$42:$BP$42,0)))*(INDEX('Electricity price scenarios'!$B$3:$CI$11,MATCH(Parameters!$G$15,'Electricity price scenarios'!$B$3:$B$11,0),MATCH(AY$8,'Electricity price scenarios'!$B$3:$CI$3,0))+Parameters!$G$37)*(1+Parameters!$G$13)^(AY$8-$G$8)/1000,0)</f>
        <v>0</v>
      </c>
      <c r="AZ27" s="527">
        <f>IF(AND(AZ$8&gt;=$C$5,AZ$8&lt;$C$6),(Parameters!$G$224+INDEX('CO2 INJECTION'!$C$42:$BP$48,MATCH('CO2 INJECTION'!$C$48,'CO2 INJECTION'!$C$42:$C$48,0),MATCH(AZ$8,'CO2 INJECTION'!$C$42:$BP$42,0)))*(INDEX('Electricity price scenarios'!$B$3:$CI$11,MATCH(Parameters!$G$15,'Electricity price scenarios'!$B$3:$B$11,0),MATCH(AZ$8,'Electricity price scenarios'!$B$3:$CI$3,0))+Parameters!$G$37)*(1+Parameters!$G$13)^(AZ$8-$G$8)/1000,0)</f>
        <v>0</v>
      </c>
      <c r="BA27" s="527">
        <f>IF(AND(BA$8&gt;=$C$5,BA$8&lt;$C$6),(Parameters!$G$224+INDEX('CO2 INJECTION'!$C$42:$BP$48,MATCH('CO2 INJECTION'!$C$48,'CO2 INJECTION'!$C$42:$C$48,0),MATCH(BA$8,'CO2 INJECTION'!$C$42:$BP$42,0)))*(INDEX('Electricity price scenarios'!$B$3:$CI$11,MATCH(Parameters!$G$15,'Electricity price scenarios'!$B$3:$B$11,0),MATCH(BA$8,'Electricity price scenarios'!$B$3:$CI$3,0))+Parameters!$G$37)*(1+Parameters!$G$13)^(BA$8-$G$8)/1000,0)</f>
        <v>0</v>
      </c>
      <c r="BB27" s="527">
        <f>IF(AND(BB$8&gt;=$C$5,BB$8&lt;$C$6),(Parameters!$G$224+INDEX('CO2 INJECTION'!$C$42:$BP$48,MATCH('CO2 INJECTION'!$C$48,'CO2 INJECTION'!$C$42:$C$48,0),MATCH(BB$8,'CO2 INJECTION'!$C$42:$BP$42,0)))*(INDEX('Electricity price scenarios'!$B$3:$CI$11,MATCH(Parameters!$G$15,'Electricity price scenarios'!$B$3:$B$11,0),MATCH(BB$8,'Electricity price scenarios'!$B$3:$CI$3,0))+Parameters!$G$37)*(1+Parameters!$G$13)^(BB$8-$G$8)/1000,0)</f>
        <v>0</v>
      </c>
    </row>
    <row r="28" spans="2:54 16384:16384" x14ac:dyDescent="0.25">
      <c r="B28" s="478" t="str">
        <f>Parameters!E176</f>
        <v>Opex pipeline</v>
      </c>
      <c r="C28" s="527" t="s">
        <v>979</v>
      </c>
      <c r="D28" s="527">
        <f t="shared" si="16"/>
        <v>16060.350921933965</v>
      </c>
      <c r="E28" s="527">
        <f t="shared" si="17"/>
        <v>2072.0226391880801</v>
      </c>
      <c r="F28" s="527"/>
      <c r="G28" s="527">
        <f>IF(AND(G$8&gt;=$C$5,G$8&lt;$C$6),VLOOKUP($B28,Parameters!$E$108:$G$501,3,FALSE),0)*(1+Parameters!$G$13)^(G$8-$G$8)/1000</f>
        <v>0</v>
      </c>
      <c r="H28" s="527">
        <f>IF(AND(H$8&gt;=$C$5,H$8&lt;$C$6),VLOOKUP($B28,Parameters!$E$108:$G$501,3,FALSE),0)*(1+Parameters!$G$13)^(H$8-$G$8)/1000</f>
        <v>0</v>
      </c>
      <c r="I28" s="527">
        <f>IF(AND(I$8&gt;=$C$5,I$8&lt;$C$6),VLOOKUP($B28,Parameters!$E$108:$G$501,3,FALSE),0)*(1+Parameters!$G$13)^(I$8-$G$8)/1000</f>
        <v>0</v>
      </c>
      <c r="J28" s="527">
        <f>IF(AND(J$8&gt;=$C$5,J$8&lt;$C$6),VLOOKUP($B28,Parameters!$E$108:$G$501,3,FALSE),0)*(1+Parameters!$G$13)^(J$8-$G$8)/1000</f>
        <v>0</v>
      </c>
      <c r="K28" s="527">
        <f>IF(AND(K$8&gt;=$C$5,K$8&lt;$C$6),VLOOKUP($B28,Parameters!$E$108:$G$501,3,FALSE),0)*(1+Parameters!$G$13)^(K$8-$G$8)/1000</f>
        <v>0</v>
      </c>
      <c r="L28" s="527">
        <f>IF(AND(L$8&gt;=$C$5,L$8&lt;$C$6),VLOOKUP($B28,Parameters!$E$108:$G$501,3,FALSE),0)*(1+Parameters!$G$13)^(L$8-$G$8)/1000</f>
        <v>0</v>
      </c>
      <c r="M28" s="527">
        <f>IF(AND(M$8&gt;=$C$5,M$8&lt;$C$6),VLOOKUP($B28,Parameters!$E$108:$G$501,3,FALSE),0)*(1+Parameters!$G$13)^(M$8-$G$8)/1000</f>
        <v>0</v>
      </c>
      <c r="N28" s="527">
        <f>IF(AND(N$8&gt;=$C$5,N$8&lt;$C$6),VLOOKUP($B28,Parameters!$E$108:$G$501,3,FALSE),0)*(1+Parameters!$G$13)^(N$8-$G$8)/1000</f>
        <v>0</v>
      </c>
      <c r="O28" s="527">
        <f>IF(AND(O$8&gt;=$C$5,O$8&lt;$C$6),VLOOKUP($B28,Parameters!$E$108:$G$501,3,FALSE),0)*(1+Parameters!$G$13)^(O$8-$G$8)/1000</f>
        <v>0</v>
      </c>
      <c r="P28" s="527">
        <f>IF(AND(P$8&gt;=$C$5,P$8&lt;$C$6),VLOOKUP($B28,Parameters!$E$108:$G$501,3,FALSE),0)*(1+Parameters!$G$13)^(P$8-$G$8)/1000</f>
        <v>0</v>
      </c>
      <c r="Q28" s="527">
        <f>IF(AND(Q$8&gt;=$C$5,Q$8&lt;$C$6),VLOOKUP($B28,Parameters!$E$108:$G$501,3,FALSE),0)*(1+Parameters!$G$13)^(Q$8-$G$8)/1000</f>
        <v>0</v>
      </c>
      <c r="R28" s="527">
        <f>IF(AND(R$8&gt;=$C$5,R$8&lt;$C$6),VLOOKUP($B28,Parameters!$E$108:$G$501,3,FALSE),0)*(1+Parameters!$G$13)^(R$8-$G$8)/1000</f>
        <v>0</v>
      </c>
      <c r="S28" s="527">
        <f>IF(AND(S$8&gt;=$C$5,S$8&lt;$C$6),VLOOKUP($B28,Parameters!$E$108:$G$501,3,FALSE),0)*(1+Parameters!$G$13)^(S$8-$G$8)/1000</f>
        <v>0</v>
      </c>
      <c r="T28" s="527">
        <f>IF(AND(T$8&gt;=$C$5,T$8&lt;$C$6),VLOOKUP($B28,Parameters!$E$108:$G$501,3,FALSE),0)*(1+Parameters!$G$13)^(T$8-$G$8)/1000</f>
        <v>0</v>
      </c>
      <c r="U28" s="527">
        <f>IF(AND(U$8&gt;=$C$5,U$8&lt;$C$6),VLOOKUP($B28,Parameters!$E$108:$G$501,3,FALSE),0)*(1+Parameters!$G$13)^(U$8-$G$8)/1000</f>
        <v>0</v>
      </c>
      <c r="V28" s="527">
        <f>IF(AND(V$8&gt;=$C$5,V$8&lt;$C$6),VLOOKUP($B28,Parameters!$E$108:$G$501,3,FALSE),0)*(1+Parameters!$G$13)^(V$8-$G$8)/1000</f>
        <v>928.69737656547488</v>
      </c>
      <c r="W28" s="527">
        <f>IF(AND(W$8&gt;=$C$5,W$8&lt;$C$6),VLOOKUP($B28,Parameters!$E$108:$G$501,3,FALSE),0)*(1+Parameters!$G$13)^(W$8-$G$8)/1000</f>
        <v>947.27132409678461</v>
      </c>
      <c r="X28" s="527">
        <f>IF(AND(X$8&gt;=$C$5,X$8&lt;$C$6),VLOOKUP($B28,Parameters!$E$108:$G$501,3,FALSE),0)*(1+Parameters!$G$13)^(X$8-$G$8)/1000</f>
        <v>966.21675057872039</v>
      </c>
      <c r="Y28" s="527">
        <f>IF(AND(Y$8&gt;=$C$5,Y$8&lt;$C$6),VLOOKUP($B28,Parameters!$E$108:$G$501,3,FALSE),0)*(1+Parameters!$G$13)^(Y$8-$G$8)/1000</f>
        <v>985.54108559029464</v>
      </c>
      <c r="Z28" s="527">
        <f>IF(AND(Z$8&gt;=$C$5,Z$8&lt;$C$6),VLOOKUP($B28,Parameters!$E$108:$G$501,3,FALSE),0)*(1+Parameters!$G$13)^(Z$8-$G$8)/1000</f>
        <v>1005.2519073021006</v>
      </c>
      <c r="AA28" s="527">
        <f>IF(AND(AA$8&gt;=$C$5,AA$8&lt;$C$6),VLOOKUP($B28,Parameters!$E$108:$G$501,3,FALSE),0)*(1+Parameters!$G$13)^(AA$8-$G$8)/1000</f>
        <v>1025.3569454481426</v>
      </c>
      <c r="AB28" s="527">
        <f>IF(AND(AB$8&gt;=$C$5,AB$8&lt;$C$6),VLOOKUP($B28,Parameters!$E$108:$G$501,3,FALSE),0)*(1+Parameters!$G$13)^(AB$8-$G$8)/1000</f>
        <v>1045.8640843571054</v>
      </c>
      <c r="AC28" s="527">
        <f>IF(AND(AC$8&gt;=$C$5,AC$8&lt;$C$6),VLOOKUP($B28,Parameters!$E$108:$G$501,3,FALSE),0)*(1+Parameters!$G$13)^(AC$8-$G$8)/1000</f>
        <v>1066.7813660442475</v>
      </c>
      <c r="AD28" s="527">
        <f>IF(AND(AD$8&gt;=$C$5,AD$8&lt;$C$6),VLOOKUP($B28,Parameters!$E$108:$G$501,3,FALSE),0)*(1+Parameters!$G$13)^(AD$8-$G$8)/1000</f>
        <v>1088.1169933651322</v>
      </c>
      <c r="AE28" s="527">
        <f>IF(AND(AE$8&gt;=$C$5,AE$8&lt;$C$6),VLOOKUP($B28,Parameters!$E$108:$G$501,3,FALSE),0)*(1+Parameters!$G$13)^(AE$8-$G$8)/1000</f>
        <v>1109.8793332324349</v>
      </c>
      <c r="AF28" s="527">
        <f>IF(AND(AF$8&gt;=$C$5,AF$8&lt;$C$6),VLOOKUP($B28,Parameters!$E$108:$G$501,3,FALSE),0)*(1+Parameters!$G$13)^(AF$8-$G$8)/1000</f>
        <v>1132.0769198970836</v>
      </c>
      <c r="AG28" s="527">
        <f>IF(AND(AG$8&gt;=$C$5,AG$8&lt;$C$6),VLOOKUP($B28,Parameters!$E$108:$G$501,3,FALSE),0)*(1+Parameters!$G$13)^(AG$8-$G$8)/1000</f>
        <v>1154.7184582950256</v>
      </c>
      <c r="AH28" s="527">
        <f>IF(AND(AH$8&gt;=$C$5,AH$8&lt;$C$6),VLOOKUP($B28,Parameters!$E$108:$G$501,3,FALSE),0)*(1+Parameters!$G$13)^(AH$8-$G$8)/1000</f>
        <v>1177.8128274609257</v>
      </c>
      <c r="AI28" s="527">
        <f>IF(AND(AI$8&gt;=$C$5,AI$8&lt;$C$6),VLOOKUP($B28,Parameters!$E$108:$G$501,3,FALSE),0)*(1+Parameters!$G$13)^(AI$8-$G$8)/1000</f>
        <v>1201.3690840101444</v>
      </c>
      <c r="AJ28" s="527">
        <f>IF(AND(AJ$8&gt;=$C$5,AJ$8&lt;$C$6),VLOOKUP($B28,Parameters!$E$108:$G$501,3,FALSE),0)*(1+Parameters!$G$13)^(AJ$8-$G$8)/1000</f>
        <v>1225.3964656903474</v>
      </c>
      <c r="AK28" s="527">
        <f>IF(AND(AK$8&gt;=$C$5,AK$8&lt;$C$6),VLOOKUP($B28,Parameters!$E$108:$G$501,3,FALSE),0)*(1+Parameters!$G$13)^(AK$8-$G$8)/1000</f>
        <v>0</v>
      </c>
      <c r="AL28" s="527">
        <f>IF(AND(AL$8&gt;=$C$5,AL$8&lt;$C$6),VLOOKUP($B28,Parameters!$E$108:$G$501,3,FALSE),0)*(1+Parameters!$G$13)^(AL$8-$G$8)/1000</f>
        <v>0</v>
      </c>
      <c r="AM28" s="527">
        <f>IF(AND(AM$8&gt;=$C$5,AM$8&lt;$C$6),VLOOKUP($B28,Parameters!$E$108:$G$501,3,FALSE),0)*(1+Parameters!$G$13)^(AM$8-$G$8)/1000</f>
        <v>0</v>
      </c>
      <c r="AN28" s="527">
        <f>IF(AND(AN$8&gt;=$C$5,AN$8&lt;$C$6),VLOOKUP($B28,Parameters!$E$108:$G$501,3,FALSE),0)*(1+Parameters!$G$13)^(AN$8-$G$8)/1000</f>
        <v>0</v>
      </c>
      <c r="AO28" s="527">
        <f>IF(AND(AO$8&gt;=$C$5,AO$8&lt;$C$6),VLOOKUP($B28,Parameters!$E$108:$G$501,3,FALSE),0)*(1+Parameters!$G$13)^(AO$8-$G$8)/1000</f>
        <v>0</v>
      </c>
      <c r="AP28" s="527">
        <f>IF(AND(AP$8&gt;=$C$5,AP$8&lt;$C$6),VLOOKUP($B28,Parameters!$E$108:$G$501,3,FALSE),0)*(1+Parameters!$G$13)^(AP$8-$G$8)/1000</f>
        <v>0</v>
      </c>
      <c r="AQ28" s="527">
        <f>IF(AND(AQ$8&gt;=$C$5,AQ$8&lt;$C$6),VLOOKUP($B28,Parameters!$E$108:$G$501,3,FALSE),0)*(1+Parameters!$G$13)^(AQ$8-$G$8)/1000</f>
        <v>0</v>
      </c>
      <c r="AR28" s="527">
        <f>IF(AND(AR$8&gt;=$C$5,AR$8&lt;$C$6),VLOOKUP($B28,Parameters!$E$108:$G$501,3,FALSE),0)*(1+Parameters!$G$13)^(AR$8-$G$8)/1000</f>
        <v>0</v>
      </c>
      <c r="AS28" s="527">
        <f>IF(AND(AS$8&gt;=$C$5,AS$8&lt;$C$6),VLOOKUP($B28,Parameters!$E$108:$G$501,3,FALSE),0)*(1+Parameters!$G$13)^(AS$8-$G$8)/1000</f>
        <v>0</v>
      </c>
      <c r="AT28" s="527">
        <f>IF(AND(AT$8&gt;=$C$5,AT$8&lt;$C$6),VLOOKUP($B28,Parameters!$E$108:$G$501,3,FALSE),0)*(1+Parameters!$G$13)^(AT$8-$G$8)/1000</f>
        <v>0</v>
      </c>
      <c r="AU28" s="527">
        <f>IF(AND(AU$8&gt;=$C$5,AU$8&lt;$C$6),VLOOKUP($B28,Parameters!$E$108:$G$501,3,FALSE),0)*(1+Parameters!$G$13)^(AU$8-$G$8)/1000</f>
        <v>0</v>
      </c>
      <c r="AV28" s="527">
        <f>IF(AND(AV$8&gt;=$C$5,AV$8&lt;$C$6),VLOOKUP($B28,Parameters!$E$108:$G$501,3,FALSE),0)*(1+Parameters!$G$13)^(AV$8-$G$8)/1000</f>
        <v>0</v>
      </c>
      <c r="AW28" s="527">
        <f>IF(AND(AW$8&gt;=$C$5,AW$8&lt;$C$6),VLOOKUP($B28,Parameters!$E$108:$G$501,3,FALSE),0)*(1+Parameters!$G$13)^(AW$8-$G$8)/1000</f>
        <v>0</v>
      </c>
      <c r="AX28" s="527">
        <f>IF(AND(AX$8&gt;=$C$5,AX$8&lt;$C$6),VLOOKUP($B28,Parameters!$E$108:$G$501,3,FALSE),0)*(1+Parameters!$G$13)^(AX$8-$G$8)/1000</f>
        <v>0</v>
      </c>
      <c r="AY28" s="527">
        <f>IF(AND(AY$8&gt;=$C$5,AY$8&lt;$C$6),VLOOKUP($B28,Parameters!$E$108:$G$501,3,FALSE),0)*(1+Parameters!$G$13)^(AY$8-$G$8)/1000</f>
        <v>0</v>
      </c>
      <c r="AZ28" s="527">
        <f>IF(AND(AZ$8&gt;=$C$5,AZ$8&lt;$C$6),VLOOKUP($B28,Parameters!$E$108:$G$501,3,FALSE),0)*(1+Parameters!$G$13)^(AZ$8-$G$8)/1000</f>
        <v>0</v>
      </c>
      <c r="BA28" s="527">
        <f>IF(AND(BA$8&gt;=$C$5,BA$8&lt;$C$6),VLOOKUP($B28,Parameters!$E$108:$G$501,3,FALSE),0)*(1+Parameters!$G$13)^(BA$8-$G$8)/1000</f>
        <v>0</v>
      </c>
      <c r="BB28" s="527">
        <f>IF(AND(BB$8&gt;=$C$5,BB$8&lt;$C$6),VLOOKUP($B28,Parameters!$E$108:$G$501,3,FALSE),0)*(1+Parameters!$G$13)^(BB$8-$G$8)/1000</f>
        <v>0</v>
      </c>
    </row>
    <row r="29" spans="2:54 16384:16384" x14ac:dyDescent="0.25">
      <c r="B29" s="478" t="str">
        <f>Parameters!E238</f>
        <v>Opex platform</v>
      </c>
      <c r="C29" s="527" t="s">
        <v>979</v>
      </c>
      <c r="D29" s="527">
        <f t="shared" si="16"/>
        <v>184726.47587573077</v>
      </c>
      <c r="E29" s="527">
        <f t="shared" si="17"/>
        <v>23832.445625406905</v>
      </c>
      <c r="F29" s="527"/>
      <c r="G29" s="527">
        <f>IF(AND(G$8&gt;=$C$5,G$8&lt;$C$6),VLOOKUP($B29,Parameters!$E$108:$G$501,3,FALSE),0)*(1+Parameters!$G$13)^(G$8-$G$8)/1000</f>
        <v>0</v>
      </c>
      <c r="H29" s="527">
        <f>IF(AND(H$8&gt;=$C$5,H$8&lt;$C$6),VLOOKUP($B29,Parameters!$E$108:$G$501,3,FALSE),0)*(1+Parameters!$G$13)^(H$8-$G$8)/1000</f>
        <v>0</v>
      </c>
      <c r="I29" s="527">
        <f>IF(AND(I$8&gt;=$C$5,I$8&lt;$C$6),VLOOKUP($B29,Parameters!$E$108:$G$501,3,FALSE),0)*(1+Parameters!$G$13)^(I$8-$G$8)/1000</f>
        <v>0</v>
      </c>
      <c r="J29" s="527">
        <f>IF(AND(J$8&gt;=$C$5,J$8&lt;$C$6),VLOOKUP($B29,Parameters!$E$108:$G$501,3,FALSE),0)*(1+Parameters!$G$13)^(J$8-$G$8)/1000</f>
        <v>0</v>
      </c>
      <c r="K29" s="527">
        <f>IF(AND(K$8&gt;=$C$5,K$8&lt;$C$6),VLOOKUP($B29,Parameters!$E$108:$G$501,3,FALSE),0)*(1+Parameters!$G$13)^(K$8-$G$8)/1000</f>
        <v>0</v>
      </c>
      <c r="L29" s="527">
        <f>IF(AND(L$8&gt;=$C$5,L$8&lt;$C$6),VLOOKUP($B29,Parameters!$E$108:$G$501,3,FALSE),0)*(1+Parameters!$G$13)^(L$8-$G$8)/1000</f>
        <v>0</v>
      </c>
      <c r="M29" s="527">
        <f>IF(AND(M$8&gt;=$C$5,M$8&lt;$C$6),VLOOKUP($B29,Parameters!$E$108:$G$501,3,FALSE),0)*(1+Parameters!$G$13)^(M$8-$G$8)/1000</f>
        <v>0</v>
      </c>
      <c r="N29" s="527">
        <f>IF(AND(N$8&gt;=$C$5,N$8&lt;$C$6),VLOOKUP($B29,Parameters!$E$108:$G$501,3,FALSE),0)*(1+Parameters!$G$13)^(N$8-$G$8)/1000</f>
        <v>0</v>
      </c>
      <c r="O29" s="527">
        <f>IF(AND(O$8&gt;=$C$5,O$8&lt;$C$6),VLOOKUP($B29,Parameters!$E$108:$G$501,3,FALSE),0)*(1+Parameters!$G$13)^(O$8-$G$8)/1000</f>
        <v>0</v>
      </c>
      <c r="P29" s="527">
        <f>IF(AND(P$8&gt;=$C$5,P$8&lt;$C$6),VLOOKUP($B29,Parameters!$E$108:$G$501,3,FALSE),0)*(1+Parameters!$G$13)^(P$8-$G$8)/1000</f>
        <v>0</v>
      </c>
      <c r="Q29" s="527">
        <f>IF(AND(Q$8&gt;=$C$5,Q$8&lt;$C$6),VLOOKUP($B29,Parameters!$E$108:$G$501,3,FALSE),0)*(1+Parameters!$G$13)^(Q$8-$G$8)/1000</f>
        <v>0</v>
      </c>
      <c r="R29" s="527">
        <f>IF(AND(R$8&gt;=$C$5,R$8&lt;$C$6),VLOOKUP($B29,Parameters!$E$108:$G$501,3,FALSE),0)*(1+Parameters!$G$13)^(R$8-$G$8)/1000</f>
        <v>0</v>
      </c>
      <c r="S29" s="527">
        <f>IF(AND(S$8&gt;=$C$5,S$8&lt;$C$6),VLOOKUP($B29,Parameters!$E$108:$G$501,3,FALSE),0)*(1+Parameters!$G$13)^(S$8-$G$8)/1000</f>
        <v>0</v>
      </c>
      <c r="T29" s="527">
        <f>IF(AND(T$8&gt;=$C$5,T$8&lt;$C$6),VLOOKUP($B29,Parameters!$E$108:$G$501,3,FALSE),0)*(1+Parameters!$G$13)^(T$8-$G$8)/1000</f>
        <v>0</v>
      </c>
      <c r="U29" s="527">
        <f>IF(AND(U$8&gt;=$C$5,U$8&lt;$C$6),VLOOKUP($B29,Parameters!$E$108:$G$501,3,FALSE),0)*(1+Parameters!$G$13)^(U$8-$G$8)/1000</f>
        <v>0</v>
      </c>
      <c r="V29" s="527">
        <f>IF(AND(V$8&gt;=$C$5,V$8&lt;$C$6),VLOOKUP($B29,Parameters!$E$108:$G$501,3,FALSE),0)*(1+Parameters!$G$13)^(V$8-$G$8)/1000</f>
        <v>10681.895704637458</v>
      </c>
      <c r="W29" s="527">
        <f>IF(AND(W$8&gt;=$C$5,W$8&lt;$C$6),VLOOKUP($B29,Parameters!$E$108:$G$501,3,FALSE),0)*(1+Parameters!$G$13)^(W$8-$G$8)/1000</f>
        <v>10895.533618730209</v>
      </c>
      <c r="X29" s="527">
        <f>IF(AND(X$8&gt;=$C$5,X$8&lt;$C$6),VLOOKUP($B29,Parameters!$E$108:$G$501,3,FALSE),0)*(1+Parameters!$G$13)^(X$8-$G$8)/1000</f>
        <v>11113.444291104814</v>
      </c>
      <c r="Y29" s="527">
        <f>IF(AND(Y$8&gt;=$C$5,Y$8&lt;$C$6),VLOOKUP($B29,Parameters!$E$108:$G$501,3,FALSE),0)*(1+Parameters!$G$13)^(Y$8-$G$8)/1000</f>
        <v>11335.713176926909</v>
      </c>
      <c r="Z29" s="527">
        <f>IF(AND(Z$8&gt;=$C$5,Z$8&lt;$C$6),VLOOKUP($B29,Parameters!$E$108:$G$501,3,FALSE),0)*(1+Parameters!$G$13)^(Z$8-$G$8)/1000</f>
        <v>11562.427440465446</v>
      </c>
      <c r="AA29" s="527">
        <f>IF(AND(AA$8&gt;=$C$5,AA$8&lt;$C$6),VLOOKUP($B29,Parameters!$E$108:$G$501,3,FALSE),0)*(1+Parameters!$G$13)^(AA$8-$G$8)/1000</f>
        <v>11793.675989274758</v>
      </c>
      <c r="AB29" s="527">
        <f>IF(AND(AB$8&gt;=$C$5,AB$8&lt;$C$6),VLOOKUP($B29,Parameters!$E$108:$G$501,3,FALSE),0)*(1+Parameters!$G$13)^(AB$8-$G$8)/1000</f>
        <v>12029.549509060253</v>
      </c>
      <c r="AC29" s="527">
        <f>IF(AND(AC$8&gt;=$C$5,AC$8&lt;$C$6),VLOOKUP($B29,Parameters!$E$108:$G$501,3,FALSE),0)*(1+Parameters!$G$13)^(AC$8-$G$8)/1000</f>
        <v>12270.140499241459</v>
      </c>
      <c r="AD29" s="527">
        <f>IF(AND(AD$8&gt;=$C$5,AD$8&lt;$C$6),VLOOKUP($B29,Parameters!$E$108:$G$501,3,FALSE),0)*(1+Parameters!$G$13)^(AD$8-$G$8)/1000</f>
        <v>12515.543309226285</v>
      </c>
      <c r="AE29" s="527">
        <f>IF(AND(AE$8&gt;=$C$5,AE$8&lt;$C$6),VLOOKUP($B29,Parameters!$E$108:$G$501,3,FALSE),0)*(1+Parameters!$G$13)^(AE$8-$G$8)/1000</f>
        <v>12765.85417541081</v>
      </c>
      <c r="AF29" s="527">
        <f>IF(AND(AF$8&gt;=$C$5,AF$8&lt;$C$6),VLOOKUP($B29,Parameters!$E$108:$G$501,3,FALSE),0)*(1+Parameters!$G$13)^(AF$8-$G$8)/1000</f>
        <v>13021.171258919027</v>
      </c>
      <c r="AG29" s="527">
        <f>IF(AND(AG$8&gt;=$C$5,AG$8&lt;$C$6),VLOOKUP($B29,Parameters!$E$108:$G$501,3,FALSE),0)*(1+Parameters!$G$13)^(AG$8-$G$8)/1000</f>
        <v>13281.594684097408</v>
      </c>
      <c r="AH29" s="527">
        <f>IF(AND(AH$8&gt;=$C$5,AH$8&lt;$C$6),VLOOKUP($B29,Parameters!$E$108:$G$501,3,FALSE),0)*(1+Parameters!$G$13)^(AH$8-$G$8)/1000</f>
        <v>13547.226577779355</v>
      </c>
      <c r="AI29" s="527">
        <f>IF(AND(AI$8&gt;=$C$5,AI$8&lt;$C$6),VLOOKUP($B29,Parameters!$E$108:$G$501,3,FALSE),0)*(1+Parameters!$G$13)^(AI$8-$G$8)/1000</f>
        <v>13818.171109334944</v>
      </c>
      <c r="AJ29" s="527">
        <f>IF(AND(AJ$8&gt;=$C$5,AJ$8&lt;$C$6),VLOOKUP($B29,Parameters!$E$108:$G$501,3,FALSE),0)*(1+Parameters!$G$13)^(AJ$8-$G$8)/1000</f>
        <v>14094.53453152164</v>
      </c>
      <c r="AK29" s="527">
        <f>IF(AND(AK$8&gt;=$C$5,AK$8&lt;$C$6),VLOOKUP($B29,Parameters!$E$108:$G$501,3,FALSE),0)*(1+Parameters!$G$13)^(AK$8-$G$8)/1000</f>
        <v>0</v>
      </c>
      <c r="AL29" s="527">
        <f>IF(AND(AL$8&gt;=$C$5,AL$8&lt;$C$6),VLOOKUP($B29,Parameters!$E$108:$G$501,3,FALSE),0)*(1+Parameters!$G$13)^(AL$8-$G$8)/1000</f>
        <v>0</v>
      </c>
      <c r="AM29" s="527">
        <f>IF(AND(AM$8&gt;=$C$5,AM$8&lt;$C$6),VLOOKUP($B29,Parameters!$E$108:$G$501,3,FALSE),0)*(1+Parameters!$G$13)^(AM$8-$G$8)/1000</f>
        <v>0</v>
      </c>
      <c r="AN29" s="527">
        <f>IF(AND(AN$8&gt;=$C$5,AN$8&lt;$C$6),VLOOKUP($B29,Parameters!$E$108:$G$501,3,FALSE),0)*(1+Parameters!$G$13)^(AN$8-$G$8)/1000</f>
        <v>0</v>
      </c>
      <c r="AO29" s="527">
        <f>IF(AND(AO$8&gt;=$C$5,AO$8&lt;$C$6),VLOOKUP($B29,Parameters!$E$108:$G$501,3,FALSE),0)*(1+Parameters!$G$13)^(AO$8-$G$8)/1000</f>
        <v>0</v>
      </c>
      <c r="AP29" s="527">
        <f>IF(AND(AP$8&gt;=$C$5,AP$8&lt;$C$6),VLOOKUP($B29,Parameters!$E$108:$G$501,3,FALSE),0)*(1+Parameters!$G$13)^(AP$8-$G$8)/1000</f>
        <v>0</v>
      </c>
      <c r="AQ29" s="527">
        <f>IF(AND(AQ$8&gt;=$C$5,AQ$8&lt;$C$6),VLOOKUP($B29,Parameters!$E$108:$G$501,3,FALSE),0)*(1+Parameters!$G$13)^(AQ$8-$G$8)/1000</f>
        <v>0</v>
      </c>
      <c r="AR29" s="527">
        <f>IF(AND(AR$8&gt;=$C$5,AR$8&lt;$C$6),VLOOKUP($B29,Parameters!$E$108:$G$501,3,FALSE),0)*(1+Parameters!$G$13)^(AR$8-$G$8)/1000</f>
        <v>0</v>
      </c>
      <c r="AS29" s="527">
        <f>IF(AND(AS$8&gt;=$C$5,AS$8&lt;$C$6),VLOOKUP($B29,Parameters!$E$108:$G$501,3,FALSE),0)*(1+Parameters!$G$13)^(AS$8-$G$8)/1000</f>
        <v>0</v>
      </c>
      <c r="AT29" s="527">
        <f>IF(AND(AT$8&gt;=$C$5,AT$8&lt;$C$6),VLOOKUP($B29,Parameters!$E$108:$G$501,3,FALSE),0)*(1+Parameters!$G$13)^(AT$8-$G$8)/1000</f>
        <v>0</v>
      </c>
      <c r="AU29" s="527">
        <f>IF(AND(AU$8&gt;=$C$5,AU$8&lt;$C$6),VLOOKUP($B29,Parameters!$E$108:$G$501,3,FALSE),0)*(1+Parameters!$G$13)^(AU$8-$G$8)/1000</f>
        <v>0</v>
      </c>
      <c r="AV29" s="527">
        <f>IF(AND(AV$8&gt;=$C$5,AV$8&lt;$C$6),VLOOKUP($B29,Parameters!$E$108:$G$501,3,FALSE),0)*(1+Parameters!$G$13)^(AV$8-$G$8)/1000</f>
        <v>0</v>
      </c>
      <c r="AW29" s="527">
        <f>IF(AND(AW$8&gt;=$C$5,AW$8&lt;$C$6),VLOOKUP($B29,Parameters!$E$108:$G$501,3,FALSE),0)*(1+Parameters!$G$13)^(AW$8-$G$8)/1000</f>
        <v>0</v>
      </c>
      <c r="AX29" s="527">
        <f>IF(AND(AX$8&gt;=$C$5,AX$8&lt;$C$6),VLOOKUP($B29,Parameters!$E$108:$G$501,3,FALSE),0)*(1+Parameters!$G$13)^(AX$8-$G$8)/1000</f>
        <v>0</v>
      </c>
      <c r="AY29" s="527">
        <f>IF(AND(AY$8&gt;=$C$5,AY$8&lt;$C$6),VLOOKUP($B29,Parameters!$E$108:$G$501,3,FALSE),0)*(1+Parameters!$G$13)^(AY$8-$G$8)/1000</f>
        <v>0</v>
      </c>
      <c r="AZ29" s="527">
        <f>IF(AND(AZ$8&gt;=$C$5,AZ$8&lt;$C$6),VLOOKUP($B29,Parameters!$E$108:$G$501,3,FALSE),0)*(1+Parameters!$G$13)^(AZ$8-$G$8)/1000</f>
        <v>0</v>
      </c>
      <c r="BA29" s="527">
        <f>IF(AND(BA$8&gt;=$C$5,BA$8&lt;$C$6),VLOOKUP($B29,Parameters!$E$108:$G$501,3,FALSE),0)*(1+Parameters!$G$13)^(BA$8-$G$8)/1000</f>
        <v>0</v>
      </c>
      <c r="BB29" s="527">
        <f>IF(AND(BB$8&gt;=$C$5,BB$8&lt;$C$6),VLOOKUP($B29,Parameters!$E$108:$G$501,3,FALSE),0)*(1+Parameters!$G$13)^(BB$8-$G$8)/1000</f>
        <v>0</v>
      </c>
    </row>
    <row r="30" spans="2:54 16384:16384" s="1146" customFormat="1" x14ac:dyDescent="0.25">
      <c r="B30" s="478" t="str">
        <f>Parameters!E242</f>
        <v>Opex booster</v>
      </c>
      <c r="C30" s="527" t="s">
        <v>979</v>
      </c>
      <c r="D30" s="527">
        <f t="shared" si="16"/>
        <v>0</v>
      </c>
      <c r="E30" s="527">
        <f t="shared" si="17"/>
        <v>0</v>
      </c>
      <c r="F30" s="527"/>
      <c r="G30" s="527">
        <f>IF(AND(G$8&gt;=$C$5,G$8&lt;$C$6),VLOOKUP($B30,Parameters!$E$108:$G$501,3,FALSE),0)*(1+Parameters!$G$13)^(G$8-$G$8)/1000</f>
        <v>0</v>
      </c>
      <c r="H30" s="527">
        <f>IF(AND(H$8&gt;=$C$5,H$8&lt;$C$6),VLOOKUP($B30,Parameters!$E$108:$G$501,3,FALSE),0)*(1+Parameters!$G$13)^(H$8-$G$8)/1000</f>
        <v>0</v>
      </c>
      <c r="I30" s="527">
        <f>IF(AND(I$8&gt;=$C$5,I$8&lt;$C$6),VLOOKUP($B30,Parameters!$E$108:$G$501,3,FALSE),0)*(1+Parameters!$G$13)^(I$8-$G$8)/1000</f>
        <v>0</v>
      </c>
      <c r="J30" s="527">
        <f>IF(AND(J$8&gt;=$C$5,J$8&lt;$C$6),VLOOKUP($B30,Parameters!$E$108:$G$501,3,FALSE),0)*(1+Parameters!$G$13)^(J$8-$G$8)/1000</f>
        <v>0</v>
      </c>
      <c r="K30" s="527">
        <f>IF(AND(K$8&gt;=$C$5,K$8&lt;$C$6),VLOOKUP($B30,Parameters!$E$108:$G$501,3,FALSE),0)*(1+Parameters!$G$13)^(K$8-$G$8)/1000</f>
        <v>0</v>
      </c>
      <c r="L30" s="527">
        <f>IF(AND(L$8&gt;=$C$5,L$8&lt;$C$6),VLOOKUP($B30,Parameters!$E$108:$G$501,3,FALSE),0)*(1+Parameters!$G$13)^(L$8-$G$8)/1000</f>
        <v>0</v>
      </c>
      <c r="M30" s="527">
        <f>IF(AND(M$8&gt;=$C$5,M$8&lt;$C$6),VLOOKUP($B30,Parameters!$E$108:$G$501,3,FALSE),0)*(1+Parameters!$G$13)^(M$8-$G$8)/1000</f>
        <v>0</v>
      </c>
      <c r="N30" s="527">
        <f>IF(AND(N$8&gt;=$C$5,N$8&lt;$C$6),VLOOKUP($B30,Parameters!$E$108:$G$501,3,FALSE),0)*(1+Parameters!$G$13)^(N$8-$G$8)/1000</f>
        <v>0</v>
      </c>
      <c r="O30" s="527">
        <f>IF(AND(O$8&gt;=$C$5,O$8&lt;$C$6),VLOOKUP($B30,Parameters!$E$108:$G$501,3,FALSE),0)*(1+Parameters!$G$13)^(O$8-$G$8)/1000</f>
        <v>0</v>
      </c>
      <c r="P30" s="527">
        <f>IF(AND(P$8&gt;=$C$5,P$8&lt;$C$6),VLOOKUP($B30,Parameters!$E$108:$G$501,3,FALSE),0)*(1+Parameters!$G$13)^(P$8-$G$8)/1000</f>
        <v>0</v>
      </c>
      <c r="Q30" s="527">
        <f>IF(AND(Q$8&gt;=$C$5,Q$8&lt;$C$6),VLOOKUP($B30,Parameters!$E$108:$G$501,3,FALSE),0)*(1+Parameters!$G$13)^(Q$8-$G$8)/1000</f>
        <v>0</v>
      </c>
      <c r="R30" s="527">
        <f>IF(AND(R$8&gt;=$C$5,R$8&lt;$C$6),VLOOKUP($B30,Parameters!$E$108:$G$501,3,FALSE),0)*(1+Parameters!$G$13)^(R$8-$G$8)/1000</f>
        <v>0</v>
      </c>
      <c r="S30" s="527">
        <f>IF(AND(S$8&gt;=$C$5,S$8&lt;$C$6),VLOOKUP($B30,Parameters!$E$108:$G$501,3,FALSE),0)*(1+Parameters!$G$13)^(S$8-$G$8)/1000</f>
        <v>0</v>
      </c>
      <c r="T30" s="527">
        <f>IF(AND(T$8&gt;=$C$5,T$8&lt;$C$6),VLOOKUP($B30,Parameters!$E$108:$G$501,3,FALSE),0)*(1+Parameters!$G$13)^(T$8-$G$8)/1000</f>
        <v>0</v>
      </c>
      <c r="U30" s="527">
        <f>IF(AND(U$8&gt;=$C$5,U$8&lt;$C$6),VLOOKUP($B30,Parameters!$E$108:$G$501,3,FALSE),0)*(1+Parameters!$G$13)^(U$8-$G$8)/1000</f>
        <v>0</v>
      </c>
      <c r="V30" s="527">
        <f>IF(AND(V$8&gt;=$C$5,V$8&lt;$C$6),VLOOKUP($B30,Parameters!$E$108:$G$501,3,FALSE),0)*(1+Parameters!$G$13)^(V$8-$G$8)/1000</f>
        <v>0</v>
      </c>
      <c r="W30" s="527">
        <f>IF(AND(W$8&gt;=$C$5,W$8&lt;$C$6),VLOOKUP($B30,Parameters!$E$108:$G$501,3,FALSE),0)*(1+Parameters!$G$13)^(W$8-$G$8)/1000</f>
        <v>0</v>
      </c>
      <c r="X30" s="527">
        <f>IF(AND(X$8&gt;=$C$5,X$8&lt;$C$6),VLOOKUP($B30,Parameters!$E$108:$G$501,3,FALSE),0)*(1+Parameters!$G$13)^(X$8-$G$8)/1000</f>
        <v>0</v>
      </c>
      <c r="Y30" s="527">
        <f>IF(AND(Y$8&gt;=$C$5,Y$8&lt;$C$6),VLOOKUP($B30,Parameters!$E$108:$G$501,3,FALSE),0)*(1+Parameters!$G$13)^(Y$8-$G$8)/1000</f>
        <v>0</v>
      </c>
      <c r="Z30" s="527">
        <f>IF(AND(Z$8&gt;=$C$5,Z$8&lt;$C$6),VLOOKUP($B30,Parameters!$E$108:$G$501,3,FALSE),0)*(1+Parameters!$G$13)^(Z$8-$G$8)/1000</f>
        <v>0</v>
      </c>
      <c r="AA30" s="527">
        <f>IF(AND(AA$8&gt;=$C$5,AA$8&lt;$C$6),VLOOKUP($B30,Parameters!$E$108:$G$501,3,FALSE),0)*(1+Parameters!$G$13)^(AA$8-$G$8)/1000</f>
        <v>0</v>
      </c>
      <c r="AB30" s="527">
        <f>IF(AND(AB$8&gt;=$C$5,AB$8&lt;$C$6),VLOOKUP($B30,Parameters!$E$108:$G$501,3,FALSE),0)*(1+Parameters!$G$13)^(AB$8-$G$8)/1000</f>
        <v>0</v>
      </c>
      <c r="AC30" s="527">
        <f>IF(AND(AC$8&gt;=$C$5,AC$8&lt;$C$6),VLOOKUP($B30,Parameters!$E$108:$G$501,3,FALSE),0)*(1+Parameters!$G$13)^(AC$8-$G$8)/1000</f>
        <v>0</v>
      </c>
      <c r="AD30" s="527">
        <f>IF(AND(AD$8&gt;=$C$5,AD$8&lt;$C$6),VLOOKUP($B30,Parameters!$E$108:$G$501,3,FALSE),0)*(1+Parameters!$G$13)^(AD$8-$G$8)/1000</f>
        <v>0</v>
      </c>
      <c r="AE30" s="527">
        <f>IF(AND(AE$8&gt;=$C$5,AE$8&lt;$C$6),VLOOKUP($B30,Parameters!$E$108:$G$501,3,FALSE),0)*(1+Parameters!$G$13)^(AE$8-$G$8)/1000</f>
        <v>0</v>
      </c>
      <c r="AF30" s="527">
        <f>IF(AND(AF$8&gt;=$C$5,AF$8&lt;$C$6),VLOOKUP($B30,Parameters!$E$108:$G$501,3,FALSE),0)*(1+Parameters!$G$13)^(AF$8-$G$8)/1000</f>
        <v>0</v>
      </c>
      <c r="AG30" s="527">
        <f>IF(AND(AG$8&gt;=$C$5,AG$8&lt;$C$6),VLOOKUP($B30,Parameters!$E$108:$G$501,3,FALSE),0)*(1+Parameters!$G$13)^(AG$8-$G$8)/1000</f>
        <v>0</v>
      </c>
      <c r="AH30" s="527">
        <f>IF(AND(AH$8&gt;=$C$5,AH$8&lt;$C$6),VLOOKUP($B30,Parameters!$E$108:$G$501,3,FALSE),0)*(1+Parameters!$G$13)^(AH$8-$G$8)/1000</f>
        <v>0</v>
      </c>
      <c r="AI30" s="527">
        <f>IF(AND(AI$8&gt;=$C$5,AI$8&lt;$C$6),VLOOKUP($B30,Parameters!$E$108:$G$501,3,FALSE),0)*(1+Parameters!$G$13)^(AI$8-$G$8)/1000</f>
        <v>0</v>
      </c>
      <c r="AJ30" s="527">
        <f>IF(AND(AJ$8&gt;=$C$5,AJ$8&lt;$C$6),VLOOKUP($B30,Parameters!$E$108:$G$501,3,FALSE),0)*(1+Parameters!$G$13)^(AJ$8-$G$8)/1000</f>
        <v>0</v>
      </c>
      <c r="AK30" s="527">
        <f>IF(AND(AK$8&gt;=$C$5,AK$8&lt;$C$6),VLOOKUP($B30,Parameters!$E$108:$G$501,3,FALSE),0)*(1+Parameters!$G$13)^(AK$8-$G$8)/1000</f>
        <v>0</v>
      </c>
      <c r="AL30" s="527">
        <f>IF(AND(AL$8&gt;=$C$5,AL$8&lt;$C$6),VLOOKUP($B30,Parameters!$E$108:$G$501,3,FALSE),0)*(1+Parameters!$G$13)^(AL$8-$G$8)/1000</f>
        <v>0</v>
      </c>
      <c r="AM30" s="527">
        <f>IF(AND(AM$8&gt;=$C$5,AM$8&lt;$C$6),VLOOKUP($B30,Parameters!$E$108:$G$501,3,FALSE),0)*(1+Parameters!$G$13)^(AM$8-$G$8)/1000</f>
        <v>0</v>
      </c>
      <c r="AN30" s="527">
        <f>IF(AND(AN$8&gt;=$C$5,AN$8&lt;$C$6),VLOOKUP($B30,Parameters!$E$108:$G$501,3,FALSE),0)*(1+Parameters!$G$13)^(AN$8-$G$8)/1000</f>
        <v>0</v>
      </c>
      <c r="AO30" s="527">
        <f>IF(AND(AO$8&gt;=$C$5,AO$8&lt;$C$6),VLOOKUP($B30,Parameters!$E$108:$G$501,3,FALSE),0)*(1+Parameters!$G$13)^(AO$8-$G$8)/1000</f>
        <v>0</v>
      </c>
      <c r="AP30" s="527">
        <f>IF(AND(AP$8&gt;=$C$5,AP$8&lt;$C$6),VLOOKUP($B30,Parameters!$E$108:$G$501,3,FALSE),0)*(1+Parameters!$G$13)^(AP$8-$G$8)/1000</f>
        <v>0</v>
      </c>
      <c r="AQ30" s="527">
        <f>IF(AND(AQ$8&gt;=$C$5,AQ$8&lt;$C$6),VLOOKUP($B30,Parameters!$E$108:$G$501,3,FALSE),0)*(1+Parameters!$G$13)^(AQ$8-$G$8)/1000</f>
        <v>0</v>
      </c>
      <c r="AR30" s="527">
        <f>IF(AND(AR$8&gt;=$C$5,AR$8&lt;$C$6),VLOOKUP($B30,Parameters!$E$108:$G$501,3,FALSE),0)*(1+Parameters!$G$13)^(AR$8-$G$8)/1000</f>
        <v>0</v>
      </c>
      <c r="AS30" s="527">
        <f>IF(AND(AS$8&gt;=$C$5,AS$8&lt;$C$6),VLOOKUP($B30,Parameters!$E$108:$G$501,3,FALSE),0)*(1+Parameters!$G$13)^(AS$8-$G$8)/1000</f>
        <v>0</v>
      </c>
      <c r="AT30" s="527">
        <f>IF(AND(AT$8&gt;=$C$5,AT$8&lt;$C$6),VLOOKUP($B30,Parameters!$E$108:$G$501,3,FALSE),0)*(1+Parameters!$G$13)^(AT$8-$G$8)/1000</f>
        <v>0</v>
      </c>
      <c r="AU30" s="527">
        <f>IF(AND(AU$8&gt;=$C$5,AU$8&lt;$C$6),VLOOKUP($B30,Parameters!$E$108:$G$501,3,FALSE),0)*(1+Parameters!$G$13)^(AU$8-$G$8)/1000</f>
        <v>0</v>
      </c>
      <c r="AV30" s="527">
        <f>IF(AND(AV$8&gt;=$C$5,AV$8&lt;$C$6),VLOOKUP($B30,Parameters!$E$108:$G$501,3,FALSE),0)*(1+Parameters!$G$13)^(AV$8-$G$8)/1000</f>
        <v>0</v>
      </c>
      <c r="AW30" s="527">
        <f>IF(AND(AW$8&gt;=$C$5,AW$8&lt;$C$6),VLOOKUP($B30,Parameters!$E$108:$G$501,3,FALSE),0)*(1+Parameters!$G$13)^(AW$8-$G$8)/1000</f>
        <v>0</v>
      </c>
      <c r="AX30" s="527">
        <f>IF(AND(AX$8&gt;=$C$5,AX$8&lt;$C$6),VLOOKUP($B30,Parameters!$E$108:$G$501,3,FALSE),0)*(1+Parameters!$G$13)^(AX$8-$G$8)/1000</f>
        <v>0</v>
      </c>
      <c r="AY30" s="527">
        <f>IF(AND(AY$8&gt;=$C$5,AY$8&lt;$C$6),VLOOKUP($B30,Parameters!$E$108:$G$501,3,FALSE),0)*(1+Parameters!$G$13)^(AY$8-$G$8)/1000</f>
        <v>0</v>
      </c>
      <c r="AZ30" s="527">
        <f>IF(AND(AZ$8&gt;=$C$5,AZ$8&lt;$C$6),VLOOKUP($B30,Parameters!$E$108:$G$501,3,FALSE),0)*(1+Parameters!$G$13)^(AZ$8-$G$8)/1000</f>
        <v>0</v>
      </c>
      <c r="BA30" s="527">
        <f>IF(AND(BA$8&gt;=$C$5,BA$8&lt;$C$6),VLOOKUP($B30,Parameters!$E$108:$G$501,3,FALSE),0)*(1+Parameters!$G$13)^(BA$8-$G$8)/1000</f>
        <v>0</v>
      </c>
      <c r="BB30" s="527">
        <f>IF(AND(BB$8&gt;=$C$5,BB$8&lt;$C$6),VLOOKUP($B30,Parameters!$E$108:$G$501,3,FALSE),0)*(1+Parameters!$G$13)^(BB$8-$G$8)/1000</f>
        <v>0</v>
      </c>
    </row>
    <row r="31" spans="2:54 16384:16384" s="1146" customFormat="1" x14ac:dyDescent="0.25">
      <c r="B31" s="1172" t="str">
        <f>Parameters!E211</f>
        <v>Total Opex wells</v>
      </c>
      <c r="C31" s="527" t="s">
        <v>979</v>
      </c>
      <c r="D31" s="527">
        <f t="shared" si="16"/>
        <v>16292.263602272842</v>
      </c>
      <c r="E31" s="527">
        <f t="shared" si="17"/>
        <v>2101.9428025962579</v>
      </c>
      <c r="F31" s="527"/>
      <c r="G31" s="527">
        <f>IF(AND(G$8&gt;=$C$5,G$8&lt;$C$6),VLOOKUP($B31,Parameters!$E$108:$G$501,3,FALSE),0)*(1+Parameters!$G$13)^(G$8-$G$8)/1000</f>
        <v>0</v>
      </c>
      <c r="H31" s="527">
        <f>IF(AND(H$8&gt;=$C$5,H$8&lt;$C$6),VLOOKUP($B31,Parameters!$E$108:$G$501,3,FALSE),0)*(1+Parameters!$G$13)^(H$8-$G$8)/1000</f>
        <v>0</v>
      </c>
      <c r="I31" s="527">
        <f>IF(AND(I$8&gt;=$C$5,I$8&lt;$C$6),VLOOKUP($B31,Parameters!$E$108:$G$501,3,FALSE),0)*(1+Parameters!$G$13)^(I$8-$G$8)/1000</f>
        <v>0</v>
      </c>
      <c r="J31" s="527">
        <f>IF(AND(J$8&gt;=$C$5,J$8&lt;$C$6),VLOOKUP($B31,Parameters!$E$108:$G$501,3,FALSE),0)*(1+Parameters!$G$13)^(J$8-$G$8)/1000</f>
        <v>0</v>
      </c>
      <c r="K31" s="527">
        <f>IF(AND(K$8&gt;=$C$5,K$8&lt;$C$6),VLOOKUP($B31,Parameters!$E$108:$G$501,3,FALSE),0)*(1+Parameters!$G$13)^(K$8-$G$8)/1000</f>
        <v>0</v>
      </c>
      <c r="L31" s="527">
        <f>IF(AND(L$8&gt;=$C$5,L$8&lt;$C$6),VLOOKUP($B31,Parameters!$E$108:$G$501,3,FALSE),0)*(1+Parameters!$G$13)^(L$8-$G$8)/1000</f>
        <v>0</v>
      </c>
      <c r="M31" s="527">
        <f>IF(AND(M$8&gt;=$C$5,M$8&lt;$C$6),VLOOKUP($B31,Parameters!$E$108:$G$501,3,FALSE),0)*(1+Parameters!$G$13)^(M$8-$G$8)/1000</f>
        <v>0</v>
      </c>
      <c r="N31" s="527">
        <f>IF(AND(N$8&gt;=$C$5,N$8&lt;$C$6),VLOOKUP($B31,Parameters!$E$108:$G$501,3,FALSE),0)*(1+Parameters!$G$13)^(N$8-$G$8)/1000</f>
        <v>0</v>
      </c>
      <c r="O31" s="527">
        <f>IF(AND(O$8&gt;=$C$5,O$8&lt;$C$6),VLOOKUP($B31,Parameters!$E$108:$G$501,3,FALSE),0)*(1+Parameters!$G$13)^(O$8-$G$8)/1000</f>
        <v>0</v>
      </c>
      <c r="P31" s="527">
        <f>IF(AND(P$8&gt;=$C$5,P$8&lt;$C$6),VLOOKUP($B31,Parameters!$E$108:$G$501,3,FALSE),0)*(1+Parameters!$G$13)^(P$8-$G$8)/1000</f>
        <v>0</v>
      </c>
      <c r="Q31" s="527">
        <f>IF(AND(Q$8&gt;=$C$5,Q$8&lt;$C$6),VLOOKUP($B31,Parameters!$E$108:$G$501,3,FALSE),0)*(1+Parameters!$G$13)^(Q$8-$G$8)/1000</f>
        <v>0</v>
      </c>
      <c r="R31" s="527">
        <f>IF(AND(R$8&gt;=$C$5,R$8&lt;$C$6),VLOOKUP($B31,Parameters!$E$108:$G$501,3,FALSE),0)*(1+Parameters!$G$13)^(R$8-$G$8)/1000</f>
        <v>0</v>
      </c>
      <c r="S31" s="527">
        <f>IF(AND(S$8&gt;=$C$5,S$8&lt;$C$6),VLOOKUP($B31,Parameters!$E$108:$G$501,3,FALSE),0)*(1+Parameters!$G$13)^(S$8-$G$8)/1000</f>
        <v>0</v>
      </c>
      <c r="T31" s="527">
        <f>IF(AND(T$8&gt;=$C$5,T$8&lt;$C$6),VLOOKUP($B31,Parameters!$E$108:$G$501,3,FALSE),0)*(1+Parameters!$G$13)^(T$8-$G$8)/1000</f>
        <v>0</v>
      </c>
      <c r="U31" s="527">
        <f>IF(AND(U$8&gt;=$C$5,U$8&lt;$C$6),VLOOKUP($B31,Parameters!$E$108:$G$501,3,FALSE),0)*(1+Parameters!$G$13)^(U$8-$G$8)/1000</f>
        <v>0</v>
      </c>
      <c r="V31" s="527">
        <f>IF(AND(V$8&gt;=$C$5,V$8&lt;$C$6),VLOOKUP($B31,Parameters!$E$108:$G$501,3,FALSE),0)*(1+Parameters!$G$13)^(V$8-$G$8)/1000</f>
        <v>942.10783682689043</v>
      </c>
      <c r="W31" s="527">
        <f>IF(AND(W$8&gt;=$C$5,W$8&lt;$C$6),VLOOKUP($B31,Parameters!$E$108:$G$501,3,FALSE),0)*(1+Parameters!$G$13)^(W$8-$G$8)/1000</f>
        <v>960.94999356342839</v>
      </c>
      <c r="X31" s="527">
        <f>IF(AND(X$8&gt;=$C$5,X$8&lt;$C$6),VLOOKUP($B31,Parameters!$E$108:$G$501,3,FALSE),0)*(1+Parameters!$G$13)^(X$8-$G$8)/1000</f>
        <v>980.16899343469709</v>
      </c>
      <c r="Y31" s="527">
        <f>IF(AND(Y$8&gt;=$C$5,Y$8&lt;$C$6),VLOOKUP($B31,Parameters!$E$108:$G$501,3,FALSE),0)*(1+Parameters!$G$13)^(Y$8-$G$8)/1000</f>
        <v>999.77237330339096</v>
      </c>
      <c r="Z31" s="527">
        <f>IF(AND(Z$8&gt;=$C$5,Z$8&lt;$C$6),VLOOKUP($B31,Parameters!$E$108:$G$501,3,FALSE),0)*(1+Parameters!$G$13)^(Z$8-$G$8)/1000</f>
        <v>1019.7678207694587</v>
      </c>
      <c r="AA31" s="527">
        <f>IF(AND(AA$8&gt;=$C$5,AA$8&lt;$C$6),VLOOKUP($B31,Parameters!$E$108:$G$501,3,FALSE),0)*(1+Parameters!$G$13)^(AA$8-$G$8)/1000</f>
        <v>1040.1631771848481</v>
      </c>
      <c r="AB31" s="527">
        <f>IF(AND(AB$8&gt;=$C$5,AB$8&lt;$C$6),VLOOKUP($B31,Parameters!$E$108:$G$501,3,FALSE),0)*(1+Parameters!$G$13)^(AB$8-$G$8)/1000</f>
        <v>1060.966440728545</v>
      </c>
      <c r="AC31" s="527">
        <f>IF(AND(AC$8&gt;=$C$5,AC$8&lt;$C$6),VLOOKUP($B31,Parameters!$E$108:$G$501,3,FALSE),0)*(1+Parameters!$G$13)^(AC$8-$G$8)/1000</f>
        <v>1082.1857695431158</v>
      </c>
      <c r="AD31" s="527">
        <f>IF(AND(AD$8&gt;=$C$5,AD$8&lt;$C$6),VLOOKUP($B31,Parameters!$E$108:$G$501,3,FALSE),0)*(1+Parameters!$G$13)^(AD$8-$G$8)/1000</f>
        <v>1103.8294849339779</v>
      </c>
      <c r="AE31" s="527">
        <f>IF(AND(AE$8&gt;=$C$5,AE$8&lt;$C$6),VLOOKUP($B31,Parameters!$E$108:$G$501,3,FALSE),0)*(1+Parameters!$G$13)^(AE$8-$G$8)/1000</f>
        <v>1125.9060746326575</v>
      </c>
      <c r="AF31" s="527">
        <f>IF(AND(AF$8&gt;=$C$5,AF$8&lt;$C$6),VLOOKUP($B31,Parameters!$E$108:$G$501,3,FALSE),0)*(1+Parameters!$G$13)^(AF$8-$G$8)/1000</f>
        <v>1148.4241961253106</v>
      </c>
      <c r="AG31" s="527">
        <f>IF(AND(AG$8&gt;=$C$5,AG$8&lt;$C$6),VLOOKUP($B31,Parameters!$E$108:$G$501,3,FALSE),0)*(1+Parameters!$G$13)^(AG$8-$G$8)/1000</f>
        <v>1171.3926800478171</v>
      </c>
      <c r="AH31" s="527">
        <f>IF(AND(AH$8&gt;=$C$5,AH$8&lt;$C$6),VLOOKUP($B31,Parameters!$E$108:$G$501,3,FALSE),0)*(1+Parameters!$G$13)^(AH$8-$G$8)/1000</f>
        <v>1194.8205336487731</v>
      </c>
      <c r="AI31" s="527">
        <f>IF(AND(AI$8&gt;=$C$5,AI$8&lt;$C$6),VLOOKUP($B31,Parameters!$E$108:$G$501,3,FALSE),0)*(1+Parameters!$G$13)^(AI$8-$G$8)/1000</f>
        <v>1218.7169443217488</v>
      </c>
      <c r="AJ31" s="527">
        <f>IF(AND(AJ$8&gt;=$C$5,AJ$8&lt;$C$6),VLOOKUP($B31,Parameters!$E$108:$G$501,3,FALSE),0)*(1+Parameters!$G$13)^(AJ$8-$G$8)/1000</f>
        <v>1243.0912832081838</v>
      </c>
      <c r="AK31" s="527">
        <f>IF(AND(AK$8&gt;=$C$5,AK$8&lt;$C$6),VLOOKUP($B31,Parameters!$E$108:$G$501,3,FALSE),0)*(1+Parameters!$G$13)^(AK$8-$G$8)/1000</f>
        <v>0</v>
      </c>
      <c r="AL31" s="527">
        <f>IF(AND(AL$8&gt;=$C$5,AL$8&lt;$C$6),VLOOKUP($B31,Parameters!$E$108:$G$501,3,FALSE),0)*(1+Parameters!$G$13)^(AL$8-$G$8)/1000</f>
        <v>0</v>
      </c>
      <c r="AM31" s="527">
        <f>IF(AND(AM$8&gt;=$C$5,AM$8&lt;$C$6),VLOOKUP($B31,Parameters!$E$108:$G$501,3,FALSE),0)*(1+Parameters!$G$13)^(AM$8-$G$8)/1000</f>
        <v>0</v>
      </c>
      <c r="AN31" s="527">
        <f>IF(AND(AN$8&gt;=$C$5,AN$8&lt;$C$6),VLOOKUP($B31,Parameters!$E$108:$G$501,3,FALSE),0)*(1+Parameters!$G$13)^(AN$8-$G$8)/1000</f>
        <v>0</v>
      </c>
      <c r="AO31" s="527">
        <f>IF(AND(AO$8&gt;=$C$5,AO$8&lt;$C$6),VLOOKUP($B31,Parameters!$E$108:$G$501,3,FALSE),0)*(1+Parameters!$G$13)^(AO$8-$G$8)/1000</f>
        <v>0</v>
      </c>
      <c r="AP31" s="527">
        <f>IF(AND(AP$8&gt;=$C$5,AP$8&lt;$C$6),VLOOKUP($B31,Parameters!$E$108:$G$501,3,FALSE),0)*(1+Parameters!$G$13)^(AP$8-$G$8)/1000</f>
        <v>0</v>
      </c>
      <c r="AQ31" s="527">
        <f>IF(AND(AQ$8&gt;=$C$5,AQ$8&lt;$C$6),VLOOKUP($B31,Parameters!$E$108:$G$501,3,FALSE),0)*(1+Parameters!$G$13)^(AQ$8-$G$8)/1000</f>
        <v>0</v>
      </c>
      <c r="AR31" s="527">
        <f>IF(AND(AR$8&gt;=$C$5,AR$8&lt;$C$6),VLOOKUP($B31,Parameters!$E$108:$G$501,3,FALSE),0)*(1+Parameters!$G$13)^(AR$8-$G$8)/1000</f>
        <v>0</v>
      </c>
      <c r="AS31" s="527">
        <f>IF(AND(AS$8&gt;=$C$5,AS$8&lt;$C$6),VLOOKUP($B31,Parameters!$E$108:$G$501,3,FALSE),0)*(1+Parameters!$G$13)^(AS$8-$G$8)/1000</f>
        <v>0</v>
      </c>
      <c r="AT31" s="527">
        <f>IF(AND(AT$8&gt;=$C$5,AT$8&lt;$C$6),VLOOKUP($B31,Parameters!$E$108:$G$501,3,FALSE),0)*(1+Parameters!$G$13)^(AT$8-$G$8)/1000</f>
        <v>0</v>
      </c>
      <c r="AU31" s="527">
        <f>IF(AND(AU$8&gt;=$C$5,AU$8&lt;$C$6),VLOOKUP($B31,Parameters!$E$108:$G$501,3,FALSE),0)*(1+Parameters!$G$13)^(AU$8-$G$8)/1000</f>
        <v>0</v>
      </c>
      <c r="AV31" s="527">
        <f>IF(AND(AV$8&gt;=$C$5,AV$8&lt;$C$6),VLOOKUP($B31,Parameters!$E$108:$G$501,3,FALSE),0)*(1+Parameters!$G$13)^(AV$8-$G$8)/1000</f>
        <v>0</v>
      </c>
      <c r="AW31" s="527">
        <f>IF(AND(AW$8&gt;=$C$5,AW$8&lt;$C$6),VLOOKUP($B31,Parameters!$E$108:$G$501,3,FALSE),0)*(1+Parameters!$G$13)^(AW$8-$G$8)/1000</f>
        <v>0</v>
      </c>
      <c r="AX31" s="527">
        <f>IF(AND(AX$8&gt;=$C$5,AX$8&lt;$C$6),VLOOKUP($B31,Parameters!$E$108:$G$501,3,FALSE),0)*(1+Parameters!$G$13)^(AX$8-$G$8)/1000</f>
        <v>0</v>
      </c>
      <c r="AY31" s="527">
        <f>IF(AND(AY$8&gt;=$C$5,AY$8&lt;$C$6),VLOOKUP($B31,Parameters!$E$108:$G$501,3,FALSE),0)*(1+Parameters!$G$13)^(AY$8-$G$8)/1000</f>
        <v>0</v>
      </c>
      <c r="AZ31" s="527">
        <f>IF(AND(AZ$8&gt;=$C$5,AZ$8&lt;$C$6),VLOOKUP($B31,Parameters!$E$108:$G$501,3,FALSE),0)*(1+Parameters!$G$13)^(AZ$8-$G$8)/1000</f>
        <v>0</v>
      </c>
      <c r="BA31" s="527">
        <f>IF(AND(BA$8&gt;=$C$5,BA$8&lt;$C$6),VLOOKUP($B31,Parameters!$E$108:$G$501,3,FALSE),0)*(1+Parameters!$G$13)^(BA$8-$G$8)/1000</f>
        <v>0</v>
      </c>
      <c r="BB31" s="527">
        <f>IF(AND(BB$8&gt;=$C$5,BB$8&lt;$C$6),VLOOKUP($B31,Parameters!$E$108:$G$501,3,FALSE),0)*(1+Parameters!$G$13)^(BB$8-$G$8)/1000</f>
        <v>0</v>
      </c>
    </row>
    <row r="32" spans="2:54 16384:16384" s="1146" customFormat="1" x14ac:dyDescent="0.25">
      <c r="B32" s="478" t="str">
        <f>Parameters!E212</f>
        <v>Opex monitoring abandoned CO2 wells</v>
      </c>
      <c r="C32" s="527" t="s">
        <v>979</v>
      </c>
      <c r="D32" s="527">
        <f t="shared" si="16"/>
        <v>16528.253312979094</v>
      </c>
      <c r="E32" s="527">
        <f t="shared" si="17"/>
        <v>630.43789148016106</v>
      </c>
      <c r="F32" s="527"/>
      <c r="G32" s="527">
        <f>IF(AND(G$8&gt;=$C$6,$C$4&gt;0,(G8-$C$6)&lt;Parameters!$G$191),VLOOKUP($B32,Parameters!$E$108:$G$501,3,FALSE),0)*(1+Parameters!$G$13)^(G$8-$G$8)/1000</f>
        <v>0</v>
      </c>
      <c r="H32" s="527">
        <f>IF(AND(H$8&gt;=$C$6,$C$4&gt;0,(H8-$C$6)&lt;Parameters!$G$191),VLOOKUP($B32,Parameters!$E$108:$G$501,3,FALSE),0)*(1+Parameters!$G$13)^(H$8-$G$8)/1000</f>
        <v>0</v>
      </c>
      <c r="I32" s="527">
        <f>IF(AND(I$8&gt;=$C$6,$C$4&gt;0,(I8-$C$6)&lt;Parameters!$G$191),VLOOKUP($B32,Parameters!$E$108:$G$501,3,FALSE),0)*(1+Parameters!$G$13)^(I$8-$G$8)/1000</f>
        <v>0</v>
      </c>
      <c r="J32" s="527">
        <f>IF(AND(J$8&gt;=$C$6,$C$4&gt;0,(J8-$C$6)&lt;Parameters!$G$191),VLOOKUP($B32,Parameters!$E$108:$G$501,3,FALSE),0)*(1+Parameters!$G$13)^(J$8-$G$8)/1000</f>
        <v>0</v>
      </c>
      <c r="K32" s="527">
        <f>IF(AND(K$8&gt;=$C$6,$C$4&gt;0,(K8-$C$6)&lt;Parameters!$G$191),VLOOKUP($B32,Parameters!$E$108:$G$501,3,FALSE),0)*(1+Parameters!$G$13)^(K$8-$G$8)/1000</f>
        <v>0</v>
      </c>
      <c r="L32" s="527">
        <f>IF(AND(L$8&gt;=$C$6,$C$4&gt;0,(L8-$C$6)&lt;Parameters!$G$191),VLOOKUP($B32,Parameters!$E$108:$G$501,3,FALSE),0)*(1+Parameters!$G$13)^(L$8-$G$8)/1000</f>
        <v>0</v>
      </c>
      <c r="M32" s="527">
        <f>IF(AND(M$8&gt;=$C$6,$C$4&gt;0,(M8-$C$6)&lt;Parameters!$G$191),VLOOKUP($B32,Parameters!$E$108:$G$501,3,FALSE),0)*(1+Parameters!$G$13)^(M$8-$G$8)/1000</f>
        <v>0</v>
      </c>
      <c r="N32" s="527">
        <f>IF(AND(N$8&gt;=$C$6,$C$4&gt;0,(N8-$C$6)&lt;Parameters!$G$191),VLOOKUP($B32,Parameters!$E$108:$G$501,3,FALSE),0)*(1+Parameters!$G$13)^(N$8-$G$8)/1000</f>
        <v>0</v>
      </c>
      <c r="O32" s="527">
        <f>IF(AND(O$8&gt;=$C$6,$C$4&gt;0,(O8-$C$6)&lt;Parameters!$G$191),VLOOKUP($B32,Parameters!$E$108:$G$501,3,FALSE),0)*(1+Parameters!$G$13)^(O$8-$G$8)/1000</f>
        <v>0</v>
      </c>
      <c r="P32" s="527">
        <f>IF(AND(P$8&gt;=$C$6,$C$4&gt;0,(P8-$C$6)&lt;Parameters!$G$191),VLOOKUP($B32,Parameters!$E$108:$G$501,3,FALSE),0)*(1+Parameters!$G$13)^(P$8-$G$8)/1000</f>
        <v>0</v>
      </c>
      <c r="Q32" s="527">
        <f>IF(AND(Q$8&gt;=$C$6,$C$4&gt;0,(Q8-$C$6)&lt;Parameters!$G$191),VLOOKUP($B32,Parameters!$E$108:$G$501,3,FALSE),0)*(1+Parameters!$G$13)^(Q$8-$G$8)/1000</f>
        <v>0</v>
      </c>
      <c r="R32" s="527">
        <f>IF(AND(R$8&gt;=$C$6,$C$4&gt;0,(R8-$C$6)&lt;Parameters!$G$191),VLOOKUP($B32,Parameters!$E$108:$G$501,3,FALSE),0)*(1+Parameters!$G$13)^(R$8-$G$8)/1000</f>
        <v>0</v>
      </c>
      <c r="S32" s="527">
        <f>IF(AND(S$8&gt;=$C$6,$C$4&gt;0,(S8-$C$6)&lt;Parameters!$G$191),VLOOKUP($B32,Parameters!$E$108:$G$501,3,FALSE),0)*(1+Parameters!$G$13)^(S$8-$G$8)/1000</f>
        <v>0</v>
      </c>
      <c r="T32" s="527">
        <f>IF(AND(T$8&gt;=$C$6,$C$4&gt;0,(T8-$C$6)&lt;Parameters!$G$191),VLOOKUP($B32,Parameters!$E$108:$G$501,3,FALSE),0)*(1+Parameters!$G$13)^(T$8-$G$8)/1000</f>
        <v>0</v>
      </c>
      <c r="U32" s="527">
        <f>IF(AND(U$8&gt;=$C$6,$C$4&gt;0,(U8-$C$6)&lt;Parameters!$G$191),VLOOKUP($B32,Parameters!$E$108:$G$501,3,FALSE),0)*(1+Parameters!$G$13)^(U$8-$G$8)/1000</f>
        <v>0</v>
      </c>
      <c r="V32" s="527">
        <f>IF(AND(V$8&gt;=$C$6,$C$4&gt;0,(V8-$C$6)&lt;Parameters!$G$191),VLOOKUP($B32,Parameters!$E$108:$G$501,3,FALSE),0)*(1+Parameters!$G$13)^(V$8-$G$8)/1000</f>
        <v>0</v>
      </c>
      <c r="W32" s="527">
        <f>IF(AND(W$8&gt;=$C$6,$C$4&gt;0,(W8-$C$6)&lt;Parameters!$G$191),VLOOKUP($B32,Parameters!$E$108:$G$501,3,FALSE),0)*(1+Parameters!$G$13)^(W$8-$G$8)/1000</f>
        <v>0</v>
      </c>
      <c r="X32" s="527">
        <f>IF(AND(X$8&gt;=$C$6,$C$4&gt;0,(X8-$C$6)&lt;Parameters!$G$191),VLOOKUP($B32,Parameters!$E$108:$G$501,3,FALSE),0)*(1+Parameters!$G$13)^(X$8-$G$8)/1000</f>
        <v>0</v>
      </c>
      <c r="Y32" s="527">
        <f>IF(AND(Y$8&gt;=$C$6,$C$4&gt;0,(Y8-$C$6)&lt;Parameters!$G$191),VLOOKUP($B32,Parameters!$E$108:$G$501,3,FALSE),0)*(1+Parameters!$G$13)^(Y$8-$G$8)/1000</f>
        <v>0</v>
      </c>
      <c r="Z32" s="527">
        <f>IF(AND(Z$8&gt;=$C$6,$C$4&gt;0,(Z8-$C$6)&lt;Parameters!$G$191),VLOOKUP($B32,Parameters!$E$108:$G$501,3,FALSE),0)*(1+Parameters!$G$13)^(Z$8-$G$8)/1000</f>
        <v>0</v>
      </c>
      <c r="AA32" s="527">
        <f>IF(AND(AA$8&gt;=$C$6,$C$4&gt;0,(AA8-$C$6)&lt;Parameters!$G$191),VLOOKUP($B32,Parameters!$E$108:$G$501,3,FALSE),0)*(1+Parameters!$G$13)^(AA$8-$G$8)/1000</f>
        <v>0</v>
      </c>
      <c r="AB32" s="527">
        <f>IF(AND(AB$8&gt;=$C$6,$C$4&gt;0,(AB8-$C$6)&lt;Parameters!$G$191),VLOOKUP($B32,Parameters!$E$108:$G$501,3,FALSE),0)*(1+Parameters!$G$13)^(AB$8-$G$8)/1000</f>
        <v>0</v>
      </c>
      <c r="AC32" s="527">
        <f>IF(AND(AC$8&gt;=$C$6,$C$4&gt;0,(AC8-$C$6)&lt;Parameters!$G$191),VLOOKUP($B32,Parameters!$E$108:$G$501,3,FALSE),0)*(1+Parameters!$G$13)^(AC$8-$G$8)/1000</f>
        <v>0</v>
      </c>
      <c r="AD32" s="527">
        <f>IF(AND(AD$8&gt;=$C$6,$C$4&gt;0,(AD8-$C$6)&lt;Parameters!$G$191),VLOOKUP($B32,Parameters!$E$108:$G$501,3,FALSE),0)*(1+Parameters!$G$13)^(AD$8-$G$8)/1000</f>
        <v>0</v>
      </c>
      <c r="AE32" s="527">
        <f>IF(AND(AE$8&gt;=$C$6,$C$4&gt;0,(AE8-$C$6)&lt;Parameters!$G$191),VLOOKUP($B32,Parameters!$E$108:$G$501,3,FALSE),0)*(1+Parameters!$G$13)^(AE$8-$G$8)/1000</f>
        <v>0</v>
      </c>
      <c r="AF32" s="527">
        <f>IF(AND(AF$8&gt;=$C$6,$C$4&gt;0,(AF8-$C$6)&lt;Parameters!$G$191),VLOOKUP($B32,Parameters!$E$108:$G$501,3,FALSE),0)*(1+Parameters!$G$13)^(AF$8-$G$8)/1000</f>
        <v>0</v>
      </c>
      <c r="AG32" s="527">
        <f>IF(AND(AG$8&gt;=$C$6,$C$4&gt;0,(AG8-$C$6)&lt;Parameters!$G$191),VLOOKUP($B32,Parameters!$E$108:$G$501,3,FALSE),0)*(1+Parameters!$G$13)^(AG$8-$G$8)/1000</f>
        <v>0</v>
      </c>
      <c r="AH32" s="527">
        <f>IF(AND(AH$8&gt;=$C$6,$C$4&gt;0,(AH8-$C$6)&lt;Parameters!$G$191),VLOOKUP($B32,Parameters!$E$108:$G$501,3,FALSE),0)*(1+Parameters!$G$13)^(AH$8-$G$8)/1000</f>
        <v>0</v>
      </c>
      <c r="AI32" s="527">
        <f>IF(AND(AI$8&gt;=$C$6,$C$4&gt;0,(AI8-$C$6)&lt;Parameters!$G$191),VLOOKUP($B32,Parameters!$E$108:$G$501,3,FALSE),0)*(1+Parameters!$G$13)^(AI$8-$G$8)/1000</f>
        <v>0</v>
      </c>
      <c r="AJ32" s="527">
        <f>IF(AND(AJ$8&gt;=$C$6,$C$4&gt;0,(AJ8-$C$6)&lt;Parameters!$G$191),VLOOKUP($B32,Parameters!$E$108:$G$501,3,FALSE),0)*(1+Parameters!$G$13)^(AJ$8-$G$8)/1000</f>
        <v>0</v>
      </c>
      <c r="AK32" s="527">
        <f>IF(AND(AK$8&gt;=$C$6,$C$4&gt;0,(AK8-$C$6)&lt;Parameters!$G$191),VLOOKUP($B32,Parameters!$E$108:$G$501,3,FALSE),0)*(1+Parameters!$G$13)^(AK$8-$G$8)/1000</f>
        <v>1509.4679867527943</v>
      </c>
      <c r="AL32" s="527">
        <f>IF(AND(AL$8&gt;=$C$6,$C$4&gt;0,(AL8-$C$6)&lt;Parameters!$G$191),VLOOKUP($B32,Parameters!$E$108:$G$501,3,FALSE),0)*(1+Parameters!$G$13)^(AL$8-$G$8)/1000</f>
        <v>1539.65734648785</v>
      </c>
      <c r="AM32" s="527">
        <f>IF(AND(AM$8&gt;=$C$6,$C$4&gt;0,(AM8-$C$6)&lt;Parameters!$G$191),VLOOKUP($B32,Parameters!$E$108:$G$501,3,FALSE),0)*(1+Parameters!$G$13)^(AM$8-$G$8)/1000</f>
        <v>1570.450493417607</v>
      </c>
      <c r="AN32" s="527">
        <f>IF(AND(AN$8&gt;=$C$6,$C$4&gt;0,(AN8-$C$6)&lt;Parameters!$G$191),VLOOKUP($B32,Parameters!$E$108:$G$501,3,FALSE),0)*(1+Parameters!$G$13)^(AN$8-$G$8)/1000</f>
        <v>1601.8595032859596</v>
      </c>
      <c r="AO32" s="527">
        <f>IF(AND(AO$8&gt;=$C$6,$C$4&gt;0,(AO8-$C$6)&lt;Parameters!$G$191),VLOOKUP($B32,Parameters!$E$108:$G$501,3,FALSE),0)*(1+Parameters!$G$13)^(AO$8-$G$8)/1000</f>
        <v>1633.8966933516786</v>
      </c>
      <c r="AP32" s="527">
        <f>IF(AND(AP$8&gt;=$C$6,$C$4&gt;0,(AP8-$C$6)&lt;Parameters!$G$191),VLOOKUP($B32,Parameters!$E$108:$G$501,3,FALSE),0)*(1+Parameters!$G$13)^(AP$8-$G$8)/1000</f>
        <v>1666.5746272187121</v>
      </c>
      <c r="AQ32" s="527">
        <f>IF(AND(AQ$8&gt;=$C$6,$C$4&gt;0,(AQ8-$C$6)&lt;Parameters!$G$191),VLOOKUP($B32,Parameters!$E$108:$G$501,3,FALSE),0)*(1+Parameters!$G$13)^(AQ$8-$G$8)/1000</f>
        <v>1699.9061197630863</v>
      </c>
      <c r="AR32" s="527">
        <f>IF(AND(AR$8&gt;=$C$6,$C$4&gt;0,(AR8-$C$6)&lt;Parameters!$G$191),VLOOKUP($B32,Parameters!$E$108:$G$501,3,FALSE),0)*(1+Parameters!$G$13)^(AR$8-$G$8)/1000</f>
        <v>1733.9042421583481</v>
      </c>
      <c r="AS32" s="527">
        <f>IF(AND(AS$8&gt;=$C$6,$C$4&gt;0,(AS8-$C$6)&lt;Parameters!$G$191),VLOOKUP($B32,Parameters!$E$108:$G$501,3,FALSE),0)*(1+Parameters!$G$13)^(AS$8-$G$8)/1000</f>
        <v>1768.5823270015153</v>
      </c>
      <c r="AT32" s="527">
        <f>IF(AND(AT$8&gt;=$C$6,$C$4&gt;0,(AT8-$C$6)&lt;Parameters!$G$191),VLOOKUP($B32,Parameters!$E$108:$G$501,3,FALSE),0)*(1+Parameters!$G$13)^(AT$8-$G$8)/1000</f>
        <v>1803.9539735415449</v>
      </c>
      <c r="AU32" s="527">
        <f>IF(AND(AU$8&gt;=$C$6,$C$4&gt;0,(AU8-$C$6)&lt;Parameters!$G$191),VLOOKUP($B32,Parameters!$E$108:$G$501,3,FALSE),0)*(1+Parameters!$G$13)^(AU$8-$G$8)/1000</f>
        <v>0</v>
      </c>
      <c r="AV32" s="527">
        <f>IF(AND(AV$8&gt;=$C$6,$C$4&gt;0,(AV8-$C$6)&lt;Parameters!$G$191),VLOOKUP($B32,Parameters!$E$108:$G$501,3,FALSE),0)*(1+Parameters!$G$13)^(AV$8-$G$8)/1000</f>
        <v>0</v>
      </c>
      <c r="AW32" s="527">
        <f>IF(AND(AW$8&gt;=$C$6,$C$4&gt;0,(AW8-$C$6)&lt;Parameters!$G$191),VLOOKUP($B32,Parameters!$E$108:$G$501,3,FALSE),0)*(1+Parameters!$G$13)^(AW$8-$G$8)/1000</f>
        <v>0</v>
      </c>
      <c r="AX32" s="527">
        <f>IF(AND(AX$8&gt;=$C$6,$C$4&gt;0,(AX8-$C$6)&lt;Parameters!$G$191),VLOOKUP($B32,Parameters!$E$108:$G$501,3,FALSE),0)*(1+Parameters!$G$13)^(AX$8-$G$8)/1000</f>
        <v>0</v>
      </c>
      <c r="AY32" s="527">
        <f>IF(AND(AY$8&gt;=$C$6,$C$4&gt;0,(AY8-$C$6)&lt;Parameters!$G$191),VLOOKUP($B32,Parameters!$E$108:$G$501,3,FALSE),0)*(1+Parameters!$G$13)^(AY$8-$G$8)/1000</f>
        <v>0</v>
      </c>
      <c r="AZ32" s="527">
        <f>IF(AND(AZ$8&gt;=$C$6,$C$4&gt;0,(AZ8-$C$6)&lt;Parameters!$G$191),VLOOKUP($B32,Parameters!$E$108:$G$501,3,FALSE),0)*(1+Parameters!$G$13)^(AZ$8-$G$8)/1000</f>
        <v>0</v>
      </c>
      <c r="BA32" s="527">
        <f>IF(AND(BA$8&gt;=$C$6,$C$4&gt;0,(BA8-$C$6)&lt;Parameters!$G$191),VLOOKUP($B32,Parameters!$E$108:$G$501,3,FALSE),0)*(1+Parameters!$G$13)^(BA$8-$G$8)/1000</f>
        <v>0</v>
      </c>
      <c r="BB32" s="527">
        <f>IF(AND(BB$8&gt;=$C$6,$C$4&gt;0,(BB8-$C$6)&lt;Parameters!$G$191),VLOOKUP($B32,Parameters!$E$108:$G$501,3,FALSE),0)*(1+Parameters!$G$13)^(BB$8-$G$8)/1000</f>
        <v>0</v>
      </c>
    </row>
    <row r="33" spans="2:64" x14ac:dyDescent="0.25">
      <c r="B33" s="478" t="str">
        <f>Parameters!E240</f>
        <v>Opex cable (CCS)</v>
      </c>
      <c r="C33" s="527" t="s">
        <v>979</v>
      </c>
      <c r="D33" s="527">
        <f t="shared" si="16"/>
        <v>0</v>
      </c>
      <c r="E33" s="527">
        <f t="shared" si="17"/>
        <v>0</v>
      </c>
      <c r="F33" s="527"/>
      <c r="G33" s="527">
        <f>IF(AND(G$8&gt;=$C$5,G$8&lt;$C$6),VLOOKUP($B33,Parameters!$E$108:$G$501,3,FALSE),0)*(1+Parameters!$G$13)^(G$8-$G$8)/1000</f>
        <v>0</v>
      </c>
      <c r="H33" s="527">
        <f>IF(AND(H$8&gt;=$C$5,H$8&lt;$C$6),VLOOKUP($B33,Parameters!$E$108:$G$501,3,FALSE),0)*(1+Parameters!$G$13)^(H$8-$G$8)/1000</f>
        <v>0</v>
      </c>
      <c r="I33" s="527">
        <f>IF(AND(I$8&gt;=$C$5,I$8&lt;$C$6),VLOOKUP($B33,Parameters!$E$108:$G$501,3,FALSE),0)*(1+Parameters!$G$13)^(I$8-$G$8)/1000</f>
        <v>0</v>
      </c>
      <c r="J33" s="527">
        <f>IF(AND(J$8&gt;=$C$5,J$8&lt;$C$6),VLOOKUP($B33,Parameters!$E$108:$G$501,3,FALSE),0)*(1+Parameters!$G$13)^(J$8-$G$8)/1000</f>
        <v>0</v>
      </c>
      <c r="K33" s="527">
        <f>IF(AND(K$8&gt;=$C$5,K$8&lt;$C$6),VLOOKUP($B33,Parameters!$E$108:$G$501,3,FALSE),0)*(1+Parameters!$G$13)^(K$8-$G$8)/1000</f>
        <v>0</v>
      </c>
      <c r="L33" s="527">
        <f>IF(AND(L$8&gt;=$C$5,L$8&lt;$C$6),VLOOKUP($B33,Parameters!$E$108:$G$501,3,FALSE),0)*(1+Parameters!$G$13)^(L$8-$G$8)/1000</f>
        <v>0</v>
      </c>
      <c r="M33" s="527">
        <f>IF(AND(M$8&gt;=$C$5,M$8&lt;$C$6),VLOOKUP($B33,Parameters!$E$108:$G$501,3,FALSE),0)*(1+Parameters!$G$13)^(M$8-$G$8)/1000</f>
        <v>0</v>
      </c>
      <c r="N33" s="527">
        <f>IF(AND(N$8&gt;=$C$5,N$8&lt;$C$6),VLOOKUP($B33,Parameters!$E$108:$G$501,3,FALSE),0)*(1+Parameters!$G$13)^(N$8-$G$8)/1000</f>
        <v>0</v>
      </c>
      <c r="O33" s="527">
        <f>IF(AND(O$8&gt;=$C$5,O$8&lt;$C$6),VLOOKUP($B33,Parameters!$E$108:$G$501,3,FALSE),0)*(1+Parameters!$G$13)^(O$8-$G$8)/1000</f>
        <v>0</v>
      </c>
      <c r="P33" s="527">
        <f>IF(AND(P$8&gt;=$C$5,P$8&lt;$C$6),VLOOKUP($B33,Parameters!$E$108:$G$501,3,FALSE),0)*(1+Parameters!$G$13)^(P$8-$G$8)/1000</f>
        <v>0</v>
      </c>
      <c r="Q33" s="527">
        <f>IF(AND(Q$8&gt;=$C$5,Q$8&lt;$C$6),VLOOKUP($B33,Parameters!$E$108:$G$501,3,FALSE),0)*(1+Parameters!$G$13)^(Q$8-$G$8)/1000</f>
        <v>0</v>
      </c>
      <c r="R33" s="527">
        <f>IF(AND(R$8&gt;=$C$5,R$8&lt;$C$6),VLOOKUP($B33,Parameters!$E$108:$G$501,3,FALSE),0)*(1+Parameters!$G$13)^(R$8-$G$8)/1000</f>
        <v>0</v>
      </c>
      <c r="S33" s="527">
        <f>IF(AND(S$8&gt;=$C$5,S$8&lt;$C$6),VLOOKUP($B33,Parameters!$E$108:$G$501,3,FALSE),0)*(1+Parameters!$G$13)^(S$8-$G$8)/1000</f>
        <v>0</v>
      </c>
      <c r="T33" s="527">
        <f>IF(AND(T$8&gt;=$C$5,T$8&lt;$C$6),VLOOKUP($B33,Parameters!$E$108:$G$501,3,FALSE),0)*(1+Parameters!$G$13)^(T$8-$G$8)/1000</f>
        <v>0</v>
      </c>
      <c r="U33" s="527">
        <f>IF(AND(U$8&gt;=$C$5,U$8&lt;$C$6),VLOOKUP($B33,Parameters!$E$108:$G$501,3,FALSE),0)*(1+Parameters!$G$13)^(U$8-$G$8)/1000</f>
        <v>0</v>
      </c>
      <c r="V33" s="527">
        <f>IF(AND(V$8&gt;=$C$5,V$8&lt;$C$6),VLOOKUP($B33,Parameters!$E$108:$G$501,3,FALSE),0)*(1+Parameters!$G$13)^(V$8-$G$8)/1000</f>
        <v>0</v>
      </c>
      <c r="W33" s="527">
        <f>IF(AND(W$8&gt;=$C$5,W$8&lt;$C$6),VLOOKUP($B33,Parameters!$E$108:$G$501,3,FALSE),0)*(1+Parameters!$G$13)^(W$8-$G$8)/1000</f>
        <v>0</v>
      </c>
      <c r="X33" s="527">
        <f>IF(AND(X$8&gt;=$C$5,X$8&lt;$C$6),VLOOKUP($B33,Parameters!$E$108:$G$501,3,FALSE),0)*(1+Parameters!$G$13)^(X$8-$G$8)/1000</f>
        <v>0</v>
      </c>
      <c r="Y33" s="527">
        <f>IF(AND(Y$8&gt;=$C$5,Y$8&lt;$C$6),VLOOKUP($B33,Parameters!$E$108:$G$501,3,FALSE),0)*(1+Parameters!$G$13)^(Y$8-$G$8)/1000</f>
        <v>0</v>
      </c>
      <c r="Z33" s="527">
        <f>IF(AND(Z$8&gt;=$C$5,Z$8&lt;$C$6),VLOOKUP($B33,Parameters!$E$108:$G$501,3,FALSE),0)*(1+Parameters!$G$13)^(Z$8-$G$8)/1000</f>
        <v>0</v>
      </c>
      <c r="AA33" s="527">
        <f>IF(AND(AA$8&gt;=$C$5,AA$8&lt;$C$6),VLOOKUP($B33,Parameters!$E$108:$G$501,3,FALSE),0)*(1+Parameters!$G$13)^(AA$8-$G$8)/1000</f>
        <v>0</v>
      </c>
      <c r="AB33" s="527">
        <f>IF(AND(AB$8&gt;=$C$5,AB$8&lt;$C$6),VLOOKUP($B33,Parameters!$E$108:$G$501,3,FALSE),0)*(1+Parameters!$G$13)^(AB$8-$G$8)/1000</f>
        <v>0</v>
      </c>
      <c r="AC33" s="527">
        <f>IF(AND(AC$8&gt;=$C$5,AC$8&lt;$C$6),VLOOKUP($B33,Parameters!$E$108:$G$501,3,FALSE),0)*(1+Parameters!$G$13)^(AC$8-$G$8)/1000</f>
        <v>0</v>
      </c>
      <c r="AD33" s="527">
        <f>IF(AND(AD$8&gt;=$C$5,AD$8&lt;$C$6),VLOOKUP($B33,Parameters!$E$108:$G$501,3,FALSE),0)*(1+Parameters!$G$13)^(AD$8-$G$8)/1000</f>
        <v>0</v>
      </c>
      <c r="AE33" s="527">
        <f>IF(AND(AE$8&gt;=$C$5,AE$8&lt;$C$6),VLOOKUP($B33,Parameters!$E$108:$G$501,3,FALSE),0)*(1+Parameters!$G$13)^(AE$8-$G$8)/1000</f>
        <v>0</v>
      </c>
      <c r="AF33" s="527">
        <f>IF(AND(AF$8&gt;=$C$5,AF$8&lt;$C$6),VLOOKUP($B33,Parameters!$E$108:$G$501,3,FALSE),0)*(1+Parameters!$G$13)^(AF$8-$G$8)/1000</f>
        <v>0</v>
      </c>
      <c r="AG33" s="527">
        <f>IF(AND(AG$8&gt;=$C$5,AG$8&lt;$C$6),VLOOKUP($B33,Parameters!$E$108:$G$501,3,FALSE),0)*(1+Parameters!$G$13)^(AG$8-$G$8)/1000</f>
        <v>0</v>
      </c>
      <c r="AH33" s="527">
        <f>IF(AND(AH$8&gt;=$C$5,AH$8&lt;$C$6),VLOOKUP($B33,Parameters!$E$108:$G$501,3,FALSE),0)*(1+Parameters!$G$13)^(AH$8-$G$8)/1000</f>
        <v>0</v>
      </c>
      <c r="AI33" s="527">
        <f>IF(AND(AI$8&gt;=$C$5,AI$8&lt;$C$6),VLOOKUP($B33,Parameters!$E$108:$G$501,3,FALSE),0)*(1+Parameters!$G$13)^(AI$8-$G$8)/1000</f>
        <v>0</v>
      </c>
      <c r="AJ33" s="527">
        <f>IF(AND(AJ$8&gt;=$C$5,AJ$8&lt;$C$6),VLOOKUP($B33,Parameters!$E$108:$G$501,3,FALSE),0)*(1+Parameters!$G$13)^(AJ$8-$G$8)/1000</f>
        <v>0</v>
      </c>
      <c r="AK33" s="527">
        <f>IF(AND(AK$8&gt;=$C$5,AK$8&lt;$C$6),VLOOKUP($B33,Parameters!$E$108:$G$501,3,FALSE),0)*(1+Parameters!$G$13)^(AK$8-$G$8)/1000</f>
        <v>0</v>
      </c>
      <c r="AL33" s="527">
        <f>IF(AND(AL$8&gt;=$C$5,AL$8&lt;$C$6),VLOOKUP($B33,Parameters!$E$108:$G$501,3,FALSE),0)*(1+Parameters!$G$13)^(AL$8-$G$8)/1000</f>
        <v>0</v>
      </c>
      <c r="AM33" s="527">
        <f>IF(AND(AM$8&gt;=$C$5,AM$8&lt;$C$6),VLOOKUP($B33,Parameters!$E$108:$G$501,3,FALSE),0)*(1+Parameters!$G$13)^(AM$8-$G$8)/1000</f>
        <v>0</v>
      </c>
      <c r="AN33" s="527">
        <f>IF(AND(AN$8&gt;=$C$5,AN$8&lt;$C$6),VLOOKUP($B33,Parameters!$E$108:$G$501,3,FALSE),0)*(1+Parameters!$G$13)^(AN$8-$G$8)/1000</f>
        <v>0</v>
      </c>
      <c r="AO33" s="527">
        <f>IF(AND(AO$8&gt;=$C$5,AO$8&lt;$C$6),VLOOKUP($B33,Parameters!$E$108:$G$501,3,FALSE),0)*(1+Parameters!$G$13)^(AO$8-$G$8)/1000</f>
        <v>0</v>
      </c>
      <c r="AP33" s="527">
        <f>IF(AND(AP$8&gt;=$C$5,AP$8&lt;$C$6),VLOOKUP($B33,Parameters!$E$108:$G$501,3,FALSE),0)*(1+Parameters!$G$13)^(AP$8-$G$8)/1000</f>
        <v>0</v>
      </c>
      <c r="AQ33" s="527">
        <f>IF(AND(AQ$8&gt;=$C$5,AQ$8&lt;$C$6),VLOOKUP($B33,Parameters!$E$108:$G$501,3,FALSE),0)*(1+Parameters!$G$13)^(AQ$8-$G$8)/1000</f>
        <v>0</v>
      </c>
      <c r="AR33" s="527">
        <f>IF(AND(AR$8&gt;=$C$5,AR$8&lt;$C$6),VLOOKUP($B33,Parameters!$E$108:$G$501,3,FALSE),0)*(1+Parameters!$G$13)^(AR$8-$G$8)/1000</f>
        <v>0</v>
      </c>
      <c r="AS33" s="527">
        <f>IF(AND(AS$8&gt;=$C$5,AS$8&lt;$C$6),VLOOKUP($B33,Parameters!$E$108:$G$501,3,FALSE),0)*(1+Parameters!$G$13)^(AS$8-$G$8)/1000</f>
        <v>0</v>
      </c>
      <c r="AT33" s="527">
        <f>IF(AND(AT$8&gt;=$C$5,AT$8&lt;$C$6),VLOOKUP($B33,Parameters!$E$108:$G$501,3,FALSE),0)*(1+Parameters!$G$13)^(AT$8-$G$8)/1000</f>
        <v>0</v>
      </c>
      <c r="AU33" s="527">
        <f>IF(AND(AU$8&gt;=$C$5,AU$8&lt;$C$6),VLOOKUP($B33,Parameters!$E$108:$G$501,3,FALSE),0)*(1+Parameters!$G$13)^(AU$8-$G$8)/1000</f>
        <v>0</v>
      </c>
      <c r="AV33" s="527">
        <f>IF(AND(AV$8&gt;=$C$5,AV$8&lt;$C$6),VLOOKUP($B33,Parameters!$E$108:$G$501,3,FALSE),0)*(1+Parameters!$G$13)^(AV$8-$G$8)/1000</f>
        <v>0</v>
      </c>
      <c r="AW33" s="527">
        <f>IF(AND(AW$8&gt;=$C$5,AW$8&lt;$C$6),VLOOKUP($B33,Parameters!$E$108:$G$501,3,FALSE),0)*(1+Parameters!$G$13)^(AW$8-$G$8)/1000</f>
        <v>0</v>
      </c>
      <c r="AX33" s="527">
        <f>IF(AND(AX$8&gt;=$C$5,AX$8&lt;$C$6),VLOOKUP($B33,Parameters!$E$108:$G$501,3,FALSE),0)*(1+Parameters!$G$13)^(AX$8-$G$8)/1000</f>
        <v>0</v>
      </c>
      <c r="AY33" s="527">
        <f>IF(AND(AY$8&gt;=$C$5,AY$8&lt;$C$6),VLOOKUP($B33,Parameters!$E$108:$G$501,3,FALSE),0)*(1+Parameters!$G$13)^(AY$8-$G$8)/1000</f>
        <v>0</v>
      </c>
      <c r="AZ33" s="527">
        <f>IF(AND(AZ$8&gt;=$C$5,AZ$8&lt;$C$6),VLOOKUP($B33,Parameters!$E$108:$G$501,3,FALSE),0)*(1+Parameters!$G$13)^(AZ$8-$G$8)/1000</f>
        <v>0</v>
      </c>
      <c r="BA33" s="527">
        <f>IF(AND(BA$8&gt;=$C$5,BA$8&lt;$C$6),VLOOKUP($B33,Parameters!$E$108:$G$501,3,FALSE),0)*(1+Parameters!$G$13)^(BA$8-$G$8)/1000</f>
        <v>0</v>
      </c>
      <c r="BB33" s="527">
        <f>IF(AND(BB$8&gt;=$C$5,BB$8&lt;$C$6),VLOOKUP($B33,Parameters!$E$108:$G$501,3,FALSE),0)*(1+Parameters!$G$13)^(BB$8-$G$8)/1000</f>
        <v>0</v>
      </c>
    </row>
    <row r="34" spans="2:64" x14ac:dyDescent="0.25">
      <c r="B34" s="478"/>
      <c r="C34" s="527"/>
      <c r="D34" s="527"/>
      <c r="E34" s="527"/>
      <c r="F34" s="527"/>
      <c r="G34" s="527"/>
      <c r="H34" s="527"/>
      <c r="I34" s="527"/>
      <c r="J34" s="527"/>
      <c r="K34" s="527"/>
      <c r="L34" s="527"/>
      <c r="M34" s="527"/>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7"/>
      <c r="AK34" s="527"/>
      <c r="AL34" s="527"/>
      <c r="AM34" s="527"/>
      <c r="AN34" s="527"/>
      <c r="AO34" s="527"/>
      <c r="AP34" s="527"/>
      <c r="AQ34" s="527"/>
      <c r="AR34" s="527"/>
      <c r="AS34" s="527"/>
      <c r="AT34" s="527"/>
      <c r="AU34" s="527"/>
      <c r="AV34" s="527"/>
      <c r="AW34" s="527"/>
      <c r="AX34" s="527"/>
      <c r="AY34" s="527"/>
      <c r="AZ34" s="527"/>
      <c r="BA34" s="527"/>
      <c r="BB34" s="527"/>
    </row>
    <row r="35" spans="2:64" x14ac:dyDescent="0.25">
      <c r="B35" s="478"/>
      <c r="C35" s="527"/>
      <c r="D35" s="527"/>
      <c r="E35" s="527"/>
      <c r="F35" s="527"/>
      <c r="G35" s="527"/>
      <c r="H35" s="527"/>
      <c r="I35" s="527"/>
      <c r="J35" s="527"/>
      <c r="K35" s="527"/>
      <c r="L35" s="527"/>
      <c r="M35" s="527"/>
      <c r="N35" s="527"/>
      <c r="O35" s="527"/>
      <c r="P35" s="527"/>
      <c r="Q35" s="527"/>
      <c r="R35" s="527"/>
      <c r="S35" s="527"/>
      <c r="T35" s="527"/>
      <c r="U35" s="527"/>
      <c r="V35" s="527"/>
      <c r="W35" s="527"/>
      <c r="X35" s="527"/>
      <c r="Y35" s="527"/>
      <c r="Z35" s="527"/>
      <c r="AA35" s="527"/>
      <c r="AB35" s="527"/>
      <c r="AC35" s="527"/>
      <c r="AD35" s="527"/>
      <c r="AE35" s="527"/>
      <c r="AF35" s="527"/>
      <c r="AG35" s="527"/>
      <c r="AH35" s="527"/>
      <c r="AI35" s="527"/>
      <c r="AJ35" s="527"/>
      <c r="AK35" s="527"/>
      <c r="AL35" s="527"/>
      <c r="AM35" s="527"/>
      <c r="AN35" s="527"/>
      <c r="AO35" s="527"/>
      <c r="AP35" s="527"/>
      <c r="AQ35" s="527"/>
      <c r="AR35" s="527"/>
      <c r="AS35" s="527"/>
      <c r="AT35" s="527"/>
      <c r="AU35" s="527"/>
      <c r="AV35" s="527"/>
      <c r="AW35" s="527"/>
      <c r="AX35" s="527"/>
      <c r="AY35" s="527"/>
      <c r="AZ35" s="527"/>
      <c r="BA35" s="527"/>
      <c r="BB35" s="527"/>
    </row>
    <row r="36" spans="2:64" x14ac:dyDescent="0.25">
      <c r="B36" s="440"/>
      <c r="C36" s="440"/>
      <c r="D36" s="514"/>
      <c r="E36" s="514"/>
      <c r="F36" s="440"/>
      <c r="G36" s="515"/>
      <c r="H36" s="515"/>
      <c r="I36" s="515"/>
      <c r="J36" s="515"/>
      <c r="K36" s="515"/>
      <c r="L36" s="515"/>
      <c r="M36" s="515"/>
      <c r="N36" s="515"/>
      <c r="O36" s="515"/>
      <c r="P36" s="515"/>
      <c r="Q36" s="515"/>
      <c r="R36" s="515"/>
      <c r="S36" s="515"/>
      <c r="T36" s="515"/>
      <c r="U36" s="515"/>
      <c r="V36" s="515"/>
      <c r="W36" s="515"/>
      <c r="X36" s="515"/>
      <c r="Y36" s="515"/>
      <c r="Z36" s="515"/>
      <c r="AA36" s="515"/>
      <c r="AB36" s="515"/>
      <c r="AC36" s="515"/>
      <c r="AD36" s="515"/>
      <c r="AE36" s="515"/>
      <c r="AF36" s="515"/>
      <c r="AG36" s="515"/>
      <c r="AH36" s="515"/>
      <c r="AI36" s="515"/>
      <c r="AJ36" s="515"/>
      <c r="AK36" s="515"/>
      <c r="AL36" s="515"/>
      <c r="AM36" s="515"/>
      <c r="AN36" s="515"/>
      <c r="AO36" s="515"/>
      <c r="AP36" s="515"/>
      <c r="AQ36" s="515"/>
      <c r="AR36" s="515"/>
      <c r="AS36" s="515"/>
      <c r="AT36" s="515"/>
      <c r="AU36" s="515"/>
      <c r="AV36" s="515"/>
      <c r="AW36" s="515"/>
      <c r="AX36" s="515"/>
      <c r="AY36" s="515"/>
      <c r="AZ36" s="515"/>
      <c r="BA36" s="515"/>
      <c r="BB36" s="515"/>
    </row>
    <row r="37" spans="2:64" x14ac:dyDescent="0.25">
      <c r="B37" s="309" t="s">
        <v>983</v>
      </c>
      <c r="C37" s="309" t="s">
        <v>979</v>
      </c>
      <c r="D37" s="505">
        <f>SUM(G37:BB37)</f>
        <v>2327466.2288961201</v>
      </c>
      <c r="E37" s="505">
        <f>G37+NPV($C$48,H37:BB37)</f>
        <v>300277.54322803684</v>
      </c>
      <c r="F37" s="309"/>
      <c r="G37" s="506">
        <f>SUM(G38:G38)</f>
        <v>0</v>
      </c>
      <c r="H37" s="506">
        <f t="shared" ref="H37:BB37" si="18">SUM(H38:H38)</f>
        <v>0</v>
      </c>
      <c r="I37" s="506">
        <f t="shared" si="18"/>
        <v>0</v>
      </c>
      <c r="J37" s="506">
        <f t="shared" si="18"/>
        <v>0</v>
      </c>
      <c r="K37" s="506">
        <f t="shared" si="18"/>
        <v>0</v>
      </c>
      <c r="L37" s="506">
        <f t="shared" si="18"/>
        <v>0</v>
      </c>
      <c r="M37" s="506">
        <f t="shared" si="18"/>
        <v>0</v>
      </c>
      <c r="N37" s="506">
        <f t="shared" si="18"/>
        <v>0</v>
      </c>
      <c r="O37" s="506">
        <f t="shared" si="18"/>
        <v>0</v>
      </c>
      <c r="P37" s="506">
        <f t="shared" si="18"/>
        <v>0</v>
      </c>
      <c r="Q37" s="506">
        <f t="shared" si="18"/>
        <v>0</v>
      </c>
      <c r="R37" s="506">
        <f t="shared" si="18"/>
        <v>0</v>
      </c>
      <c r="S37" s="506">
        <f t="shared" si="18"/>
        <v>0</v>
      </c>
      <c r="T37" s="506">
        <f t="shared" si="18"/>
        <v>0</v>
      </c>
      <c r="U37" s="506">
        <f t="shared" si="18"/>
        <v>0</v>
      </c>
      <c r="V37" s="506">
        <f t="shared" si="18"/>
        <v>134586.83383241293</v>
      </c>
      <c r="W37" s="506">
        <f t="shared" si="18"/>
        <v>137278.57050906122</v>
      </c>
      <c r="X37" s="506">
        <f t="shared" si="18"/>
        <v>140024.14191924245</v>
      </c>
      <c r="Y37" s="506">
        <f t="shared" si="18"/>
        <v>142824.62475762729</v>
      </c>
      <c r="Z37" s="506">
        <f t="shared" si="18"/>
        <v>145681.1172527798</v>
      </c>
      <c r="AA37" s="506">
        <f t="shared" si="18"/>
        <v>148594.73959783543</v>
      </c>
      <c r="AB37" s="506">
        <f t="shared" si="18"/>
        <v>151566.6343897921</v>
      </c>
      <c r="AC37" s="506">
        <f t="shared" si="18"/>
        <v>154597.96707758796</v>
      </c>
      <c r="AD37" s="506">
        <f t="shared" si="18"/>
        <v>157689.92641913972</v>
      </c>
      <c r="AE37" s="506">
        <f t="shared" si="18"/>
        <v>160843.72494752248</v>
      </c>
      <c r="AF37" s="506">
        <f t="shared" si="18"/>
        <v>164060.59944647294</v>
      </c>
      <c r="AG37" s="506">
        <f t="shared" si="18"/>
        <v>167341.81143540243</v>
      </c>
      <c r="AH37" s="506">
        <f t="shared" si="18"/>
        <v>170688.64766411044</v>
      </c>
      <c r="AI37" s="506">
        <f t="shared" si="18"/>
        <v>174102.42061739269</v>
      </c>
      <c r="AJ37" s="506">
        <f t="shared" si="18"/>
        <v>177584.46902974052</v>
      </c>
      <c r="AK37" s="506">
        <f t="shared" si="18"/>
        <v>0</v>
      </c>
      <c r="AL37" s="506">
        <f t="shared" si="18"/>
        <v>0</v>
      </c>
      <c r="AM37" s="506">
        <f t="shared" si="18"/>
        <v>0</v>
      </c>
      <c r="AN37" s="506">
        <f t="shared" si="18"/>
        <v>0</v>
      </c>
      <c r="AO37" s="506">
        <f t="shared" si="18"/>
        <v>0</v>
      </c>
      <c r="AP37" s="506">
        <f t="shared" si="18"/>
        <v>0</v>
      </c>
      <c r="AQ37" s="506">
        <f t="shared" si="18"/>
        <v>0</v>
      </c>
      <c r="AR37" s="506">
        <f t="shared" si="18"/>
        <v>0</v>
      </c>
      <c r="AS37" s="506">
        <f t="shared" si="18"/>
        <v>0</v>
      </c>
      <c r="AT37" s="506">
        <f t="shared" si="18"/>
        <v>0</v>
      </c>
      <c r="AU37" s="506">
        <f t="shared" si="18"/>
        <v>0</v>
      </c>
      <c r="AV37" s="506">
        <f t="shared" si="18"/>
        <v>0</v>
      </c>
      <c r="AW37" s="506">
        <f t="shared" si="18"/>
        <v>0</v>
      </c>
      <c r="AX37" s="506">
        <f t="shared" si="18"/>
        <v>0</v>
      </c>
      <c r="AY37" s="506">
        <f t="shared" si="18"/>
        <v>0</v>
      </c>
      <c r="AZ37" s="506">
        <f t="shared" si="18"/>
        <v>0</v>
      </c>
      <c r="BA37" s="506">
        <f t="shared" si="18"/>
        <v>0</v>
      </c>
      <c r="BB37" s="506">
        <f t="shared" si="18"/>
        <v>0</v>
      </c>
    </row>
    <row r="38" spans="2:64" x14ac:dyDescent="0.25">
      <c r="B38" s="743" t="str">
        <f>Parameters!E117</f>
        <v xml:space="preserve">CCS revenue </v>
      </c>
      <c r="C38" s="508" t="s">
        <v>979</v>
      </c>
      <c r="D38" s="509">
        <f t="shared" ref="D38" si="19">SUM(G38:BB38)</f>
        <v>2327466.2288961201</v>
      </c>
      <c r="E38" s="509">
        <f t="shared" ref="E38" si="20">G38+NPV($C$48,H38:BB38)</f>
        <v>300277.54322803684</v>
      </c>
      <c r="F38" s="507"/>
      <c r="G38" s="510">
        <f>IF(AND(G$8&gt;=$C$5,G$8&lt;$C$6),Parameters!$G$118*10^6*Parameters!$G$117,0)*(1+Parameters!$G$13)^(G$8-$G$8)/1000</f>
        <v>0</v>
      </c>
      <c r="H38" s="510">
        <f>IF(AND(H$8&gt;=$C$5,H$8&lt;$C$6),Parameters!$G$118*10^6*Parameters!$G$117,0)*(1+Parameters!$G$13)^(H$8-$G$8)/1000</f>
        <v>0</v>
      </c>
      <c r="I38" s="510">
        <f>IF(AND(I$8&gt;=$C$5,I$8&lt;$C$6),Parameters!$G$118*10^6*Parameters!$G$117,0)*(1+Parameters!$G$13)^(I$8-$G$8)/1000</f>
        <v>0</v>
      </c>
      <c r="J38" s="510">
        <f>IF(AND(J$8&gt;=$C$5,J$8&lt;$C$6),Parameters!$G$118*10^6*Parameters!$G$117,0)*(1+Parameters!$G$13)^(J$8-$G$8)/1000</f>
        <v>0</v>
      </c>
      <c r="K38" s="510">
        <f>IF(AND(K$8&gt;=$C$5,K$8&lt;$C$6),Parameters!$G$118*10^6*Parameters!$G$117,0)*(1+Parameters!$G$13)^(K$8-$G$8)/1000</f>
        <v>0</v>
      </c>
      <c r="L38" s="510">
        <f>IF(AND(L$8&gt;=$C$5,L$8&lt;$C$6),Parameters!$G$118*10^6*Parameters!$G$117,0)*(1+Parameters!$G$13)^(L$8-$G$8)/1000</f>
        <v>0</v>
      </c>
      <c r="M38" s="510">
        <f>IF(AND(M$8&gt;=$C$5,M$8&lt;$C$6),Parameters!$G$118*10^6*Parameters!$G$117,0)*(1+Parameters!$G$13)^(M$8-$G$8)/1000</f>
        <v>0</v>
      </c>
      <c r="N38" s="510">
        <f>IF(AND(N$8&gt;=$C$5,N$8&lt;$C$6),Parameters!$G$118*10^6*Parameters!$G$117,0)*(1+Parameters!$G$13)^(N$8-$G$8)/1000</f>
        <v>0</v>
      </c>
      <c r="O38" s="510">
        <f>IF(AND(O$8&gt;=$C$5,O$8&lt;$C$6),Parameters!$G$118*10^6*Parameters!$G$117,0)*(1+Parameters!$G$13)^(O$8-$G$8)/1000</f>
        <v>0</v>
      </c>
      <c r="P38" s="510">
        <f>IF(AND(P$8&gt;=$C$5,P$8&lt;$C$6),Parameters!$G$118*10^6*Parameters!$G$117,0)*(1+Parameters!$G$13)^(P$8-$G$8)/1000</f>
        <v>0</v>
      </c>
      <c r="Q38" s="510">
        <f>IF(AND(Q$8&gt;=$C$5,Q$8&lt;$C$6),Parameters!$G$118*10^6*Parameters!$G$117,0)*(1+Parameters!$G$13)^(Q$8-$G$8)/1000</f>
        <v>0</v>
      </c>
      <c r="R38" s="510">
        <f>IF(AND(R$8&gt;=$C$5,R$8&lt;$C$6),Parameters!$G$118*10^6*Parameters!$G$117,0)*(1+Parameters!$G$13)^(R$8-$G$8)/1000</f>
        <v>0</v>
      </c>
      <c r="S38" s="510">
        <f>IF(AND(S$8&gt;=$C$5,S$8&lt;$C$6),Parameters!$G$118*10^6*Parameters!$G$117,0)*(1+Parameters!$G$13)^(S$8-$G$8)/1000</f>
        <v>0</v>
      </c>
      <c r="T38" s="510">
        <f>IF(AND(T$8&gt;=$C$5,T$8&lt;$C$6),Parameters!$G$118*10^6*Parameters!$G$117,0)*(1+Parameters!$G$13)^(T$8-$G$8)/1000</f>
        <v>0</v>
      </c>
      <c r="U38" s="510">
        <f>IF(AND(U$8&gt;=$C$5,U$8&lt;$C$6),Parameters!$G$118*10^6*Parameters!$G$117,0)*(1+Parameters!$G$13)^(U$8-$G$8)/1000</f>
        <v>0</v>
      </c>
      <c r="V38" s="510">
        <f>IF(AND(V$8&gt;=$C$5,V$8&lt;$C$6),Parameters!$G$118*10^6*Parameters!$G$117,0)*(1+Parameters!$G$13)^(V$8-$G$8)/1000</f>
        <v>134586.83383241293</v>
      </c>
      <c r="W38" s="510">
        <f>IF(AND(W$8&gt;=$C$5,W$8&lt;$C$6),Parameters!$G$118*10^6*Parameters!$G$117,0)*(1+Parameters!$G$13)^(W$8-$G$8)/1000</f>
        <v>137278.57050906122</v>
      </c>
      <c r="X38" s="510">
        <f>IF(AND(X$8&gt;=$C$5,X$8&lt;$C$6),Parameters!$G$118*10^6*Parameters!$G$117,0)*(1+Parameters!$G$13)^(X$8-$G$8)/1000</f>
        <v>140024.14191924245</v>
      </c>
      <c r="Y38" s="510">
        <f>IF(AND(Y$8&gt;=$C$5,Y$8&lt;$C$6),Parameters!$G$118*10^6*Parameters!$G$117,0)*(1+Parameters!$G$13)^(Y$8-$G$8)/1000</f>
        <v>142824.62475762729</v>
      </c>
      <c r="Z38" s="510">
        <f>IF(AND(Z$8&gt;=$C$5,Z$8&lt;$C$6),Parameters!$G$118*10^6*Parameters!$G$117,0)*(1+Parameters!$G$13)^(Z$8-$G$8)/1000</f>
        <v>145681.1172527798</v>
      </c>
      <c r="AA38" s="510">
        <f>IF(AND(AA$8&gt;=$C$5,AA$8&lt;$C$6),Parameters!$G$118*10^6*Parameters!$G$117,0)*(1+Parameters!$G$13)^(AA$8-$G$8)/1000</f>
        <v>148594.73959783543</v>
      </c>
      <c r="AB38" s="510">
        <f>IF(AND(AB$8&gt;=$C$5,AB$8&lt;$C$6),Parameters!$G$118*10^6*Parameters!$G$117,0)*(1+Parameters!$G$13)^(AB$8-$G$8)/1000</f>
        <v>151566.6343897921</v>
      </c>
      <c r="AC38" s="510">
        <f>IF(AND(AC$8&gt;=$C$5,AC$8&lt;$C$6),Parameters!$G$118*10^6*Parameters!$G$117,0)*(1+Parameters!$G$13)^(AC$8-$G$8)/1000</f>
        <v>154597.96707758796</v>
      </c>
      <c r="AD38" s="510">
        <f>IF(AND(AD$8&gt;=$C$5,AD$8&lt;$C$6),Parameters!$G$118*10^6*Parameters!$G$117,0)*(1+Parameters!$G$13)^(AD$8-$G$8)/1000</f>
        <v>157689.92641913972</v>
      </c>
      <c r="AE38" s="510">
        <f>IF(AND(AE$8&gt;=$C$5,AE$8&lt;$C$6),Parameters!$G$118*10^6*Parameters!$G$117,0)*(1+Parameters!$G$13)^(AE$8-$G$8)/1000</f>
        <v>160843.72494752248</v>
      </c>
      <c r="AF38" s="510">
        <f>IF(AND(AF$8&gt;=$C$5,AF$8&lt;$C$6),Parameters!$G$118*10^6*Parameters!$G$117,0)*(1+Parameters!$G$13)^(AF$8-$G$8)/1000</f>
        <v>164060.59944647294</v>
      </c>
      <c r="AG38" s="510">
        <f>IF(AND(AG$8&gt;=$C$5,AG$8&lt;$C$6),Parameters!$G$118*10^6*Parameters!$G$117,0)*(1+Parameters!$G$13)^(AG$8-$G$8)/1000</f>
        <v>167341.81143540243</v>
      </c>
      <c r="AH38" s="510">
        <f>IF(AND(AH$8&gt;=$C$5,AH$8&lt;$C$6),Parameters!$G$118*10^6*Parameters!$G$117,0)*(1+Parameters!$G$13)^(AH$8-$G$8)/1000</f>
        <v>170688.64766411044</v>
      </c>
      <c r="AI38" s="510">
        <f>IF(AND(AI$8&gt;=$C$5,AI$8&lt;$C$6),Parameters!$G$118*10^6*Parameters!$G$117,0)*(1+Parameters!$G$13)^(AI$8-$G$8)/1000</f>
        <v>174102.42061739269</v>
      </c>
      <c r="AJ38" s="510">
        <f>IF(AND(AJ$8&gt;=$C$5,AJ$8&lt;$C$6),Parameters!$G$118*10^6*Parameters!$G$117,0)*(1+Parameters!$G$13)^(AJ$8-$G$8)/1000</f>
        <v>177584.46902974052</v>
      </c>
      <c r="AK38" s="510">
        <f>IF(AND(AK$8&gt;=$C$5,AK$8&lt;$C$6),Parameters!$G$118*10^6*Parameters!$G$117,0)*(1+Parameters!$G$13)^(AK$8-$G$8)/1000</f>
        <v>0</v>
      </c>
      <c r="AL38" s="510">
        <f>IF(AND(AL$8&gt;=$C$5,AL$8&lt;$C$6),Parameters!$G$118*10^6*Parameters!$G$117,0)*(1+Parameters!$G$13)^(AL$8-$G$8)/1000</f>
        <v>0</v>
      </c>
      <c r="AM38" s="510">
        <f>IF(AND(AM$8&gt;=$C$5,AM$8&lt;$C$6),Parameters!$G$118*10^6*Parameters!$G$117,0)*(1+Parameters!$G$13)^(AM$8-$G$8)/1000</f>
        <v>0</v>
      </c>
      <c r="AN38" s="510">
        <f>IF(AND(AN$8&gt;=$C$5,AN$8&lt;$C$6),Parameters!$G$118*10^6*Parameters!$G$117,0)*(1+Parameters!$G$13)^(AN$8-$G$8)/1000</f>
        <v>0</v>
      </c>
      <c r="AO38" s="510">
        <f>IF(AND(AO$8&gt;=$C$5,AO$8&lt;$C$6),Parameters!$G$118*10^6*Parameters!$G$117,0)*(1+Parameters!$G$13)^(AO$8-$G$8)/1000</f>
        <v>0</v>
      </c>
      <c r="AP38" s="510">
        <f>IF(AND(AP$8&gt;=$C$5,AP$8&lt;$C$6),Parameters!$G$118*10^6*Parameters!$G$117,0)*(1+Parameters!$G$13)^(AP$8-$G$8)/1000</f>
        <v>0</v>
      </c>
      <c r="AQ38" s="510">
        <f>IF(AND(AQ$8&gt;=$C$5,AQ$8&lt;$C$6),Parameters!$G$118*10^6*Parameters!$G$117,0)*(1+Parameters!$G$13)^(AQ$8-$G$8)/1000</f>
        <v>0</v>
      </c>
      <c r="AR38" s="510">
        <f>IF(AND(AR$8&gt;=$C$5,AR$8&lt;$C$6),Parameters!$G$118*10^6*Parameters!$G$117,0)*(1+Parameters!$G$13)^(AR$8-$G$8)/1000</f>
        <v>0</v>
      </c>
      <c r="AS38" s="510">
        <f>IF(AND(AS$8&gt;=$C$5,AS$8&lt;$C$6),Parameters!$G$118*10^6*Parameters!$G$117,0)*(1+Parameters!$G$13)^(AS$8-$G$8)/1000</f>
        <v>0</v>
      </c>
      <c r="AT38" s="510">
        <f>IF(AND(AT$8&gt;=$C$5,AT$8&lt;$C$6),Parameters!$G$118*10^6*Parameters!$G$117,0)*(1+Parameters!$G$13)^(AT$8-$G$8)/1000</f>
        <v>0</v>
      </c>
      <c r="AU38" s="510">
        <f>IF(AND(AU$8&gt;=$C$5,AU$8&lt;$C$6),Parameters!$G$118*10^6*Parameters!$G$117,0)*(1+Parameters!$G$13)^(AU$8-$G$8)/1000</f>
        <v>0</v>
      </c>
      <c r="AV38" s="510">
        <f>IF(AND(AV$8&gt;=$C$5,AV$8&lt;$C$6),Parameters!$G$118*10^6*Parameters!$G$117,0)*(1+Parameters!$G$13)^(AV$8-$G$8)/1000</f>
        <v>0</v>
      </c>
      <c r="AW38" s="510">
        <f>IF(AND(AW$8&gt;=$C$5,AW$8&lt;$C$6),Parameters!$G$118*10^6*Parameters!$G$117,0)*(1+Parameters!$G$13)^(AW$8-$G$8)/1000</f>
        <v>0</v>
      </c>
      <c r="AX38" s="510">
        <f>IF(AND(AX$8&gt;=$C$5,AX$8&lt;$C$6),Parameters!$G$118*10^6*Parameters!$G$117,0)*(1+Parameters!$G$13)^(AX$8-$G$8)/1000</f>
        <v>0</v>
      </c>
      <c r="AY38" s="510">
        <f>IF(AND(AY$8&gt;=$C$5,AY$8&lt;$C$6),Parameters!$G$118*10^6*Parameters!$G$117,0)*(1+Parameters!$G$13)^(AY$8-$G$8)/1000</f>
        <v>0</v>
      </c>
      <c r="AZ38" s="510">
        <f>IF(AND(AZ$8&gt;=$C$5,AZ$8&lt;$C$6),Parameters!$G$118*10^6*Parameters!$G$117,0)*(1+Parameters!$G$13)^(AZ$8-$G$8)/1000</f>
        <v>0</v>
      </c>
      <c r="BA38" s="510">
        <f>IF(AND(BA$8&gt;=$C$5,BA$8&lt;$C$6),Parameters!$G$118*10^6*Parameters!$G$117,0)*(1+Parameters!$G$13)^(BA$8-$G$8)/1000</f>
        <v>0</v>
      </c>
      <c r="BB38" s="510">
        <f>IF(AND(BB$8&gt;=$C$5,BB$8&lt;$C$6),Parameters!$G$118*10^6*Parameters!$G$117,0)*(1+Parameters!$G$13)^(BB$8-$G$8)/1000</f>
        <v>0</v>
      </c>
      <c r="BL38" s="165"/>
    </row>
    <row r="39" spans="2:64" x14ac:dyDescent="0.25">
      <c r="B39" s="739"/>
      <c r="C39" s="527"/>
      <c r="D39" s="527"/>
      <c r="E39" s="527"/>
      <c r="F39" s="527"/>
      <c r="G39" s="527"/>
      <c r="H39" s="527"/>
      <c r="I39" s="527"/>
      <c r="J39" s="527"/>
      <c r="K39" s="527"/>
      <c r="L39" s="527"/>
      <c r="M39" s="527"/>
      <c r="N39" s="527"/>
      <c r="O39" s="527"/>
      <c r="P39" s="527"/>
      <c r="Q39" s="527"/>
      <c r="R39" s="527"/>
      <c r="S39" s="527"/>
      <c r="T39" s="527"/>
      <c r="U39" s="527"/>
      <c r="V39" s="527"/>
      <c r="W39" s="527"/>
      <c r="X39" s="527"/>
      <c r="Y39" s="527"/>
      <c r="Z39" s="527"/>
      <c r="AA39" s="527"/>
      <c r="AB39" s="527"/>
      <c r="AC39" s="527"/>
      <c r="AD39" s="527"/>
      <c r="AE39" s="527"/>
      <c r="AF39" s="527"/>
      <c r="AG39" s="527"/>
      <c r="AH39" s="527"/>
      <c r="AI39" s="527"/>
      <c r="AJ39" s="527"/>
      <c r="AK39" s="527"/>
      <c r="AL39" s="527"/>
      <c r="AM39" s="527"/>
      <c r="AN39" s="527"/>
      <c r="AO39" s="527"/>
      <c r="AP39" s="527"/>
      <c r="AQ39" s="527"/>
      <c r="AR39" s="527"/>
      <c r="AS39" s="527"/>
      <c r="AT39" s="527"/>
      <c r="AU39" s="527"/>
      <c r="AV39" s="527"/>
      <c r="AW39" s="527"/>
      <c r="AX39" s="527"/>
      <c r="AY39" s="527"/>
      <c r="AZ39" s="527"/>
      <c r="BA39" s="527"/>
      <c r="BB39" s="527"/>
      <c r="BL39" s="165"/>
    </row>
    <row r="40" spans="2:64" x14ac:dyDescent="0.25">
      <c r="B40" s="478"/>
      <c r="C40" s="511"/>
      <c r="D40" s="512"/>
      <c r="E40" s="512"/>
      <c r="F40" s="478"/>
      <c r="G40" s="513"/>
      <c r="H40" s="513"/>
      <c r="I40" s="513"/>
      <c r="J40" s="513"/>
      <c r="K40" s="513"/>
      <c r="L40" s="513"/>
      <c r="M40" s="513"/>
      <c r="N40" s="513"/>
      <c r="O40" s="513"/>
      <c r="P40" s="513"/>
      <c r="Q40" s="513"/>
      <c r="R40" s="513"/>
      <c r="S40" s="513"/>
      <c r="T40" s="513"/>
      <c r="U40" s="513"/>
      <c r="V40" s="513"/>
      <c r="W40" s="513"/>
      <c r="X40" s="513"/>
      <c r="Y40" s="513"/>
      <c r="Z40" s="513"/>
      <c r="AA40" s="513"/>
      <c r="AB40" s="513"/>
      <c r="AC40" s="513"/>
      <c r="AD40" s="513"/>
      <c r="AE40" s="513"/>
      <c r="AF40" s="513"/>
      <c r="AG40" s="513"/>
      <c r="AH40" s="513"/>
      <c r="AI40" s="513"/>
      <c r="AJ40" s="513"/>
      <c r="AK40" s="513"/>
      <c r="AL40" s="513"/>
      <c r="AM40" s="513"/>
      <c r="AN40" s="513"/>
      <c r="AO40" s="513"/>
      <c r="AP40" s="513"/>
      <c r="AQ40" s="513"/>
      <c r="AR40" s="513"/>
      <c r="AS40" s="513"/>
      <c r="AT40" s="513"/>
      <c r="AU40" s="513"/>
      <c r="AV40" s="513"/>
      <c r="AW40" s="513"/>
      <c r="AX40" s="513"/>
      <c r="AY40" s="513"/>
      <c r="AZ40" s="513"/>
      <c r="BA40" s="513"/>
      <c r="BB40" s="513"/>
      <c r="BL40" s="165"/>
    </row>
    <row r="41" spans="2:64" x14ac:dyDescent="0.25">
      <c r="D41" s="516"/>
      <c r="E41" s="516">
        <f>G41+NPV($C$48,H41:AU41)</f>
        <v>0</v>
      </c>
      <c r="G41" s="517"/>
      <c r="H41" s="517"/>
      <c r="I41" s="517"/>
      <c r="J41" s="517"/>
      <c r="K41" s="517"/>
      <c r="L41" s="517"/>
      <c r="M41" s="517"/>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7"/>
      <c r="AK41" s="517"/>
      <c r="AL41" s="517"/>
      <c r="AM41" s="517"/>
      <c r="AN41" s="517"/>
      <c r="AO41" s="517"/>
      <c r="AP41" s="517"/>
      <c r="AQ41" s="517"/>
      <c r="AR41" s="517"/>
      <c r="AS41" s="517"/>
      <c r="AT41" s="517"/>
      <c r="AU41" s="517"/>
      <c r="AV41" s="517"/>
      <c r="AW41" s="517"/>
      <c r="AX41" s="517"/>
      <c r="AY41" s="517"/>
      <c r="AZ41" s="517"/>
      <c r="BA41" s="517"/>
      <c r="BB41" s="517"/>
    </row>
    <row r="42" spans="2:64" x14ac:dyDescent="0.25">
      <c r="B42" s="518" t="s">
        <v>84</v>
      </c>
      <c r="C42" s="518" t="s">
        <v>979</v>
      </c>
      <c r="D42" s="519">
        <f>SUM(G42:BB42)</f>
        <v>1815499.3644104016</v>
      </c>
      <c r="E42" s="519">
        <f>G42+NPV($C$48,H42:BB42)</f>
        <v>200091.69529779101</v>
      </c>
      <c r="F42" s="518"/>
      <c r="G42" s="520">
        <f>-G9-G23+G37</f>
        <v>0</v>
      </c>
      <c r="H42" s="520">
        <f t="shared" ref="H42:AU42" si="21">-H9-H23+H37</f>
        <v>0</v>
      </c>
      <c r="I42" s="520">
        <f t="shared" si="21"/>
        <v>0</v>
      </c>
      <c r="J42" s="520">
        <f t="shared" si="21"/>
        <v>0</v>
      </c>
      <c r="K42" s="520">
        <f t="shared" si="21"/>
        <v>0</v>
      </c>
      <c r="L42" s="520">
        <f t="shared" si="21"/>
        <v>0</v>
      </c>
      <c r="M42" s="520">
        <f t="shared" si="21"/>
        <v>0</v>
      </c>
      <c r="N42" s="520">
        <f t="shared" si="21"/>
        <v>0</v>
      </c>
      <c r="O42" s="520">
        <f t="shared" si="21"/>
        <v>0</v>
      </c>
      <c r="P42" s="520">
        <f t="shared" si="21"/>
        <v>0</v>
      </c>
      <c r="Q42" s="520">
        <f t="shared" si="21"/>
        <v>0</v>
      </c>
      <c r="R42" s="520">
        <f t="shared" si="21"/>
        <v>0</v>
      </c>
      <c r="S42" s="520">
        <f t="shared" si="21"/>
        <v>0</v>
      </c>
      <c r="T42" s="520">
        <f t="shared" si="21"/>
        <v>-231574.59988007782</v>
      </c>
      <c r="U42" s="520">
        <f t="shared" si="21"/>
        <v>0</v>
      </c>
      <c r="V42" s="520">
        <f t="shared" si="21"/>
        <v>120593.34666064274</v>
      </c>
      <c r="W42" s="520">
        <f t="shared" si="21"/>
        <v>123004.70366439856</v>
      </c>
      <c r="X42" s="520">
        <f t="shared" si="21"/>
        <v>125464.27760964032</v>
      </c>
      <c r="Y42" s="520">
        <f t="shared" si="21"/>
        <v>127973.032631226</v>
      </c>
      <c r="Z42" s="520">
        <f t="shared" si="21"/>
        <v>130531.95214263121</v>
      </c>
      <c r="AA42" s="520">
        <f t="shared" si="21"/>
        <v>133142.03922144021</v>
      </c>
      <c r="AB42" s="520">
        <f t="shared" si="21"/>
        <v>135804.31700254444</v>
      </c>
      <c r="AC42" s="520">
        <f t="shared" si="21"/>
        <v>138519.82907920433</v>
      </c>
      <c r="AD42" s="520">
        <f t="shared" si="21"/>
        <v>141290.22566078842</v>
      </c>
      <c r="AE42" s="520">
        <f t="shared" si="21"/>
        <v>144116.03017400415</v>
      </c>
      <c r="AF42" s="520">
        <f t="shared" si="21"/>
        <v>146998.35077748424</v>
      </c>
      <c r="AG42" s="520">
        <f t="shared" si="21"/>
        <v>149938.31779303396</v>
      </c>
      <c r="AH42" s="520">
        <f t="shared" si="21"/>
        <v>152937.08414889459</v>
      </c>
      <c r="AI42" s="520">
        <f t="shared" si="21"/>
        <v>155995.82583187253</v>
      </c>
      <c r="AJ42" s="520">
        <f t="shared" si="21"/>
        <v>159115.74234850996</v>
      </c>
      <c r="AK42" s="520">
        <f t="shared" si="21"/>
        <v>-23332.325129609941</v>
      </c>
      <c r="AL42" s="520">
        <f t="shared" si="21"/>
        <v>-1539.65734648785</v>
      </c>
      <c r="AM42" s="520">
        <f t="shared" si="21"/>
        <v>-1570.450493417607</v>
      </c>
      <c r="AN42" s="520">
        <f t="shared" si="21"/>
        <v>-1601.8595032859596</v>
      </c>
      <c r="AO42" s="520">
        <f t="shared" si="21"/>
        <v>-1633.8966933516786</v>
      </c>
      <c r="AP42" s="520">
        <f t="shared" si="21"/>
        <v>-1666.5746272187121</v>
      </c>
      <c r="AQ42" s="520">
        <f t="shared" si="21"/>
        <v>-1699.9061197630863</v>
      </c>
      <c r="AR42" s="520">
        <f t="shared" si="21"/>
        <v>-1733.9042421583481</v>
      </c>
      <c r="AS42" s="520">
        <f t="shared" si="21"/>
        <v>-1768.5823270015153</v>
      </c>
      <c r="AT42" s="520">
        <f t="shared" si="21"/>
        <v>-1803.9539735415449</v>
      </c>
      <c r="AU42" s="520">
        <f t="shared" si="21"/>
        <v>0</v>
      </c>
      <c r="AV42" s="520">
        <f t="shared" ref="AV42:BB42" si="22">-AV9-AV23+AV37</f>
        <v>0</v>
      </c>
      <c r="AW42" s="520">
        <f t="shared" si="22"/>
        <v>0</v>
      </c>
      <c r="AX42" s="520">
        <f t="shared" si="22"/>
        <v>0</v>
      </c>
      <c r="AY42" s="520">
        <f t="shared" si="22"/>
        <v>0</v>
      </c>
      <c r="AZ42" s="520">
        <f t="shared" si="22"/>
        <v>0</v>
      </c>
      <c r="BA42" s="520">
        <f t="shared" si="22"/>
        <v>0</v>
      </c>
      <c r="BB42" s="520">
        <f t="shared" si="22"/>
        <v>0</v>
      </c>
    </row>
    <row r="43" spans="2:64" x14ac:dyDescent="0.25">
      <c r="B43" s="474" t="s">
        <v>985</v>
      </c>
      <c r="C43" s="521" t="s">
        <v>979</v>
      </c>
      <c r="D43" s="522">
        <f t="shared" ref="D43" si="23">SUM(G43:BB43)</f>
        <v>200091.69529779101</v>
      </c>
      <c r="E43" s="522"/>
      <c r="G43" s="523">
        <f t="shared" ref="G43:AU43" si="24">G42/(1+$C$48)^(G8-$G8)</f>
        <v>0</v>
      </c>
      <c r="H43" s="523">
        <f t="shared" si="24"/>
        <v>0</v>
      </c>
      <c r="I43" s="523">
        <f t="shared" si="24"/>
        <v>0</v>
      </c>
      <c r="J43" s="523">
        <f t="shared" si="24"/>
        <v>0</v>
      </c>
      <c r="K43" s="523">
        <f t="shared" si="24"/>
        <v>0</v>
      </c>
      <c r="L43" s="523">
        <f t="shared" si="24"/>
        <v>0</v>
      </c>
      <c r="M43" s="523">
        <f t="shared" si="24"/>
        <v>0</v>
      </c>
      <c r="N43" s="523">
        <f t="shared" si="24"/>
        <v>0</v>
      </c>
      <c r="O43" s="523">
        <f t="shared" si="24"/>
        <v>0</v>
      </c>
      <c r="P43" s="523">
        <f t="shared" si="24"/>
        <v>0</v>
      </c>
      <c r="Q43" s="523">
        <f t="shared" si="24"/>
        <v>0</v>
      </c>
      <c r="R43" s="523">
        <f t="shared" si="24"/>
        <v>0</v>
      </c>
      <c r="S43" s="523">
        <f t="shared" si="24"/>
        <v>0</v>
      </c>
      <c r="T43" s="523">
        <f t="shared" si="24"/>
        <v>-67078.912837034397</v>
      </c>
      <c r="U43" s="523">
        <f t="shared" si="24"/>
        <v>0</v>
      </c>
      <c r="V43" s="523">
        <f t="shared" si="24"/>
        <v>28869.088397377222</v>
      </c>
      <c r="W43" s="523">
        <f t="shared" si="24"/>
        <v>26769.407356606374</v>
      </c>
      <c r="X43" s="523">
        <f t="shared" si="24"/>
        <v>24822.438462473914</v>
      </c>
      <c r="Y43" s="523">
        <f t="shared" si="24"/>
        <v>23017.07479006462</v>
      </c>
      <c r="Z43" s="523">
        <f t="shared" si="24"/>
        <v>21343.017233510029</v>
      </c>
      <c r="AA43" s="523">
        <f t="shared" si="24"/>
        <v>19790.715752407683</v>
      </c>
      <c r="AB43" s="523">
        <f t="shared" si="24"/>
        <v>18351.314891453709</v>
      </c>
      <c r="AC43" s="523">
        <f t="shared" si="24"/>
        <v>17016.603262493536</v>
      </c>
      <c r="AD43" s="523">
        <f t="shared" si="24"/>
        <v>15779.032116130367</v>
      </c>
      <c r="AE43" s="523">
        <f t="shared" si="24"/>
        <v>14631.466144048158</v>
      </c>
      <c r="AF43" s="523">
        <f t="shared" si="24"/>
        <v>13567.359515390108</v>
      </c>
      <c r="AG43" s="523">
        <f t="shared" si="24"/>
        <v>12580.642459725375</v>
      </c>
      <c r="AH43" s="523">
        <f t="shared" si="24"/>
        <v>11665.686644472615</v>
      </c>
      <c r="AI43" s="523">
        <f t="shared" si="24"/>
        <v>10817.273070329155</v>
      </c>
      <c r="AJ43" s="523">
        <f t="shared" si="24"/>
        <v>10030.562301577942</v>
      </c>
      <c r="AK43" s="523">
        <f t="shared" si="24"/>
        <v>-1337.141798330432</v>
      </c>
      <c r="AL43" s="523">
        <f t="shared" si="24"/>
        <v>-80.214122824303431</v>
      </c>
      <c r="AM43" s="523">
        <f t="shared" si="24"/>
        <v>-74.380368437081373</v>
      </c>
      <c r="AN43" s="523">
        <f t="shared" si="24"/>
        <v>-68.970887096202731</v>
      </c>
      <c r="AO43" s="523">
        <f t="shared" si="24"/>
        <v>-63.954822580115248</v>
      </c>
      <c r="AP43" s="523">
        <f t="shared" si="24"/>
        <v>-59.303562756106857</v>
      </c>
      <c r="AQ43" s="523">
        <f t="shared" si="24"/>
        <v>-54.99057637384454</v>
      </c>
      <c r="AR43" s="523">
        <f t="shared" si="24"/>
        <v>-50.991261728474029</v>
      </c>
      <c r="AS43" s="523">
        <f t="shared" si="24"/>
        <v>-47.282806330039548</v>
      </c>
      <c r="AT43" s="523">
        <f t="shared" si="24"/>
        <v>-43.844056778763928</v>
      </c>
      <c r="AU43" s="523">
        <f t="shared" si="24"/>
        <v>0</v>
      </c>
      <c r="AV43" s="523">
        <f t="shared" ref="AV43:BB43" si="25">AV42/(1+$C$48)^(AV8-$G8)</f>
        <v>0</v>
      </c>
      <c r="AW43" s="523">
        <f t="shared" si="25"/>
        <v>0</v>
      </c>
      <c r="AX43" s="523">
        <f t="shared" si="25"/>
        <v>0</v>
      </c>
      <c r="AY43" s="523">
        <f t="shared" si="25"/>
        <v>0</v>
      </c>
      <c r="AZ43" s="523">
        <f t="shared" si="25"/>
        <v>0</v>
      </c>
      <c r="BA43" s="523">
        <f t="shared" si="25"/>
        <v>0</v>
      </c>
      <c r="BB43" s="523">
        <f t="shared" si="25"/>
        <v>0</v>
      </c>
    </row>
    <row r="44" spans="2:64" x14ac:dyDescent="0.25">
      <c r="C44" s="524"/>
      <c r="D44" s="525"/>
      <c r="E44" s="525"/>
      <c r="G44" s="523"/>
      <c r="H44" s="523"/>
      <c r="I44" s="523"/>
      <c r="J44" s="523"/>
      <c r="K44" s="523"/>
      <c r="L44" s="523"/>
      <c r="M44" s="523"/>
      <c r="N44" s="523"/>
      <c r="O44" s="523"/>
      <c r="P44" s="523"/>
      <c r="Q44" s="523"/>
      <c r="R44" s="523"/>
      <c r="S44" s="523"/>
      <c r="T44" s="523"/>
      <c r="U44" s="523"/>
      <c r="V44" s="523"/>
      <c r="W44" s="523"/>
      <c r="X44" s="523"/>
      <c r="Y44" s="523"/>
      <c r="Z44" s="523"/>
      <c r="AA44" s="523"/>
      <c r="AB44" s="523"/>
      <c r="AC44" s="523"/>
      <c r="AD44" s="523"/>
      <c r="AE44" s="523"/>
      <c r="AF44" s="523"/>
      <c r="AG44" s="523"/>
      <c r="AH44" s="523"/>
      <c r="AI44" s="523"/>
      <c r="AJ44" s="523"/>
      <c r="AK44" s="523"/>
      <c r="AL44" s="523"/>
      <c r="AM44" s="523"/>
      <c r="AN44" s="523"/>
      <c r="AO44" s="523"/>
      <c r="AP44" s="523"/>
      <c r="AQ44" s="523"/>
      <c r="AR44" s="523"/>
      <c r="AS44" s="523"/>
      <c r="AT44" s="523"/>
      <c r="AU44" s="523"/>
      <c r="AV44" s="523"/>
      <c r="AW44" s="523"/>
      <c r="AX44" s="523"/>
      <c r="AY44" s="523"/>
      <c r="AZ44" s="523"/>
      <c r="BA44" s="523"/>
      <c r="BB44" s="523"/>
    </row>
    <row r="45" spans="2:64" x14ac:dyDescent="0.25">
      <c r="B45" s="437" t="s">
        <v>986</v>
      </c>
      <c r="C45" s="511" t="s">
        <v>979</v>
      </c>
      <c r="D45" s="526"/>
      <c r="E45" s="526"/>
      <c r="F45" s="527"/>
      <c r="G45" s="527">
        <f>SUM($G42:G42)</f>
        <v>0</v>
      </c>
      <c r="H45" s="527">
        <f>SUM($G42:H42)</f>
        <v>0</v>
      </c>
      <c r="I45" s="527">
        <f>SUM($G42:I42)</f>
        <v>0</v>
      </c>
      <c r="J45" s="527">
        <f>SUM($G42:J42)</f>
        <v>0</v>
      </c>
      <c r="K45" s="527">
        <f>SUM($G42:K42)</f>
        <v>0</v>
      </c>
      <c r="L45" s="527">
        <f>SUM($G42:L42)</f>
        <v>0</v>
      </c>
      <c r="M45" s="527">
        <f>SUM($G42:M42)</f>
        <v>0</v>
      </c>
      <c r="N45" s="527">
        <f>SUM($G42:N42)</f>
        <v>0</v>
      </c>
      <c r="O45" s="527">
        <f>SUM($G42:O42)</f>
        <v>0</v>
      </c>
      <c r="P45" s="527">
        <f>SUM($G42:P42)</f>
        <v>0</v>
      </c>
      <c r="Q45" s="527">
        <f>SUM($G42:Q42)</f>
        <v>0</v>
      </c>
      <c r="R45" s="527">
        <f>SUM($G42:R42)</f>
        <v>0</v>
      </c>
      <c r="S45" s="527">
        <f>SUM($G42:S42)</f>
        <v>0</v>
      </c>
      <c r="T45" s="527">
        <f>SUM($G42:T42)</f>
        <v>-231574.59988007782</v>
      </c>
      <c r="U45" s="527">
        <f>SUM($G42:U42)</f>
        <v>-231574.59988007782</v>
      </c>
      <c r="V45" s="527">
        <f>SUM($G42:V42)</f>
        <v>-110981.25321943508</v>
      </c>
      <c r="W45" s="527">
        <f>SUM($G42:W42)</f>
        <v>12023.450444963484</v>
      </c>
      <c r="X45" s="527">
        <f>SUM($G42:X42)</f>
        <v>137487.72805460379</v>
      </c>
      <c r="Y45" s="527">
        <f>SUM($G42:Y42)</f>
        <v>265460.76068582979</v>
      </c>
      <c r="Z45" s="527">
        <f>SUM($G42:Z42)</f>
        <v>395992.71282846102</v>
      </c>
      <c r="AA45" s="527">
        <f>SUM($G42:AA42)</f>
        <v>529134.75204990129</v>
      </c>
      <c r="AB45" s="527">
        <f>SUM($G42:AB42)</f>
        <v>664939.0690524457</v>
      </c>
      <c r="AC45" s="527">
        <f>SUM($G42:AC42)</f>
        <v>803458.89813165006</v>
      </c>
      <c r="AD45" s="527">
        <f>SUM($G42:AD42)</f>
        <v>944749.12379243854</v>
      </c>
      <c r="AE45" s="527">
        <f>SUM($G42:AE42)</f>
        <v>1088865.1539664427</v>
      </c>
      <c r="AF45" s="527">
        <f>SUM($G42:AF42)</f>
        <v>1235863.5047439269</v>
      </c>
      <c r="AG45" s="527">
        <f>SUM($G42:AG42)</f>
        <v>1385801.8225369609</v>
      </c>
      <c r="AH45" s="527">
        <f>SUM($G42:AH42)</f>
        <v>1538738.9066858555</v>
      </c>
      <c r="AI45" s="527">
        <f>SUM($G42:AI42)</f>
        <v>1694734.7325177281</v>
      </c>
      <c r="AJ45" s="527">
        <f>SUM($G42:AJ42)</f>
        <v>1853850.474866238</v>
      </c>
      <c r="AK45" s="527">
        <f>SUM($G42:AK42)</f>
        <v>1830518.1497366279</v>
      </c>
      <c r="AL45" s="527">
        <f>SUM($G42:AL42)</f>
        <v>1828978.4923901402</v>
      </c>
      <c r="AM45" s="527">
        <f>SUM($G42:AM42)</f>
        <v>1827408.0418967225</v>
      </c>
      <c r="AN45" s="527">
        <f>SUM($G42:AN42)</f>
        <v>1825806.1823934366</v>
      </c>
      <c r="AO45" s="527">
        <f>SUM($G42:AO42)</f>
        <v>1824172.2857000849</v>
      </c>
      <c r="AP45" s="527">
        <f>SUM($G42:AP42)</f>
        <v>1822505.7110728661</v>
      </c>
      <c r="AQ45" s="527">
        <f>SUM($G42:AQ42)</f>
        <v>1820805.804953103</v>
      </c>
      <c r="AR45" s="527">
        <f>SUM($G42:AR42)</f>
        <v>1819071.9007109446</v>
      </c>
      <c r="AS45" s="527">
        <f>SUM($G42:AS42)</f>
        <v>1817303.3183839431</v>
      </c>
      <c r="AT45" s="527">
        <f>SUM($G42:AT42)</f>
        <v>1815499.3644104016</v>
      </c>
      <c r="AU45" s="527">
        <f>SUM($G42:AU42)</f>
        <v>1815499.3644104016</v>
      </c>
      <c r="AV45" s="527">
        <f>SUM($G42:AV42)</f>
        <v>1815499.3644104016</v>
      </c>
      <c r="AW45" s="527">
        <f>SUM($G42:AW42)</f>
        <v>1815499.3644104016</v>
      </c>
      <c r="AX45" s="527">
        <f>SUM($G42:AX42)</f>
        <v>1815499.3644104016</v>
      </c>
      <c r="AY45" s="527">
        <f>SUM($G42:AY42)</f>
        <v>1815499.3644104016</v>
      </c>
      <c r="AZ45" s="527">
        <f>SUM($G42:AZ42)</f>
        <v>1815499.3644104016</v>
      </c>
      <c r="BA45" s="527">
        <f>SUM($G42:BA42)</f>
        <v>1815499.3644104016</v>
      </c>
      <c r="BB45" s="527">
        <f>SUM($G42:BB42)</f>
        <v>1815499.3644104016</v>
      </c>
    </row>
    <row r="46" spans="2:64" x14ac:dyDescent="0.25">
      <c r="B46" s="437" t="s">
        <v>987</v>
      </c>
      <c r="C46" s="986" t="s">
        <v>1653</v>
      </c>
      <c r="D46" s="526"/>
      <c r="E46" s="526"/>
      <c r="F46" s="527"/>
      <c r="G46" s="528">
        <f>SUM($G43:G43)/1000</f>
        <v>0</v>
      </c>
      <c r="H46" s="528">
        <f>SUM($G43:H43)/1000</f>
        <v>0</v>
      </c>
      <c r="I46" s="528">
        <f>SUM($G43:I43)/1000</f>
        <v>0</v>
      </c>
      <c r="J46" s="528">
        <f>SUM($G43:J43)/1000</f>
        <v>0</v>
      </c>
      <c r="K46" s="528">
        <f>SUM($G43:K43)/1000</f>
        <v>0</v>
      </c>
      <c r="L46" s="528">
        <f>SUM($G43:L43)/1000</f>
        <v>0</v>
      </c>
      <c r="M46" s="528">
        <f>SUM($G43:M43)/1000</f>
        <v>0</v>
      </c>
      <c r="N46" s="528">
        <f>SUM($G43:N43)/1000</f>
        <v>0</v>
      </c>
      <c r="O46" s="528">
        <f>SUM($G43:O43)/1000</f>
        <v>0</v>
      </c>
      <c r="P46" s="528">
        <f>SUM($G43:P43)/1000</f>
        <v>0</v>
      </c>
      <c r="Q46" s="528">
        <f>SUM($G43:Q43)/1000</f>
        <v>0</v>
      </c>
      <c r="R46" s="528">
        <f>SUM($G43:R43)/1000</f>
        <v>0</v>
      </c>
      <c r="S46" s="528">
        <f>SUM($G43:S43)/1000</f>
        <v>0</v>
      </c>
      <c r="T46" s="528">
        <f>SUM($G43:T43)/1000</f>
        <v>-67.078912837034395</v>
      </c>
      <c r="U46" s="528">
        <f>SUM($G43:U43)/1000</f>
        <v>-67.078912837034395</v>
      </c>
      <c r="V46" s="528">
        <f>SUM($G43:V43)/1000</f>
        <v>-38.209824439657176</v>
      </c>
      <c r="W46" s="528">
        <f>SUM($G43:W43)/1000</f>
        <v>-11.440417083050802</v>
      </c>
      <c r="X46" s="528">
        <f>SUM($G43:X43)/1000</f>
        <v>13.382021379423113</v>
      </c>
      <c r="Y46" s="528">
        <f>SUM($G43:Y43)/1000</f>
        <v>36.399096169487734</v>
      </c>
      <c r="Z46" s="528">
        <f>SUM($G43:Z43)/1000</f>
        <v>57.742113402997759</v>
      </c>
      <c r="AA46" s="528">
        <f>SUM($G43:AA43)/1000</f>
        <v>77.532829155405452</v>
      </c>
      <c r="AB46" s="528">
        <f>SUM($G43:AB43)/1000</f>
        <v>95.884144046859149</v>
      </c>
      <c r="AC46" s="528">
        <f>SUM($G43:AC43)/1000</f>
        <v>112.90074730935268</v>
      </c>
      <c r="AD46" s="528">
        <f>SUM($G43:AD43)/1000</f>
        <v>128.67977942548305</v>
      </c>
      <c r="AE46" s="528">
        <f>SUM($G43:AE43)/1000</f>
        <v>143.31124556953122</v>
      </c>
      <c r="AF46" s="528">
        <f>SUM($G43:AF43)/1000</f>
        <v>156.87860508492133</v>
      </c>
      <c r="AG46" s="528">
        <f>SUM($G43:AG43)/1000</f>
        <v>169.4592475446467</v>
      </c>
      <c r="AH46" s="528">
        <f>SUM($G43:AH43)/1000</f>
        <v>181.12493418911933</v>
      </c>
      <c r="AI46" s="528">
        <f>SUM($G43:AI43)/1000</f>
        <v>191.94220725944848</v>
      </c>
      <c r="AJ46" s="528">
        <f>SUM($G43:AJ43)/1000</f>
        <v>201.97276956102641</v>
      </c>
      <c r="AK46" s="528">
        <f>SUM($G43:AK43)/1000</f>
        <v>200.63562776269598</v>
      </c>
      <c r="AL46" s="528">
        <f>SUM($G43:AL43)/1000</f>
        <v>200.55541363987166</v>
      </c>
      <c r="AM46" s="528">
        <f>SUM($G43:AM43)/1000</f>
        <v>200.48103327143457</v>
      </c>
      <c r="AN46" s="528">
        <f>SUM($G43:AN43)/1000</f>
        <v>200.41206238433838</v>
      </c>
      <c r="AO46" s="528">
        <f>SUM($G43:AO43)/1000</f>
        <v>200.34810756175824</v>
      </c>
      <c r="AP46" s="528">
        <f>SUM($G43:AP43)/1000</f>
        <v>200.28880399900214</v>
      </c>
      <c r="AQ46" s="528">
        <f>SUM($G43:AQ43)/1000</f>
        <v>200.23381342262829</v>
      </c>
      <c r="AR46" s="528">
        <f>SUM($G43:AR43)/1000</f>
        <v>200.1828221608998</v>
      </c>
      <c r="AS46" s="528">
        <f>SUM($G43:AS43)/1000</f>
        <v>200.13553935456977</v>
      </c>
      <c r="AT46" s="528">
        <f>SUM($G43:AT43)/1000</f>
        <v>200.09169529779101</v>
      </c>
      <c r="AU46" s="528">
        <f>SUM($G43:AU43)/1000</f>
        <v>200.09169529779101</v>
      </c>
      <c r="AV46" s="528">
        <f>SUM($G43:AV43)/1000</f>
        <v>200.09169529779101</v>
      </c>
      <c r="AW46" s="528">
        <f>SUM($G43:AW43)/1000</f>
        <v>200.09169529779101</v>
      </c>
      <c r="AX46" s="528">
        <f>SUM($G43:AX43)/1000</f>
        <v>200.09169529779101</v>
      </c>
      <c r="AY46" s="528">
        <f>SUM($G43:AY43)/1000</f>
        <v>200.09169529779101</v>
      </c>
      <c r="AZ46" s="528">
        <f>SUM($G43:AZ43)/1000</f>
        <v>200.09169529779101</v>
      </c>
      <c r="BA46" s="528">
        <f>SUM($G43:BA43)/1000</f>
        <v>200.09169529779101</v>
      </c>
      <c r="BB46" s="528">
        <f>SUM($G43:BB43)/1000</f>
        <v>200.09169529779101</v>
      </c>
    </row>
    <row r="47" spans="2:64" x14ac:dyDescent="0.25">
      <c r="C47" s="524"/>
      <c r="D47" s="525"/>
      <c r="E47" s="525"/>
      <c r="G47" s="523"/>
      <c r="H47" s="523"/>
      <c r="I47" s="523"/>
      <c r="J47" s="523"/>
      <c r="K47" s="523"/>
      <c r="L47" s="523"/>
      <c r="M47" s="523"/>
      <c r="N47" s="523"/>
      <c r="O47" s="523"/>
      <c r="P47" s="523"/>
      <c r="Q47" s="523"/>
      <c r="R47" s="523"/>
      <c r="S47" s="523"/>
      <c r="T47" s="523"/>
      <c r="U47" s="523"/>
      <c r="V47" s="523"/>
      <c r="W47" s="523"/>
      <c r="X47" s="523"/>
      <c r="Y47" s="523"/>
      <c r="Z47" s="523"/>
      <c r="AA47" s="523"/>
      <c r="AB47" s="523"/>
      <c r="AC47" s="523"/>
      <c r="AD47" s="523"/>
      <c r="AE47" s="523"/>
      <c r="AF47" s="523"/>
      <c r="AG47" s="523"/>
      <c r="AH47" s="523"/>
      <c r="AI47" s="523"/>
      <c r="AJ47" s="523"/>
      <c r="AK47" s="523"/>
      <c r="AL47" s="523"/>
      <c r="AM47" s="523"/>
      <c r="AN47" s="523"/>
      <c r="AO47" s="523"/>
      <c r="AP47" s="523"/>
      <c r="AQ47" s="523"/>
      <c r="AR47" s="523"/>
      <c r="AS47" s="523"/>
      <c r="AT47" s="523"/>
      <c r="AU47" s="523"/>
      <c r="AV47" s="523"/>
      <c r="AW47" s="523"/>
      <c r="AX47" s="523"/>
      <c r="AY47" s="523"/>
      <c r="AZ47" s="523"/>
      <c r="BA47" s="523"/>
      <c r="BB47" s="523"/>
    </row>
    <row r="48" spans="2:64" x14ac:dyDescent="0.25">
      <c r="B48" s="165" t="s">
        <v>713</v>
      </c>
      <c r="C48" s="529">
        <f>Parameters!G12</f>
        <v>0.1</v>
      </c>
      <c r="D48" s="527" t="s">
        <v>988</v>
      </c>
      <c r="E48" s="527">
        <f>SUMPRODUCT((G46:AU46&gt;G$45:AU$45)*1)+1</f>
        <v>4</v>
      </c>
      <c r="F48" s="527" t="s">
        <v>111</v>
      </c>
      <c r="H48" s="517"/>
      <c r="I48" s="517"/>
      <c r="J48" s="517"/>
      <c r="K48" s="517"/>
      <c r="L48" s="517"/>
      <c r="M48" s="517"/>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7"/>
      <c r="AK48" s="517"/>
      <c r="AL48" s="517"/>
      <c r="AM48" s="517"/>
      <c r="AN48" s="517"/>
      <c r="AO48" s="517"/>
      <c r="AP48" s="517"/>
    </row>
    <row r="50" spans="2:54" x14ac:dyDescent="0.25">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row>
    <row r="51" spans="2:54" ht="31.5" x14ac:dyDescent="0.5">
      <c r="B51" s="499" t="s">
        <v>1446</v>
      </c>
      <c r="E51" s="500"/>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row>
    <row r="54" spans="2:54" x14ac:dyDescent="0.25">
      <c r="B54" s="440"/>
      <c r="C54" s="440"/>
      <c r="D54" s="440"/>
      <c r="E54" s="440"/>
      <c r="F54" s="440"/>
    </row>
    <row r="55" spans="2:54" ht="15.75" x14ac:dyDescent="0.25">
      <c r="B55" s="501" t="s">
        <v>720</v>
      </c>
      <c r="C55" s="501"/>
      <c r="D55" s="502"/>
      <c r="E55" s="503"/>
      <c r="F55" s="502"/>
      <c r="G55" s="504">
        <f>G8</f>
        <v>2018</v>
      </c>
      <c r="H55" s="504">
        <f t="shared" ref="H55:AU55" si="26">H8</f>
        <v>2019</v>
      </c>
      <c r="I55" s="504">
        <f t="shared" si="26"/>
        <v>2020</v>
      </c>
      <c r="J55" s="504">
        <f t="shared" si="26"/>
        <v>2021</v>
      </c>
      <c r="K55" s="504">
        <f t="shared" si="26"/>
        <v>2022</v>
      </c>
      <c r="L55" s="504">
        <f t="shared" si="26"/>
        <v>2023</v>
      </c>
      <c r="M55" s="504">
        <f t="shared" si="26"/>
        <v>2024</v>
      </c>
      <c r="N55" s="504">
        <f t="shared" si="26"/>
        <v>2025</v>
      </c>
      <c r="O55" s="504">
        <f t="shared" si="26"/>
        <v>2026</v>
      </c>
      <c r="P55" s="504">
        <f t="shared" si="26"/>
        <v>2027</v>
      </c>
      <c r="Q55" s="504">
        <f t="shared" si="26"/>
        <v>2028</v>
      </c>
      <c r="R55" s="504">
        <f t="shared" si="26"/>
        <v>2029</v>
      </c>
      <c r="S55" s="504">
        <f t="shared" si="26"/>
        <v>2030</v>
      </c>
      <c r="T55" s="504">
        <f t="shared" si="26"/>
        <v>2031</v>
      </c>
      <c r="U55" s="504">
        <f t="shared" si="26"/>
        <v>2032</v>
      </c>
      <c r="V55" s="504">
        <f t="shared" si="26"/>
        <v>2033</v>
      </c>
      <c r="W55" s="504">
        <f t="shared" si="26"/>
        <v>2034</v>
      </c>
      <c r="X55" s="504">
        <f t="shared" si="26"/>
        <v>2035</v>
      </c>
      <c r="Y55" s="504">
        <f t="shared" si="26"/>
        <v>2036</v>
      </c>
      <c r="Z55" s="504">
        <f t="shared" si="26"/>
        <v>2037</v>
      </c>
      <c r="AA55" s="504">
        <f t="shared" si="26"/>
        <v>2038</v>
      </c>
      <c r="AB55" s="504">
        <f t="shared" si="26"/>
        <v>2039</v>
      </c>
      <c r="AC55" s="504">
        <f t="shared" si="26"/>
        <v>2040</v>
      </c>
      <c r="AD55" s="504">
        <f t="shared" si="26"/>
        <v>2041</v>
      </c>
      <c r="AE55" s="504">
        <f t="shared" si="26"/>
        <v>2042</v>
      </c>
      <c r="AF55" s="504">
        <f t="shared" si="26"/>
        <v>2043</v>
      </c>
      <c r="AG55" s="504">
        <f t="shared" si="26"/>
        <v>2044</v>
      </c>
      <c r="AH55" s="504">
        <f t="shared" si="26"/>
        <v>2045</v>
      </c>
      <c r="AI55" s="504">
        <f t="shared" si="26"/>
        <v>2046</v>
      </c>
      <c r="AJ55" s="504">
        <f t="shared" si="26"/>
        <v>2047</v>
      </c>
      <c r="AK55" s="504">
        <f t="shared" si="26"/>
        <v>2048</v>
      </c>
      <c r="AL55" s="504">
        <f t="shared" si="26"/>
        <v>2049</v>
      </c>
      <c r="AM55" s="504">
        <f t="shared" si="26"/>
        <v>2050</v>
      </c>
      <c r="AN55" s="504">
        <f t="shared" si="26"/>
        <v>2051</v>
      </c>
      <c r="AO55" s="504">
        <f t="shared" si="26"/>
        <v>2052</v>
      </c>
      <c r="AP55" s="504">
        <f t="shared" si="26"/>
        <v>2053</v>
      </c>
      <c r="AQ55" s="504">
        <f t="shared" si="26"/>
        <v>2054</v>
      </c>
      <c r="AR55" s="504">
        <f t="shared" si="26"/>
        <v>2055</v>
      </c>
      <c r="AS55" s="504">
        <f t="shared" si="26"/>
        <v>2056</v>
      </c>
      <c r="AT55" s="504">
        <f t="shared" si="26"/>
        <v>2057</v>
      </c>
      <c r="AU55" s="504">
        <f t="shared" si="26"/>
        <v>2058</v>
      </c>
      <c r="AV55" s="504">
        <f t="shared" ref="AV55:BB55" si="27">AV8</f>
        <v>2059</v>
      </c>
      <c r="AW55" s="504">
        <f t="shared" si="27"/>
        <v>2060</v>
      </c>
      <c r="AX55" s="504">
        <f t="shared" si="27"/>
        <v>2061</v>
      </c>
      <c r="AY55" s="504">
        <f t="shared" si="27"/>
        <v>2062</v>
      </c>
      <c r="AZ55" s="504">
        <f t="shared" si="27"/>
        <v>2063</v>
      </c>
      <c r="BA55" s="504">
        <f t="shared" si="27"/>
        <v>2064</v>
      </c>
      <c r="BB55" s="504">
        <f t="shared" si="27"/>
        <v>2065</v>
      </c>
    </row>
    <row r="56" spans="2:54" x14ac:dyDescent="0.25">
      <c r="B56" s="165" t="s">
        <v>1459</v>
      </c>
      <c r="C56" s="165" t="s">
        <v>1447</v>
      </c>
      <c r="G56" s="990">
        <f>IF(AND($C$5&lt;=G$55,$C$6&gt;=G$55),'CO2 INJECTION'!$H$8+Parameters!$G$223,0)</f>
        <v>0</v>
      </c>
      <c r="H56" s="990">
        <f>IF(AND($C$5&lt;=H$55,$C$6&gt;=H$55),'CO2 INJECTION'!$H$8+Parameters!$G$223,0)</f>
        <v>0</v>
      </c>
      <c r="I56" s="990">
        <f>IF(AND($C$5&lt;=I$55,$C$6&gt;=I$55),'CO2 INJECTION'!$H$8+Parameters!$G$223,0)</f>
        <v>0</v>
      </c>
      <c r="J56" s="990">
        <f>IF(AND($C$5&lt;=J$55,$C$6&gt;=J$55),'CO2 INJECTION'!$H$8+Parameters!$G$223,0)</f>
        <v>0</v>
      </c>
      <c r="K56" s="990">
        <f>IF(AND($C$5&lt;=K$55,$C$6&gt;=K$55),'CO2 INJECTION'!$H$8+Parameters!$G$223,0)</f>
        <v>0</v>
      </c>
      <c r="L56" s="990">
        <f>IF(AND($C$5&lt;=L$55,$C$6&gt;=L$55),'CO2 INJECTION'!$H$8+Parameters!$G$223,0)</f>
        <v>0</v>
      </c>
      <c r="M56" s="990">
        <f>IF(AND($C$5&lt;=M$55,$C$6&gt;=M$55),'CO2 INJECTION'!$H$8+Parameters!$G$223,0)</f>
        <v>0</v>
      </c>
      <c r="N56" s="990">
        <f>IF(AND($C$5&lt;=N$55,$C$6&gt;=N$55),'CO2 INJECTION'!$H$8+Parameters!$G$223,0)</f>
        <v>0</v>
      </c>
      <c r="O56" s="990">
        <f>IF(AND($C$5&lt;=O$55,$C$6&gt;=O$55),'CO2 INJECTION'!$H$8+Parameters!$G$223,0)</f>
        <v>0</v>
      </c>
      <c r="P56" s="990">
        <f>IF(AND($C$5&lt;=P$55,$C$6&gt;=P$55),'CO2 INJECTION'!$H$8+Parameters!$G$223,0)</f>
        <v>0</v>
      </c>
      <c r="Q56" s="990">
        <f>IF(AND($C$5&lt;=Q$55,$C$6&gt;=Q$55),'CO2 INJECTION'!$H$8+Parameters!$G$223,0)</f>
        <v>0</v>
      </c>
      <c r="R56" s="990">
        <f>IF(AND($C$5&lt;=R$55,$C$6&gt;=R$55),'CO2 INJECTION'!$H$8+Parameters!$G$223,0)</f>
        <v>0</v>
      </c>
      <c r="S56" s="990">
        <f>IF(AND($C$5&lt;=S$55,$C$6&gt;=S$55),'CO2 INJECTION'!$H$8+Parameters!$G$223,0)</f>
        <v>0</v>
      </c>
      <c r="T56" s="990">
        <f>IF(AND($C$5&lt;=T$55,$C$6&gt;=T$55),'CO2 INJECTION'!$H$8+Parameters!$G$223,0)</f>
        <v>0</v>
      </c>
      <c r="U56" s="990">
        <f>IF(AND($C$5&lt;=U$55,$C$6&gt;=U$55),'CO2 INJECTION'!$H$8+Parameters!$G$223,0)</f>
        <v>0</v>
      </c>
      <c r="V56" s="990">
        <f>IF(AND($C$5&lt;=V$55,$C$6&gt;=V$55),'CO2 INJECTION'!$H$8+Parameters!$G$223,0)</f>
        <v>0</v>
      </c>
      <c r="W56" s="990">
        <f>IF(AND($C$5&lt;=W$55,$C$6&gt;=W$55),'CO2 INJECTION'!$H$8+Parameters!$G$223,0)</f>
        <v>0</v>
      </c>
      <c r="X56" s="990">
        <f>IF(AND($C$5&lt;=X$55,$C$6&gt;=X$55),'CO2 INJECTION'!$H$8+Parameters!$G$223,0)</f>
        <v>0</v>
      </c>
      <c r="Y56" s="990">
        <f>IF(AND($C$5&lt;=Y$55,$C$6&gt;=Y$55),'CO2 INJECTION'!$H$8+Parameters!$G$223,0)</f>
        <v>0</v>
      </c>
      <c r="Z56" s="990">
        <f>IF(AND($C$5&lt;=Z$55,$C$6&gt;=Z$55),'CO2 INJECTION'!$H$8+Parameters!$G$223,0)</f>
        <v>0</v>
      </c>
      <c r="AA56" s="990">
        <f>IF(AND($C$5&lt;=AA$55,$C$6&gt;=AA$55),'CO2 INJECTION'!$H$8+Parameters!$G$223,0)</f>
        <v>0</v>
      </c>
      <c r="AB56" s="990">
        <f>IF(AND($C$5&lt;=AB$55,$C$6&gt;=AB$55),'CO2 INJECTION'!$H$8+Parameters!$G$223,0)</f>
        <v>0</v>
      </c>
      <c r="AC56" s="990">
        <f>IF(AND($C$5&lt;=AC$55,$C$6&gt;=AC$55),'CO2 INJECTION'!$H$8+Parameters!$G$223,0)</f>
        <v>0</v>
      </c>
      <c r="AD56" s="990">
        <f>IF(AND($C$5&lt;=AD$55,$C$6&gt;=AD$55),'CO2 INJECTION'!$H$8+Parameters!$G$223,0)</f>
        <v>0</v>
      </c>
      <c r="AE56" s="990">
        <f>IF(AND($C$5&lt;=AE$55,$C$6&gt;=AE$55),'CO2 INJECTION'!$H$8+Parameters!$G$223,0)</f>
        <v>0</v>
      </c>
      <c r="AF56" s="990">
        <f>IF(AND($C$5&lt;=AF$55,$C$6&gt;=AF$55),'CO2 INJECTION'!$H$8+Parameters!$G$223,0)</f>
        <v>0</v>
      </c>
      <c r="AG56" s="990">
        <f>IF(AND($C$5&lt;=AG$55,$C$6&gt;=AG$55),'CO2 INJECTION'!$H$8+Parameters!$G$223,0)</f>
        <v>0</v>
      </c>
      <c r="AH56" s="990">
        <f>IF(AND($C$5&lt;=AH$55,$C$6&gt;=AH$55),'CO2 INJECTION'!$H$8+Parameters!$G$223,0)</f>
        <v>0</v>
      </c>
      <c r="AI56" s="990">
        <f>IF(AND($C$5&lt;=AI$55,$C$6&gt;=AI$55),'CO2 INJECTION'!$H$8+Parameters!$G$223,0)</f>
        <v>0</v>
      </c>
      <c r="AJ56" s="990">
        <f>IF(AND($C$5&lt;=AJ$55,$C$6&gt;=AJ$55),'CO2 INJECTION'!$H$8+Parameters!$G$223,0)</f>
        <v>0</v>
      </c>
      <c r="AK56" s="990">
        <f>IF(AND($C$5&lt;=AK$55,$C$6&gt;=AK$55),'CO2 INJECTION'!$H$8+Parameters!$G$223,0)</f>
        <v>0</v>
      </c>
      <c r="AL56" s="990">
        <f>IF(AND($C$5&lt;=AL$55,$C$6&gt;=AL$55),'CO2 INJECTION'!$H$8+Parameters!$G$223,0)</f>
        <v>0</v>
      </c>
      <c r="AM56" s="990">
        <f>IF(AND($C$5&lt;=AM$55,$C$6&gt;=AM$55),'CO2 INJECTION'!$H$8+Parameters!$G$223,0)</f>
        <v>0</v>
      </c>
      <c r="AN56" s="990">
        <f>IF(AND($C$5&lt;=AN$55,$C$6&gt;=AN$55),'CO2 INJECTION'!$H$8+Parameters!$G$223,0)</f>
        <v>0</v>
      </c>
      <c r="AO56" s="990">
        <f>IF(AND($C$5&lt;=AO$55,$C$6&gt;=AO$55),'CO2 INJECTION'!$H$8+Parameters!$G$223,0)</f>
        <v>0</v>
      </c>
      <c r="AP56" s="990">
        <f>IF(AND($C$5&lt;=AP$55,$C$6&gt;=AP$55),'CO2 INJECTION'!$H$8+Parameters!$G$223,0)</f>
        <v>0</v>
      </c>
      <c r="AQ56" s="990">
        <f>IF(AND($C$5&lt;=AQ$55,$C$6&gt;=AQ$55),'CO2 INJECTION'!$H$8+Parameters!$G$223,0)</f>
        <v>0</v>
      </c>
      <c r="AR56" s="990">
        <f>IF(AND($C$5&lt;=AR$55,$C$6&gt;=AR$55),'CO2 INJECTION'!$H$8+Parameters!$G$223,0)</f>
        <v>0</v>
      </c>
      <c r="AS56" s="990">
        <f>IF(AND($C$5&lt;=AS$55,$C$6&gt;=AS$55),'CO2 INJECTION'!$H$8+Parameters!$G$223,0)</f>
        <v>0</v>
      </c>
      <c r="AT56" s="990">
        <f>IF(AND($C$5&lt;=AT$55,$C$6&gt;=AT$55),'CO2 INJECTION'!$H$8+Parameters!$G$223,0)</f>
        <v>0</v>
      </c>
      <c r="AU56" s="990">
        <f>IF(AND($C$5&lt;=AU$55,$C$6&gt;=AU$55),'CO2 INJECTION'!$H$8+Parameters!$G$223,0)</f>
        <v>0</v>
      </c>
      <c r="AV56" s="990">
        <f>IF(AND($C$5&lt;=AV$55,$C$6&gt;=AV$55),'CO2 INJECTION'!$H$8+Parameters!$G$223,0)</f>
        <v>0</v>
      </c>
      <c r="AW56" s="990">
        <f>IF(AND($C$5&lt;=AW$55,$C$6&gt;=AW$55),'CO2 INJECTION'!$H$8+Parameters!$G$223,0)</f>
        <v>0</v>
      </c>
      <c r="AX56" s="990">
        <f>IF(AND($C$5&lt;=AX$55,$C$6&gt;=AX$55),'CO2 INJECTION'!$H$8+Parameters!$G$223,0)</f>
        <v>0</v>
      </c>
      <c r="AY56" s="990">
        <f>IF(AND($C$5&lt;=AY$55,$C$6&gt;=AY$55),'CO2 INJECTION'!$H$8+Parameters!$G$223,0)</f>
        <v>0</v>
      </c>
      <c r="AZ56" s="990">
        <f>IF(AND($C$5&lt;=AZ$55,$C$6&gt;=AZ$55),'CO2 INJECTION'!$H$8+Parameters!$G$223,0)</f>
        <v>0</v>
      </c>
      <c r="BA56" s="990">
        <f>IF(AND($C$5&lt;=BA$55,$C$6&gt;=BA$55),'CO2 INJECTION'!$H$8+Parameters!$G$223,0)</f>
        <v>0</v>
      </c>
      <c r="BB56" s="990">
        <f>IF(AND($C$5&lt;=BB$55,$C$6&gt;=BB$55),'CO2 INJECTION'!$H$8+Parameters!$G$223,0)</f>
        <v>0</v>
      </c>
    </row>
    <row r="57" spans="2:54" x14ac:dyDescent="0.25">
      <c r="B57" s="165" t="s">
        <v>1450</v>
      </c>
      <c r="C57" s="165" t="s">
        <v>1451</v>
      </c>
      <c r="G57" s="990">
        <f>IF(AND($C$5&lt;=G$55,$C$6&gt;=G$55),'CO2 INJECTION'!$D$35,0)</f>
        <v>0</v>
      </c>
      <c r="H57" s="990">
        <f>IF(AND($C$5&lt;=H$55,$C$6&gt;=H$55),'CO2 INJECTION'!$D$35,0)</f>
        <v>0</v>
      </c>
      <c r="I57" s="990">
        <f>IF(AND($C$5&lt;=I$55,$C$6&gt;=I$55),'CO2 INJECTION'!$D$35,0)</f>
        <v>0</v>
      </c>
      <c r="J57" s="990">
        <f>IF(AND($C$5&lt;=J$55,$C$6&gt;=J$55),'CO2 INJECTION'!$D$35,0)</f>
        <v>0</v>
      </c>
      <c r="K57" s="990">
        <f>IF(AND($C$5&lt;=K$55,$C$6&gt;=K$55),'CO2 INJECTION'!$D$35,0)</f>
        <v>0</v>
      </c>
      <c r="L57" s="990">
        <f>IF(AND($C$5&lt;=L$55,$C$6&gt;=L$55),'CO2 INJECTION'!$D$35,0)</f>
        <v>0</v>
      </c>
      <c r="M57" s="990">
        <f>IF(AND($C$5&lt;=M$55,$C$6&gt;=M$55),'CO2 INJECTION'!$D$35,0)</f>
        <v>0</v>
      </c>
      <c r="N57" s="990">
        <f>IF(AND($C$5&lt;=N$55,$C$6&gt;=N$55),'CO2 INJECTION'!$D$35,0)</f>
        <v>0</v>
      </c>
      <c r="O57" s="990">
        <f>IF(AND($C$5&lt;=O$55,$C$6&gt;=O$55),'CO2 INJECTION'!$D$35,0)</f>
        <v>0</v>
      </c>
      <c r="P57" s="990">
        <f>IF(AND($C$5&lt;=P$55,$C$6&gt;=P$55),'CO2 INJECTION'!$D$35,0)</f>
        <v>0</v>
      </c>
      <c r="Q57" s="990">
        <f>IF(AND($C$5&lt;=Q$55,$C$6&gt;=Q$55),'CO2 INJECTION'!$D$35,0)</f>
        <v>0</v>
      </c>
      <c r="R57" s="990">
        <f>IF(AND($C$5&lt;=R$55,$C$6&gt;=R$55),'CO2 INJECTION'!$D$35,0)</f>
        <v>0</v>
      </c>
      <c r="S57" s="990">
        <f>IF(AND($C$5&lt;=S$55,$C$6&gt;=S$55),'CO2 INJECTION'!$D$35,0)</f>
        <v>0</v>
      </c>
      <c r="T57" s="990">
        <f>IF(AND($C$5&lt;=T$55,$C$6&gt;=T$55),'CO2 INJECTION'!$D$35,0)</f>
        <v>0</v>
      </c>
      <c r="U57" s="990">
        <f>IF(AND($C$5&lt;=U$55,$C$6&gt;=U$55),'CO2 INJECTION'!$D$35,0)</f>
        <v>0</v>
      </c>
      <c r="V57" s="990">
        <f>IF(AND($C$5&lt;=V$55,$C$6&gt;=V$55),'CO2 INJECTION'!$D$35,0)</f>
        <v>570776.25570776255</v>
      </c>
      <c r="W57" s="990">
        <f>IF(AND($C$5&lt;=W$55,$C$6&gt;=W$55),'CO2 INJECTION'!$D$35,0)</f>
        <v>570776.25570776255</v>
      </c>
      <c r="X57" s="990">
        <f>IF(AND($C$5&lt;=X$55,$C$6&gt;=X$55),'CO2 INJECTION'!$D$35,0)</f>
        <v>570776.25570776255</v>
      </c>
      <c r="Y57" s="990">
        <f>IF(AND($C$5&lt;=Y$55,$C$6&gt;=Y$55),'CO2 INJECTION'!$D$35,0)</f>
        <v>570776.25570776255</v>
      </c>
      <c r="Z57" s="990">
        <f>IF(AND($C$5&lt;=Z$55,$C$6&gt;=Z$55),'CO2 INJECTION'!$D$35,0)</f>
        <v>570776.25570776255</v>
      </c>
      <c r="AA57" s="990">
        <f>IF(AND($C$5&lt;=AA$55,$C$6&gt;=AA$55),'CO2 INJECTION'!$D$35,0)</f>
        <v>570776.25570776255</v>
      </c>
      <c r="AB57" s="990">
        <f>IF(AND($C$5&lt;=AB$55,$C$6&gt;=AB$55),'CO2 INJECTION'!$D$35,0)</f>
        <v>570776.25570776255</v>
      </c>
      <c r="AC57" s="990">
        <f>IF(AND($C$5&lt;=AC$55,$C$6&gt;=AC$55),'CO2 INJECTION'!$D$35,0)</f>
        <v>570776.25570776255</v>
      </c>
      <c r="AD57" s="990">
        <f>IF(AND($C$5&lt;=AD$55,$C$6&gt;=AD$55),'CO2 INJECTION'!$D$35,0)</f>
        <v>570776.25570776255</v>
      </c>
      <c r="AE57" s="990">
        <f>IF(AND($C$5&lt;=AE$55,$C$6&gt;=AE$55),'CO2 INJECTION'!$D$35,0)</f>
        <v>570776.25570776255</v>
      </c>
      <c r="AF57" s="990">
        <f>IF(AND($C$5&lt;=AF$55,$C$6&gt;=AF$55),'CO2 INJECTION'!$D$35,0)</f>
        <v>570776.25570776255</v>
      </c>
      <c r="AG57" s="990">
        <f>IF(AND($C$5&lt;=AG$55,$C$6&gt;=AG$55),'CO2 INJECTION'!$D$35,0)</f>
        <v>570776.25570776255</v>
      </c>
      <c r="AH57" s="990">
        <f>IF(AND($C$5&lt;=AH$55,$C$6&gt;=AH$55),'CO2 INJECTION'!$D$35,0)</f>
        <v>570776.25570776255</v>
      </c>
      <c r="AI57" s="990">
        <f>IF(AND($C$5&lt;=AI$55,$C$6&gt;=AI$55),'CO2 INJECTION'!$D$35,0)</f>
        <v>570776.25570776255</v>
      </c>
      <c r="AJ57" s="990">
        <f>IF(AND($C$5&lt;=AJ$55,$C$6&gt;=AJ$55),'CO2 INJECTION'!$D$35,0)</f>
        <v>570776.25570776255</v>
      </c>
      <c r="AK57" s="990">
        <f>IF(AND($C$5&lt;=AK$55,$C$6&gt;=AK$55),'CO2 INJECTION'!$D$35,0)</f>
        <v>570776.25570776255</v>
      </c>
      <c r="AL57" s="990">
        <f>IF(AND($C$5&lt;=AL$55,$C$6&gt;=AL$55),'CO2 INJECTION'!$D$35,0)</f>
        <v>0</v>
      </c>
      <c r="AM57" s="990">
        <f>IF(AND($C$5&lt;=AM$55,$C$6&gt;=AM$55),'CO2 INJECTION'!$D$35,0)</f>
        <v>0</v>
      </c>
      <c r="AN57" s="990">
        <f>IF(AND($C$5&lt;=AN$55,$C$6&gt;=AN$55),'CO2 INJECTION'!$D$35,0)</f>
        <v>0</v>
      </c>
      <c r="AO57" s="990">
        <f>IF(AND($C$5&lt;=AO$55,$C$6&gt;=AO$55),'CO2 INJECTION'!$D$35,0)</f>
        <v>0</v>
      </c>
      <c r="AP57" s="990">
        <f>IF(AND($C$5&lt;=AP$55,$C$6&gt;=AP$55),'CO2 INJECTION'!$D$35,0)</f>
        <v>0</v>
      </c>
      <c r="AQ57" s="990">
        <f>IF(AND($C$5&lt;=AQ$55,$C$6&gt;=AQ$55),'CO2 INJECTION'!$D$35,0)</f>
        <v>0</v>
      </c>
      <c r="AR57" s="990">
        <f>IF(AND($C$5&lt;=AR$55,$C$6&gt;=AR$55),'CO2 INJECTION'!$D$35,0)</f>
        <v>0</v>
      </c>
      <c r="AS57" s="990">
        <f>IF(AND($C$5&lt;=AS$55,$C$6&gt;=AS$55),'CO2 INJECTION'!$D$35,0)</f>
        <v>0</v>
      </c>
      <c r="AT57" s="990">
        <f>IF(AND($C$5&lt;=AT$55,$C$6&gt;=AT$55),'CO2 INJECTION'!$D$35,0)</f>
        <v>0</v>
      </c>
      <c r="AU57" s="990">
        <f>IF(AND($C$5&lt;=AU$55,$C$6&gt;=AU$55),'CO2 INJECTION'!$D$35,0)</f>
        <v>0</v>
      </c>
      <c r="AV57" s="990">
        <f>IF(AND($C$5&lt;=AV$55,$C$6&gt;=AV$55),'CO2 INJECTION'!$D$35,0)</f>
        <v>0</v>
      </c>
      <c r="AW57" s="990">
        <f>IF(AND($C$5&lt;=AW$55,$C$6&gt;=AW$55),'CO2 INJECTION'!$D$35,0)</f>
        <v>0</v>
      </c>
      <c r="AX57" s="990">
        <f>IF(AND($C$5&lt;=AX$55,$C$6&gt;=AX$55),'CO2 INJECTION'!$D$35,0)</f>
        <v>0</v>
      </c>
      <c r="AY57" s="990">
        <f>IF(AND($C$5&lt;=AY$55,$C$6&gt;=AY$55),'CO2 INJECTION'!$D$35,0)</f>
        <v>0</v>
      </c>
      <c r="AZ57" s="990">
        <f>IF(AND($C$5&lt;=AZ$55,$C$6&gt;=AZ$55),'CO2 INJECTION'!$D$35,0)</f>
        <v>0</v>
      </c>
      <c r="BA57" s="990">
        <f>IF(AND($C$5&lt;=BA$55,$C$6&gt;=BA$55),'CO2 INJECTION'!$D$35,0)</f>
        <v>0</v>
      </c>
      <c r="BB57" s="990">
        <f>IF(AND($C$5&lt;=BB$55,$C$6&gt;=BB$55),'CO2 INJECTION'!$D$35,0)</f>
        <v>0</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4">
    <tabColor rgb="FF92D050"/>
  </sheetPr>
  <dimension ref="B2:BL54"/>
  <sheetViews>
    <sheetView showGridLines="0" zoomScale="85" zoomScaleNormal="85" workbookViewId="0">
      <selection activeCell="D38" sqref="D38"/>
    </sheetView>
  </sheetViews>
  <sheetFormatPr defaultColWidth="9.140625" defaultRowHeight="15" x14ac:dyDescent="0.25"/>
  <cols>
    <col min="1" max="1" width="14.42578125" style="437" customWidth="1"/>
    <col min="2" max="2" width="33.7109375" style="437" customWidth="1"/>
    <col min="3" max="3" width="19.5703125" style="437" bestFit="1" customWidth="1"/>
    <col min="4" max="4" width="13.5703125" style="437" bestFit="1" customWidth="1"/>
    <col min="5" max="5" width="16.7109375" style="437" bestFit="1" customWidth="1"/>
    <col min="6" max="6" width="53.5703125" style="437" customWidth="1"/>
    <col min="7" max="7" width="16.42578125" style="437" customWidth="1"/>
    <col min="8" max="8" width="13.5703125" style="437" bestFit="1" customWidth="1"/>
    <col min="9" max="9" width="11.7109375" style="437" bestFit="1" customWidth="1"/>
    <col min="10" max="10" width="11.42578125" style="437" bestFit="1" customWidth="1"/>
    <col min="11" max="11" width="13.5703125" style="437" customWidth="1"/>
    <col min="12" max="12" width="11.7109375" style="437" bestFit="1" customWidth="1"/>
    <col min="13" max="13" width="14.42578125" style="437" customWidth="1"/>
    <col min="14" max="14" width="11.7109375" style="437" customWidth="1"/>
    <col min="15" max="26" width="12.28515625" style="437" bestFit="1" customWidth="1"/>
    <col min="27" max="47" width="12.5703125" style="437" bestFit="1" customWidth="1"/>
    <col min="48" max="16384" width="9.140625" style="437"/>
  </cols>
  <sheetData>
    <row r="2" spans="2:54" ht="31.5" x14ac:dyDescent="0.5">
      <c r="B2" s="499" t="s">
        <v>976</v>
      </c>
      <c r="E2" s="500"/>
    </row>
    <row r="3" spans="2:54" x14ac:dyDescent="0.25">
      <c r="B3" s="440"/>
      <c r="C3" s="440"/>
      <c r="D3" s="440"/>
      <c r="E3" s="440"/>
      <c r="F3" s="440"/>
    </row>
    <row r="4" spans="2:54" x14ac:dyDescent="0.25">
      <c r="B4" s="964" t="str">
        <f>Parameters!E256</f>
        <v>Start investment</v>
      </c>
      <c r="C4" s="964">
        <f>Parameters!G256</f>
        <v>2025</v>
      </c>
      <c r="D4" s="452"/>
      <c r="E4" s="452"/>
      <c r="F4" s="452"/>
    </row>
    <row r="5" spans="2:54" x14ac:dyDescent="0.25">
      <c r="B5" s="964" t="str">
        <f>Parameters!E257</f>
        <v>Start operations</v>
      </c>
      <c r="C5" s="964">
        <f>Parameters!G257</f>
        <v>2026</v>
      </c>
      <c r="D5" s="452"/>
      <c r="E5" s="452"/>
      <c r="F5" s="452"/>
    </row>
    <row r="6" spans="2:54" x14ac:dyDescent="0.25">
      <c r="B6" s="964" t="str">
        <f>Parameters!E258</f>
        <v>Stop operations</v>
      </c>
      <c r="C6" s="964">
        <f>Parameters!G258</f>
        <v>2030</v>
      </c>
      <c r="D6" s="452"/>
      <c r="E6" s="452"/>
      <c r="F6" s="452"/>
    </row>
    <row r="7" spans="2:54" x14ac:dyDescent="0.25">
      <c r="B7" s="452"/>
      <c r="C7" s="452"/>
      <c r="D7" s="452"/>
      <c r="E7" s="452"/>
      <c r="F7" s="452"/>
    </row>
    <row r="8" spans="2:54" ht="15.75" x14ac:dyDescent="0.25">
      <c r="B8" s="501" t="str">
        <f>"Small scale H2 scenario: "&amp;Parameters!$D$6</f>
        <v>Small scale H2 scenario: P15 Scenario 1</v>
      </c>
      <c r="C8" s="501"/>
      <c r="D8" s="502"/>
      <c r="E8" s="503" t="s">
        <v>977</v>
      </c>
      <c r="F8" s="502"/>
      <c r="G8" s="504">
        <f>Parameters!$G$10</f>
        <v>2018</v>
      </c>
      <c r="H8" s="446">
        <f>G8+1</f>
        <v>2019</v>
      </c>
      <c r="I8" s="446">
        <f t="shared" ref="I8:U8" si="0">H8+1</f>
        <v>2020</v>
      </c>
      <c r="J8" s="446">
        <f t="shared" si="0"/>
        <v>2021</v>
      </c>
      <c r="K8" s="446">
        <f t="shared" si="0"/>
        <v>2022</v>
      </c>
      <c r="L8" s="446">
        <f t="shared" si="0"/>
        <v>2023</v>
      </c>
      <c r="M8" s="446">
        <f t="shared" si="0"/>
        <v>2024</v>
      </c>
      <c r="N8" s="446">
        <f t="shared" si="0"/>
        <v>2025</v>
      </c>
      <c r="O8" s="446">
        <f t="shared" si="0"/>
        <v>2026</v>
      </c>
      <c r="P8" s="446">
        <f t="shared" si="0"/>
        <v>2027</v>
      </c>
      <c r="Q8" s="446">
        <f t="shared" si="0"/>
        <v>2028</v>
      </c>
      <c r="R8" s="446">
        <f t="shared" si="0"/>
        <v>2029</v>
      </c>
      <c r="S8" s="446">
        <f t="shared" si="0"/>
        <v>2030</v>
      </c>
      <c r="T8" s="446">
        <f t="shared" si="0"/>
        <v>2031</v>
      </c>
      <c r="U8" s="446">
        <f t="shared" si="0"/>
        <v>2032</v>
      </c>
      <c r="V8" s="446">
        <f>U8+1</f>
        <v>2033</v>
      </c>
      <c r="W8" s="446">
        <f t="shared" ref="W8:AW8" si="1">V8+1</f>
        <v>2034</v>
      </c>
      <c r="X8" s="446">
        <f t="shared" si="1"/>
        <v>2035</v>
      </c>
      <c r="Y8" s="446">
        <f t="shared" si="1"/>
        <v>2036</v>
      </c>
      <c r="Z8" s="446">
        <f t="shared" si="1"/>
        <v>2037</v>
      </c>
      <c r="AA8" s="446">
        <f t="shared" si="1"/>
        <v>2038</v>
      </c>
      <c r="AB8" s="446">
        <f t="shared" si="1"/>
        <v>2039</v>
      </c>
      <c r="AC8" s="446">
        <f t="shared" si="1"/>
        <v>2040</v>
      </c>
      <c r="AD8" s="446">
        <f t="shared" si="1"/>
        <v>2041</v>
      </c>
      <c r="AE8" s="446">
        <f t="shared" si="1"/>
        <v>2042</v>
      </c>
      <c r="AF8" s="446">
        <f t="shared" si="1"/>
        <v>2043</v>
      </c>
      <c r="AG8" s="446">
        <f t="shared" si="1"/>
        <v>2044</v>
      </c>
      <c r="AH8" s="446">
        <f t="shared" si="1"/>
        <v>2045</v>
      </c>
      <c r="AI8" s="446">
        <f t="shared" si="1"/>
        <v>2046</v>
      </c>
      <c r="AJ8" s="446">
        <f t="shared" si="1"/>
        <v>2047</v>
      </c>
      <c r="AK8" s="446">
        <f t="shared" si="1"/>
        <v>2048</v>
      </c>
      <c r="AL8" s="446">
        <f t="shared" si="1"/>
        <v>2049</v>
      </c>
      <c r="AM8" s="446">
        <f t="shared" si="1"/>
        <v>2050</v>
      </c>
      <c r="AN8" s="446">
        <f t="shared" si="1"/>
        <v>2051</v>
      </c>
      <c r="AO8" s="446">
        <f t="shared" si="1"/>
        <v>2052</v>
      </c>
      <c r="AP8" s="446">
        <f t="shared" si="1"/>
        <v>2053</v>
      </c>
      <c r="AQ8" s="446">
        <f t="shared" si="1"/>
        <v>2054</v>
      </c>
      <c r="AR8" s="446">
        <f t="shared" si="1"/>
        <v>2055</v>
      </c>
      <c r="AS8" s="446">
        <f t="shared" si="1"/>
        <v>2056</v>
      </c>
      <c r="AT8" s="446">
        <f t="shared" si="1"/>
        <v>2057</v>
      </c>
      <c r="AU8" s="446">
        <f t="shared" si="1"/>
        <v>2058</v>
      </c>
      <c r="AV8" s="446">
        <f t="shared" si="1"/>
        <v>2059</v>
      </c>
      <c r="AW8" s="446">
        <f t="shared" si="1"/>
        <v>2060</v>
      </c>
      <c r="AX8" s="446">
        <f t="shared" ref="AX8" si="2">AW8+1</f>
        <v>2061</v>
      </c>
      <c r="AY8" s="446">
        <f t="shared" ref="AY8" si="3">AX8+1</f>
        <v>2062</v>
      </c>
      <c r="AZ8" s="446">
        <f t="shared" ref="AZ8" si="4">AY8+1</f>
        <v>2063</v>
      </c>
      <c r="BA8" s="446">
        <f t="shared" ref="BA8" si="5">AZ8+1</f>
        <v>2064</v>
      </c>
      <c r="BB8" s="446">
        <f t="shared" ref="BB8" si="6">BA8+1</f>
        <v>2065</v>
      </c>
    </row>
    <row r="9" spans="2:54" x14ac:dyDescent="0.25">
      <c r="B9" s="309" t="s">
        <v>978</v>
      </c>
      <c r="C9" s="309" t="s">
        <v>979</v>
      </c>
      <c r="D9" s="505">
        <f>SUM(G9:BB9)</f>
        <v>30942.726957348743</v>
      </c>
      <c r="E9" s="505">
        <f>G9+NPV($C$43,H9:BB9)</f>
        <v>15878.511538359633</v>
      </c>
      <c r="F9" s="309"/>
      <c r="G9" s="506">
        <f>SUM(G10:G19)</f>
        <v>0</v>
      </c>
      <c r="H9" s="506">
        <f t="shared" ref="H9:AU9" si="7">SUM(H10:H19)</f>
        <v>0</v>
      </c>
      <c r="I9" s="506">
        <f t="shared" si="7"/>
        <v>0</v>
      </c>
      <c r="J9" s="506">
        <f t="shared" si="7"/>
        <v>0</v>
      </c>
      <c r="K9" s="506">
        <f t="shared" si="7"/>
        <v>0</v>
      </c>
      <c r="L9" s="506">
        <f t="shared" si="7"/>
        <v>0</v>
      </c>
      <c r="M9" s="506">
        <f t="shared" si="7"/>
        <v>0</v>
      </c>
      <c r="N9" s="506">
        <f t="shared" si="7"/>
        <v>30942.726957348743</v>
      </c>
      <c r="O9" s="506">
        <f t="shared" si="7"/>
        <v>0</v>
      </c>
      <c r="P9" s="506">
        <f t="shared" si="7"/>
        <v>0</v>
      </c>
      <c r="Q9" s="506">
        <f t="shared" si="7"/>
        <v>0</v>
      </c>
      <c r="R9" s="506">
        <f t="shared" si="7"/>
        <v>0</v>
      </c>
      <c r="S9" s="506">
        <f t="shared" si="7"/>
        <v>0</v>
      </c>
      <c r="T9" s="506">
        <f t="shared" si="7"/>
        <v>0</v>
      </c>
      <c r="U9" s="506">
        <f t="shared" si="7"/>
        <v>0</v>
      </c>
      <c r="V9" s="506">
        <f t="shared" si="7"/>
        <v>0</v>
      </c>
      <c r="W9" s="506">
        <f t="shared" si="7"/>
        <v>0</v>
      </c>
      <c r="X9" s="506">
        <f t="shared" si="7"/>
        <v>0</v>
      </c>
      <c r="Y9" s="506">
        <f t="shared" si="7"/>
        <v>0</v>
      </c>
      <c r="Z9" s="506">
        <f t="shared" si="7"/>
        <v>0</v>
      </c>
      <c r="AA9" s="506">
        <f t="shared" si="7"/>
        <v>0</v>
      </c>
      <c r="AB9" s="506">
        <f t="shared" si="7"/>
        <v>0</v>
      </c>
      <c r="AC9" s="506">
        <f t="shared" si="7"/>
        <v>0</v>
      </c>
      <c r="AD9" s="506">
        <f t="shared" si="7"/>
        <v>0</v>
      </c>
      <c r="AE9" s="506">
        <f t="shared" si="7"/>
        <v>0</v>
      </c>
      <c r="AF9" s="506">
        <f t="shared" si="7"/>
        <v>0</v>
      </c>
      <c r="AG9" s="506">
        <f t="shared" si="7"/>
        <v>0</v>
      </c>
      <c r="AH9" s="506">
        <f t="shared" si="7"/>
        <v>0</v>
      </c>
      <c r="AI9" s="506">
        <f t="shared" si="7"/>
        <v>0</v>
      </c>
      <c r="AJ9" s="506">
        <f t="shared" si="7"/>
        <v>0</v>
      </c>
      <c r="AK9" s="506">
        <f t="shared" si="7"/>
        <v>0</v>
      </c>
      <c r="AL9" s="506">
        <f t="shared" si="7"/>
        <v>0</v>
      </c>
      <c r="AM9" s="506">
        <f t="shared" si="7"/>
        <v>0</v>
      </c>
      <c r="AN9" s="506">
        <f t="shared" si="7"/>
        <v>0</v>
      </c>
      <c r="AO9" s="506">
        <f t="shared" si="7"/>
        <v>0</v>
      </c>
      <c r="AP9" s="506">
        <f t="shared" si="7"/>
        <v>0</v>
      </c>
      <c r="AQ9" s="506">
        <f t="shared" si="7"/>
        <v>0</v>
      </c>
      <c r="AR9" s="506">
        <f t="shared" si="7"/>
        <v>0</v>
      </c>
      <c r="AS9" s="506">
        <f t="shared" si="7"/>
        <v>0</v>
      </c>
      <c r="AT9" s="506">
        <f t="shared" si="7"/>
        <v>0</v>
      </c>
      <c r="AU9" s="506">
        <f t="shared" si="7"/>
        <v>0</v>
      </c>
      <c r="AV9" s="506">
        <f t="shared" ref="AV9:BB9" si="8">SUM(AV10:AV19)</f>
        <v>0</v>
      </c>
      <c r="AW9" s="506">
        <f t="shared" si="8"/>
        <v>0</v>
      </c>
      <c r="AX9" s="506">
        <f t="shared" si="8"/>
        <v>0</v>
      </c>
      <c r="AY9" s="506">
        <f t="shared" si="8"/>
        <v>0</v>
      </c>
      <c r="AZ9" s="506">
        <f t="shared" si="8"/>
        <v>0</v>
      </c>
      <c r="BA9" s="506">
        <f t="shared" si="8"/>
        <v>0</v>
      </c>
      <c r="BB9" s="506">
        <f t="shared" si="8"/>
        <v>0</v>
      </c>
    </row>
    <row r="10" spans="2:54" x14ac:dyDescent="0.25">
      <c r="B10" s="507" t="str">
        <f>Parameters!E288</f>
        <v>Capex electrolyser</v>
      </c>
      <c r="C10" s="508" t="s">
        <v>979</v>
      </c>
      <c r="D10" s="534">
        <f>SUM(G10:BB10)</f>
        <v>9017.1824910468458</v>
      </c>
      <c r="E10" s="534">
        <f>G10+NPV($C$43,H10:BB10)</f>
        <v>4627.240398848473</v>
      </c>
      <c r="F10" s="507"/>
      <c r="G10" s="536">
        <f>IF(G$8=$C$4,VLOOKUP($B10,Parameters!$E$256:$G$376,3,FALSE),IF(AND(G8&gt;$C$5,G8&lt;$C$6,(G8-$C$5)=Parameters!$G$276),Parameters!$G$289,IF(AND(G8&gt;$C$5,G8&lt;$C$6,(G8-$C$5)=Parameters!$G$275),Parameters!$G$288,0)))*(1+Parameters!$G$13)^(G$8-$G$8)/1000</f>
        <v>0</v>
      </c>
      <c r="H10" s="536">
        <f>IF(H$8=$C$4,VLOOKUP($B10,Parameters!$E$256:$G$376,3,FALSE),IF(AND(H8&gt;$C$5,H8&lt;$C$6,(H8-$C$5)=Parameters!$G$276),Parameters!$G$289,IF(AND(H8&gt;$C$5,H8&lt;$C$6,(H8-$C$5)=Parameters!$G$275),Parameters!$G$288,0)))*(1+Parameters!$G$13)^(H$8-$G$8)/1000</f>
        <v>0</v>
      </c>
      <c r="I10" s="536">
        <f>IF(I$8=$C$4,VLOOKUP($B10,Parameters!$E$256:$G$376,3,FALSE),IF(AND(I8&gt;$C$5,I8&lt;$C$6,(I8-$C$5)=Parameters!$G$276),Parameters!$G$289,IF(AND(I8&gt;$C$5,I8&lt;$C$6,(I8-$C$5)=Parameters!$G$275),Parameters!$G$288,0)))*(1+Parameters!$G$13)^(I$8-$G$8)/1000</f>
        <v>0</v>
      </c>
      <c r="J10" s="536">
        <f>IF(J$8=$C$4,VLOOKUP($B10,Parameters!$E$256:$G$376,3,FALSE),IF(AND(J8&gt;$C$5,J8&lt;$C$6,(J8-$C$5)=Parameters!$G$276),Parameters!$G$289,IF(AND(J8&gt;$C$5,J8&lt;$C$6,(J8-$C$5)=Parameters!$G$275),Parameters!$G$288,0)))*(1+Parameters!$G$13)^(J$8-$G$8)/1000</f>
        <v>0</v>
      </c>
      <c r="K10" s="536">
        <f>IF(K$8=$C$4,VLOOKUP($B10,Parameters!$E$256:$G$376,3,FALSE),IF(AND(K8&gt;$C$5,K8&lt;$C$6,(K8-$C$5)=Parameters!$G$276),Parameters!$G$289,IF(AND(K8&gt;$C$5,K8&lt;$C$6,(K8-$C$5)=Parameters!$G$275),Parameters!$G$288,0)))*(1+Parameters!$G$13)^(K$8-$G$8)/1000</f>
        <v>0</v>
      </c>
      <c r="L10" s="536">
        <f>IF(L$8=$C$4,VLOOKUP($B10,Parameters!$E$256:$G$376,3,FALSE),IF(AND(L8&gt;$C$5,L8&lt;$C$6,(L8-$C$5)=Parameters!$G$276),Parameters!$G$289,IF(AND(L8&gt;$C$5,L8&lt;$C$6,(L8-$C$5)=Parameters!$G$275),Parameters!$G$288,0)))*(1+Parameters!$G$13)^(L$8-$G$8)/1000</f>
        <v>0</v>
      </c>
      <c r="M10" s="536">
        <f>IF(M$8=$C$4,VLOOKUP($B10,Parameters!$E$256:$G$376,3,FALSE),IF(AND(M8&gt;$C$5,M8&lt;$C$6,(M8-$C$5)=Parameters!$G$276),Parameters!$G$289,IF(AND(M8&gt;$C$5,M8&lt;$C$6,(M8-$C$5)=Parameters!$G$275),Parameters!$G$288,0)))*(1+Parameters!$G$13)^(M$8-$G$8)/1000</f>
        <v>0</v>
      </c>
      <c r="N10" s="536">
        <f>IF(N$8=$C$4,VLOOKUP($B10,Parameters!$E$256:$G$376,3,FALSE),IF(AND(N8&gt;$C$5,N8&lt;$C$6,(N8-$C$5)=Parameters!$G$276),Parameters!$G$289,IF(AND(N8&gt;$C$5,N8&lt;$C$6,(N8-$C$5)=Parameters!$G$275),Parameters!$G$288,0)))*(1+Parameters!$G$13)^(N$8-$G$8)/1000</f>
        <v>9017.1824910468458</v>
      </c>
      <c r="O10" s="536">
        <f>IF(O$8=$C$4,VLOOKUP($B10,Parameters!$E$256:$G$376,3,FALSE),IF(AND(O8&gt;$C$5,O8&lt;$C$6,(O8-$C$5)=Parameters!$G$276),Parameters!$G$289,IF(AND(O8&gt;$C$5,O8&lt;$C$6,(O8-$C$5)=Parameters!$G$275),Parameters!$G$288,0)))*(1+Parameters!$G$13)^(O$8-$G$8)/1000</f>
        <v>0</v>
      </c>
      <c r="P10" s="536">
        <f>IF(P$8=$C$4,VLOOKUP($B10,Parameters!$E$256:$G$376,3,FALSE),IF(AND(P8&gt;$C$5,P8&lt;$C$6,(P8-$C$5)=Parameters!$G$276),Parameters!$G$289,IF(AND(P8&gt;$C$5,P8&lt;$C$6,(P8-$C$5)=Parameters!$G$275),Parameters!$G$288,0)))*(1+Parameters!$G$13)^(P$8-$G$8)/1000</f>
        <v>0</v>
      </c>
      <c r="Q10" s="536">
        <f>IF(Q$8=$C$4,VLOOKUP($B10,Parameters!$E$256:$G$376,3,FALSE),IF(AND(Q8&gt;$C$5,Q8&lt;$C$6,(Q8-$C$5)=Parameters!$G$276),Parameters!$G$289,IF(AND(Q8&gt;$C$5,Q8&lt;$C$6,(Q8-$C$5)=Parameters!$G$275),Parameters!$G$288,0)))*(1+Parameters!$G$13)^(Q$8-$G$8)/1000</f>
        <v>0</v>
      </c>
      <c r="R10" s="536">
        <f>IF(R$8=$C$4,VLOOKUP($B10,Parameters!$E$256:$G$376,3,FALSE),IF(AND(R8&gt;$C$5,R8&lt;$C$6,(R8-$C$5)=Parameters!$G$276),Parameters!$G$289,IF(AND(R8&gt;$C$5,R8&lt;$C$6,(R8-$C$5)=Parameters!$G$275),Parameters!$G$288,0)))*(1+Parameters!$G$13)^(R$8-$G$8)/1000</f>
        <v>0</v>
      </c>
      <c r="S10" s="536">
        <f>IF(S$8=$C$4,VLOOKUP($B10,Parameters!$E$256:$G$376,3,FALSE),IF(AND(S8&gt;$C$5,S8&lt;$C$6,(S8-$C$5)=Parameters!$G$276),Parameters!$G$289,IF(AND(S8&gt;$C$5,S8&lt;$C$6,(S8-$C$5)=Parameters!$G$275),Parameters!$G$288,0)))*(1+Parameters!$G$13)^(S$8-$G$8)/1000</f>
        <v>0</v>
      </c>
      <c r="T10" s="536">
        <f>IF(T$8=$C$4,VLOOKUP($B10,Parameters!$E$256:$G$376,3,FALSE),IF(AND(T8&gt;$C$5,T8&lt;$C$6,(T8-$C$5)=Parameters!$G$276),Parameters!$G$289,IF(AND(T8&gt;$C$5,T8&lt;$C$6,(T8-$C$5)=Parameters!$G$275),Parameters!$G$288,0)))*(1+Parameters!$G$13)^(T$8-$G$8)/1000</f>
        <v>0</v>
      </c>
      <c r="U10" s="536">
        <f>IF(U$8=$C$4,VLOOKUP($B10,Parameters!$E$256:$G$376,3,FALSE),IF(AND(U8&gt;$C$5,U8&lt;$C$6,(U8-$C$5)=Parameters!$G$276),Parameters!$G$289,IF(AND(U8&gt;$C$5,U8&lt;$C$6,(U8-$C$5)=Parameters!$G$275),Parameters!$G$288,0)))*(1+Parameters!$G$13)^(U$8-$G$8)/1000</f>
        <v>0</v>
      </c>
      <c r="V10" s="536">
        <f>IF(V$8=$C$4,VLOOKUP($B10,Parameters!$E$256:$G$376,3,FALSE),IF(AND(V8&gt;$C$5,V8&lt;$C$6,(V8-$C$5)=Parameters!$G$276),Parameters!$G$289,IF(AND(V8&gt;$C$5,V8&lt;$C$6,(V8-$C$5)=Parameters!$G$275),Parameters!$G$288,0)))*(1+Parameters!$G$13)^(V$8-$G$8)/1000</f>
        <v>0</v>
      </c>
      <c r="W10" s="536">
        <f>IF(W$8=$C$4,VLOOKUP($B10,Parameters!$E$256:$G$376,3,FALSE),IF(AND(W8&gt;$C$5,W8&lt;$C$6,(W8-$C$5)=Parameters!$G$276),Parameters!$G$289,IF(AND(W8&gt;$C$5,W8&lt;$C$6,(W8-$C$5)=Parameters!$G$275),Parameters!$G$288,0)))*(1+Parameters!$G$13)^(W$8-$G$8)/1000</f>
        <v>0</v>
      </c>
      <c r="X10" s="536">
        <f>IF(X$8=$C$4,VLOOKUP($B10,Parameters!$E$256:$G$376,3,FALSE),IF(AND(X8&gt;$C$5,X8&lt;$C$6,(X8-$C$5)=Parameters!$G$276),Parameters!$G$289,IF(AND(X8&gt;$C$5,X8&lt;$C$6,(X8-$C$5)=Parameters!$G$275),Parameters!$G$288,0)))*(1+Parameters!$G$13)^(X$8-$G$8)/1000</f>
        <v>0</v>
      </c>
      <c r="Y10" s="536">
        <f>IF(Y$8=$C$4,VLOOKUP($B10,Parameters!$E$256:$G$376,3,FALSE),IF(AND(Y8&gt;$C$5,Y8&lt;$C$6,(Y8-$C$5)=Parameters!$G$276),Parameters!$G$289,IF(AND(Y8&gt;$C$5,Y8&lt;$C$6,(Y8-$C$5)=Parameters!$G$275),Parameters!$G$288,0)))*(1+Parameters!$G$13)^(Y$8-$G$8)/1000</f>
        <v>0</v>
      </c>
      <c r="Z10" s="536">
        <f>IF(Z$8=$C$4,VLOOKUP($B10,Parameters!$E$256:$G$376,3,FALSE),IF(AND(Z8&gt;$C$5,Z8&lt;$C$6,(Z8-$C$5)=Parameters!$G$276),Parameters!$G$289,IF(AND(Z8&gt;$C$5,Z8&lt;$C$6,(Z8-$C$5)=Parameters!$G$275),Parameters!$G$288,0)))*(1+Parameters!$G$13)^(Z$8-$G$8)/1000</f>
        <v>0</v>
      </c>
      <c r="AA10" s="536">
        <f>IF(AA$8=$C$4,VLOOKUP($B10,Parameters!$E$256:$G$376,3,FALSE),IF(AND(AA8&gt;$C$5,AA8&lt;$C$6,(AA8-$C$5)=Parameters!$G$276),Parameters!$G$289,IF(AND(AA8&gt;$C$5,AA8&lt;$C$6,(AA8-$C$5)=Parameters!$G$275),Parameters!$G$288,0)))*(1+Parameters!$G$13)^(AA$8-$G$8)/1000</f>
        <v>0</v>
      </c>
      <c r="AB10" s="536">
        <f>IF(AB$8=$C$4,VLOOKUP($B10,Parameters!$E$256:$G$376,3,FALSE),IF(AND(AB8&gt;$C$5,AB8&lt;$C$6,(AB8-$C$5)=Parameters!$G$276),Parameters!$G$289,IF(AND(AB8&gt;$C$5,AB8&lt;$C$6,(AB8-$C$5)=Parameters!$G$275),Parameters!$G$288,0)))*(1+Parameters!$G$13)^(AB$8-$G$8)/1000</f>
        <v>0</v>
      </c>
      <c r="AC10" s="536">
        <f>IF(AC$8=$C$4,VLOOKUP($B10,Parameters!$E$256:$G$376,3,FALSE),IF(AND(AC8&gt;$C$5,AC8&lt;$C$6,(AC8-$C$5)=Parameters!$G$276),Parameters!$G$289,IF(AND(AC8&gt;$C$5,AC8&lt;$C$6,(AC8-$C$5)=Parameters!$G$275),Parameters!$G$288,0)))*(1+Parameters!$G$13)^(AC$8-$G$8)/1000</f>
        <v>0</v>
      </c>
      <c r="AD10" s="536">
        <f>IF(AD$8=$C$4,VLOOKUP($B10,Parameters!$E$256:$G$376,3,FALSE),IF(AND(AD8&gt;$C$5,AD8&lt;$C$6,(AD8-$C$5)=Parameters!$G$276),Parameters!$G$289,IF(AND(AD8&gt;$C$5,AD8&lt;$C$6,(AD8-$C$5)=Parameters!$G$275),Parameters!$G$288,0)))*(1+Parameters!$G$13)^(AD$8-$G$8)/1000</f>
        <v>0</v>
      </c>
      <c r="AE10" s="536">
        <f>IF(AE$8=$C$4,VLOOKUP($B10,Parameters!$E$256:$G$376,3,FALSE),IF(AND(AE8&gt;$C$5,AE8&lt;$C$6,(AE8-$C$5)=Parameters!$G$276),Parameters!$G$289,IF(AND(AE8&gt;$C$5,AE8&lt;$C$6,(AE8-$C$5)=Parameters!$G$275),Parameters!$G$288,0)))*(1+Parameters!$G$13)^(AE$8-$G$8)/1000</f>
        <v>0</v>
      </c>
      <c r="AF10" s="536">
        <f>IF(AF$8=$C$4,VLOOKUP($B10,Parameters!$E$256:$G$376,3,FALSE),IF(AND(AF8&gt;$C$5,AF8&lt;$C$6,(AF8-$C$5)=Parameters!$G$276),Parameters!$G$289,IF(AND(AF8&gt;$C$5,AF8&lt;$C$6,(AF8-$C$5)=Parameters!$G$275),Parameters!$G$288,0)))*(1+Parameters!$G$13)^(AF$8-$G$8)/1000</f>
        <v>0</v>
      </c>
      <c r="AG10" s="536">
        <f>IF(AG$8=$C$4,VLOOKUP($B10,Parameters!$E$256:$G$376,3,FALSE),IF(AND(AG8&gt;$C$5,AG8&lt;$C$6,(AG8-$C$5)=Parameters!$G$276),Parameters!$G$289,IF(AND(AG8&gt;$C$5,AG8&lt;$C$6,(AG8-$C$5)=Parameters!$G$275),Parameters!$G$288,0)))*(1+Parameters!$G$13)^(AG$8-$G$8)/1000</f>
        <v>0</v>
      </c>
      <c r="AH10" s="536">
        <f>IF(AH$8=$C$4,VLOOKUP($B10,Parameters!$E$256:$G$376,3,FALSE),IF(AND(AH8&gt;$C$5,AH8&lt;$C$6,(AH8-$C$5)=Parameters!$G$276),Parameters!$G$289,IF(AND(AH8&gt;$C$5,AH8&lt;$C$6,(AH8-$C$5)=Parameters!$G$275),Parameters!$G$288,0)))*(1+Parameters!$G$13)^(AH$8-$G$8)/1000</f>
        <v>0</v>
      </c>
      <c r="AI10" s="536">
        <f>IF(AI$8=$C$4,VLOOKUP($B10,Parameters!$E$256:$G$376,3,FALSE),IF(AND(AI8&gt;$C$5,AI8&lt;$C$6,(AI8-$C$5)=Parameters!$G$276),Parameters!$G$289,IF(AND(AI8&gt;$C$5,AI8&lt;$C$6,(AI8-$C$5)=Parameters!$G$275),Parameters!$G$288,0)))*(1+Parameters!$G$13)^(AI$8-$G$8)/1000</f>
        <v>0</v>
      </c>
      <c r="AJ10" s="536">
        <f>IF(AJ$8=$C$4,VLOOKUP($B10,Parameters!$E$256:$G$376,3,FALSE),IF(AND(AJ8&gt;$C$5,AJ8&lt;$C$6,(AJ8-$C$5)=Parameters!$G$276),Parameters!$G$289,IF(AND(AJ8&gt;$C$5,AJ8&lt;$C$6,(AJ8-$C$5)=Parameters!$G$275),Parameters!$G$288,0)))*(1+Parameters!$G$13)^(AJ$8-$G$8)/1000</f>
        <v>0</v>
      </c>
      <c r="AK10" s="536">
        <f>IF(AK$8=$C$4,VLOOKUP($B10,Parameters!$E$256:$G$376,3,FALSE),IF(AND(AK8&gt;$C$5,AK8&lt;$C$6,(AK8-$C$5)=Parameters!$G$276),Parameters!$G$289,IF(AND(AK8&gt;$C$5,AK8&lt;$C$6,(AK8-$C$5)=Parameters!$G$275),Parameters!$G$288,0)))*(1+Parameters!$G$13)^(AK$8-$G$8)/1000</f>
        <v>0</v>
      </c>
      <c r="AL10" s="536">
        <f>IF(AL$8=$C$4,VLOOKUP($B10,Parameters!$E$256:$G$376,3,FALSE),IF(AND(AL8&gt;$C$5,AL8&lt;$C$6,(AL8-$C$5)=Parameters!$G$276),Parameters!$G$289,IF(AND(AL8&gt;$C$5,AL8&lt;$C$6,(AL8-$C$5)=Parameters!$G$275),Parameters!$G$288,0)))*(1+Parameters!$G$13)^(AL$8-$G$8)/1000</f>
        <v>0</v>
      </c>
      <c r="AM10" s="536">
        <f>IF(AM$8=$C$4,VLOOKUP($B10,Parameters!$E$256:$G$376,3,FALSE),IF(AND(AM8&gt;$C$5,AM8&lt;$C$6,(AM8-$C$5)=Parameters!$G$276),Parameters!$G$289,IF(AND(AM8&gt;$C$5,AM8&lt;$C$6,(AM8-$C$5)=Parameters!$G$275),Parameters!$G$288,0)))*(1+Parameters!$G$13)^(AM$8-$G$8)/1000</f>
        <v>0</v>
      </c>
      <c r="AN10" s="536">
        <f>IF(AN$8=$C$4,VLOOKUP($B10,Parameters!$E$256:$G$376,3,FALSE),IF(AND(AN8&gt;$C$5,AN8&lt;$C$6,(AN8-$C$5)=Parameters!$G$276),Parameters!$G$289,IF(AND(AN8&gt;$C$5,AN8&lt;$C$6,(AN8-$C$5)=Parameters!$G$275),Parameters!$G$288,0)))*(1+Parameters!$G$13)^(AN$8-$G$8)/1000</f>
        <v>0</v>
      </c>
      <c r="AO10" s="536">
        <f>IF(AO$8=$C$4,VLOOKUP($B10,Parameters!$E$256:$G$376,3,FALSE),IF(AND(AO8&gt;$C$5,AO8&lt;$C$6,(AO8-$C$5)=Parameters!$G$276),Parameters!$G$289,IF(AND(AO8&gt;$C$5,AO8&lt;$C$6,(AO8-$C$5)=Parameters!$G$275),Parameters!$G$288,0)))*(1+Parameters!$G$13)^(AO$8-$G$8)/1000</f>
        <v>0</v>
      </c>
      <c r="AP10" s="536">
        <f>IF(AP$8=$C$4,VLOOKUP($B10,Parameters!$E$256:$G$376,3,FALSE),IF(AND(AP8&gt;$C$5,AP8&lt;$C$6,(AP8-$C$5)=Parameters!$G$276),Parameters!$G$289,IF(AND(AP8&gt;$C$5,AP8&lt;$C$6,(AP8-$C$5)=Parameters!$G$275),Parameters!$G$288,0)))*(1+Parameters!$G$13)^(AP$8-$G$8)/1000</f>
        <v>0</v>
      </c>
      <c r="AQ10" s="536">
        <f>IF(AQ$8=$C$4,VLOOKUP($B10,Parameters!$E$256:$G$376,3,FALSE),IF(AND(AQ8&gt;$C$5,AQ8&lt;$C$6,(AQ8-$C$5)=Parameters!$G$276),Parameters!$G$289,IF(AND(AQ8&gt;$C$5,AQ8&lt;$C$6,(AQ8-$C$5)=Parameters!$G$275),Parameters!$G$288,0)))*(1+Parameters!$G$13)^(AQ$8-$G$8)/1000</f>
        <v>0</v>
      </c>
      <c r="AR10" s="536">
        <f>IF(AR$8=$C$4,VLOOKUP($B10,Parameters!$E$256:$G$376,3,FALSE),IF(AND(AR8&gt;$C$5,AR8&lt;$C$6,(AR8-$C$5)=Parameters!$G$276),Parameters!$G$289,IF(AND(AR8&gt;$C$5,AR8&lt;$C$6,(AR8-$C$5)=Parameters!$G$275),Parameters!$G$288,0)))*(1+Parameters!$G$13)^(AR$8-$G$8)/1000</f>
        <v>0</v>
      </c>
      <c r="AS10" s="536">
        <f>IF(AS$8=$C$4,VLOOKUP($B10,Parameters!$E$256:$G$376,3,FALSE),IF(AND(AS8&gt;$C$5,AS8&lt;$C$6,(AS8-$C$5)=Parameters!$G$276),Parameters!$G$289,IF(AND(AS8&gt;$C$5,AS8&lt;$C$6,(AS8-$C$5)=Parameters!$G$275),Parameters!$G$288,0)))*(1+Parameters!$G$13)^(AS$8-$G$8)/1000</f>
        <v>0</v>
      </c>
      <c r="AT10" s="536">
        <f>IF(AT$8=$C$4,VLOOKUP($B10,Parameters!$E$256:$G$376,3,FALSE),IF(AND(AT8&gt;$C$5,AT8&lt;$C$6,(AT8-$C$5)=Parameters!$G$276),Parameters!$G$289,IF(AND(AT8&gt;$C$5,AT8&lt;$C$6,(AT8-$C$5)=Parameters!$G$275),Parameters!$G$288,0)))*(1+Parameters!$G$13)^(AT$8-$G$8)/1000</f>
        <v>0</v>
      </c>
      <c r="AU10" s="536">
        <f>IF(AU$8=$C$4,VLOOKUP($B10,Parameters!$E$256:$G$376,3,FALSE),IF(AND(AU8&gt;$C$5,AU8&lt;$C$6,(AU8-$C$5)=Parameters!$G$276),Parameters!$G$289,IF(AND(AU8&gt;$C$5,AU8&lt;$C$6,(AU8-$C$5)=Parameters!$G$275),Parameters!$G$288,0)))*(1+Parameters!$G$13)^(AU$8-$G$8)/1000</f>
        <v>0</v>
      </c>
      <c r="AV10" s="536">
        <f>IF(AV$8=$C$4,VLOOKUP($B10,Parameters!$E$256:$G$376,3,FALSE),IF(AND(AV8&gt;$C$5,AV8&lt;$C$6,(AV8-$C$5)=Parameters!$G$276),Parameters!$G$289,IF(AND(AV8&gt;$C$5,AV8&lt;$C$6,(AV8-$C$5)=Parameters!$G$275),Parameters!$G$288,0)))*(1+Parameters!$G$13)^(AV$8-$G$8)/1000</f>
        <v>0</v>
      </c>
      <c r="AW10" s="536">
        <f>IF(AW$8=$C$4,VLOOKUP($B10,Parameters!$E$256:$G$376,3,FALSE),IF(AND(AW8&gt;$C$5,AW8&lt;$C$6,(AW8-$C$5)=Parameters!$G$276),Parameters!$G$289,IF(AND(AW8&gt;$C$5,AW8&lt;$C$6,(AW8-$C$5)=Parameters!$G$275),Parameters!$G$288,0)))*(1+Parameters!$G$13)^(AW$8-$G$8)/1000</f>
        <v>0</v>
      </c>
      <c r="AX10" s="536">
        <f>IF(AX$8=$C$4,VLOOKUP($B10,Parameters!$E$256:$G$376,3,FALSE),IF(AND(AX8&gt;$C$5,AX8&lt;$C$6,(AX8-$C$5)=Parameters!$G$276),Parameters!$G$289,IF(AND(AX8&gt;$C$5,AX8&lt;$C$6,(AX8-$C$5)=Parameters!$G$275),Parameters!$G$288,0)))*(1+Parameters!$G$13)^(AX$8-$G$8)/1000</f>
        <v>0</v>
      </c>
      <c r="AY10" s="536">
        <f>IF(AY$8=$C$4,VLOOKUP($B10,Parameters!$E$256:$G$376,3,FALSE),IF(AND(AY8&gt;$C$5,AY8&lt;$C$6,(AY8-$C$5)=Parameters!$G$276),Parameters!$G$289,IF(AND(AY8&gt;$C$5,AY8&lt;$C$6,(AY8-$C$5)=Parameters!$G$275),Parameters!$G$288,0)))*(1+Parameters!$G$13)^(AY$8-$G$8)/1000</f>
        <v>0</v>
      </c>
      <c r="AZ10" s="536">
        <f>IF(AZ$8=$C$4,VLOOKUP($B10,Parameters!$E$256:$G$376,3,FALSE),IF(AND(AZ8&gt;$C$5,AZ8&lt;$C$6,(AZ8-$C$5)=Parameters!$G$276),Parameters!$G$289,IF(AND(AZ8&gt;$C$5,AZ8&lt;$C$6,(AZ8-$C$5)=Parameters!$G$275),Parameters!$G$288,0)))*(1+Parameters!$G$13)^(AZ$8-$G$8)/1000</f>
        <v>0</v>
      </c>
      <c r="BA10" s="536">
        <f>IF(BA$8=$C$4,VLOOKUP($B10,Parameters!$E$256:$G$376,3,FALSE),IF(AND(BA8&gt;$C$5,BA8&lt;$C$6,(BA8-$C$5)=Parameters!$G$276),Parameters!$G$289,IF(AND(BA8&gt;$C$5,BA8&lt;$C$6,(BA8-$C$5)=Parameters!$G$275),Parameters!$G$288,0)))*(1+Parameters!$G$13)^(BA$8-$G$8)/1000</f>
        <v>0</v>
      </c>
      <c r="BB10" s="536">
        <f>IF(BB$8=$C$4,VLOOKUP($B10,Parameters!$E$256:$G$376,3,FALSE),IF(AND(BB8&gt;$C$5,BB8&lt;$C$6,(BB8-$C$5)=Parameters!$G$276),Parameters!$G$289,IF(AND(BB8&gt;$C$5,BB8&lt;$C$6,(BB8-$C$5)=Parameters!$G$275),Parameters!$G$288,0)))*(1+Parameters!$G$13)^(BB$8-$G$8)/1000</f>
        <v>0</v>
      </c>
    </row>
    <row r="11" spans="2:54" x14ac:dyDescent="0.25">
      <c r="B11" s="979" t="str">
        <f>Parameters!E300</f>
        <v>Capex desalination unit</v>
      </c>
      <c r="C11" s="511" t="s">
        <v>979</v>
      </c>
      <c r="D11" s="538">
        <f t="shared" ref="D11:D18" si="9">SUM(G11:BB11)</f>
        <v>96.765280642775352</v>
      </c>
      <c r="E11" s="538">
        <f t="shared" ref="E11:E18" si="10">G11+NPV($C$43,H11:BB11)</f>
        <v>49.655889324712803</v>
      </c>
      <c r="F11" s="478"/>
      <c r="G11" s="527">
        <f>IF(G$8=$C$4,VLOOKUP($B11,Parameters!$E$256:$G$376,3,FALSE),0)*(1+Parameters!$G$13)^(G$8-$G$8)/1000</f>
        <v>0</v>
      </c>
      <c r="H11" s="527">
        <f>IF(H$8=$C$4,VLOOKUP($B11,Parameters!$E$256:$G$376,3,FALSE),0)*(1+Parameters!$G$13)^(H$8-$G$8)/1000</f>
        <v>0</v>
      </c>
      <c r="I11" s="527">
        <f>IF(I$8=$C$4,VLOOKUP($B11,Parameters!$E$256:$G$376,3,FALSE),0)*(1+Parameters!$G$13)^(I$8-$G$8)/1000</f>
        <v>0</v>
      </c>
      <c r="J11" s="527">
        <f>IF(J$8=$C$4,VLOOKUP($B11,Parameters!$E$256:$G$376,3,FALSE),0)*(1+Parameters!$G$13)^(J$8-$G$8)/1000</f>
        <v>0</v>
      </c>
      <c r="K11" s="527">
        <f>IF(K$8=$C$4,VLOOKUP($B11,Parameters!$E$256:$G$376,3,FALSE),0)*(1+Parameters!$G$13)^(K$8-$G$8)/1000</f>
        <v>0</v>
      </c>
      <c r="L11" s="527">
        <f>IF(L$8=$C$4,VLOOKUP($B11,Parameters!$E$256:$G$376,3,FALSE),0)*(1+Parameters!$G$13)^(L$8-$G$8)/1000</f>
        <v>0</v>
      </c>
      <c r="M11" s="527">
        <f>IF(M$8=$C$4,VLOOKUP($B11,Parameters!$E$256:$G$376,3,FALSE),0)*(1+Parameters!$G$13)^(M$8-$G$8)/1000</f>
        <v>0</v>
      </c>
      <c r="N11" s="527">
        <f>IF(N$8=$C$4,VLOOKUP($B11,Parameters!$E$256:$G$376,3,FALSE),0)*(1+Parameters!$G$13)^(N$8-$G$8)/1000</f>
        <v>96.765280642775352</v>
      </c>
      <c r="O11" s="527">
        <f>IF(O$8=$C$4,VLOOKUP($B11,Parameters!$E$256:$G$376,3,FALSE),0)*(1+Parameters!$G$13)^(O$8-$G$8)/1000</f>
        <v>0</v>
      </c>
      <c r="P11" s="527">
        <f>IF(P$8=$C$4,VLOOKUP($B11,Parameters!$E$256:$G$376,3,FALSE),0)*(1+Parameters!$G$13)^(P$8-$G$8)/1000</f>
        <v>0</v>
      </c>
      <c r="Q11" s="527">
        <f>IF(Q$8=$C$4,VLOOKUP($B11,Parameters!$E$256:$G$376,3,FALSE),0)*(1+Parameters!$G$13)^(Q$8-$G$8)/1000</f>
        <v>0</v>
      </c>
      <c r="R11" s="527">
        <f>IF(R$8=$C$4,VLOOKUP($B11,Parameters!$E$256:$G$376,3,FALSE),0)*(1+Parameters!$G$13)^(R$8-$G$8)/1000</f>
        <v>0</v>
      </c>
      <c r="S11" s="527">
        <f>IF(S$8=$C$4,VLOOKUP($B11,Parameters!$E$256:$G$376,3,FALSE),0)*(1+Parameters!$G$13)^(S$8-$G$8)/1000</f>
        <v>0</v>
      </c>
      <c r="T11" s="527">
        <f>IF(T$8=$C$4,VLOOKUP($B11,Parameters!$E$256:$G$376,3,FALSE),0)*(1+Parameters!$G$13)^(T$8-$G$8)/1000</f>
        <v>0</v>
      </c>
      <c r="U11" s="527">
        <f>IF(U$8=$C$4,VLOOKUP($B11,Parameters!$E$256:$G$376,3,FALSE),0)*(1+Parameters!$G$13)^(U$8-$G$8)/1000</f>
        <v>0</v>
      </c>
      <c r="V11" s="527">
        <f>IF(V$8=$C$4,VLOOKUP($B11,Parameters!$E$256:$G$376,3,FALSE),0)*(1+Parameters!$G$13)^(V$8-$G$8)/1000</f>
        <v>0</v>
      </c>
      <c r="W11" s="527">
        <f>IF(W$8=$C$4,VLOOKUP($B11,Parameters!$E$256:$G$376,3,FALSE),0)*(1+Parameters!$G$13)^(W$8-$G$8)/1000</f>
        <v>0</v>
      </c>
      <c r="X11" s="527">
        <f>IF(X$8=$C$4,VLOOKUP($B11,Parameters!$E$256:$G$376,3,FALSE),0)*(1+Parameters!$G$13)^(X$8-$G$8)/1000</f>
        <v>0</v>
      </c>
      <c r="Y11" s="527">
        <f>IF(Y$8=$C$4,VLOOKUP($B11,Parameters!$E$256:$G$376,3,FALSE),0)*(1+Parameters!$G$13)^(Y$8-$G$8)/1000</f>
        <v>0</v>
      </c>
      <c r="Z11" s="527">
        <f>IF(Z$8=$C$4,VLOOKUP($B11,Parameters!$E$256:$G$376,3,FALSE),0)*(1+Parameters!$G$13)^(Z$8-$G$8)/1000</f>
        <v>0</v>
      </c>
      <c r="AA11" s="527">
        <f>IF(AA$8=$C$4,VLOOKUP($B11,Parameters!$E$256:$G$376,3,FALSE),0)*(1+Parameters!$G$13)^(AA$8-$G$8)/1000</f>
        <v>0</v>
      </c>
      <c r="AB11" s="527">
        <f>IF(AB$8=$C$4,VLOOKUP($B11,Parameters!$E$256:$G$376,3,FALSE),0)*(1+Parameters!$G$13)^(AB$8-$G$8)/1000</f>
        <v>0</v>
      </c>
      <c r="AC11" s="527">
        <f>IF(AC$8=$C$4,VLOOKUP($B11,Parameters!$E$256:$G$376,3,FALSE),0)*(1+Parameters!$G$13)^(AC$8-$G$8)/1000</f>
        <v>0</v>
      </c>
      <c r="AD11" s="527">
        <f>IF(AD$8=$C$4,VLOOKUP($B11,Parameters!$E$256:$G$376,3,FALSE),0)*(1+Parameters!$G$13)^(AD$8-$G$8)/1000</f>
        <v>0</v>
      </c>
      <c r="AE11" s="527">
        <f>IF(AE$8=$C$4,VLOOKUP($B11,Parameters!$E$256:$G$376,3,FALSE),0)*(1+Parameters!$G$13)^(AE$8-$G$8)/1000</f>
        <v>0</v>
      </c>
      <c r="AF11" s="527">
        <f>IF(AF$8=$C$4,VLOOKUP($B11,Parameters!$E$256:$G$376,3,FALSE),0)*(1+Parameters!$G$13)^(AF$8-$G$8)/1000</f>
        <v>0</v>
      </c>
      <c r="AG11" s="527">
        <f>IF(AG$8=$C$4,VLOOKUP($B11,Parameters!$E$256:$G$376,3,FALSE),0)*(1+Parameters!$G$13)^(AG$8-$G$8)/1000</f>
        <v>0</v>
      </c>
      <c r="AH11" s="527">
        <f>IF(AH$8=$C$4,VLOOKUP($B11,Parameters!$E$256:$G$376,3,FALSE),0)*(1+Parameters!$G$13)^(AH$8-$G$8)/1000</f>
        <v>0</v>
      </c>
      <c r="AI11" s="527">
        <f>IF(AI$8=$C$4,VLOOKUP($B11,Parameters!$E$256:$G$376,3,FALSE),0)*(1+Parameters!$G$13)^(AI$8-$G$8)/1000</f>
        <v>0</v>
      </c>
      <c r="AJ11" s="527">
        <f>IF(AJ$8=$C$4,VLOOKUP($B11,Parameters!$E$256:$G$376,3,FALSE),0)*(1+Parameters!$G$13)^(AJ$8-$G$8)/1000</f>
        <v>0</v>
      </c>
      <c r="AK11" s="527">
        <f>IF(AK$8=$C$4,VLOOKUP($B11,Parameters!$E$256:$G$376,3,FALSE),0)*(1+Parameters!$G$13)^(AK$8-$G$8)/1000</f>
        <v>0</v>
      </c>
      <c r="AL11" s="527">
        <f>IF(AL$8=$C$4,VLOOKUP($B11,Parameters!$E$256:$G$376,3,FALSE),0)*(1+Parameters!$G$13)^(AL$8-$G$8)/1000</f>
        <v>0</v>
      </c>
      <c r="AM11" s="527">
        <f>IF(AM$8=$C$4,VLOOKUP($B11,Parameters!$E$256:$G$376,3,FALSE),0)*(1+Parameters!$G$13)^(AM$8-$G$8)/1000</f>
        <v>0</v>
      </c>
      <c r="AN11" s="527">
        <f>IF(AN$8=$C$4,VLOOKUP($B11,Parameters!$E$256:$G$376,3,FALSE),0)*(1+Parameters!$G$13)^(AN$8-$G$8)/1000</f>
        <v>0</v>
      </c>
      <c r="AO11" s="527">
        <f>IF(AO$8=$C$4,VLOOKUP($B11,Parameters!$E$256:$G$376,3,FALSE),0)*(1+Parameters!$G$13)^(AO$8-$G$8)/1000</f>
        <v>0</v>
      </c>
      <c r="AP11" s="527">
        <f>IF(AP$8=$C$4,VLOOKUP($B11,Parameters!$E$256:$G$376,3,FALSE),0)*(1+Parameters!$G$13)^(AP$8-$G$8)/1000</f>
        <v>0</v>
      </c>
      <c r="AQ11" s="527">
        <f>IF(AQ$8=$C$4,VLOOKUP($B11,Parameters!$E$256:$G$376,3,FALSE),0)*(1+Parameters!$G$13)^(AQ$8-$G$8)/1000</f>
        <v>0</v>
      </c>
      <c r="AR11" s="527">
        <f>IF(AR$8=$C$4,VLOOKUP($B11,Parameters!$E$256:$G$376,3,FALSE),0)*(1+Parameters!$G$13)^(AR$8-$G$8)/1000</f>
        <v>0</v>
      </c>
      <c r="AS11" s="527">
        <f>IF(AS$8=$C$4,VLOOKUP($B11,Parameters!$E$256:$G$376,3,FALSE),0)*(1+Parameters!$G$13)^(AS$8-$G$8)/1000</f>
        <v>0</v>
      </c>
      <c r="AT11" s="527">
        <f>IF(AT$8=$C$4,VLOOKUP($B11,Parameters!$E$256:$G$376,3,FALSE),0)*(1+Parameters!$G$13)^(AT$8-$G$8)/1000</f>
        <v>0</v>
      </c>
      <c r="AU11" s="527">
        <f>IF(AU$8=$C$4,VLOOKUP($B11,Parameters!$E$256:$G$376,3,FALSE),0)*(1+Parameters!$G$13)^(AU$8-$G$8)/1000</f>
        <v>0</v>
      </c>
      <c r="AV11" s="527">
        <f>IF(AV$8=$C$4,VLOOKUP($B11,Parameters!$E$256:$G$376,3,FALSE),0)*(1+Parameters!$G$13)^(AV$8-$G$8)/1000</f>
        <v>0</v>
      </c>
      <c r="AW11" s="527">
        <f>IF(AW$8=$C$4,VLOOKUP($B11,Parameters!$E$256:$G$376,3,FALSE),0)*(1+Parameters!$G$13)^(AW$8-$G$8)/1000</f>
        <v>0</v>
      </c>
      <c r="AX11" s="527">
        <f>IF(AX$8=$C$4,VLOOKUP($B11,Parameters!$E$256:$G$376,3,FALSE),0)*(1+Parameters!$G$13)^(AX$8-$G$8)/1000</f>
        <v>0</v>
      </c>
      <c r="AY11" s="527">
        <f>IF(AY$8=$C$4,VLOOKUP($B11,Parameters!$E$256:$G$376,3,FALSE),0)*(1+Parameters!$G$13)^(AY$8-$G$8)/1000</f>
        <v>0</v>
      </c>
      <c r="AZ11" s="527">
        <f>IF(AZ$8=$C$4,VLOOKUP($B11,Parameters!$E$256:$G$376,3,FALSE),0)*(1+Parameters!$G$13)^(AZ$8-$G$8)/1000</f>
        <v>0</v>
      </c>
      <c r="BA11" s="527">
        <f>IF(BA$8=$C$4,VLOOKUP($B11,Parameters!$E$256:$G$376,3,FALSE),0)*(1+Parameters!$G$13)^(BA$8-$G$8)/1000</f>
        <v>0</v>
      </c>
      <c r="BB11" s="527">
        <f>IF(BB$8=$C$4,VLOOKUP($B11,Parameters!$E$256:$G$376,3,FALSE),0)*(1+Parameters!$G$13)^(BB$8-$G$8)/1000</f>
        <v>0</v>
      </c>
    </row>
    <row r="12" spans="2:54" x14ac:dyDescent="0.25">
      <c r="B12" s="979" t="str">
        <f>Parameters!E317</f>
        <v>Capex compressor</v>
      </c>
      <c r="C12" s="511" t="s">
        <v>979</v>
      </c>
      <c r="D12" s="512">
        <f t="shared" si="9"/>
        <v>209.73138440952872</v>
      </c>
      <c r="E12" s="512">
        <f t="shared" si="10"/>
        <v>107.62536255751468</v>
      </c>
      <c r="F12" s="478"/>
      <c r="G12" s="527">
        <f>IF(G$8=$C$4,VLOOKUP($B12,Parameters!$E$256:$G$376,3,FALSE),0)*(1+Parameters!$G$13)^(G$8-$G$8)/1000</f>
        <v>0</v>
      </c>
      <c r="H12" s="527">
        <f>IF(H$8=$C$4,VLOOKUP($B12,Parameters!$E$256:$G$376,3,FALSE),0)*(1+Parameters!$G$13)^(H$8-$G$8)/1000</f>
        <v>0</v>
      </c>
      <c r="I12" s="527">
        <f>IF(I$8=$C$4,VLOOKUP($B12,Parameters!$E$256:$G$376,3,FALSE),0)*(1+Parameters!$G$13)^(I$8-$G$8)/1000</f>
        <v>0</v>
      </c>
      <c r="J12" s="527">
        <f>IF(J$8=$C$4,VLOOKUP($B12,Parameters!$E$256:$G$376,3,FALSE),0)*(1+Parameters!$G$13)^(J$8-$G$8)/1000</f>
        <v>0</v>
      </c>
      <c r="K12" s="527">
        <f>IF(K$8=$C$4,VLOOKUP($B12,Parameters!$E$256:$G$376,3,FALSE),0)*(1+Parameters!$G$13)^(K$8-$G$8)/1000</f>
        <v>0</v>
      </c>
      <c r="L12" s="527">
        <f>IF(L$8=$C$4,VLOOKUP($B12,Parameters!$E$256:$G$376,3,FALSE),0)*(1+Parameters!$G$13)^(L$8-$G$8)/1000</f>
        <v>0</v>
      </c>
      <c r="M12" s="527">
        <f>IF(M$8=$C$4,VLOOKUP($B12,Parameters!$E$256:$G$376,3,FALSE),0)*(1+Parameters!$G$13)^(M$8-$G$8)/1000</f>
        <v>0</v>
      </c>
      <c r="N12" s="527">
        <f>IF(N$8=$C$4,VLOOKUP($B12,Parameters!$E$256:$G$376,3,FALSE),0)*(1+Parameters!$G$13)^(N$8-$G$8)/1000</f>
        <v>209.73138440952872</v>
      </c>
      <c r="O12" s="527">
        <f>IF(O$8=$C$4,VLOOKUP($B12,Parameters!$E$256:$G$376,3,FALSE),0)*(1+Parameters!$G$13)^(O$8-$G$8)/1000</f>
        <v>0</v>
      </c>
      <c r="P12" s="527">
        <f>IF(P$8=$C$4,VLOOKUP($B12,Parameters!$E$256:$G$376,3,FALSE),0)*(1+Parameters!$G$13)^(P$8-$G$8)/1000</f>
        <v>0</v>
      </c>
      <c r="Q12" s="527">
        <f>IF(Q$8=$C$4,VLOOKUP($B12,Parameters!$E$256:$G$376,3,FALSE),0)*(1+Parameters!$G$13)^(Q$8-$G$8)/1000</f>
        <v>0</v>
      </c>
      <c r="R12" s="527">
        <f>IF(R$8=$C$4,VLOOKUP($B12,Parameters!$E$256:$G$376,3,FALSE),0)*(1+Parameters!$G$13)^(R$8-$G$8)/1000</f>
        <v>0</v>
      </c>
      <c r="S12" s="527">
        <f>IF(S$8=$C$4,VLOOKUP($B12,Parameters!$E$256:$G$376,3,FALSE),0)*(1+Parameters!$G$13)^(S$8-$G$8)/1000</f>
        <v>0</v>
      </c>
      <c r="T12" s="527">
        <f>IF(T$8=$C$4,VLOOKUP($B12,Parameters!$E$256:$G$376,3,FALSE),0)*(1+Parameters!$G$13)^(T$8-$G$8)/1000</f>
        <v>0</v>
      </c>
      <c r="U12" s="527">
        <f>IF(U$8=$C$4,VLOOKUP($B12,Parameters!$E$256:$G$376,3,FALSE),0)*(1+Parameters!$G$13)^(U$8-$G$8)/1000</f>
        <v>0</v>
      </c>
      <c r="V12" s="527">
        <f>IF(V$8=$C$4,VLOOKUP($B12,Parameters!$E$256:$G$376,3,FALSE),0)*(1+Parameters!$G$13)^(V$8-$G$8)/1000</f>
        <v>0</v>
      </c>
      <c r="W12" s="527">
        <f>IF(W$8=$C$4,VLOOKUP($B12,Parameters!$E$256:$G$376,3,FALSE),0)*(1+Parameters!$G$13)^(W$8-$G$8)/1000</f>
        <v>0</v>
      </c>
      <c r="X12" s="527">
        <f>IF(X$8=$C$4,VLOOKUP($B12,Parameters!$E$256:$G$376,3,FALSE),0)*(1+Parameters!$G$13)^(X$8-$G$8)/1000</f>
        <v>0</v>
      </c>
      <c r="Y12" s="527">
        <f>IF(Y$8=$C$4,VLOOKUP($B12,Parameters!$E$256:$G$376,3,FALSE),0)*(1+Parameters!$G$13)^(Y$8-$G$8)/1000</f>
        <v>0</v>
      </c>
      <c r="Z12" s="527">
        <f>IF(Z$8=$C$4,VLOOKUP($B12,Parameters!$E$256:$G$376,3,FALSE),0)*(1+Parameters!$G$13)^(Z$8-$G$8)/1000</f>
        <v>0</v>
      </c>
      <c r="AA12" s="527">
        <f>IF(AA$8=$C$4,VLOOKUP($B12,Parameters!$E$256:$G$376,3,FALSE),0)*(1+Parameters!$G$13)^(AA$8-$G$8)/1000</f>
        <v>0</v>
      </c>
      <c r="AB12" s="527">
        <f>IF(AB$8=$C$4,VLOOKUP($B12,Parameters!$E$256:$G$376,3,FALSE),0)*(1+Parameters!$G$13)^(AB$8-$G$8)/1000</f>
        <v>0</v>
      </c>
      <c r="AC12" s="527">
        <f>IF(AC$8=$C$4,VLOOKUP($B12,Parameters!$E$256:$G$376,3,FALSE),0)*(1+Parameters!$G$13)^(AC$8-$G$8)/1000</f>
        <v>0</v>
      </c>
      <c r="AD12" s="527">
        <f>IF(AD$8=$C$4,VLOOKUP($B12,Parameters!$E$256:$G$376,3,FALSE),0)*(1+Parameters!$G$13)^(AD$8-$G$8)/1000</f>
        <v>0</v>
      </c>
      <c r="AE12" s="527">
        <f>IF(AE$8=$C$4,VLOOKUP($B12,Parameters!$E$256:$G$376,3,FALSE),0)*(1+Parameters!$G$13)^(AE$8-$G$8)/1000</f>
        <v>0</v>
      </c>
      <c r="AF12" s="527">
        <f>IF(AF$8=$C$4,VLOOKUP($B12,Parameters!$E$256:$G$376,3,FALSE),0)*(1+Parameters!$G$13)^(AF$8-$G$8)/1000</f>
        <v>0</v>
      </c>
      <c r="AG12" s="527">
        <f>IF(AG$8=$C$4,VLOOKUP($B12,Parameters!$E$256:$G$376,3,FALSE),0)*(1+Parameters!$G$13)^(AG$8-$G$8)/1000</f>
        <v>0</v>
      </c>
      <c r="AH12" s="527">
        <f>IF(AH$8=$C$4,VLOOKUP($B12,Parameters!$E$256:$G$376,3,FALSE),0)*(1+Parameters!$G$13)^(AH$8-$G$8)/1000</f>
        <v>0</v>
      </c>
      <c r="AI12" s="527">
        <f>IF(AI$8=$C$4,VLOOKUP($B12,Parameters!$E$256:$G$376,3,FALSE),0)*(1+Parameters!$G$13)^(AI$8-$G$8)/1000</f>
        <v>0</v>
      </c>
      <c r="AJ12" s="527">
        <f>IF(AJ$8=$C$4,VLOOKUP($B12,Parameters!$E$256:$G$376,3,FALSE),0)*(1+Parameters!$G$13)^(AJ$8-$G$8)/1000</f>
        <v>0</v>
      </c>
      <c r="AK12" s="527">
        <f>IF(AK$8=$C$4,VLOOKUP($B12,Parameters!$E$256:$G$376,3,FALSE),0)*(1+Parameters!$G$13)^(AK$8-$G$8)/1000</f>
        <v>0</v>
      </c>
      <c r="AL12" s="527">
        <f>IF(AL$8=$C$4,VLOOKUP($B12,Parameters!$E$256:$G$376,3,FALSE),0)*(1+Parameters!$G$13)^(AL$8-$G$8)/1000</f>
        <v>0</v>
      </c>
      <c r="AM12" s="527">
        <f>IF(AM$8=$C$4,VLOOKUP($B12,Parameters!$E$256:$G$376,3,FALSE),0)*(1+Parameters!$G$13)^(AM$8-$G$8)/1000</f>
        <v>0</v>
      </c>
      <c r="AN12" s="527">
        <f>IF(AN$8=$C$4,VLOOKUP($B12,Parameters!$E$256:$G$376,3,FALSE),0)*(1+Parameters!$G$13)^(AN$8-$G$8)/1000</f>
        <v>0</v>
      </c>
      <c r="AO12" s="527">
        <f>IF(AO$8=$C$4,VLOOKUP($B12,Parameters!$E$256:$G$376,3,FALSE),0)*(1+Parameters!$G$13)^(AO$8-$G$8)/1000</f>
        <v>0</v>
      </c>
      <c r="AP12" s="527">
        <f>IF(AP$8=$C$4,VLOOKUP($B12,Parameters!$E$256:$G$376,3,FALSE),0)*(1+Parameters!$G$13)^(AP$8-$G$8)/1000</f>
        <v>0</v>
      </c>
      <c r="AQ12" s="527">
        <f>IF(AQ$8=$C$4,VLOOKUP($B12,Parameters!$E$256:$G$376,3,FALSE),0)*(1+Parameters!$G$13)^(AQ$8-$G$8)/1000</f>
        <v>0</v>
      </c>
      <c r="AR12" s="527">
        <f>IF(AR$8=$C$4,VLOOKUP($B12,Parameters!$E$256:$G$376,3,FALSE),0)*(1+Parameters!$G$13)^(AR$8-$G$8)/1000</f>
        <v>0</v>
      </c>
      <c r="AS12" s="527">
        <f>IF(AS$8=$C$4,VLOOKUP($B12,Parameters!$E$256:$G$376,3,FALSE),0)*(1+Parameters!$G$13)^(AS$8-$G$8)/1000</f>
        <v>0</v>
      </c>
      <c r="AT12" s="527">
        <f>IF(AT$8=$C$4,VLOOKUP($B12,Parameters!$E$256:$G$376,3,FALSE),0)*(1+Parameters!$G$13)^(AT$8-$G$8)/1000</f>
        <v>0</v>
      </c>
      <c r="AU12" s="527">
        <f>IF(AU$8=$C$4,VLOOKUP($B12,Parameters!$E$256:$G$376,3,FALSE),0)*(1+Parameters!$G$13)^(AU$8-$G$8)/1000</f>
        <v>0</v>
      </c>
      <c r="AV12" s="527">
        <f>IF(AV$8=$C$4,VLOOKUP($B12,Parameters!$E$256:$G$376,3,FALSE),0)*(1+Parameters!$G$13)^(AV$8-$G$8)/1000</f>
        <v>0</v>
      </c>
      <c r="AW12" s="527">
        <f>IF(AW$8=$C$4,VLOOKUP($B12,Parameters!$E$256:$G$376,3,FALSE),0)*(1+Parameters!$G$13)^(AW$8-$G$8)/1000</f>
        <v>0</v>
      </c>
      <c r="AX12" s="527">
        <f>IF(AX$8=$C$4,VLOOKUP($B12,Parameters!$E$256:$G$376,3,FALSE),0)*(1+Parameters!$G$13)^(AX$8-$G$8)/1000</f>
        <v>0</v>
      </c>
      <c r="AY12" s="527">
        <f>IF(AY$8=$C$4,VLOOKUP($B12,Parameters!$E$256:$G$376,3,FALSE),0)*(1+Parameters!$G$13)^(AY$8-$G$8)/1000</f>
        <v>0</v>
      </c>
      <c r="AZ12" s="527">
        <f>IF(AZ$8=$C$4,VLOOKUP($B12,Parameters!$E$256:$G$376,3,FALSE),0)*(1+Parameters!$G$13)^(AZ$8-$G$8)/1000</f>
        <v>0</v>
      </c>
      <c r="BA12" s="527">
        <f>IF(BA$8=$C$4,VLOOKUP($B12,Parameters!$E$256:$G$376,3,FALSE),0)*(1+Parameters!$G$13)^(BA$8-$G$8)/1000</f>
        <v>0</v>
      </c>
      <c r="BB12" s="527">
        <f>IF(BB$8=$C$4,VLOOKUP($B12,Parameters!$E$256:$G$376,3,FALSE),0)*(1+Parameters!$G$13)^(BB$8-$G$8)/1000</f>
        <v>0</v>
      </c>
    </row>
    <row r="13" spans="2:54" x14ac:dyDescent="0.25">
      <c r="B13" s="979" t="str">
        <f>Parameters!E350</f>
        <v>Capex existing pipeline</v>
      </c>
      <c r="C13" s="511" t="s">
        <v>979</v>
      </c>
      <c r="D13" s="512">
        <f t="shared" si="9"/>
        <v>0</v>
      </c>
      <c r="E13" s="512">
        <f t="shared" si="10"/>
        <v>0</v>
      </c>
      <c r="F13" s="478"/>
      <c r="G13" s="527">
        <f>IF(G$8=$C$4,VLOOKUP($B13,Parameters!$E$256:$G$376,3,FALSE),0)*(1+Parameters!$G$13)^(G$8-$G$8)/1000</f>
        <v>0</v>
      </c>
      <c r="H13" s="527">
        <f>IF(H$8=$C$4,VLOOKUP($B13,Parameters!$E$256:$G$376,3,FALSE),0)*(1+Parameters!$G$13)^(H$8-$G$8)/1000</f>
        <v>0</v>
      </c>
      <c r="I13" s="527">
        <f>IF(I$8=$C$4,VLOOKUP($B13,Parameters!$E$256:$G$376,3,FALSE),0)*(1+Parameters!$G$13)^(I$8-$G$8)/1000</f>
        <v>0</v>
      </c>
      <c r="J13" s="527">
        <f>IF(J$8=$C$4,VLOOKUP($B13,Parameters!$E$256:$G$376,3,FALSE),0)*(1+Parameters!$G$13)^(J$8-$G$8)/1000</f>
        <v>0</v>
      </c>
      <c r="K13" s="527">
        <f>IF(K$8=$C$4,VLOOKUP($B13,Parameters!$E$256:$G$376,3,FALSE),0)*(1+Parameters!$G$13)^(K$8-$G$8)/1000</f>
        <v>0</v>
      </c>
      <c r="L13" s="527">
        <f>IF(L$8=$C$4,VLOOKUP($B13,Parameters!$E$256:$G$376,3,FALSE),0)*(1+Parameters!$G$13)^(L$8-$G$8)/1000</f>
        <v>0</v>
      </c>
      <c r="M13" s="527">
        <f>IF(M$8=$C$4,VLOOKUP($B13,Parameters!$E$256:$G$376,3,FALSE),0)*(1+Parameters!$G$13)^(M$8-$G$8)/1000</f>
        <v>0</v>
      </c>
      <c r="N13" s="527">
        <f>IF(N$8=$C$4,VLOOKUP($B13,Parameters!$E$256:$G$376,3,FALSE),0)*(1+Parameters!$G$13)^(N$8-$G$8)/1000</f>
        <v>0</v>
      </c>
      <c r="O13" s="527">
        <f>IF(O$8=$C$4,VLOOKUP($B13,Parameters!$E$256:$G$376,3,FALSE),0)*(1+Parameters!$G$13)^(O$8-$G$8)/1000</f>
        <v>0</v>
      </c>
      <c r="P13" s="527">
        <f>IF(P$8=$C$4,VLOOKUP($B13,Parameters!$E$256:$G$376,3,FALSE),0)*(1+Parameters!$G$13)^(P$8-$G$8)/1000</f>
        <v>0</v>
      </c>
      <c r="Q13" s="527">
        <f>IF(Q$8=$C$4,VLOOKUP($B13,Parameters!$E$256:$G$376,3,FALSE),0)*(1+Parameters!$G$13)^(Q$8-$G$8)/1000</f>
        <v>0</v>
      </c>
      <c r="R13" s="527">
        <f>IF(R$8=$C$4,VLOOKUP($B13,Parameters!$E$256:$G$376,3,FALSE),0)*(1+Parameters!$G$13)^(R$8-$G$8)/1000</f>
        <v>0</v>
      </c>
      <c r="S13" s="527">
        <f>IF(S$8=$C$4,VLOOKUP($B13,Parameters!$E$256:$G$376,3,FALSE),0)*(1+Parameters!$G$13)^(S$8-$G$8)/1000</f>
        <v>0</v>
      </c>
      <c r="T13" s="527">
        <f>IF(T$8=$C$4,VLOOKUP($B13,Parameters!$E$256:$G$376,3,FALSE),0)*(1+Parameters!$G$13)^(T$8-$G$8)/1000</f>
        <v>0</v>
      </c>
      <c r="U13" s="527">
        <f>IF(U$8=$C$4,VLOOKUP($B13,Parameters!$E$256:$G$376,3,FALSE),0)*(1+Parameters!$G$13)^(U$8-$G$8)/1000</f>
        <v>0</v>
      </c>
      <c r="V13" s="527">
        <f>IF(V$8=$C$4,VLOOKUP($B13,Parameters!$E$256:$G$376,3,FALSE),0)*(1+Parameters!$G$13)^(V$8-$G$8)/1000</f>
        <v>0</v>
      </c>
      <c r="W13" s="527">
        <f>IF(W$8=$C$4,VLOOKUP($B13,Parameters!$E$256:$G$376,3,FALSE),0)*(1+Parameters!$G$13)^(W$8-$G$8)/1000</f>
        <v>0</v>
      </c>
      <c r="X13" s="527">
        <f>IF(X$8=$C$4,VLOOKUP($B13,Parameters!$E$256:$G$376,3,FALSE),0)*(1+Parameters!$G$13)^(X$8-$G$8)/1000</f>
        <v>0</v>
      </c>
      <c r="Y13" s="527">
        <f>IF(Y$8=$C$4,VLOOKUP($B13,Parameters!$E$256:$G$376,3,FALSE),0)*(1+Parameters!$G$13)^(Y$8-$G$8)/1000</f>
        <v>0</v>
      </c>
      <c r="Z13" s="527">
        <f>IF(Z$8=$C$4,VLOOKUP($B13,Parameters!$E$256:$G$376,3,FALSE),0)*(1+Parameters!$G$13)^(Z$8-$G$8)/1000</f>
        <v>0</v>
      </c>
      <c r="AA13" s="527">
        <f>IF(AA$8=$C$4,VLOOKUP($B13,Parameters!$E$256:$G$376,3,FALSE),0)*(1+Parameters!$G$13)^(AA$8-$G$8)/1000</f>
        <v>0</v>
      </c>
      <c r="AB13" s="527">
        <f>IF(AB$8=$C$4,VLOOKUP($B13,Parameters!$E$256:$G$376,3,FALSE),0)*(1+Parameters!$G$13)^(AB$8-$G$8)/1000</f>
        <v>0</v>
      </c>
      <c r="AC13" s="527">
        <f>IF(AC$8=$C$4,VLOOKUP($B13,Parameters!$E$256:$G$376,3,FALSE),0)*(1+Parameters!$G$13)^(AC$8-$G$8)/1000</f>
        <v>0</v>
      </c>
      <c r="AD13" s="527">
        <f>IF(AD$8=$C$4,VLOOKUP($B13,Parameters!$E$256:$G$376,3,FALSE),0)*(1+Parameters!$G$13)^(AD$8-$G$8)/1000</f>
        <v>0</v>
      </c>
      <c r="AE13" s="527">
        <f>IF(AE$8=$C$4,VLOOKUP($B13,Parameters!$E$256:$G$376,3,FALSE),0)*(1+Parameters!$G$13)^(AE$8-$G$8)/1000</f>
        <v>0</v>
      </c>
      <c r="AF13" s="527">
        <f>IF(AF$8=$C$4,VLOOKUP($B13,Parameters!$E$256:$G$376,3,FALSE),0)*(1+Parameters!$G$13)^(AF$8-$G$8)/1000</f>
        <v>0</v>
      </c>
      <c r="AG13" s="527">
        <f>IF(AG$8=$C$4,VLOOKUP($B13,Parameters!$E$256:$G$376,3,FALSE),0)*(1+Parameters!$G$13)^(AG$8-$G$8)/1000</f>
        <v>0</v>
      </c>
      <c r="AH13" s="527">
        <f>IF(AH$8=$C$4,VLOOKUP($B13,Parameters!$E$256:$G$376,3,FALSE),0)*(1+Parameters!$G$13)^(AH$8-$G$8)/1000</f>
        <v>0</v>
      </c>
      <c r="AI13" s="527">
        <f>IF(AI$8=$C$4,VLOOKUP($B13,Parameters!$E$256:$G$376,3,FALSE),0)*(1+Parameters!$G$13)^(AI$8-$G$8)/1000</f>
        <v>0</v>
      </c>
      <c r="AJ13" s="527">
        <f>IF(AJ$8=$C$4,VLOOKUP($B13,Parameters!$E$256:$G$376,3,FALSE),0)*(1+Parameters!$G$13)^(AJ$8-$G$8)/1000</f>
        <v>0</v>
      </c>
      <c r="AK13" s="527">
        <f>IF(AK$8=$C$4,VLOOKUP($B13,Parameters!$E$256:$G$376,3,FALSE),0)*(1+Parameters!$G$13)^(AK$8-$G$8)/1000</f>
        <v>0</v>
      </c>
      <c r="AL13" s="527">
        <f>IF(AL$8=$C$4,VLOOKUP($B13,Parameters!$E$256:$G$376,3,FALSE),0)*(1+Parameters!$G$13)^(AL$8-$G$8)/1000</f>
        <v>0</v>
      </c>
      <c r="AM13" s="527">
        <f>IF(AM$8=$C$4,VLOOKUP($B13,Parameters!$E$256:$G$376,3,FALSE),0)*(1+Parameters!$G$13)^(AM$8-$G$8)/1000</f>
        <v>0</v>
      </c>
      <c r="AN13" s="527">
        <f>IF(AN$8=$C$4,VLOOKUP($B13,Parameters!$E$256:$G$376,3,FALSE),0)*(1+Parameters!$G$13)^(AN$8-$G$8)/1000</f>
        <v>0</v>
      </c>
      <c r="AO13" s="527">
        <f>IF(AO$8=$C$4,VLOOKUP($B13,Parameters!$E$256:$G$376,3,FALSE),0)*(1+Parameters!$G$13)^(AO$8-$G$8)/1000</f>
        <v>0</v>
      </c>
      <c r="AP13" s="527">
        <f>IF(AP$8=$C$4,VLOOKUP($B13,Parameters!$E$256:$G$376,3,FALSE),0)*(1+Parameters!$G$13)^(AP$8-$G$8)/1000</f>
        <v>0</v>
      </c>
      <c r="AQ13" s="527">
        <f>IF(AQ$8=$C$4,VLOOKUP($B13,Parameters!$E$256:$G$376,3,FALSE),0)*(1+Parameters!$G$13)^(AQ$8-$G$8)/1000</f>
        <v>0</v>
      </c>
      <c r="AR13" s="527">
        <f>IF(AR$8=$C$4,VLOOKUP($B13,Parameters!$E$256:$G$376,3,FALSE),0)*(1+Parameters!$G$13)^(AR$8-$G$8)/1000</f>
        <v>0</v>
      </c>
      <c r="AS13" s="527">
        <f>IF(AS$8=$C$4,VLOOKUP($B13,Parameters!$E$256:$G$376,3,FALSE),0)*(1+Parameters!$G$13)^(AS$8-$G$8)/1000</f>
        <v>0</v>
      </c>
      <c r="AT13" s="527">
        <f>IF(AT$8=$C$4,VLOOKUP($B13,Parameters!$E$256:$G$376,3,FALSE),0)*(1+Parameters!$G$13)^(AT$8-$G$8)/1000</f>
        <v>0</v>
      </c>
      <c r="AU13" s="527">
        <f>IF(AU$8=$C$4,VLOOKUP($B13,Parameters!$E$256:$G$376,3,FALSE),0)*(1+Parameters!$G$13)^(AU$8-$G$8)/1000</f>
        <v>0</v>
      </c>
      <c r="AV13" s="527">
        <f>IF(AV$8=$C$4,VLOOKUP($B13,Parameters!$E$256:$G$376,3,FALSE),0)*(1+Parameters!$G$13)^(AV$8-$G$8)/1000</f>
        <v>0</v>
      </c>
      <c r="AW13" s="527">
        <f>IF(AW$8=$C$4,VLOOKUP($B13,Parameters!$E$256:$G$376,3,FALSE),0)*(1+Parameters!$G$13)^(AW$8-$G$8)/1000</f>
        <v>0</v>
      </c>
      <c r="AX13" s="527">
        <f>IF(AX$8=$C$4,VLOOKUP($B13,Parameters!$E$256:$G$376,3,FALSE),0)*(1+Parameters!$G$13)^(AX$8-$G$8)/1000</f>
        <v>0</v>
      </c>
      <c r="AY13" s="527">
        <f>IF(AY$8=$C$4,VLOOKUP($B13,Parameters!$E$256:$G$376,3,FALSE),0)*(1+Parameters!$G$13)^(AY$8-$G$8)/1000</f>
        <v>0</v>
      </c>
      <c r="AZ13" s="527">
        <f>IF(AZ$8=$C$4,VLOOKUP($B13,Parameters!$E$256:$G$376,3,FALSE),0)*(1+Parameters!$G$13)^(AZ$8-$G$8)/1000</f>
        <v>0</v>
      </c>
      <c r="BA13" s="527">
        <f>IF(BA$8=$C$4,VLOOKUP($B13,Parameters!$E$256:$G$376,3,FALSE),0)*(1+Parameters!$G$13)^(BA$8-$G$8)/1000</f>
        <v>0</v>
      </c>
      <c r="BB13" s="527">
        <f>IF(BB$8=$C$4,VLOOKUP($B13,Parameters!$E$256:$G$376,3,FALSE),0)*(1+Parameters!$G$13)^(BB$8-$G$8)/1000</f>
        <v>0</v>
      </c>
    </row>
    <row r="14" spans="2:54" x14ac:dyDescent="0.25">
      <c r="B14" s="979" t="str">
        <f>Parameters!E363</f>
        <v>Capex cable (H2)</v>
      </c>
      <c r="C14" s="511" t="s">
        <v>979</v>
      </c>
      <c r="D14" s="512">
        <f t="shared" si="9"/>
        <v>21619.047801249591</v>
      </c>
      <c r="E14" s="512">
        <f t="shared" si="10"/>
        <v>11093.989887628932</v>
      </c>
      <c r="F14" s="478"/>
      <c r="G14" s="527">
        <f>IF(G$8=$C$4,VLOOKUP($B14,Parameters!$E$256:$G$376,3,FALSE),0)*(1+Parameters!$G$13)^(G$8-$G$8)/1000</f>
        <v>0</v>
      </c>
      <c r="H14" s="527">
        <f>IF(H$8=$C$4,VLOOKUP($B14,Parameters!$E$256:$G$376,3,FALSE),0)*(1+Parameters!$G$13)^(H$8-$G$8)/1000</f>
        <v>0</v>
      </c>
      <c r="I14" s="527">
        <f>IF(I$8=$C$4,VLOOKUP($B14,Parameters!$E$256:$G$376,3,FALSE),0)*(1+Parameters!$G$13)^(I$8-$G$8)/1000</f>
        <v>0</v>
      </c>
      <c r="J14" s="527">
        <f>IF(J$8=$C$4,VLOOKUP($B14,Parameters!$E$256:$G$376,3,FALSE),0)*(1+Parameters!$G$13)^(J$8-$G$8)/1000</f>
        <v>0</v>
      </c>
      <c r="K14" s="527">
        <f>IF(K$8=$C$4,VLOOKUP($B14,Parameters!$E$256:$G$376,3,FALSE),0)*(1+Parameters!$G$13)^(K$8-$G$8)/1000</f>
        <v>0</v>
      </c>
      <c r="L14" s="527">
        <f>IF(L$8=$C$4,VLOOKUP($B14,Parameters!$E$256:$G$376,3,FALSE),0)*(1+Parameters!$G$13)^(L$8-$G$8)/1000</f>
        <v>0</v>
      </c>
      <c r="M14" s="527">
        <f>IF(M$8=$C$4,VLOOKUP($B14,Parameters!$E$256:$G$376,3,FALSE),0)*(1+Parameters!$G$13)^(M$8-$G$8)/1000</f>
        <v>0</v>
      </c>
      <c r="N14" s="527">
        <f>IF(N$8=$C$4,VLOOKUP($B14,Parameters!$E$256:$G$376,3,FALSE),0)*(1+Parameters!$G$13)^(N$8-$G$8)/1000</f>
        <v>21619.047801249591</v>
      </c>
      <c r="O14" s="527">
        <f>IF(O$8=$C$4,VLOOKUP($B14,Parameters!$E$256:$G$376,3,FALSE),0)*(1+Parameters!$G$13)^(O$8-$G$8)/1000</f>
        <v>0</v>
      </c>
      <c r="P14" s="527">
        <f>IF(P$8=$C$4,VLOOKUP($B14,Parameters!$E$256:$G$376,3,FALSE),0)*(1+Parameters!$G$13)^(P$8-$G$8)/1000</f>
        <v>0</v>
      </c>
      <c r="Q14" s="527">
        <f>IF(Q$8=$C$4,VLOOKUP($B14,Parameters!$E$256:$G$376,3,FALSE),0)*(1+Parameters!$G$13)^(Q$8-$G$8)/1000</f>
        <v>0</v>
      </c>
      <c r="R14" s="527">
        <f>IF(R$8=$C$4,VLOOKUP($B14,Parameters!$E$256:$G$376,3,FALSE),0)*(1+Parameters!$G$13)^(R$8-$G$8)/1000</f>
        <v>0</v>
      </c>
      <c r="S14" s="527">
        <f>IF(S$8=$C$4,VLOOKUP($B14,Parameters!$E$256:$G$376,3,FALSE),0)*(1+Parameters!$G$13)^(S$8-$G$8)/1000</f>
        <v>0</v>
      </c>
      <c r="T14" s="527">
        <f>IF(T$8=$C$4,VLOOKUP($B14,Parameters!$E$256:$G$376,3,FALSE),0)*(1+Parameters!$G$13)^(T$8-$G$8)/1000</f>
        <v>0</v>
      </c>
      <c r="U14" s="527">
        <f>IF(U$8=$C$4,VLOOKUP($B14,Parameters!$E$256:$G$376,3,FALSE),0)*(1+Parameters!$G$13)^(U$8-$G$8)/1000</f>
        <v>0</v>
      </c>
      <c r="V14" s="527">
        <f>IF(V$8=$C$4,VLOOKUP($B14,Parameters!$E$256:$G$376,3,FALSE),0)*(1+Parameters!$G$13)^(V$8-$G$8)/1000</f>
        <v>0</v>
      </c>
      <c r="W14" s="527">
        <f>IF(W$8=$C$4,VLOOKUP($B14,Parameters!$E$256:$G$376,3,FALSE),0)*(1+Parameters!$G$13)^(W$8-$G$8)/1000</f>
        <v>0</v>
      </c>
      <c r="X14" s="527">
        <f>IF(X$8=$C$4,VLOOKUP($B14,Parameters!$E$256:$G$376,3,FALSE),0)*(1+Parameters!$G$13)^(X$8-$G$8)/1000</f>
        <v>0</v>
      </c>
      <c r="Y14" s="527">
        <f>IF(Y$8=$C$4,VLOOKUP($B14,Parameters!$E$256:$G$376,3,FALSE),0)*(1+Parameters!$G$13)^(Y$8-$G$8)/1000</f>
        <v>0</v>
      </c>
      <c r="Z14" s="527">
        <f>IF(Z$8=$C$4,VLOOKUP($B14,Parameters!$E$256:$G$376,3,FALSE),0)*(1+Parameters!$G$13)^(Z$8-$G$8)/1000</f>
        <v>0</v>
      </c>
      <c r="AA14" s="527">
        <f>IF(AA$8=$C$4,VLOOKUP($B14,Parameters!$E$256:$G$376,3,FALSE),0)*(1+Parameters!$G$13)^(AA$8-$G$8)/1000</f>
        <v>0</v>
      </c>
      <c r="AB14" s="527">
        <f>IF(AB$8=$C$4,VLOOKUP($B14,Parameters!$E$256:$G$376,3,FALSE),0)*(1+Parameters!$G$13)^(AB$8-$G$8)/1000</f>
        <v>0</v>
      </c>
      <c r="AC14" s="527">
        <f>IF(AC$8=$C$4,VLOOKUP($B14,Parameters!$E$256:$G$376,3,FALSE),0)*(1+Parameters!$G$13)^(AC$8-$G$8)/1000</f>
        <v>0</v>
      </c>
      <c r="AD14" s="527">
        <f>IF(AD$8=$C$4,VLOOKUP($B14,Parameters!$E$256:$G$376,3,FALSE),0)*(1+Parameters!$G$13)^(AD$8-$G$8)/1000</f>
        <v>0</v>
      </c>
      <c r="AE14" s="527">
        <f>IF(AE$8=$C$4,VLOOKUP($B14,Parameters!$E$256:$G$376,3,FALSE),0)*(1+Parameters!$G$13)^(AE$8-$G$8)/1000</f>
        <v>0</v>
      </c>
      <c r="AF14" s="527">
        <f>IF(AF$8=$C$4,VLOOKUP($B14,Parameters!$E$256:$G$376,3,FALSE),0)*(1+Parameters!$G$13)^(AF$8-$G$8)/1000</f>
        <v>0</v>
      </c>
      <c r="AG14" s="527">
        <f>IF(AG$8=$C$4,VLOOKUP($B14,Parameters!$E$256:$G$376,3,FALSE),0)*(1+Parameters!$G$13)^(AG$8-$G$8)/1000</f>
        <v>0</v>
      </c>
      <c r="AH14" s="527">
        <f>IF(AH$8=$C$4,VLOOKUP($B14,Parameters!$E$256:$G$376,3,FALSE),0)*(1+Parameters!$G$13)^(AH$8-$G$8)/1000</f>
        <v>0</v>
      </c>
      <c r="AI14" s="527">
        <f>IF(AI$8=$C$4,VLOOKUP($B14,Parameters!$E$256:$G$376,3,FALSE),0)*(1+Parameters!$G$13)^(AI$8-$G$8)/1000</f>
        <v>0</v>
      </c>
      <c r="AJ14" s="527">
        <f>IF(AJ$8=$C$4,VLOOKUP($B14,Parameters!$E$256:$G$376,3,FALSE),0)*(1+Parameters!$G$13)^(AJ$8-$G$8)/1000</f>
        <v>0</v>
      </c>
      <c r="AK14" s="527">
        <f>IF(AK$8=$C$4,VLOOKUP($B14,Parameters!$E$256:$G$376,3,FALSE),0)*(1+Parameters!$G$13)^(AK$8-$G$8)/1000</f>
        <v>0</v>
      </c>
      <c r="AL14" s="527">
        <f>IF(AL$8=$C$4,VLOOKUP($B14,Parameters!$E$256:$G$376,3,FALSE),0)*(1+Parameters!$G$13)^(AL$8-$G$8)/1000</f>
        <v>0</v>
      </c>
      <c r="AM14" s="527">
        <f>IF(AM$8=$C$4,VLOOKUP($B14,Parameters!$E$256:$G$376,3,FALSE),0)*(1+Parameters!$G$13)^(AM$8-$G$8)/1000</f>
        <v>0</v>
      </c>
      <c r="AN14" s="527">
        <f>IF(AN$8=$C$4,VLOOKUP($B14,Parameters!$E$256:$G$376,3,FALSE),0)*(1+Parameters!$G$13)^(AN$8-$G$8)/1000</f>
        <v>0</v>
      </c>
      <c r="AO14" s="527">
        <f>IF(AO$8=$C$4,VLOOKUP($B14,Parameters!$E$256:$G$376,3,FALSE),0)*(1+Parameters!$G$13)^(AO$8-$G$8)/1000</f>
        <v>0</v>
      </c>
      <c r="AP14" s="527">
        <f>IF(AP$8=$C$4,VLOOKUP($B14,Parameters!$E$256:$G$376,3,FALSE),0)*(1+Parameters!$G$13)^(AP$8-$G$8)/1000</f>
        <v>0</v>
      </c>
      <c r="AQ14" s="527">
        <f>IF(AQ$8=$C$4,VLOOKUP($B14,Parameters!$E$256:$G$376,3,FALSE),0)*(1+Parameters!$G$13)^(AQ$8-$G$8)/1000</f>
        <v>0</v>
      </c>
      <c r="AR14" s="527">
        <f>IF(AR$8=$C$4,VLOOKUP($B14,Parameters!$E$256:$G$376,3,FALSE),0)*(1+Parameters!$G$13)^(AR$8-$G$8)/1000</f>
        <v>0</v>
      </c>
      <c r="AS14" s="527">
        <f>IF(AS$8=$C$4,VLOOKUP($B14,Parameters!$E$256:$G$376,3,FALSE),0)*(1+Parameters!$G$13)^(AS$8-$G$8)/1000</f>
        <v>0</v>
      </c>
      <c r="AT14" s="527">
        <f>IF(AT$8=$C$4,VLOOKUP($B14,Parameters!$E$256:$G$376,3,FALSE),0)*(1+Parameters!$G$13)^(AT$8-$G$8)/1000</f>
        <v>0</v>
      </c>
      <c r="AU14" s="527">
        <f>IF(AU$8=$C$4,VLOOKUP($B14,Parameters!$E$256:$G$376,3,FALSE),0)*(1+Parameters!$G$13)^(AU$8-$G$8)/1000</f>
        <v>0</v>
      </c>
      <c r="AV14" s="527">
        <f>IF(AV$8=$C$4,VLOOKUP($B14,Parameters!$E$256:$G$376,3,FALSE),0)*(1+Parameters!$G$13)^(AV$8-$G$8)/1000</f>
        <v>0</v>
      </c>
      <c r="AW14" s="527">
        <f>IF(AW$8=$C$4,VLOOKUP($B14,Parameters!$E$256:$G$376,3,FALSE),0)*(1+Parameters!$G$13)^(AW$8-$G$8)/1000</f>
        <v>0</v>
      </c>
      <c r="AX14" s="527">
        <f>IF(AX$8=$C$4,VLOOKUP($B14,Parameters!$E$256:$G$376,3,FALSE),0)*(1+Parameters!$G$13)^(AX$8-$G$8)/1000</f>
        <v>0</v>
      </c>
      <c r="AY14" s="527">
        <f>IF(AY$8=$C$4,VLOOKUP($B14,Parameters!$E$256:$G$376,3,FALSE),0)*(1+Parameters!$G$13)^(AY$8-$G$8)/1000</f>
        <v>0</v>
      </c>
      <c r="AZ14" s="527">
        <f>IF(AZ$8=$C$4,VLOOKUP($B14,Parameters!$E$256:$G$376,3,FALSE),0)*(1+Parameters!$G$13)^(AZ$8-$G$8)/1000</f>
        <v>0</v>
      </c>
      <c r="BA14" s="527">
        <f>IF(BA$8=$C$4,VLOOKUP($B14,Parameters!$E$256:$G$376,3,FALSE),0)*(1+Parameters!$G$13)^(BA$8-$G$8)/1000</f>
        <v>0</v>
      </c>
      <c r="BB14" s="527">
        <f>IF(BB$8=$C$4,VLOOKUP($B14,Parameters!$E$256:$G$376,3,FALSE),0)*(1+Parameters!$G$13)^(BB$8-$G$8)/1000</f>
        <v>0</v>
      </c>
    </row>
    <row r="15" spans="2:54" x14ac:dyDescent="0.25">
      <c r="B15" s="979" t="str">
        <f>Parameters!E365</f>
        <v>Capex adjustments H2 on platform</v>
      </c>
      <c r="C15" s="511" t="s">
        <v>979</v>
      </c>
      <c r="D15" s="512">
        <f t="shared" si="9"/>
        <v>0</v>
      </c>
      <c r="E15" s="512">
        <f t="shared" si="10"/>
        <v>0</v>
      </c>
      <c r="F15" s="478"/>
      <c r="G15" s="527">
        <f>IF(G$8=$C$4,VLOOKUP($B15,Parameters!$E$256:$G$376,3,FALSE),0)*(1+Parameters!$G$13)^(G$8-$G$8)/1000</f>
        <v>0</v>
      </c>
      <c r="H15" s="527">
        <f>IF(H$8=$C$4,VLOOKUP($B15,Parameters!$E$256:$G$376,3,FALSE),0)*(1+Parameters!$G$13)^(H$8-$G$8)/1000</f>
        <v>0</v>
      </c>
      <c r="I15" s="527">
        <f>IF(I$8=$C$4,VLOOKUP($B15,Parameters!$E$256:$G$376,3,FALSE),0)*(1+Parameters!$G$13)^(I$8-$G$8)/1000</f>
        <v>0</v>
      </c>
      <c r="J15" s="527">
        <f>IF(J$8=$C$4,VLOOKUP($B15,Parameters!$E$256:$G$376,3,FALSE),0)*(1+Parameters!$G$13)^(J$8-$G$8)/1000</f>
        <v>0</v>
      </c>
      <c r="K15" s="527">
        <f>IF(K$8=$C$4,VLOOKUP($B15,Parameters!$E$256:$G$376,3,FALSE),0)*(1+Parameters!$G$13)^(K$8-$G$8)/1000</f>
        <v>0</v>
      </c>
      <c r="L15" s="527">
        <f>IF(L$8=$C$4,VLOOKUP($B15,Parameters!$E$256:$G$376,3,FALSE),0)*(1+Parameters!$G$13)^(L$8-$G$8)/1000</f>
        <v>0</v>
      </c>
      <c r="M15" s="527">
        <f>IF(M$8=$C$4,VLOOKUP($B15,Parameters!$E$256:$G$376,3,FALSE),0)*(1+Parameters!$G$13)^(M$8-$G$8)/1000</f>
        <v>0</v>
      </c>
      <c r="N15" s="527">
        <f>IF(N$8=$C$4,VLOOKUP($B15,Parameters!$E$256:$G$376,3,FALSE),0)*(1+Parameters!$G$13)^(N$8-$G$8)/1000</f>
        <v>0</v>
      </c>
      <c r="O15" s="527">
        <f>IF(O$8=$C$4,VLOOKUP($B15,Parameters!$E$256:$G$376,3,FALSE),0)*(1+Parameters!$G$13)^(O$8-$G$8)/1000</f>
        <v>0</v>
      </c>
      <c r="P15" s="527">
        <f>IF(P$8=$C$4,VLOOKUP($B15,Parameters!$E$256:$G$376,3,FALSE),0)*(1+Parameters!$G$13)^(P$8-$G$8)/1000</f>
        <v>0</v>
      </c>
      <c r="Q15" s="527">
        <f>IF(Q$8=$C$4,VLOOKUP($B15,Parameters!$E$256:$G$376,3,FALSE),0)*(1+Parameters!$G$13)^(Q$8-$G$8)/1000</f>
        <v>0</v>
      </c>
      <c r="R15" s="527">
        <f>IF(R$8=$C$4,VLOOKUP($B15,Parameters!$E$256:$G$376,3,FALSE),0)*(1+Parameters!$G$13)^(R$8-$G$8)/1000</f>
        <v>0</v>
      </c>
      <c r="S15" s="527">
        <f>IF(S$8=$C$4,VLOOKUP($B15,Parameters!$E$256:$G$376,3,FALSE),0)*(1+Parameters!$G$13)^(S$8-$G$8)/1000</f>
        <v>0</v>
      </c>
      <c r="T15" s="527">
        <f>IF(T$8=$C$4,VLOOKUP($B15,Parameters!$E$256:$G$376,3,FALSE),0)*(1+Parameters!$G$13)^(T$8-$G$8)/1000</f>
        <v>0</v>
      </c>
      <c r="U15" s="527">
        <f>IF(U$8=$C$4,VLOOKUP($B15,Parameters!$E$256:$G$376,3,FALSE),0)*(1+Parameters!$G$13)^(U$8-$G$8)/1000</f>
        <v>0</v>
      </c>
      <c r="V15" s="527">
        <f>IF(V$8=$C$4,VLOOKUP($B15,Parameters!$E$256:$G$376,3,FALSE),0)*(1+Parameters!$G$13)^(V$8-$G$8)/1000</f>
        <v>0</v>
      </c>
      <c r="W15" s="527">
        <f>IF(W$8=$C$4,VLOOKUP($B15,Parameters!$E$256:$G$376,3,FALSE),0)*(1+Parameters!$G$13)^(W$8-$G$8)/1000</f>
        <v>0</v>
      </c>
      <c r="X15" s="527">
        <f>IF(X$8=$C$4,VLOOKUP($B15,Parameters!$E$256:$G$376,3,FALSE),0)*(1+Parameters!$G$13)^(X$8-$G$8)/1000</f>
        <v>0</v>
      </c>
      <c r="Y15" s="527">
        <f>IF(Y$8=$C$4,VLOOKUP($B15,Parameters!$E$256:$G$376,3,FALSE),0)*(1+Parameters!$G$13)^(Y$8-$G$8)/1000</f>
        <v>0</v>
      </c>
      <c r="Z15" s="527">
        <f>IF(Z$8=$C$4,VLOOKUP($B15,Parameters!$E$256:$G$376,3,FALSE),0)*(1+Parameters!$G$13)^(Z$8-$G$8)/1000</f>
        <v>0</v>
      </c>
      <c r="AA15" s="527">
        <f>IF(AA$8=$C$4,VLOOKUP($B15,Parameters!$E$256:$G$376,3,FALSE),0)*(1+Parameters!$G$13)^(AA$8-$G$8)/1000</f>
        <v>0</v>
      </c>
      <c r="AB15" s="527">
        <f>IF(AB$8=$C$4,VLOOKUP($B15,Parameters!$E$256:$G$376,3,FALSE),0)*(1+Parameters!$G$13)^(AB$8-$G$8)/1000</f>
        <v>0</v>
      </c>
      <c r="AC15" s="527">
        <f>IF(AC$8=$C$4,VLOOKUP($B15,Parameters!$E$256:$G$376,3,FALSE),0)*(1+Parameters!$G$13)^(AC$8-$G$8)/1000</f>
        <v>0</v>
      </c>
      <c r="AD15" s="527">
        <f>IF(AD$8=$C$4,VLOOKUP($B15,Parameters!$E$256:$G$376,3,FALSE),0)*(1+Parameters!$G$13)^(AD$8-$G$8)/1000</f>
        <v>0</v>
      </c>
      <c r="AE15" s="527">
        <f>IF(AE$8=$C$4,VLOOKUP($B15,Parameters!$E$256:$G$376,3,FALSE),0)*(1+Parameters!$G$13)^(AE$8-$G$8)/1000</f>
        <v>0</v>
      </c>
      <c r="AF15" s="527">
        <f>IF(AF$8=$C$4,VLOOKUP($B15,Parameters!$E$256:$G$376,3,FALSE),0)*(1+Parameters!$G$13)^(AF$8-$G$8)/1000</f>
        <v>0</v>
      </c>
      <c r="AG15" s="527">
        <f>IF(AG$8=$C$4,VLOOKUP($B15,Parameters!$E$256:$G$376,3,FALSE),0)*(1+Parameters!$G$13)^(AG$8-$G$8)/1000</f>
        <v>0</v>
      </c>
      <c r="AH15" s="527">
        <f>IF(AH$8=$C$4,VLOOKUP($B15,Parameters!$E$256:$G$376,3,FALSE),0)*(1+Parameters!$G$13)^(AH$8-$G$8)/1000</f>
        <v>0</v>
      </c>
      <c r="AI15" s="527">
        <f>IF(AI$8=$C$4,VLOOKUP($B15,Parameters!$E$256:$G$376,3,FALSE),0)*(1+Parameters!$G$13)^(AI$8-$G$8)/1000</f>
        <v>0</v>
      </c>
      <c r="AJ15" s="527">
        <f>IF(AJ$8=$C$4,VLOOKUP($B15,Parameters!$E$256:$G$376,3,FALSE),0)*(1+Parameters!$G$13)^(AJ$8-$G$8)/1000</f>
        <v>0</v>
      </c>
      <c r="AK15" s="527">
        <f>IF(AK$8=$C$4,VLOOKUP($B15,Parameters!$E$256:$G$376,3,FALSE),0)*(1+Parameters!$G$13)^(AK$8-$G$8)/1000</f>
        <v>0</v>
      </c>
      <c r="AL15" s="527">
        <f>IF(AL$8=$C$4,VLOOKUP($B15,Parameters!$E$256:$G$376,3,FALSE),0)*(1+Parameters!$G$13)^(AL$8-$G$8)/1000</f>
        <v>0</v>
      </c>
      <c r="AM15" s="527">
        <f>IF(AM$8=$C$4,VLOOKUP($B15,Parameters!$E$256:$G$376,3,FALSE),0)*(1+Parameters!$G$13)^(AM$8-$G$8)/1000</f>
        <v>0</v>
      </c>
      <c r="AN15" s="527">
        <f>IF(AN$8=$C$4,VLOOKUP($B15,Parameters!$E$256:$G$376,3,FALSE),0)*(1+Parameters!$G$13)^(AN$8-$G$8)/1000</f>
        <v>0</v>
      </c>
      <c r="AO15" s="527">
        <f>IF(AO$8=$C$4,VLOOKUP($B15,Parameters!$E$256:$G$376,3,FALSE),0)*(1+Parameters!$G$13)^(AO$8-$G$8)/1000</f>
        <v>0</v>
      </c>
      <c r="AP15" s="527">
        <f>IF(AP$8=$C$4,VLOOKUP($B15,Parameters!$E$256:$G$376,3,FALSE),0)*(1+Parameters!$G$13)^(AP$8-$G$8)/1000</f>
        <v>0</v>
      </c>
      <c r="AQ15" s="527">
        <f>IF(AQ$8=$C$4,VLOOKUP($B15,Parameters!$E$256:$G$376,3,FALSE),0)*(1+Parameters!$G$13)^(AQ$8-$G$8)/1000</f>
        <v>0</v>
      </c>
      <c r="AR15" s="527">
        <f>IF(AR$8=$C$4,VLOOKUP($B15,Parameters!$E$256:$G$376,3,FALSE),0)*(1+Parameters!$G$13)^(AR$8-$G$8)/1000</f>
        <v>0</v>
      </c>
      <c r="AS15" s="527">
        <f>IF(AS$8=$C$4,VLOOKUP($B15,Parameters!$E$256:$G$376,3,FALSE),0)*(1+Parameters!$G$13)^(AS$8-$G$8)/1000</f>
        <v>0</v>
      </c>
      <c r="AT15" s="527">
        <f>IF(AT$8=$C$4,VLOOKUP($B15,Parameters!$E$256:$G$376,3,FALSE),0)*(1+Parameters!$G$13)^(AT$8-$G$8)/1000</f>
        <v>0</v>
      </c>
      <c r="AU15" s="527">
        <f>IF(AU$8=$C$4,VLOOKUP($B15,Parameters!$E$256:$G$376,3,FALSE),0)*(1+Parameters!$G$13)^(AU$8-$G$8)/1000</f>
        <v>0</v>
      </c>
      <c r="AV15" s="527">
        <f>IF(AV$8=$C$4,VLOOKUP($B15,Parameters!$E$256:$G$376,3,FALSE),0)*(1+Parameters!$G$13)^(AV$8-$G$8)/1000</f>
        <v>0</v>
      </c>
      <c r="AW15" s="527">
        <f>IF(AW$8=$C$4,VLOOKUP($B15,Parameters!$E$256:$G$376,3,FALSE),0)*(1+Parameters!$G$13)^(AW$8-$G$8)/1000</f>
        <v>0</v>
      </c>
      <c r="AX15" s="527">
        <f>IF(AX$8=$C$4,VLOOKUP($B15,Parameters!$E$256:$G$376,3,FALSE),0)*(1+Parameters!$G$13)^(AX$8-$G$8)/1000</f>
        <v>0</v>
      </c>
      <c r="AY15" s="527">
        <f>IF(AY$8=$C$4,VLOOKUP($B15,Parameters!$E$256:$G$376,3,FALSE),0)*(1+Parameters!$G$13)^(AY$8-$G$8)/1000</f>
        <v>0</v>
      </c>
      <c r="AZ15" s="527">
        <f>IF(AZ$8=$C$4,VLOOKUP($B15,Parameters!$E$256:$G$376,3,FALSE),0)*(1+Parameters!$G$13)^(AZ$8-$G$8)/1000</f>
        <v>0</v>
      </c>
      <c r="BA15" s="527">
        <f>IF(BA$8=$C$4,VLOOKUP($B15,Parameters!$E$256:$G$376,3,FALSE),0)*(1+Parameters!$G$13)^(BA$8-$G$8)/1000</f>
        <v>0</v>
      </c>
      <c r="BB15" s="527">
        <f>IF(BB$8=$C$4,VLOOKUP($B15,Parameters!$E$256:$G$376,3,FALSE),0)*(1+Parameters!$G$13)^(BB$8-$G$8)/1000</f>
        <v>0</v>
      </c>
    </row>
    <row r="16" spans="2:54" x14ac:dyDescent="0.25">
      <c r="B16" s="979" t="str">
        <f>Parameters!E354</f>
        <v>Capex H2 pipeline crossings &amp; landing</v>
      </c>
      <c r="C16" s="511" t="s">
        <v>979</v>
      </c>
      <c r="D16" s="512">
        <f t="shared" si="9"/>
        <v>0</v>
      </c>
      <c r="E16" s="512">
        <f t="shared" si="10"/>
        <v>0</v>
      </c>
      <c r="F16" s="478"/>
      <c r="G16" s="527">
        <f>IF(G$8=$C$4,VLOOKUP($B16,Parameters!$E$256:$G$376,3,FALSE),0)*(1+Parameters!$G$13)^(G$8-$G$8)/1000</f>
        <v>0</v>
      </c>
      <c r="H16" s="527">
        <f>IF(H$8=$C$4,VLOOKUP($B16,Parameters!$E$256:$G$376,3,FALSE),0)*(1+Parameters!$G$13)^(H$8-$G$8)/1000</f>
        <v>0</v>
      </c>
      <c r="I16" s="527">
        <f>IF(I$8=$C$4,VLOOKUP($B16,Parameters!$E$256:$G$376,3,FALSE),0)*(1+Parameters!$G$13)^(I$8-$G$8)/1000</f>
        <v>0</v>
      </c>
      <c r="J16" s="527">
        <f>IF(J$8=$C$4,VLOOKUP($B16,Parameters!$E$256:$G$376,3,FALSE),0)*(1+Parameters!$G$13)^(J$8-$G$8)/1000</f>
        <v>0</v>
      </c>
      <c r="K16" s="527">
        <f>IF(K$8=$C$4,VLOOKUP($B16,Parameters!$E$256:$G$376,3,FALSE),0)*(1+Parameters!$G$13)^(K$8-$G$8)/1000</f>
        <v>0</v>
      </c>
      <c r="L16" s="527">
        <f>IF(L$8=$C$4,VLOOKUP($B16,Parameters!$E$256:$G$376,3,FALSE),0)*(1+Parameters!$G$13)^(L$8-$G$8)/1000</f>
        <v>0</v>
      </c>
      <c r="M16" s="527">
        <f>IF(M$8=$C$4,VLOOKUP($B16,Parameters!$E$256:$G$376,3,FALSE),0)*(1+Parameters!$G$13)^(M$8-$G$8)/1000</f>
        <v>0</v>
      </c>
      <c r="N16" s="527">
        <f>IF(N$8=$C$4,VLOOKUP($B16,Parameters!$E$256:$G$376,3,FALSE),0)*(1+Parameters!$G$13)^(N$8-$G$8)/1000</f>
        <v>0</v>
      </c>
      <c r="O16" s="527">
        <f>IF(O$8=$C$4,VLOOKUP($B16,Parameters!$E$256:$G$376,3,FALSE),0)*(1+Parameters!$G$13)^(O$8-$G$8)/1000</f>
        <v>0</v>
      </c>
      <c r="P16" s="527">
        <f>IF(P$8=$C$4,VLOOKUP($B16,Parameters!$E$256:$G$376,3,FALSE),0)*(1+Parameters!$G$13)^(P$8-$G$8)/1000</f>
        <v>0</v>
      </c>
      <c r="Q16" s="527">
        <f>IF(Q$8=$C$4,VLOOKUP($B16,Parameters!$E$256:$G$376,3,FALSE),0)*(1+Parameters!$G$13)^(Q$8-$G$8)/1000</f>
        <v>0</v>
      </c>
      <c r="R16" s="527">
        <f>IF(R$8=$C$4,VLOOKUP($B16,Parameters!$E$256:$G$376,3,FALSE),0)*(1+Parameters!$G$13)^(R$8-$G$8)/1000</f>
        <v>0</v>
      </c>
      <c r="S16" s="527">
        <f>IF(S$8=$C$4,VLOOKUP($B16,Parameters!$E$256:$G$376,3,FALSE),0)*(1+Parameters!$G$13)^(S$8-$G$8)/1000</f>
        <v>0</v>
      </c>
      <c r="T16" s="527">
        <f>IF(T$8=$C$4,VLOOKUP($B16,Parameters!$E$256:$G$376,3,FALSE),0)*(1+Parameters!$G$13)^(T$8-$G$8)/1000</f>
        <v>0</v>
      </c>
      <c r="U16" s="527">
        <f>IF(U$8=$C$4,VLOOKUP($B16,Parameters!$E$256:$G$376,3,FALSE),0)*(1+Parameters!$G$13)^(U$8-$G$8)/1000</f>
        <v>0</v>
      </c>
      <c r="V16" s="527">
        <f>IF(V$8=$C$4,VLOOKUP($B16,Parameters!$E$256:$G$376,3,FALSE),0)*(1+Parameters!$G$13)^(V$8-$G$8)/1000</f>
        <v>0</v>
      </c>
      <c r="W16" s="527">
        <f>IF(W$8=$C$4,VLOOKUP($B16,Parameters!$E$256:$G$376,3,FALSE),0)*(1+Parameters!$G$13)^(W$8-$G$8)/1000</f>
        <v>0</v>
      </c>
      <c r="X16" s="527">
        <f>IF(X$8=$C$4,VLOOKUP($B16,Parameters!$E$256:$G$376,3,FALSE),0)*(1+Parameters!$G$13)^(X$8-$G$8)/1000</f>
        <v>0</v>
      </c>
      <c r="Y16" s="527">
        <f>IF(Y$8=$C$4,VLOOKUP($B16,Parameters!$E$256:$G$376,3,FALSE),0)*(1+Parameters!$G$13)^(Y$8-$G$8)/1000</f>
        <v>0</v>
      </c>
      <c r="Z16" s="527">
        <f>IF(Z$8=$C$4,VLOOKUP($B16,Parameters!$E$256:$G$376,3,FALSE),0)*(1+Parameters!$G$13)^(Z$8-$G$8)/1000</f>
        <v>0</v>
      </c>
      <c r="AA16" s="527">
        <f>IF(AA$8=$C$4,VLOOKUP($B16,Parameters!$E$256:$G$376,3,FALSE),0)*(1+Parameters!$G$13)^(AA$8-$G$8)/1000</f>
        <v>0</v>
      </c>
      <c r="AB16" s="527">
        <f>IF(AB$8=$C$4,VLOOKUP($B16,Parameters!$E$256:$G$376,3,FALSE),0)*(1+Parameters!$G$13)^(AB$8-$G$8)/1000</f>
        <v>0</v>
      </c>
      <c r="AC16" s="527">
        <f>IF(AC$8=$C$4,VLOOKUP($B16,Parameters!$E$256:$G$376,3,FALSE),0)*(1+Parameters!$G$13)^(AC$8-$G$8)/1000</f>
        <v>0</v>
      </c>
      <c r="AD16" s="527">
        <f>IF(AD$8=$C$4,VLOOKUP($B16,Parameters!$E$256:$G$376,3,FALSE),0)*(1+Parameters!$G$13)^(AD$8-$G$8)/1000</f>
        <v>0</v>
      </c>
      <c r="AE16" s="527">
        <f>IF(AE$8=$C$4,VLOOKUP($B16,Parameters!$E$256:$G$376,3,FALSE),0)*(1+Parameters!$G$13)^(AE$8-$G$8)/1000</f>
        <v>0</v>
      </c>
      <c r="AF16" s="527">
        <f>IF(AF$8=$C$4,VLOOKUP($B16,Parameters!$E$256:$G$376,3,FALSE),0)*(1+Parameters!$G$13)^(AF$8-$G$8)/1000</f>
        <v>0</v>
      </c>
      <c r="AG16" s="527">
        <f>IF(AG$8=$C$4,VLOOKUP($B16,Parameters!$E$256:$G$376,3,FALSE),0)*(1+Parameters!$G$13)^(AG$8-$G$8)/1000</f>
        <v>0</v>
      </c>
      <c r="AH16" s="527">
        <f>IF(AH$8=$C$4,VLOOKUP($B16,Parameters!$E$256:$G$376,3,FALSE),0)*(1+Parameters!$G$13)^(AH$8-$G$8)/1000</f>
        <v>0</v>
      </c>
      <c r="AI16" s="527">
        <f>IF(AI$8=$C$4,VLOOKUP($B16,Parameters!$E$256:$G$376,3,FALSE),0)*(1+Parameters!$G$13)^(AI$8-$G$8)/1000</f>
        <v>0</v>
      </c>
      <c r="AJ16" s="527">
        <f>IF(AJ$8=$C$4,VLOOKUP($B16,Parameters!$E$256:$G$376,3,FALSE),0)*(1+Parameters!$G$13)^(AJ$8-$G$8)/1000</f>
        <v>0</v>
      </c>
      <c r="AK16" s="527">
        <f>IF(AK$8=$C$4,VLOOKUP($B16,Parameters!$E$256:$G$376,3,FALSE),0)*(1+Parameters!$G$13)^(AK$8-$G$8)/1000</f>
        <v>0</v>
      </c>
      <c r="AL16" s="527">
        <f>IF(AL$8=$C$4,VLOOKUP($B16,Parameters!$E$256:$G$376,3,FALSE),0)*(1+Parameters!$G$13)^(AL$8-$G$8)/1000</f>
        <v>0</v>
      </c>
      <c r="AM16" s="527">
        <f>IF(AM$8=$C$4,VLOOKUP($B16,Parameters!$E$256:$G$376,3,FALSE),0)*(1+Parameters!$G$13)^(AM$8-$G$8)/1000</f>
        <v>0</v>
      </c>
      <c r="AN16" s="527">
        <f>IF(AN$8=$C$4,VLOOKUP($B16,Parameters!$E$256:$G$376,3,FALSE),0)*(1+Parameters!$G$13)^(AN$8-$G$8)/1000</f>
        <v>0</v>
      </c>
      <c r="AO16" s="527">
        <f>IF(AO$8=$C$4,VLOOKUP($B16,Parameters!$E$256:$G$376,3,FALSE),0)*(1+Parameters!$G$13)^(AO$8-$G$8)/1000</f>
        <v>0</v>
      </c>
      <c r="AP16" s="527">
        <f>IF(AP$8=$C$4,VLOOKUP($B16,Parameters!$E$256:$G$376,3,FALSE),0)*(1+Parameters!$G$13)^(AP$8-$G$8)/1000</f>
        <v>0</v>
      </c>
      <c r="AQ16" s="527">
        <f>IF(AQ$8=$C$4,VLOOKUP($B16,Parameters!$E$256:$G$376,3,FALSE),0)*(1+Parameters!$G$13)^(AQ$8-$G$8)/1000</f>
        <v>0</v>
      </c>
      <c r="AR16" s="527">
        <f>IF(AR$8=$C$4,VLOOKUP($B16,Parameters!$E$256:$G$376,3,FALSE),0)*(1+Parameters!$G$13)^(AR$8-$G$8)/1000</f>
        <v>0</v>
      </c>
      <c r="AS16" s="527">
        <f>IF(AS$8=$C$4,VLOOKUP($B16,Parameters!$E$256:$G$376,3,FALSE),0)*(1+Parameters!$G$13)^(AS$8-$G$8)/1000</f>
        <v>0</v>
      </c>
      <c r="AT16" s="527">
        <f>IF(AT$8=$C$4,VLOOKUP($B16,Parameters!$E$256:$G$376,3,FALSE),0)*(1+Parameters!$G$13)^(AT$8-$G$8)/1000</f>
        <v>0</v>
      </c>
      <c r="AU16" s="527">
        <f>IF(AU$8=$C$4,VLOOKUP($B16,Parameters!$E$256:$G$376,3,FALSE),0)*(1+Parameters!$G$13)^(AU$8-$G$8)/1000</f>
        <v>0</v>
      </c>
      <c r="AV16" s="527">
        <f>IF(AV$8=$C$4,VLOOKUP($B16,Parameters!$E$256:$G$376,3,FALSE),0)*(1+Parameters!$G$13)^(AV$8-$G$8)/1000</f>
        <v>0</v>
      </c>
      <c r="AW16" s="527">
        <f>IF(AW$8=$C$4,VLOOKUP($B16,Parameters!$E$256:$G$376,3,FALSE),0)*(1+Parameters!$G$13)^(AW$8-$G$8)/1000</f>
        <v>0</v>
      </c>
      <c r="AX16" s="527">
        <f>IF(AX$8=$C$4,VLOOKUP($B16,Parameters!$E$256:$G$376,3,FALSE),0)*(1+Parameters!$G$13)^(AX$8-$G$8)/1000</f>
        <v>0</v>
      </c>
      <c r="AY16" s="527">
        <f>IF(AY$8=$C$4,VLOOKUP($B16,Parameters!$E$256:$G$376,3,FALSE),0)*(1+Parameters!$G$13)^(AY$8-$G$8)/1000</f>
        <v>0</v>
      </c>
      <c r="AZ16" s="527">
        <f>IF(AZ$8=$C$4,VLOOKUP($B16,Parameters!$E$256:$G$376,3,FALSE),0)*(1+Parameters!$G$13)^(AZ$8-$G$8)/1000</f>
        <v>0</v>
      </c>
      <c r="BA16" s="527">
        <f>IF(BA$8=$C$4,VLOOKUP($B16,Parameters!$E$256:$G$376,3,FALSE),0)*(1+Parameters!$G$13)^(BA$8-$G$8)/1000</f>
        <v>0</v>
      </c>
      <c r="BB16" s="527">
        <f>IF(BB$8=$C$4,VLOOKUP($B16,Parameters!$E$256:$G$376,3,FALSE),0)*(1+Parameters!$G$13)^(BB$8-$G$8)/1000</f>
        <v>0</v>
      </c>
    </row>
    <row r="17" spans="2:54" s="1190" customFormat="1" x14ac:dyDescent="0.25">
      <c r="B17" s="1204" t="str">
        <f>Parameters!E366</f>
        <v>Total capex new platforms (SH2)</v>
      </c>
      <c r="C17" s="511" t="s">
        <v>979</v>
      </c>
      <c r="D17" s="512">
        <f t="shared" si="9"/>
        <v>0</v>
      </c>
      <c r="E17" s="512">
        <f t="shared" si="10"/>
        <v>0</v>
      </c>
      <c r="F17" s="478"/>
      <c r="G17" s="527">
        <f>IF(G$8=$C$4,VLOOKUP($B17,Parameters!$E$256:$G$376,3,FALSE),0)*(1+Parameters!$G$13)^(G$8-$G$8)/1000</f>
        <v>0</v>
      </c>
      <c r="H17" s="527">
        <f>IF(H$8=$C$4,VLOOKUP($B17,Parameters!$E$256:$G$376,3,FALSE),0)*(1+Parameters!$G$13)^(H$8-$G$8)/1000</f>
        <v>0</v>
      </c>
      <c r="I17" s="527">
        <f>IF(I$8=$C$4,VLOOKUP($B17,Parameters!$E$256:$G$376,3,FALSE),0)*(1+Parameters!$G$13)^(I$8-$G$8)/1000</f>
        <v>0</v>
      </c>
      <c r="J17" s="527">
        <f>IF(J$8=$C$4,VLOOKUP($B17,Parameters!$E$256:$G$376,3,FALSE),0)*(1+Parameters!$G$13)^(J$8-$G$8)/1000</f>
        <v>0</v>
      </c>
      <c r="K17" s="527">
        <f>IF(K$8=$C$4,VLOOKUP($B17,Parameters!$E$256:$G$376,3,FALSE),0)*(1+Parameters!$G$13)^(K$8-$G$8)/1000</f>
        <v>0</v>
      </c>
      <c r="L17" s="527">
        <f>IF(L$8=$C$4,VLOOKUP($B17,Parameters!$E$256:$G$376,3,FALSE),0)*(1+Parameters!$G$13)^(L$8-$G$8)/1000</f>
        <v>0</v>
      </c>
      <c r="M17" s="527">
        <f>IF(M$8=$C$4,VLOOKUP($B17,Parameters!$E$256:$G$376,3,FALSE),0)*(1+Parameters!$G$13)^(M$8-$G$8)/1000</f>
        <v>0</v>
      </c>
      <c r="N17" s="527">
        <f>IF(N$8=$C$4,VLOOKUP($B17,Parameters!$E$256:$G$376,3,FALSE),0)*(1+Parameters!$G$13)^(N$8-$G$8)/1000</f>
        <v>0</v>
      </c>
      <c r="O17" s="527">
        <f>IF(O$8=$C$4,VLOOKUP($B17,Parameters!$E$256:$G$376,3,FALSE),0)*(1+Parameters!$G$13)^(O$8-$G$8)/1000</f>
        <v>0</v>
      </c>
      <c r="P17" s="527">
        <f>IF(P$8=$C$4,VLOOKUP($B17,Parameters!$E$256:$G$376,3,FALSE),0)*(1+Parameters!$G$13)^(P$8-$G$8)/1000</f>
        <v>0</v>
      </c>
      <c r="Q17" s="527">
        <f>IF(Q$8=$C$4,VLOOKUP($B17,Parameters!$E$256:$G$376,3,FALSE),0)*(1+Parameters!$G$13)^(Q$8-$G$8)/1000</f>
        <v>0</v>
      </c>
      <c r="R17" s="527">
        <f>IF(R$8=$C$4,VLOOKUP($B17,Parameters!$E$256:$G$376,3,FALSE),0)*(1+Parameters!$G$13)^(R$8-$G$8)/1000</f>
        <v>0</v>
      </c>
      <c r="S17" s="527">
        <f>IF(S$8=$C$4,VLOOKUP($B17,Parameters!$E$256:$G$376,3,FALSE),0)*(1+Parameters!$G$13)^(S$8-$G$8)/1000</f>
        <v>0</v>
      </c>
      <c r="T17" s="527">
        <f>IF(T$8=$C$4,VLOOKUP($B17,Parameters!$E$256:$G$376,3,FALSE),0)*(1+Parameters!$G$13)^(T$8-$G$8)/1000</f>
        <v>0</v>
      </c>
      <c r="U17" s="527">
        <f>IF(U$8=$C$4,VLOOKUP($B17,Parameters!$E$256:$G$376,3,FALSE),0)*(1+Parameters!$G$13)^(U$8-$G$8)/1000</f>
        <v>0</v>
      </c>
      <c r="V17" s="527">
        <f>IF(V$8=$C$4,VLOOKUP($B17,Parameters!$E$256:$G$376,3,FALSE),0)*(1+Parameters!$G$13)^(V$8-$G$8)/1000</f>
        <v>0</v>
      </c>
      <c r="W17" s="527">
        <f>IF(W$8=$C$4,VLOOKUP($B17,Parameters!$E$256:$G$376,3,FALSE),0)*(1+Parameters!$G$13)^(W$8-$G$8)/1000</f>
        <v>0</v>
      </c>
      <c r="X17" s="527">
        <f>IF(X$8=$C$4,VLOOKUP($B17,Parameters!$E$256:$G$376,3,FALSE),0)*(1+Parameters!$G$13)^(X$8-$G$8)/1000</f>
        <v>0</v>
      </c>
      <c r="Y17" s="527">
        <f>IF(Y$8=$C$4,VLOOKUP($B17,Parameters!$E$256:$G$376,3,FALSE),0)*(1+Parameters!$G$13)^(Y$8-$G$8)/1000</f>
        <v>0</v>
      </c>
      <c r="Z17" s="527">
        <f>IF(Z$8=$C$4,VLOOKUP($B17,Parameters!$E$256:$G$376,3,FALSE),0)*(1+Parameters!$G$13)^(Z$8-$G$8)/1000</f>
        <v>0</v>
      </c>
      <c r="AA17" s="527">
        <f>IF(AA$8=$C$4,VLOOKUP($B17,Parameters!$E$256:$G$376,3,FALSE),0)*(1+Parameters!$G$13)^(AA$8-$G$8)/1000</f>
        <v>0</v>
      </c>
      <c r="AB17" s="527">
        <f>IF(AB$8=$C$4,VLOOKUP($B17,Parameters!$E$256:$G$376,3,FALSE),0)*(1+Parameters!$G$13)^(AB$8-$G$8)/1000</f>
        <v>0</v>
      </c>
      <c r="AC17" s="527">
        <f>IF(AC$8=$C$4,VLOOKUP($B17,Parameters!$E$256:$G$376,3,FALSE),0)*(1+Parameters!$G$13)^(AC$8-$G$8)/1000</f>
        <v>0</v>
      </c>
      <c r="AD17" s="527">
        <f>IF(AD$8=$C$4,VLOOKUP($B17,Parameters!$E$256:$G$376,3,FALSE),0)*(1+Parameters!$G$13)^(AD$8-$G$8)/1000</f>
        <v>0</v>
      </c>
      <c r="AE17" s="527">
        <f>IF(AE$8=$C$4,VLOOKUP($B17,Parameters!$E$256:$G$376,3,FALSE),0)*(1+Parameters!$G$13)^(AE$8-$G$8)/1000</f>
        <v>0</v>
      </c>
      <c r="AF17" s="527">
        <f>IF(AF$8=$C$4,VLOOKUP($B17,Parameters!$E$256:$G$376,3,FALSE),0)*(1+Parameters!$G$13)^(AF$8-$G$8)/1000</f>
        <v>0</v>
      </c>
      <c r="AG17" s="527">
        <f>IF(AG$8=$C$4,VLOOKUP($B17,Parameters!$E$256:$G$376,3,FALSE),0)*(1+Parameters!$G$13)^(AG$8-$G$8)/1000</f>
        <v>0</v>
      </c>
      <c r="AH17" s="527">
        <f>IF(AH$8=$C$4,VLOOKUP($B17,Parameters!$E$256:$G$376,3,FALSE),0)*(1+Parameters!$G$13)^(AH$8-$G$8)/1000</f>
        <v>0</v>
      </c>
      <c r="AI17" s="527">
        <f>IF(AI$8=$C$4,VLOOKUP($B17,Parameters!$E$256:$G$376,3,FALSE),0)*(1+Parameters!$G$13)^(AI$8-$G$8)/1000</f>
        <v>0</v>
      </c>
      <c r="AJ17" s="527">
        <f>IF(AJ$8=$C$4,VLOOKUP($B17,Parameters!$E$256:$G$376,3,FALSE),0)*(1+Parameters!$G$13)^(AJ$8-$G$8)/1000</f>
        <v>0</v>
      </c>
      <c r="AK17" s="527">
        <f>IF(AK$8=$C$4,VLOOKUP($B17,Parameters!$E$256:$G$376,3,FALSE),0)*(1+Parameters!$G$13)^(AK$8-$G$8)/1000</f>
        <v>0</v>
      </c>
      <c r="AL17" s="527">
        <f>IF(AL$8=$C$4,VLOOKUP($B17,Parameters!$E$256:$G$376,3,FALSE),0)*(1+Parameters!$G$13)^(AL$8-$G$8)/1000</f>
        <v>0</v>
      </c>
      <c r="AM17" s="527">
        <f>IF(AM$8=$C$4,VLOOKUP($B17,Parameters!$E$256:$G$376,3,FALSE),0)*(1+Parameters!$G$13)^(AM$8-$G$8)/1000</f>
        <v>0</v>
      </c>
      <c r="AN17" s="527">
        <f>IF(AN$8=$C$4,VLOOKUP($B17,Parameters!$E$256:$G$376,3,FALSE),0)*(1+Parameters!$G$13)^(AN$8-$G$8)/1000</f>
        <v>0</v>
      </c>
      <c r="AO17" s="527">
        <f>IF(AO$8=$C$4,VLOOKUP($B17,Parameters!$E$256:$G$376,3,FALSE),0)*(1+Parameters!$G$13)^(AO$8-$G$8)/1000</f>
        <v>0</v>
      </c>
      <c r="AP17" s="527">
        <f>IF(AP$8=$C$4,VLOOKUP($B17,Parameters!$E$256:$G$376,3,FALSE),0)*(1+Parameters!$G$13)^(AP$8-$G$8)/1000</f>
        <v>0</v>
      </c>
      <c r="AQ17" s="527">
        <f>IF(AQ$8=$C$4,VLOOKUP($B17,Parameters!$E$256:$G$376,3,FALSE),0)*(1+Parameters!$G$13)^(AQ$8-$G$8)/1000</f>
        <v>0</v>
      </c>
      <c r="AR17" s="527">
        <f>IF(AR$8=$C$4,VLOOKUP($B17,Parameters!$E$256:$G$376,3,FALSE),0)*(1+Parameters!$G$13)^(AR$8-$G$8)/1000</f>
        <v>0</v>
      </c>
      <c r="AS17" s="527">
        <f>IF(AS$8=$C$4,VLOOKUP($B17,Parameters!$E$256:$G$376,3,FALSE),0)*(1+Parameters!$G$13)^(AS$8-$G$8)/1000</f>
        <v>0</v>
      </c>
      <c r="AT17" s="527">
        <f>IF(AT$8=$C$4,VLOOKUP($B17,Parameters!$E$256:$G$376,3,FALSE),0)*(1+Parameters!$G$13)^(AT$8-$G$8)/1000</f>
        <v>0</v>
      </c>
      <c r="AU17" s="527">
        <f>IF(AU$8=$C$4,VLOOKUP($B17,Parameters!$E$256:$G$376,3,FALSE),0)*(1+Parameters!$G$13)^(AU$8-$G$8)/1000</f>
        <v>0</v>
      </c>
      <c r="AV17" s="527">
        <f>IF(AV$8=$C$4,VLOOKUP($B17,Parameters!$E$256:$G$376,3,FALSE),0)*(1+Parameters!$G$13)^(AV$8-$G$8)/1000</f>
        <v>0</v>
      </c>
      <c r="AW17" s="527">
        <f>IF(AW$8=$C$4,VLOOKUP($B17,Parameters!$E$256:$G$376,3,FALSE),0)*(1+Parameters!$G$13)^(AW$8-$G$8)/1000</f>
        <v>0</v>
      </c>
      <c r="AX17" s="527">
        <f>IF(AX$8=$C$4,VLOOKUP($B17,Parameters!$E$256:$G$376,3,FALSE),0)*(1+Parameters!$G$13)^(AX$8-$G$8)/1000</f>
        <v>0</v>
      </c>
      <c r="AY17" s="527">
        <f>IF(AY$8=$C$4,VLOOKUP($B17,Parameters!$E$256:$G$376,3,FALSE),0)*(1+Parameters!$G$13)^(AY$8-$G$8)/1000</f>
        <v>0</v>
      </c>
      <c r="AZ17" s="527">
        <f>IF(AZ$8=$C$4,VLOOKUP($B17,Parameters!$E$256:$G$376,3,FALSE),0)*(1+Parameters!$G$13)^(AZ$8-$G$8)/1000</f>
        <v>0</v>
      </c>
      <c r="BA17" s="527">
        <f>IF(BA$8=$C$4,VLOOKUP($B17,Parameters!$E$256:$G$376,3,FALSE),0)*(1+Parameters!$G$13)^(BA$8-$G$8)/1000</f>
        <v>0</v>
      </c>
      <c r="BB17" s="527">
        <f>IF(BB$8=$C$4,VLOOKUP($B17,Parameters!$E$256:$G$376,3,FALSE),0)*(1+Parameters!$G$13)^(BB$8-$G$8)/1000</f>
        <v>0</v>
      </c>
    </row>
    <row r="18" spans="2:54" x14ac:dyDescent="0.25">
      <c r="B18" s="984" t="s">
        <v>1578</v>
      </c>
      <c r="C18" s="511" t="s">
        <v>979</v>
      </c>
      <c r="D18" s="512">
        <f t="shared" si="9"/>
        <v>0</v>
      </c>
      <c r="E18" s="512">
        <f t="shared" si="10"/>
        <v>0</v>
      </c>
      <c r="F18" s="478"/>
      <c r="G18" s="527">
        <f>IF(G8='H2 decom &amp; refub S'!$E$59,'H2 decom &amp; refub S'!$E$65,0)</f>
        <v>0</v>
      </c>
      <c r="H18" s="527">
        <f>IF(H8='H2 decom &amp; refub S'!$E$59,'H2 decom &amp; refub S'!$E$65,0)</f>
        <v>0</v>
      </c>
      <c r="I18" s="527">
        <f>IF(I8='H2 decom &amp; refub S'!$E$59,'H2 decom &amp; refub S'!$E$65,0)</f>
        <v>0</v>
      </c>
      <c r="J18" s="527">
        <f>IF(J8='H2 decom &amp; refub S'!$E$59,'H2 decom &amp; refub S'!$E$65,0)</f>
        <v>0</v>
      </c>
      <c r="K18" s="527">
        <f>IF(K8='H2 decom &amp; refub S'!$E$59,'H2 decom &amp; refub S'!$E$65,0)</f>
        <v>0</v>
      </c>
      <c r="L18" s="527">
        <f>IF(L8='H2 decom &amp; refub S'!$E$59,'H2 decom &amp; refub S'!$E$65,0)</f>
        <v>0</v>
      </c>
      <c r="M18" s="527">
        <f>IF(M8='H2 decom &amp; refub S'!$E$59,'H2 decom &amp; refub S'!$E$65,0)</f>
        <v>0</v>
      </c>
      <c r="N18" s="527">
        <f>IF(N8='H2 decom &amp; refub S'!$E$59,'H2 decom &amp; refub S'!$E$65,0)</f>
        <v>0</v>
      </c>
      <c r="O18" s="527">
        <f>IF(O8='H2 decom &amp; refub S'!$E$59,'H2 decom &amp; refub S'!$E$65,0)</f>
        <v>0</v>
      </c>
      <c r="P18" s="527">
        <f>IF(P8='H2 decom &amp; refub S'!$E$59,'H2 decom &amp; refub S'!$E$65,0)</f>
        <v>0</v>
      </c>
      <c r="Q18" s="527">
        <f>IF(Q8='H2 decom &amp; refub S'!$E$59,'H2 decom &amp; refub S'!$E$65,0)</f>
        <v>0</v>
      </c>
      <c r="R18" s="527">
        <f>IF(R8='H2 decom &amp; refub S'!$E$59,'H2 decom &amp; refub S'!$E$65,0)</f>
        <v>0</v>
      </c>
      <c r="S18" s="527">
        <f>IF(S8='H2 decom &amp; refub S'!$E$59,'H2 decom &amp; refub S'!$E$65,0)</f>
        <v>0</v>
      </c>
      <c r="T18" s="527">
        <f>IF(T8='H2 decom &amp; refub S'!$E$59,'H2 decom &amp; refub S'!$E$65,0)</f>
        <v>0</v>
      </c>
      <c r="U18" s="527">
        <f>IF(U8='H2 decom &amp; refub S'!$E$59,'H2 decom &amp; refub S'!$E$65,0)</f>
        <v>0</v>
      </c>
      <c r="V18" s="527">
        <f>IF(V8='H2 decom &amp; refub S'!$E$59,'H2 decom &amp; refub S'!$E$65,0)</f>
        <v>0</v>
      </c>
      <c r="W18" s="527">
        <f>IF(W8='H2 decom &amp; refub S'!$E$59,'H2 decom &amp; refub S'!$E$65,0)</f>
        <v>0</v>
      </c>
      <c r="X18" s="527">
        <f>IF(X8='H2 decom &amp; refub S'!$E$59,'H2 decom &amp; refub S'!$E$65,0)</f>
        <v>0</v>
      </c>
      <c r="Y18" s="527">
        <f>IF(Y8='H2 decom &amp; refub S'!$E$59,'H2 decom &amp; refub S'!$E$65,0)</f>
        <v>0</v>
      </c>
      <c r="Z18" s="527">
        <f>IF(Z8='H2 decom &amp; refub S'!$E$59,'H2 decom &amp; refub S'!$E$65,0)</f>
        <v>0</v>
      </c>
      <c r="AA18" s="527">
        <f>IF(AA8='H2 decom &amp; refub S'!$E$59,'H2 decom &amp; refub S'!$E$65,0)</f>
        <v>0</v>
      </c>
      <c r="AB18" s="527">
        <f>IF(AB8='H2 decom &amp; refub S'!$E$59,'H2 decom &amp; refub S'!$E$65,0)</f>
        <v>0</v>
      </c>
      <c r="AC18" s="527">
        <f>IF(AC8='H2 decom &amp; refub S'!$E$59,'H2 decom &amp; refub S'!$E$65,0)</f>
        <v>0</v>
      </c>
      <c r="AD18" s="527">
        <f>IF(AD8='H2 decom &amp; refub S'!$E$59,'H2 decom &amp; refub S'!$E$65,0)</f>
        <v>0</v>
      </c>
      <c r="AE18" s="527">
        <f>IF(AE8='H2 decom &amp; refub S'!$E$59,'H2 decom &amp; refub S'!$E$65,0)</f>
        <v>0</v>
      </c>
      <c r="AF18" s="527">
        <f>IF(AF8='H2 decom &amp; refub S'!$E$59,'H2 decom &amp; refub S'!$E$65,0)</f>
        <v>0</v>
      </c>
      <c r="AG18" s="527">
        <f>IF(AG8='H2 decom &amp; refub S'!$E$59,'H2 decom &amp; refub S'!$E$65,0)</f>
        <v>0</v>
      </c>
      <c r="AH18" s="527">
        <f>IF(AH8='H2 decom &amp; refub S'!$E$59,'H2 decom &amp; refub S'!$E$65,0)</f>
        <v>0</v>
      </c>
      <c r="AI18" s="527">
        <f>IF(AI8='H2 decom &amp; refub S'!$E$59,'H2 decom &amp; refub S'!$E$65,0)</f>
        <v>0</v>
      </c>
      <c r="AJ18" s="527">
        <f>IF(AJ8='H2 decom &amp; refub S'!$E$59,'H2 decom &amp; refub S'!$E$65,0)</f>
        <v>0</v>
      </c>
      <c r="AK18" s="527">
        <f>IF(AK8='H2 decom &amp; refub S'!$E$59,'H2 decom &amp; refub S'!$E$65,0)</f>
        <v>0</v>
      </c>
      <c r="AL18" s="527">
        <f>IF(AL8='H2 decom &amp; refub S'!$E$59,'H2 decom &amp; refub S'!$E$65,0)</f>
        <v>0</v>
      </c>
      <c r="AM18" s="527">
        <f>IF(AM8='H2 decom &amp; refub S'!$E$59,'H2 decom &amp; refub S'!$E$65,0)</f>
        <v>0</v>
      </c>
      <c r="AN18" s="527">
        <f>IF(AN8='H2 decom &amp; refub S'!$E$59,'H2 decom &amp; refub S'!$E$65,0)</f>
        <v>0</v>
      </c>
      <c r="AO18" s="527">
        <f>IF(AO8='H2 decom &amp; refub S'!$E$59,'H2 decom &amp; refub S'!$E$65,0)</f>
        <v>0</v>
      </c>
      <c r="AP18" s="527">
        <f>IF(AP8='H2 decom &amp; refub S'!$E$59,'H2 decom &amp; refub S'!$E$65,0)</f>
        <v>0</v>
      </c>
      <c r="AQ18" s="527">
        <f>IF(AQ8='H2 decom &amp; refub S'!$E$59,'H2 decom &amp; refub S'!$E$65,0)</f>
        <v>0</v>
      </c>
      <c r="AR18" s="527">
        <f>IF(AR8='H2 decom &amp; refub S'!$E$59,'H2 decom &amp; refub S'!$E$65,0)</f>
        <v>0</v>
      </c>
      <c r="AS18" s="527">
        <f>IF(AS8='H2 decom &amp; refub S'!$E$59,'H2 decom &amp; refub S'!$E$65,0)</f>
        <v>0</v>
      </c>
      <c r="AT18" s="527">
        <f>IF(AT8='H2 decom &amp; refub S'!$E$59,'H2 decom &amp; refub S'!$E$65,0)</f>
        <v>0</v>
      </c>
      <c r="AU18" s="527">
        <f>IF(AU8='H2 decom &amp; refub S'!$E$59,'H2 decom &amp; refub S'!$E$65,0)</f>
        <v>0</v>
      </c>
      <c r="AV18" s="527">
        <f>IF(AV8='H2 decom &amp; refub S'!$E$59,'H2 decom &amp; refub S'!$E$65,0)</f>
        <v>0</v>
      </c>
      <c r="AW18" s="527">
        <f>IF(AW8='H2 decom &amp; refub S'!$E$59,'H2 decom &amp; refub S'!$E$65,0)</f>
        <v>0</v>
      </c>
      <c r="AX18" s="527">
        <f>IF(AX8='H2 decom &amp; refub S'!$E$59,'H2 decom &amp; refub S'!$E$65,0)</f>
        <v>0</v>
      </c>
      <c r="AY18" s="527">
        <f>IF(AY8='H2 decom &amp; refub S'!$E$59,'H2 decom &amp; refub S'!$E$65,0)</f>
        <v>0</v>
      </c>
      <c r="AZ18" s="527">
        <f>IF(AZ8='H2 decom &amp; refub S'!$E$59,'H2 decom &amp; refub S'!$E$65,0)</f>
        <v>0</v>
      </c>
      <c r="BA18" s="527">
        <f>IF(BA8='H2 decom &amp; refub S'!$E$59,'H2 decom &amp; refub S'!$E$65,0)</f>
        <v>0</v>
      </c>
      <c r="BB18" s="527">
        <f>IF(BB8='H2 decom &amp; refub S'!$E$59,'H2 decom &amp; refub S'!$E$65,0)</f>
        <v>0</v>
      </c>
    </row>
    <row r="19" spans="2:54" x14ac:dyDescent="0.25">
      <c r="B19" s="440"/>
      <c r="C19" s="440"/>
      <c r="D19" s="514"/>
      <c r="E19" s="514">
        <f t="shared" ref="E19" si="11">G19+NPV($C$43,H19:AU19)</f>
        <v>0</v>
      </c>
      <c r="F19" s="440"/>
      <c r="G19" s="515"/>
      <c r="H19" s="515"/>
      <c r="I19" s="515"/>
      <c r="J19" s="515"/>
      <c r="K19" s="515"/>
      <c r="L19" s="515"/>
      <c r="M19" s="515"/>
      <c r="N19" s="515"/>
      <c r="O19" s="515"/>
      <c r="P19" s="515"/>
      <c r="Q19" s="515"/>
      <c r="R19" s="515"/>
      <c r="S19" s="515"/>
      <c r="T19" s="515"/>
      <c r="U19" s="515"/>
      <c r="V19" s="515"/>
      <c r="W19" s="515"/>
      <c r="X19" s="515"/>
      <c r="Y19" s="515"/>
      <c r="Z19" s="515"/>
      <c r="AA19" s="515"/>
      <c r="AB19" s="515"/>
      <c r="AC19" s="515"/>
      <c r="AD19" s="515"/>
      <c r="AE19" s="515"/>
      <c r="AF19" s="515"/>
      <c r="AG19" s="515"/>
      <c r="AH19" s="515"/>
      <c r="AI19" s="515"/>
      <c r="AJ19" s="515"/>
      <c r="AK19" s="515"/>
      <c r="AL19" s="515"/>
      <c r="AM19" s="515"/>
      <c r="AN19" s="515"/>
      <c r="AO19" s="515"/>
      <c r="AP19" s="515"/>
      <c r="AQ19" s="515"/>
      <c r="AR19" s="515"/>
      <c r="AS19" s="515"/>
      <c r="AT19" s="515"/>
      <c r="AU19" s="515"/>
      <c r="AV19" s="515"/>
      <c r="AW19" s="515"/>
      <c r="AX19" s="515"/>
      <c r="AY19" s="515"/>
      <c r="AZ19" s="515"/>
      <c r="BA19" s="515"/>
      <c r="BB19" s="515"/>
    </row>
    <row r="20" spans="2:54" x14ac:dyDescent="0.25">
      <c r="B20" s="309" t="s">
        <v>982</v>
      </c>
      <c r="C20" s="309" t="s">
        <v>979</v>
      </c>
      <c r="D20" s="505">
        <f>SUM(G20:BB20)</f>
        <v>9555.5410241035333</v>
      </c>
      <c r="E20" s="505">
        <f>G20+NPV($C$43,H20:BB20)</f>
        <v>3876.7202853766394</v>
      </c>
      <c r="F20" s="309"/>
      <c r="G20" s="506">
        <f t="shared" ref="G20:AU20" si="12">SUM(G21:G31)</f>
        <v>0</v>
      </c>
      <c r="H20" s="506">
        <f t="shared" si="12"/>
        <v>0</v>
      </c>
      <c r="I20" s="506">
        <f t="shared" si="12"/>
        <v>0</v>
      </c>
      <c r="J20" s="506">
        <f t="shared" si="12"/>
        <v>0</v>
      </c>
      <c r="K20" s="506">
        <f t="shared" si="12"/>
        <v>0</v>
      </c>
      <c r="L20" s="506">
        <f t="shared" si="12"/>
        <v>0</v>
      </c>
      <c r="M20" s="506">
        <f t="shared" si="12"/>
        <v>0</v>
      </c>
      <c r="N20" s="506">
        <f t="shared" si="12"/>
        <v>0</v>
      </c>
      <c r="O20" s="506">
        <f t="shared" si="12"/>
        <v>2318.3893431585179</v>
      </c>
      <c r="P20" s="506">
        <f t="shared" si="12"/>
        <v>2364.7650765624016</v>
      </c>
      <c r="Q20" s="506">
        <f t="shared" si="12"/>
        <v>2412.0684835651768</v>
      </c>
      <c r="R20" s="506">
        <f t="shared" si="12"/>
        <v>2460.3181208174378</v>
      </c>
      <c r="S20" s="506">
        <f t="shared" si="12"/>
        <v>0</v>
      </c>
      <c r="T20" s="506">
        <f t="shared" si="12"/>
        <v>0</v>
      </c>
      <c r="U20" s="506">
        <f t="shared" si="12"/>
        <v>0</v>
      </c>
      <c r="V20" s="506">
        <f t="shared" si="12"/>
        <v>0</v>
      </c>
      <c r="W20" s="506">
        <f t="shared" si="12"/>
        <v>0</v>
      </c>
      <c r="X20" s="506">
        <f t="shared" si="12"/>
        <v>0</v>
      </c>
      <c r="Y20" s="506">
        <f t="shared" si="12"/>
        <v>0</v>
      </c>
      <c r="Z20" s="506">
        <f t="shared" si="12"/>
        <v>0</v>
      </c>
      <c r="AA20" s="506">
        <f t="shared" si="12"/>
        <v>0</v>
      </c>
      <c r="AB20" s="506">
        <f t="shared" si="12"/>
        <v>0</v>
      </c>
      <c r="AC20" s="506">
        <f t="shared" si="12"/>
        <v>0</v>
      </c>
      <c r="AD20" s="506">
        <f t="shared" si="12"/>
        <v>0</v>
      </c>
      <c r="AE20" s="506">
        <f t="shared" si="12"/>
        <v>0</v>
      </c>
      <c r="AF20" s="506">
        <f t="shared" si="12"/>
        <v>0</v>
      </c>
      <c r="AG20" s="506">
        <f t="shared" si="12"/>
        <v>0</v>
      </c>
      <c r="AH20" s="506">
        <f t="shared" si="12"/>
        <v>0</v>
      </c>
      <c r="AI20" s="506">
        <f t="shared" si="12"/>
        <v>0</v>
      </c>
      <c r="AJ20" s="506">
        <f t="shared" si="12"/>
        <v>0</v>
      </c>
      <c r="AK20" s="506">
        <f t="shared" si="12"/>
        <v>0</v>
      </c>
      <c r="AL20" s="506">
        <f t="shared" si="12"/>
        <v>0</v>
      </c>
      <c r="AM20" s="506">
        <f t="shared" si="12"/>
        <v>0</v>
      </c>
      <c r="AN20" s="506">
        <f t="shared" si="12"/>
        <v>0</v>
      </c>
      <c r="AO20" s="506">
        <f t="shared" si="12"/>
        <v>0</v>
      </c>
      <c r="AP20" s="506">
        <f t="shared" si="12"/>
        <v>0</v>
      </c>
      <c r="AQ20" s="506">
        <f t="shared" si="12"/>
        <v>0</v>
      </c>
      <c r="AR20" s="506">
        <f t="shared" si="12"/>
        <v>0</v>
      </c>
      <c r="AS20" s="506">
        <f t="shared" si="12"/>
        <v>0</v>
      </c>
      <c r="AT20" s="506">
        <f t="shared" si="12"/>
        <v>0</v>
      </c>
      <c r="AU20" s="506">
        <f t="shared" si="12"/>
        <v>0</v>
      </c>
      <c r="AV20" s="506">
        <f t="shared" ref="AV20:BB20" si="13">SUM(AV21:AV31)</f>
        <v>0</v>
      </c>
      <c r="AW20" s="506">
        <f t="shared" si="13"/>
        <v>0</v>
      </c>
      <c r="AX20" s="506">
        <f t="shared" si="13"/>
        <v>0</v>
      </c>
      <c r="AY20" s="506">
        <f t="shared" si="13"/>
        <v>0</v>
      </c>
      <c r="AZ20" s="506">
        <f t="shared" si="13"/>
        <v>0</v>
      </c>
      <c r="BA20" s="506">
        <f t="shared" si="13"/>
        <v>0</v>
      </c>
      <c r="BB20" s="506">
        <f t="shared" si="13"/>
        <v>0</v>
      </c>
    </row>
    <row r="21" spans="2:54" x14ac:dyDescent="0.25">
      <c r="B21" s="980" t="str">
        <f>Parameters!E299</f>
        <v>Energy requirement desalination unit</v>
      </c>
      <c r="C21" s="508" t="s">
        <v>979</v>
      </c>
      <c r="D21" s="509">
        <f t="shared" ref="D21:D30" si="14">SUM(G21:BB21)</f>
        <v>24.909570482631814</v>
      </c>
      <c r="E21" s="509">
        <f t="shared" ref="E21:E30" si="15">G21+NPV($C$43,H21:BB21)</f>
        <v>10.105599377103347</v>
      </c>
      <c r="F21" s="533" t="s">
        <v>1481</v>
      </c>
      <c r="G21" s="510">
        <f>IF(AND(G$8&gt;=$C$5,G$8&lt;$C$6),VLOOKUP($B21,Parameters!$E$256:$G$376,3,FALSE),0)*(INDEX('Electricity price scenarios'!$B$3:$BB$11,MATCH(Parameters!$G$15,'Electricity price scenarios'!$B$3:$B$11,0),MATCH(G$8,'Electricity price scenarios'!$B$3:$BB$3,0))+Parameters!$G$37)*(1+Parameters!$G$13)^(G$8-$G$8)/1000</f>
        <v>0</v>
      </c>
      <c r="H21" s="510">
        <f>IF(AND(H$8&gt;=$C$5,H$8&lt;$C$6),VLOOKUP($B21,Parameters!$E$256:$G$376,3,FALSE),0)*(INDEX('Electricity price scenarios'!$B$3:$BB$11,MATCH(Parameters!$G$15,'Electricity price scenarios'!$B$3:$B$11,0),MATCH(H$8,'Electricity price scenarios'!$B$3:$BB$3,0))+Parameters!$G$37)*(1+Parameters!$G$13)^(H$8-$G$8)/1000</f>
        <v>0</v>
      </c>
      <c r="I21" s="510">
        <f>IF(AND(I$8&gt;=$C$5,I$8&lt;$C$6),VLOOKUP($B21,Parameters!$E$256:$G$376,3,FALSE),0)*(INDEX('Electricity price scenarios'!$B$3:$BB$11,MATCH(Parameters!$G$15,'Electricity price scenarios'!$B$3:$B$11,0),MATCH(I$8,'Electricity price scenarios'!$B$3:$BB$3,0))+Parameters!$G$37)*(1+Parameters!$G$13)^(I$8-$G$8)/1000</f>
        <v>0</v>
      </c>
      <c r="J21" s="510">
        <f>IF(AND(J$8&gt;=$C$5,J$8&lt;$C$6),VLOOKUP($B21,Parameters!$E$256:$G$376,3,FALSE),0)*(INDEX('Electricity price scenarios'!$B$3:$BB$11,MATCH(Parameters!$G$15,'Electricity price scenarios'!$B$3:$B$11,0),MATCH(J$8,'Electricity price scenarios'!$B$3:$BB$3,0))+Parameters!$G$37)*(1+Parameters!$G$13)^(J$8-$G$8)/1000</f>
        <v>0</v>
      </c>
      <c r="K21" s="510">
        <f>IF(AND(K$8&gt;=$C$5,K$8&lt;$C$6),VLOOKUP($B21,Parameters!$E$256:$G$376,3,FALSE),0)*(INDEX('Electricity price scenarios'!$B$3:$BB$11,MATCH(Parameters!$G$15,'Electricity price scenarios'!$B$3:$B$11,0),MATCH(K$8,'Electricity price scenarios'!$B$3:$BB$3,0))+Parameters!$G$37)*(1+Parameters!$G$13)^(K$8-$G$8)/1000</f>
        <v>0</v>
      </c>
      <c r="L21" s="510">
        <f>IF(AND(L$8&gt;=$C$5,L$8&lt;$C$6),VLOOKUP($B21,Parameters!$E$256:$G$376,3,FALSE),0)*(INDEX('Electricity price scenarios'!$B$3:$BB$11,MATCH(Parameters!$G$15,'Electricity price scenarios'!$B$3:$B$11,0),MATCH(L$8,'Electricity price scenarios'!$B$3:$BB$3,0))+Parameters!$G$37)*(1+Parameters!$G$13)^(L$8-$G$8)/1000</f>
        <v>0</v>
      </c>
      <c r="M21" s="510">
        <f>IF(AND(M$8&gt;=$C$5,M$8&lt;$C$6),VLOOKUP($B21,Parameters!$E$256:$G$376,3,FALSE),0)*(INDEX('Electricity price scenarios'!$B$3:$BB$11,MATCH(Parameters!$G$15,'Electricity price scenarios'!$B$3:$B$11,0),MATCH(M$8,'Electricity price scenarios'!$B$3:$BB$3,0))+Parameters!$G$37)*(1+Parameters!$G$13)^(M$8-$G$8)/1000</f>
        <v>0</v>
      </c>
      <c r="N21" s="510">
        <f>IF(AND(N$8&gt;=$C$5,N$8&lt;$C$6),VLOOKUP($B21,Parameters!$E$256:$G$376,3,FALSE),0)*(INDEX('Electricity price scenarios'!$B$3:$BB$11,MATCH(Parameters!$G$15,'Electricity price scenarios'!$B$3:$B$11,0),MATCH(N$8,'Electricity price scenarios'!$B$3:$BB$3,0))+Parameters!$G$37)*(1+Parameters!$G$13)^(N$8-$G$8)/1000</f>
        <v>0</v>
      </c>
      <c r="O21" s="510">
        <f>IF(AND(O$8&gt;=$C$5,O$8&lt;$C$6),VLOOKUP($B21,Parameters!$E$256:$G$376,3,FALSE),0)*(INDEX('Electricity price scenarios'!$B$3:$BB$11,MATCH(Parameters!$G$15,'Electricity price scenarios'!$B$3:$B$11,0),MATCH(O$8,'Electricity price scenarios'!$B$3:$BB$3,0))+Parameters!$G$37)*(1+Parameters!$G$13)^(O$8-$G$8)/1000</f>
        <v>6.0412423029292599</v>
      </c>
      <c r="P21" s="510">
        <f>IF(AND(P$8&gt;=$C$5,P$8&lt;$C$6),VLOOKUP($B21,Parameters!$E$256:$G$376,3,FALSE),0)*(INDEX('Electricity price scenarios'!$B$3:$BB$11,MATCH(Parameters!$G$15,'Electricity price scenarios'!$B$3:$B$11,0),MATCH(P$8,'Electricity price scenarios'!$B$3:$BB$3,0))+Parameters!$G$37)*(1+Parameters!$G$13)^(P$8-$G$8)/1000</f>
        <v>6.1636801264825127</v>
      </c>
      <c r="Q21" s="510">
        <f>IF(AND(Q$8&gt;=$C$5,Q$8&lt;$C$6),VLOOKUP($B21,Parameters!$E$256:$G$376,3,FALSE),0)*(INDEX('Electricity price scenarios'!$B$3:$BB$11,MATCH(Parameters!$G$15,'Electricity price scenarios'!$B$3:$B$11,0),MATCH(Q$8,'Electricity price scenarios'!$B$3:$BB$3,0))+Parameters!$G$37)*(1+Parameters!$G$13)^(Q$8-$G$8)/1000</f>
        <v>6.2885989660567247</v>
      </c>
      <c r="R21" s="510">
        <f>IF(AND(R$8&gt;=$C$5,R$8&lt;$C$6),VLOOKUP($B21,Parameters!$E$256:$G$376,3,FALSE),0)*(INDEX('Electricity price scenarios'!$B$3:$BB$11,MATCH(Parameters!$G$15,'Electricity price scenarios'!$B$3:$B$11,0),MATCH(R$8,'Electricity price scenarios'!$B$3:$BB$3,0))+Parameters!$G$37)*(1+Parameters!$G$13)^(R$8-$G$8)/1000</f>
        <v>6.416049087163314</v>
      </c>
      <c r="S21" s="510">
        <f>IF(AND(S$8&gt;=$C$5,S$8&lt;$C$6),VLOOKUP($B21,Parameters!$E$256:$G$376,3,FALSE),0)*(INDEX('Electricity price scenarios'!$B$3:$BB$11,MATCH(Parameters!$G$15,'Electricity price scenarios'!$B$3:$B$11,0),MATCH(S$8,'Electricity price scenarios'!$B$3:$BB$3,0))+Parameters!$G$37)*(1+Parameters!$G$13)^(S$8-$G$8)/1000</f>
        <v>0</v>
      </c>
      <c r="T21" s="510">
        <f>IF(AND(T$8&gt;=$C$5,T$8&lt;$C$6),VLOOKUP($B21,Parameters!$E$256:$G$376,3,FALSE),0)*(INDEX('Electricity price scenarios'!$B$3:$BB$11,MATCH(Parameters!$G$15,'Electricity price scenarios'!$B$3:$B$11,0),MATCH(T$8,'Electricity price scenarios'!$B$3:$BB$3,0))+Parameters!$G$37)*(1+Parameters!$G$13)^(T$8-$G$8)/1000</f>
        <v>0</v>
      </c>
      <c r="U21" s="510">
        <f>IF(AND(U$8&gt;=$C$5,U$8&lt;$C$6),VLOOKUP($B21,Parameters!$E$256:$G$376,3,FALSE),0)*(INDEX('Electricity price scenarios'!$B$3:$BB$11,MATCH(Parameters!$G$15,'Electricity price scenarios'!$B$3:$B$11,0),MATCH(U$8,'Electricity price scenarios'!$B$3:$BB$3,0))+Parameters!$G$37)*(1+Parameters!$G$13)^(U$8-$G$8)/1000</f>
        <v>0</v>
      </c>
      <c r="V21" s="510">
        <f>IF(AND(V$8&gt;=$C$5,V$8&lt;$C$6),VLOOKUP($B21,Parameters!$E$256:$G$376,3,FALSE),0)*(INDEX('Electricity price scenarios'!$B$3:$BB$11,MATCH(Parameters!$G$15,'Electricity price scenarios'!$B$3:$B$11,0),MATCH(V$8,'Electricity price scenarios'!$B$3:$BB$3,0))+Parameters!$G$37)*(1+Parameters!$G$13)^(V$8-$G$8)/1000</f>
        <v>0</v>
      </c>
      <c r="W21" s="510">
        <f>IF(AND(W$8&gt;=$C$5,W$8&lt;$C$6),VLOOKUP($B21,Parameters!$E$256:$G$376,3,FALSE),0)*(INDEX('Electricity price scenarios'!$B$3:$BB$11,MATCH(Parameters!$G$15,'Electricity price scenarios'!$B$3:$B$11,0),MATCH(W$8,'Electricity price scenarios'!$B$3:$BB$3,0))+Parameters!$G$37)*(1+Parameters!$G$13)^(W$8-$G$8)/1000</f>
        <v>0</v>
      </c>
      <c r="X21" s="510">
        <f>IF(AND(X$8&gt;=$C$5,X$8&lt;$C$6),VLOOKUP($B21,Parameters!$E$256:$G$376,3,FALSE),0)*(INDEX('Electricity price scenarios'!$B$3:$BB$11,MATCH(Parameters!$G$15,'Electricity price scenarios'!$B$3:$B$11,0),MATCH(X$8,'Electricity price scenarios'!$B$3:$BB$3,0))+Parameters!$G$37)*(1+Parameters!$G$13)^(X$8-$G$8)/1000</f>
        <v>0</v>
      </c>
      <c r="Y21" s="510">
        <f>IF(AND(Y$8&gt;=$C$5,Y$8&lt;$C$6),VLOOKUP($B21,Parameters!$E$256:$G$376,3,FALSE),0)*(INDEX('Electricity price scenarios'!$B$3:$BB$11,MATCH(Parameters!$G$15,'Electricity price scenarios'!$B$3:$B$11,0),MATCH(Y$8,'Electricity price scenarios'!$B$3:$BB$3,0))+Parameters!$G$37)*(1+Parameters!$G$13)^(Y$8-$G$8)/1000</f>
        <v>0</v>
      </c>
      <c r="Z21" s="510">
        <f>IF(AND(Z$8&gt;=$C$5,Z$8&lt;$C$6),VLOOKUP($B21,Parameters!$E$256:$G$376,3,FALSE),0)*(INDEX('Electricity price scenarios'!$B$3:$BB$11,MATCH(Parameters!$G$15,'Electricity price scenarios'!$B$3:$B$11,0),MATCH(Z$8,'Electricity price scenarios'!$B$3:$BB$3,0))+Parameters!$G$37)*(1+Parameters!$G$13)^(Z$8-$G$8)/1000</f>
        <v>0</v>
      </c>
      <c r="AA21" s="510">
        <f>IF(AND(AA$8&gt;=$C$5,AA$8&lt;$C$6),VLOOKUP($B21,Parameters!$E$256:$G$376,3,FALSE),0)*(INDEX('Electricity price scenarios'!$B$3:$BB$11,MATCH(Parameters!$G$15,'Electricity price scenarios'!$B$3:$B$11,0),MATCH(AA$8,'Electricity price scenarios'!$B$3:$BB$3,0))+Parameters!$G$37)*(1+Parameters!$G$13)^(AA$8-$G$8)/1000</f>
        <v>0</v>
      </c>
      <c r="AB21" s="510">
        <f>IF(AND(AB$8&gt;=$C$5,AB$8&lt;$C$6),VLOOKUP($B21,Parameters!$E$256:$G$376,3,FALSE),0)*(INDEX('Electricity price scenarios'!$B$3:$BB$11,MATCH(Parameters!$G$15,'Electricity price scenarios'!$B$3:$B$11,0),MATCH(AB$8,'Electricity price scenarios'!$B$3:$BB$3,0))+Parameters!$G$37)*(1+Parameters!$G$13)^(AB$8-$G$8)/1000</f>
        <v>0</v>
      </c>
      <c r="AC21" s="510">
        <f>IF(AND(AC$8&gt;=$C$5,AC$8&lt;$C$6),VLOOKUP($B21,Parameters!$E$256:$G$376,3,FALSE),0)*(INDEX('Electricity price scenarios'!$B$3:$BB$11,MATCH(Parameters!$G$15,'Electricity price scenarios'!$B$3:$B$11,0),MATCH(AC$8,'Electricity price scenarios'!$B$3:$BB$3,0))+Parameters!$G$37)*(1+Parameters!$G$13)^(AC$8-$G$8)/1000</f>
        <v>0</v>
      </c>
      <c r="AD21" s="510">
        <f>IF(AND(AD$8&gt;=$C$5,AD$8&lt;$C$6),VLOOKUP($B21,Parameters!$E$256:$G$376,3,FALSE),0)*(INDEX('Electricity price scenarios'!$B$3:$BB$11,MATCH(Parameters!$G$15,'Electricity price scenarios'!$B$3:$B$11,0),MATCH(AD$8,'Electricity price scenarios'!$B$3:$BB$3,0))+Parameters!$G$37)*(1+Parameters!$G$13)^(AD$8-$G$8)/1000</f>
        <v>0</v>
      </c>
      <c r="AE21" s="510">
        <f>IF(AND(AE$8&gt;=$C$5,AE$8&lt;$C$6),VLOOKUP($B21,Parameters!$E$256:$G$376,3,FALSE),0)*(INDEX('Electricity price scenarios'!$B$3:$BB$11,MATCH(Parameters!$G$15,'Electricity price scenarios'!$B$3:$B$11,0),MATCH(AE$8,'Electricity price scenarios'!$B$3:$BB$3,0))+Parameters!$G$37)*(1+Parameters!$G$13)^(AE$8-$G$8)/1000</f>
        <v>0</v>
      </c>
      <c r="AF21" s="510">
        <f>IF(AND(AF$8&gt;=$C$5,AF$8&lt;$C$6),VLOOKUP($B21,Parameters!$E$256:$G$376,3,FALSE),0)*(INDEX('Electricity price scenarios'!$B$3:$BB$11,MATCH(Parameters!$G$15,'Electricity price scenarios'!$B$3:$B$11,0),MATCH(AF$8,'Electricity price scenarios'!$B$3:$BB$3,0))+Parameters!$G$37)*(1+Parameters!$G$13)^(AF$8-$G$8)/1000</f>
        <v>0</v>
      </c>
      <c r="AG21" s="510">
        <f>IF(AND(AG$8&gt;=$C$5,AG$8&lt;$C$6),VLOOKUP($B21,Parameters!$E$256:$G$376,3,FALSE),0)*(INDEX('Electricity price scenarios'!$B$3:$BB$11,MATCH(Parameters!$G$15,'Electricity price scenarios'!$B$3:$B$11,0),MATCH(AG$8,'Electricity price scenarios'!$B$3:$BB$3,0))+Parameters!$G$37)*(1+Parameters!$G$13)^(AG$8-$G$8)/1000</f>
        <v>0</v>
      </c>
      <c r="AH21" s="510">
        <f>IF(AND(AH$8&gt;=$C$5,AH$8&lt;$C$6),VLOOKUP($B21,Parameters!$E$256:$G$376,3,FALSE),0)*(INDEX('Electricity price scenarios'!$B$3:$BB$11,MATCH(Parameters!$G$15,'Electricity price scenarios'!$B$3:$B$11,0),MATCH(AH$8,'Electricity price scenarios'!$B$3:$BB$3,0))+Parameters!$G$37)*(1+Parameters!$G$13)^(AH$8-$G$8)/1000</f>
        <v>0</v>
      </c>
      <c r="AI21" s="510">
        <f>IF(AND(AI$8&gt;=$C$5,AI$8&lt;$C$6),VLOOKUP($B21,Parameters!$E$256:$G$376,3,FALSE),0)*(INDEX('Electricity price scenarios'!$B$3:$BB$11,MATCH(Parameters!$G$15,'Electricity price scenarios'!$B$3:$B$11,0),MATCH(AI$8,'Electricity price scenarios'!$B$3:$BB$3,0))+Parameters!$G$37)*(1+Parameters!$G$13)^(AI$8-$G$8)/1000</f>
        <v>0</v>
      </c>
      <c r="AJ21" s="510">
        <f>IF(AND(AJ$8&gt;=$C$5,AJ$8&lt;$C$6),VLOOKUP($B21,Parameters!$E$256:$G$376,3,FALSE),0)*(INDEX('Electricity price scenarios'!$B$3:$BB$11,MATCH(Parameters!$G$15,'Electricity price scenarios'!$B$3:$B$11,0),MATCH(AJ$8,'Electricity price scenarios'!$B$3:$BB$3,0))+Parameters!$G$37)*(1+Parameters!$G$13)^(AJ$8-$G$8)/1000</f>
        <v>0</v>
      </c>
      <c r="AK21" s="510">
        <f>IF(AND(AK$8&gt;=$C$5,AK$8&lt;$C$6),VLOOKUP($B21,Parameters!$E$256:$G$376,3,FALSE),0)*(INDEX('Electricity price scenarios'!$B$3:$BB$11,MATCH(Parameters!$G$15,'Electricity price scenarios'!$B$3:$B$11,0),MATCH(AK$8,'Electricity price scenarios'!$B$3:$BB$3,0))+Parameters!$G$37)*(1+Parameters!$G$13)^(AK$8-$G$8)/1000</f>
        <v>0</v>
      </c>
      <c r="AL21" s="510">
        <f>IF(AND(AL$8&gt;=$C$5,AL$8&lt;$C$6),VLOOKUP($B21,Parameters!$E$256:$G$376,3,FALSE),0)*(INDEX('Electricity price scenarios'!$B$3:$BB$11,MATCH(Parameters!$G$15,'Electricity price scenarios'!$B$3:$B$11,0),MATCH(AL$8,'Electricity price scenarios'!$B$3:$BB$3,0))+Parameters!$G$37)*(1+Parameters!$G$13)^(AL$8-$G$8)/1000</f>
        <v>0</v>
      </c>
      <c r="AM21" s="510">
        <f>IF(AND(AM$8&gt;=$C$5,AM$8&lt;$C$6),VLOOKUP($B21,Parameters!$E$256:$G$376,3,FALSE),0)*(INDEX('Electricity price scenarios'!$B$3:$BB$11,MATCH(Parameters!$G$15,'Electricity price scenarios'!$B$3:$B$11,0),MATCH(AM$8,'Electricity price scenarios'!$B$3:$BB$3,0))+Parameters!$G$37)*(1+Parameters!$G$13)^(AM$8-$G$8)/1000</f>
        <v>0</v>
      </c>
      <c r="AN21" s="510">
        <f>IF(AND(AN$8&gt;=$C$5,AN$8&lt;$C$6),VLOOKUP($B21,Parameters!$E$256:$G$376,3,FALSE),0)*(INDEX('Electricity price scenarios'!$B$3:$BB$11,MATCH(Parameters!$G$15,'Electricity price scenarios'!$B$3:$B$11,0),MATCH(AN$8,'Electricity price scenarios'!$B$3:$BB$3,0))+Parameters!$G$37)*(1+Parameters!$G$13)^(AN$8-$G$8)/1000</f>
        <v>0</v>
      </c>
      <c r="AO21" s="510">
        <f>IF(AND(AO$8&gt;=$C$5,AO$8&lt;$C$6),VLOOKUP($B21,Parameters!$E$256:$G$376,3,FALSE),0)*(INDEX('Electricity price scenarios'!$B$3:$BB$11,MATCH(Parameters!$G$15,'Electricity price scenarios'!$B$3:$B$11,0),MATCH(AO$8,'Electricity price scenarios'!$B$3:$BB$3,0))+Parameters!$G$37)*(1+Parameters!$G$13)^(AO$8-$G$8)/1000</f>
        <v>0</v>
      </c>
      <c r="AP21" s="510">
        <f>IF(AND(AP$8&gt;=$C$5,AP$8&lt;$C$6),VLOOKUP($B21,Parameters!$E$256:$G$376,3,FALSE),0)*(INDEX('Electricity price scenarios'!$B$3:$BB$11,MATCH(Parameters!$G$15,'Electricity price scenarios'!$B$3:$B$11,0),MATCH(AP$8,'Electricity price scenarios'!$B$3:$BB$3,0))+Parameters!$G$37)*(1+Parameters!$G$13)^(AP$8-$G$8)/1000</f>
        <v>0</v>
      </c>
      <c r="AQ21" s="510">
        <f>IF(AND(AQ$8&gt;=$C$5,AQ$8&lt;$C$6),VLOOKUP($B21,Parameters!$E$256:$G$376,3,FALSE),0)*(INDEX('Electricity price scenarios'!$B$3:$BB$11,MATCH(Parameters!$G$15,'Electricity price scenarios'!$B$3:$B$11,0),MATCH(AQ$8,'Electricity price scenarios'!$B$3:$BB$3,0))+Parameters!$G$37)*(1+Parameters!$G$13)^(AQ$8-$G$8)/1000</f>
        <v>0</v>
      </c>
      <c r="AR21" s="510">
        <f>IF(AND(AR$8&gt;=$C$5,AR$8&lt;$C$6),VLOOKUP($B21,Parameters!$E$256:$G$376,3,FALSE),0)*(INDEX('Electricity price scenarios'!$B$3:$BB$11,MATCH(Parameters!$G$15,'Electricity price scenarios'!$B$3:$B$11,0),MATCH(AR$8,'Electricity price scenarios'!$B$3:$BB$3,0))+Parameters!$G$37)*(1+Parameters!$G$13)^(AR$8-$G$8)/1000</f>
        <v>0</v>
      </c>
      <c r="AS21" s="510">
        <f>IF(AND(AS$8&gt;=$C$5,AS$8&lt;$C$6),VLOOKUP($B21,Parameters!$E$256:$G$376,3,FALSE),0)*(INDEX('Electricity price scenarios'!$B$3:$BB$11,MATCH(Parameters!$G$15,'Electricity price scenarios'!$B$3:$B$11,0),MATCH(AS$8,'Electricity price scenarios'!$B$3:$BB$3,0))+Parameters!$G$37)*(1+Parameters!$G$13)^(AS$8-$G$8)/1000</f>
        <v>0</v>
      </c>
      <c r="AT21" s="510">
        <f>IF(AND(AT$8&gt;=$C$5,AT$8&lt;$C$6),VLOOKUP($B21,Parameters!$E$256:$G$376,3,FALSE),0)*(INDEX('Electricity price scenarios'!$B$3:$BB$11,MATCH(Parameters!$G$15,'Electricity price scenarios'!$B$3:$B$11,0),MATCH(AT$8,'Electricity price scenarios'!$B$3:$BB$3,0))+Parameters!$G$37)*(1+Parameters!$G$13)^(AT$8-$G$8)/1000</f>
        <v>0</v>
      </c>
      <c r="AU21" s="510">
        <f>IF(AND(AU$8&gt;=$C$5,AU$8&lt;$C$6),VLOOKUP($B21,Parameters!$E$256:$G$376,3,FALSE),0)*(INDEX('Electricity price scenarios'!$B$3:$BB$11,MATCH(Parameters!$G$15,'Electricity price scenarios'!$B$3:$B$11,0),MATCH(AU$8,'Electricity price scenarios'!$B$3:$BB$3,0))+Parameters!$G$37)*(1+Parameters!$G$13)^(AU$8-$G$8)/1000</f>
        <v>0</v>
      </c>
      <c r="AV21" s="510">
        <f>IF(AND(AV$8&gt;=$C$5,AV$8&lt;$C$6),VLOOKUP($B21,Parameters!$E$256:$G$376,3,FALSE),0)*(INDEX('Electricity price scenarios'!$B$3:$BB$11,MATCH(Parameters!$G$15,'Electricity price scenarios'!$B$3:$B$11,0),MATCH(AV$8,'Electricity price scenarios'!$B$3:$BB$3,0))+Parameters!$G$37)*(1+Parameters!$G$13)^(AV$8-$G$8)/1000</f>
        <v>0</v>
      </c>
      <c r="AW21" s="510">
        <f>IF(AND(AW$8&gt;=$C$5,AW$8&lt;$C$6),VLOOKUP($B21,Parameters!$E$256:$G$376,3,FALSE),0)*(INDEX('Electricity price scenarios'!$B$3:$BB$11,MATCH(Parameters!$G$15,'Electricity price scenarios'!$B$3:$B$11,0),MATCH(AW$8,'Electricity price scenarios'!$B$3:$BB$3,0))+Parameters!$G$37)*(1+Parameters!$G$13)^(AW$8-$G$8)/1000</f>
        <v>0</v>
      </c>
      <c r="AX21" s="510">
        <f>IF(AND(AX$8&gt;=$C$5,AX$8&lt;$C$6),VLOOKUP($B21,Parameters!$E$256:$G$376,3,FALSE),0)*(INDEX('Electricity price scenarios'!$B$3:$BB$11,MATCH(Parameters!$G$15,'Electricity price scenarios'!$B$3:$B$11,0),MATCH(AX$8,'Electricity price scenarios'!$B$3:$BB$3,0))+Parameters!$G$37)*(1+Parameters!$G$13)^(AX$8-$G$8)/1000</f>
        <v>0</v>
      </c>
      <c r="AY21" s="510">
        <f>IF(AND(AY$8&gt;=$C$5,AY$8&lt;$C$6),VLOOKUP($B21,Parameters!$E$256:$G$376,3,FALSE),0)*(INDEX('Electricity price scenarios'!$B$3:$BB$11,MATCH(Parameters!$G$15,'Electricity price scenarios'!$B$3:$B$11,0),MATCH(AY$8,'Electricity price scenarios'!$B$3:$BB$3,0))+Parameters!$G$37)*(1+Parameters!$G$13)^(AY$8-$G$8)/1000</f>
        <v>0</v>
      </c>
      <c r="AZ21" s="510">
        <f>IF(AND(AZ$8&gt;=$C$5,AZ$8&lt;$C$6),VLOOKUP($B21,Parameters!$E$256:$G$376,3,FALSE),0)*(INDEX('Electricity price scenarios'!$B$3:$BB$11,MATCH(Parameters!$G$15,'Electricity price scenarios'!$B$3:$B$11,0),MATCH(AZ$8,'Electricity price scenarios'!$B$3:$BB$3,0))+Parameters!$G$37)*(1+Parameters!$G$13)^(AZ$8-$G$8)/1000</f>
        <v>0</v>
      </c>
      <c r="BA21" s="510">
        <f>IF(AND(BA$8&gt;=$C$5,BA$8&lt;$C$6),VLOOKUP($B21,Parameters!$E$256:$G$376,3,FALSE),0)*(INDEX('Electricity price scenarios'!$B$3:$BB$11,MATCH(Parameters!$G$15,'Electricity price scenarios'!$B$3:$B$11,0),MATCH(BA$8,'Electricity price scenarios'!$B$3:$BB$3,0))+Parameters!$G$37)*(1+Parameters!$G$13)^(BA$8-$G$8)/1000</f>
        <v>0</v>
      </c>
      <c r="BB21" s="510">
        <f>IF(AND(BB$8&gt;=$C$5,BB$8&lt;$C$6),VLOOKUP($B21,Parameters!$E$256:$G$376,3,FALSE),0)*(INDEX('Electricity price scenarios'!$B$3:$BB$11,MATCH(Parameters!$G$15,'Electricity price scenarios'!$B$3:$B$11,0),MATCH(BB$8,'Electricity price scenarios'!$B$3:$BB$3,0))+Parameters!$G$37)*(1+Parameters!$G$13)^(BB$8-$G$8)/1000</f>
        <v>0</v>
      </c>
    </row>
    <row r="22" spans="2:54" x14ac:dyDescent="0.25">
      <c r="B22" s="981" t="str">
        <f>Parameters!E291</f>
        <v>Electricity costs electrolysis</v>
      </c>
      <c r="C22" s="511" t="s">
        <v>979</v>
      </c>
      <c r="D22" s="512">
        <f t="shared" si="14"/>
        <v>5496.6513088171596</v>
      </c>
      <c r="E22" s="512">
        <f t="shared" si="15"/>
        <v>2230.0137790965</v>
      </c>
      <c r="F22" s="537" t="s">
        <v>1482</v>
      </c>
      <c r="G22" s="527">
        <f>IF(AND(G$8&gt;=$C$5,G$8&lt;$C$6),VLOOKUP($B22,Parameters!$E$256:$G$376,3,FALSE),0)*(1+Parameters!$G$13)^(G$8-$G$8)/1000</f>
        <v>0</v>
      </c>
      <c r="H22" s="527">
        <f>IF(AND(H$8&gt;=$C$5,H$8&lt;$C$6),VLOOKUP($B22,Parameters!$E$256:$G$376,3,FALSE),0)*(1+Parameters!$G$13)^(H$8-$G$8)/1000</f>
        <v>0</v>
      </c>
      <c r="I22" s="527">
        <f>IF(AND(I$8&gt;=$C$5,I$8&lt;$C$6),VLOOKUP($B22,Parameters!$E$256:$G$376,3,FALSE),0)*(1+Parameters!$G$13)^(I$8-$G$8)/1000</f>
        <v>0</v>
      </c>
      <c r="J22" s="527">
        <f>IF(AND(J$8&gt;=$C$5,J$8&lt;$C$6),VLOOKUP($B22,Parameters!$E$256:$G$376,3,FALSE),0)*(1+Parameters!$G$13)^(J$8-$G$8)/1000</f>
        <v>0</v>
      </c>
      <c r="K22" s="527">
        <f>IF(AND(K$8&gt;=$C$5,K$8&lt;$C$6),VLOOKUP($B22,Parameters!$E$256:$G$376,3,FALSE),0)*(1+Parameters!$G$13)^(K$8-$G$8)/1000</f>
        <v>0</v>
      </c>
      <c r="L22" s="527">
        <f>IF(AND(L$8&gt;=$C$5,L$8&lt;$C$6),VLOOKUP($B22,Parameters!$E$256:$G$376,3,FALSE),0)*(1+Parameters!$G$13)^(L$8-$G$8)/1000</f>
        <v>0</v>
      </c>
      <c r="M22" s="527">
        <f>IF(AND(M$8&gt;=$C$5,M$8&lt;$C$6),VLOOKUP($B22,Parameters!$E$256:$G$376,3,FALSE),0)*(1+Parameters!$G$13)^(M$8-$G$8)/1000</f>
        <v>0</v>
      </c>
      <c r="N22" s="527">
        <f>IF(AND(N$8&gt;=$C$5,N$8&lt;$C$6),VLOOKUP($B22,Parameters!$E$256:$G$376,3,FALSE),0)*(1+Parameters!$G$13)^(N$8-$G$8)/1000</f>
        <v>0</v>
      </c>
      <c r="O22" s="527">
        <f>IF(AND(O$8&gt;=$C$5,O$8&lt;$C$6),VLOOKUP($B22,Parameters!$E$256:$G$376,3,FALSE),0)*(1+Parameters!$G$13)^(O$8-$G$8)/1000</f>
        <v>1333.6181676707633</v>
      </c>
      <c r="P22" s="527">
        <f>IF(AND(P$8&gt;=$C$5,P$8&lt;$C$6),VLOOKUP($B22,Parameters!$E$256:$G$376,3,FALSE),0)*(1+Parameters!$G$13)^(P$8-$G$8)/1000</f>
        <v>1360.2905310241786</v>
      </c>
      <c r="Q22" s="527">
        <f>IF(AND(Q$8&gt;=$C$5,Q$8&lt;$C$6),VLOOKUP($B22,Parameters!$E$256:$G$376,3,FALSE),0)*(1+Parameters!$G$13)^(Q$8-$G$8)/1000</f>
        <v>1387.4963416446622</v>
      </c>
      <c r="R22" s="527">
        <f>IF(AND(R$8&gt;=$C$5,R$8&lt;$C$6),VLOOKUP($B22,Parameters!$E$256:$G$376,3,FALSE),0)*(1+Parameters!$G$13)^(R$8-$G$8)/1000</f>
        <v>1415.2462684775551</v>
      </c>
      <c r="S22" s="527">
        <f>IF(AND(S$8&gt;=$C$5,S$8&lt;$C$6),VLOOKUP($B22,Parameters!$E$256:$G$376,3,FALSE),0)*(1+Parameters!$G$13)^(S$8-$G$8)/1000</f>
        <v>0</v>
      </c>
      <c r="T22" s="527">
        <f>IF(AND(T$8&gt;=$C$5,T$8&lt;$C$6),VLOOKUP($B22,Parameters!$E$256:$G$376,3,FALSE),0)*(1+Parameters!$G$13)^(T$8-$G$8)/1000</f>
        <v>0</v>
      </c>
      <c r="U22" s="527">
        <f>IF(AND(U$8&gt;=$C$5,U$8&lt;$C$6),VLOOKUP($B22,Parameters!$E$256:$G$376,3,FALSE),0)*(1+Parameters!$G$13)^(U$8-$G$8)/1000</f>
        <v>0</v>
      </c>
      <c r="V22" s="527">
        <f>IF(AND(V$8&gt;=$C$5,V$8&lt;$C$6),VLOOKUP($B22,Parameters!$E$256:$G$376,3,FALSE),0)*(1+Parameters!$G$13)^(V$8-$G$8)/1000</f>
        <v>0</v>
      </c>
      <c r="W22" s="527">
        <f>IF(AND(W$8&gt;=$C$5,W$8&lt;$C$6),VLOOKUP($B22,Parameters!$E$256:$G$376,3,FALSE),0)*(1+Parameters!$G$13)^(W$8-$G$8)/1000</f>
        <v>0</v>
      </c>
      <c r="X22" s="527">
        <f>IF(AND(X$8&gt;=$C$5,X$8&lt;$C$6),VLOOKUP($B22,Parameters!$E$256:$G$376,3,FALSE),0)*(1+Parameters!$G$13)^(X$8-$G$8)/1000</f>
        <v>0</v>
      </c>
      <c r="Y22" s="527">
        <f>IF(AND(Y$8&gt;=$C$5,Y$8&lt;$C$6),VLOOKUP($B22,Parameters!$E$256:$G$376,3,FALSE),0)*(1+Parameters!$G$13)^(Y$8-$G$8)/1000</f>
        <v>0</v>
      </c>
      <c r="Z22" s="527">
        <f>IF(AND(Z$8&gt;=$C$5,Z$8&lt;$C$6),VLOOKUP($B22,Parameters!$E$256:$G$376,3,FALSE),0)*(1+Parameters!$G$13)^(Z$8-$G$8)/1000</f>
        <v>0</v>
      </c>
      <c r="AA22" s="527">
        <f>IF(AND(AA$8&gt;=$C$5,AA$8&lt;$C$6),VLOOKUP($B22,Parameters!$E$256:$G$376,3,FALSE),0)*(1+Parameters!$G$13)^(AA$8-$G$8)/1000</f>
        <v>0</v>
      </c>
      <c r="AB22" s="527">
        <f>IF(AND(AB$8&gt;=$C$5,AB$8&lt;$C$6),VLOOKUP($B22,Parameters!$E$256:$G$376,3,FALSE),0)*(1+Parameters!$G$13)^(AB$8-$G$8)/1000</f>
        <v>0</v>
      </c>
      <c r="AC22" s="527">
        <f>IF(AND(AC$8&gt;=$C$5,AC$8&lt;$C$6),VLOOKUP($B22,Parameters!$E$256:$G$376,3,FALSE),0)*(1+Parameters!$G$13)^(AC$8-$G$8)/1000</f>
        <v>0</v>
      </c>
      <c r="AD22" s="527">
        <f>IF(AND(AD$8&gt;=$C$5,AD$8&lt;$C$6),VLOOKUP($B22,Parameters!$E$256:$G$376,3,FALSE),0)*(1+Parameters!$G$13)^(AD$8-$G$8)/1000</f>
        <v>0</v>
      </c>
      <c r="AE22" s="527">
        <f>IF(AND(AE$8&gt;=$C$5,AE$8&lt;$C$6),VLOOKUP($B22,Parameters!$E$256:$G$376,3,FALSE),0)*(1+Parameters!$G$13)^(AE$8-$G$8)/1000</f>
        <v>0</v>
      </c>
      <c r="AF22" s="527">
        <f>IF(AND(AF$8&gt;=$C$5,AF$8&lt;$C$6),VLOOKUP($B22,Parameters!$E$256:$G$376,3,FALSE),0)*(1+Parameters!$G$13)^(AF$8-$G$8)/1000</f>
        <v>0</v>
      </c>
      <c r="AG22" s="527">
        <f>IF(AND(AG$8&gt;=$C$5,AG$8&lt;$C$6),VLOOKUP($B22,Parameters!$E$256:$G$376,3,FALSE),0)*(1+Parameters!$G$13)^(AG$8-$G$8)/1000</f>
        <v>0</v>
      </c>
      <c r="AH22" s="527">
        <f>IF(AND(AH$8&gt;=$C$5,AH$8&lt;$C$6),VLOOKUP($B22,Parameters!$E$256:$G$376,3,FALSE),0)*(1+Parameters!$G$13)^(AH$8-$G$8)/1000</f>
        <v>0</v>
      </c>
      <c r="AI22" s="527">
        <f>IF(AND(AI$8&gt;=$C$5,AI$8&lt;$C$6),VLOOKUP($B22,Parameters!$E$256:$G$376,3,FALSE),0)*(1+Parameters!$G$13)^(AI$8-$G$8)/1000</f>
        <v>0</v>
      </c>
      <c r="AJ22" s="527">
        <f>IF(AND(AJ$8&gt;=$C$5,AJ$8&lt;$C$6),VLOOKUP($B22,Parameters!$E$256:$G$376,3,FALSE),0)*(1+Parameters!$G$13)^(AJ$8-$G$8)/1000</f>
        <v>0</v>
      </c>
      <c r="AK22" s="527">
        <f>IF(AND(AK$8&gt;=$C$5,AK$8&lt;$C$6),VLOOKUP($B22,Parameters!$E$256:$G$376,3,FALSE),0)*(1+Parameters!$G$13)^(AK$8-$G$8)/1000</f>
        <v>0</v>
      </c>
      <c r="AL22" s="527">
        <f>IF(AND(AL$8&gt;=$C$5,AL$8&lt;$C$6),VLOOKUP($B22,Parameters!$E$256:$G$376,3,FALSE),0)*(1+Parameters!$G$13)^(AL$8-$G$8)/1000</f>
        <v>0</v>
      </c>
      <c r="AM22" s="527">
        <f>IF(AND(AM$8&gt;=$C$5,AM$8&lt;$C$6),VLOOKUP($B22,Parameters!$E$256:$G$376,3,FALSE),0)*(1+Parameters!$G$13)^(AM$8-$G$8)/1000</f>
        <v>0</v>
      </c>
      <c r="AN22" s="527">
        <f>IF(AND(AN$8&gt;=$C$5,AN$8&lt;$C$6),VLOOKUP($B22,Parameters!$E$256:$G$376,3,FALSE),0)*(1+Parameters!$G$13)^(AN$8-$G$8)/1000</f>
        <v>0</v>
      </c>
      <c r="AO22" s="527">
        <f>IF(AND(AO$8&gt;=$C$5,AO$8&lt;$C$6),VLOOKUP($B22,Parameters!$E$256:$G$376,3,FALSE),0)*(1+Parameters!$G$13)^(AO$8-$G$8)/1000</f>
        <v>0</v>
      </c>
      <c r="AP22" s="527">
        <f>IF(AND(AP$8&gt;=$C$5,AP$8&lt;$C$6),VLOOKUP($B22,Parameters!$E$256:$G$376,3,FALSE),0)*(1+Parameters!$G$13)^(AP$8-$G$8)/1000</f>
        <v>0</v>
      </c>
      <c r="AQ22" s="527">
        <f>IF(AND(AQ$8&gt;=$C$5,AQ$8&lt;$C$6),VLOOKUP($B22,Parameters!$E$256:$G$376,3,FALSE),0)*(1+Parameters!$G$13)^(AQ$8-$G$8)/1000</f>
        <v>0</v>
      </c>
      <c r="AR22" s="527">
        <f>IF(AND(AR$8&gt;=$C$5,AR$8&lt;$C$6),VLOOKUP($B22,Parameters!$E$256:$G$376,3,FALSE),0)*(1+Parameters!$G$13)^(AR$8-$G$8)/1000</f>
        <v>0</v>
      </c>
      <c r="AS22" s="527">
        <f>IF(AND(AS$8&gt;=$C$5,AS$8&lt;$C$6),VLOOKUP($B22,Parameters!$E$256:$G$376,3,FALSE),0)*(1+Parameters!$G$13)^(AS$8-$G$8)/1000</f>
        <v>0</v>
      </c>
      <c r="AT22" s="527">
        <f>IF(AND(AT$8&gt;=$C$5,AT$8&lt;$C$6),VLOOKUP($B22,Parameters!$E$256:$G$376,3,FALSE),0)*(1+Parameters!$G$13)^(AT$8-$G$8)/1000</f>
        <v>0</v>
      </c>
      <c r="AU22" s="527">
        <f>IF(AND(AU$8&gt;=$C$5,AU$8&lt;$C$6),VLOOKUP($B22,Parameters!$E$256:$G$376,3,FALSE),0)*(1+Parameters!$G$13)^(AU$8-$G$8)/1000</f>
        <v>0</v>
      </c>
      <c r="AV22" s="527">
        <f>IF(AND(AV$8&gt;=$C$5,AV$8&lt;$C$6),VLOOKUP($B22,Parameters!$E$256:$G$376,3,FALSE),0)*(1+Parameters!$G$13)^(AV$8-$G$8)/1000</f>
        <v>0</v>
      </c>
      <c r="AW22" s="527">
        <f>IF(AND(AW$8&gt;=$C$5,AW$8&lt;$C$6),VLOOKUP($B22,Parameters!$E$256:$G$376,3,FALSE),0)*(1+Parameters!$G$13)^(AW$8-$G$8)/1000</f>
        <v>0</v>
      </c>
      <c r="AX22" s="527">
        <f>IF(AND(AX$8&gt;=$C$5,AX$8&lt;$C$6),VLOOKUP($B22,Parameters!$E$256:$G$376,3,FALSE),0)*(1+Parameters!$G$13)^(AX$8-$G$8)/1000</f>
        <v>0</v>
      </c>
      <c r="AY22" s="527">
        <f>IF(AND(AY$8&gt;=$C$5,AY$8&lt;$C$6),VLOOKUP($B22,Parameters!$E$256:$G$376,3,FALSE),0)*(1+Parameters!$G$13)^(AY$8-$G$8)/1000</f>
        <v>0</v>
      </c>
      <c r="AZ22" s="527">
        <f>IF(AND(AZ$8&gt;=$C$5,AZ$8&lt;$C$6),VLOOKUP($B22,Parameters!$E$256:$G$376,3,FALSE),0)*(1+Parameters!$G$13)^(AZ$8-$G$8)/1000</f>
        <v>0</v>
      </c>
      <c r="BA22" s="527">
        <f>IF(AND(BA$8&gt;=$C$5,BA$8&lt;$C$6),VLOOKUP($B22,Parameters!$E$256:$G$376,3,FALSE),0)*(1+Parameters!$G$13)^(BA$8-$G$8)/1000</f>
        <v>0</v>
      </c>
      <c r="BB22" s="527">
        <f>IF(AND(BB$8&gt;=$C$5,BB$8&lt;$C$6),VLOOKUP($B22,Parameters!$E$256:$G$376,3,FALSE),0)*(1+Parameters!$G$13)^(BB$8-$G$8)/1000</f>
        <v>0</v>
      </c>
    </row>
    <row r="23" spans="2:54" x14ac:dyDescent="0.25">
      <c r="B23" s="979" t="str">
        <f>Parameters!E316</f>
        <v>Electricity demand H2 compressor</v>
      </c>
      <c r="C23" s="511" t="s">
        <v>979</v>
      </c>
      <c r="D23" s="512">
        <f t="shared" si="14"/>
        <v>97.810626567896492</v>
      </c>
      <c r="E23" s="512">
        <f t="shared" si="15"/>
        <v>39.680933382926405</v>
      </c>
      <c r="F23" s="478" t="s">
        <v>1481</v>
      </c>
      <c r="G23" s="527">
        <f>IF(AND(G$8&gt;=$C$5,G$8&lt;$C$6),VLOOKUP($B23,Parameters!$E$256:$G$376,3,FALSE),0)*(Parameters!$G$37+INDEX('Electricity price scenarios'!$B$3:$BB$11,MATCH(Parameters!$G$15,'Electricity price scenarios'!$B$3:$B$11,0),MATCH(G$8,'Electricity price scenarios'!$B$3:$BB$3,0)))*(1+Parameters!$G$13)^(G$8-$G$8)/1000</f>
        <v>0</v>
      </c>
      <c r="H23" s="527">
        <f>IF(AND(H$8&gt;=$C$5,H$8&lt;$C$6),VLOOKUP($B23,Parameters!$E$256:$G$376,3,FALSE),0)*(Parameters!$G$37+INDEX('Electricity price scenarios'!$B$3:$BB$11,MATCH(Parameters!$G$15,'Electricity price scenarios'!$B$3:$B$11,0),MATCH(H$8,'Electricity price scenarios'!$B$3:$BB$3,0)))*(1+Parameters!$G$13)^(H$8-$G$8)/1000</f>
        <v>0</v>
      </c>
      <c r="I23" s="527">
        <f>IF(AND(I$8&gt;=$C$5,I$8&lt;$C$6),VLOOKUP($B23,Parameters!$E$256:$G$376,3,FALSE),0)*(Parameters!$G$37+INDEX('Electricity price scenarios'!$B$3:$BB$11,MATCH(Parameters!$G$15,'Electricity price scenarios'!$B$3:$B$11,0),MATCH(I$8,'Electricity price scenarios'!$B$3:$BB$3,0)))*(1+Parameters!$G$13)^(I$8-$G$8)/1000</f>
        <v>0</v>
      </c>
      <c r="J23" s="527">
        <f>IF(AND(J$8&gt;=$C$5,J$8&lt;$C$6),VLOOKUP($B23,Parameters!$E$256:$G$376,3,FALSE),0)*(Parameters!$G$37+INDEX('Electricity price scenarios'!$B$3:$BB$11,MATCH(Parameters!$G$15,'Electricity price scenarios'!$B$3:$B$11,0),MATCH(J$8,'Electricity price scenarios'!$B$3:$BB$3,0)))*(1+Parameters!$G$13)^(J$8-$G$8)/1000</f>
        <v>0</v>
      </c>
      <c r="K23" s="527">
        <f>IF(AND(K$8&gt;=$C$5,K$8&lt;$C$6),VLOOKUP($B23,Parameters!$E$256:$G$376,3,FALSE),0)*(Parameters!$G$37+INDEX('Electricity price scenarios'!$B$3:$BB$11,MATCH(Parameters!$G$15,'Electricity price scenarios'!$B$3:$B$11,0),MATCH(K$8,'Electricity price scenarios'!$B$3:$BB$3,0)))*(1+Parameters!$G$13)^(K$8-$G$8)/1000</f>
        <v>0</v>
      </c>
      <c r="L23" s="527">
        <f>IF(AND(L$8&gt;=$C$5,L$8&lt;$C$6),VLOOKUP($B23,Parameters!$E$256:$G$376,3,FALSE),0)*(Parameters!$G$37+INDEX('Electricity price scenarios'!$B$3:$BB$11,MATCH(Parameters!$G$15,'Electricity price scenarios'!$B$3:$B$11,0),MATCH(L$8,'Electricity price scenarios'!$B$3:$BB$3,0)))*(1+Parameters!$G$13)^(L$8-$G$8)/1000</f>
        <v>0</v>
      </c>
      <c r="M23" s="527">
        <f>IF(AND(M$8&gt;=$C$5,M$8&lt;$C$6),VLOOKUP($B23,Parameters!$E$256:$G$376,3,FALSE),0)*(Parameters!$G$37+INDEX('Electricity price scenarios'!$B$3:$BB$11,MATCH(Parameters!$G$15,'Electricity price scenarios'!$B$3:$B$11,0),MATCH(M$8,'Electricity price scenarios'!$B$3:$BB$3,0)))*(1+Parameters!$G$13)^(M$8-$G$8)/1000</f>
        <v>0</v>
      </c>
      <c r="N23" s="527">
        <f>IF(AND(N$8&gt;=$C$5,N$8&lt;$C$6),VLOOKUP($B23,Parameters!$E$256:$G$376,3,FALSE),0)*(Parameters!$G$37+INDEX('Electricity price scenarios'!$B$3:$BB$11,MATCH(Parameters!$G$15,'Electricity price scenarios'!$B$3:$B$11,0),MATCH(N$8,'Electricity price scenarios'!$B$3:$BB$3,0)))*(1+Parameters!$G$13)^(N$8-$G$8)/1000</f>
        <v>0</v>
      </c>
      <c r="O23" s="527">
        <f>IF(AND(O$8&gt;=$C$5,O$8&lt;$C$6),VLOOKUP($B23,Parameters!$E$256:$G$376,3,FALSE),0)*(Parameters!$G$37+INDEX('Electricity price scenarios'!$B$3:$BB$11,MATCH(Parameters!$G$15,'Electricity price scenarios'!$B$3:$B$11,0),MATCH(O$8,'Electricity price scenarios'!$B$3:$BB$3,0)))*(1+Parameters!$G$13)^(O$8-$G$8)/1000</f>
        <v>23.721713520110516</v>
      </c>
      <c r="P23" s="527">
        <f>IF(AND(P$8&gt;=$C$5,P$8&lt;$C$6),VLOOKUP($B23,Parameters!$E$256:$G$376,3,FALSE),0)*(Parameters!$G$37+INDEX('Electricity price scenarios'!$B$3:$BB$11,MATCH(Parameters!$G$15,'Electricity price scenarios'!$B$3:$B$11,0),MATCH(P$8,'Electricity price scenarios'!$B$3:$BB$3,0)))*(1+Parameters!$G$13)^(P$8-$G$8)/1000</f>
        <v>24.202481353731066</v>
      </c>
      <c r="Q23" s="527">
        <f>IF(AND(Q$8&gt;=$C$5,Q$8&lt;$C$6),VLOOKUP($B23,Parameters!$E$256:$G$376,3,FALSE),0)*(Parameters!$G$37+INDEX('Electricity price scenarios'!$B$3:$BB$11,MATCH(Parameters!$G$15,'Electricity price scenarios'!$B$3:$B$11,0),MATCH(Q$8,'Electricity price scenarios'!$B$3:$BB$3,0)))*(1+Parameters!$G$13)^(Q$8-$G$8)/1000</f>
        <v>24.692991215288391</v>
      </c>
      <c r="R23" s="527">
        <f>IF(AND(R$8&gt;=$C$5,R$8&lt;$C$6),VLOOKUP($B23,Parameters!$E$256:$G$376,3,FALSE),0)*(Parameters!$G$37+INDEX('Electricity price scenarios'!$B$3:$BB$11,MATCH(Parameters!$G$15,'Electricity price scenarios'!$B$3:$B$11,0),MATCH(R$8,'Electricity price scenarios'!$B$3:$BB$3,0)))*(1+Parameters!$G$13)^(R$8-$G$8)/1000</f>
        <v>25.193440478766526</v>
      </c>
      <c r="S23" s="527">
        <f>IF(AND(S$8&gt;=$C$5,S$8&lt;$C$6),VLOOKUP($B23,Parameters!$E$256:$G$376,3,FALSE),0)*(Parameters!$G$37+INDEX('Electricity price scenarios'!$B$3:$BB$11,MATCH(Parameters!$G$15,'Electricity price scenarios'!$B$3:$B$11,0),MATCH(S$8,'Electricity price scenarios'!$B$3:$BB$3,0)))*(1+Parameters!$G$13)^(S$8-$G$8)/1000</f>
        <v>0</v>
      </c>
      <c r="T23" s="527">
        <f>IF(AND(T$8&gt;=$C$5,T$8&lt;$C$6),VLOOKUP($B23,Parameters!$E$256:$G$376,3,FALSE),0)*(Parameters!$G$37+INDEX('Electricity price scenarios'!$B$3:$BB$11,MATCH(Parameters!$G$15,'Electricity price scenarios'!$B$3:$B$11,0),MATCH(T$8,'Electricity price scenarios'!$B$3:$BB$3,0)))*(1+Parameters!$G$13)^(T$8-$G$8)/1000</f>
        <v>0</v>
      </c>
      <c r="U23" s="527">
        <f>IF(AND(U$8&gt;=$C$5,U$8&lt;$C$6),VLOOKUP($B23,Parameters!$E$256:$G$376,3,FALSE),0)*(Parameters!$G$37+INDEX('Electricity price scenarios'!$B$3:$BB$11,MATCH(Parameters!$G$15,'Electricity price scenarios'!$B$3:$B$11,0),MATCH(U$8,'Electricity price scenarios'!$B$3:$BB$3,0)))*(1+Parameters!$G$13)^(U$8-$G$8)/1000</f>
        <v>0</v>
      </c>
      <c r="V23" s="527">
        <f>IF(AND(V$8&gt;=$C$5,V$8&lt;$C$6),VLOOKUP($B23,Parameters!$E$256:$G$376,3,FALSE),0)*(Parameters!$G$37+INDEX('Electricity price scenarios'!$B$3:$BB$11,MATCH(Parameters!$G$15,'Electricity price scenarios'!$B$3:$B$11,0),MATCH(V$8,'Electricity price scenarios'!$B$3:$BB$3,0)))*(1+Parameters!$G$13)^(V$8-$G$8)/1000</f>
        <v>0</v>
      </c>
      <c r="W23" s="527">
        <f>IF(AND(W$8&gt;=$C$5,W$8&lt;$C$6),VLOOKUP($B23,Parameters!$E$256:$G$376,3,FALSE),0)*(Parameters!$G$37+INDEX('Electricity price scenarios'!$B$3:$BB$11,MATCH(Parameters!$G$15,'Electricity price scenarios'!$B$3:$B$11,0),MATCH(W$8,'Electricity price scenarios'!$B$3:$BB$3,0)))*(1+Parameters!$G$13)^(W$8-$G$8)/1000</f>
        <v>0</v>
      </c>
      <c r="X23" s="527">
        <f>IF(AND(X$8&gt;=$C$5,X$8&lt;$C$6),VLOOKUP($B23,Parameters!$E$256:$G$376,3,FALSE),0)*(Parameters!$G$37+INDEX('Electricity price scenarios'!$B$3:$BB$11,MATCH(Parameters!$G$15,'Electricity price scenarios'!$B$3:$B$11,0),MATCH(X$8,'Electricity price scenarios'!$B$3:$BB$3,0)))*(1+Parameters!$G$13)^(X$8-$G$8)/1000</f>
        <v>0</v>
      </c>
      <c r="Y23" s="527">
        <f>IF(AND(Y$8&gt;=$C$5,Y$8&lt;$C$6),VLOOKUP($B23,Parameters!$E$256:$G$376,3,FALSE),0)*(Parameters!$G$37+INDEX('Electricity price scenarios'!$B$3:$BB$11,MATCH(Parameters!$G$15,'Electricity price scenarios'!$B$3:$B$11,0),MATCH(Y$8,'Electricity price scenarios'!$B$3:$BB$3,0)))*(1+Parameters!$G$13)^(Y$8-$G$8)/1000</f>
        <v>0</v>
      </c>
      <c r="Z23" s="527">
        <f>IF(AND(Z$8&gt;=$C$5,Z$8&lt;$C$6),VLOOKUP($B23,Parameters!$E$256:$G$376,3,FALSE),0)*(Parameters!$G$37+INDEX('Electricity price scenarios'!$B$3:$BB$11,MATCH(Parameters!$G$15,'Electricity price scenarios'!$B$3:$B$11,0),MATCH(Z$8,'Electricity price scenarios'!$B$3:$BB$3,0)))*(1+Parameters!$G$13)^(Z$8-$G$8)/1000</f>
        <v>0</v>
      </c>
      <c r="AA23" s="527">
        <f>IF(AND(AA$8&gt;=$C$5,AA$8&lt;$C$6),VLOOKUP($B23,Parameters!$E$256:$G$376,3,FALSE),0)*(Parameters!$G$37+INDEX('Electricity price scenarios'!$B$3:$BB$11,MATCH(Parameters!$G$15,'Electricity price scenarios'!$B$3:$B$11,0),MATCH(AA$8,'Electricity price scenarios'!$B$3:$BB$3,0)))*(1+Parameters!$G$13)^(AA$8-$G$8)/1000</f>
        <v>0</v>
      </c>
      <c r="AB23" s="527">
        <f>IF(AND(AB$8&gt;=$C$5,AB$8&lt;$C$6),VLOOKUP($B23,Parameters!$E$256:$G$376,3,FALSE),0)*(Parameters!$G$37+INDEX('Electricity price scenarios'!$B$3:$BB$11,MATCH(Parameters!$G$15,'Electricity price scenarios'!$B$3:$B$11,0),MATCH(AB$8,'Electricity price scenarios'!$B$3:$BB$3,0)))*(1+Parameters!$G$13)^(AB$8-$G$8)/1000</f>
        <v>0</v>
      </c>
      <c r="AC23" s="527">
        <f>IF(AND(AC$8&gt;=$C$5,AC$8&lt;$C$6),VLOOKUP($B23,Parameters!$E$256:$G$376,3,FALSE),0)*(Parameters!$G$37+INDEX('Electricity price scenarios'!$B$3:$BB$11,MATCH(Parameters!$G$15,'Electricity price scenarios'!$B$3:$B$11,0),MATCH(AC$8,'Electricity price scenarios'!$B$3:$BB$3,0)))*(1+Parameters!$G$13)^(AC$8-$G$8)/1000</f>
        <v>0</v>
      </c>
      <c r="AD23" s="527">
        <f>IF(AND(AD$8&gt;=$C$5,AD$8&lt;$C$6),VLOOKUP($B23,Parameters!$E$256:$G$376,3,FALSE),0)*(Parameters!$G$37+INDEX('Electricity price scenarios'!$B$3:$BB$11,MATCH(Parameters!$G$15,'Electricity price scenarios'!$B$3:$B$11,0),MATCH(AD$8,'Electricity price scenarios'!$B$3:$BB$3,0)))*(1+Parameters!$G$13)^(AD$8-$G$8)/1000</f>
        <v>0</v>
      </c>
      <c r="AE23" s="527">
        <f>IF(AND(AE$8&gt;=$C$5,AE$8&lt;$C$6),VLOOKUP($B23,Parameters!$E$256:$G$376,3,FALSE),0)*(Parameters!$G$37+INDEX('Electricity price scenarios'!$B$3:$BB$11,MATCH(Parameters!$G$15,'Electricity price scenarios'!$B$3:$B$11,0),MATCH(AE$8,'Electricity price scenarios'!$B$3:$BB$3,0)))*(1+Parameters!$G$13)^(AE$8-$G$8)/1000</f>
        <v>0</v>
      </c>
      <c r="AF23" s="527">
        <f>IF(AND(AF$8&gt;=$C$5,AF$8&lt;$C$6),VLOOKUP($B23,Parameters!$E$256:$G$376,3,FALSE),0)*(Parameters!$G$37+INDEX('Electricity price scenarios'!$B$3:$BB$11,MATCH(Parameters!$G$15,'Electricity price scenarios'!$B$3:$B$11,0),MATCH(AF$8,'Electricity price scenarios'!$B$3:$BB$3,0)))*(1+Parameters!$G$13)^(AF$8-$G$8)/1000</f>
        <v>0</v>
      </c>
      <c r="AG23" s="527">
        <f>IF(AND(AG$8&gt;=$C$5,AG$8&lt;$C$6),VLOOKUP($B23,Parameters!$E$256:$G$376,3,FALSE),0)*(Parameters!$G$37+INDEX('Electricity price scenarios'!$B$3:$BB$11,MATCH(Parameters!$G$15,'Electricity price scenarios'!$B$3:$B$11,0),MATCH(AG$8,'Electricity price scenarios'!$B$3:$BB$3,0)))*(1+Parameters!$G$13)^(AG$8-$G$8)/1000</f>
        <v>0</v>
      </c>
      <c r="AH23" s="527">
        <f>IF(AND(AH$8&gt;=$C$5,AH$8&lt;$C$6),VLOOKUP($B23,Parameters!$E$256:$G$376,3,FALSE),0)*(Parameters!$G$37+INDEX('Electricity price scenarios'!$B$3:$BB$11,MATCH(Parameters!$G$15,'Electricity price scenarios'!$B$3:$B$11,0),MATCH(AH$8,'Electricity price scenarios'!$B$3:$BB$3,0)))*(1+Parameters!$G$13)^(AH$8-$G$8)/1000</f>
        <v>0</v>
      </c>
      <c r="AI23" s="527">
        <f>IF(AND(AI$8&gt;=$C$5,AI$8&lt;$C$6),VLOOKUP($B23,Parameters!$E$256:$G$376,3,FALSE),0)*(Parameters!$G$37+INDEX('Electricity price scenarios'!$B$3:$BB$11,MATCH(Parameters!$G$15,'Electricity price scenarios'!$B$3:$B$11,0),MATCH(AI$8,'Electricity price scenarios'!$B$3:$BB$3,0)))*(1+Parameters!$G$13)^(AI$8-$G$8)/1000</f>
        <v>0</v>
      </c>
      <c r="AJ23" s="527">
        <f>IF(AND(AJ$8&gt;=$C$5,AJ$8&lt;$C$6),VLOOKUP($B23,Parameters!$E$256:$G$376,3,FALSE),0)*(Parameters!$G$37+INDEX('Electricity price scenarios'!$B$3:$BB$11,MATCH(Parameters!$G$15,'Electricity price scenarios'!$B$3:$B$11,0),MATCH(AJ$8,'Electricity price scenarios'!$B$3:$BB$3,0)))*(1+Parameters!$G$13)^(AJ$8-$G$8)/1000</f>
        <v>0</v>
      </c>
      <c r="AK23" s="527">
        <f>IF(AND(AK$8&gt;=$C$5,AK$8&lt;$C$6),VLOOKUP($B23,Parameters!$E$256:$G$376,3,FALSE),0)*(Parameters!$G$37+INDEX('Electricity price scenarios'!$B$3:$BB$11,MATCH(Parameters!$G$15,'Electricity price scenarios'!$B$3:$B$11,0),MATCH(AK$8,'Electricity price scenarios'!$B$3:$BB$3,0)))*(1+Parameters!$G$13)^(AK$8-$G$8)/1000</f>
        <v>0</v>
      </c>
      <c r="AL23" s="527">
        <f>IF(AND(AL$8&gt;=$C$5,AL$8&lt;$C$6),VLOOKUP($B23,Parameters!$E$256:$G$376,3,FALSE),0)*(Parameters!$G$37+INDEX('Electricity price scenarios'!$B$3:$BB$11,MATCH(Parameters!$G$15,'Electricity price scenarios'!$B$3:$B$11,0),MATCH(AL$8,'Electricity price scenarios'!$B$3:$BB$3,0)))*(1+Parameters!$G$13)^(AL$8-$G$8)/1000</f>
        <v>0</v>
      </c>
      <c r="AM23" s="527">
        <f>IF(AND(AM$8&gt;=$C$5,AM$8&lt;$C$6),VLOOKUP($B23,Parameters!$E$256:$G$376,3,FALSE),0)*(Parameters!$G$37+INDEX('Electricity price scenarios'!$B$3:$BB$11,MATCH(Parameters!$G$15,'Electricity price scenarios'!$B$3:$B$11,0),MATCH(AM$8,'Electricity price scenarios'!$B$3:$BB$3,0)))*(1+Parameters!$G$13)^(AM$8-$G$8)/1000</f>
        <v>0</v>
      </c>
      <c r="AN23" s="527">
        <f>IF(AND(AN$8&gt;=$C$5,AN$8&lt;$C$6),VLOOKUP($B23,Parameters!$E$256:$G$376,3,FALSE),0)*(Parameters!$G$37+INDEX('Electricity price scenarios'!$B$3:$BB$11,MATCH(Parameters!$G$15,'Electricity price scenarios'!$B$3:$B$11,0),MATCH(AN$8,'Electricity price scenarios'!$B$3:$BB$3,0)))*(1+Parameters!$G$13)^(AN$8-$G$8)/1000</f>
        <v>0</v>
      </c>
      <c r="AO23" s="527">
        <f>IF(AND(AO$8&gt;=$C$5,AO$8&lt;$C$6),VLOOKUP($B23,Parameters!$E$256:$G$376,3,FALSE),0)*(Parameters!$G$37+INDEX('Electricity price scenarios'!$B$3:$BB$11,MATCH(Parameters!$G$15,'Electricity price scenarios'!$B$3:$B$11,0),MATCH(AO$8,'Electricity price scenarios'!$B$3:$BB$3,0)))*(1+Parameters!$G$13)^(AO$8-$G$8)/1000</f>
        <v>0</v>
      </c>
      <c r="AP23" s="527">
        <f>IF(AND(AP$8&gt;=$C$5,AP$8&lt;$C$6),VLOOKUP($B23,Parameters!$E$256:$G$376,3,FALSE),0)*(Parameters!$G$37+INDEX('Electricity price scenarios'!$B$3:$BB$11,MATCH(Parameters!$G$15,'Electricity price scenarios'!$B$3:$B$11,0),MATCH(AP$8,'Electricity price scenarios'!$B$3:$BB$3,0)))*(1+Parameters!$G$13)^(AP$8-$G$8)/1000</f>
        <v>0</v>
      </c>
      <c r="AQ23" s="527">
        <f>IF(AND(AQ$8&gt;=$C$5,AQ$8&lt;$C$6),VLOOKUP($B23,Parameters!$E$256:$G$376,3,FALSE),0)*(Parameters!$G$37+INDEX('Electricity price scenarios'!$B$3:$BB$11,MATCH(Parameters!$G$15,'Electricity price scenarios'!$B$3:$B$11,0),MATCH(AQ$8,'Electricity price scenarios'!$B$3:$BB$3,0)))*(1+Parameters!$G$13)^(AQ$8-$G$8)/1000</f>
        <v>0</v>
      </c>
      <c r="AR23" s="527">
        <f>IF(AND(AR$8&gt;=$C$5,AR$8&lt;$C$6),VLOOKUP($B23,Parameters!$E$256:$G$376,3,FALSE),0)*(Parameters!$G$37+INDEX('Electricity price scenarios'!$B$3:$BB$11,MATCH(Parameters!$G$15,'Electricity price scenarios'!$B$3:$B$11,0),MATCH(AR$8,'Electricity price scenarios'!$B$3:$BB$3,0)))*(1+Parameters!$G$13)^(AR$8-$G$8)/1000</f>
        <v>0</v>
      </c>
      <c r="AS23" s="527">
        <f>IF(AND(AS$8&gt;=$C$5,AS$8&lt;$C$6),VLOOKUP($B23,Parameters!$E$256:$G$376,3,FALSE),0)*(Parameters!$G$37+INDEX('Electricity price scenarios'!$B$3:$BB$11,MATCH(Parameters!$G$15,'Electricity price scenarios'!$B$3:$B$11,0),MATCH(AS$8,'Electricity price scenarios'!$B$3:$BB$3,0)))*(1+Parameters!$G$13)^(AS$8-$G$8)/1000</f>
        <v>0</v>
      </c>
      <c r="AT23" s="527">
        <f>IF(AND(AT$8&gt;=$C$5,AT$8&lt;$C$6),VLOOKUP($B23,Parameters!$E$256:$G$376,3,FALSE),0)*(Parameters!$G$37+INDEX('Electricity price scenarios'!$B$3:$BB$11,MATCH(Parameters!$G$15,'Electricity price scenarios'!$B$3:$B$11,0),MATCH(AT$8,'Electricity price scenarios'!$B$3:$BB$3,0)))*(1+Parameters!$G$13)^(AT$8-$G$8)/1000</f>
        <v>0</v>
      </c>
      <c r="AU23" s="527">
        <f>IF(AND(AU$8&gt;=$C$5,AU$8&lt;$C$6),VLOOKUP($B23,Parameters!$E$256:$G$376,3,FALSE),0)*(Parameters!$G$37+INDEX('Electricity price scenarios'!$B$3:$BB$11,MATCH(Parameters!$G$15,'Electricity price scenarios'!$B$3:$B$11,0),MATCH(AU$8,'Electricity price scenarios'!$B$3:$BB$3,0)))*(1+Parameters!$G$13)^(AU$8-$G$8)/1000</f>
        <v>0</v>
      </c>
      <c r="AV23" s="527">
        <f>IF(AND(AV$8&gt;=$C$5,AV$8&lt;$C$6),VLOOKUP($B23,Parameters!$E$256:$G$376,3,FALSE),0)*(Parameters!$G$37+INDEX('Electricity price scenarios'!$B$3:$BB$11,MATCH(Parameters!$G$15,'Electricity price scenarios'!$B$3:$B$11,0),MATCH(AV$8,'Electricity price scenarios'!$B$3:$BB$3,0)))*(1+Parameters!$G$13)^(AV$8-$G$8)/1000</f>
        <v>0</v>
      </c>
      <c r="AW23" s="527">
        <f>IF(AND(AW$8&gt;=$C$5,AW$8&lt;$C$6),VLOOKUP($B23,Parameters!$E$256:$G$376,3,FALSE),0)*(Parameters!$G$37+INDEX('Electricity price scenarios'!$B$3:$BB$11,MATCH(Parameters!$G$15,'Electricity price scenarios'!$B$3:$B$11,0),MATCH(AW$8,'Electricity price scenarios'!$B$3:$BB$3,0)))*(1+Parameters!$G$13)^(AW$8-$G$8)/1000</f>
        <v>0</v>
      </c>
      <c r="AX23" s="527">
        <f>IF(AND(AX$8&gt;=$C$5,AX$8&lt;$C$6),VLOOKUP($B23,Parameters!$E$256:$G$376,3,FALSE),0)*(Parameters!$G$37+INDEX('Electricity price scenarios'!$B$3:$BB$11,MATCH(Parameters!$G$15,'Electricity price scenarios'!$B$3:$B$11,0),MATCH(AX$8,'Electricity price scenarios'!$B$3:$BB$3,0)))*(1+Parameters!$G$13)^(AX$8-$G$8)/1000</f>
        <v>0</v>
      </c>
      <c r="AY23" s="527">
        <f>IF(AND(AY$8&gt;=$C$5,AY$8&lt;$C$6),VLOOKUP($B23,Parameters!$E$256:$G$376,3,FALSE),0)*(Parameters!$G$37+INDEX('Electricity price scenarios'!$B$3:$BB$11,MATCH(Parameters!$G$15,'Electricity price scenarios'!$B$3:$B$11,0),MATCH(AY$8,'Electricity price scenarios'!$B$3:$BB$3,0)))*(1+Parameters!$G$13)^(AY$8-$G$8)/1000</f>
        <v>0</v>
      </c>
      <c r="AZ23" s="527">
        <f>IF(AND(AZ$8&gt;=$C$5,AZ$8&lt;$C$6),VLOOKUP($B23,Parameters!$E$256:$G$376,3,FALSE),0)*(Parameters!$G$37+INDEX('Electricity price scenarios'!$B$3:$BB$11,MATCH(Parameters!$G$15,'Electricity price scenarios'!$B$3:$B$11,0),MATCH(AZ$8,'Electricity price scenarios'!$B$3:$BB$3,0)))*(1+Parameters!$G$13)^(AZ$8-$G$8)/1000</f>
        <v>0</v>
      </c>
      <c r="BA23" s="527">
        <f>IF(AND(BA$8&gt;=$C$5,BA$8&lt;$C$6),VLOOKUP($B23,Parameters!$E$256:$G$376,3,FALSE),0)*(Parameters!$G$37+INDEX('Electricity price scenarios'!$B$3:$BB$11,MATCH(Parameters!$G$15,'Electricity price scenarios'!$B$3:$B$11,0),MATCH(BA$8,'Electricity price scenarios'!$B$3:$BB$3,0)))*(1+Parameters!$G$13)^(BA$8-$G$8)/1000</f>
        <v>0</v>
      </c>
      <c r="BB23" s="527">
        <f>IF(AND(BB$8&gt;=$C$5,BB$8&lt;$C$6),VLOOKUP($B23,Parameters!$E$256:$G$376,3,FALSE),0)*(Parameters!$G$37+INDEX('Electricity price scenarios'!$B$3:$BB$11,MATCH(Parameters!$G$15,'Electricity price scenarios'!$B$3:$B$11,0),MATCH(BB$8,'Electricity price scenarios'!$B$3:$BB$3,0)))*(1+Parameters!$G$13)^(BB$8-$G$8)/1000</f>
        <v>0</v>
      </c>
    </row>
    <row r="24" spans="2:54" x14ac:dyDescent="0.25">
      <c r="B24" s="979" t="str">
        <f>Parameters!E301</f>
        <v>OPEX desalination unit</v>
      </c>
      <c r="C24" s="511" t="s">
        <v>979</v>
      </c>
      <c r="D24" s="512">
        <f t="shared" si="14"/>
        <v>10.170128147897456</v>
      </c>
      <c r="E24" s="512">
        <f t="shared" si="15"/>
        <v>4.1260623297330774</v>
      </c>
      <c r="F24" s="478"/>
      <c r="G24" s="527">
        <f>IF(AND(G$8&gt;=$C$5,G$8&lt;$C$6),VLOOKUP($B24,Parameters!$E$256:$G$376,3,FALSE),0)*(1+Parameters!$G$13)^(G$8-$G$8)/1000</f>
        <v>0</v>
      </c>
      <c r="H24" s="527">
        <f>IF(AND(H$8&gt;=$C$5,H$8&lt;$C$6),VLOOKUP($B24,Parameters!$E$256:$G$376,3,FALSE),0)*(1+Parameters!$G$13)^(H$8-$G$8)/1000</f>
        <v>0</v>
      </c>
      <c r="I24" s="527">
        <f>IF(AND(I$8&gt;=$C$5,I$8&lt;$C$6),VLOOKUP($B24,Parameters!$E$256:$G$376,3,FALSE),0)*(1+Parameters!$G$13)^(I$8-$G$8)/1000</f>
        <v>0</v>
      </c>
      <c r="J24" s="527">
        <f>IF(AND(J$8&gt;=$C$5,J$8&lt;$C$6),VLOOKUP($B24,Parameters!$E$256:$G$376,3,FALSE),0)*(1+Parameters!$G$13)^(J$8-$G$8)/1000</f>
        <v>0</v>
      </c>
      <c r="K24" s="527">
        <f>IF(AND(K$8&gt;=$C$5,K$8&lt;$C$6),VLOOKUP($B24,Parameters!$E$256:$G$376,3,FALSE),0)*(1+Parameters!$G$13)^(K$8-$G$8)/1000</f>
        <v>0</v>
      </c>
      <c r="L24" s="527">
        <f>IF(AND(L$8&gt;=$C$5,L$8&lt;$C$6),VLOOKUP($B24,Parameters!$E$256:$G$376,3,FALSE),0)*(1+Parameters!$G$13)^(L$8-$G$8)/1000</f>
        <v>0</v>
      </c>
      <c r="M24" s="527">
        <f>IF(AND(M$8&gt;=$C$5,M$8&lt;$C$6),VLOOKUP($B24,Parameters!$E$256:$G$376,3,FALSE),0)*(1+Parameters!$G$13)^(M$8-$G$8)/1000</f>
        <v>0</v>
      </c>
      <c r="N24" s="527">
        <f>IF(AND(N$8&gt;=$C$5,N$8&lt;$C$6),VLOOKUP($B24,Parameters!$E$256:$G$376,3,FALSE),0)*(1+Parameters!$G$13)^(N$8-$G$8)/1000</f>
        <v>0</v>
      </c>
      <c r="O24" s="527">
        <f>IF(AND(O$8&gt;=$C$5,O$8&lt;$C$6),VLOOKUP($B24,Parameters!$E$256:$G$376,3,FALSE),0)*(1+Parameters!$G$13)^(O$8-$G$8)/1000</f>
        <v>2.4675146563907715</v>
      </c>
      <c r="P24" s="527">
        <f>IF(AND(P$8&gt;=$C$5,P$8&lt;$C$6),VLOOKUP($B24,Parameters!$E$256:$G$376,3,FALSE),0)*(1+Parameters!$G$13)^(P$8-$G$8)/1000</f>
        <v>2.5168649495185873</v>
      </c>
      <c r="Q24" s="527">
        <f>IF(AND(Q$8&gt;=$C$5,Q$8&lt;$C$6),VLOOKUP($B24,Parameters!$E$256:$G$376,3,FALSE),0)*(1+Parameters!$G$13)^(Q$8-$G$8)/1000</f>
        <v>2.5672022485089592</v>
      </c>
      <c r="R24" s="527">
        <f>IF(AND(R$8&gt;=$C$5,R$8&lt;$C$6),VLOOKUP($B24,Parameters!$E$256:$G$376,3,FALSE),0)*(1+Parameters!$G$13)^(R$8-$G$8)/1000</f>
        <v>2.6185462934791377</v>
      </c>
      <c r="S24" s="527">
        <f>IF(AND(S$8&gt;=$C$5,S$8&lt;$C$6),VLOOKUP($B24,Parameters!$E$256:$G$376,3,FALSE),0)*(1+Parameters!$G$13)^(S$8-$G$8)/1000</f>
        <v>0</v>
      </c>
      <c r="T24" s="527">
        <f>IF(AND(T$8&gt;=$C$5,T$8&lt;$C$6),VLOOKUP($B24,Parameters!$E$256:$G$376,3,FALSE),0)*(1+Parameters!$G$13)^(T$8-$G$8)/1000</f>
        <v>0</v>
      </c>
      <c r="U24" s="527">
        <f>IF(AND(U$8&gt;=$C$5,U$8&lt;$C$6),VLOOKUP($B24,Parameters!$E$256:$G$376,3,FALSE),0)*(1+Parameters!$G$13)^(U$8-$G$8)/1000</f>
        <v>0</v>
      </c>
      <c r="V24" s="527">
        <f>IF(AND(V$8&gt;=$C$5,V$8&lt;$C$6),VLOOKUP($B24,Parameters!$E$256:$G$376,3,FALSE),0)*(1+Parameters!$G$13)^(V$8-$G$8)/1000</f>
        <v>0</v>
      </c>
      <c r="W24" s="527">
        <f>IF(AND(W$8&gt;=$C$5,W$8&lt;$C$6),VLOOKUP($B24,Parameters!$E$256:$G$376,3,FALSE),0)*(1+Parameters!$G$13)^(W$8-$G$8)/1000</f>
        <v>0</v>
      </c>
      <c r="X24" s="527">
        <f>IF(AND(X$8&gt;=$C$5,X$8&lt;$C$6),VLOOKUP($B24,Parameters!$E$256:$G$376,3,FALSE),0)*(1+Parameters!$G$13)^(X$8-$G$8)/1000</f>
        <v>0</v>
      </c>
      <c r="Y24" s="527">
        <f>IF(AND(Y$8&gt;=$C$5,Y$8&lt;$C$6),VLOOKUP($B24,Parameters!$E$256:$G$376,3,FALSE),0)*(1+Parameters!$G$13)^(Y$8-$G$8)/1000</f>
        <v>0</v>
      </c>
      <c r="Z24" s="527">
        <f>IF(AND(Z$8&gt;=$C$5,Z$8&lt;$C$6),VLOOKUP($B24,Parameters!$E$256:$G$376,3,FALSE),0)*(1+Parameters!$G$13)^(Z$8-$G$8)/1000</f>
        <v>0</v>
      </c>
      <c r="AA24" s="527">
        <f>IF(AND(AA$8&gt;=$C$5,AA$8&lt;$C$6),VLOOKUP($B24,Parameters!$E$256:$G$376,3,FALSE),0)*(1+Parameters!$G$13)^(AA$8-$G$8)/1000</f>
        <v>0</v>
      </c>
      <c r="AB24" s="527">
        <f>IF(AND(AB$8&gt;=$C$5,AB$8&lt;$C$6),VLOOKUP($B24,Parameters!$E$256:$G$376,3,FALSE),0)*(1+Parameters!$G$13)^(AB$8-$G$8)/1000</f>
        <v>0</v>
      </c>
      <c r="AC24" s="527">
        <f>IF(AND(AC$8&gt;=$C$5,AC$8&lt;$C$6),VLOOKUP($B24,Parameters!$E$256:$G$376,3,FALSE),0)*(1+Parameters!$G$13)^(AC$8-$G$8)/1000</f>
        <v>0</v>
      </c>
      <c r="AD24" s="527">
        <f>IF(AND(AD$8&gt;=$C$5,AD$8&lt;$C$6),VLOOKUP($B24,Parameters!$E$256:$G$376,3,FALSE),0)*(1+Parameters!$G$13)^(AD$8-$G$8)/1000</f>
        <v>0</v>
      </c>
      <c r="AE24" s="527">
        <f>IF(AND(AE$8&gt;=$C$5,AE$8&lt;$C$6),VLOOKUP($B24,Parameters!$E$256:$G$376,3,FALSE),0)*(1+Parameters!$G$13)^(AE$8-$G$8)/1000</f>
        <v>0</v>
      </c>
      <c r="AF24" s="527">
        <f>IF(AND(AF$8&gt;=$C$5,AF$8&lt;$C$6),VLOOKUP($B24,Parameters!$E$256:$G$376,3,FALSE),0)*(1+Parameters!$G$13)^(AF$8-$G$8)/1000</f>
        <v>0</v>
      </c>
      <c r="AG24" s="527">
        <f>IF(AND(AG$8&gt;=$C$5,AG$8&lt;$C$6),VLOOKUP($B24,Parameters!$E$256:$G$376,3,FALSE),0)*(1+Parameters!$G$13)^(AG$8-$G$8)/1000</f>
        <v>0</v>
      </c>
      <c r="AH24" s="527">
        <f>IF(AND(AH$8&gt;=$C$5,AH$8&lt;$C$6),VLOOKUP($B24,Parameters!$E$256:$G$376,3,FALSE),0)*(1+Parameters!$G$13)^(AH$8-$G$8)/1000</f>
        <v>0</v>
      </c>
      <c r="AI24" s="527">
        <f>IF(AND(AI$8&gt;=$C$5,AI$8&lt;$C$6),VLOOKUP($B24,Parameters!$E$256:$G$376,3,FALSE),0)*(1+Parameters!$G$13)^(AI$8-$G$8)/1000</f>
        <v>0</v>
      </c>
      <c r="AJ24" s="527">
        <f>IF(AND(AJ$8&gt;=$C$5,AJ$8&lt;$C$6),VLOOKUP($B24,Parameters!$E$256:$G$376,3,FALSE),0)*(1+Parameters!$G$13)^(AJ$8-$G$8)/1000</f>
        <v>0</v>
      </c>
      <c r="AK24" s="527">
        <f>IF(AND(AK$8&gt;=$C$5,AK$8&lt;$C$6),VLOOKUP($B24,Parameters!$E$256:$G$376,3,FALSE),0)*(1+Parameters!$G$13)^(AK$8-$G$8)/1000</f>
        <v>0</v>
      </c>
      <c r="AL24" s="527">
        <f>IF(AND(AL$8&gt;=$C$5,AL$8&lt;$C$6),VLOOKUP($B24,Parameters!$E$256:$G$376,3,FALSE),0)*(1+Parameters!$G$13)^(AL$8-$G$8)/1000</f>
        <v>0</v>
      </c>
      <c r="AM24" s="527">
        <f>IF(AND(AM$8&gt;=$C$5,AM$8&lt;$C$6),VLOOKUP($B24,Parameters!$E$256:$G$376,3,FALSE),0)*(1+Parameters!$G$13)^(AM$8-$G$8)/1000</f>
        <v>0</v>
      </c>
      <c r="AN24" s="527">
        <f>IF(AND(AN$8&gt;=$C$5,AN$8&lt;$C$6),VLOOKUP($B24,Parameters!$E$256:$G$376,3,FALSE),0)*(1+Parameters!$G$13)^(AN$8-$G$8)/1000</f>
        <v>0</v>
      </c>
      <c r="AO24" s="527">
        <f>IF(AND(AO$8&gt;=$C$5,AO$8&lt;$C$6),VLOOKUP($B24,Parameters!$E$256:$G$376,3,FALSE),0)*(1+Parameters!$G$13)^(AO$8-$G$8)/1000</f>
        <v>0</v>
      </c>
      <c r="AP24" s="527">
        <f>IF(AND(AP$8&gt;=$C$5,AP$8&lt;$C$6),VLOOKUP($B24,Parameters!$E$256:$G$376,3,FALSE),0)*(1+Parameters!$G$13)^(AP$8-$G$8)/1000</f>
        <v>0</v>
      </c>
      <c r="AQ24" s="527">
        <f>IF(AND(AQ$8&gt;=$C$5,AQ$8&lt;$C$6),VLOOKUP($B24,Parameters!$E$256:$G$376,3,FALSE),0)*(1+Parameters!$G$13)^(AQ$8-$G$8)/1000</f>
        <v>0</v>
      </c>
      <c r="AR24" s="527">
        <f>IF(AND(AR$8&gt;=$C$5,AR$8&lt;$C$6),VLOOKUP($B24,Parameters!$E$256:$G$376,3,FALSE),0)*(1+Parameters!$G$13)^(AR$8-$G$8)/1000</f>
        <v>0</v>
      </c>
      <c r="AS24" s="527">
        <f>IF(AND(AS$8&gt;=$C$5,AS$8&lt;$C$6),VLOOKUP($B24,Parameters!$E$256:$G$376,3,FALSE),0)*(1+Parameters!$G$13)^(AS$8-$G$8)/1000</f>
        <v>0</v>
      </c>
      <c r="AT24" s="527">
        <f>IF(AND(AT$8&gt;=$C$5,AT$8&lt;$C$6),VLOOKUP($B24,Parameters!$E$256:$G$376,3,FALSE),0)*(1+Parameters!$G$13)^(AT$8-$G$8)/1000</f>
        <v>0</v>
      </c>
      <c r="AU24" s="527">
        <f>IF(AND(AU$8&gt;=$C$5,AU$8&lt;$C$6),VLOOKUP($B24,Parameters!$E$256:$G$376,3,FALSE),0)*(1+Parameters!$G$13)^(AU$8-$G$8)/1000</f>
        <v>0</v>
      </c>
      <c r="AV24" s="527">
        <f>IF(AND(AV$8&gt;=$C$5,AV$8&lt;$C$6),VLOOKUP($B24,Parameters!$E$256:$G$376,3,FALSE),0)*(1+Parameters!$G$13)^(AV$8-$G$8)/1000</f>
        <v>0</v>
      </c>
      <c r="AW24" s="527">
        <f>IF(AND(AW$8&gt;=$C$5,AW$8&lt;$C$6),VLOOKUP($B24,Parameters!$E$256:$G$376,3,FALSE),0)*(1+Parameters!$G$13)^(AW$8-$G$8)/1000</f>
        <v>0</v>
      </c>
      <c r="AX24" s="527">
        <f>IF(AND(AX$8&gt;=$C$5,AX$8&lt;$C$6),VLOOKUP($B24,Parameters!$E$256:$G$376,3,FALSE),0)*(1+Parameters!$G$13)^(AX$8-$G$8)/1000</f>
        <v>0</v>
      </c>
      <c r="AY24" s="527">
        <f>IF(AND(AY$8&gt;=$C$5,AY$8&lt;$C$6),VLOOKUP($B24,Parameters!$E$256:$G$376,3,FALSE),0)*(1+Parameters!$G$13)^(AY$8-$G$8)/1000</f>
        <v>0</v>
      </c>
      <c r="AZ24" s="527">
        <f>IF(AND(AZ$8&gt;=$C$5,AZ$8&lt;$C$6),VLOOKUP($B24,Parameters!$E$256:$G$376,3,FALSE),0)*(1+Parameters!$G$13)^(AZ$8-$G$8)/1000</f>
        <v>0</v>
      </c>
      <c r="BA24" s="527">
        <f>IF(AND(BA$8&gt;=$C$5,BA$8&lt;$C$6),VLOOKUP($B24,Parameters!$E$256:$G$376,3,FALSE),0)*(1+Parameters!$G$13)^(BA$8-$G$8)/1000</f>
        <v>0</v>
      </c>
      <c r="BB24" s="527">
        <f>IF(AND(BB$8&gt;=$C$5,BB$8&lt;$C$6),VLOOKUP($B24,Parameters!$E$256:$G$376,3,FALSE),0)*(1+Parameters!$G$13)^(BB$8-$G$8)/1000</f>
        <v>0</v>
      </c>
    </row>
    <row r="25" spans="2:54" x14ac:dyDescent="0.25">
      <c r="B25" s="979" t="str">
        <f>Parameters!E290</f>
        <v>Opex electrolyser</v>
      </c>
      <c r="C25" s="511" t="s">
        <v>979</v>
      </c>
      <c r="D25" s="512">
        <f t="shared" si="14"/>
        <v>947.71493306024456</v>
      </c>
      <c r="E25" s="512">
        <f t="shared" si="15"/>
        <v>384.49180066957086</v>
      </c>
      <c r="F25" s="478"/>
      <c r="G25" s="527">
        <f>IF(AND(G$8&gt;=$C$5,G$8&lt;$C$6),VLOOKUP($B25,Parameters!$E$256:$G$376,3,FALSE),0)*(1+Parameters!$G$13)^(G$8-$G$8)/1000</f>
        <v>0</v>
      </c>
      <c r="H25" s="527">
        <f>IF(AND(H$8&gt;=$C$5,H$8&lt;$C$6),VLOOKUP($B25,Parameters!$E$256:$G$376,3,FALSE),0)*(1+Parameters!$G$13)^(H$8-$G$8)/1000</f>
        <v>0</v>
      </c>
      <c r="I25" s="527">
        <f>IF(AND(I$8&gt;=$C$5,I$8&lt;$C$6),VLOOKUP($B25,Parameters!$E$256:$G$376,3,FALSE),0)*(1+Parameters!$G$13)^(I$8-$G$8)/1000</f>
        <v>0</v>
      </c>
      <c r="J25" s="527">
        <f>IF(AND(J$8&gt;=$C$5,J$8&lt;$C$6),VLOOKUP($B25,Parameters!$E$256:$G$376,3,FALSE),0)*(1+Parameters!$G$13)^(J$8-$G$8)/1000</f>
        <v>0</v>
      </c>
      <c r="K25" s="527">
        <f>IF(AND(K$8&gt;=$C$5,K$8&lt;$C$6),VLOOKUP($B25,Parameters!$E$256:$G$376,3,FALSE),0)*(1+Parameters!$G$13)^(K$8-$G$8)/1000</f>
        <v>0</v>
      </c>
      <c r="L25" s="527">
        <f>IF(AND(L$8&gt;=$C$5,L$8&lt;$C$6),VLOOKUP($B25,Parameters!$E$256:$G$376,3,FALSE),0)*(1+Parameters!$G$13)^(L$8-$G$8)/1000</f>
        <v>0</v>
      </c>
      <c r="M25" s="527">
        <f>IF(AND(M$8&gt;=$C$5,M$8&lt;$C$6),VLOOKUP($B25,Parameters!$E$256:$G$376,3,FALSE),0)*(1+Parameters!$G$13)^(M$8-$G$8)/1000</f>
        <v>0</v>
      </c>
      <c r="N25" s="527">
        <f>IF(AND(N$8&gt;=$C$5,N$8&lt;$C$6),VLOOKUP($B25,Parameters!$E$256:$G$376,3,FALSE),0)*(1+Parameters!$G$13)^(N$8-$G$8)/1000</f>
        <v>0</v>
      </c>
      <c r="O25" s="527">
        <f>IF(AND(O$8&gt;=$C$5,O$8&lt;$C$6),VLOOKUP($B25,Parameters!$E$256:$G$376,3,FALSE),0)*(1+Parameters!$G$13)^(O$8-$G$8)/1000</f>
        <v>229.93815352169463</v>
      </c>
      <c r="P25" s="527">
        <f>IF(AND(P$8&gt;=$C$5,P$8&lt;$C$6),VLOOKUP($B25,Parameters!$E$256:$G$376,3,FALSE),0)*(1+Parameters!$G$13)^(P$8-$G$8)/1000</f>
        <v>234.53691659212848</v>
      </c>
      <c r="Q25" s="527">
        <f>IF(AND(Q$8&gt;=$C$5,Q$8&lt;$C$6),VLOOKUP($B25,Parameters!$E$256:$G$376,3,FALSE),0)*(1+Parameters!$G$13)^(Q$8-$G$8)/1000</f>
        <v>239.22765492397107</v>
      </c>
      <c r="R25" s="527">
        <f>IF(AND(R$8&gt;=$C$5,R$8&lt;$C$6),VLOOKUP($B25,Parameters!$E$256:$G$376,3,FALSE),0)*(1+Parameters!$G$13)^(R$8-$G$8)/1000</f>
        <v>244.01220802245044</v>
      </c>
      <c r="S25" s="527">
        <f>IF(AND(S$8&gt;=$C$5,S$8&lt;$C$6),VLOOKUP($B25,Parameters!$E$256:$G$376,3,FALSE),0)*(1+Parameters!$G$13)^(S$8-$G$8)/1000</f>
        <v>0</v>
      </c>
      <c r="T25" s="527">
        <f>IF(AND(T$8&gt;=$C$5,T$8&lt;$C$6),VLOOKUP($B25,Parameters!$E$256:$G$376,3,FALSE),0)*(1+Parameters!$G$13)^(T$8-$G$8)/1000</f>
        <v>0</v>
      </c>
      <c r="U25" s="527">
        <f>IF(AND(U$8&gt;=$C$5,U$8&lt;$C$6),VLOOKUP($B25,Parameters!$E$256:$G$376,3,FALSE),0)*(1+Parameters!$G$13)^(U$8-$G$8)/1000</f>
        <v>0</v>
      </c>
      <c r="V25" s="527">
        <f>IF(AND(V$8&gt;=$C$5,V$8&lt;$C$6),VLOOKUP($B25,Parameters!$E$256:$G$376,3,FALSE),0)*(1+Parameters!$G$13)^(V$8-$G$8)/1000</f>
        <v>0</v>
      </c>
      <c r="W25" s="527">
        <f>IF(AND(W$8&gt;=$C$5,W$8&lt;$C$6),VLOOKUP($B25,Parameters!$E$256:$G$376,3,FALSE),0)*(1+Parameters!$G$13)^(W$8-$G$8)/1000</f>
        <v>0</v>
      </c>
      <c r="X25" s="527">
        <f>IF(AND(X$8&gt;=$C$5,X$8&lt;$C$6),VLOOKUP($B25,Parameters!$E$256:$G$376,3,FALSE),0)*(1+Parameters!$G$13)^(X$8-$G$8)/1000</f>
        <v>0</v>
      </c>
      <c r="Y25" s="527">
        <f>IF(AND(Y$8&gt;=$C$5,Y$8&lt;$C$6),VLOOKUP($B25,Parameters!$E$256:$G$376,3,FALSE),0)*(1+Parameters!$G$13)^(Y$8-$G$8)/1000</f>
        <v>0</v>
      </c>
      <c r="Z25" s="527">
        <f>IF(AND(Z$8&gt;=$C$5,Z$8&lt;$C$6),VLOOKUP($B25,Parameters!$E$256:$G$376,3,FALSE),0)*(1+Parameters!$G$13)^(Z$8-$G$8)/1000</f>
        <v>0</v>
      </c>
      <c r="AA25" s="527">
        <f>IF(AND(AA$8&gt;=$C$5,AA$8&lt;$C$6),VLOOKUP($B25,Parameters!$E$256:$G$376,3,FALSE),0)*(1+Parameters!$G$13)^(AA$8-$G$8)/1000</f>
        <v>0</v>
      </c>
      <c r="AB25" s="527">
        <f>IF(AND(AB$8&gt;=$C$5,AB$8&lt;$C$6),VLOOKUP($B25,Parameters!$E$256:$G$376,3,FALSE),0)*(1+Parameters!$G$13)^(AB$8-$G$8)/1000</f>
        <v>0</v>
      </c>
      <c r="AC25" s="527">
        <f>IF(AND(AC$8&gt;=$C$5,AC$8&lt;$C$6),VLOOKUP($B25,Parameters!$E$256:$G$376,3,FALSE),0)*(1+Parameters!$G$13)^(AC$8-$G$8)/1000</f>
        <v>0</v>
      </c>
      <c r="AD25" s="527">
        <f>IF(AND(AD$8&gt;=$C$5,AD$8&lt;$C$6),VLOOKUP($B25,Parameters!$E$256:$G$376,3,FALSE),0)*(1+Parameters!$G$13)^(AD$8-$G$8)/1000</f>
        <v>0</v>
      </c>
      <c r="AE25" s="527">
        <f>IF(AND(AE$8&gt;=$C$5,AE$8&lt;$C$6),VLOOKUP($B25,Parameters!$E$256:$G$376,3,FALSE),0)*(1+Parameters!$G$13)^(AE$8-$G$8)/1000</f>
        <v>0</v>
      </c>
      <c r="AF25" s="527">
        <f>IF(AND(AF$8&gt;=$C$5,AF$8&lt;$C$6),VLOOKUP($B25,Parameters!$E$256:$G$376,3,FALSE),0)*(1+Parameters!$G$13)^(AF$8-$G$8)/1000</f>
        <v>0</v>
      </c>
      <c r="AG25" s="527">
        <f>IF(AND(AG$8&gt;=$C$5,AG$8&lt;$C$6),VLOOKUP($B25,Parameters!$E$256:$G$376,3,FALSE),0)*(1+Parameters!$G$13)^(AG$8-$G$8)/1000</f>
        <v>0</v>
      </c>
      <c r="AH25" s="527">
        <f>IF(AND(AH$8&gt;=$C$5,AH$8&lt;$C$6),VLOOKUP($B25,Parameters!$E$256:$G$376,3,FALSE),0)*(1+Parameters!$G$13)^(AH$8-$G$8)/1000</f>
        <v>0</v>
      </c>
      <c r="AI25" s="527">
        <f>IF(AND(AI$8&gt;=$C$5,AI$8&lt;$C$6),VLOOKUP($B25,Parameters!$E$256:$G$376,3,FALSE),0)*(1+Parameters!$G$13)^(AI$8-$G$8)/1000</f>
        <v>0</v>
      </c>
      <c r="AJ25" s="527">
        <f>IF(AND(AJ$8&gt;=$C$5,AJ$8&lt;$C$6),VLOOKUP($B25,Parameters!$E$256:$G$376,3,FALSE),0)*(1+Parameters!$G$13)^(AJ$8-$G$8)/1000</f>
        <v>0</v>
      </c>
      <c r="AK25" s="527">
        <f>IF(AND(AK$8&gt;=$C$5,AK$8&lt;$C$6),VLOOKUP($B25,Parameters!$E$256:$G$376,3,FALSE),0)*(1+Parameters!$G$13)^(AK$8-$G$8)/1000</f>
        <v>0</v>
      </c>
      <c r="AL25" s="527">
        <f>IF(AND(AL$8&gt;=$C$5,AL$8&lt;$C$6),VLOOKUP($B25,Parameters!$E$256:$G$376,3,FALSE),0)*(1+Parameters!$G$13)^(AL$8-$G$8)/1000</f>
        <v>0</v>
      </c>
      <c r="AM25" s="527">
        <f>IF(AND(AM$8&gt;=$C$5,AM$8&lt;$C$6),VLOOKUP($B25,Parameters!$E$256:$G$376,3,FALSE),0)*(1+Parameters!$G$13)^(AM$8-$G$8)/1000</f>
        <v>0</v>
      </c>
      <c r="AN25" s="527">
        <f>IF(AND(AN$8&gt;=$C$5,AN$8&lt;$C$6),VLOOKUP($B25,Parameters!$E$256:$G$376,3,FALSE),0)*(1+Parameters!$G$13)^(AN$8-$G$8)/1000</f>
        <v>0</v>
      </c>
      <c r="AO25" s="527">
        <f>IF(AND(AO$8&gt;=$C$5,AO$8&lt;$C$6),VLOOKUP($B25,Parameters!$E$256:$G$376,3,FALSE),0)*(1+Parameters!$G$13)^(AO$8-$G$8)/1000</f>
        <v>0</v>
      </c>
      <c r="AP25" s="527">
        <f>IF(AND(AP$8&gt;=$C$5,AP$8&lt;$C$6),VLOOKUP($B25,Parameters!$E$256:$G$376,3,FALSE),0)*(1+Parameters!$G$13)^(AP$8-$G$8)/1000</f>
        <v>0</v>
      </c>
      <c r="AQ25" s="527">
        <f>IF(AND(AQ$8&gt;=$C$5,AQ$8&lt;$C$6),VLOOKUP($B25,Parameters!$E$256:$G$376,3,FALSE),0)*(1+Parameters!$G$13)^(AQ$8-$G$8)/1000</f>
        <v>0</v>
      </c>
      <c r="AR25" s="527">
        <f>IF(AND(AR$8&gt;=$C$5,AR$8&lt;$C$6),VLOOKUP($B25,Parameters!$E$256:$G$376,3,FALSE),0)*(1+Parameters!$G$13)^(AR$8-$G$8)/1000</f>
        <v>0</v>
      </c>
      <c r="AS25" s="527">
        <f>IF(AND(AS$8&gt;=$C$5,AS$8&lt;$C$6),VLOOKUP($B25,Parameters!$E$256:$G$376,3,FALSE),0)*(1+Parameters!$G$13)^(AS$8-$G$8)/1000</f>
        <v>0</v>
      </c>
      <c r="AT25" s="527">
        <f>IF(AND(AT$8&gt;=$C$5,AT$8&lt;$C$6),VLOOKUP($B25,Parameters!$E$256:$G$376,3,FALSE),0)*(1+Parameters!$G$13)^(AT$8-$G$8)/1000</f>
        <v>0</v>
      </c>
      <c r="AU25" s="527">
        <f>IF(AND(AU$8&gt;=$C$5,AU$8&lt;$C$6),VLOOKUP($B25,Parameters!$E$256:$G$376,3,FALSE),0)*(1+Parameters!$G$13)^(AU$8-$G$8)/1000</f>
        <v>0</v>
      </c>
      <c r="AV25" s="527">
        <f>IF(AND(AV$8&gt;=$C$5,AV$8&lt;$C$6),VLOOKUP($B25,Parameters!$E$256:$G$376,3,FALSE),0)*(1+Parameters!$G$13)^(AV$8-$G$8)/1000</f>
        <v>0</v>
      </c>
      <c r="AW25" s="527">
        <f>IF(AND(AW$8&gt;=$C$5,AW$8&lt;$C$6),VLOOKUP($B25,Parameters!$E$256:$G$376,3,FALSE),0)*(1+Parameters!$G$13)^(AW$8-$G$8)/1000</f>
        <v>0</v>
      </c>
      <c r="AX25" s="527">
        <f>IF(AND(AX$8&gt;=$C$5,AX$8&lt;$C$6),VLOOKUP($B25,Parameters!$E$256:$G$376,3,FALSE),0)*(1+Parameters!$G$13)^(AX$8-$G$8)/1000</f>
        <v>0</v>
      </c>
      <c r="AY25" s="527">
        <f>IF(AND(AY$8&gt;=$C$5,AY$8&lt;$C$6),VLOOKUP($B25,Parameters!$E$256:$G$376,3,FALSE),0)*(1+Parameters!$G$13)^(AY$8-$G$8)/1000</f>
        <v>0</v>
      </c>
      <c r="AZ25" s="527">
        <f>IF(AND(AZ$8&gt;=$C$5,AZ$8&lt;$C$6),VLOOKUP($B25,Parameters!$E$256:$G$376,3,FALSE),0)*(1+Parameters!$G$13)^(AZ$8-$G$8)/1000</f>
        <v>0</v>
      </c>
      <c r="BA25" s="527">
        <f>IF(AND(BA$8&gt;=$C$5,BA$8&lt;$C$6),VLOOKUP($B25,Parameters!$E$256:$G$376,3,FALSE),0)*(1+Parameters!$G$13)^(BA$8-$G$8)/1000</f>
        <v>0</v>
      </c>
      <c r="BB25" s="527">
        <f>IF(AND(BB$8&gt;=$C$5,BB$8&lt;$C$6),VLOOKUP($B25,Parameters!$E$256:$G$376,3,FALSE),0)*(1+Parameters!$G$13)^(BB$8-$G$8)/1000</f>
        <v>0</v>
      </c>
    </row>
    <row r="26" spans="2:54" x14ac:dyDescent="0.25">
      <c r="B26" s="979" t="str">
        <f>Parameters!E318</f>
        <v>Opex compressor</v>
      </c>
      <c r="C26" s="511" t="s">
        <v>979</v>
      </c>
      <c r="D26" s="512">
        <f t="shared" si="14"/>
        <v>22.042979071751411</v>
      </c>
      <c r="E26" s="512">
        <f t="shared" si="15"/>
        <v>8.9429262109987278</v>
      </c>
      <c r="F26" s="478"/>
      <c r="G26" s="527">
        <f>IF(AND(G$8&gt;=$C$5,G$8&lt;$C$6),VLOOKUP($B26,Parameters!$E$256:$G$376,3,FALSE),0)*(1+Parameters!$G$13)^(G$8-$G$8)/1000</f>
        <v>0</v>
      </c>
      <c r="H26" s="527">
        <f>IF(AND(H$8&gt;=$C$5,H$8&lt;$C$6),VLOOKUP($B26,Parameters!$E$256:$G$376,3,FALSE),0)*(1+Parameters!$G$13)^(H$8-$G$8)/1000</f>
        <v>0</v>
      </c>
      <c r="I26" s="527">
        <f>IF(AND(I$8&gt;=$C$5,I$8&lt;$C$6),VLOOKUP($B26,Parameters!$E$256:$G$376,3,FALSE),0)*(1+Parameters!$G$13)^(I$8-$G$8)/1000</f>
        <v>0</v>
      </c>
      <c r="J26" s="527">
        <f>IF(AND(J$8&gt;=$C$5,J$8&lt;$C$6),VLOOKUP($B26,Parameters!$E$256:$G$376,3,FALSE),0)*(1+Parameters!$G$13)^(J$8-$G$8)/1000</f>
        <v>0</v>
      </c>
      <c r="K26" s="527">
        <f>IF(AND(K$8&gt;=$C$5,K$8&lt;$C$6),VLOOKUP($B26,Parameters!$E$256:$G$376,3,FALSE),0)*(1+Parameters!$G$13)^(K$8-$G$8)/1000</f>
        <v>0</v>
      </c>
      <c r="L26" s="527">
        <f>IF(AND(L$8&gt;=$C$5,L$8&lt;$C$6),VLOOKUP($B26,Parameters!$E$256:$G$376,3,FALSE),0)*(1+Parameters!$G$13)^(L$8-$G$8)/1000</f>
        <v>0</v>
      </c>
      <c r="M26" s="527">
        <f>IF(AND(M$8&gt;=$C$5,M$8&lt;$C$6),VLOOKUP($B26,Parameters!$E$256:$G$376,3,FALSE),0)*(1+Parameters!$G$13)^(M$8-$G$8)/1000</f>
        <v>0</v>
      </c>
      <c r="N26" s="527">
        <f>IF(AND(N$8&gt;=$C$5,N$8&lt;$C$6),VLOOKUP($B26,Parameters!$E$256:$G$376,3,FALSE),0)*(1+Parameters!$G$13)^(N$8-$G$8)/1000</f>
        <v>0</v>
      </c>
      <c r="O26" s="527">
        <f>IF(AND(O$8&gt;=$C$5,O$8&lt;$C$6),VLOOKUP($B26,Parameters!$E$256:$G$376,3,FALSE),0)*(1+Parameters!$G$13)^(O$8-$G$8)/1000</f>
        <v>5.3481503024429822</v>
      </c>
      <c r="P26" s="527">
        <f>IF(AND(P$8&gt;=$C$5,P$8&lt;$C$6),VLOOKUP($B26,Parameters!$E$256:$G$376,3,FALSE),0)*(1+Parameters!$G$13)^(P$8-$G$8)/1000</f>
        <v>5.4551133084918417</v>
      </c>
      <c r="Q26" s="527">
        <f>IF(AND(Q$8&gt;=$C$5,Q$8&lt;$C$6),VLOOKUP($B26,Parameters!$E$256:$G$376,3,FALSE),0)*(1+Parameters!$G$13)^(Q$8-$G$8)/1000</f>
        <v>5.564215574661679</v>
      </c>
      <c r="R26" s="527">
        <f>IF(AND(R$8&gt;=$C$5,R$8&lt;$C$6),VLOOKUP($B26,Parameters!$E$256:$G$376,3,FALSE),0)*(1+Parameters!$G$13)^(R$8-$G$8)/1000</f>
        <v>5.6754998861549115</v>
      </c>
      <c r="S26" s="527">
        <f>IF(AND(S$8&gt;=$C$5,S$8&lt;$C$6),VLOOKUP($B26,Parameters!$E$256:$G$376,3,FALSE),0)*(1+Parameters!$G$13)^(S$8-$G$8)/1000</f>
        <v>0</v>
      </c>
      <c r="T26" s="527">
        <f>IF(AND(T$8&gt;=$C$5,T$8&lt;$C$6),VLOOKUP($B26,Parameters!$E$256:$G$376,3,FALSE),0)*(1+Parameters!$G$13)^(T$8-$G$8)/1000</f>
        <v>0</v>
      </c>
      <c r="U26" s="527">
        <f>IF(AND(U$8&gt;=$C$5,U$8&lt;$C$6),VLOOKUP($B26,Parameters!$E$256:$G$376,3,FALSE),0)*(1+Parameters!$G$13)^(U$8-$G$8)/1000</f>
        <v>0</v>
      </c>
      <c r="V26" s="527">
        <f>IF(AND(V$8&gt;=$C$5,V$8&lt;$C$6),VLOOKUP($B26,Parameters!$E$256:$G$376,3,FALSE),0)*(1+Parameters!$G$13)^(V$8-$G$8)/1000</f>
        <v>0</v>
      </c>
      <c r="W26" s="527">
        <f>IF(AND(W$8&gt;=$C$5,W$8&lt;$C$6),VLOOKUP($B26,Parameters!$E$256:$G$376,3,FALSE),0)*(1+Parameters!$G$13)^(W$8-$G$8)/1000</f>
        <v>0</v>
      </c>
      <c r="X26" s="527">
        <f>IF(AND(X$8&gt;=$C$5,X$8&lt;$C$6),VLOOKUP($B26,Parameters!$E$256:$G$376,3,FALSE),0)*(1+Parameters!$G$13)^(X$8-$G$8)/1000</f>
        <v>0</v>
      </c>
      <c r="Y26" s="527">
        <f>IF(AND(Y$8&gt;=$C$5,Y$8&lt;$C$6),VLOOKUP($B26,Parameters!$E$256:$G$376,3,FALSE),0)*(1+Parameters!$G$13)^(Y$8-$G$8)/1000</f>
        <v>0</v>
      </c>
      <c r="Z26" s="527">
        <f>IF(AND(Z$8&gt;=$C$5,Z$8&lt;$C$6),VLOOKUP($B26,Parameters!$E$256:$G$376,3,FALSE),0)*(1+Parameters!$G$13)^(Z$8-$G$8)/1000</f>
        <v>0</v>
      </c>
      <c r="AA26" s="527">
        <f>IF(AND(AA$8&gt;=$C$5,AA$8&lt;$C$6),VLOOKUP($B26,Parameters!$E$256:$G$376,3,FALSE),0)*(1+Parameters!$G$13)^(AA$8-$G$8)/1000</f>
        <v>0</v>
      </c>
      <c r="AB26" s="527">
        <f>IF(AND(AB$8&gt;=$C$5,AB$8&lt;$C$6),VLOOKUP($B26,Parameters!$E$256:$G$376,3,FALSE),0)*(1+Parameters!$G$13)^(AB$8-$G$8)/1000</f>
        <v>0</v>
      </c>
      <c r="AC26" s="527">
        <f>IF(AND(AC$8&gt;=$C$5,AC$8&lt;$C$6),VLOOKUP($B26,Parameters!$E$256:$G$376,3,FALSE),0)*(1+Parameters!$G$13)^(AC$8-$G$8)/1000</f>
        <v>0</v>
      </c>
      <c r="AD26" s="527">
        <f>IF(AND(AD$8&gt;=$C$5,AD$8&lt;$C$6),VLOOKUP($B26,Parameters!$E$256:$G$376,3,FALSE),0)*(1+Parameters!$G$13)^(AD$8-$G$8)/1000</f>
        <v>0</v>
      </c>
      <c r="AE26" s="527">
        <f>IF(AND(AE$8&gt;=$C$5,AE$8&lt;$C$6),VLOOKUP($B26,Parameters!$E$256:$G$376,3,FALSE),0)*(1+Parameters!$G$13)^(AE$8-$G$8)/1000</f>
        <v>0</v>
      </c>
      <c r="AF26" s="527">
        <f>IF(AND(AF$8&gt;=$C$5,AF$8&lt;$C$6),VLOOKUP($B26,Parameters!$E$256:$G$376,3,FALSE),0)*(1+Parameters!$G$13)^(AF$8-$G$8)/1000</f>
        <v>0</v>
      </c>
      <c r="AG26" s="527">
        <f>IF(AND(AG$8&gt;=$C$5,AG$8&lt;$C$6),VLOOKUP($B26,Parameters!$E$256:$G$376,3,FALSE),0)*(1+Parameters!$G$13)^(AG$8-$G$8)/1000</f>
        <v>0</v>
      </c>
      <c r="AH26" s="527">
        <f>IF(AND(AH$8&gt;=$C$5,AH$8&lt;$C$6),VLOOKUP($B26,Parameters!$E$256:$G$376,3,FALSE),0)*(1+Parameters!$G$13)^(AH$8-$G$8)/1000</f>
        <v>0</v>
      </c>
      <c r="AI26" s="527">
        <f>IF(AND(AI$8&gt;=$C$5,AI$8&lt;$C$6),VLOOKUP($B26,Parameters!$E$256:$G$376,3,FALSE),0)*(1+Parameters!$G$13)^(AI$8-$G$8)/1000</f>
        <v>0</v>
      </c>
      <c r="AJ26" s="527">
        <f>IF(AND(AJ$8&gt;=$C$5,AJ$8&lt;$C$6),VLOOKUP($B26,Parameters!$E$256:$G$376,3,FALSE),0)*(1+Parameters!$G$13)^(AJ$8-$G$8)/1000</f>
        <v>0</v>
      </c>
      <c r="AK26" s="527">
        <f>IF(AND(AK$8&gt;=$C$5,AK$8&lt;$C$6),VLOOKUP($B26,Parameters!$E$256:$G$376,3,FALSE),0)*(1+Parameters!$G$13)^(AK$8-$G$8)/1000</f>
        <v>0</v>
      </c>
      <c r="AL26" s="527">
        <f>IF(AND(AL$8&gt;=$C$5,AL$8&lt;$C$6),VLOOKUP($B26,Parameters!$E$256:$G$376,3,FALSE),0)*(1+Parameters!$G$13)^(AL$8-$G$8)/1000</f>
        <v>0</v>
      </c>
      <c r="AM26" s="527">
        <f>IF(AND(AM$8&gt;=$C$5,AM$8&lt;$C$6),VLOOKUP($B26,Parameters!$E$256:$G$376,3,FALSE),0)*(1+Parameters!$G$13)^(AM$8-$G$8)/1000</f>
        <v>0</v>
      </c>
      <c r="AN26" s="527">
        <f>IF(AND(AN$8&gt;=$C$5,AN$8&lt;$C$6),VLOOKUP($B26,Parameters!$E$256:$G$376,3,FALSE),0)*(1+Parameters!$G$13)^(AN$8-$G$8)/1000</f>
        <v>0</v>
      </c>
      <c r="AO26" s="527">
        <f>IF(AND(AO$8&gt;=$C$5,AO$8&lt;$C$6),VLOOKUP($B26,Parameters!$E$256:$G$376,3,FALSE),0)*(1+Parameters!$G$13)^(AO$8-$G$8)/1000</f>
        <v>0</v>
      </c>
      <c r="AP26" s="527">
        <f>IF(AND(AP$8&gt;=$C$5,AP$8&lt;$C$6),VLOOKUP($B26,Parameters!$E$256:$G$376,3,FALSE),0)*(1+Parameters!$G$13)^(AP$8-$G$8)/1000</f>
        <v>0</v>
      </c>
      <c r="AQ26" s="527">
        <f>IF(AND(AQ$8&gt;=$C$5,AQ$8&lt;$C$6),VLOOKUP($B26,Parameters!$E$256:$G$376,3,FALSE),0)*(1+Parameters!$G$13)^(AQ$8-$G$8)/1000</f>
        <v>0</v>
      </c>
      <c r="AR26" s="527">
        <f>IF(AND(AR$8&gt;=$C$5,AR$8&lt;$C$6),VLOOKUP($B26,Parameters!$E$256:$G$376,3,FALSE),0)*(1+Parameters!$G$13)^(AR$8-$G$8)/1000</f>
        <v>0</v>
      </c>
      <c r="AS26" s="527">
        <f>IF(AND(AS$8&gt;=$C$5,AS$8&lt;$C$6),VLOOKUP($B26,Parameters!$E$256:$G$376,3,FALSE),0)*(1+Parameters!$G$13)^(AS$8-$G$8)/1000</f>
        <v>0</v>
      </c>
      <c r="AT26" s="527">
        <f>IF(AND(AT$8&gt;=$C$5,AT$8&lt;$C$6),VLOOKUP($B26,Parameters!$E$256:$G$376,3,FALSE),0)*(1+Parameters!$G$13)^(AT$8-$G$8)/1000</f>
        <v>0</v>
      </c>
      <c r="AU26" s="527">
        <f>IF(AND(AU$8&gt;=$C$5,AU$8&lt;$C$6),VLOOKUP($B26,Parameters!$E$256:$G$376,3,FALSE),0)*(1+Parameters!$G$13)^(AU$8-$G$8)/1000</f>
        <v>0</v>
      </c>
      <c r="AV26" s="527">
        <f>IF(AND(AV$8&gt;=$C$5,AV$8&lt;$C$6),VLOOKUP($B26,Parameters!$E$256:$G$376,3,FALSE),0)*(1+Parameters!$G$13)^(AV$8-$G$8)/1000</f>
        <v>0</v>
      </c>
      <c r="AW26" s="527">
        <f>IF(AND(AW$8&gt;=$C$5,AW$8&lt;$C$6),VLOOKUP($B26,Parameters!$E$256:$G$376,3,FALSE),0)*(1+Parameters!$G$13)^(AW$8-$G$8)/1000</f>
        <v>0</v>
      </c>
      <c r="AX26" s="527">
        <f>IF(AND(AX$8&gt;=$C$5,AX$8&lt;$C$6),VLOOKUP($B26,Parameters!$E$256:$G$376,3,FALSE),0)*(1+Parameters!$G$13)^(AX$8-$G$8)/1000</f>
        <v>0</v>
      </c>
      <c r="AY26" s="527">
        <f>IF(AND(AY$8&gt;=$C$5,AY$8&lt;$C$6),VLOOKUP($B26,Parameters!$E$256:$G$376,3,FALSE),0)*(1+Parameters!$G$13)^(AY$8-$G$8)/1000</f>
        <v>0</v>
      </c>
      <c r="AZ26" s="527">
        <f>IF(AND(AZ$8&gt;=$C$5,AZ$8&lt;$C$6),VLOOKUP($B26,Parameters!$E$256:$G$376,3,FALSE),0)*(1+Parameters!$G$13)^(AZ$8-$G$8)/1000</f>
        <v>0</v>
      </c>
      <c r="BA26" s="527">
        <f>IF(AND(BA$8&gt;=$C$5,BA$8&lt;$C$6),VLOOKUP($B26,Parameters!$E$256:$G$376,3,FALSE),0)*(1+Parameters!$G$13)^(BA$8-$G$8)/1000</f>
        <v>0</v>
      </c>
      <c r="BB26" s="527">
        <f>IF(AND(BB$8&gt;=$C$5,BB$8&lt;$C$6),VLOOKUP($B26,Parameters!$E$256:$G$376,3,FALSE),0)*(1+Parameters!$G$13)^(BB$8-$G$8)/1000</f>
        <v>0</v>
      </c>
    </row>
    <row r="27" spans="2:54" x14ac:dyDescent="0.25">
      <c r="B27" s="979" t="str">
        <f>Parameters!E351</f>
        <v>Opex existing pipeline</v>
      </c>
      <c r="C27" s="511" t="s">
        <v>979</v>
      </c>
      <c r="D27" s="512">
        <f t="shared" si="14"/>
        <v>2298.2385540401851</v>
      </c>
      <c r="E27" s="512">
        <f t="shared" si="15"/>
        <v>932.40472338845098</v>
      </c>
      <c r="F27" s="478"/>
      <c r="G27" s="527">
        <f>IF(AND(G$8&gt;=$C$5,G$8&lt;$C$6),VLOOKUP($B27,Parameters!$E$256:$G$376,3,FALSE),0)*(1+Parameters!$G$13)^(G$8-$G$8)/1000</f>
        <v>0</v>
      </c>
      <c r="H27" s="527">
        <f>IF(AND(H$8&gt;=$C$5,H$8&lt;$C$6),VLOOKUP($B27,Parameters!$E$256:$G$376,3,FALSE),0)*(1+Parameters!$G$13)^(H$8-$G$8)/1000</f>
        <v>0</v>
      </c>
      <c r="I27" s="527">
        <f>IF(AND(I$8&gt;=$C$5,I$8&lt;$C$6),VLOOKUP($B27,Parameters!$E$256:$G$376,3,FALSE),0)*(1+Parameters!$G$13)^(I$8-$G$8)/1000</f>
        <v>0</v>
      </c>
      <c r="J27" s="527">
        <f>IF(AND(J$8&gt;=$C$5,J$8&lt;$C$6),VLOOKUP($B27,Parameters!$E$256:$G$376,3,FALSE),0)*(1+Parameters!$G$13)^(J$8-$G$8)/1000</f>
        <v>0</v>
      </c>
      <c r="K27" s="527">
        <f>IF(AND(K$8&gt;=$C$5,K$8&lt;$C$6),VLOOKUP($B27,Parameters!$E$256:$G$376,3,FALSE),0)*(1+Parameters!$G$13)^(K$8-$G$8)/1000</f>
        <v>0</v>
      </c>
      <c r="L27" s="527">
        <f>IF(AND(L$8&gt;=$C$5,L$8&lt;$C$6),VLOOKUP($B27,Parameters!$E$256:$G$376,3,FALSE),0)*(1+Parameters!$G$13)^(L$8-$G$8)/1000</f>
        <v>0</v>
      </c>
      <c r="M27" s="527">
        <f>IF(AND(M$8&gt;=$C$5,M$8&lt;$C$6),VLOOKUP($B27,Parameters!$E$256:$G$376,3,FALSE),0)*(1+Parameters!$G$13)^(M$8-$G$8)/1000</f>
        <v>0</v>
      </c>
      <c r="N27" s="527">
        <f>IF(AND(N$8&gt;=$C$5,N$8&lt;$C$6),VLOOKUP($B27,Parameters!$E$256:$G$376,3,FALSE),0)*(1+Parameters!$G$13)^(N$8-$G$8)/1000</f>
        <v>0</v>
      </c>
      <c r="O27" s="527">
        <f>IF(AND(O$8&gt;=$C$5,O$8&lt;$C$6),VLOOKUP($B27,Parameters!$E$256:$G$376,3,FALSE),0)*(1+Parameters!$G$13)^(O$8-$G$8)/1000</f>
        <v>557.60726251506344</v>
      </c>
      <c r="P27" s="527">
        <f>IF(AND(P$8&gt;=$C$5,P$8&lt;$C$6),VLOOKUP($B27,Parameters!$E$256:$G$376,3,FALSE),0)*(1+Parameters!$G$13)^(P$8-$G$8)/1000</f>
        <v>568.7594077653647</v>
      </c>
      <c r="Q27" s="527">
        <f>IF(AND(Q$8&gt;=$C$5,Q$8&lt;$C$6),VLOOKUP($B27,Parameters!$E$256:$G$376,3,FALSE),0)*(1+Parameters!$G$13)^(Q$8-$G$8)/1000</f>
        <v>580.13459592067204</v>
      </c>
      <c r="R27" s="527">
        <f>IF(AND(R$8&gt;=$C$5,R$8&lt;$C$6),VLOOKUP($B27,Parameters!$E$256:$G$376,3,FALSE),0)*(1+Parameters!$G$13)^(R$8-$G$8)/1000</f>
        <v>591.7372878390853</v>
      </c>
      <c r="S27" s="527">
        <f>IF(AND(S$8&gt;=$C$5,S$8&lt;$C$6),VLOOKUP($B27,Parameters!$E$256:$G$376,3,FALSE),0)*(1+Parameters!$G$13)^(S$8-$G$8)/1000</f>
        <v>0</v>
      </c>
      <c r="T27" s="527">
        <f>IF(AND(T$8&gt;=$C$5,T$8&lt;$C$6),VLOOKUP($B27,Parameters!$E$256:$G$376,3,FALSE),0)*(1+Parameters!$G$13)^(T$8-$G$8)/1000</f>
        <v>0</v>
      </c>
      <c r="U27" s="527">
        <f>IF(AND(U$8&gt;=$C$5,U$8&lt;$C$6),VLOOKUP($B27,Parameters!$E$256:$G$376,3,FALSE),0)*(1+Parameters!$G$13)^(U$8-$G$8)/1000</f>
        <v>0</v>
      </c>
      <c r="V27" s="527">
        <f>IF(AND(V$8&gt;=$C$5,V$8&lt;$C$6),VLOOKUP($B27,Parameters!$E$256:$G$376,3,FALSE),0)*(1+Parameters!$G$13)^(V$8-$G$8)/1000</f>
        <v>0</v>
      </c>
      <c r="W27" s="527">
        <f>IF(AND(W$8&gt;=$C$5,W$8&lt;$C$6),VLOOKUP($B27,Parameters!$E$256:$G$376,3,FALSE),0)*(1+Parameters!$G$13)^(W$8-$G$8)/1000</f>
        <v>0</v>
      </c>
      <c r="X27" s="527">
        <f>IF(AND(X$8&gt;=$C$5,X$8&lt;$C$6),VLOOKUP($B27,Parameters!$E$256:$G$376,3,FALSE),0)*(1+Parameters!$G$13)^(X$8-$G$8)/1000</f>
        <v>0</v>
      </c>
      <c r="Y27" s="527">
        <f>IF(AND(Y$8&gt;=$C$5,Y$8&lt;$C$6),VLOOKUP($B27,Parameters!$E$256:$G$376,3,FALSE),0)*(1+Parameters!$G$13)^(Y$8-$G$8)/1000</f>
        <v>0</v>
      </c>
      <c r="Z27" s="527">
        <f>IF(AND(Z$8&gt;=$C$5,Z$8&lt;$C$6),VLOOKUP($B27,Parameters!$E$256:$G$376,3,FALSE),0)*(1+Parameters!$G$13)^(Z$8-$G$8)/1000</f>
        <v>0</v>
      </c>
      <c r="AA27" s="527">
        <f>IF(AND(AA$8&gt;=$C$5,AA$8&lt;$C$6),VLOOKUP($B27,Parameters!$E$256:$G$376,3,FALSE),0)*(1+Parameters!$G$13)^(AA$8-$G$8)/1000</f>
        <v>0</v>
      </c>
      <c r="AB27" s="527">
        <f>IF(AND(AB$8&gt;=$C$5,AB$8&lt;$C$6),VLOOKUP($B27,Parameters!$E$256:$G$376,3,FALSE),0)*(1+Parameters!$G$13)^(AB$8-$G$8)/1000</f>
        <v>0</v>
      </c>
      <c r="AC27" s="527">
        <f>IF(AND(AC$8&gt;=$C$5,AC$8&lt;$C$6),VLOOKUP($B27,Parameters!$E$256:$G$376,3,FALSE),0)*(1+Parameters!$G$13)^(AC$8-$G$8)/1000</f>
        <v>0</v>
      </c>
      <c r="AD27" s="527">
        <f>IF(AND(AD$8&gt;=$C$5,AD$8&lt;$C$6),VLOOKUP($B27,Parameters!$E$256:$G$376,3,FALSE),0)*(1+Parameters!$G$13)^(AD$8-$G$8)/1000</f>
        <v>0</v>
      </c>
      <c r="AE27" s="527">
        <f>IF(AND(AE$8&gt;=$C$5,AE$8&lt;$C$6),VLOOKUP($B27,Parameters!$E$256:$G$376,3,FALSE),0)*(1+Parameters!$G$13)^(AE$8-$G$8)/1000</f>
        <v>0</v>
      </c>
      <c r="AF27" s="527">
        <f>IF(AND(AF$8&gt;=$C$5,AF$8&lt;$C$6),VLOOKUP($B27,Parameters!$E$256:$G$376,3,FALSE),0)*(1+Parameters!$G$13)^(AF$8-$G$8)/1000</f>
        <v>0</v>
      </c>
      <c r="AG27" s="527">
        <f>IF(AND(AG$8&gt;=$C$5,AG$8&lt;$C$6),VLOOKUP($B27,Parameters!$E$256:$G$376,3,FALSE),0)*(1+Parameters!$G$13)^(AG$8-$G$8)/1000</f>
        <v>0</v>
      </c>
      <c r="AH27" s="527">
        <f>IF(AND(AH$8&gt;=$C$5,AH$8&lt;$C$6),VLOOKUP($B27,Parameters!$E$256:$G$376,3,FALSE),0)*(1+Parameters!$G$13)^(AH$8-$G$8)/1000</f>
        <v>0</v>
      </c>
      <c r="AI27" s="527">
        <f>IF(AND(AI$8&gt;=$C$5,AI$8&lt;$C$6),VLOOKUP($B27,Parameters!$E$256:$G$376,3,FALSE),0)*(1+Parameters!$G$13)^(AI$8-$G$8)/1000</f>
        <v>0</v>
      </c>
      <c r="AJ27" s="527">
        <f>IF(AND(AJ$8&gt;=$C$5,AJ$8&lt;$C$6),VLOOKUP($B27,Parameters!$E$256:$G$376,3,FALSE),0)*(1+Parameters!$G$13)^(AJ$8-$G$8)/1000</f>
        <v>0</v>
      </c>
      <c r="AK27" s="527">
        <f>IF(AND(AK$8&gt;=$C$5,AK$8&lt;$C$6),VLOOKUP($B27,Parameters!$E$256:$G$376,3,FALSE),0)*(1+Parameters!$G$13)^(AK$8-$G$8)/1000</f>
        <v>0</v>
      </c>
      <c r="AL27" s="527">
        <f>IF(AND(AL$8&gt;=$C$5,AL$8&lt;$C$6),VLOOKUP($B27,Parameters!$E$256:$G$376,3,FALSE),0)*(1+Parameters!$G$13)^(AL$8-$G$8)/1000</f>
        <v>0</v>
      </c>
      <c r="AM27" s="527">
        <f>IF(AND(AM$8&gt;=$C$5,AM$8&lt;$C$6),VLOOKUP($B27,Parameters!$E$256:$G$376,3,FALSE),0)*(1+Parameters!$G$13)^(AM$8-$G$8)/1000</f>
        <v>0</v>
      </c>
      <c r="AN27" s="527">
        <f>IF(AND(AN$8&gt;=$C$5,AN$8&lt;$C$6),VLOOKUP($B27,Parameters!$E$256:$G$376,3,FALSE),0)*(1+Parameters!$G$13)^(AN$8-$G$8)/1000</f>
        <v>0</v>
      </c>
      <c r="AO27" s="527">
        <f>IF(AND(AO$8&gt;=$C$5,AO$8&lt;$C$6),VLOOKUP($B27,Parameters!$E$256:$G$376,3,FALSE),0)*(1+Parameters!$G$13)^(AO$8-$G$8)/1000</f>
        <v>0</v>
      </c>
      <c r="AP27" s="527">
        <f>IF(AND(AP$8&gt;=$C$5,AP$8&lt;$C$6),VLOOKUP($B27,Parameters!$E$256:$G$376,3,FALSE),0)*(1+Parameters!$G$13)^(AP$8-$G$8)/1000</f>
        <v>0</v>
      </c>
      <c r="AQ27" s="527">
        <f>IF(AND(AQ$8&gt;=$C$5,AQ$8&lt;$C$6),VLOOKUP($B27,Parameters!$E$256:$G$376,3,FALSE),0)*(1+Parameters!$G$13)^(AQ$8-$G$8)/1000</f>
        <v>0</v>
      </c>
      <c r="AR27" s="527">
        <f>IF(AND(AR$8&gt;=$C$5,AR$8&lt;$C$6),VLOOKUP($B27,Parameters!$E$256:$G$376,3,FALSE),0)*(1+Parameters!$G$13)^(AR$8-$G$8)/1000</f>
        <v>0</v>
      </c>
      <c r="AS27" s="527">
        <f>IF(AND(AS$8&gt;=$C$5,AS$8&lt;$C$6),VLOOKUP($B27,Parameters!$E$256:$G$376,3,FALSE),0)*(1+Parameters!$G$13)^(AS$8-$G$8)/1000</f>
        <v>0</v>
      </c>
      <c r="AT27" s="527">
        <f>IF(AND(AT$8&gt;=$C$5,AT$8&lt;$C$6),VLOOKUP($B27,Parameters!$E$256:$G$376,3,FALSE),0)*(1+Parameters!$G$13)^(AT$8-$G$8)/1000</f>
        <v>0</v>
      </c>
      <c r="AU27" s="527">
        <f>IF(AND(AU$8&gt;=$C$5,AU$8&lt;$C$6),VLOOKUP($B27,Parameters!$E$256:$G$376,3,FALSE),0)*(1+Parameters!$G$13)^(AU$8-$G$8)/1000</f>
        <v>0</v>
      </c>
      <c r="AV27" s="527">
        <f>IF(AND(AV$8&gt;=$C$5,AV$8&lt;$C$6),VLOOKUP($B27,Parameters!$E$256:$G$376,3,FALSE),0)*(1+Parameters!$G$13)^(AV$8-$G$8)/1000</f>
        <v>0</v>
      </c>
      <c r="AW27" s="527">
        <f>IF(AND(AW$8&gt;=$C$5,AW$8&lt;$C$6),VLOOKUP($B27,Parameters!$E$256:$G$376,3,FALSE),0)*(1+Parameters!$G$13)^(AW$8-$G$8)/1000</f>
        <v>0</v>
      </c>
      <c r="AX27" s="527">
        <f>IF(AND(AX$8&gt;=$C$5,AX$8&lt;$C$6),VLOOKUP($B27,Parameters!$E$256:$G$376,3,FALSE),0)*(1+Parameters!$G$13)^(AX$8-$G$8)/1000</f>
        <v>0</v>
      </c>
      <c r="AY27" s="527">
        <f>IF(AND(AY$8&gt;=$C$5,AY$8&lt;$C$6),VLOOKUP($B27,Parameters!$E$256:$G$376,3,FALSE),0)*(1+Parameters!$G$13)^(AY$8-$G$8)/1000</f>
        <v>0</v>
      </c>
      <c r="AZ27" s="527">
        <f>IF(AND(AZ$8&gt;=$C$5,AZ$8&lt;$C$6),VLOOKUP($B27,Parameters!$E$256:$G$376,3,FALSE),0)*(1+Parameters!$G$13)^(AZ$8-$G$8)/1000</f>
        <v>0</v>
      </c>
      <c r="BA27" s="527">
        <f>IF(AND(BA$8&gt;=$C$5,BA$8&lt;$C$6),VLOOKUP($B27,Parameters!$E$256:$G$376,3,FALSE),0)*(1+Parameters!$G$13)^(BA$8-$G$8)/1000</f>
        <v>0</v>
      </c>
      <c r="BB27" s="527">
        <f>IF(AND(BB$8&gt;=$C$5,BB$8&lt;$C$6),VLOOKUP($B27,Parameters!$E$256:$G$376,3,FALSE),0)*(1+Parameters!$G$13)^(BB$8-$G$8)/1000</f>
        <v>0</v>
      </c>
    </row>
    <row r="28" spans="2:54" x14ac:dyDescent="0.25">
      <c r="B28" s="979" t="str">
        <f>Parameters!E353</f>
        <v>Cost of hydrogen extraction (admix)</v>
      </c>
      <c r="C28" s="511" t="s">
        <v>979</v>
      </c>
      <c r="D28" s="512">
        <f t="shared" si="14"/>
        <v>658.00292391576818</v>
      </c>
      <c r="E28" s="512">
        <f t="shared" si="15"/>
        <v>266.95446092135575</v>
      </c>
      <c r="F28" s="478"/>
      <c r="G28" s="527">
        <f>IF(AND(G$8&gt;=$C$5,G$8&lt;$C$6),VLOOKUP($B28,Parameters!$E$256:$G$376,3,FALSE),0)*(1+Parameters!$G$13)^(G$8-$G$8)/1000</f>
        <v>0</v>
      </c>
      <c r="H28" s="527">
        <f>IF(AND(H$8&gt;=$C$5,H$8&lt;$C$6),VLOOKUP($B28,Parameters!$E$256:$G$376,3,FALSE),0)*(1+Parameters!$G$13)^(H$8-$G$8)/1000</f>
        <v>0</v>
      </c>
      <c r="I28" s="527">
        <f>IF(AND(I$8&gt;=$C$5,I$8&lt;$C$6),VLOOKUP($B28,Parameters!$E$256:$G$376,3,FALSE),0)*(1+Parameters!$G$13)^(I$8-$G$8)/1000</f>
        <v>0</v>
      </c>
      <c r="J28" s="527">
        <f>IF(AND(J$8&gt;=$C$5,J$8&lt;$C$6),VLOOKUP($B28,Parameters!$E$256:$G$376,3,FALSE),0)*(1+Parameters!$G$13)^(J$8-$G$8)/1000</f>
        <v>0</v>
      </c>
      <c r="K28" s="527">
        <f>IF(AND(K$8&gt;=$C$5,K$8&lt;$C$6),VLOOKUP($B28,Parameters!$E$256:$G$376,3,FALSE),0)*(1+Parameters!$G$13)^(K$8-$G$8)/1000</f>
        <v>0</v>
      </c>
      <c r="L28" s="527">
        <f>IF(AND(L$8&gt;=$C$5,L$8&lt;$C$6),VLOOKUP($B28,Parameters!$E$256:$G$376,3,FALSE),0)*(1+Parameters!$G$13)^(L$8-$G$8)/1000</f>
        <v>0</v>
      </c>
      <c r="M28" s="527">
        <f>IF(AND(M$8&gt;=$C$5,M$8&lt;$C$6),VLOOKUP($B28,Parameters!$E$256:$G$376,3,FALSE),0)*(1+Parameters!$G$13)^(M$8-$G$8)/1000</f>
        <v>0</v>
      </c>
      <c r="N28" s="527">
        <f>IF(AND(N$8&gt;=$C$5,N$8&lt;$C$6),VLOOKUP($B28,Parameters!$E$256:$G$376,3,FALSE),0)*(1+Parameters!$G$13)^(N$8-$G$8)/1000</f>
        <v>0</v>
      </c>
      <c r="O28" s="527">
        <f>IF(AND(O$8&gt;=$C$5,O$8&lt;$C$6),VLOOKUP($B28,Parameters!$E$256:$G$376,3,FALSE),0)*(1+Parameters!$G$13)^(O$8-$G$8)/1000</f>
        <v>159.64713866912336</v>
      </c>
      <c r="P28" s="527">
        <f>IF(AND(P$8&gt;=$C$5,P$8&lt;$C$6),VLOOKUP($B28,Parameters!$E$256:$G$376,3,FALSE),0)*(1+Parameters!$G$13)^(P$8-$G$8)/1000</f>
        <v>162.84008144250586</v>
      </c>
      <c r="Q28" s="527">
        <f>IF(AND(Q$8&gt;=$C$5,Q$8&lt;$C$6),VLOOKUP($B28,Parameters!$E$256:$G$376,3,FALSE),0)*(1+Parameters!$G$13)^(Q$8-$G$8)/1000</f>
        <v>166.09688307135599</v>
      </c>
      <c r="R28" s="527">
        <f>IF(AND(R$8&gt;=$C$5,R$8&lt;$C$6),VLOOKUP($B28,Parameters!$E$256:$G$376,3,FALSE),0)*(1+Parameters!$G$13)^(R$8-$G$8)/1000</f>
        <v>169.41882073278305</v>
      </c>
      <c r="S28" s="527">
        <f>IF(AND(S$8&gt;=$C$5,S$8&lt;$C$6),VLOOKUP($B28,Parameters!$E$256:$G$376,3,FALSE),0)*(1+Parameters!$G$13)^(S$8-$G$8)/1000</f>
        <v>0</v>
      </c>
      <c r="T28" s="527">
        <f>IF(AND(T$8&gt;=$C$5,T$8&lt;$C$6),VLOOKUP($B28,Parameters!$E$256:$G$376,3,FALSE),0)*(1+Parameters!$G$13)^(T$8-$G$8)/1000</f>
        <v>0</v>
      </c>
      <c r="U28" s="527">
        <f>IF(AND(U$8&gt;=$C$5,U$8&lt;$C$6),VLOOKUP($B28,Parameters!$E$256:$G$376,3,FALSE),0)*(1+Parameters!$G$13)^(U$8-$G$8)/1000</f>
        <v>0</v>
      </c>
      <c r="V28" s="527">
        <f>IF(AND(V$8&gt;=$C$5,V$8&lt;$C$6),VLOOKUP($B28,Parameters!$E$256:$G$376,3,FALSE),0)*(1+Parameters!$G$13)^(V$8-$G$8)/1000</f>
        <v>0</v>
      </c>
      <c r="W28" s="527">
        <f>IF(AND(W$8&gt;=$C$5,W$8&lt;$C$6),VLOOKUP($B28,Parameters!$E$256:$G$376,3,FALSE),0)*(1+Parameters!$G$13)^(W$8-$G$8)/1000</f>
        <v>0</v>
      </c>
      <c r="X28" s="527">
        <f>IF(AND(X$8&gt;=$C$5,X$8&lt;$C$6),VLOOKUP($B28,Parameters!$E$256:$G$376,3,FALSE),0)*(1+Parameters!$G$13)^(X$8-$G$8)/1000</f>
        <v>0</v>
      </c>
      <c r="Y28" s="527">
        <f>IF(AND(Y$8&gt;=$C$5,Y$8&lt;$C$6),VLOOKUP($B28,Parameters!$E$256:$G$376,3,FALSE),0)*(1+Parameters!$G$13)^(Y$8-$G$8)/1000</f>
        <v>0</v>
      </c>
      <c r="Z28" s="527">
        <f>IF(AND(Z$8&gt;=$C$5,Z$8&lt;$C$6),VLOOKUP($B28,Parameters!$E$256:$G$376,3,FALSE),0)*(1+Parameters!$G$13)^(Z$8-$G$8)/1000</f>
        <v>0</v>
      </c>
      <c r="AA28" s="527">
        <f>IF(AND(AA$8&gt;=$C$5,AA$8&lt;$C$6),VLOOKUP($B28,Parameters!$E$256:$G$376,3,FALSE),0)*(1+Parameters!$G$13)^(AA$8-$G$8)/1000</f>
        <v>0</v>
      </c>
      <c r="AB28" s="527">
        <f>IF(AND(AB$8&gt;=$C$5,AB$8&lt;$C$6),VLOOKUP($B28,Parameters!$E$256:$G$376,3,FALSE),0)*(1+Parameters!$G$13)^(AB$8-$G$8)/1000</f>
        <v>0</v>
      </c>
      <c r="AC28" s="527">
        <f>IF(AND(AC$8&gt;=$C$5,AC$8&lt;$C$6),VLOOKUP($B28,Parameters!$E$256:$G$376,3,FALSE),0)*(1+Parameters!$G$13)^(AC$8-$G$8)/1000</f>
        <v>0</v>
      </c>
      <c r="AD28" s="527">
        <f>IF(AND(AD$8&gt;=$C$5,AD$8&lt;$C$6),VLOOKUP($B28,Parameters!$E$256:$G$376,3,FALSE),0)*(1+Parameters!$G$13)^(AD$8-$G$8)/1000</f>
        <v>0</v>
      </c>
      <c r="AE28" s="527">
        <f>IF(AND(AE$8&gt;=$C$5,AE$8&lt;$C$6),VLOOKUP($B28,Parameters!$E$256:$G$376,3,FALSE),0)*(1+Parameters!$G$13)^(AE$8-$G$8)/1000</f>
        <v>0</v>
      </c>
      <c r="AF28" s="527">
        <f>IF(AND(AF$8&gt;=$C$5,AF$8&lt;$C$6),VLOOKUP($B28,Parameters!$E$256:$G$376,3,FALSE),0)*(1+Parameters!$G$13)^(AF$8-$G$8)/1000</f>
        <v>0</v>
      </c>
      <c r="AG28" s="527">
        <f>IF(AND(AG$8&gt;=$C$5,AG$8&lt;$C$6),VLOOKUP($B28,Parameters!$E$256:$G$376,3,FALSE),0)*(1+Parameters!$G$13)^(AG$8-$G$8)/1000</f>
        <v>0</v>
      </c>
      <c r="AH28" s="527">
        <f>IF(AND(AH$8&gt;=$C$5,AH$8&lt;$C$6),VLOOKUP($B28,Parameters!$E$256:$G$376,3,FALSE),0)*(1+Parameters!$G$13)^(AH$8-$G$8)/1000</f>
        <v>0</v>
      </c>
      <c r="AI28" s="527">
        <f>IF(AND(AI$8&gt;=$C$5,AI$8&lt;$C$6),VLOOKUP($B28,Parameters!$E$256:$G$376,3,FALSE),0)*(1+Parameters!$G$13)^(AI$8-$G$8)/1000</f>
        <v>0</v>
      </c>
      <c r="AJ28" s="527">
        <f>IF(AND(AJ$8&gt;=$C$5,AJ$8&lt;$C$6),VLOOKUP($B28,Parameters!$E$256:$G$376,3,FALSE),0)*(1+Parameters!$G$13)^(AJ$8-$G$8)/1000</f>
        <v>0</v>
      </c>
      <c r="AK28" s="527">
        <f>IF(AND(AK$8&gt;=$C$5,AK$8&lt;$C$6),VLOOKUP($B28,Parameters!$E$256:$G$376,3,FALSE),0)*(1+Parameters!$G$13)^(AK$8-$G$8)/1000</f>
        <v>0</v>
      </c>
      <c r="AL28" s="527">
        <f>IF(AND(AL$8&gt;=$C$5,AL$8&lt;$C$6),VLOOKUP($B28,Parameters!$E$256:$G$376,3,FALSE),0)*(1+Parameters!$G$13)^(AL$8-$G$8)/1000</f>
        <v>0</v>
      </c>
      <c r="AM28" s="527">
        <f>IF(AND(AM$8&gt;=$C$5,AM$8&lt;$C$6),VLOOKUP($B28,Parameters!$E$256:$G$376,3,FALSE),0)*(1+Parameters!$G$13)^(AM$8-$G$8)/1000</f>
        <v>0</v>
      </c>
      <c r="AN28" s="527">
        <f>IF(AND(AN$8&gt;=$C$5,AN$8&lt;$C$6),VLOOKUP($B28,Parameters!$E$256:$G$376,3,FALSE),0)*(1+Parameters!$G$13)^(AN$8-$G$8)/1000</f>
        <v>0</v>
      </c>
      <c r="AO28" s="527">
        <f>IF(AND(AO$8&gt;=$C$5,AO$8&lt;$C$6),VLOOKUP($B28,Parameters!$E$256:$G$376,3,FALSE),0)*(1+Parameters!$G$13)^(AO$8-$G$8)/1000</f>
        <v>0</v>
      </c>
      <c r="AP28" s="527">
        <f>IF(AND(AP$8&gt;=$C$5,AP$8&lt;$C$6),VLOOKUP($B28,Parameters!$E$256:$G$376,3,FALSE),0)*(1+Parameters!$G$13)^(AP$8-$G$8)/1000</f>
        <v>0</v>
      </c>
      <c r="AQ28" s="527">
        <f>IF(AND(AQ$8&gt;=$C$5,AQ$8&lt;$C$6),VLOOKUP($B28,Parameters!$E$256:$G$376,3,FALSE),0)*(1+Parameters!$G$13)^(AQ$8-$G$8)/1000</f>
        <v>0</v>
      </c>
      <c r="AR28" s="527">
        <f>IF(AND(AR$8&gt;=$C$5,AR$8&lt;$C$6),VLOOKUP($B28,Parameters!$E$256:$G$376,3,FALSE),0)*(1+Parameters!$G$13)^(AR$8-$G$8)/1000</f>
        <v>0</v>
      </c>
      <c r="AS28" s="527">
        <f>IF(AND(AS$8&gt;=$C$5,AS$8&lt;$C$6),VLOOKUP($B28,Parameters!$E$256:$G$376,3,FALSE),0)*(1+Parameters!$G$13)^(AS$8-$G$8)/1000</f>
        <v>0</v>
      </c>
      <c r="AT28" s="527">
        <f>IF(AND(AT$8&gt;=$C$5,AT$8&lt;$C$6),VLOOKUP($B28,Parameters!$E$256:$G$376,3,FALSE),0)*(1+Parameters!$G$13)^(AT$8-$G$8)/1000</f>
        <v>0</v>
      </c>
      <c r="AU28" s="527">
        <f>IF(AND(AU$8&gt;=$C$5,AU$8&lt;$C$6),VLOOKUP($B28,Parameters!$E$256:$G$376,3,FALSE),0)*(1+Parameters!$G$13)^(AU$8-$G$8)/1000</f>
        <v>0</v>
      </c>
      <c r="AV28" s="527">
        <f>IF(AND(AV$8&gt;=$C$5,AV$8&lt;$C$6),VLOOKUP($B28,Parameters!$E$256:$G$376,3,FALSE),0)*(1+Parameters!$G$13)^(AV$8-$G$8)/1000</f>
        <v>0</v>
      </c>
      <c r="AW28" s="527">
        <f>IF(AND(AW$8&gt;=$C$5,AW$8&lt;$C$6),VLOOKUP($B28,Parameters!$E$256:$G$376,3,FALSE),0)*(1+Parameters!$G$13)^(AW$8-$G$8)/1000</f>
        <v>0</v>
      </c>
      <c r="AX28" s="527">
        <f>IF(AND(AX$8&gt;=$C$5,AX$8&lt;$C$6),VLOOKUP($B28,Parameters!$E$256:$G$376,3,FALSE),0)*(1+Parameters!$G$13)^(AX$8-$G$8)/1000</f>
        <v>0</v>
      </c>
      <c r="AY28" s="527">
        <f>IF(AND(AY$8&gt;=$C$5,AY$8&lt;$C$6),VLOOKUP($B28,Parameters!$E$256:$G$376,3,FALSE),0)*(1+Parameters!$G$13)^(AY$8-$G$8)/1000</f>
        <v>0</v>
      </c>
      <c r="AZ28" s="527">
        <f>IF(AND(AZ$8&gt;=$C$5,AZ$8&lt;$C$6),VLOOKUP($B28,Parameters!$E$256:$G$376,3,FALSE),0)*(1+Parameters!$G$13)^(AZ$8-$G$8)/1000</f>
        <v>0</v>
      </c>
      <c r="BA28" s="527">
        <f>IF(AND(BA$8&gt;=$C$5,BA$8&lt;$C$6),VLOOKUP($B28,Parameters!$E$256:$G$376,3,FALSE),0)*(1+Parameters!$G$13)^(BA$8-$G$8)/1000</f>
        <v>0</v>
      </c>
      <c r="BB28" s="527">
        <f>IF(AND(BB$8&gt;=$C$5,BB$8&lt;$C$6),VLOOKUP($B28,Parameters!$E$256:$G$376,3,FALSE),0)*(1+Parameters!$G$13)^(BB$8-$G$8)/1000</f>
        <v>0</v>
      </c>
    </row>
    <row r="29" spans="2:54" x14ac:dyDescent="0.25">
      <c r="B29" s="979" t="str">
        <f>Parameters!E364</f>
        <v>Opex cable (H2)</v>
      </c>
      <c r="C29" s="511" t="s">
        <v>979</v>
      </c>
      <c r="D29" s="512">
        <f t="shared" si="14"/>
        <v>0</v>
      </c>
      <c r="E29" s="512">
        <f t="shared" si="15"/>
        <v>0</v>
      </c>
      <c r="F29" s="478"/>
      <c r="G29" s="527">
        <f>IF(AND(G$8&gt;=$C$5,G$8&lt;=$C$6),VLOOKUP($B29,Parameters!$E$256:$G$376,3,FALSE),0)*(1+Parameters!$G$13)^(G$8-$G$8)/1000</f>
        <v>0</v>
      </c>
      <c r="H29" s="527">
        <f>IF(AND(H$8&gt;=$C$5,H$8&lt;=$C$6),VLOOKUP($B29,Parameters!$E$256:$G$376,3,FALSE),0)*(1+Parameters!$G$13)^(H$8-$G$8)/1000</f>
        <v>0</v>
      </c>
      <c r="I29" s="527">
        <f>IF(AND(I$8&gt;=$C$5,I$8&lt;=$C$6),VLOOKUP($B29,Parameters!$E$256:$G$376,3,FALSE),0)*(1+Parameters!$G$13)^(I$8-$G$8)/1000</f>
        <v>0</v>
      </c>
      <c r="J29" s="527">
        <f>IF(AND(J$8&gt;=$C$5,J$8&lt;=$C$6),VLOOKUP($B29,Parameters!$E$256:$G$376,3,FALSE),0)*(1+Parameters!$G$13)^(J$8-$G$8)/1000</f>
        <v>0</v>
      </c>
      <c r="K29" s="527">
        <f>IF(AND(K$8&gt;=$C$5,K$8&lt;=$C$6),VLOOKUP($B29,Parameters!$E$256:$G$376,3,FALSE),0)*(1+Parameters!$G$13)^(K$8-$G$8)/1000</f>
        <v>0</v>
      </c>
      <c r="L29" s="527">
        <f>IF(AND(L$8&gt;=$C$5,L$8&lt;=$C$6),VLOOKUP($B29,Parameters!$E$256:$G$376,3,FALSE),0)*(1+Parameters!$G$13)^(L$8-$G$8)/1000</f>
        <v>0</v>
      </c>
      <c r="M29" s="527">
        <f>IF(AND(M$8&gt;=$C$5,M$8&lt;=$C$6),VLOOKUP($B29,Parameters!$E$256:$G$376,3,FALSE),0)*(1+Parameters!$G$13)^(M$8-$G$8)/1000</f>
        <v>0</v>
      </c>
      <c r="N29" s="527">
        <f>IF(AND(N$8&gt;=$C$5,N$8&lt;=$C$6),VLOOKUP($B29,Parameters!$E$256:$G$376,3,FALSE),0)*(1+Parameters!$G$13)^(N$8-$G$8)/1000</f>
        <v>0</v>
      </c>
      <c r="O29" s="527">
        <f>IF(AND(O$8&gt;=$C$5,O$8&lt;=$C$6),VLOOKUP($B29,Parameters!$E$256:$G$376,3,FALSE),0)*(1+Parameters!$G$13)^(O$8-$G$8)/1000</f>
        <v>0</v>
      </c>
      <c r="P29" s="527">
        <f>IF(AND(P$8&gt;=$C$5,P$8&lt;=$C$6),VLOOKUP($B29,Parameters!$E$256:$G$376,3,FALSE),0)*(1+Parameters!$G$13)^(P$8-$G$8)/1000</f>
        <v>0</v>
      </c>
      <c r="Q29" s="527">
        <f>IF(AND(Q$8&gt;=$C$5,Q$8&lt;=$C$6),VLOOKUP($B29,Parameters!$E$256:$G$376,3,FALSE),0)*(1+Parameters!$G$13)^(Q$8-$G$8)/1000</f>
        <v>0</v>
      </c>
      <c r="R29" s="527">
        <f>IF(AND(R$8&gt;=$C$5,R$8&lt;=$C$6),VLOOKUP($B29,Parameters!$E$256:$G$376,3,FALSE),0)*(1+Parameters!$G$13)^(R$8-$G$8)/1000</f>
        <v>0</v>
      </c>
      <c r="S29" s="527">
        <f>IF(AND(S$8&gt;=$C$5,S$8&lt;=$C$6),VLOOKUP($B29,Parameters!$E$256:$G$376,3,FALSE),0)*(1+Parameters!$G$13)^(S$8-$G$8)/1000</f>
        <v>0</v>
      </c>
      <c r="T29" s="527">
        <f>IF(AND(T$8&gt;=$C$5,T$8&lt;=$C$6),VLOOKUP($B29,Parameters!$E$256:$G$376,3,FALSE),0)*(1+Parameters!$G$13)^(T$8-$G$8)/1000</f>
        <v>0</v>
      </c>
      <c r="U29" s="527">
        <f>IF(AND(U$8&gt;=$C$5,U$8&lt;=$C$6),VLOOKUP($B29,Parameters!$E$256:$G$376,3,FALSE),0)*(1+Parameters!$G$13)^(U$8-$G$8)/1000</f>
        <v>0</v>
      </c>
      <c r="V29" s="527">
        <f>IF(AND(V$8&gt;=$C$5,V$8&lt;=$C$6),VLOOKUP($B29,Parameters!$E$256:$G$376,3,FALSE),0)*(1+Parameters!$G$13)^(V$8-$G$8)/1000</f>
        <v>0</v>
      </c>
      <c r="W29" s="527">
        <f>IF(AND(W$8&gt;=$C$5,W$8&lt;=$C$6),VLOOKUP($B29,Parameters!$E$256:$G$376,3,FALSE),0)*(1+Parameters!$G$13)^(W$8-$G$8)/1000</f>
        <v>0</v>
      </c>
      <c r="X29" s="527">
        <f>IF(AND(X$8&gt;=$C$5,X$8&lt;=$C$6),VLOOKUP($B29,Parameters!$E$256:$G$376,3,FALSE),0)*(1+Parameters!$G$13)^(X$8-$G$8)/1000</f>
        <v>0</v>
      </c>
      <c r="Y29" s="527">
        <f>IF(AND(Y$8&gt;=$C$5,Y$8&lt;=$C$6),VLOOKUP($B29,Parameters!$E$256:$G$376,3,FALSE),0)*(1+Parameters!$G$13)^(Y$8-$G$8)/1000</f>
        <v>0</v>
      </c>
      <c r="Z29" s="527">
        <f>IF(AND(Z$8&gt;=$C$5,Z$8&lt;=$C$6),VLOOKUP($B29,Parameters!$E$256:$G$376,3,FALSE),0)*(1+Parameters!$G$13)^(Z$8-$G$8)/1000</f>
        <v>0</v>
      </c>
      <c r="AA29" s="527">
        <f>IF(AND(AA$8&gt;=$C$5,AA$8&lt;=$C$6),VLOOKUP($B29,Parameters!$E$256:$G$376,3,FALSE),0)*(1+Parameters!$G$13)^(AA$8-$G$8)/1000</f>
        <v>0</v>
      </c>
      <c r="AB29" s="527">
        <f>IF(AND(AB$8&gt;=$C$5,AB$8&lt;=$C$6),VLOOKUP($B29,Parameters!$E$256:$G$376,3,FALSE),0)*(1+Parameters!$G$13)^(AB$8-$G$8)/1000</f>
        <v>0</v>
      </c>
      <c r="AC29" s="527">
        <f>IF(AND(AC$8&gt;=$C$5,AC$8&lt;=$C$6),VLOOKUP($B29,Parameters!$E$256:$G$376,3,FALSE),0)*(1+Parameters!$G$13)^(AC$8-$G$8)/1000</f>
        <v>0</v>
      </c>
      <c r="AD29" s="527">
        <f>IF(AND(AD$8&gt;=$C$5,AD$8&lt;=$C$6),VLOOKUP($B29,Parameters!$E$256:$G$376,3,FALSE),0)*(1+Parameters!$G$13)^(AD$8-$G$8)/1000</f>
        <v>0</v>
      </c>
      <c r="AE29" s="527">
        <f>IF(AND(AE$8&gt;=$C$5,AE$8&lt;=$C$6),VLOOKUP($B29,Parameters!$E$256:$G$376,3,FALSE),0)*(1+Parameters!$G$13)^(AE$8-$G$8)/1000</f>
        <v>0</v>
      </c>
      <c r="AF29" s="527">
        <f>IF(AND(AF$8&gt;=$C$5,AF$8&lt;=$C$6),VLOOKUP($B29,Parameters!$E$256:$G$376,3,FALSE),0)*(1+Parameters!$G$13)^(AF$8-$G$8)/1000</f>
        <v>0</v>
      </c>
      <c r="AG29" s="527">
        <f>IF(AND(AG$8&gt;=$C$5,AG$8&lt;=$C$6),VLOOKUP($B29,Parameters!$E$256:$G$376,3,FALSE),0)*(1+Parameters!$G$13)^(AG$8-$G$8)/1000</f>
        <v>0</v>
      </c>
      <c r="AH29" s="527">
        <f>IF(AND(AH$8&gt;=$C$5,AH$8&lt;=$C$6),VLOOKUP($B29,Parameters!$E$256:$G$376,3,FALSE),0)*(1+Parameters!$G$13)^(AH$8-$G$8)/1000</f>
        <v>0</v>
      </c>
      <c r="AI29" s="527">
        <f>IF(AND(AI$8&gt;=$C$5,AI$8&lt;=$C$6),VLOOKUP($B29,Parameters!$E$256:$G$376,3,FALSE),0)*(1+Parameters!$G$13)^(AI$8-$G$8)/1000</f>
        <v>0</v>
      </c>
      <c r="AJ29" s="527">
        <f>IF(AND(AJ$8&gt;=$C$5,AJ$8&lt;=$C$6),VLOOKUP($B29,Parameters!$E$256:$G$376,3,FALSE),0)*(1+Parameters!$G$13)^(AJ$8-$G$8)/1000</f>
        <v>0</v>
      </c>
      <c r="AK29" s="527">
        <f>IF(AND(AK$8&gt;=$C$5,AK$8&lt;=$C$6),VLOOKUP($B29,Parameters!$E$256:$G$376,3,FALSE),0)*(1+Parameters!$G$13)^(AK$8-$G$8)/1000</f>
        <v>0</v>
      </c>
      <c r="AL29" s="527">
        <f>IF(AND(AL$8&gt;=$C$5,AL$8&lt;=$C$6),VLOOKUP($B29,Parameters!$E$256:$G$376,3,FALSE),0)*(1+Parameters!$G$13)^(AL$8-$G$8)/1000</f>
        <v>0</v>
      </c>
      <c r="AM29" s="527">
        <f>IF(AND(AM$8&gt;=$C$5,AM$8&lt;=$C$6),VLOOKUP($B29,Parameters!$E$256:$G$376,3,FALSE),0)*(1+Parameters!$G$13)^(AM$8-$G$8)/1000</f>
        <v>0</v>
      </c>
      <c r="AN29" s="527">
        <f>IF(AND(AN$8&gt;=$C$5,AN$8&lt;=$C$6),VLOOKUP($B29,Parameters!$E$256:$G$376,3,FALSE),0)*(1+Parameters!$G$13)^(AN$8-$G$8)/1000</f>
        <v>0</v>
      </c>
      <c r="AO29" s="527">
        <f>IF(AND(AO$8&gt;=$C$5,AO$8&lt;=$C$6),VLOOKUP($B29,Parameters!$E$256:$G$376,3,FALSE),0)*(1+Parameters!$G$13)^(AO$8-$G$8)/1000</f>
        <v>0</v>
      </c>
      <c r="AP29" s="527">
        <f>IF(AND(AP$8&gt;=$C$5,AP$8&lt;=$C$6),VLOOKUP($B29,Parameters!$E$256:$G$376,3,FALSE),0)*(1+Parameters!$G$13)^(AP$8-$G$8)/1000</f>
        <v>0</v>
      </c>
      <c r="AQ29" s="527">
        <f>IF(AND(AQ$8&gt;=$C$5,AQ$8&lt;=$C$6),VLOOKUP($B29,Parameters!$E$256:$G$376,3,FALSE),0)*(1+Parameters!$G$13)^(AQ$8-$G$8)/1000</f>
        <v>0</v>
      </c>
      <c r="AR29" s="527">
        <f>IF(AND(AR$8&gt;=$C$5,AR$8&lt;=$C$6),VLOOKUP($B29,Parameters!$E$256:$G$376,3,FALSE),0)*(1+Parameters!$G$13)^(AR$8-$G$8)/1000</f>
        <v>0</v>
      </c>
      <c r="AS29" s="527">
        <f>IF(AND(AS$8&gt;=$C$5,AS$8&lt;=$C$6),VLOOKUP($B29,Parameters!$E$256:$G$376,3,FALSE),0)*(1+Parameters!$G$13)^(AS$8-$G$8)/1000</f>
        <v>0</v>
      </c>
      <c r="AT29" s="527">
        <f>IF(AND(AT$8&gt;=$C$5,AT$8&lt;=$C$6),VLOOKUP($B29,Parameters!$E$256:$G$376,3,FALSE),0)*(1+Parameters!$G$13)^(AT$8-$G$8)/1000</f>
        <v>0</v>
      </c>
      <c r="AU29" s="527">
        <f>IF(AND(AU$8&gt;=$C$5,AU$8&lt;=$C$6),VLOOKUP($B29,Parameters!$E$256:$G$376,3,FALSE),0)*(1+Parameters!$G$13)^(AU$8-$G$8)/1000</f>
        <v>0</v>
      </c>
      <c r="AV29" s="527">
        <f>IF(AND(AV$8&gt;=$C$5,AV$8&lt;=$C$6),VLOOKUP($B29,Parameters!$E$256:$G$376,3,FALSE),0)*(1+Parameters!$G$13)^(AV$8-$G$8)/1000</f>
        <v>0</v>
      </c>
      <c r="AW29" s="527">
        <f>IF(AND(AW$8&gt;=$C$5,AW$8&lt;=$C$6),VLOOKUP($B29,Parameters!$E$256:$G$376,3,FALSE),0)*(1+Parameters!$G$13)^(AW$8-$G$8)/1000</f>
        <v>0</v>
      </c>
      <c r="AX29" s="527">
        <f>IF(AND(AX$8&gt;=$C$5,AX$8&lt;=$C$6),VLOOKUP($B29,Parameters!$E$256:$G$376,3,FALSE),0)*(1+Parameters!$G$13)^(AX$8-$G$8)/1000</f>
        <v>0</v>
      </c>
      <c r="AY29" s="527">
        <f>IF(AND(AY$8&gt;=$C$5,AY$8&lt;=$C$6),VLOOKUP($B29,Parameters!$E$256:$G$376,3,FALSE),0)*(1+Parameters!$G$13)^(AY$8-$G$8)/1000</f>
        <v>0</v>
      </c>
      <c r="AZ29" s="527">
        <f>IF(AND(AZ$8&gt;=$C$5,AZ$8&lt;=$C$6),VLOOKUP($B29,Parameters!$E$256:$G$376,3,FALSE),0)*(1+Parameters!$G$13)^(AZ$8-$G$8)/1000</f>
        <v>0</v>
      </c>
      <c r="BA29" s="527">
        <f>IF(AND(BA$8&gt;=$C$5,BA$8&lt;=$C$6),VLOOKUP($B29,Parameters!$E$256:$G$376,3,FALSE),0)*(1+Parameters!$G$13)^(BA$8-$G$8)/1000</f>
        <v>0</v>
      </c>
      <c r="BB29" s="527">
        <f>IF(AND(BB$8&gt;=$C$5,BB$8&lt;=$C$6),VLOOKUP($B29,Parameters!$E$256:$G$376,3,FALSE),0)*(1+Parameters!$G$13)^(BB$8-$G$8)/1000</f>
        <v>0</v>
      </c>
    </row>
    <row r="30" spans="2:54" x14ac:dyDescent="0.25">
      <c r="B30" s="979" t="str">
        <f>Parameters!E367</f>
        <v>Opex platform</v>
      </c>
      <c r="C30" s="511" t="s">
        <v>979</v>
      </c>
      <c r="D30" s="512">
        <f t="shared" si="14"/>
        <v>0</v>
      </c>
      <c r="E30" s="512">
        <f t="shared" si="15"/>
        <v>0</v>
      </c>
      <c r="F30" s="478"/>
      <c r="G30" s="527">
        <f>IF(AND(G$8&gt;=$C$5,G$8&lt;=$C$6),VLOOKUP($B30,Parameters!$E$256:$G$376,3,FALSE),0)*(1+Parameters!$G$13)^(G$8-$G$8)/1000</f>
        <v>0</v>
      </c>
      <c r="H30" s="527">
        <f>IF(AND(H$8&gt;=$C$5,H$8&lt;=$C$6),VLOOKUP($B30,Parameters!$E$256:$G$376,3,FALSE),0)*(1+Parameters!$G$13)^(H$8-$G$8)/1000</f>
        <v>0</v>
      </c>
      <c r="I30" s="527">
        <f>IF(AND(I$8&gt;=$C$5,I$8&lt;=$C$6),VLOOKUP($B30,Parameters!$E$256:$G$376,3,FALSE),0)*(1+Parameters!$G$13)^(I$8-$G$8)/1000</f>
        <v>0</v>
      </c>
      <c r="J30" s="527">
        <f>IF(AND(J$8&gt;=$C$5,J$8&lt;=$C$6),VLOOKUP($B30,Parameters!$E$256:$G$376,3,FALSE),0)*(1+Parameters!$G$13)^(J$8-$G$8)/1000</f>
        <v>0</v>
      </c>
      <c r="K30" s="527">
        <f>IF(AND(K$8&gt;=$C$5,K$8&lt;=$C$6),VLOOKUP($B30,Parameters!$E$256:$G$376,3,FALSE),0)*(1+Parameters!$G$13)^(K$8-$G$8)/1000</f>
        <v>0</v>
      </c>
      <c r="L30" s="527">
        <f>IF(AND(L$8&gt;=$C$5,L$8&lt;=$C$6),VLOOKUP($B30,Parameters!$E$256:$G$376,3,FALSE),0)*(1+Parameters!$G$13)^(L$8-$G$8)/1000</f>
        <v>0</v>
      </c>
      <c r="M30" s="527">
        <f>IF(AND(M$8&gt;=$C$5,M$8&lt;=$C$6),VLOOKUP($B30,Parameters!$E$256:$G$376,3,FALSE),0)*(1+Parameters!$G$13)^(M$8-$G$8)/1000</f>
        <v>0</v>
      </c>
      <c r="N30" s="527">
        <f>IF(AND(N$8&gt;=$C$5,N$8&lt;=$C$6),VLOOKUP($B30,Parameters!$E$256:$G$376,3,FALSE),0)*(1+Parameters!$G$13)^(N$8-$G$8)/1000</f>
        <v>0</v>
      </c>
      <c r="O30" s="527">
        <f>IF(AND(O$8&gt;=$C$5,O$8&lt;=$C$6),VLOOKUP($B30,Parameters!$E$256:$G$376,3,FALSE),0)*(1+Parameters!$G$13)^(O$8-$G$8)/1000</f>
        <v>0</v>
      </c>
      <c r="P30" s="527">
        <f>IF(AND(P$8&gt;=$C$5,P$8&lt;=$C$6),VLOOKUP($B30,Parameters!$E$256:$G$376,3,FALSE),0)*(1+Parameters!$G$13)^(P$8-$G$8)/1000</f>
        <v>0</v>
      </c>
      <c r="Q30" s="527">
        <f>IF(AND(Q$8&gt;=$C$5,Q$8&lt;=$C$6),VLOOKUP($B30,Parameters!$E$256:$G$376,3,FALSE),0)*(1+Parameters!$G$13)^(Q$8-$G$8)/1000</f>
        <v>0</v>
      </c>
      <c r="R30" s="527">
        <f>IF(AND(R$8&gt;=$C$5,R$8&lt;=$C$6),VLOOKUP($B30,Parameters!$E$256:$G$376,3,FALSE),0)*(1+Parameters!$G$13)^(R$8-$G$8)/1000</f>
        <v>0</v>
      </c>
      <c r="S30" s="527">
        <f>IF(AND(S$8&gt;=$C$5,S$8&lt;=$C$6),VLOOKUP($B30,Parameters!$E$256:$G$376,3,FALSE),0)*(1+Parameters!$G$13)^(S$8-$G$8)/1000</f>
        <v>0</v>
      </c>
      <c r="T30" s="527">
        <f>IF(AND(T$8&gt;=$C$5,T$8&lt;=$C$6),VLOOKUP($B30,Parameters!$E$256:$G$376,3,FALSE),0)*(1+Parameters!$G$13)^(T$8-$G$8)/1000</f>
        <v>0</v>
      </c>
      <c r="U30" s="527">
        <f>IF(AND(U$8&gt;=$C$5,U$8&lt;=$C$6),VLOOKUP($B30,Parameters!$E$256:$G$376,3,FALSE),0)*(1+Parameters!$G$13)^(U$8-$G$8)/1000</f>
        <v>0</v>
      </c>
      <c r="V30" s="527">
        <f>IF(AND(V$8&gt;=$C$5,V$8&lt;=$C$6),VLOOKUP($B30,Parameters!$E$256:$G$376,3,FALSE),0)*(1+Parameters!$G$13)^(V$8-$G$8)/1000</f>
        <v>0</v>
      </c>
      <c r="W30" s="527">
        <f>IF(AND(W$8&gt;=$C$5,W$8&lt;=$C$6),VLOOKUP($B30,Parameters!$E$256:$G$376,3,FALSE),0)*(1+Parameters!$G$13)^(W$8-$G$8)/1000</f>
        <v>0</v>
      </c>
      <c r="X30" s="527">
        <f>IF(AND(X$8&gt;=$C$5,X$8&lt;=$C$6),VLOOKUP($B30,Parameters!$E$256:$G$376,3,FALSE),0)*(1+Parameters!$G$13)^(X$8-$G$8)/1000</f>
        <v>0</v>
      </c>
      <c r="Y30" s="527">
        <f>IF(AND(Y$8&gt;=$C$5,Y$8&lt;=$C$6),VLOOKUP($B30,Parameters!$E$256:$G$376,3,FALSE),0)*(1+Parameters!$G$13)^(Y$8-$G$8)/1000</f>
        <v>0</v>
      </c>
      <c r="Z30" s="527">
        <f>IF(AND(Z$8&gt;=$C$5,Z$8&lt;=$C$6),VLOOKUP($B30,Parameters!$E$256:$G$376,3,FALSE),0)*(1+Parameters!$G$13)^(Z$8-$G$8)/1000</f>
        <v>0</v>
      </c>
      <c r="AA30" s="527">
        <f>IF(AND(AA$8&gt;=$C$5,AA$8&lt;=$C$6),VLOOKUP($B30,Parameters!$E$256:$G$376,3,FALSE),0)*(1+Parameters!$G$13)^(AA$8-$G$8)/1000</f>
        <v>0</v>
      </c>
      <c r="AB30" s="527">
        <f>IF(AND(AB$8&gt;=$C$5,AB$8&lt;=$C$6),VLOOKUP($B30,Parameters!$E$256:$G$376,3,FALSE),0)*(1+Parameters!$G$13)^(AB$8-$G$8)/1000</f>
        <v>0</v>
      </c>
      <c r="AC30" s="527">
        <f>IF(AND(AC$8&gt;=$C$5,AC$8&lt;=$C$6),VLOOKUP($B30,Parameters!$E$256:$G$376,3,FALSE),0)*(1+Parameters!$G$13)^(AC$8-$G$8)/1000</f>
        <v>0</v>
      </c>
      <c r="AD30" s="527">
        <f>IF(AND(AD$8&gt;=$C$5,AD$8&lt;=$C$6),VLOOKUP($B30,Parameters!$E$256:$G$376,3,FALSE),0)*(1+Parameters!$G$13)^(AD$8-$G$8)/1000</f>
        <v>0</v>
      </c>
      <c r="AE30" s="527">
        <f>IF(AND(AE$8&gt;=$C$5,AE$8&lt;=$C$6),VLOOKUP($B30,Parameters!$E$256:$G$376,3,FALSE),0)*(1+Parameters!$G$13)^(AE$8-$G$8)/1000</f>
        <v>0</v>
      </c>
      <c r="AF30" s="527">
        <f>IF(AND(AF$8&gt;=$C$5,AF$8&lt;=$C$6),VLOOKUP($B30,Parameters!$E$256:$G$376,3,FALSE),0)*(1+Parameters!$G$13)^(AF$8-$G$8)/1000</f>
        <v>0</v>
      </c>
      <c r="AG30" s="527">
        <f>IF(AND(AG$8&gt;=$C$5,AG$8&lt;=$C$6),VLOOKUP($B30,Parameters!$E$256:$G$376,3,FALSE),0)*(1+Parameters!$G$13)^(AG$8-$G$8)/1000</f>
        <v>0</v>
      </c>
      <c r="AH30" s="527">
        <f>IF(AND(AH$8&gt;=$C$5,AH$8&lt;=$C$6),VLOOKUP($B30,Parameters!$E$256:$G$376,3,FALSE),0)*(1+Parameters!$G$13)^(AH$8-$G$8)/1000</f>
        <v>0</v>
      </c>
      <c r="AI30" s="527">
        <f>IF(AND(AI$8&gt;=$C$5,AI$8&lt;=$C$6),VLOOKUP($B30,Parameters!$E$256:$G$376,3,FALSE),0)*(1+Parameters!$G$13)^(AI$8-$G$8)/1000</f>
        <v>0</v>
      </c>
      <c r="AJ30" s="527">
        <f>IF(AND(AJ$8&gt;=$C$5,AJ$8&lt;=$C$6),VLOOKUP($B30,Parameters!$E$256:$G$376,3,FALSE),0)*(1+Parameters!$G$13)^(AJ$8-$G$8)/1000</f>
        <v>0</v>
      </c>
      <c r="AK30" s="527">
        <f>IF(AND(AK$8&gt;=$C$5,AK$8&lt;=$C$6),VLOOKUP($B30,Parameters!$E$256:$G$376,3,FALSE),0)*(1+Parameters!$G$13)^(AK$8-$G$8)/1000</f>
        <v>0</v>
      </c>
      <c r="AL30" s="527">
        <f>IF(AND(AL$8&gt;=$C$5,AL$8&lt;=$C$6),VLOOKUP($B30,Parameters!$E$256:$G$376,3,FALSE),0)*(1+Parameters!$G$13)^(AL$8-$G$8)/1000</f>
        <v>0</v>
      </c>
      <c r="AM30" s="527">
        <f>IF(AND(AM$8&gt;=$C$5,AM$8&lt;=$C$6),VLOOKUP($B30,Parameters!$E$256:$G$376,3,FALSE),0)*(1+Parameters!$G$13)^(AM$8-$G$8)/1000</f>
        <v>0</v>
      </c>
      <c r="AN30" s="527">
        <f>IF(AND(AN$8&gt;=$C$5,AN$8&lt;=$C$6),VLOOKUP($B30,Parameters!$E$256:$G$376,3,FALSE),0)*(1+Parameters!$G$13)^(AN$8-$G$8)/1000</f>
        <v>0</v>
      </c>
      <c r="AO30" s="527">
        <f>IF(AND(AO$8&gt;=$C$5,AO$8&lt;=$C$6),VLOOKUP($B30,Parameters!$E$256:$G$376,3,FALSE),0)*(1+Parameters!$G$13)^(AO$8-$G$8)/1000</f>
        <v>0</v>
      </c>
      <c r="AP30" s="527">
        <f>IF(AND(AP$8&gt;=$C$5,AP$8&lt;=$C$6),VLOOKUP($B30,Parameters!$E$256:$G$376,3,FALSE),0)*(1+Parameters!$G$13)^(AP$8-$G$8)/1000</f>
        <v>0</v>
      </c>
      <c r="AQ30" s="527">
        <f>IF(AND(AQ$8&gt;=$C$5,AQ$8&lt;=$C$6),VLOOKUP($B30,Parameters!$E$256:$G$376,3,FALSE),0)*(1+Parameters!$G$13)^(AQ$8-$G$8)/1000</f>
        <v>0</v>
      </c>
      <c r="AR30" s="527">
        <f>IF(AND(AR$8&gt;=$C$5,AR$8&lt;=$C$6),VLOOKUP($B30,Parameters!$E$256:$G$376,3,FALSE),0)*(1+Parameters!$G$13)^(AR$8-$G$8)/1000</f>
        <v>0</v>
      </c>
      <c r="AS30" s="527">
        <f>IF(AND(AS$8&gt;=$C$5,AS$8&lt;=$C$6),VLOOKUP($B30,Parameters!$E$256:$G$376,3,FALSE),0)*(1+Parameters!$G$13)^(AS$8-$G$8)/1000</f>
        <v>0</v>
      </c>
      <c r="AT30" s="527">
        <f>IF(AND(AT$8&gt;=$C$5,AT$8&lt;=$C$6),VLOOKUP($B30,Parameters!$E$256:$G$376,3,FALSE),0)*(1+Parameters!$G$13)^(AT$8-$G$8)/1000</f>
        <v>0</v>
      </c>
      <c r="AU30" s="527">
        <f>IF(AND(AU$8&gt;=$C$5,AU$8&lt;=$C$6),VLOOKUP($B30,Parameters!$E$256:$G$376,3,FALSE),0)*(1+Parameters!$G$13)^(AU$8-$G$8)/1000</f>
        <v>0</v>
      </c>
      <c r="AV30" s="527">
        <f>IF(AND(AV$8&gt;=$C$5,AV$8&lt;=$C$6),VLOOKUP($B30,Parameters!$E$256:$G$376,3,FALSE),0)*(1+Parameters!$G$13)^(AV$8-$G$8)/1000</f>
        <v>0</v>
      </c>
      <c r="AW30" s="527">
        <f>IF(AND(AW$8&gt;=$C$5,AW$8&lt;=$C$6),VLOOKUP($B30,Parameters!$E$256:$G$376,3,FALSE),0)*(1+Parameters!$G$13)^(AW$8-$G$8)/1000</f>
        <v>0</v>
      </c>
      <c r="AX30" s="527">
        <f>IF(AND(AX$8&gt;=$C$5,AX$8&lt;=$C$6),VLOOKUP($B30,Parameters!$E$256:$G$376,3,FALSE),0)*(1+Parameters!$G$13)^(AX$8-$G$8)/1000</f>
        <v>0</v>
      </c>
      <c r="AY30" s="527">
        <f>IF(AND(AY$8&gt;=$C$5,AY$8&lt;=$C$6),VLOOKUP($B30,Parameters!$E$256:$G$376,3,FALSE),0)*(1+Parameters!$G$13)^(AY$8-$G$8)/1000</f>
        <v>0</v>
      </c>
      <c r="AZ30" s="527">
        <f>IF(AND(AZ$8&gt;=$C$5,AZ$8&lt;=$C$6),VLOOKUP($B30,Parameters!$E$256:$G$376,3,FALSE),0)*(1+Parameters!$G$13)^(AZ$8-$G$8)/1000</f>
        <v>0</v>
      </c>
      <c r="BA30" s="527">
        <f>IF(AND(BA$8&gt;=$C$5,BA$8&lt;=$C$6),VLOOKUP($B30,Parameters!$E$256:$G$376,3,FALSE),0)*(1+Parameters!$G$13)^(BA$8-$G$8)/1000</f>
        <v>0</v>
      </c>
      <c r="BB30" s="527">
        <f>IF(AND(BB$8&gt;=$C$5,BB$8&lt;=$C$6),VLOOKUP($B30,Parameters!$E$256:$G$376,3,FALSE),0)*(1+Parameters!$G$13)^(BB$8-$G$8)/1000</f>
        <v>0</v>
      </c>
    </row>
    <row r="31" spans="2:54" x14ac:dyDescent="0.25">
      <c r="B31" s="440"/>
      <c r="C31" s="440"/>
      <c r="D31" s="514"/>
      <c r="E31" s="514"/>
      <c r="F31" s="440"/>
      <c r="G31" s="515"/>
      <c r="H31" s="515"/>
      <c r="I31" s="515"/>
      <c r="J31" s="515"/>
      <c r="K31" s="515"/>
      <c r="L31" s="515"/>
      <c r="M31" s="515"/>
      <c r="N31" s="515"/>
      <c r="O31" s="515"/>
      <c r="P31" s="515"/>
      <c r="Q31" s="515"/>
      <c r="R31" s="515"/>
      <c r="S31" s="515"/>
      <c r="T31" s="515"/>
      <c r="U31" s="515"/>
      <c r="V31" s="515"/>
      <c r="W31" s="515"/>
      <c r="X31" s="515"/>
      <c r="Y31" s="515"/>
      <c r="Z31" s="515"/>
      <c r="AA31" s="515"/>
      <c r="AB31" s="515"/>
      <c r="AC31" s="515"/>
      <c r="AD31" s="515"/>
      <c r="AE31" s="515"/>
      <c r="AF31" s="515"/>
      <c r="AG31" s="515"/>
      <c r="AH31" s="515"/>
      <c r="AI31" s="515"/>
      <c r="AJ31" s="515"/>
      <c r="AK31" s="515"/>
      <c r="AL31" s="515"/>
      <c r="AM31" s="515"/>
      <c r="AN31" s="515"/>
      <c r="AO31" s="515"/>
      <c r="AP31" s="515"/>
      <c r="AQ31" s="515"/>
      <c r="AR31" s="515"/>
      <c r="AS31" s="515"/>
      <c r="AT31" s="515"/>
      <c r="AU31" s="515"/>
      <c r="AV31" s="515"/>
      <c r="AW31" s="515"/>
      <c r="AX31" s="515"/>
      <c r="AY31" s="515"/>
      <c r="AZ31" s="515"/>
      <c r="BA31" s="515"/>
      <c r="BB31" s="515"/>
    </row>
    <row r="32" spans="2:54" x14ac:dyDescent="0.25">
      <c r="B32" s="309" t="s">
        <v>983</v>
      </c>
      <c r="C32" s="309" t="s">
        <v>979</v>
      </c>
      <c r="D32" s="505">
        <f>SUM(G32:BB32)</f>
        <v>4810.9446596542593</v>
      </c>
      <c r="E32" s="505">
        <f>G32+NPV($C$43,H32:BB32)</f>
        <v>1951.8198042306622</v>
      </c>
      <c r="F32" s="309"/>
      <c r="G32" s="506">
        <f>SUM(G33:G36)</f>
        <v>0</v>
      </c>
      <c r="H32" s="506">
        <f t="shared" ref="H32:AU32" si="16">SUM(H33:H36)</f>
        <v>0</v>
      </c>
      <c r="I32" s="506">
        <f t="shared" si="16"/>
        <v>0</v>
      </c>
      <c r="J32" s="506">
        <f t="shared" si="16"/>
        <v>0</v>
      </c>
      <c r="K32" s="506">
        <f t="shared" si="16"/>
        <v>0</v>
      </c>
      <c r="L32" s="506">
        <f t="shared" si="16"/>
        <v>0</v>
      </c>
      <c r="M32" s="506">
        <f t="shared" si="16"/>
        <v>0</v>
      </c>
      <c r="N32" s="506">
        <f t="shared" si="16"/>
        <v>0</v>
      </c>
      <c r="O32" s="506">
        <f t="shared" si="16"/>
        <v>1167.2494472192066</v>
      </c>
      <c r="P32" s="506">
        <f t="shared" si="16"/>
        <v>1190.5944361635907</v>
      </c>
      <c r="Q32" s="506">
        <f t="shared" si="16"/>
        <v>1214.4063248868624</v>
      </c>
      <c r="R32" s="506">
        <f t="shared" si="16"/>
        <v>1238.6944513845995</v>
      </c>
      <c r="S32" s="506">
        <f t="shared" si="16"/>
        <v>0</v>
      </c>
      <c r="T32" s="506">
        <f t="shared" si="16"/>
        <v>0</v>
      </c>
      <c r="U32" s="506">
        <f t="shared" si="16"/>
        <v>0</v>
      </c>
      <c r="V32" s="506">
        <f t="shared" si="16"/>
        <v>0</v>
      </c>
      <c r="W32" s="506">
        <f t="shared" si="16"/>
        <v>0</v>
      </c>
      <c r="X32" s="506">
        <f t="shared" si="16"/>
        <v>0</v>
      </c>
      <c r="Y32" s="506">
        <f t="shared" si="16"/>
        <v>0</v>
      </c>
      <c r="Z32" s="506">
        <f t="shared" si="16"/>
        <v>0</v>
      </c>
      <c r="AA32" s="506">
        <f t="shared" si="16"/>
        <v>0</v>
      </c>
      <c r="AB32" s="506">
        <f t="shared" si="16"/>
        <v>0</v>
      </c>
      <c r="AC32" s="506">
        <f t="shared" si="16"/>
        <v>0</v>
      </c>
      <c r="AD32" s="506">
        <f t="shared" si="16"/>
        <v>0</v>
      </c>
      <c r="AE32" s="506">
        <f t="shared" si="16"/>
        <v>0</v>
      </c>
      <c r="AF32" s="506">
        <f t="shared" si="16"/>
        <v>0</v>
      </c>
      <c r="AG32" s="506">
        <f t="shared" si="16"/>
        <v>0</v>
      </c>
      <c r="AH32" s="506">
        <f t="shared" si="16"/>
        <v>0</v>
      </c>
      <c r="AI32" s="506">
        <f t="shared" si="16"/>
        <v>0</v>
      </c>
      <c r="AJ32" s="506">
        <f t="shared" si="16"/>
        <v>0</v>
      </c>
      <c r="AK32" s="506">
        <f t="shared" si="16"/>
        <v>0</v>
      </c>
      <c r="AL32" s="506">
        <f t="shared" si="16"/>
        <v>0</v>
      </c>
      <c r="AM32" s="506">
        <f t="shared" si="16"/>
        <v>0</v>
      </c>
      <c r="AN32" s="506">
        <f t="shared" si="16"/>
        <v>0</v>
      </c>
      <c r="AO32" s="506">
        <f t="shared" si="16"/>
        <v>0</v>
      </c>
      <c r="AP32" s="506">
        <f t="shared" si="16"/>
        <v>0</v>
      </c>
      <c r="AQ32" s="506">
        <f t="shared" si="16"/>
        <v>0</v>
      </c>
      <c r="AR32" s="506">
        <f t="shared" si="16"/>
        <v>0</v>
      </c>
      <c r="AS32" s="506">
        <f t="shared" si="16"/>
        <v>0</v>
      </c>
      <c r="AT32" s="506">
        <f t="shared" si="16"/>
        <v>0</v>
      </c>
      <c r="AU32" s="506">
        <f t="shared" si="16"/>
        <v>0</v>
      </c>
      <c r="AV32" s="506">
        <f t="shared" ref="AV32:BB32" si="17">SUM(AV33:AV36)</f>
        <v>0</v>
      </c>
      <c r="AW32" s="506">
        <f t="shared" si="17"/>
        <v>0</v>
      </c>
      <c r="AX32" s="506">
        <f t="shared" si="17"/>
        <v>0</v>
      </c>
      <c r="AY32" s="506">
        <f t="shared" si="17"/>
        <v>0</v>
      </c>
      <c r="AZ32" s="506">
        <f t="shared" si="17"/>
        <v>0</v>
      </c>
      <c r="BA32" s="506">
        <f t="shared" si="17"/>
        <v>0</v>
      </c>
      <c r="BB32" s="506">
        <f t="shared" si="17"/>
        <v>0</v>
      </c>
    </row>
    <row r="33" spans="2:64" x14ac:dyDescent="0.25">
      <c r="B33" s="743" t="str">
        <f>Parameters!E269</f>
        <v>H2 processing revenue</v>
      </c>
      <c r="C33" s="508" t="s">
        <v>979</v>
      </c>
      <c r="D33" s="509">
        <f>SUM(G33:BB33)</f>
        <v>4810.9446596542593</v>
      </c>
      <c r="E33" s="509">
        <f>G33+NPV($C$43,H33:BB33)</f>
        <v>1951.8198042306622</v>
      </c>
      <c r="F33" s="507"/>
      <c r="G33" s="510">
        <f>IF(AND(G$8&gt;=$C$5,G$8&lt;$C$6),VLOOKUP($B33,Parameters!$E$256:$G$376,3,FALSE),0)*Parameters!$G$14/8760*(1+Parameters!$G$13)^(G$8-$G$8)/1000</f>
        <v>0</v>
      </c>
      <c r="H33" s="510">
        <f>IF(AND(H$8&gt;=$C$5,H$8&lt;$C$6),VLOOKUP($B33,Parameters!$E$256:$G$376,3,FALSE),0)*Parameters!$G$14/8760*(1+Parameters!$G$13)^(H$8-$G$8)/1000</f>
        <v>0</v>
      </c>
      <c r="I33" s="510">
        <f>IF(AND(I$8&gt;=$C$5,I$8&lt;$C$6),VLOOKUP($B33,Parameters!$E$256:$G$376,3,FALSE),0)*Parameters!$G$14/8760*(1+Parameters!$G$13)^(I$8-$G$8)/1000</f>
        <v>0</v>
      </c>
      <c r="J33" s="510">
        <f>IF(AND(J$8&gt;=$C$5,J$8&lt;$C$6),VLOOKUP($B33,Parameters!$E$256:$G$376,3,FALSE),0)*Parameters!$G$14/8760*(1+Parameters!$G$13)^(J$8-$G$8)/1000</f>
        <v>0</v>
      </c>
      <c r="K33" s="510">
        <f>IF(AND(K$8&gt;=$C$5,K$8&lt;$C$6),VLOOKUP($B33,Parameters!$E$256:$G$376,3,FALSE),0)*Parameters!$G$14/8760*(1+Parameters!$G$13)^(K$8-$G$8)/1000</f>
        <v>0</v>
      </c>
      <c r="L33" s="510">
        <f>IF(AND(L$8&gt;=$C$5,L$8&lt;$C$6),VLOOKUP($B33,Parameters!$E$256:$G$376,3,FALSE),0)*Parameters!$G$14/8760*(1+Parameters!$G$13)^(L$8-$G$8)/1000</f>
        <v>0</v>
      </c>
      <c r="M33" s="510">
        <f>IF(AND(M$8&gt;=$C$5,M$8&lt;$C$6),VLOOKUP($B33,Parameters!$E$256:$G$376,3,FALSE),0)*Parameters!$G$14/8760*(1+Parameters!$G$13)^(M$8-$G$8)/1000</f>
        <v>0</v>
      </c>
      <c r="N33" s="510">
        <f>IF(AND(N$8&gt;=$C$5,N$8&lt;$C$6),VLOOKUP($B33,Parameters!$E$256:$G$376,3,FALSE),0)*Parameters!$G$14/8760*(1+Parameters!$G$13)^(N$8-$G$8)/1000</f>
        <v>0</v>
      </c>
      <c r="O33" s="510">
        <f>IF(AND(O$8&gt;=$C$5,O$8&lt;$C$6),VLOOKUP($B33,Parameters!$E$256:$G$376,3,FALSE),0)*Parameters!$G$14/8760*(1+Parameters!$G$13)^(O$8-$G$8)/1000</f>
        <v>1167.2494472192066</v>
      </c>
      <c r="P33" s="510">
        <f>IF(AND(P$8&gt;=$C$5,P$8&lt;$C$6),VLOOKUP($B33,Parameters!$E$256:$G$376,3,FALSE),0)*Parameters!$G$14/8760*(1+Parameters!$G$13)^(P$8-$G$8)/1000</f>
        <v>1190.5944361635907</v>
      </c>
      <c r="Q33" s="510">
        <f>IF(AND(Q$8&gt;=$C$5,Q$8&lt;$C$6),VLOOKUP($B33,Parameters!$E$256:$G$376,3,FALSE),0)*Parameters!$G$14/8760*(1+Parameters!$G$13)^(Q$8-$G$8)/1000</f>
        <v>1214.4063248868624</v>
      </c>
      <c r="R33" s="510">
        <f>IF(AND(R$8&gt;=$C$5,R$8&lt;$C$6),VLOOKUP($B33,Parameters!$E$256:$G$376,3,FALSE),0)*Parameters!$G$14/8760*(1+Parameters!$G$13)^(R$8-$G$8)/1000</f>
        <v>1238.6944513845995</v>
      </c>
      <c r="S33" s="510">
        <f>IF(AND(S$8&gt;=$C$5,S$8&lt;$C$6),VLOOKUP($B33,Parameters!$E$256:$G$376,3,FALSE),0)*Parameters!$G$14/8760*(1+Parameters!$G$13)^(S$8-$G$8)/1000</f>
        <v>0</v>
      </c>
      <c r="T33" s="510">
        <f>IF(AND(T$8&gt;=$C$5,T$8&lt;$C$6),VLOOKUP($B33,Parameters!$E$256:$G$376,3,FALSE),0)*Parameters!$G$14/8760*(1+Parameters!$G$13)^(T$8-$G$8)/1000</f>
        <v>0</v>
      </c>
      <c r="U33" s="510">
        <f>IF(AND(U$8&gt;=$C$5,U$8&lt;$C$6),VLOOKUP($B33,Parameters!$E$256:$G$376,3,FALSE),0)*Parameters!$G$14/8760*(1+Parameters!$G$13)^(U$8-$G$8)/1000</f>
        <v>0</v>
      </c>
      <c r="V33" s="510">
        <f>IF(AND(V$8&gt;=$C$5,V$8&lt;$C$6),VLOOKUP($B33,Parameters!$E$256:$G$376,3,FALSE),0)*Parameters!$G$14/8760*(1+Parameters!$G$13)^(V$8-$G$8)/1000</f>
        <v>0</v>
      </c>
      <c r="W33" s="510">
        <f>IF(AND(W$8&gt;=$C$5,W$8&lt;$C$6),VLOOKUP($B33,Parameters!$E$256:$G$376,3,FALSE),0)*Parameters!$G$14/8760*(1+Parameters!$G$13)^(W$8-$G$8)/1000</f>
        <v>0</v>
      </c>
      <c r="X33" s="510">
        <f>IF(AND(X$8&gt;=$C$5,X$8&lt;$C$6),VLOOKUP($B33,Parameters!$E$256:$G$376,3,FALSE),0)*Parameters!$G$14/8760*(1+Parameters!$G$13)^(X$8-$G$8)/1000</f>
        <v>0</v>
      </c>
      <c r="Y33" s="510">
        <f>IF(AND(Y$8&gt;=$C$5,Y$8&lt;$C$6),VLOOKUP($B33,Parameters!$E$256:$G$376,3,FALSE),0)*Parameters!$G$14/8760*(1+Parameters!$G$13)^(Y$8-$G$8)/1000</f>
        <v>0</v>
      </c>
      <c r="Z33" s="510">
        <f>IF(AND(Z$8&gt;=$C$5,Z$8&lt;$C$6),VLOOKUP($B33,Parameters!$E$256:$G$376,3,FALSE),0)*Parameters!$G$14/8760*(1+Parameters!$G$13)^(Z$8-$G$8)/1000</f>
        <v>0</v>
      </c>
      <c r="AA33" s="510">
        <f>IF(AND(AA$8&gt;=$C$5,AA$8&lt;$C$6),VLOOKUP($B33,Parameters!$E$256:$G$376,3,FALSE),0)*Parameters!$G$14/8760*(1+Parameters!$G$13)^(AA$8-$G$8)/1000</f>
        <v>0</v>
      </c>
      <c r="AB33" s="510">
        <f>IF(AND(AB$8&gt;=$C$5,AB$8&lt;$C$6),VLOOKUP($B33,Parameters!$E$256:$G$376,3,FALSE),0)*Parameters!$G$14/8760*(1+Parameters!$G$13)^(AB$8-$G$8)/1000</f>
        <v>0</v>
      </c>
      <c r="AC33" s="510">
        <f>IF(AND(AC$8&gt;=$C$5,AC$8&lt;$C$6),VLOOKUP($B33,Parameters!$E$256:$G$376,3,FALSE),0)*Parameters!$G$14/8760*(1+Parameters!$G$13)^(AC$8-$G$8)/1000</f>
        <v>0</v>
      </c>
      <c r="AD33" s="510">
        <f>IF(AND(AD$8&gt;=$C$5,AD$8&lt;$C$6),VLOOKUP($B33,Parameters!$E$256:$G$376,3,FALSE),0)*Parameters!$G$14/8760*(1+Parameters!$G$13)^(AD$8-$G$8)/1000</f>
        <v>0</v>
      </c>
      <c r="AE33" s="510">
        <f>IF(AND(AE$8&gt;=$C$5,AE$8&lt;$C$6),VLOOKUP($B33,Parameters!$E$256:$G$376,3,FALSE),0)*Parameters!$G$14/8760*(1+Parameters!$G$13)^(AE$8-$G$8)/1000</f>
        <v>0</v>
      </c>
      <c r="AF33" s="510">
        <f>IF(AND(AF$8&gt;=$C$5,AF$8&lt;$C$6),VLOOKUP($B33,Parameters!$E$256:$G$376,3,FALSE),0)*Parameters!$G$14/8760*(1+Parameters!$G$13)^(AF$8-$G$8)/1000</f>
        <v>0</v>
      </c>
      <c r="AG33" s="510">
        <f>IF(AND(AG$8&gt;=$C$5,AG$8&lt;$C$6),VLOOKUP($B33,Parameters!$E$256:$G$376,3,FALSE),0)*Parameters!$G$14/8760*(1+Parameters!$G$13)^(AG$8-$G$8)/1000</f>
        <v>0</v>
      </c>
      <c r="AH33" s="510">
        <f>IF(AND(AH$8&gt;=$C$5,AH$8&lt;$C$6),VLOOKUP($B33,Parameters!$E$256:$G$376,3,FALSE),0)*Parameters!$G$14/8760*(1+Parameters!$G$13)^(AH$8-$G$8)/1000</f>
        <v>0</v>
      </c>
      <c r="AI33" s="510">
        <f>IF(AND(AI$8&gt;=$C$5,AI$8&lt;$C$6),VLOOKUP($B33,Parameters!$E$256:$G$376,3,FALSE),0)*Parameters!$G$14/8760*(1+Parameters!$G$13)^(AI$8-$G$8)/1000</f>
        <v>0</v>
      </c>
      <c r="AJ33" s="510">
        <f>IF(AND(AJ$8&gt;=$C$5,AJ$8&lt;$C$6),VLOOKUP($B33,Parameters!$E$256:$G$376,3,FALSE),0)*Parameters!$G$14/8760*(1+Parameters!$G$13)^(AJ$8-$G$8)/1000</f>
        <v>0</v>
      </c>
      <c r="AK33" s="510">
        <f>IF(AND(AK$8&gt;=$C$5,AK$8&lt;$C$6),VLOOKUP($B33,Parameters!$E$256:$G$376,3,FALSE),0)*Parameters!$G$14/8760*(1+Parameters!$G$13)^(AK$8-$G$8)/1000</f>
        <v>0</v>
      </c>
      <c r="AL33" s="510">
        <f>IF(AND(AL$8&gt;=$C$5,AL$8&lt;$C$6),VLOOKUP($B33,Parameters!$E$256:$G$376,3,FALSE),0)*Parameters!$G$14/8760*(1+Parameters!$G$13)^(AL$8-$G$8)/1000</f>
        <v>0</v>
      </c>
      <c r="AM33" s="510">
        <f>IF(AND(AM$8&gt;=$C$5,AM$8&lt;$C$6),VLOOKUP($B33,Parameters!$E$256:$G$376,3,FALSE),0)*Parameters!$G$14/8760*(1+Parameters!$G$13)^(AM$8-$G$8)/1000</f>
        <v>0</v>
      </c>
      <c r="AN33" s="510">
        <f>IF(AND(AN$8&gt;=$C$5,AN$8&lt;$C$6),VLOOKUP($B33,Parameters!$E$256:$G$376,3,FALSE),0)*Parameters!$G$14/8760*(1+Parameters!$G$13)^(AN$8-$G$8)/1000</f>
        <v>0</v>
      </c>
      <c r="AO33" s="510">
        <f>IF(AND(AO$8&gt;=$C$5,AO$8&lt;$C$6),VLOOKUP($B33,Parameters!$E$256:$G$376,3,FALSE),0)*Parameters!$G$14/8760*(1+Parameters!$G$13)^(AO$8-$G$8)/1000</f>
        <v>0</v>
      </c>
      <c r="AP33" s="510">
        <f>IF(AND(AP$8&gt;=$C$5,AP$8&lt;$C$6),VLOOKUP($B33,Parameters!$E$256:$G$376,3,FALSE),0)*Parameters!$G$14/8760*(1+Parameters!$G$13)^(AP$8-$G$8)/1000</f>
        <v>0</v>
      </c>
      <c r="AQ33" s="510">
        <f>IF(AND(AQ$8&gt;=$C$5,AQ$8&lt;$C$6),VLOOKUP($B33,Parameters!$E$256:$G$376,3,FALSE),0)*Parameters!$G$14/8760*(1+Parameters!$G$13)^(AQ$8-$G$8)/1000</f>
        <v>0</v>
      </c>
      <c r="AR33" s="510">
        <f>IF(AND(AR$8&gt;=$C$5,AR$8&lt;$C$6),VLOOKUP($B33,Parameters!$E$256:$G$376,3,FALSE),0)*Parameters!$G$14/8760*(1+Parameters!$G$13)^(AR$8-$G$8)/1000</f>
        <v>0</v>
      </c>
      <c r="AS33" s="510">
        <f>IF(AND(AS$8&gt;=$C$5,AS$8&lt;$C$6),VLOOKUP($B33,Parameters!$E$256:$G$376,3,FALSE),0)*Parameters!$G$14/8760*(1+Parameters!$G$13)^(AS$8-$G$8)/1000</f>
        <v>0</v>
      </c>
      <c r="AT33" s="510">
        <f>IF(AND(AT$8&gt;=$C$5,AT$8&lt;$C$6),VLOOKUP($B33,Parameters!$E$256:$G$376,3,FALSE),0)*Parameters!$G$14/8760*(1+Parameters!$G$13)^(AT$8-$G$8)/1000</f>
        <v>0</v>
      </c>
      <c r="AU33" s="510">
        <f>IF(AND(AU$8&gt;=$C$5,AU$8&lt;$C$6),VLOOKUP($B33,Parameters!$E$256:$G$376,3,FALSE),0)*Parameters!$G$14/8760*(1+Parameters!$G$13)^(AU$8-$G$8)/1000</f>
        <v>0</v>
      </c>
      <c r="AV33" s="510">
        <f>IF(AND(AV$8&gt;=$C$5,AV$8&lt;$C$6),VLOOKUP($B33,Parameters!$E$256:$G$376,3,FALSE),0)*Parameters!$G$14/8760*(1+Parameters!$G$13)^(AV$8-$G$8)/1000</f>
        <v>0</v>
      </c>
      <c r="AW33" s="510">
        <f>IF(AND(AW$8&gt;=$C$5,AW$8&lt;$C$6),VLOOKUP($B33,Parameters!$E$256:$G$376,3,FALSE),0)*Parameters!$G$14/8760*(1+Parameters!$G$13)^(AW$8-$G$8)/1000</f>
        <v>0</v>
      </c>
      <c r="AX33" s="510">
        <f>IF(AND(AX$8&gt;=$C$5,AX$8&lt;$C$6),VLOOKUP($B33,Parameters!$E$256:$G$376,3,FALSE),0)*Parameters!$G$14/8760*(1+Parameters!$G$13)^(AX$8-$G$8)/1000</f>
        <v>0</v>
      </c>
      <c r="AY33" s="510">
        <f>IF(AND(AY$8&gt;=$C$5,AY$8&lt;$C$6),VLOOKUP($B33,Parameters!$E$256:$G$376,3,FALSE),0)*Parameters!$G$14/8760*(1+Parameters!$G$13)^(AY$8-$G$8)/1000</f>
        <v>0</v>
      </c>
      <c r="AZ33" s="510">
        <f>IF(AND(AZ$8&gt;=$C$5,AZ$8&lt;$C$6),VLOOKUP($B33,Parameters!$E$256:$G$376,3,FALSE),0)*Parameters!$G$14/8760*(1+Parameters!$G$13)^(AZ$8-$G$8)/1000</f>
        <v>0</v>
      </c>
      <c r="BA33" s="510">
        <f>IF(AND(BA$8&gt;=$C$5,BA$8&lt;$C$6),VLOOKUP($B33,Parameters!$E$256:$G$376,3,FALSE),0)*Parameters!$G$14/8760*(1+Parameters!$G$13)^(BA$8-$G$8)/1000</f>
        <v>0</v>
      </c>
      <c r="BB33" s="510">
        <f>IF(AND(BB$8&gt;=$C$5,BB$8&lt;$C$6),VLOOKUP($B33,Parameters!$E$256:$G$376,3,FALSE),0)*Parameters!$G$14/8760*(1+Parameters!$G$13)^(BB$8-$G$8)/1000</f>
        <v>0</v>
      </c>
      <c r="BL33" s="165"/>
    </row>
    <row r="34" spans="2:64" x14ac:dyDescent="0.25">
      <c r="B34" s="739"/>
      <c r="C34" s="511"/>
      <c r="D34" s="512"/>
      <c r="E34" s="512"/>
      <c r="F34" s="478"/>
      <c r="G34" s="527"/>
      <c r="H34" s="527"/>
      <c r="I34" s="527"/>
      <c r="J34" s="527"/>
      <c r="K34" s="527"/>
      <c r="L34" s="527"/>
      <c r="M34" s="527"/>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7"/>
      <c r="AK34" s="527"/>
      <c r="AL34" s="527"/>
      <c r="AM34" s="527"/>
      <c r="AN34" s="527"/>
      <c r="AO34" s="527"/>
      <c r="AP34" s="527"/>
      <c r="AQ34" s="527"/>
      <c r="AR34" s="527"/>
      <c r="AS34" s="527"/>
      <c r="AT34" s="527"/>
      <c r="AU34" s="527"/>
      <c r="AV34" s="527"/>
      <c r="AW34" s="527"/>
      <c r="AX34" s="527"/>
      <c r="AY34" s="527"/>
      <c r="AZ34" s="527"/>
      <c r="BA34" s="527"/>
      <c r="BB34" s="527"/>
      <c r="BL34" s="165"/>
    </row>
    <row r="35" spans="2:64" x14ac:dyDescent="0.25">
      <c r="B35" s="478"/>
      <c r="C35" s="511"/>
      <c r="D35" s="512"/>
      <c r="E35" s="512"/>
      <c r="F35" s="478"/>
      <c r="G35" s="513"/>
      <c r="H35" s="513"/>
      <c r="I35" s="513"/>
      <c r="J35" s="513"/>
      <c r="K35" s="513"/>
      <c r="L35" s="513"/>
      <c r="M35" s="513"/>
      <c r="N35" s="513"/>
      <c r="O35" s="513"/>
      <c r="P35" s="513"/>
      <c r="Q35" s="513"/>
      <c r="R35" s="513"/>
      <c r="S35" s="513"/>
      <c r="T35" s="513"/>
      <c r="U35" s="513"/>
      <c r="V35" s="513"/>
      <c r="W35" s="513"/>
      <c r="X35" s="513"/>
      <c r="Y35" s="513"/>
      <c r="Z35" s="513"/>
      <c r="AA35" s="513"/>
      <c r="AB35" s="513"/>
      <c r="AC35" s="513"/>
      <c r="AD35" s="513"/>
      <c r="AE35" s="513"/>
      <c r="AF35" s="513"/>
      <c r="AG35" s="513"/>
      <c r="AH35" s="513"/>
      <c r="AI35" s="513"/>
      <c r="AJ35" s="513"/>
      <c r="AK35" s="513"/>
      <c r="AL35" s="513"/>
      <c r="AM35" s="513"/>
      <c r="AN35" s="513"/>
      <c r="AO35" s="513"/>
      <c r="AP35" s="513"/>
      <c r="AQ35" s="513"/>
      <c r="AR35" s="513"/>
      <c r="AS35" s="513"/>
      <c r="AT35" s="513"/>
      <c r="AU35" s="513"/>
      <c r="AV35" s="513"/>
      <c r="AW35" s="513"/>
      <c r="AX35" s="513"/>
      <c r="AY35" s="513"/>
      <c r="AZ35" s="513"/>
      <c r="BA35" s="513"/>
      <c r="BB35" s="513"/>
      <c r="BL35" s="165"/>
    </row>
    <row r="36" spans="2:64" x14ac:dyDescent="0.25">
      <c r="D36" s="516"/>
      <c r="E36" s="516">
        <f>G36+NPV($C$43,H36:AU36)</f>
        <v>0</v>
      </c>
      <c r="G36" s="517"/>
      <c r="H36" s="517"/>
      <c r="I36" s="517"/>
      <c r="J36" s="517"/>
      <c r="K36" s="517"/>
      <c r="L36" s="517"/>
      <c r="M36" s="517"/>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7"/>
      <c r="AK36" s="517"/>
      <c r="AL36" s="517"/>
      <c r="AM36" s="517"/>
      <c r="AN36" s="517"/>
      <c r="AO36" s="517"/>
      <c r="AP36" s="517"/>
      <c r="AQ36" s="517"/>
      <c r="AR36" s="517"/>
      <c r="AS36" s="517"/>
      <c r="AT36" s="517"/>
      <c r="AU36" s="517"/>
      <c r="AV36" s="517"/>
      <c r="AW36" s="517"/>
      <c r="AX36" s="517"/>
      <c r="AY36" s="517"/>
      <c r="AZ36" s="517"/>
      <c r="BA36" s="517"/>
      <c r="BB36" s="517"/>
    </row>
    <row r="37" spans="2:64" x14ac:dyDescent="0.25">
      <c r="B37" s="518" t="s">
        <v>84</v>
      </c>
      <c r="C37" s="518" t="s">
        <v>979</v>
      </c>
      <c r="D37" s="519">
        <f>SUM(G37:BB37)</f>
        <v>-35687.323321798023</v>
      </c>
      <c r="E37" s="519">
        <f>G37+NPV($C$43,H37:BB37)</f>
        <v>-17803.412019505609</v>
      </c>
      <c r="F37" s="518"/>
      <c r="G37" s="520">
        <f t="shared" ref="G37:AU37" si="18">-G9-G20+G32</f>
        <v>0</v>
      </c>
      <c r="H37" s="520">
        <f t="shared" si="18"/>
        <v>0</v>
      </c>
      <c r="I37" s="520">
        <f t="shared" si="18"/>
        <v>0</v>
      </c>
      <c r="J37" s="520">
        <f t="shared" si="18"/>
        <v>0</v>
      </c>
      <c r="K37" s="520">
        <f t="shared" si="18"/>
        <v>0</v>
      </c>
      <c r="L37" s="520">
        <f t="shared" si="18"/>
        <v>0</v>
      </c>
      <c r="M37" s="520">
        <f t="shared" si="18"/>
        <v>0</v>
      </c>
      <c r="N37" s="520">
        <f t="shared" si="18"/>
        <v>-30942.726957348743</v>
      </c>
      <c r="O37" s="520">
        <f t="shared" si="18"/>
        <v>-1151.1398959393114</v>
      </c>
      <c r="P37" s="520">
        <f t="shared" si="18"/>
        <v>-1174.170640398811</v>
      </c>
      <c r="Q37" s="520">
        <f t="shared" si="18"/>
        <v>-1197.6621586783144</v>
      </c>
      <c r="R37" s="520">
        <f t="shared" si="18"/>
        <v>-1221.6236694328384</v>
      </c>
      <c r="S37" s="520">
        <f t="shared" si="18"/>
        <v>0</v>
      </c>
      <c r="T37" s="520">
        <f t="shared" si="18"/>
        <v>0</v>
      </c>
      <c r="U37" s="520">
        <f t="shared" si="18"/>
        <v>0</v>
      </c>
      <c r="V37" s="520">
        <f t="shared" si="18"/>
        <v>0</v>
      </c>
      <c r="W37" s="520">
        <f t="shared" si="18"/>
        <v>0</v>
      </c>
      <c r="X37" s="520">
        <f t="shared" si="18"/>
        <v>0</v>
      </c>
      <c r="Y37" s="520">
        <f t="shared" si="18"/>
        <v>0</v>
      </c>
      <c r="Z37" s="520">
        <f t="shared" si="18"/>
        <v>0</v>
      </c>
      <c r="AA37" s="520">
        <f t="shared" si="18"/>
        <v>0</v>
      </c>
      <c r="AB37" s="520">
        <f t="shared" si="18"/>
        <v>0</v>
      </c>
      <c r="AC37" s="520">
        <f t="shared" si="18"/>
        <v>0</v>
      </c>
      <c r="AD37" s="520">
        <f t="shared" si="18"/>
        <v>0</v>
      </c>
      <c r="AE37" s="520">
        <f t="shared" si="18"/>
        <v>0</v>
      </c>
      <c r="AF37" s="520">
        <f t="shared" si="18"/>
        <v>0</v>
      </c>
      <c r="AG37" s="520">
        <f t="shared" si="18"/>
        <v>0</v>
      </c>
      <c r="AH37" s="520">
        <f t="shared" si="18"/>
        <v>0</v>
      </c>
      <c r="AI37" s="520">
        <f t="shared" si="18"/>
        <v>0</v>
      </c>
      <c r="AJ37" s="520">
        <f t="shared" si="18"/>
        <v>0</v>
      </c>
      <c r="AK37" s="520">
        <f t="shared" si="18"/>
        <v>0</v>
      </c>
      <c r="AL37" s="520">
        <f t="shared" si="18"/>
        <v>0</v>
      </c>
      <c r="AM37" s="520">
        <f t="shared" si="18"/>
        <v>0</v>
      </c>
      <c r="AN37" s="520">
        <f t="shared" si="18"/>
        <v>0</v>
      </c>
      <c r="AO37" s="520">
        <f t="shared" si="18"/>
        <v>0</v>
      </c>
      <c r="AP37" s="520">
        <f t="shared" si="18"/>
        <v>0</v>
      </c>
      <c r="AQ37" s="520">
        <f t="shared" si="18"/>
        <v>0</v>
      </c>
      <c r="AR37" s="520">
        <f t="shared" si="18"/>
        <v>0</v>
      </c>
      <c r="AS37" s="520">
        <f t="shared" si="18"/>
        <v>0</v>
      </c>
      <c r="AT37" s="520">
        <f t="shared" si="18"/>
        <v>0</v>
      </c>
      <c r="AU37" s="520">
        <f t="shared" si="18"/>
        <v>0</v>
      </c>
      <c r="AV37" s="520">
        <f t="shared" ref="AV37:BB37" si="19">-AV9-AV20+AV32</f>
        <v>0</v>
      </c>
      <c r="AW37" s="520">
        <f t="shared" si="19"/>
        <v>0</v>
      </c>
      <c r="AX37" s="520">
        <f t="shared" si="19"/>
        <v>0</v>
      </c>
      <c r="AY37" s="520">
        <f t="shared" si="19"/>
        <v>0</v>
      </c>
      <c r="AZ37" s="520">
        <f t="shared" si="19"/>
        <v>0</v>
      </c>
      <c r="BA37" s="520">
        <f t="shared" si="19"/>
        <v>0</v>
      </c>
      <c r="BB37" s="520">
        <f t="shared" si="19"/>
        <v>0</v>
      </c>
    </row>
    <row r="38" spans="2:64" x14ac:dyDescent="0.25">
      <c r="B38" s="474" t="s">
        <v>985</v>
      </c>
      <c r="C38" s="521" t="s">
        <v>979</v>
      </c>
      <c r="D38" s="522">
        <f>SUM(G38:BB38)</f>
        <v>-17803.412019505606</v>
      </c>
      <c r="E38" s="522"/>
      <c r="G38" s="523">
        <f t="shared" ref="G38:AU38" si="20">G37/(1+$C$43)^(G8-$G8)</f>
        <v>0</v>
      </c>
      <c r="H38" s="523">
        <f t="shared" si="20"/>
        <v>0</v>
      </c>
      <c r="I38" s="523">
        <f t="shared" si="20"/>
        <v>0</v>
      </c>
      <c r="J38" s="523">
        <f t="shared" si="20"/>
        <v>0</v>
      </c>
      <c r="K38" s="523">
        <f t="shared" si="20"/>
        <v>0</v>
      </c>
      <c r="L38" s="523">
        <f t="shared" si="20"/>
        <v>0</v>
      </c>
      <c r="M38" s="523">
        <f t="shared" si="20"/>
        <v>0</v>
      </c>
      <c r="N38" s="523">
        <f t="shared" si="20"/>
        <v>-15878.511538359633</v>
      </c>
      <c r="O38" s="523">
        <f t="shared" si="20"/>
        <v>-537.01525710955298</v>
      </c>
      <c r="P38" s="523">
        <f t="shared" si="20"/>
        <v>-497.96297215603084</v>
      </c>
      <c r="Q38" s="523">
        <f t="shared" si="20"/>
        <v>-461.75060828211082</v>
      </c>
      <c r="R38" s="523">
        <f t="shared" si="20"/>
        <v>-428.17164359828274</v>
      </c>
      <c r="S38" s="523">
        <f t="shared" si="20"/>
        <v>0</v>
      </c>
      <c r="T38" s="523">
        <f t="shared" si="20"/>
        <v>0</v>
      </c>
      <c r="U38" s="523">
        <f t="shared" si="20"/>
        <v>0</v>
      </c>
      <c r="V38" s="523">
        <f t="shared" si="20"/>
        <v>0</v>
      </c>
      <c r="W38" s="523">
        <f t="shared" si="20"/>
        <v>0</v>
      </c>
      <c r="X38" s="523">
        <f t="shared" si="20"/>
        <v>0</v>
      </c>
      <c r="Y38" s="523">
        <f t="shared" si="20"/>
        <v>0</v>
      </c>
      <c r="Z38" s="523">
        <f t="shared" si="20"/>
        <v>0</v>
      </c>
      <c r="AA38" s="523">
        <f t="shared" si="20"/>
        <v>0</v>
      </c>
      <c r="AB38" s="523">
        <f t="shared" si="20"/>
        <v>0</v>
      </c>
      <c r="AC38" s="523">
        <f t="shared" si="20"/>
        <v>0</v>
      </c>
      <c r="AD38" s="523">
        <f t="shared" si="20"/>
        <v>0</v>
      </c>
      <c r="AE38" s="523">
        <f t="shared" si="20"/>
        <v>0</v>
      </c>
      <c r="AF38" s="523">
        <f t="shared" si="20"/>
        <v>0</v>
      </c>
      <c r="AG38" s="523">
        <f t="shared" si="20"/>
        <v>0</v>
      </c>
      <c r="AH38" s="523">
        <f t="shared" si="20"/>
        <v>0</v>
      </c>
      <c r="AI38" s="523">
        <f t="shared" si="20"/>
        <v>0</v>
      </c>
      <c r="AJ38" s="523">
        <f t="shared" si="20"/>
        <v>0</v>
      </c>
      <c r="AK38" s="523">
        <f t="shared" si="20"/>
        <v>0</v>
      </c>
      <c r="AL38" s="523">
        <f t="shared" si="20"/>
        <v>0</v>
      </c>
      <c r="AM38" s="523">
        <f t="shared" si="20"/>
        <v>0</v>
      </c>
      <c r="AN38" s="523">
        <f t="shared" si="20"/>
        <v>0</v>
      </c>
      <c r="AO38" s="523">
        <f t="shared" si="20"/>
        <v>0</v>
      </c>
      <c r="AP38" s="523">
        <f t="shared" si="20"/>
        <v>0</v>
      </c>
      <c r="AQ38" s="523">
        <f t="shared" si="20"/>
        <v>0</v>
      </c>
      <c r="AR38" s="523">
        <f t="shared" si="20"/>
        <v>0</v>
      </c>
      <c r="AS38" s="523">
        <f t="shared" si="20"/>
        <v>0</v>
      </c>
      <c r="AT38" s="523">
        <f t="shared" si="20"/>
        <v>0</v>
      </c>
      <c r="AU38" s="523">
        <f t="shared" si="20"/>
        <v>0</v>
      </c>
      <c r="AV38" s="523">
        <f t="shared" ref="AV38:BB38" si="21">AV37/(1+$C$43)^(AV8-$G8)</f>
        <v>0</v>
      </c>
      <c r="AW38" s="523">
        <f t="shared" si="21"/>
        <v>0</v>
      </c>
      <c r="AX38" s="523">
        <f t="shared" si="21"/>
        <v>0</v>
      </c>
      <c r="AY38" s="523">
        <f t="shared" si="21"/>
        <v>0</v>
      </c>
      <c r="AZ38" s="523">
        <f t="shared" si="21"/>
        <v>0</v>
      </c>
      <c r="BA38" s="523">
        <f t="shared" si="21"/>
        <v>0</v>
      </c>
      <c r="BB38" s="523">
        <f t="shared" si="21"/>
        <v>0</v>
      </c>
    </row>
    <row r="39" spans="2:64" x14ac:dyDescent="0.25">
      <c r="C39" s="524"/>
      <c r="D39" s="525"/>
      <c r="E39" s="525"/>
      <c r="G39" s="523"/>
      <c r="H39" s="523"/>
      <c r="I39" s="523"/>
      <c r="J39" s="523"/>
      <c r="K39" s="523"/>
      <c r="L39" s="523"/>
      <c r="M39" s="523"/>
      <c r="N39" s="523"/>
      <c r="O39" s="523"/>
      <c r="P39" s="523"/>
      <c r="Q39" s="523"/>
      <c r="R39" s="523"/>
      <c r="S39" s="523"/>
      <c r="T39" s="523"/>
      <c r="U39" s="523"/>
      <c r="V39" s="523"/>
      <c r="W39" s="523"/>
      <c r="X39" s="523"/>
      <c r="Y39" s="523"/>
      <c r="Z39" s="523"/>
      <c r="AA39" s="523"/>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row>
    <row r="40" spans="2:64" x14ac:dyDescent="0.25">
      <c r="B40" s="437" t="s">
        <v>986</v>
      </c>
      <c r="C40" s="511" t="s">
        <v>979</v>
      </c>
      <c r="D40" s="526"/>
      <c r="E40" s="526"/>
      <c r="F40" s="527"/>
      <c r="G40" s="527">
        <f>SUM($G37:G37)</f>
        <v>0</v>
      </c>
      <c r="H40" s="527">
        <f>SUM($G37:H37)</f>
        <v>0</v>
      </c>
      <c r="I40" s="527">
        <f>SUM($G37:I37)</f>
        <v>0</v>
      </c>
      <c r="J40" s="527">
        <f>SUM($G37:J37)</f>
        <v>0</v>
      </c>
      <c r="K40" s="527">
        <f>SUM($G37:K37)</f>
        <v>0</v>
      </c>
      <c r="L40" s="527">
        <f>SUM($G37:L37)</f>
        <v>0</v>
      </c>
      <c r="M40" s="527">
        <f>SUM($G37:M37)</f>
        <v>0</v>
      </c>
      <c r="N40" s="527">
        <f>SUM($G37:N37)</f>
        <v>-30942.726957348743</v>
      </c>
      <c r="O40" s="527">
        <f>SUM($G37:O37)</f>
        <v>-32093.866853288055</v>
      </c>
      <c r="P40" s="527">
        <f>SUM($G37:P37)</f>
        <v>-33268.037493686868</v>
      </c>
      <c r="Q40" s="527">
        <f>SUM($G37:Q37)</f>
        <v>-34465.699652365183</v>
      </c>
      <c r="R40" s="527">
        <f>SUM($G37:R37)</f>
        <v>-35687.323321798023</v>
      </c>
      <c r="S40" s="527">
        <f>SUM($G37:S37)</f>
        <v>-35687.323321798023</v>
      </c>
      <c r="T40" s="527">
        <f>SUM($G37:T37)</f>
        <v>-35687.323321798023</v>
      </c>
      <c r="U40" s="527">
        <f>SUM($G37:U37)</f>
        <v>-35687.323321798023</v>
      </c>
      <c r="V40" s="527">
        <f>SUM($G37:V37)</f>
        <v>-35687.323321798023</v>
      </c>
      <c r="W40" s="527">
        <f>SUM($G37:W37)</f>
        <v>-35687.323321798023</v>
      </c>
      <c r="X40" s="527">
        <f>SUM($G37:X37)</f>
        <v>-35687.323321798023</v>
      </c>
      <c r="Y40" s="527">
        <f>SUM($G37:Y37)</f>
        <v>-35687.323321798023</v>
      </c>
      <c r="Z40" s="527">
        <f>SUM($G37:Z37)</f>
        <v>-35687.323321798023</v>
      </c>
      <c r="AA40" s="527">
        <f>SUM($G37:AA37)</f>
        <v>-35687.323321798023</v>
      </c>
      <c r="AB40" s="527">
        <f>SUM($G37:AB37)</f>
        <v>-35687.323321798023</v>
      </c>
      <c r="AC40" s="527">
        <f>SUM($G37:AC37)</f>
        <v>-35687.323321798023</v>
      </c>
      <c r="AD40" s="527">
        <f>SUM($G37:AD37)</f>
        <v>-35687.323321798023</v>
      </c>
      <c r="AE40" s="527">
        <f>SUM($G37:AE37)</f>
        <v>-35687.323321798023</v>
      </c>
      <c r="AF40" s="527">
        <f>SUM($G37:AF37)</f>
        <v>-35687.323321798023</v>
      </c>
      <c r="AG40" s="527">
        <f>SUM($G37:AG37)</f>
        <v>-35687.323321798023</v>
      </c>
      <c r="AH40" s="527">
        <f>SUM($G37:AH37)</f>
        <v>-35687.323321798023</v>
      </c>
      <c r="AI40" s="527">
        <f>SUM($G37:AI37)</f>
        <v>-35687.323321798023</v>
      </c>
      <c r="AJ40" s="527">
        <f>SUM($G37:AJ37)</f>
        <v>-35687.323321798023</v>
      </c>
      <c r="AK40" s="527">
        <f>SUM($G37:AK37)</f>
        <v>-35687.323321798023</v>
      </c>
      <c r="AL40" s="527">
        <f>SUM($G37:AL37)</f>
        <v>-35687.323321798023</v>
      </c>
      <c r="AM40" s="527">
        <f>SUM($G37:AM37)</f>
        <v>-35687.323321798023</v>
      </c>
      <c r="AN40" s="527">
        <f>SUM($G37:AN37)</f>
        <v>-35687.323321798023</v>
      </c>
      <c r="AO40" s="527">
        <f>SUM($G37:AO37)</f>
        <v>-35687.323321798023</v>
      </c>
      <c r="AP40" s="527">
        <f>SUM($G37:AP37)</f>
        <v>-35687.323321798023</v>
      </c>
      <c r="AQ40" s="527">
        <f>SUM($G37:AQ37)</f>
        <v>-35687.323321798023</v>
      </c>
      <c r="AR40" s="527">
        <f>SUM($G37:AR37)</f>
        <v>-35687.323321798023</v>
      </c>
      <c r="AS40" s="527">
        <f>SUM($G37:AS37)</f>
        <v>-35687.323321798023</v>
      </c>
      <c r="AT40" s="527">
        <f>SUM($G37:AT37)</f>
        <v>-35687.323321798023</v>
      </c>
      <c r="AU40" s="527">
        <f>SUM($G37:AU37)</f>
        <v>-35687.323321798023</v>
      </c>
      <c r="AV40" s="527">
        <f>SUM($G37:AV37)</f>
        <v>-35687.323321798023</v>
      </c>
      <c r="AW40" s="527">
        <f>SUM($G37:AW37)</f>
        <v>-35687.323321798023</v>
      </c>
      <c r="AX40" s="527">
        <f>SUM($G37:AX37)</f>
        <v>-35687.323321798023</v>
      </c>
      <c r="AY40" s="527">
        <f>SUM($G37:AY37)</f>
        <v>-35687.323321798023</v>
      </c>
      <c r="AZ40" s="527">
        <f>SUM($G37:AZ37)</f>
        <v>-35687.323321798023</v>
      </c>
      <c r="BA40" s="527">
        <f>SUM($G37:BA37)</f>
        <v>-35687.323321798023</v>
      </c>
      <c r="BB40" s="527">
        <f>SUM($G37:BB37)</f>
        <v>-35687.323321798023</v>
      </c>
    </row>
    <row r="41" spans="2:64" x14ac:dyDescent="0.25">
      <c r="B41" s="437" t="s">
        <v>987</v>
      </c>
      <c r="C41" s="986" t="s">
        <v>1653</v>
      </c>
      <c r="D41" s="526"/>
      <c r="E41" s="526"/>
      <c r="F41" s="527"/>
      <c r="G41" s="528">
        <f>SUM($G38:G38)/1000</f>
        <v>0</v>
      </c>
      <c r="H41" s="528">
        <f>SUM($G38:H38)/1000</f>
        <v>0</v>
      </c>
      <c r="I41" s="528">
        <f>SUM($G38:I38)/1000</f>
        <v>0</v>
      </c>
      <c r="J41" s="528">
        <f>SUM($G38:J38)/1000</f>
        <v>0</v>
      </c>
      <c r="K41" s="528">
        <f>SUM($G38:K38)/1000</f>
        <v>0</v>
      </c>
      <c r="L41" s="528">
        <f>SUM($G38:L38)/1000</f>
        <v>0</v>
      </c>
      <c r="M41" s="528">
        <f>SUM($G38:M38)/1000</f>
        <v>0</v>
      </c>
      <c r="N41" s="528">
        <f>SUM($G38:N38)/1000</f>
        <v>-15.878511538359634</v>
      </c>
      <c r="O41" s="528">
        <f>SUM($G38:O38)/1000</f>
        <v>-16.415526795469184</v>
      </c>
      <c r="P41" s="528">
        <f>SUM($G38:P38)/1000</f>
        <v>-16.913489767625215</v>
      </c>
      <c r="Q41" s="528">
        <f>SUM($G38:Q38)/1000</f>
        <v>-17.375240375907325</v>
      </c>
      <c r="R41" s="528">
        <f>SUM($G38:R38)/1000</f>
        <v>-17.803412019505604</v>
      </c>
      <c r="S41" s="528">
        <f>SUM($G38:S38)/1000</f>
        <v>-17.803412019505604</v>
      </c>
      <c r="T41" s="528">
        <f>SUM($G38:T38)/1000</f>
        <v>-17.803412019505604</v>
      </c>
      <c r="U41" s="528">
        <f>SUM($G38:U38)/1000</f>
        <v>-17.803412019505604</v>
      </c>
      <c r="V41" s="528">
        <f>SUM($G38:V38)/1000</f>
        <v>-17.803412019505604</v>
      </c>
      <c r="W41" s="528">
        <f>SUM($G38:W38)/1000</f>
        <v>-17.803412019505604</v>
      </c>
      <c r="X41" s="528">
        <f>SUM($G38:X38)/1000</f>
        <v>-17.803412019505604</v>
      </c>
      <c r="Y41" s="528">
        <f>SUM($G38:Y38)/1000</f>
        <v>-17.803412019505604</v>
      </c>
      <c r="Z41" s="528">
        <f>SUM($G38:Z38)/1000</f>
        <v>-17.803412019505604</v>
      </c>
      <c r="AA41" s="528">
        <f>SUM($G38:AA38)/1000</f>
        <v>-17.803412019505604</v>
      </c>
      <c r="AB41" s="528">
        <f>SUM($G38:AB38)/1000</f>
        <v>-17.803412019505604</v>
      </c>
      <c r="AC41" s="528">
        <f>SUM($G38:AC38)/1000</f>
        <v>-17.803412019505604</v>
      </c>
      <c r="AD41" s="528">
        <f>SUM($G38:AD38)/1000</f>
        <v>-17.803412019505604</v>
      </c>
      <c r="AE41" s="528">
        <f>SUM($G38:AE38)/1000</f>
        <v>-17.803412019505604</v>
      </c>
      <c r="AF41" s="528">
        <f>SUM($G38:AF38)/1000</f>
        <v>-17.803412019505604</v>
      </c>
      <c r="AG41" s="528">
        <f>SUM($G38:AG38)/1000</f>
        <v>-17.803412019505604</v>
      </c>
      <c r="AH41" s="528">
        <f>SUM($G38:AH38)/1000</f>
        <v>-17.803412019505604</v>
      </c>
      <c r="AI41" s="528">
        <f>SUM($G38:AI38)/1000</f>
        <v>-17.803412019505604</v>
      </c>
      <c r="AJ41" s="528">
        <f>SUM($G38:AJ38)/1000</f>
        <v>-17.803412019505604</v>
      </c>
      <c r="AK41" s="528">
        <f>SUM($G38:AK38)/1000</f>
        <v>-17.803412019505604</v>
      </c>
      <c r="AL41" s="528">
        <f>SUM($G38:AL38)/1000</f>
        <v>-17.803412019505604</v>
      </c>
      <c r="AM41" s="528">
        <f>SUM($G38:AM38)/1000</f>
        <v>-17.803412019505604</v>
      </c>
      <c r="AN41" s="528">
        <f>SUM($G38:AN38)/1000</f>
        <v>-17.803412019505604</v>
      </c>
      <c r="AO41" s="528">
        <f>SUM($G38:AO38)/1000</f>
        <v>-17.803412019505604</v>
      </c>
      <c r="AP41" s="528">
        <f>SUM($G38:AP38)/1000</f>
        <v>-17.803412019505604</v>
      </c>
      <c r="AQ41" s="528">
        <f>SUM($G38:AQ38)/1000</f>
        <v>-17.803412019505604</v>
      </c>
      <c r="AR41" s="528">
        <f>SUM($G38:AR38)/1000</f>
        <v>-17.803412019505604</v>
      </c>
      <c r="AS41" s="528">
        <f>SUM($G38:AS38)/1000</f>
        <v>-17.803412019505604</v>
      </c>
      <c r="AT41" s="528">
        <f>SUM($G38:AT38)/1000</f>
        <v>-17.803412019505604</v>
      </c>
      <c r="AU41" s="528">
        <f>SUM($G38:AU38)/1000</f>
        <v>-17.803412019505604</v>
      </c>
      <c r="AV41" s="528">
        <f>SUM($G38:AV38)/1000</f>
        <v>-17.803412019505604</v>
      </c>
      <c r="AW41" s="528">
        <f>SUM($G38:AW38)/1000</f>
        <v>-17.803412019505604</v>
      </c>
      <c r="AX41" s="528">
        <f>SUM($G38:AX38)/1000</f>
        <v>-17.803412019505604</v>
      </c>
      <c r="AY41" s="528">
        <f>SUM($G38:AY38)/1000</f>
        <v>-17.803412019505604</v>
      </c>
      <c r="AZ41" s="528">
        <f>SUM($G38:AZ38)/1000</f>
        <v>-17.803412019505604</v>
      </c>
      <c r="BA41" s="528">
        <f>SUM($G38:BA38)/1000</f>
        <v>-17.803412019505604</v>
      </c>
      <c r="BB41" s="528">
        <f>SUM($G38:BB38)/1000</f>
        <v>-17.803412019505604</v>
      </c>
    </row>
    <row r="42" spans="2:64" x14ac:dyDescent="0.25">
      <c r="C42" s="524"/>
      <c r="D42" s="525"/>
      <c r="E42" s="525"/>
      <c r="G42" s="523"/>
      <c r="H42" s="523"/>
      <c r="I42" s="523"/>
      <c r="J42" s="523"/>
      <c r="K42" s="523"/>
      <c r="L42" s="523"/>
      <c r="M42" s="523"/>
      <c r="N42" s="523"/>
      <c r="O42" s="523"/>
      <c r="P42" s="523"/>
      <c r="Q42" s="523"/>
      <c r="R42" s="523"/>
      <c r="S42" s="523"/>
      <c r="T42" s="523"/>
      <c r="U42" s="523"/>
      <c r="V42" s="523"/>
      <c r="W42" s="523"/>
      <c r="X42" s="523"/>
      <c r="Y42" s="523"/>
      <c r="Z42" s="523"/>
      <c r="AA42" s="523"/>
      <c r="AB42" s="523"/>
      <c r="AC42" s="523"/>
      <c r="AD42" s="523"/>
      <c r="AE42" s="523"/>
      <c r="AF42" s="523"/>
      <c r="AG42" s="523"/>
      <c r="AH42" s="523"/>
      <c r="AI42" s="523"/>
      <c r="AJ42" s="523"/>
      <c r="AK42" s="523"/>
      <c r="AL42" s="523"/>
      <c r="AM42" s="523"/>
      <c r="AN42" s="523"/>
      <c r="AO42" s="523"/>
      <c r="AP42" s="523"/>
      <c r="AQ42" s="523"/>
      <c r="AR42" s="523"/>
      <c r="AS42" s="523"/>
      <c r="AT42" s="523"/>
      <c r="AU42" s="523"/>
      <c r="AV42" s="523"/>
      <c r="AW42" s="523"/>
      <c r="AX42" s="523"/>
      <c r="AY42" s="523"/>
      <c r="AZ42" s="523"/>
      <c r="BA42" s="523"/>
      <c r="BB42" s="523"/>
    </row>
    <row r="43" spans="2:64" x14ac:dyDescent="0.25">
      <c r="B43" s="165" t="s">
        <v>713</v>
      </c>
      <c r="C43" s="529">
        <f>Parameters!G12</f>
        <v>0.1</v>
      </c>
      <c r="D43" s="527" t="s">
        <v>988</v>
      </c>
      <c r="E43" s="527">
        <f>SUMPRODUCT((G41:AU41&gt;G$40:AU$40)*1)+1</f>
        <v>35</v>
      </c>
      <c r="F43" s="527" t="s">
        <v>111</v>
      </c>
      <c r="H43" s="517"/>
      <c r="I43" s="517"/>
      <c r="J43" s="517"/>
      <c r="K43" s="517"/>
      <c r="L43" s="517"/>
      <c r="M43" s="517"/>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7"/>
      <c r="AK43" s="517"/>
      <c r="AL43" s="517"/>
      <c r="AM43" s="517"/>
      <c r="AN43" s="517"/>
      <c r="AO43" s="517"/>
      <c r="AP43" s="517"/>
    </row>
    <row r="45" spans="2:64" x14ac:dyDescent="0.25">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row>
    <row r="46" spans="2:64" ht="31.5" x14ac:dyDescent="0.5">
      <c r="B46" s="499" t="s">
        <v>1446</v>
      </c>
      <c r="E46" s="500"/>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row>
    <row r="49" spans="2:54" x14ac:dyDescent="0.25">
      <c r="B49" s="440"/>
      <c r="C49" s="440"/>
      <c r="D49" s="440"/>
      <c r="E49" s="440"/>
      <c r="F49" s="440"/>
    </row>
    <row r="50" spans="2:54" ht="15.75" x14ac:dyDescent="0.25">
      <c r="B50" s="501" t="s">
        <v>720</v>
      </c>
      <c r="C50" s="501"/>
      <c r="D50" s="502"/>
      <c r="E50" s="503"/>
      <c r="F50" s="502"/>
      <c r="G50" s="504">
        <f>G8</f>
        <v>2018</v>
      </c>
      <c r="H50" s="504">
        <f t="shared" ref="H50:AU50" si="22">H8</f>
        <v>2019</v>
      </c>
      <c r="I50" s="504">
        <f t="shared" si="22"/>
        <v>2020</v>
      </c>
      <c r="J50" s="504">
        <f t="shared" si="22"/>
        <v>2021</v>
      </c>
      <c r="K50" s="504">
        <f t="shared" si="22"/>
        <v>2022</v>
      </c>
      <c r="L50" s="504">
        <f t="shared" si="22"/>
        <v>2023</v>
      </c>
      <c r="M50" s="504">
        <f t="shared" si="22"/>
        <v>2024</v>
      </c>
      <c r="N50" s="504">
        <f t="shared" si="22"/>
        <v>2025</v>
      </c>
      <c r="O50" s="504">
        <f t="shared" si="22"/>
        <v>2026</v>
      </c>
      <c r="P50" s="504">
        <f t="shared" si="22"/>
        <v>2027</v>
      </c>
      <c r="Q50" s="504">
        <f t="shared" si="22"/>
        <v>2028</v>
      </c>
      <c r="R50" s="504">
        <f t="shared" si="22"/>
        <v>2029</v>
      </c>
      <c r="S50" s="504">
        <f t="shared" si="22"/>
        <v>2030</v>
      </c>
      <c r="T50" s="504">
        <f t="shared" si="22"/>
        <v>2031</v>
      </c>
      <c r="U50" s="504">
        <f t="shared" si="22"/>
        <v>2032</v>
      </c>
      <c r="V50" s="504">
        <f t="shared" si="22"/>
        <v>2033</v>
      </c>
      <c r="W50" s="504">
        <f t="shared" si="22"/>
        <v>2034</v>
      </c>
      <c r="X50" s="504">
        <f t="shared" si="22"/>
        <v>2035</v>
      </c>
      <c r="Y50" s="504">
        <f t="shared" si="22"/>
        <v>2036</v>
      </c>
      <c r="Z50" s="504">
        <f t="shared" si="22"/>
        <v>2037</v>
      </c>
      <c r="AA50" s="504">
        <f t="shared" si="22"/>
        <v>2038</v>
      </c>
      <c r="AB50" s="504">
        <f t="shared" si="22"/>
        <v>2039</v>
      </c>
      <c r="AC50" s="504">
        <f t="shared" si="22"/>
        <v>2040</v>
      </c>
      <c r="AD50" s="504">
        <f t="shared" si="22"/>
        <v>2041</v>
      </c>
      <c r="AE50" s="504">
        <f t="shared" si="22"/>
        <v>2042</v>
      </c>
      <c r="AF50" s="504">
        <f t="shared" si="22"/>
        <v>2043</v>
      </c>
      <c r="AG50" s="504">
        <f t="shared" si="22"/>
        <v>2044</v>
      </c>
      <c r="AH50" s="504">
        <f t="shared" si="22"/>
        <v>2045</v>
      </c>
      <c r="AI50" s="504">
        <f t="shared" si="22"/>
        <v>2046</v>
      </c>
      <c r="AJ50" s="504">
        <f t="shared" si="22"/>
        <v>2047</v>
      </c>
      <c r="AK50" s="504">
        <f t="shared" si="22"/>
        <v>2048</v>
      </c>
      <c r="AL50" s="504">
        <f t="shared" si="22"/>
        <v>2049</v>
      </c>
      <c r="AM50" s="504">
        <f t="shared" si="22"/>
        <v>2050</v>
      </c>
      <c r="AN50" s="504">
        <f t="shared" si="22"/>
        <v>2051</v>
      </c>
      <c r="AO50" s="504">
        <f t="shared" si="22"/>
        <v>2052</v>
      </c>
      <c r="AP50" s="504">
        <f t="shared" si="22"/>
        <v>2053</v>
      </c>
      <c r="AQ50" s="504">
        <f t="shared" si="22"/>
        <v>2054</v>
      </c>
      <c r="AR50" s="504">
        <f t="shared" si="22"/>
        <v>2055</v>
      </c>
      <c r="AS50" s="504">
        <f t="shared" si="22"/>
        <v>2056</v>
      </c>
      <c r="AT50" s="504">
        <f t="shared" si="22"/>
        <v>2057</v>
      </c>
      <c r="AU50" s="504">
        <f t="shared" si="22"/>
        <v>2058</v>
      </c>
      <c r="AV50" s="504">
        <f t="shared" ref="AV50:BB50" si="23">AV8</f>
        <v>2059</v>
      </c>
      <c r="AW50" s="504">
        <f t="shared" si="23"/>
        <v>2060</v>
      </c>
      <c r="AX50" s="504">
        <f t="shared" si="23"/>
        <v>2061</v>
      </c>
      <c r="AY50" s="504">
        <f t="shared" si="23"/>
        <v>2062</v>
      </c>
      <c r="AZ50" s="504">
        <f t="shared" si="23"/>
        <v>2063</v>
      </c>
      <c r="BA50" s="504">
        <f t="shared" si="23"/>
        <v>2064</v>
      </c>
      <c r="BB50" s="504">
        <f t="shared" si="23"/>
        <v>2065</v>
      </c>
    </row>
    <row r="51" spans="2:54" x14ac:dyDescent="0.25">
      <c r="B51" s="165" t="s">
        <v>1460</v>
      </c>
      <c r="C51" s="165" t="s">
        <v>1447</v>
      </c>
      <c r="G51" s="990">
        <f>IF(AND($C$5&lt;=G$50,$C$6&gt;=G$50),Parameters!$G$270,0)</f>
        <v>0</v>
      </c>
      <c r="H51" s="990">
        <f>IF(AND($C$5&lt;=H$50,$C$6&gt;=H$50),Parameters!$G$270,0)</f>
        <v>0</v>
      </c>
      <c r="I51" s="990">
        <f>IF(AND($C$5&lt;=I$50,$C$6&gt;=I$50),Parameters!$G$270,0)</f>
        <v>0</v>
      </c>
      <c r="J51" s="990">
        <f>IF(AND($C$5&lt;=J$50,$C$6&gt;=J$50),Parameters!$G$270,0)</f>
        <v>0</v>
      </c>
      <c r="K51" s="990">
        <f>IF(AND($C$5&lt;=K$50,$C$6&gt;=K$50),Parameters!$G$270,0)</f>
        <v>0</v>
      </c>
      <c r="L51" s="990">
        <f>IF(AND($C$5&lt;=L$50,$C$6&gt;=L$50),Parameters!$G$270,0)</f>
        <v>0</v>
      </c>
      <c r="M51" s="990">
        <f>IF(AND($C$5&lt;=M$50,$C$6&gt;=M$50),Parameters!$G$270,0)</f>
        <v>0</v>
      </c>
      <c r="N51" s="990">
        <f>IF(AND($C$5&lt;=N$50,$C$6&gt;=N$50),Parameters!$G$270,0)</f>
        <v>0</v>
      </c>
      <c r="O51" s="990">
        <f>IF(AND($C$5&lt;=O$50,$C$6&gt;=O$50),Parameters!$G$270,0)</f>
        <v>10</v>
      </c>
      <c r="P51" s="990">
        <f>IF(AND($C$5&lt;=P$50,$C$6&gt;=P$50),Parameters!$G$270,0)</f>
        <v>10</v>
      </c>
      <c r="Q51" s="990">
        <f>IF(AND($C$5&lt;=Q$50,$C$6&gt;=Q$50),Parameters!$G$270,0)</f>
        <v>10</v>
      </c>
      <c r="R51" s="990">
        <f>IF(AND($C$5&lt;=R$50,$C$6&gt;=R$50),Parameters!$G$270,0)</f>
        <v>10</v>
      </c>
      <c r="S51" s="990">
        <f>IF(AND($C$5&lt;=S$50,$C$6&gt;=S$50),Parameters!$G$270,0)</f>
        <v>10</v>
      </c>
      <c r="T51" s="990">
        <f>IF(AND($C$5&lt;=T$50,$C$6&gt;=T$50),Parameters!$G$270,0)</f>
        <v>0</v>
      </c>
      <c r="U51" s="990">
        <f>IF(AND($C$5&lt;=U$50,$C$6&gt;=U$50),Parameters!$G$270,0)</f>
        <v>0</v>
      </c>
      <c r="V51" s="990">
        <f>IF(AND($C$5&lt;=V$50,$C$6&gt;=V$50),Parameters!$G$270,0)</f>
        <v>0</v>
      </c>
      <c r="W51" s="990">
        <f>IF(AND($C$5&lt;=W$50,$C$6&gt;=W$50),Parameters!$G$270,0)</f>
        <v>0</v>
      </c>
      <c r="X51" s="990">
        <f>IF(AND($C$5&lt;=X$50,$C$6&gt;=X$50),Parameters!$G$270,0)</f>
        <v>0</v>
      </c>
      <c r="Y51" s="990">
        <f>IF(AND($C$5&lt;=Y$50,$C$6&gt;=Y$50),Parameters!$G$270,0)</f>
        <v>0</v>
      </c>
      <c r="Z51" s="990">
        <f>IF(AND($C$5&lt;=Z$50,$C$6&gt;=Z$50),Parameters!$G$270,0)</f>
        <v>0</v>
      </c>
      <c r="AA51" s="990">
        <f>IF(AND($C$5&lt;=AA$50,$C$6&gt;=AA$50),Parameters!$G$270,0)</f>
        <v>0</v>
      </c>
      <c r="AB51" s="990">
        <f>IF(AND($C$5&lt;=AB$50,$C$6&gt;=AB$50),Parameters!$G$270,0)</f>
        <v>0</v>
      </c>
      <c r="AC51" s="990">
        <f>IF(AND($C$5&lt;=AC$50,$C$6&gt;=AC$50),Parameters!$G$270,0)</f>
        <v>0</v>
      </c>
      <c r="AD51" s="990">
        <f>IF(AND($C$5&lt;=AD$50,$C$6&gt;=AD$50),Parameters!$G$270,0)</f>
        <v>0</v>
      </c>
      <c r="AE51" s="990">
        <f>IF(AND($C$5&lt;=AE$50,$C$6&gt;=AE$50),Parameters!$G$270,0)</f>
        <v>0</v>
      </c>
      <c r="AF51" s="990">
        <f>IF(AND($C$5&lt;=AF$50,$C$6&gt;=AF$50),Parameters!$G$270,0)</f>
        <v>0</v>
      </c>
      <c r="AG51" s="990">
        <f>IF(AND($C$5&lt;=AG$50,$C$6&gt;=AG$50),Parameters!$G$270,0)</f>
        <v>0</v>
      </c>
      <c r="AH51" s="990">
        <f>IF(AND($C$5&lt;=AH$50,$C$6&gt;=AH$50),Parameters!$G$270,0)</f>
        <v>0</v>
      </c>
      <c r="AI51" s="990">
        <f>IF(AND($C$5&lt;=AI$50,$C$6&gt;=AI$50),Parameters!$G$270,0)</f>
        <v>0</v>
      </c>
      <c r="AJ51" s="990">
        <f>IF(AND($C$5&lt;=AJ$50,$C$6&gt;=AJ$50),Parameters!$G$270,0)</f>
        <v>0</v>
      </c>
      <c r="AK51" s="990">
        <f>IF(AND($C$5&lt;=AK$50,$C$6&gt;=AK$50),Parameters!$G$270,0)</f>
        <v>0</v>
      </c>
      <c r="AL51" s="990">
        <f>IF(AND($C$5&lt;=AL$50,$C$6&gt;=AL$50),Parameters!$G$270,0)</f>
        <v>0</v>
      </c>
      <c r="AM51" s="990">
        <f>IF(AND($C$5&lt;=AM$50,$C$6&gt;=AM$50),Parameters!$G$270,0)</f>
        <v>0</v>
      </c>
      <c r="AN51" s="990">
        <f>IF(AND($C$5&lt;=AN$50,$C$6&gt;=AN$50),Parameters!$G$270,0)</f>
        <v>0</v>
      </c>
      <c r="AO51" s="990">
        <f>IF(AND($C$5&lt;=AO$50,$C$6&gt;=AO$50),Parameters!$G$270,0)</f>
        <v>0</v>
      </c>
      <c r="AP51" s="990">
        <f>IF(AND($C$5&lt;=AP$50,$C$6&gt;=AP$50),Parameters!$G$270,0)</f>
        <v>0</v>
      </c>
      <c r="AQ51" s="990">
        <f>IF(AND($C$5&lt;=AQ$50,$C$6&gt;=AQ$50),Parameters!$G$270,0)</f>
        <v>0</v>
      </c>
      <c r="AR51" s="990">
        <f>IF(AND($C$5&lt;=AR$50,$C$6&gt;=AR$50),Parameters!$G$270,0)</f>
        <v>0</v>
      </c>
      <c r="AS51" s="990">
        <f>IF(AND($C$5&lt;=AS$50,$C$6&gt;=AS$50),Parameters!$G$270,0)</f>
        <v>0</v>
      </c>
      <c r="AT51" s="990">
        <f>IF(AND($C$5&lt;=AT$50,$C$6&gt;=AT$50),Parameters!$G$270,0)</f>
        <v>0</v>
      </c>
      <c r="AU51" s="990">
        <f>IF(AND($C$5&lt;=AU$50,$C$6&gt;=AU$50),Parameters!$G$270,0)</f>
        <v>0</v>
      </c>
      <c r="AV51" s="990">
        <f>IF(AND($C$5&lt;=AV$50,$C$6&gt;=AV$50),Parameters!$G$270,0)</f>
        <v>0</v>
      </c>
      <c r="AW51" s="990">
        <f>IF(AND($C$5&lt;=AW$50,$C$6&gt;=AW$50),Parameters!$G$270,0)</f>
        <v>0</v>
      </c>
      <c r="AX51" s="990">
        <f>IF(AND($C$5&lt;=AX$50,$C$6&gt;=AX$50),Parameters!$G$270,0)</f>
        <v>0</v>
      </c>
      <c r="AY51" s="990">
        <f>IF(AND($C$5&lt;=AY$50,$C$6&gt;=AY$50),Parameters!$G$270,0)</f>
        <v>0</v>
      </c>
      <c r="AZ51" s="990">
        <f>IF(AND($C$5&lt;=AZ$50,$C$6&gt;=AZ$50),Parameters!$G$270,0)</f>
        <v>0</v>
      </c>
      <c r="BA51" s="990">
        <f>IF(AND($C$5&lt;=BA$50,$C$6&gt;=BA$50),Parameters!$G$270,0)</f>
        <v>0</v>
      </c>
      <c r="BB51" s="990">
        <f>IF(AND($C$5&lt;=BB$50,$C$6&gt;=BB$50),Parameters!$G$270,0)</f>
        <v>0</v>
      </c>
    </row>
    <row r="52" spans="2:54" x14ac:dyDescent="0.25">
      <c r="B52" s="165" t="s">
        <v>1461</v>
      </c>
      <c r="C52" s="165" t="s">
        <v>1447</v>
      </c>
      <c r="G52" s="990">
        <f>IF(AND($C$5&lt;=G$50,$C$6&gt;=G$50),Parameters!$G$298,0)</f>
        <v>0</v>
      </c>
      <c r="H52" s="990">
        <f>IF(AND($C$5&lt;=H$50,$C$6&gt;=H$50),Parameters!$G$298,0)</f>
        <v>0</v>
      </c>
      <c r="I52" s="990">
        <f>IF(AND($C$5&lt;=I$50,$C$6&gt;=I$50),Parameters!$G$298,0)</f>
        <v>0</v>
      </c>
      <c r="J52" s="990">
        <f>IF(AND($C$5&lt;=J$50,$C$6&gt;=J$50),Parameters!$G$298,0)</f>
        <v>0</v>
      </c>
      <c r="K52" s="990">
        <f>IF(AND($C$5&lt;=K$50,$C$6&gt;=K$50),Parameters!$G$298,0)</f>
        <v>0</v>
      </c>
      <c r="L52" s="990">
        <f>IF(AND($C$5&lt;=L$50,$C$6&gt;=L$50),Parameters!$G$298,0)</f>
        <v>0</v>
      </c>
      <c r="M52" s="990">
        <f>IF(AND($C$5&lt;=M$50,$C$6&gt;=M$50),Parameters!$G$298,0)</f>
        <v>0</v>
      </c>
      <c r="N52" s="990">
        <f>IF(AND($C$5&lt;=N$50,$C$6&gt;=N$50),Parameters!$G$298,0)</f>
        <v>0</v>
      </c>
      <c r="O52" s="990">
        <f>IF(AND($C$5&lt;=O$50,$C$6&gt;=O$50),Parameters!$G$298,0)</f>
        <v>2.4299999999999999E-2</v>
      </c>
      <c r="P52" s="990">
        <f>IF(AND($C$5&lt;=P$50,$C$6&gt;=P$50),Parameters!$G$298,0)</f>
        <v>2.4299999999999999E-2</v>
      </c>
      <c r="Q52" s="990">
        <f>IF(AND($C$5&lt;=Q$50,$C$6&gt;=Q$50),Parameters!$G$298,0)</f>
        <v>2.4299999999999999E-2</v>
      </c>
      <c r="R52" s="990">
        <f>IF(AND($C$5&lt;=R$50,$C$6&gt;=R$50),Parameters!$G$298,0)</f>
        <v>2.4299999999999999E-2</v>
      </c>
      <c r="S52" s="990">
        <f>IF(AND($C$5&lt;=S$50,$C$6&gt;=S$50),Parameters!$G$298,0)</f>
        <v>2.4299999999999999E-2</v>
      </c>
      <c r="T52" s="990">
        <f>IF(AND($C$5&lt;=T$50,$C$6&gt;=T$50),Parameters!$G$298,0)</f>
        <v>0</v>
      </c>
      <c r="U52" s="990">
        <f>IF(AND($C$5&lt;=U$50,$C$6&gt;=U$50),Parameters!$G$298,0)</f>
        <v>0</v>
      </c>
      <c r="V52" s="990">
        <f>IF(AND($C$5&lt;=V$50,$C$6&gt;=V$50),Parameters!$G$298,0)</f>
        <v>0</v>
      </c>
      <c r="W52" s="990">
        <f>IF(AND($C$5&lt;=W$50,$C$6&gt;=W$50),Parameters!$G$298,0)</f>
        <v>0</v>
      </c>
      <c r="X52" s="990">
        <f>IF(AND($C$5&lt;=X$50,$C$6&gt;=X$50),Parameters!$G$298,0)</f>
        <v>0</v>
      </c>
      <c r="Y52" s="990">
        <f>IF(AND($C$5&lt;=Y$50,$C$6&gt;=Y$50),Parameters!$G$298,0)</f>
        <v>0</v>
      </c>
      <c r="Z52" s="990">
        <f>IF(AND($C$5&lt;=Z$50,$C$6&gt;=Z$50),Parameters!$G$298,0)</f>
        <v>0</v>
      </c>
      <c r="AA52" s="990">
        <f>IF(AND($C$5&lt;=AA$50,$C$6&gt;=AA$50),Parameters!$G$298,0)</f>
        <v>0</v>
      </c>
      <c r="AB52" s="990">
        <f>IF(AND($C$5&lt;=AB$50,$C$6&gt;=AB$50),Parameters!$G$298,0)</f>
        <v>0</v>
      </c>
      <c r="AC52" s="990">
        <f>IF(AND($C$5&lt;=AC$50,$C$6&gt;=AC$50),Parameters!$G$298,0)</f>
        <v>0</v>
      </c>
      <c r="AD52" s="990">
        <f>IF(AND($C$5&lt;=AD$50,$C$6&gt;=AD$50),Parameters!$G$298,0)</f>
        <v>0</v>
      </c>
      <c r="AE52" s="990">
        <f>IF(AND($C$5&lt;=AE$50,$C$6&gt;=AE$50),Parameters!$G$298,0)</f>
        <v>0</v>
      </c>
      <c r="AF52" s="990">
        <f>IF(AND($C$5&lt;=AF$50,$C$6&gt;=AF$50),Parameters!$G$298,0)</f>
        <v>0</v>
      </c>
      <c r="AG52" s="990">
        <f>IF(AND($C$5&lt;=AG$50,$C$6&gt;=AG$50),Parameters!$G$298,0)</f>
        <v>0</v>
      </c>
      <c r="AH52" s="990">
        <f>IF(AND($C$5&lt;=AH$50,$C$6&gt;=AH$50),Parameters!$G$298,0)</f>
        <v>0</v>
      </c>
      <c r="AI52" s="990">
        <f>IF(AND($C$5&lt;=AI$50,$C$6&gt;=AI$50),Parameters!$G$298,0)</f>
        <v>0</v>
      </c>
      <c r="AJ52" s="990">
        <f>IF(AND($C$5&lt;=AJ$50,$C$6&gt;=AJ$50),Parameters!$G$298,0)</f>
        <v>0</v>
      </c>
      <c r="AK52" s="990">
        <f>IF(AND($C$5&lt;=AK$50,$C$6&gt;=AK$50),Parameters!$G$298,0)</f>
        <v>0</v>
      </c>
      <c r="AL52" s="990">
        <f>IF(AND($C$5&lt;=AL$50,$C$6&gt;=AL$50),Parameters!$G$298,0)</f>
        <v>0</v>
      </c>
      <c r="AM52" s="990">
        <f>IF(AND($C$5&lt;=AM$50,$C$6&gt;=AM$50),Parameters!$G$298,0)</f>
        <v>0</v>
      </c>
      <c r="AN52" s="990">
        <f>IF(AND($C$5&lt;=AN$50,$C$6&gt;=AN$50),Parameters!$G$298,0)</f>
        <v>0</v>
      </c>
      <c r="AO52" s="990">
        <f>IF(AND($C$5&lt;=AO$50,$C$6&gt;=AO$50),Parameters!$G$298,0)</f>
        <v>0</v>
      </c>
      <c r="AP52" s="990">
        <f>IF(AND($C$5&lt;=AP$50,$C$6&gt;=AP$50),Parameters!$G$298,0)</f>
        <v>0</v>
      </c>
      <c r="AQ52" s="990">
        <f>IF(AND($C$5&lt;=AQ$50,$C$6&gt;=AQ$50),Parameters!$G$298,0)</f>
        <v>0</v>
      </c>
      <c r="AR52" s="990">
        <f>IF(AND($C$5&lt;=AR$50,$C$6&gt;=AR$50),Parameters!$G$298,0)</f>
        <v>0</v>
      </c>
      <c r="AS52" s="990">
        <f>IF(AND($C$5&lt;=AS$50,$C$6&gt;=AS$50),Parameters!$G$298,0)</f>
        <v>0</v>
      </c>
      <c r="AT52" s="990">
        <f>IF(AND($C$5&lt;=AT$50,$C$6&gt;=AT$50),Parameters!$G$298,0)</f>
        <v>0</v>
      </c>
      <c r="AU52" s="990">
        <f>IF(AND($C$5&lt;=AU$50,$C$6&gt;=AU$50),Parameters!$G$298,0)</f>
        <v>0</v>
      </c>
      <c r="AV52" s="990">
        <f>IF(AND($C$5&lt;=AV$50,$C$6&gt;=AV$50),Parameters!$G$298,0)</f>
        <v>0</v>
      </c>
      <c r="AW52" s="990">
        <f>IF(AND($C$5&lt;=AW$50,$C$6&gt;=AW$50),Parameters!$G$298,0)</f>
        <v>0</v>
      </c>
      <c r="AX52" s="990">
        <f>IF(AND($C$5&lt;=AX$50,$C$6&gt;=AX$50),Parameters!$G$298,0)</f>
        <v>0</v>
      </c>
      <c r="AY52" s="990">
        <f>IF(AND($C$5&lt;=AY$50,$C$6&gt;=AY$50),Parameters!$G$298,0)</f>
        <v>0</v>
      </c>
      <c r="AZ52" s="990">
        <f>IF(AND($C$5&lt;=AZ$50,$C$6&gt;=AZ$50),Parameters!$G$298,0)</f>
        <v>0</v>
      </c>
      <c r="BA52" s="990">
        <f>IF(AND($C$5&lt;=BA$50,$C$6&gt;=BA$50),Parameters!$G$298,0)</f>
        <v>0</v>
      </c>
      <c r="BB52" s="990">
        <f>IF(AND($C$5&lt;=BB$50,$C$6&gt;=BB$50),Parameters!$G$298,0)</f>
        <v>0</v>
      </c>
    </row>
    <row r="53" spans="2:54" x14ac:dyDescent="0.25">
      <c r="B53" s="165" t="s">
        <v>1462</v>
      </c>
      <c r="C53" s="165" t="s">
        <v>1447</v>
      </c>
      <c r="G53" s="990">
        <f>IF(AND($C$5&lt;=G$50,$C$6&gt;=G$50),Parameters!$G$315,0)</f>
        <v>0</v>
      </c>
      <c r="H53" s="990">
        <f>IF(AND($C$5&lt;=H$50,$C$6&gt;=H$50),Parameters!$G$315,0)</f>
        <v>0</v>
      </c>
      <c r="I53" s="990">
        <f>IF(AND($C$5&lt;=I$50,$C$6&gt;=I$50),Parameters!$G$315,0)</f>
        <v>0</v>
      </c>
      <c r="J53" s="990">
        <f>IF(AND($C$5&lt;=J$50,$C$6&gt;=J$50),Parameters!$G$315,0)</f>
        <v>0</v>
      </c>
      <c r="K53" s="990">
        <f>IF(AND($C$5&lt;=K$50,$C$6&gt;=K$50),Parameters!$G$315,0)</f>
        <v>0</v>
      </c>
      <c r="L53" s="990">
        <f>IF(AND($C$5&lt;=L$50,$C$6&gt;=L$50),Parameters!$G$315,0)</f>
        <v>0</v>
      </c>
      <c r="M53" s="990">
        <f>IF(AND($C$5&lt;=M$50,$C$6&gt;=M$50),Parameters!$G$315,0)</f>
        <v>0</v>
      </c>
      <c r="N53" s="990">
        <f>IF(AND($C$5&lt;=N$50,$C$6&gt;=N$50),Parameters!$G$315,0)</f>
        <v>0</v>
      </c>
      <c r="O53" s="990">
        <f>IF(AND($C$5&lt;=O$50,$C$6&gt;=O$50),Parameters!$G$315,0)</f>
        <v>9.5417069806848193E-2</v>
      </c>
      <c r="P53" s="990">
        <f>IF(AND($C$5&lt;=P$50,$C$6&gt;=P$50),Parameters!$G$315,0)</f>
        <v>9.5417069806848193E-2</v>
      </c>
      <c r="Q53" s="990">
        <f>IF(AND($C$5&lt;=Q$50,$C$6&gt;=Q$50),Parameters!$G$315,0)</f>
        <v>9.5417069806848193E-2</v>
      </c>
      <c r="R53" s="990">
        <f>IF(AND($C$5&lt;=R$50,$C$6&gt;=R$50),Parameters!$G$315,0)</f>
        <v>9.5417069806848193E-2</v>
      </c>
      <c r="S53" s="990">
        <f>IF(AND($C$5&lt;=S$50,$C$6&gt;=S$50),Parameters!$G$315,0)</f>
        <v>9.5417069806848193E-2</v>
      </c>
      <c r="T53" s="990">
        <f>IF(AND($C$5&lt;=T$50,$C$6&gt;=T$50),Parameters!$G$315,0)</f>
        <v>0</v>
      </c>
      <c r="U53" s="990">
        <f>IF(AND($C$5&lt;=U$50,$C$6&gt;=U$50),Parameters!$G$315,0)</f>
        <v>0</v>
      </c>
      <c r="V53" s="990">
        <f>IF(AND($C$5&lt;=V$50,$C$6&gt;=V$50),Parameters!$G$315,0)</f>
        <v>0</v>
      </c>
      <c r="W53" s="990">
        <f>IF(AND($C$5&lt;=W$50,$C$6&gt;=W$50),Parameters!$G$315,0)</f>
        <v>0</v>
      </c>
      <c r="X53" s="990">
        <f>IF(AND($C$5&lt;=X$50,$C$6&gt;=X$50),Parameters!$G$315,0)</f>
        <v>0</v>
      </c>
      <c r="Y53" s="990">
        <f>IF(AND($C$5&lt;=Y$50,$C$6&gt;=Y$50),Parameters!$G$315,0)</f>
        <v>0</v>
      </c>
      <c r="Z53" s="990">
        <f>IF(AND($C$5&lt;=Z$50,$C$6&gt;=Z$50),Parameters!$G$315,0)</f>
        <v>0</v>
      </c>
      <c r="AA53" s="990">
        <f>IF(AND($C$5&lt;=AA$50,$C$6&gt;=AA$50),Parameters!$G$315,0)</f>
        <v>0</v>
      </c>
      <c r="AB53" s="990">
        <f>IF(AND($C$5&lt;=AB$50,$C$6&gt;=AB$50),Parameters!$G$315,0)</f>
        <v>0</v>
      </c>
      <c r="AC53" s="990">
        <f>IF(AND($C$5&lt;=AC$50,$C$6&gt;=AC$50),Parameters!$G$315,0)</f>
        <v>0</v>
      </c>
      <c r="AD53" s="990">
        <f>IF(AND($C$5&lt;=AD$50,$C$6&gt;=AD$50),Parameters!$G$315,0)</f>
        <v>0</v>
      </c>
      <c r="AE53" s="990">
        <f>IF(AND($C$5&lt;=AE$50,$C$6&gt;=AE$50),Parameters!$G$315,0)</f>
        <v>0</v>
      </c>
      <c r="AF53" s="990">
        <f>IF(AND($C$5&lt;=AF$50,$C$6&gt;=AF$50),Parameters!$G$315,0)</f>
        <v>0</v>
      </c>
      <c r="AG53" s="990">
        <f>IF(AND($C$5&lt;=AG$50,$C$6&gt;=AG$50),Parameters!$G$315,0)</f>
        <v>0</v>
      </c>
      <c r="AH53" s="990">
        <f>IF(AND($C$5&lt;=AH$50,$C$6&gt;=AH$50),Parameters!$G$315,0)</f>
        <v>0</v>
      </c>
      <c r="AI53" s="990">
        <f>IF(AND($C$5&lt;=AI$50,$C$6&gt;=AI$50),Parameters!$G$315,0)</f>
        <v>0</v>
      </c>
      <c r="AJ53" s="990">
        <f>IF(AND($C$5&lt;=AJ$50,$C$6&gt;=AJ$50),Parameters!$G$315,0)</f>
        <v>0</v>
      </c>
      <c r="AK53" s="990">
        <f>IF(AND($C$5&lt;=AK$50,$C$6&gt;=AK$50),Parameters!$G$315,0)</f>
        <v>0</v>
      </c>
      <c r="AL53" s="990">
        <f>IF(AND($C$5&lt;=AL$50,$C$6&gt;=AL$50),Parameters!$G$315,0)</f>
        <v>0</v>
      </c>
      <c r="AM53" s="990">
        <f>IF(AND($C$5&lt;=AM$50,$C$6&gt;=AM$50),Parameters!$G$315,0)</f>
        <v>0</v>
      </c>
      <c r="AN53" s="990">
        <f>IF(AND($C$5&lt;=AN$50,$C$6&gt;=AN$50),Parameters!$G$315,0)</f>
        <v>0</v>
      </c>
      <c r="AO53" s="990">
        <f>IF(AND($C$5&lt;=AO$50,$C$6&gt;=AO$50),Parameters!$G$315,0)</f>
        <v>0</v>
      </c>
      <c r="AP53" s="990">
        <f>IF(AND($C$5&lt;=AP$50,$C$6&gt;=AP$50),Parameters!$G$315,0)</f>
        <v>0</v>
      </c>
      <c r="AQ53" s="990">
        <f>IF(AND($C$5&lt;=AQ$50,$C$6&gt;=AQ$50),Parameters!$G$315,0)</f>
        <v>0</v>
      </c>
      <c r="AR53" s="990">
        <f>IF(AND($C$5&lt;=AR$50,$C$6&gt;=AR$50),Parameters!$G$315,0)</f>
        <v>0</v>
      </c>
      <c r="AS53" s="990">
        <f>IF(AND($C$5&lt;=AS$50,$C$6&gt;=AS$50),Parameters!$G$315,0)</f>
        <v>0</v>
      </c>
      <c r="AT53" s="990">
        <f>IF(AND($C$5&lt;=AT$50,$C$6&gt;=AT$50),Parameters!$G$315,0)</f>
        <v>0</v>
      </c>
      <c r="AU53" s="990">
        <f>IF(AND($C$5&lt;=AU$50,$C$6&gt;=AU$50),Parameters!$G$315,0)</f>
        <v>0</v>
      </c>
      <c r="AV53" s="990">
        <f>IF(AND($C$5&lt;=AV$50,$C$6&gt;=AV$50),Parameters!$G$315,0)</f>
        <v>0</v>
      </c>
      <c r="AW53" s="990">
        <f>IF(AND($C$5&lt;=AW$50,$C$6&gt;=AW$50),Parameters!$G$315,0)</f>
        <v>0</v>
      </c>
      <c r="AX53" s="990">
        <f>IF(AND($C$5&lt;=AX$50,$C$6&gt;=AX$50),Parameters!$G$315,0)</f>
        <v>0</v>
      </c>
      <c r="AY53" s="990">
        <f>IF(AND($C$5&lt;=AY$50,$C$6&gt;=AY$50),Parameters!$G$315,0)</f>
        <v>0</v>
      </c>
      <c r="AZ53" s="990">
        <f>IF(AND($C$5&lt;=AZ$50,$C$6&gt;=AZ$50),Parameters!$G$315,0)</f>
        <v>0</v>
      </c>
      <c r="BA53" s="990">
        <f>IF(AND($C$5&lt;=BA$50,$C$6&gt;=BA$50),Parameters!$G$315,0)</f>
        <v>0</v>
      </c>
      <c r="BB53" s="990">
        <f>IF(AND($C$5&lt;=BB$50,$C$6&gt;=BB$50),Parameters!$G$315,0)</f>
        <v>0</v>
      </c>
    </row>
    <row r="54" spans="2:54" x14ac:dyDescent="0.25">
      <c r="B54" s="165" t="s">
        <v>1463</v>
      </c>
      <c r="C54" s="165" t="s">
        <v>1451</v>
      </c>
      <c r="G54" s="700">
        <f>IF(AND($C$5&lt;=G$50,$C$6&gt;=G$50),'H2 PIPELINE S'!$O$16,0)</f>
        <v>0</v>
      </c>
      <c r="H54" s="700">
        <f>IF(AND($C$5&lt;=H$50,$C$6&gt;=H$50),'H2 PIPELINE S'!$O$16,0)</f>
        <v>0</v>
      </c>
      <c r="I54" s="700">
        <f>IF(AND($C$5&lt;=I$50,$C$6&gt;=I$50),'H2 PIPELINE S'!$O$16,0)</f>
        <v>0</v>
      </c>
      <c r="J54" s="700">
        <f>IF(AND($C$5&lt;=J$50,$C$6&gt;=J$50),'H2 PIPELINE S'!$O$16,0)</f>
        <v>0</v>
      </c>
      <c r="K54" s="700">
        <f>IF(AND($C$5&lt;=K$50,$C$6&gt;=K$50),'H2 PIPELINE S'!$O$16,0)</f>
        <v>0</v>
      </c>
      <c r="L54" s="700">
        <f>IF(AND($C$5&lt;=L$50,$C$6&gt;=L$50),'H2 PIPELINE S'!$O$16,0)</f>
        <v>0</v>
      </c>
      <c r="M54" s="700">
        <f>IF(AND($C$5&lt;=M$50,$C$6&gt;=M$50),'H2 PIPELINE S'!$O$16,0)</f>
        <v>0</v>
      </c>
      <c r="N54" s="700">
        <f>IF(AND($C$5&lt;=N$50,$C$6&gt;=N$50),'H2 PIPELINE S'!$O$16,0)</f>
        <v>0</v>
      </c>
      <c r="O54" s="700">
        <f>IF(AND($C$5&lt;=O$50,$C$6&gt;=O$50),'H2 PIPELINE S'!$O$16,0)</f>
        <v>200</v>
      </c>
      <c r="P54" s="700">
        <f>IF(AND($C$5&lt;=P$50,$C$6&gt;=P$50),'H2 PIPELINE S'!$O$16,0)</f>
        <v>200</v>
      </c>
      <c r="Q54" s="700">
        <f>IF(AND($C$5&lt;=Q$50,$C$6&gt;=Q$50),'H2 PIPELINE S'!$O$16,0)</f>
        <v>200</v>
      </c>
      <c r="R54" s="700">
        <f>IF(AND($C$5&lt;=R$50,$C$6&gt;=R$50),'H2 PIPELINE S'!$O$16,0)</f>
        <v>200</v>
      </c>
      <c r="S54" s="700">
        <f>IF(AND($C$5&lt;=S$50,$C$6&gt;=S$50),'H2 PIPELINE S'!$O$16,0)</f>
        <v>200</v>
      </c>
      <c r="T54" s="700">
        <f>IF(AND($C$5&lt;=T$50,$C$6&gt;=T$50),'H2 PIPELINE S'!$O$16,0)</f>
        <v>0</v>
      </c>
      <c r="U54" s="700">
        <f>IF(AND($C$5&lt;=U$50,$C$6&gt;=U$50),'H2 PIPELINE S'!$O$16,0)</f>
        <v>0</v>
      </c>
      <c r="V54" s="700">
        <f>IF(AND($C$5&lt;=V$50,$C$6&gt;=V$50),'H2 PIPELINE S'!$O$16,0)</f>
        <v>0</v>
      </c>
      <c r="W54" s="700">
        <f>IF(AND($C$5&lt;=W$50,$C$6&gt;=W$50),'H2 PIPELINE S'!$O$16,0)</f>
        <v>0</v>
      </c>
      <c r="X54" s="700">
        <f>IF(AND($C$5&lt;=X$50,$C$6&gt;=X$50),'H2 PIPELINE S'!$O$16,0)</f>
        <v>0</v>
      </c>
      <c r="Y54" s="700">
        <f>IF(AND($C$5&lt;=Y$50,$C$6&gt;=Y$50),'H2 PIPELINE S'!$O$16,0)</f>
        <v>0</v>
      </c>
      <c r="Z54" s="700">
        <f>IF(AND($C$5&lt;=Z$50,$C$6&gt;=Z$50),'H2 PIPELINE S'!$O$16,0)</f>
        <v>0</v>
      </c>
      <c r="AA54" s="700">
        <f>IF(AND($C$5&lt;=AA$50,$C$6&gt;=AA$50),'H2 PIPELINE S'!$O$16,0)</f>
        <v>0</v>
      </c>
      <c r="AB54" s="700">
        <f>IF(AND($C$5&lt;=AB$50,$C$6&gt;=AB$50),'H2 PIPELINE S'!$O$16,0)</f>
        <v>0</v>
      </c>
      <c r="AC54" s="700">
        <f>IF(AND($C$5&lt;=AC$50,$C$6&gt;=AC$50),'H2 PIPELINE S'!$O$16,0)</f>
        <v>0</v>
      </c>
      <c r="AD54" s="700">
        <f>IF(AND($C$5&lt;=AD$50,$C$6&gt;=AD$50),'H2 PIPELINE S'!$O$16,0)</f>
        <v>0</v>
      </c>
      <c r="AE54" s="700">
        <f>IF(AND($C$5&lt;=AE$50,$C$6&gt;=AE$50),'H2 PIPELINE S'!$O$16,0)</f>
        <v>0</v>
      </c>
      <c r="AF54" s="700">
        <f>IF(AND($C$5&lt;=AF$50,$C$6&gt;=AF$50),'H2 PIPELINE S'!$O$16,0)</f>
        <v>0</v>
      </c>
      <c r="AG54" s="700">
        <f>IF(AND($C$5&lt;=AG$50,$C$6&gt;=AG$50),'H2 PIPELINE S'!$O$16,0)</f>
        <v>0</v>
      </c>
      <c r="AH54" s="700">
        <f>IF(AND($C$5&lt;=AH$50,$C$6&gt;=AH$50),'H2 PIPELINE S'!$O$16,0)</f>
        <v>0</v>
      </c>
      <c r="AI54" s="700">
        <f>IF(AND($C$5&lt;=AI$50,$C$6&gt;=AI$50),'H2 PIPELINE S'!$O$16,0)</f>
        <v>0</v>
      </c>
      <c r="AJ54" s="700">
        <f>IF(AND($C$5&lt;=AJ$50,$C$6&gt;=AJ$50),'H2 PIPELINE S'!$O$16,0)</f>
        <v>0</v>
      </c>
      <c r="AK54" s="700">
        <f>IF(AND($C$5&lt;=AK$50,$C$6&gt;=AK$50),'H2 PIPELINE S'!$O$16,0)</f>
        <v>0</v>
      </c>
      <c r="AL54" s="700">
        <f>IF(AND($C$5&lt;=AL$50,$C$6&gt;=AL$50),'H2 PIPELINE S'!$O$16,0)</f>
        <v>0</v>
      </c>
      <c r="AM54" s="700">
        <f>IF(AND($C$5&lt;=AM$50,$C$6&gt;=AM$50),'H2 PIPELINE S'!$O$16,0)</f>
        <v>0</v>
      </c>
      <c r="AN54" s="700">
        <f>IF(AND($C$5&lt;=AN$50,$C$6&gt;=AN$50),'H2 PIPELINE S'!$O$16,0)</f>
        <v>0</v>
      </c>
      <c r="AO54" s="700">
        <f>IF(AND($C$5&lt;=AO$50,$C$6&gt;=AO$50),'H2 PIPELINE S'!$O$16,0)</f>
        <v>0</v>
      </c>
      <c r="AP54" s="700">
        <f>IF(AND($C$5&lt;=AP$50,$C$6&gt;=AP$50),'H2 PIPELINE S'!$O$16,0)</f>
        <v>0</v>
      </c>
      <c r="AQ54" s="700">
        <f>IF(AND($C$5&lt;=AQ$50,$C$6&gt;=AQ$50),'H2 PIPELINE S'!$O$16,0)</f>
        <v>0</v>
      </c>
      <c r="AR54" s="700">
        <f>IF(AND($C$5&lt;=AR$50,$C$6&gt;=AR$50),'H2 PIPELINE S'!$O$16,0)</f>
        <v>0</v>
      </c>
      <c r="AS54" s="700">
        <f>IF(AND($C$5&lt;=AS$50,$C$6&gt;=AS$50),'H2 PIPELINE S'!$O$16,0)</f>
        <v>0</v>
      </c>
      <c r="AT54" s="700">
        <f>IF(AND($C$5&lt;=AT$50,$C$6&gt;=AT$50),'H2 PIPELINE S'!$O$16,0)</f>
        <v>0</v>
      </c>
      <c r="AU54" s="700">
        <f>IF(AND($C$5&lt;=AU$50,$C$6&gt;=AU$50),'H2 PIPELINE S'!$O$16,0)</f>
        <v>0</v>
      </c>
      <c r="AV54" s="700">
        <f>IF(AND($C$5&lt;=AV$50,$C$6&gt;=AV$50),'H2 PIPELINE S'!$O$16,0)</f>
        <v>0</v>
      </c>
      <c r="AW54" s="700">
        <f>IF(AND($C$5&lt;=AW$50,$C$6&gt;=AW$50),'H2 PIPELINE S'!$O$16,0)</f>
        <v>0</v>
      </c>
      <c r="AX54" s="700">
        <f>IF(AND($C$5&lt;=AX$50,$C$6&gt;=AX$50),'H2 PIPELINE S'!$O$16,0)</f>
        <v>0</v>
      </c>
      <c r="AY54" s="700">
        <f>IF(AND($C$5&lt;=AY$50,$C$6&gt;=AY$50),'H2 PIPELINE S'!$O$16,0)</f>
        <v>0</v>
      </c>
      <c r="AZ54" s="700">
        <f>IF(AND($C$5&lt;=AZ$50,$C$6&gt;=AZ$50),'H2 PIPELINE S'!$O$16,0)</f>
        <v>0</v>
      </c>
      <c r="BA54" s="700">
        <f>IF(AND($C$5&lt;=BA$50,$C$6&gt;=BA$50),'H2 PIPELINE S'!$O$16,0)</f>
        <v>0</v>
      </c>
      <c r="BB54" s="700">
        <f>IF(AND($C$5&lt;=BB$50,$C$6&gt;=BB$50),'H2 PIPELINE S'!$O$16,0)</f>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tabColor rgb="FF92D050"/>
  </sheetPr>
  <dimension ref="A2:BL53"/>
  <sheetViews>
    <sheetView showGridLines="0" zoomScale="85" zoomScaleNormal="85" workbookViewId="0">
      <selection activeCell="D38" sqref="D38"/>
    </sheetView>
  </sheetViews>
  <sheetFormatPr defaultColWidth="9.140625" defaultRowHeight="15" x14ac:dyDescent="0.25"/>
  <cols>
    <col min="1" max="1" width="14.42578125" style="437" customWidth="1"/>
    <col min="2" max="2" width="33.7109375" style="437" customWidth="1"/>
    <col min="3" max="3" width="19.5703125" style="437" bestFit="1" customWidth="1"/>
    <col min="4" max="4" width="15.85546875" style="437" bestFit="1" customWidth="1"/>
    <col min="5" max="5" width="16.7109375" style="437" bestFit="1" customWidth="1"/>
    <col min="6" max="6" width="43.42578125" style="437" customWidth="1"/>
    <col min="7" max="7" width="15.7109375" style="437" customWidth="1"/>
    <col min="8" max="8" width="13.5703125" style="437" bestFit="1" customWidth="1"/>
    <col min="9" max="9" width="11.7109375" style="437" bestFit="1" customWidth="1"/>
    <col min="10" max="10" width="11.42578125" style="437" bestFit="1" customWidth="1"/>
    <col min="11" max="11" width="13.5703125" style="437" customWidth="1"/>
    <col min="12" max="12" width="11.7109375" style="437" bestFit="1" customWidth="1"/>
    <col min="13" max="13" width="14.42578125" style="437" customWidth="1"/>
    <col min="14" max="14" width="11.7109375" style="437" customWidth="1"/>
    <col min="15" max="26" width="12.28515625" style="437" bestFit="1" customWidth="1"/>
    <col min="27" max="44" width="12.5703125" style="437" bestFit="1" customWidth="1"/>
    <col min="45" max="45" width="12.5703125" style="437" customWidth="1"/>
    <col min="46" max="46" width="14" style="437" bestFit="1" customWidth="1"/>
    <col min="47" max="47" width="14.42578125" style="437" bestFit="1" customWidth="1"/>
    <col min="48" max="48" width="14" style="437" bestFit="1" customWidth="1"/>
    <col min="49" max="49" width="14.42578125" style="437" bestFit="1" customWidth="1"/>
    <col min="50" max="50" width="13.5703125" style="437" bestFit="1" customWidth="1"/>
    <col min="51" max="54" width="11.140625" style="437" bestFit="1" customWidth="1"/>
    <col min="55" max="16384" width="9.140625" style="437"/>
  </cols>
  <sheetData>
    <row r="2" spans="2:54" ht="31.5" x14ac:dyDescent="0.5">
      <c r="B2" s="499" t="s">
        <v>976</v>
      </c>
      <c r="E2" s="500"/>
    </row>
    <row r="3" spans="2:54" x14ac:dyDescent="0.25">
      <c r="B3" s="440"/>
      <c r="C3" s="440"/>
      <c r="D3" s="440"/>
      <c r="E3" s="440"/>
      <c r="F3" s="440"/>
    </row>
    <row r="4" spans="2:54" x14ac:dyDescent="0.25">
      <c r="B4" s="452" t="str">
        <f>Parameters!E377</f>
        <v>Start investment</v>
      </c>
      <c r="C4" s="452">
        <f>Parameters!G377</f>
        <v>2030</v>
      </c>
      <c r="D4" s="452"/>
      <c r="E4" s="452"/>
      <c r="F4" s="452"/>
    </row>
    <row r="5" spans="2:54" x14ac:dyDescent="0.25">
      <c r="B5" s="452" t="str">
        <f>Parameters!E378</f>
        <v>Start operations</v>
      </c>
      <c r="C5" s="452">
        <f>Parameters!G378</f>
        <v>2031</v>
      </c>
      <c r="D5" s="452"/>
      <c r="E5" s="452"/>
      <c r="F5" s="452"/>
    </row>
    <row r="6" spans="2:54" x14ac:dyDescent="0.25">
      <c r="B6" s="452" t="str">
        <f>Parameters!E379</f>
        <v>Stop operations</v>
      </c>
      <c r="C6" s="452">
        <f>Parameters!G379</f>
        <v>2050</v>
      </c>
      <c r="D6" s="452"/>
      <c r="E6" s="452"/>
      <c r="F6" s="452"/>
    </row>
    <row r="7" spans="2:54" x14ac:dyDescent="0.25">
      <c r="B7" s="452"/>
      <c r="C7" s="452"/>
      <c r="D7" s="452"/>
      <c r="E7" s="452"/>
      <c r="F7" s="452"/>
    </row>
    <row r="8" spans="2:54" ht="15.75" x14ac:dyDescent="0.25">
      <c r="B8" s="501" t="str">
        <f>"Large scale H2, scenario: "&amp;Parameters!$D$6</f>
        <v>Large scale H2, scenario: P15 Scenario 1</v>
      </c>
      <c r="C8" s="501"/>
      <c r="D8" s="502"/>
      <c r="E8" s="503" t="s">
        <v>977</v>
      </c>
      <c r="F8" s="502"/>
      <c r="G8" s="504">
        <f>Parameters!$G$10</f>
        <v>2018</v>
      </c>
      <c r="H8" s="446">
        <f>G8+1</f>
        <v>2019</v>
      </c>
      <c r="I8" s="446">
        <f t="shared" ref="I8:U8" si="0">H8+1</f>
        <v>2020</v>
      </c>
      <c r="J8" s="446">
        <f t="shared" si="0"/>
        <v>2021</v>
      </c>
      <c r="K8" s="446">
        <f t="shared" si="0"/>
        <v>2022</v>
      </c>
      <c r="L8" s="446">
        <f t="shared" si="0"/>
        <v>2023</v>
      </c>
      <c r="M8" s="446">
        <f t="shared" si="0"/>
        <v>2024</v>
      </c>
      <c r="N8" s="446">
        <f t="shared" si="0"/>
        <v>2025</v>
      </c>
      <c r="O8" s="446">
        <f t="shared" si="0"/>
        <v>2026</v>
      </c>
      <c r="P8" s="446">
        <f t="shared" si="0"/>
        <v>2027</v>
      </c>
      <c r="Q8" s="446">
        <f t="shared" si="0"/>
        <v>2028</v>
      </c>
      <c r="R8" s="446">
        <f t="shared" si="0"/>
        <v>2029</v>
      </c>
      <c r="S8" s="446">
        <f t="shared" si="0"/>
        <v>2030</v>
      </c>
      <c r="T8" s="446">
        <f t="shared" si="0"/>
        <v>2031</v>
      </c>
      <c r="U8" s="446">
        <f t="shared" si="0"/>
        <v>2032</v>
      </c>
      <c r="V8" s="446">
        <f>U8+1</f>
        <v>2033</v>
      </c>
      <c r="W8" s="446">
        <f t="shared" ref="W8:AU8" si="1">V8+1</f>
        <v>2034</v>
      </c>
      <c r="X8" s="446">
        <f t="shared" si="1"/>
        <v>2035</v>
      </c>
      <c r="Y8" s="446">
        <f t="shared" si="1"/>
        <v>2036</v>
      </c>
      <c r="Z8" s="446">
        <f t="shared" si="1"/>
        <v>2037</v>
      </c>
      <c r="AA8" s="446">
        <f t="shared" si="1"/>
        <v>2038</v>
      </c>
      <c r="AB8" s="446">
        <f t="shared" si="1"/>
        <v>2039</v>
      </c>
      <c r="AC8" s="446">
        <f t="shared" si="1"/>
        <v>2040</v>
      </c>
      <c r="AD8" s="446">
        <f t="shared" si="1"/>
        <v>2041</v>
      </c>
      <c r="AE8" s="446">
        <f t="shared" si="1"/>
        <v>2042</v>
      </c>
      <c r="AF8" s="446">
        <f t="shared" si="1"/>
        <v>2043</v>
      </c>
      <c r="AG8" s="446">
        <f t="shared" si="1"/>
        <v>2044</v>
      </c>
      <c r="AH8" s="446">
        <f t="shared" si="1"/>
        <v>2045</v>
      </c>
      <c r="AI8" s="446">
        <f t="shared" si="1"/>
        <v>2046</v>
      </c>
      <c r="AJ8" s="446">
        <f t="shared" si="1"/>
        <v>2047</v>
      </c>
      <c r="AK8" s="446">
        <f t="shared" si="1"/>
        <v>2048</v>
      </c>
      <c r="AL8" s="446">
        <f t="shared" si="1"/>
        <v>2049</v>
      </c>
      <c r="AM8" s="446">
        <f t="shared" si="1"/>
        <v>2050</v>
      </c>
      <c r="AN8" s="446">
        <f t="shared" si="1"/>
        <v>2051</v>
      </c>
      <c r="AO8" s="446">
        <f t="shared" si="1"/>
        <v>2052</v>
      </c>
      <c r="AP8" s="446">
        <f t="shared" si="1"/>
        <v>2053</v>
      </c>
      <c r="AQ8" s="446">
        <f t="shared" si="1"/>
        <v>2054</v>
      </c>
      <c r="AR8" s="446">
        <f t="shared" si="1"/>
        <v>2055</v>
      </c>
      <c r="AS8" s="446">
        <f t="shared" si="1"/>
        <v>2056</v>
      </c>
      <c r="AT8" s="446">
        <f t="shared" si="1"/>
        <v>2057</v>
      </c>
      <c r="AU8" s="446">
        <f t="shared" si="1"/>
        <v>2058</v>
      </c>
      <c r="AV8" s="446">
        <f t="shared" ref="AV8" si="2">AU8+1</f>
        <v>2059</v>
      </c>
      <c r="AW8" s="446">
        <f t="shared" ref="AW8" si="3">AV8+1</f>
        <v>2060</v>
      </c>
      <c r="AX8" s="446">
        <f t="shared" ref="AX8" si="4">AW8+1</f>
        <v>2061</v>
      </c>
      <c r="AY8" s="446">
        <f t="shared" ref="AY8" si="5">AX8+1</f>
        <v>2062</v>
      </c>
      <c r="AZ8" s="446">
        <f t="shared" ref="AZ8" si="6">AY8+1</f>
        <v>2063</v>
      </c>
      <c r="BA8" s="446">
        <f t="shared" ref="BA8" si="7">AZ8+1</f>
        <v>2064</v>
      </c>
      <c r="BB8" s="446">
        <f t="shared" ref="BB8" si="8">BA8+1</f>
        <v>2065</v>
      </c>
    </row>
    <row r="9" spans="2:54" x14ac:dyDescent="0.25">
      <c r="B9" s="309" t="s">
        <v>978</v>
      </c>
      <c r="C9" s="309" t="s">
        <v>979</v>
      </c>
      <c r="D9" s="505">
        <f>SUM(G9:BB9)</f>
        <v>341583.48150326422</v>
      </c>
      <c r="E9" s="505">
        <f>G9+NPV($C$43,H9:BB9)</f>
        <v>83481.365190950091</v>
      </c>
      <c r="F9" s="309"/>
      <c r="G9" s="506">
        <f t="shared" ref="G9:BB9" si="9">SUM(G10:G19)</f>
        <v>0</v>
      </c>
      <c r="H9" s="506">
        <f t="shared" si="9"/>
        <v>0</v>
      </c>
      <c r="I9" s="506">
        <f t="shared" si="9"/>
        <v>0</v>
      </c>
      <c r="J9" s="506">
        <f t="shared" si="9"/>
        <v>0</v>
      </c>
      <c r="K9" s="506">
        <f t="shared" si="9"/>
        <v>0</v>
      </c>
      <c r="L9" s="506">
        <f t="shared" si="9"/>
        <v>0</v>
      </c>
      <c r="M9" s="506">
        <f t="shared" si="9"/>
        <v>0</v>
      </c>
      <c r="N9" s="506">
        <f t="shared" si="9"/>
        <v>0</v>
      </c>
      <c r="O9" s="506">
        <f t="shared" si="9"/>
        <v>0</v>
      </c>
      <c r="P9" s="506">
        <f t="shared" si="9"/>
        <v>0</v>
      </c>
      <c r="Q9" s="506">
        <f t="shared" si="9"/>
        <v>0</v>
      </c>
      <c r="R9" s="506">
        <f t="shared" si="9"/>
        <v>0</v>
      </c>
      <c r="S9" s="506">
        <f t="shared" si="9"/>
        <v>243568.87491132191</v>
      </c>
      <c r="T9" s="506">
        <f t="shared" si="9"/>
        <v>0</v>
      </c>
      <c r="U9" s="506">
        <f t="shared" si="9"/>
        <v>0</v>
      </c>
      <c r="V9" s="506">
        <f t="shared" si="9"/>
        <v>0</v>
      </c>
      <c r="W9" s="506">
        <f t="shared" si="9"/>
        <v>0</v>
      </c>
      <c r="X9" s="506">
        <f t="shared" si="9"/>
        <v>0</v>
      </c>
      <c r="Y9" s="506">
        <f t="shared" si="9"/>
        <v>0</v>
      </c>
      <c r="Z9" s="506">
        <f t="shared" si="9"/>
        <v>0</v>
      </c>
      <c r="AA9" s="506">
        <f t="shared" si="9"/>
        <v>0</v>
      </c>
      <c r="AB9" s="506">
        <f t="shared" si="9"/>
        <v>0</v>
      </c>
      <c r="AC9" s="506">
        <f t="shared" si="9"/>
        <v>0</v>
      </c>
      <c r="AD9" s="506">
        <f t="shared" si="9"/>
        <v>19133.805371163082</v>
      </c>
      <c r="AE9" s="506">
        <f t="shared" si="9"/>
        <v>0</v>
      </c>
      <c r="AF9" s="506">
        <f t="shared" si="9"/>
        <v>0</v>
      </c>
      <c r="AG9" s="506">
        <f t="shared" si="9"/>
        <v>0</v>
      </c>
      <c r="AH9" s="506">
        <f t="shared" si="9"/>
        <v>0</v>
      </c>
      <c r="AI9" s="506">
        <f t="shared" si="9"/>
        <v>0</v>
      </c>
      <c r="AJ9" s="506">
        <f t="shared" si="9"/>
        <v>0</v>
      </c>
      <c r="AK9" s="506">
        <f t="shared" si="9"/>
        <v>0</v>
      </c>
      <c r="AL9" s="506">
        <f t="shared" si="9"/>
        <v>0</v>
      </c>
      <c r="AM9" s="506">
        <f t="shared" si="9"/>
        <v>78880.801220779249</v>
      </c>
      <c r="AN9" s="506">
        <f t="shared" si="9"/>
        <v>0</v>
      </c>
      <c r="AO9" s="506">
        <f t="shared" si="9"/>
        <v>0</v>
      </c>
      <c r="AP9" s="506">
        <f t="shared" si="9"/>
        <v>0</v>
      </c>
      <c r="AQ9" s="506">
        <f t="shared" si="9"/>
        <v>0</v>
      </c>
      <c r="AR9" s="506">
        <f t="shared" si="9"/>
        <v>0</v>
      </c>
      <c r="AS9" s="506">
        <f t="shared" si="9"/>
        <v>0</v>
      </c>
      <c r="AT9" s="506">
        <f t="shared" si="9"/>
        <v>0</v>
      </c>
      <c r="AU9" s="506">
        <f t="shared" si="9"/>
        <v>0</v>
      </c>
      <c r="AV9" s="506">
        <f t="shared" si="9"/>
        <v>0</v>
      </c>
      <c r="AW9" s="506">
        <f t="shared" si="9"/>
        <v>0</v>
      </c>
      <c r="AX9" s="506">
        <f t="shared" si="9"/>
        <v>0</v>
      </c>
      <c r="AY9" s="506">
        <f t="shared" si="9"/>
        <v>0</v>
      </c>
      <c r="AZ9" s="506">
        <f t="shared" si="9"/>
        <v>0</v>
      </c>
      <c r="BA9" s="506">
        <f t="shared" si="9"/>
        <v>0</v>
      </c>
      <c r="BB9" s="506">
        <f t="shared" si="9"/>
        <v>0</v>
      </c>
    </row>
    <row r="10" spans="2:54" x14ac:dyDescent="0.25">
      <c r="B10" s="507" t="str">
        <f>Parameters!E409</f>
        <v>Capex electrolyser</v>
      </c>
      <c r="C10" s="508" t="s">
        <v>979</v>
      </c>
      <c r="D10" s="534">
        <f>SUM(G10:BB10)</f>
        <v>99020.34028075861</v>
      </c>
      <c r="E10" s="534">
        <f>G10+NPV($C$43,H10:BB10)</f>
        <v>27591.140077736534</v>
      </c>
      <c r="F10" s="507"/>
      <c r="G10" s="536">
        <f>IF(G$8=$C$4,VLOOKUP($B10,Parameters!$E$377:$G$501,3,FALSE),IF(AND(G8&gt;$C$5,G8&lt;$C$6,(G8-$C$5)=Parameters!$G$397),Parameters!$G$410,IF(AND(G8&gt;$C$5,G8&lt;$C$6,(G8-$C$5)=Parameters!$G$396),Parameters!$G$409,0)))*(1+Parameters!$G$13)^(G$8-$G$8)/1000</f>
        <v>0</v>
      </c>
      <c r="H10" s="536">
        <f>IF(H$8=$C$4,VLOOKUP($B10,Parameters!$E$377:$G$501,3,FALSE),IF(AND(H8&gt;$C$5,H8&lt;$C$6,(H8-$C$5)=Parameters!$G$397),Parameters!$G$410,IF(AND(H8&gt;$C$5,H8&lt;$C$6,(H8-$C$5)=Parameters!$G$396),Parameters!$G$409,0)))*(1+Parameters!$G$13)^(H$8-$G$8)/1000</f>
        <v>0</v>
      </c>
      <c r="I10" s="536">
        <f>IF(I$8=$C$4,VLOOKUP($B10,Parameters!$E$377:$G$501,3,FALSE),IF(AND(I8&gt;$C$5,I8&lt;$C$6,(I8-$C$5)=Parameters!$G$397),Parameters!$G$410,IF(AND(I8&gt;$C$5,I8&lt;$C$6,(I8-$C$5)=Parameters!$G$396),Parameters!$G$409,0)))*(1+Parameters!$G$13)^(I$8-$G$8)/1000</f>
        <v>0</v>
      </c>
      <c r="J10" s="536">
        <f>IF(J$8=$C$4,VLOOKUP($B10,Parameters!$E$377:$G$501,3,FALSE),IF(AND(J8&gt;$C$5,J8&lt;$C$6,(J8-$C$5)=Parameters!$G$397),Parameters!$G$410,IF(AND(J8&gt;$C$5,J8&lt;$C$6,(J8-$C$5)=Parameters!$G$396),Parameters!$G$409,0)))*(1+Parameters!$G$13)^(J$8-$G$8)/1000</f>
        <v>0</v>
      </c>
      <c r="K10" s="536">
        <f>IF(K$8=$C$4,VLOOKUP($B10,Parameters!$E$377:$G$501,3,FALSE),IF(AND(K8&gt;$C$5,K8&lt;$C$6,(K8-$C$5)=Parameters!$G$397),Parameters!$G$410,IF(AND(K8&gt;$C$5,K8&lt;$C$6,(K8-$C$5)=Parameters!$G$396),Parameters!$G$409,0)))*(1+Parameters!$G$13)^(K$8-$G$8)/1000</f>
        <v>0</v>
      </c>
      <c r="L10" s="536">
        <f>IF(L$8=$C$4,VLOOKUP($B10,Parameters!$E$377:$G$501,3,FALSE),IF(AND(L8&gt;$C$5,L8&lt;$C$6,(L8-$C$5)=Parameters!$G$397),Parameters!$G$410,IF(AND(L8&gt;$C$5,L8&lt;$C$6,(L8-$C$5)=Parameters!$G$396),Parameters!$G$409,0)))*(1+Parameters!$G$13)^(L$8-$G$8)/1000</f>
        <v>0</v>
      </c>
      <c r="M10" s="536">
        <f>IF(M$8=$C$4,VLOOKUP($B10,Parameters!$E$377:$G$501,3,FALSE),IF(AND(M8&gt;$C$5,M8&lt;$C$6,(M8-$C$5)=Parameters!$G$397),Parameters!$G$410,IF(AND(M8&gt;$C$5,M8&lt;$C$6,(M8-$C$5)=Parameters!$G$396),Parameters!$G$409,0)))*(1+Parameters!$G$13)^(M$8-$G$8)/1000</f>
        <v>0</v>
      </c>
      <c r="N10" s="536">
        <f>IF(N$8=$C$4,VLOOKUP($B10,Parameters!$E$377:$G$501,3,FALSE),IF(AND(N8&gt;$C$5,N8&lt;$C$6,(N8-$C$5)=Parameters!$G$397),Parameters!$G$410,IF(AND(N8&gt;$C$5,N8&lt;$C$6,(N8-$C$5)=Parameters!$G$396),Parameters!$G$409,0)))*(1+Parameters!$G$13)^(N$8-$G$8)/1000</f>
        <v>0</v>
      </c>
      <c r="O10" s="536">
        <f>IF(O$8=$C$4,VLOOKUP($B10,Parameters!$E$377:$G$501,3,FALSE),IF(AND(O8&gt;$C$5,O8&lt;$C$6,(O8-$C$5)=Parameters!$G$397),Parameters!$G$410,IF(AND(O8&gt;$C$5,O8&lt;$C$6,(O8-$C$5)=Parameters!$G$396),Parameters!$G$409,0)))*(1+Parameters!$G$13)^(O$8-$G$8)/1000</f>
        <v>0</v>
      </c>
      <c r="P10" s="536">
        <f>IF(P$8=$C$4,VLOOKUP($B10,Parameters!$E$377:$G$501,3,FALSE),IF(AND(P8&gt;$C$5,P8&lt;$C$6,(P8-$C$5)=Parameters!$G$397),Parameters!$G$410,IF(AND(P8&gt;$C$5,P8&lt;$C$6,(P8-$C$5)=Parameters!$G$396),Parameters!$G$409,0)))*(1+Parameters!$G$13)^(P$8-$G$8)/1000</f>
        <v>0</v>
      </c>
      <c r="Q10" s="536">
        <f>IF(Q$8=$C$4,VLOOKUP($B10,Parameters!$E$377:$G$501,3,FALSE),IF(AND(Q8&gt;$C$5,Q8&lt;$C$6,(Q8-$C$5)=Parameters!$G$397),Parameters!$G$410,IF(AND(Q8&gt;$C$5,Q8&lt;$C$6,(Q8-$C$5)=Parameters!$G$396),Parameters!$G$409,0)))*(1+Parameters!$G$13)^(Q$8-$G$8)/1000</f>
        <v>0</v>
      </c>
      <c r="R10" s="536">
        <f>IF(R$8=$C$4,VLOOKUP($B10,Parameters!$E$377:$G$501,3,FALSE),IF(AND(R8&gt;$C$5,R8&lt;$C$6,(R8-$C$5)=Parameters!$G$397),Parameters!$G$410,IF(AND(R8&gt;$C$5,R8&lt;$C$6,(R8-$C$5)=Parameters!$G$396),Parameters!$G$409,0)))*(1+Parameters!$G$13)^(R$8-$G$8)/1000</f>
        <v>0</v>
      </c>
      <c r="S10" s="536">
        <f>IF(S$8=$C$4,VLOOKUP($B10,Parameters!$E$377:$G$501,3,FALSE),IF(AND(S8&gt;$C$5,S8&lt;$C$6,(S8-$C$5)=Parameters!$G$397),Parameters!$G$410,IF(AND(S8&gt;$C$5,S8&lt;$C$6,(S8-$C$5)=Parameters!$G$396),Parameters!$G$409,0)))*(1+Parameters!$G$13)^(S$8-$G$8)/1000</f>
        <v>79886.534909595532</v>
      </c>
      <c r="T10" s="536">
        <f>IF(T$8=$C$4,VLOOKUP($B10,Parameters!$E$377:$G$501,3,FALSE),IF(AND(T8&gt;$C$5,T8&lt;$C$6,(T8-$C$5)=Parameters!$G$397),Parameters!$G$410,IF(AND(T8&gt;$C$5,T8&lt;$C$6,(T8-$C$5)=Parameters!$G$396),Parameters!$G$409,0)))*(1+Parameters!$G$13)^(T$8-$G$8)/1000</f>
        <v>0</v>
      </c>
      <c r="U10" s="536">
        <f>IF(U$8=$C$4,VLOOKUP($B10,Parameters!$E$377:$G$501,3,FALSE),IF(AND(U8&gt;$C$5,U8&lt;$C$6,(U8-$C$5)=Parameters!$G$397),Parameters!$G$410,IF(AND(U8&gt;$C$5,U8&lt;$C$6,(U8-$C$5)=Parameters!$G$396),Parameters!$G$409,0)))*(1+Parameters!$G$13)^(U$8-$G$8)/1000</f>
        <v>0</v>
      </c>
      <c r="V10" s="536">
        <f>IF(V$8=$C$4,VLOOKUP($B10,Parameters!$E$377:$G$501,3,FALSE),IF(AND(V8&gt;$C$5,V8&lt;$C$6,(V8-$C$5)=Parameters!$G$397),Parameters!$G$410,IF(AND(V8&gt;$C$5,V8&lt;$C$6,(V8-$C$5)=Parameters!$G$396),Parameters!$G$409,0)))*(1+Parameters!$G$13)^(V$8-$G$8)/1000</f>
        <v>0</v>
      </c>
      <c r="W10" s="536">
        <f>IF(W$8=$C$4,VLOOKUP($B10,Parameters!$E$377:$G$501,3,FALSE),IF(AND(W8&gt;$C$5,W8&lt;$C$6,(W8-$C$5)=Parameters!$G$397),Parameters!$G$410,IF(AND(W8&gt;$C$5,W8&lt;$C$6,(W8-$C$5)=Parameters!$G$396),Parameters!$G$409,0)))*(1+Parameters!$G$13)^(W$8-$G$8)/1000</f>
        <v>0</v>
      </c>
      <c r="X10" s="536">
        <f>IF(X$8=$C$4,VLOOKUP($B10,Parameters!$E$377:$G$501,3,FALSE),IF(AND(X8&gt;$C$5,X8&lt;$C$6,(X8-$C$5)=Parameters!$G$397),Parameters!$G$410,IF(AND(X8&gt;$C$5,X8&lt;$C$6,(X8-$C$5)=Parameters!$G$396),Parameters!$G$409,0)))*(1+Parameters!$G$13)^(X$8-$G$8)/1000</f>
        <v>0</v>
      </c>
      <c r="Y10" s="536">
        <f>IF(Y$8=$C$4,VLOOKUP($B10,Parameters!$E$377:$G$501,3,FALSE),IF(AND(Y8&gt;$C$5,Y8&lt;$C$6,(Y8-$C$5)=Parameters!$G$397),Parameters!$G$410,IF(AND(Y8&gt;$C$5,Y8&lt;$C$6,(Y8-$C$5)=Parameters!$G$396),Parameters!$G$409,0)))*(1+Parameters!$G$13)^(Y$8-$G$8)/1000</f>
        <v>0</v>
      </c>
      <c r="Z10" s="536">
        <f>IF(Z$8=$C$4,VLOOKUP($B10,Parameters!$E$377:$G$501,3,FALSE),IF(AND(Z8&gt;$C$5,Z8&lt;$C$6,(Z8-$C$5)=Parameters!$G$397),Parameters!$G$410,IF(AND(Z8&gt;$C$5,Z8&lt;$C$6,(Z8-$C$5)=Parameters!$G$396),Parameters!$G$409,0)))*(1+Parameters!$G$13)^(Z$8-$G$8)/1000</f>
        <v>0</v>
      </c>
      <c r="AA10" s="536">
        <f>IF(AA$8=$C$4,VLOOKUP($B10,Parameters!$E$377:$G$501,3,FALSE),IF(AND(AA8&gt;$C$5,AA8&lt;$C$6,(AA8-$C$5)=Parameters!$G$397),Parameters!$G$410,IF(AND(AA8&gt;$C$5,AA8&lt;$C$6,(AA8-$C$5)=Parameters!$G$396),Parameters!$G$409,0)))*(1+Parameters!$G$13)^(AA$8-$G$8)/1000</f>
        <v>0</v>
      </c>
      <c r="AB10" s="536">
        <f>IF(AB$8=$C$4,VLOOKUP($B10,Parameters!$E$377:$G$501,3,FALSE),IF(AND(AB8&gt;$C$5,AB8&lt;$C$6,(AB8-$C$5)=Parameters!$G$397),Parameters!$G$410,IF(AND(AB8&gt;$C$5,AB8&lt;$C$6,(AB8-$C$5)=Parameters!$G$396),Parameters!$G$409,0)))*(1+Parameters!$G$13)^(AB$8-$G$8)/1000</f>
        <v>0</v>
      </c>
      <c r="AC10" s="536">
        <f>IF(AC$8=$C$4,VLOOKUP($B10,Parameters!$E$377:$G$501,3,FALSE),IF(AND(AC8&gt;$C$5,AC8&lt;$C$6,(AC8-$C$5)=Parameters!$G$397),Parameters!$G$410,IF(AND(AC8&gt;$C$5,AC8&lt;$C$6,(AC8-$C$5)=Parameters!$G$396),Parameters!$G$409,0)))*(1+Parameters!$G$13)^(AC$8-$G$8)/1000</f>
        <v>0</v>
      </c>
      <c r="AD10" s="536">
        <f>IF(AD$8=$C$4,VLOOKUP($B10,Parameters!$E$377:$G$501,3,FALSE),IF(AND(AD8&gt;$C$5,AD8&lt;$C$6,(AD8-$C$5)=Parameters!$G$397),Parameters!$G$410,IF(AND(AD8&gt;$C$5,AD8&lt;$C$6,(AD8-$C$5)=Parameters!$G$396),Parameters!$G$409,0)))*(1+Parameters!$G$13)^(AD$8-$G$8)/1000</f>
        <v>19133.805371163082</v>
      </c>
      <c r="AE10" s="536">
        <f>IF(AE$8=$C$4,VLOOKUP($B10,Parameters!$E$377:$G$501,3,FALSE),IF(AND(AE8&gt;$C$5,AE8&lt;$C$6,(AE8-$C$5)=Parameters!$G$397),Parameters!$G$410,IF(AND(AE8&gt;$C$5,AE8&lt;$C$6,(AE8-$C$5)=Parameters!$G$396),Parameters!$G$409,0)))*(1+Parameters!$G$13)^(AE$8-$G$8)/1000</f>
        <v>0</v>
      </c>
      <c r="AF10" s="536">
        <f>IF(AF$8=$C$4,VLOOKUP($B10,Parameters!$E$377:$G$501,3,FALSE),IF(AND(AF8&gt;$C$5,AF8&lt;$C$6,(AF8-$C$5)=Parameters!$G$397),Parameters!$G$410,IF(AND(AF8&gt;$C$5,AF8&lt;$C$6,(AF8-$C$5)=Parameters!$G$396),Parameters!$G$409,0)))*(1+Parameters!$G$13)^(AF$8-$G$8)/1000</f>
        <v>0</v>
      </c>
      <c r="AG10" s="536">
        <f>IF(AG$8=$C$4,VLOOKUP($B10,Parameters!$E$377:$G$501,3,FALSE),IF(AND(AG8&gt;$C$5,AG8&lt;$C$6,(AG8-$C$5)=Parameters!$G$397),Parameters!$G$410,IF(AND(AG8&gt;$C$5,AG8&lt;$C$6,(AG8-$C$5)=Parameters!$G$396),Parameters!$G$409,0)))*(1+Parameters!$G$13)^(AG$8-$G$8)/1000</f>
        <v>0</v>
      </c>
      <c r="AH10" s="536">
        <f>IF(AH$8=$C$4,VLOOKUP($B10,Parameters!$E$377:$G$501,3,FALSE),IF(AND(AH8&gt;$C$5,AH8&lt;$C$6,(AH8-$C$5)=Parameters!$G$397),Parameters!$G$410,IF(AND(AH8&gt;$C$5,AH8&lt;$C$6,(AH8-$C$5)=Parameters!$G$396),Parameters!$G$409,0)))*(1+Parameters!$G$13)^(AH$8-$G$8)/1000</f>
        <v>0</v>
      </c>
      <c r="AI10" s="536">
        <f>IF(AI$8=$C$4,VLOOKUP($B10,Parameters!$E$377:$G$501,3,FALSE),IF(AND(AI8&gt;$C$5,AI8&lt;$C$6,(AI8-$C$5)=Parameters!$G$397),Parameters!$G$410,IF(AND(AI8&gt;$C$5,AI8&lt;$C$6,(AI8-$C$5)=Parameters!$G$396),Parameters!$G$409,0)))*(1+Parameters!$G$13)^(AI$8-$G$8)/1000</f>
        <v>0</v>
      </c>
      <c r="AJ10" s="536">
        <f>IF(AJ$8=$C$4,VLOOKUP($B10,Parameters!$E$377:$G$501,3,FALSE),IF(AND(AJ8&gt;$C$5,AJ8&lt;$C$6,(AJ8-$C$5)=Parameters!$G$397),Parameters!$G$410,IF(AND(AJ8&gt;$C$5,AJ8&lt;$C$6,(AJ8-$C$5)=Parameters!$G$396),Parameters!$G$409,0)))*(1+Parameters!$G$13)^(AJ$8-$G$8)/1000</f>
        <v>0</v>
      </c>
      <c r="AK10" s="536">
        <f>IF(AK$8=$C$4,VLOOKUP($B10,Parameters!$E$377:$G$501,3,FALSE),IF(AND(AK8&gt;$C$5,AK8&lt;$C$6,(AK8-$C$5)=Parameters!$G$397),Parameters!$G$410,IF(AND(AK8&gt;$C$5,AK8&lt;$C$6,(AK8-$C$5)=Parameters!$G$396),Parameters!$G$409,0)))*(1+Parameters!$G$13)^(AK$8-$G$8)/1000</f>
        <v>0</v>
      </c>
      <c r="AL10" s="536">
        <f>IF(AL$8=$C$4,VLOOKUP($B10,Parameters!$E$377:$G$501,3,FALSE),IF(AND(AL8&gt;$C$5,AL8&lt;$C$6,(AL8-$C$5)=Parameters!$G$397),Parameters!$G$410,IF(AND(AL8&gt;$C$5,AL8&lt;$C$6,(AL8-$C$5)=Parameters!$G$396),Parameters!$G$409,0)))*(1+Parameters!$G$13)^(AL$8-$G$8)/1000</f>
        <v>0</v>
      </c>
      <c r="AM10" s="536">
        <f>IF(AM$8=$C$4,VLOOKUP($B10,Parameters!$E$377:$G$501,3,FALSE),IF(AND(AM8&gt;$C$5,AM8&lt;$C$6,(AM8-$C$5)=Parameters!$G$397),Parameters!$G$410,IF(AND(AM8&gt;$C$5,AM8&lt;$C$6,(AM8-$C$5)=Parameters!$G$396),Parameters!$G$409,0)))*(1+Parameters!$G$13)^(AM$8-$G$8)/1000</f>
        <v>0</v>
      </c>
      <c r="AN10" s="536">
        <f>IF(AN$8=$C$4,VLOOKUP($B10,Parameters!$E$377:$G$501,3,FALSE),IF(AND(AN8&gt;$C$5,AN8&lt;$C$6,(AN8-$C$5)=Parameters!$G$397),Parameters!$G$410,IF(AND(AN8&gt;$C$5,AN8&lt;$C$6,(AN8-$C$5)=Parameters!$G$396),Parameters!$G$409,0)))*(1+Parameters!$G$13)^(AN$8-$G$8)/1000</f>
        <v>0</v>
      </c>
      <c r="AO10" s="536">
        <f>IF(AO$8=$C$4,VLOOKUP($B10,Parameters!$E$377:$G$501,3,FALSE),IF(AND(AO8&gt;$C$5,AO8&lt;$C$6,(AO8-$C$5)=Parameters!$G$397),Parameters!$G$410,IF(AND(AO8&gt;$C$5,AO8&lt;$C$6,(AO8-$C$5)=Parameters!$G$396),Parameters!$G$409,0)))*(1+Parameters!$G$13)^(AO$8-$G$8)/1000</f>
        <v>0</v>
      </c>
      <c r="AP10" s="536">
        <f>IF(AP$8=$C$4,VLOOKUP($B10,Parameters!$E$377:$G$501,3,FALSE),IF(AND(AP8&gt;$C$5,AP8&lt;$C$6,(AP8-$C$5)=Parameters!$G$397),Parameters!$G$410,IF(AND(AP8&gt;$C$5,AP8&lt;$C$6,(AP8-$C$5)=Parameters!$G$396),Parameters!$G$409,0)))*(1+Parameters!$G$13)^(AP$8-$G$8)/1000</f>
        <v>0</v>
      </c>
      <c r="AQ10" s="536">
        <f>IF(AQ$8=$C$4,VLOOKUP($B10,Parameters!$E$377:$G$501,3,FALSE),IF(AND(AQ8&gt;$C$5,AQ8&lt;$C$6,(AQ8-$C$5)=Parameters!$G$397),Parameters!$G$410,IF(AND(AQ8&gt;$C$5,AQ8&lt;$C$6,(AQ8-$C$5)=Parameters!$G$396),Parameters!$G$409,0)))*(1+Parameters!$G$13)^(AQ$8-$G$8)/1000</f>
        <v>0</v>
      </c>
      <c r="AR10" s="536">
        <f>IF(AR$8=$C$4,VLOOKUP($B10,Parameters!$E$377:$G$501,3,FALSE),IF(AND(AR8&gt;$C$5,AR8&lt;$C$6,(AR8-$C$5)=Parameters!$G$397),Parameters!$G$410,IF(AND(AR8&gt;$C$5,AR8&lt;$C$6,(AR8-$C$5)=Parameters!$G$396),Parameters!$G$409,0)))*(1+Parameters!$G$13)^(AR$8-$G$8)/1000</f>
        <v>0</v>
      </c>
      <c r="AS10" s="536">
        <f>IF(AS$8=$C$4,VLOOKUP($B10,Parameters!$E$377:$G$501,3,FALSE),IF(AND(AS8&gt;$C$5,AS8&lt;$C$6,(AS8-$C$5)=Parameters!$G$397),Parameters!$G$410,IF(AND(AS8&gt;$C$5,AS8&lt;$C$6,(AS8-$C$5)=Parameters!$G$396),Parameters!$G$409,0)))*(1+Parameters!$G$13)^(AS$8-$G$8)/1000</f>
        <v>0</v>
      </c>
      <c r="AT10" s="536">
        <f>IF(AT$8=$C$4,VLOOKUP($B10,Parameters!$E$377:$G$501,3,FALSE),IF(AND(AT8&gt;$C$5,AT8&lt;$C$6,(AT8-$C$5)=Parameters!$G$397),Parameters!$G$410,IF(AND(AT8&gt;$C$5,AT8&lt;$C$6,(AT8-$C$5)=Parameters!$G$396),Parameters!$G$409,0)))*(1+Parameters!$G$13)^(AT$8-$G$8)/1000</f>
        <v>0</v>
      </c>
      <c r="AU10" s="536">
        <f>IF(AU$8=$C$4,VLOOKUP($B10,Parameters!$E$377:$G$501,3,FALSE),IF(AND(AU8&gt;$C$5,AU8&lt;$C$6,(AU8-$C$5)=Parameters!$G$397),Parameters!$G$410,IF(AND(AU8&gt;$C$5,AU8&lt;$C$6,(AU8-$C$5)=Parameters!$G$396),Parameters!$G$409,0)))*(1+Parameters!$G$13)^(AU$8-$G$8)/1000</f>
        <v>0</v>
      </c>
      <c r="AV10" s="536">
        <f>IF(AV$8=$C$4,VLOOKUP($B10,Parameters!$E$377:$G$501,3,FALSE),IF(AND(AV8&gt;$C$5,AV8&lt;$C$6,(AV8-$C$5)=Parameters!$G$397),Parameters!$G$410,IF(AND(AV8&gt;$C$5,AV8&lt;$C$6,(AV8-$C$5)=Parameters!$G$396),Parameters!$G$409,0)))*(1+Parameters!$G$13)^(AV$8-$G$8)/1000</f>
        <v>0</v>
      </c>
      <c r="AW10" s="536">
        <f>IF(AW$8=$C$4,VLOOKUP($B10,Parameters!$E$377:$G$501,3,FALSE),IF(AND(AW8&gt;$C$5,AW8&lt;$C$6,(AW8-$C$5)=Parameters!$G$397),Parameters!$G$410,IF(AND(AW8&gt;$C$5,AW8&lt;$C$6,(AW8-$C$5)=Parameters!$G$396),Parameters!$G$409,0)))*(1+Parameters!$G$13)^(AW$8-$G$8)/1000</f>
        <v>0</v>
      </c>
      <c r="AX10" s="536">
        <f>IF(AX$8=$C$4,VLOOKUP($B10,Parameters!$E$377:$G$501,3,FALSE),IF(AND(AX8&gt;$C$5,AX8&lt;$C$6,(AX8-$C$5)=Parameters!$G$397),Parameters!$G$410,IF(AND(AX8&gt;$C$5,AX8&lt;$C$6,(AX8-$C$5)=Parameters!$G$396),Parameters!$G$409,0)))*(1+Parameters!$G$13)^(AX$8-$G$8)/1000</f>
        <v>0</v>
      </c>
      <c r="AY10" s="536">
        <f>IF(AY$8=$C$4,VLOOKUP($B10,Parameters!$E$377:$G$501,3,FALSE),IF(AND(AY8&gt;$C$5,AY8&lt;$C$6,(AY8-$C$5)=Parameters!$G$397),Parameters!$G$410,IF(AND(AY8&gt;$C$5,AY8&lt;$C$6,(AY8-$C$5)=Parameters!$G$396),Parameters!$G$409,0)))*(1+Parameters!$G$13)^(AY$8-$G$8)/1000</f>
        <v>0</v>
      </c>
      <c r="AZ10" s="536">
        <f>IF(AZ$8=$C$4,VLOOKUP($B10,Parameters!$E$377:$G$501,3,FALSE),IF(AND(AZ8&gt;$C$5,AZ8&lt;$C$6,(AZ8-$C$5)=Parameters!$G$397),Parameters!$G$410,IF(AND(AZ8&gt;$C$5,AZ8&lt;$C$6,(AZ8-$C$5)=Parameters!$G$396),Parameters!$G$409,0)))*(1+Parameters!$G$13)^(AZ$8-$G$8)/1000</f>
        <v>0</v>
      </c>
      <c r="BA10" s="536">
        <f>IF(BA$8=$C$4,VLOOKUP($B10,Parameters!$E$377:$G$501,3,FALSE),IF(AND(BA8&gt;$C$5,BA8&lt;$C$6,(BA8-$C$5)=Parameters!$G$397),Parameters!$G$410,IF(AND(BA8&gt;$C$5,BA8&lt;$C$6,(BA8-$C$5)=Parameters!$G$396),Parameters!$G$409,0)))*(1+Parameters!$G$13)^(BA$8-$G$8)/1000</f>
        <v>0</v>
      </c>
      <c r="BB10" s="536">
        <f>IF(BB$8=$C$4,VLOOKUP($B10,Parameters!$E$377:$G$501,3,FALSE),IF(AND(BB8&gt;$C$5,BB8&lt;$C$6,(BB8-$C$5)=Parameters!$G$397),Parameters!$G$410,IF(AND(BB8&gt;$C$5,BB8&lt;$C$6,(BB8-$C$5)=Parameters!$G$396),Parameters!$G$409,0)))*(1+Parameters!$G$13)^(BB$8-$G$8)/1000</f>
        <v>0</v>
      </c>
    </row>
    <row r="11" spans="2:54" x14ac:dyDescent="0.25">
      <c r="B11" s="478" t="str">
        <f>Parameters!E421</f>
        <v>Capex desalination unit</v>
      </c>
      <c r="C11" s="511" t="s">
        <v>979</v>
      </c>
      <c r="D11" s="538">
        <f t="shared" ref="D11:D19" si="10">SUM(G11:BB11)</f>
        <v>1068.3668877394884</v>
      </c>
      <c r="E11" s="538">
        <f t="shared" ref="E11:E19" si="11">G11+NPV($C$43,H11:BB11)</f>
        <v>340.41461505510182</v>
      </c>
      <c r="F11" s="478"/>
      <c r="G11" s="527">
        <f>IF(G$8=$C$4,VLOOKUP($B11,Parameters!$E$377:$G$501,3,FALSE),0)*(1+Parameters!$G$13)^(G$8-$G$8)/1000</f>
        <v>0</v>
      </c>
      <c r="H11" s="527">
        <f>IF(H$8=$C$4,VLOOKUP($B11,Parameters!$E$377:$G$501,3,FALSE),0)*(1+Parameters!$G$13)^(H$8-$G$8)/1000</f>
        <v>0</v>
      </c>
      <c r="I11" s="527">
        <f>IF(I$8=$C$4,VLOOKUP($B11,Parameters!$E$377:$G$501,3,FALSE),0)*(1+Parameters!$G$13)^(I$8-$G$8)/1000</f>
        <v>0</v>
      </c>
      <c r="J11" s="527">
        <f>IF(J$8=$C$4,VLOOKUP($B11,Parameters!$E$377:$G$501,3,FALSE),0)*(1+Parameters!$G$13)^(J$8-$G$8)/1000</f>
        <v>0</v>
      </c>
      <c r="K11" s="527">
        <f>IF(K$8=$C$4,VLOOKUP($B11,Parameters!$E$377:$G$501,3,FALSE),0)*(1+Parameters!$G$13)^(K$8-$G$8)/1000</f>
        <v>0</v>
      </c>
      <c r="L11" s="527">
        <f>IF(L$8=$C$4,VLOOKUP($B11,Parameters!$E$377:$G$501,3,FALSE),0)*(1+Parameters!$G$13)^(L$8-$G$8)/1000</f>
        <v>0</v>
      </c>
      <c r="M11" s="527">
        <f>IF(M$8=$C$4,VLOOKUP($B11,Parameters!$E$377:$G$501,3,FALSE),0)*(1+Parameters!$G$13)^(M$8-$G$8)/1000</f>
        <v>0</v>
      </c>
      <c r="N11" s="527">
        <f>IF(N$8=$C$4,VLOOKUP($B11,Parameters!$E$377:$G$501,3,FALSE),0)*(1+Parameters!$G$13)^(N$8-$G$8)/1000</f>
        <v>0</v>
      </c>
      <c r="O11" s="527">
        <f>IF(O$8=$C$4,VLOOKUP($B11,Parameters!$E$377:$G$501,3,FALSE),0)*(1+Parameters!$G$13)^(O$8-$G$8)/1000</f>
        <v>0</v>
      </c>
      <c r="P11" s="527">
        <f>IF(P$8=$C$4,VLOOKUP($B11,Parameters!$E$377:$G$501,3,FALSE),0)*(1+Parameters!$G$13)^(P$8-$G$8)/1000</f>
        <v>0</v>
      </c>
      <c r="Q11" s="527">
        <f>IF(Q$8=$C$4,VLOOKUP($B11,Parameters!$E$377:$G$501,3,FALSE),0)*(1+Parameters!$G$13)^(Q$8-$G$8)/1000</f>
        <v>0</v>
      </c>
      <c r="R11" s="527">
        <f>IF(R$8=$C$4,VLOOKUP($B11,Parameters!$E$377:$G$501,3,FALSE),0)*(1+Parameters!$G$13)^(R$8-$G$8)/1000</f>
        <v>0</v>
      </c>
      <c r="S11" s="527">
        <f>IF(S$8=$C$4,VLOOKUP($B11,Parameters!$E$377:$G$501,3,FALSE),0)*(1+Parameters!$G$13)^(S$8-$G$8)/1000</f>
        <v>1068.3668877394884</v>
      </c>
      <c r="T11" s="527">
        <f>IF(T$8=$C$4,VLOOKUP($B11,Parameters!$E$377:$G$501,3,FALSE),0)*(1+Parameters!$G$13)^(T$8-$G$8)/1000</f>
        <v>0</v>
      </c>
      <c r="U11" s="527">
        <f>IF(U$8=$C$4,VLOOKUP($B11,Parameters!$E$377:$G$501,3,FALSE),0)*(1+Parameters!$G$13)^(U$8-$G$8)/1000</f>
        <v>0</v>
      </c>
      <c r="V11" s="527">
        <f>IF(V$8=$C$4,VLOOKUP($B11,Parameters!$E$377:$G$501,3,FALSE),0)*(1+Parameters!$G$13)^(V$8-$G$8)/1000</f>
        <v>0</v>
      </c>
      <c r="W11" s="527">
        <f>IF(W$8=$C$4,VLOOKUP($B11,Parameters!$E$377:$G$501,3,FALSE),0)*(1+Parameters!$G$13)^(W$8-$G$8)/1000</f>
        <v>0</v>
      </c>
      <c r="X11" s="527">
        <f>IF(X$8=$C$4,VLOOKUP($B11,Parameters!$E$377:$G$501,3,FALSE),0)*(1+Parameters!$G$13)^(X$8-$G$8)/1000</f>
        <v>0</v>
      </c>
      <c r="Y11" s="527">
        <f>IF(Y$8=$C$4,VLOOKUP($B11,Parameters!$E$377:$G$501,3,FALSE),0)*(1+Parameters!$G$13)^(Y$8-$G$8)/1000</f>
        <v>0</v>
      </c>
      <c r="Z11" s="527">
        <f>IF(Z$8=$C$4,VLOOKUP($B11,Parameters!$E$377:$G$501,3,FALSE),0)*(1+Parameters!$G$13)^(Z$8-$G$8)/1000</f>
        <v>0</v>
      </c>
      <c r="AA11" s="527">
        <f>IF(AA$8=$C$4,VLOOKUP($B11,Parameters!$E$377:$G$501,3,FALSE),0)*(1+Parameters!$G$13)^(AA$8-$G$8)/1000</f>
        <v>0</v>
      </c>
      <c r="AB11" s="527">
        <f>IF(AB$8=$C$4,VLOOKUP($B11,Parameters!$E$377:$G$501,3,FALSE),0)*(1+Parameters!$G$13)^(AB$8-$G$8)/1000</f>
        <v>0</v>
      </c>
      <c r="AC11" s="527">
        <f>IF(AC$8=$C$4,VLOOKUP($B11,Parameters!$E$377:$G$501,3,FALSE),0)*(1+Parameters!$G$13)^(AC$8-$G$8)/1000</f>
        <v>0</v>
      </c>
      <c r="AD11" s="527">
        <f>IF(AD$8=$C$4,VLOOKUP($B11,Parameters!$E$377:$G$501,3,FALSE),0)*(1+Parameters!$G$13)^(AD$8-$G$8)/1000</f>
        <v>0</v>
      </c>
      <c r="AE11" s="527">
        <f>IF(AE$8=$C$4,VLOOKUP($B11,Parameters!$E$377:$G$501,3,FALSE),0)*(1+Parameters!$G$13)^(AE$8-$G$8)/1000</f>
        <v>0</v>
      </c>
      <c r="AF11" s="527">
        <f>IF(AF$8=$C$4,VLOOKUP($B11,Parameters!$E$377:$G$501,3,FALSE),0)*(1+Parameters!$G$13)^(AF$8-$G$8)/1000</f>
        <v>0</v>
      </c>
      <c r="AG11" s="527">
        <f>IF(AG$8=$C$4,VLOOKUP($B11,Parameters!$E$377:$G$501,3,FALSE),0)*(1+Parameters!$G$13)^(AG$8-$G$8)/1000</f>
        <v>0</v>
      </c>
      <c r="AH11" s="527">
        <f>IF(AH$8=$C$4,VLOOKUP($B11,Parameters!$E$377:$G$501,3,FALSE),0)*(1+Parameters!$G$13)^(AH$8-$G$8)/1000</f>
        <v>0</v>
      </c>
      <c r="AI11" s="527">
        <f>IF(AI$8=$C$4,VLOOKUP($B11,Parameters!$E$377:$G$501,3,FALSE),0)*(1+Parameters!$G$13)^(AI$8-$G$8)/1000</f>
        <v>0</v>
      </c>
      <c r="AJ11" s="527">
        <f>IF(AJ$8=$C$4,VLOOKUP($B11,Parameters!$E$377:$G$501,3,FALSE),0)*(1+Parameters!$G$13)^(AJ$8-$G$8)/1000</f>
        <v>0</v>
      </c>
      <c r="AK11" s="527">
        <f>IF(AK$8=$C$4,VLOOKUP($B11,Parameters!$E$377:$G$501,3,FALSE),0)*(1+Parameters!$G$13)^(AK$8-$G$8)/1000</f>
        <v>0</v>
      </c>
      <c r="AL11" s="527">
        <f>IF(AL$8=$C$4,VLOOKUP($B11,Parameters!$E$377:$G$501,3,FALSE),0)*(1+Parameters!$G$13)^(AL$8-$G$8)/1000</f>
        <v>0</v>
      </c>
      <c r="AM11" s="527">
        <f>IF(AM$8=$C$4,VLOOKUP($B11,Parameters!$E$377:$G$501,3,FALSE),0)*(1+Parameters!$G$13)^(AM$8-$G$8)/1000</f>
        <v>0</v>
      </c>
      <c r="AN11" s="527">
        <f>IF(AN$8=$C$4,VLOOKUP($B11,Parameters!$E$377:$G$501,3,FALSE),0)*(1+Parameters!$G$13)^(AN$8-$G$8)/1000</f>
        <v>0</v>
      </c>
      <c r="AO11" s="527">
        <f>IF(AO$8=$C$4,VLOOKUP($B11,Parameters!$E$377:$G$501,3,FALSE),0)*(1+Parameters!$G$13)^(AO$8-$G$8)/1000</f>
        <v>0</v>
      </c>
      <c r="AP11" s="527">
        <f>IF(AP$8=$C$4,VLOOKUP($B11,Parameters!$E$377:$G$501,3,FALSE),0)*(1+Parameters!$G$13)^(AP$8-$G$8)/1000</f>
        <v>0</v>
      </c>
      <c r="AQ11" s="527">
        <f>IF(AQ$8=$C$4,VLOOKUP($B11,Parameters!$E$377:$G$501,3,FALSE),0)*(1+Parameters!$G$13)^(AQ$8-$G$8)/1000</f>
        <v>0</v>
      </c>
      <c r="AR11" s="527">
        <f>IF(AR$8=$C$4,VLOOKUP($B11,Parameters!$E$377:$G$501,3,FALSE),0)*(1+Parameters!$G$13)^(AR$8-$G$8)/1000</f>
        <v>0</v>
      </c>
      <c r="AS11" s="527">
        <f>IF(AS$8=$C$4,VLOOKUP($B11,Parameters!$E$377:$G$501,3,FALSE),0)*(1+Parameters!$G$13)^(AS$8-$G$8)/1000</f>
        <v>0</v>
      </c>
      <c r="AT11" s="527">
        <f>IF(AT$8=$C$4,VLOOKUP($B11,Parameters!$E$377:$G$501,3,FALSE),0)*(1+Parameters!$G$13)^(AT$8-$G$8)/1000</f>
        <v>0</v>
      </c>
      <c r="AU11" s="527">
        <f>IF(AU$8=$C$4,VLOOKUP($B11,Parameters!$E$377:$G$501,3,FALSE),0)*(1+Parameters!$G$13)^(AU$8-$G$8)/1000</f>
        <v>0</v>
      </c>
      <c r="AV11" s="527">
        <f>IF(AV$8=$C$4,VLOOKUP($B11,Parameters!$E$377:$G$501,3,FALSE),0)*(1+Parameters!$G$13)^(AV$8-$G$8)/1000</f>
        <v>0</v>
      </c>
      <c r="AW11" s="527">
        <f>IF(AW$8=$C$4,VLOOKUP($B11,Parameters!$E$377:$G$501,3,FALSE),0)*(1+Parameters!$G$13)^(AW$8-$G$8)/1000</f>
        <v>0</v>
      </c>
      <c r="AX11" s="527">
        <f>IF(AX$8=$C$4,VLOOKUP($B11,Parameters!$E$377:$G$501,3,FALSE),0)*(1+Parameters!$G$13)^(AX$8-$G$8)/1000</f>
        <v>0</v>
      </c>
      <c r="AY11" s="527">
        <f>IF(AY$8=$C$4,VLOOKUP($B11,Parameters!$E$377:$G$501,3,FALSE),0)*(1+Parameters!$G$13)^(AY$8-$G$8)/1000</f>
        <v>0</v>
      </c>
      <c r="AZ11" s="527">
        <f>IF(AZ$8=$C$4,VLOOKUP($B11,Parameters!$E$377:$G$501,3,FALSE),0)*(1+Parameters!$G$13)^(AZ$8-$G$8)/1000</f>
        <v>0</v>
      </c>
      <c r="BA11" s="527">
        <f>IF(BA$8=$C$4,VLOOKUP($B11,Parameters!$E$377:$G$501,3,FALSE),0)*(1+Parameters!$G$13)^(BA$8-$G$8)/1000</f>
        <v>0</v>
      </c>
      <c r="BB11" s="527">
        <f>IF(BB$8=$C$4,VLOOKUP($B11,Parameters!$E$377:$G$501,3,FALSE),0)*(1+Parameters!$G$13)^(BB$8-$G$8)/1000</f>
        <v>0</v>
      </c>
    </row>
    <row r="12" spans="2:54" x14ac:dyDescent="0.25">
      <c r="B12" s="478" t="str">
        <f>Parameters!E438</f>
        <v>Capex compressor</v>
      </c>
      <c r="C12" s="511" t="s">
        <v>979</v>
      </c>
      <c r="D12" s="512">
        <f t="shared" si="10"/>
        <v>2463.4084612246852</v>
      </c>
      <c r="E12" s="512">
        <f t="shared" si="11"/>
        <v>784.91785235463237</v>
      </c>
      <c r="F12" s="478"/>
      <c r="G12" s="527">
        <f>IF(G$8=$C$4,VLOOKUP($B12,Parameters!$E$377:$G$501,3,FALSE),0)*(1+Parameters!$G$13)^(G$8-$G$8)/1000</f>
        <v>0</v>
      </c>
      <c r="H12" s="527">
        <f>IF(H$8=$C$4,VLOOKUP($B12,Parameters!$E$377:$G$501,3,FALSE),0)*(1+Parameters!$G$13)^(H$8-$G$8)/1000</f>
        <v>0</v>
      </c>
      <c r="I12" s="527">
        <f>IF(I$8=$C$4,VLOOKUP($B12,Parameters!$E$377:$G$501,3,FALSE),0)*(1+Parameters!$G$13)^(I$8-$G$8)/1000</f>
        <v>0</v>
      </c>
      <c r="J12" s="527">
        <f>IF(J$8=$C$4,VLOOKUP($B12,Parameters!$E$377:$G$501,3,FALSE),0)*(1+Parameters!$G$13)^(J$8-$G$8)/1000</f>
        <v>0</v>
      </c>
      <c r="K12" s="527">
        <f>IF(K$8=$C$4,VLOOKUP($B12,Parameters!$E$377:$G$501,3,FALSE),0)*(1+Parameters!$G$13)^(K$8-$G$8)/1000</f>
        <v>0</v>
      </c>
      <c r="L12" s="527">
        <f>IF(L$8=$C$4,VLOOKUP($B12,Parameters!$E$377:$G$501,3,FALSE),0)*(1+Parameters!$G$13)^(L$8-$G$8)/1000</f>
        <v>0</v>
      </c>
      <c r="M12" s="527">
        <f>IF(M$8=$C$4,VLOOKUP($B12,Parameters!$E$377:$G$501,3,FALSE),0)*(1+Parameters!$G$13)^(M$8-$G$8)/1000</f>
        <v>0</v>
      </c>
      <c r="N12" s="527">
        <f>IF(N$8=$C$4,VLOOKUP($B12,Parameters!$E$377:$G$501,3,FALSE),0)*(1+Parameters!$G$13)^(N$8-$G$8)/1000</f>
        <v>0</v>
      </c>
      <c r="O12" s="527">
        <f>IF(O$8=$C$4,VLOOKUP($B12,Parameters!$E$377:$G$501,3,FALSE),0)*(1+Parameters!$G$13)^(O$8-$G$8)/1000</f>
        <v>0</v>
      </c>
      <c r="P12" s="527">
        <f>IF(P$8=$C$4,VLOOKUP($B12,Parameters!$E$377:$G$501,3,FALSE),0)*(1+Parameters!$G$13)^(P$8-$G$8)/1000</f>
        <v>0</v>
      </c>
      <c r="Q12" s="527">
        <f>IF(Q$8=$C$4,VLOOKUP($B12,Parameters!$E$377:$G$501,3,FALSE),0)*(1+Parameters!$G$13)^(Q$8-$G$8)/1000</f>
        <v>0</v>
      </c>
      <c r="R12" s="527">
        <f>IF(R$8=$C$4,VLOOKUP($B12,Parameters!$E$377:$G$501,3,FALSE),0)*(1+Parameters!$G$13)^(R$8-$G$8)/1000</f>
        <v>0</v>
      </c>
      <c r="S12" s="527">
        <f>IF(S$8=$C$4,VLOOKUP($B12,Parameters!$E$377:$G$501,3,FALSE),0)*(1+Parameters!$G$13)^(S$8-$G$8)/1000</f>
        <v>2463.4084612246852</v>
      </c>
      <c r="T12" s="527">
        <f>IF(T$8=$C$4,VLOOKUP($B12,Parameters!$E$377:$G$501,3,FALSE),0)*(1+Parameters!$G$13)^(T$8-$G$8)/1000</f>
        <v>0</v>
      </c>
      <c r="U12" s="527">
        <f>IF(U$8=$C$4,VLOOKUP($B12,Parameters!$E$377:$G$501,3,FALSE),0)*(1+Parameters!$G$13)^(U$8-$G$8)/1000</f>
        <v>0</v>
      </c>
      <c r="V12" s="527">
        <f>IF(V$8=$C$4,VLOOKUP($B12,Parameters!$E$377:$G$501,3,FALSE),0)*(1+Parameters!$G$13)^(V$8-$G$8)/1000</f>
        <v>0</v>
      </c>
      <c r="W12" s="527">
        <f>IF(W$8=$C$4,VLOOKUP($B12,Parameters!$E$377:$G$501,3,FALSE),0)*(1+Parameters!$G$13)^(W$8-$G$8)/1000</f>
        <v>0</v>
      </c>
      <c r="X12" s="527">
        <f>IF(X$8=$C$4,VLOOKUP($B12,Parameters!$E$377:$G$501,3,FALSE),0)*(1+Parameters!$G$13)^(X$8-$G$8)/1000</f>
        <v>0</v>
      </c>
      <c r="Y12" s="527">
        <f>IF(Y$8=$C$4,VLOOKUP($B12,Parameters!$E$377:$G$501,3,FALSE),0)*(1+Parameters!$G$13)^(Y$8-$G$8)/1000</f>
        <v>0</v>
      </c>
      <c r="Z12" s="527">
        <f>IF(Z$8=$C$4,VLOOKUP($B12,Parameters!$E$377:$G$501,3,FALSE),0)*(1+Parameters!$G$13)^(Z$8-$G$8)/1000</f>
        <v>0</v>
      </c>
      <c r="AA12" s="527">
        <f>IF(AA$8=$C$4,VLOOKUP($B12,Parameters!$E$377:$G$501,3,FALSE),0)*(1+Parameters!$G$13)^(AA$8-$G$8)/1000</f>
        <v>0</v>
      </c>
      <c r="AB12" s="527">
        <f>IF(AB$8=$C$4,VLOOKUP($B12,Parameters!$E$377:$G$501,3,FALSE),0)*(1+Parameters!$G$13)^(AB$8-$G$8)/1000</f>
        <v>0</v>
      </c>
      <c r="AC12" s="527">
        <f>IF(AC$8=$C$4,VLOOKUP($B12,Parameters!$E$377:$G$501,3,FALSE),0)*(1+Parameters!$G$13)^(AC$8-$G$8)/1000</f>
        <v>0</v>
      </c>
      <c r="AD12" s="527">
        <f>IF(AD$8=$C$4,VLOOKUP($B12,Parameters!$E$377:$G$501,3,FALSE),0)*(1+Parameters!$G$13)^(AD$8-$G$8)/1000</f>
        <v>0</v>
      </c>
      <c r="AE12" s="527">
        <f>IF(AE$8=$C$4,VLOOKUP($B12,Parameters!$E$377:$G$501,3,FALSE),0)*(1+Parameters!$G$13)^(AE$8-$G$8)/1000</f>
        <v>0</v>
      </c>
      <c r="AF12" s="527">
        <f>IF(AF$8=$C$4,VLOOKUP($B12,Parameters!$E$377:$G$501,3,FALSE),0)*(1+Parameters!$G$13)^(AF$8-$G$8)/1000</f>
        <v>0</v>
      </c>
      <c r="AG12" s="527">
        <f>IF(AG$8=$C$4,VLOOKUP($B12,Parameters!$E$377:$G$501,3,FALSE),0)*(1+Parameters!$G$13)^(AG$8-$G$8)/1000</f>
        <v>0</v>
      </c>
      <c r="AH12" s="527">
        <f>IF(AH$8=$C$4,VLOOKUP($B12,Parameters!$E$377:$G$501,3,FALSE),0)*(1+Parameters!$G$13)^(AH$8-$G$8)/1000</f>
        <v>0</v>
      </c>
      <c r="AI12" s="527">
        <f>IF(AI$8=$C$4,VLOOKUP($B12,Parameters!$E$377:$G$501,3,FALSE),0)*(1+Parameters!$G$13)^(AI$8-$G$8)/1000</f>
        <v>0</v>
      </c>
      <c r="AJ12" s="527">
        <f>IF(AJ$8=$C$4,VLOOKUP($B12,Parameters!$E$377:$G$501,3,FALSE),0)*(1+Parameters!$G$13)^(AJ$8-$G$8)/1000</f>
        <v>0</v>
      </c>
      <c r="AK12" s="527">
        <f>IF(AK$8=$C$4,VLOOKUP($B12,Parameters!$E$377:$G$501,3,FALSE),0)*(1+Parameters!$G$13)^(AK$8-$G$8)/1000</f>
        <v>0</v>
      </c>
      <c r="AL12" s="527">
        <f>IF(AL$8=$C$4,VLOOKUP($B12,Parameters!$E$377:$G$501,3,FALSE),0)*(1+Parameters!$G$13)^(AL$8-$G$8)/1000</f>
        <v>0</v>
      </c>
      <c r="AM12" s="527">
        <f>IF(AM$8=$C$4,VLOOKUP($B12,Parameters!$E$377:$G$501,3,FALSE),0)*(1+Parameters!$G$13)^(AM$8-$G$8)/1000</f>
        <v>0</v>
      </c>
      <c r="AN12" s="527">
        <f>IF(AN$8=$C$4,VLOOKUP($B12,Parameters!$E$377:$G$501,3,FALSE),0)*(1+Parameters!$G$13)^(AN$8-$G$8)/1000</f>
        <v>0</v>
      </c>
      <c r="AO12" s="527">
        <f>IF(AO$8=$C$4,VLOOKUP($B12,Parameters!$E$377:$G$501,3,FALSE),0)*(1+Parameters!$G$13)^(AO$8-$G$8)/1000</f>
        <v>0</v>
      </c>
      <c r="AP12" s="527">
        <f>IF(AP$8=$C$4,VLOOKUP($B12,Parameters!$E$377:$G$501,3,FALSE),0)*(1+Parameters!$G$13)^(AP$8-$G$8)/1000</f>
        <v>0</v>
      </c>
      <c r="AQ12" s="527">
        <f>IF(AQ$8=$C$4,VLOOKUP($B12,Parameters!$E$377:$G$501,3,FALSE),0)*(1+Parameters!$G$13)^(AQ$8-$G$8)/1000</f>
        <v>0</v>
      </c>
      <c r="AR12" s="527">
        <f>IF(AR$8=$C$4,VLOOKUP($B12,Parameters!$E$377:$G$501,3,FALSE),0)*(1+Parameters!$G$13)^(AR$8-$G$8)/1000</f>
        <v>0</v>
      </c>
      <c r="AS12" s="527">
        <f>IF(AS$8=$C$4,VLOOKUP($B12,Parameters!$E$377:$G$501,3,FALSE),0)*(1+Parameters!$G$13)^(AS$8-$G$8)/1000</f>
        <v>0</v>
      </c>
      <c r="AT12" s="527">
        <f>IF(AT$8=$C$4,VLOOKUP($B12,Parameters!$E$377:$G$501,3,FALSE),0)*(1+Parameters!$G$13)^(AT$8-$G$8)/1000</f>
        <v>0</v>
      </c>
      <c r="AU12" s="527">
        <f>IF(AU$8=$C$4,VLOOKUP($B12,Parameters!$E$377:$G$501,3,FALSE),0)*(1+Parameters!$G$13)^(AU$8-$G$8)/1000</f>
        <v>0</v>
      </c>
      <c r="AV12" s="527">
        <f>IF(AV$8=$C$4,VLOOKUP($B12,Parameters!$E$377:$G$501,3,FALSE),0)*(1+Parameters!$G$13)^(AV$8-$G$8)/1000</f>
        <v>0</v>
      </c>
      <c r="AW12" s="527">
        <f>IF(AW$8=$C$4,VLOOKUP($B12,Parameters!$E$377:$G$501,3,FALSE),0)*(1+Parameters!$G$13)^(AW$8-$G$8)/1000</f>
        <v>0</v>
      </c>
      <c r="AX12" s="527">
        <f>IF(AX$8=$C$4,VLOOKUP($B12,Parameters!$E$377:$G$501,3,FALSE),0)*(1+Parameters!$G$13)^(AX$8-$G$8)/1000</f>
        <v>0</v>
      </c>
      <c r="AY12" s="527">
        <f>IF(AY$8=$C$4,VLOOKUP($B12,Parameters!$E$377:$G$501,3,FALSE),0)*(1+Parameters!$G$13)^(AY$8-$G$8)/1000</f>
        <v>0</v>
      </c>
      <c r="AZ12" s="527">
        <f>IF(AZ$8=$C$4,VLOOKUP($B12,Parameters!$E$377:$G$501,3,FALSE),0)*(1+Parameters!$G$13)^(AZ$8-$G$8)/1000</f>
        <v>0</v>
      </c>
      <c r="BA12" s="527">
        <f>IF(BA$8=$C$4,VLOOKUP($B12,Parameters!$E$377:$G$501,3,FALSE),0)*(1+Parameters!$G$13)^(BA$8-$G$8)/1000</f>
        <v>0</v>
      </c>
      <c r="BB12" s="527">
        <f>IF(BB$8=$C$4,VLOOKUP($B12,Parameters!$E$377:$G$501,3,FALSE),0)*(1+Parameters!$G$13)^(BB$8-$G$8)/1000</f>
        <v>0</v>
      </c>
    </row>
    <row r="13" spans="2:54" x14ac:dyDescent="0.25">
      <c r="B13" s="478" t="str">
        <f>Parameters!E471</f>
        <v>Capex existing pipeline</v>
      </c>
      <c r="C13" s="511" t="s">
        <v>979</v>
      </c>
      <c r="D13" s="512">
        <f t="shared" si="10"/>
        <v>0</v>
      </c>
      <c r="E13" s="512">
        <f t="shared" si="11"/>
        <v>0</v>
      </c>
      <c r="F13" s="478"/>
      <c r="G13" s="527">
        <f>IF(G$8=$C$4,VLOOKUP($B13,Parameters!$E$377:$G$501,3,FALSE),0)*(1+Parameters!$G$13)^(G$8-$G$8)/1000</f>
        <v>0</v>
      </c>
      <c r="H13" s="527">
        <f>IF(H$8=$C$4,VLOOKUP($B13,Parameters!$E$377:$G$501,3,FALSE),0)*(1+Parameters!$G$13)^(H$8-$G$8)/1000</f>
        <v>0</v>
      </c>
      <c r="I13" s="527">
        <f>IF(I$8=$C$4,VLOOKUP($B13,Parameters!$E$377:$G$501,3,FALSE),0)*(1+Parameters!$G$13)^(I$8-$G$8)/1000</f>
        <v>0</v>
      </c>
      <c r="J13" s="527">
        <f>IF(J$8=$C$4,VLOOKUP($B13,Parameters!$E$377:$G$501,3,FALSE),0)*(1+Parameters!$G$13)^(J$8-$G$8)/1000</f>
        <v>0</v>
      </c>
      <c r="K13" s="527">
        <f>IF(K$8=$C$4,VLOOKUP($B13,Parameters!$E$377:$G$501,3,FALSE),0)*(1+Parameters!$G$13)^(K$8-$G$8)/1000</f>
        <v>0</v>
      </c>
      <c r="L13" s="527">
        <f>IF(L$8=$C$4,VLOOKUP($B13,Parameters!$E$377:$G$501,3,FALSE),0)*(1+Parameters!$G$13)^(L$8-$G$8)/1000</f>
        <v>0</v>
      </c>
      <c r="M13" s="527">
        <f>IF(M$8=$C$4,VLOOKUP($B13,Parameters!$E$377:$G$501,3,FALSE),0)*(1+Parameters!$G$13)^(M$8-$G$8)/1000</f>
        <v>0</v>
      </c>
      <c r="N13" s="527">
        <f>IF(N$8=$C$4,VLOOKUP($B13,Parameters!$E$377:$G$501,3,FALSE),0)*(1+Parameters!$G$13)^(N$8-$G$8)/1000</f>
        <v>0</v>
      </c>
      <c r="O13" s="527">
        <f>IF(O$8=$C$4,VLOOKUP($B13,Parameters!$E$377:$G$501,3,FALSE),0)*(1+Parameters!$G$13)^(O$8-$G$8)/1000</f>
        <v>0</v>
      </c>
      <c r="P13" s="527">
        <f>IF(P$8=$C$4,VLOOKUP($B13,Parameters!$E$377:$G$501,3,FALSE),0)*(1+Parameters!$G$13)^(P$8-$G$8)/1000</f>
        <v>0</v>
      </c>
      <c r="Q13" s="527">
        <f>IF(Q$8=$C$4,VLOOKUP($B13,Parameters!$E$377:$G$501,3,FALSE),0)*(1+Parameters!$G$13)^(Q$8-$G$8)/1000</f>
        <v>0</v>
      </c>
      <c r="R13" s="527">
        <f>IF(R$8=$C$4,VLOOKUP($B13,Parameters!$E$377:$G$501,3,FALSE),0)*(1+Parameters!$G$13)^(R$8-$G$8)/1000</f>
        <v>0</v>
      </c>
      <c r="S13" s="527">
        <f>IF(S$8=$C$4,VLOOKUP($B13,Parameters!$E$377:$G$501,3,FALSE),0)*(1+Parameters!$G$13)^(S$8-$G$8)/1000</f>
        <v>0</v>
      </c>
      <c r="T13" s="527">
        <f>IF(T$8=$C$4,VLOOKUP($B13,Parameters!$E$377:$G$501,3,FALSE),0)*(1+Parameters!$G$13)^(T$8-$G$8)/1000</f>
        <v>0</v>
      </c>
      <c r="U13" s="527">
        <f>IF(U$8=$C$4,VLOOKUP($B13,Parameters!$E$377:$G$501,3,FALSE),0)*(1+Parameters!$G$13)^(U$8-$G$8)/1000</f>
        <v>0</v>
      </c>
      <c r="V13" s="527">
        <f>IF(V$8=$C$4,VLOOKUP($B13,Parameters!$E$377:$G$501,3,FALSE),0)*(1+Parameters!$G$13)^(V$8-$G$8)/1000</f>
        <v>0</v>
      </c>
      <c r="W13" s="527">
        <f>IF(W$8=$C$4,VLOOKUP($B13,Parameters!$E$377:$G$501,3,FALSE),0)*(1+Parameters!$G$13)^(W$8-$G$8)/1000</f>
        <v>0</v>
      </c>
      <c r="X13" s="527">
        <f>IF(X$8=$C$4,VLOOKUP($B13,Parameters!$E$377:$G$501,3,FALSE),0)*(1+Parameters!$G$13)^(X$8-$G$8)/1000</f>
        <v>0</v>
      </c>
      <c r="Y13" s="527">
        <f>IF(Y$8=$C$4,VLOOKUP($B13,Parameters!$E$377:$G$501,3,FALSE),0)*(1+Parameters!$G$13)^(Y$8-$G$8)/1000</f>
        <v>0</v>
      </c>
      <c r="Z13" s="527">
        <f>IF(Z$8=$C$4,VLOOKUP($B13,Parameters!$E$377:$G$501,3,FALSE),0)*(1+Parameters!$G$13)^(Z$8-$G$8)/1000</f>
        <v>0</v>
      </c>
      <c r="AA13" s="527">
        <f>IF(AA$8=$C$4,VLOOKUP($B13,Parameters!$E$377:$G$501,3,FALSE),0)*(1+Parameters!$G$13)^(AA$8-$G$8)/1000</f>
        <v>0</v>
      </c>
      <c r="AB13" s="527">
        <f>IF(AB$8=$C$4,VLOOKUP($B13,Parameters!$E$377:$G$501,3,FALSE),0)*(1+Parameters!$G$13)^(AB$8-$G$8)/1000</f>
        <v>0</v>
      </c>
      <c r="AC13" s="527">
        <f>IF(AC$8=$C$4,VLOOKUP($B13,Parameters!$E$377:$G$501,3,FALSE),0)*(1+Parameters!$G$13)^(AC$8-$G$8)/1000</f>
        <v>0</v>
      </c>
      <c r="AD13" s="527">
        <f>IF(AD$8=$C$4,VLOOKUP($B13,Parameters!$E$377:$G$501,3,FALSE),0)*(1+Parameters!$G$13)^(AD$8-$G$8)/1000</f>
        <v>0</v>
      </c>
      <c r="AE13" s="527">
        <f>IF(AE$8=$C$4,VLOOKUP($B13,Parameters!$E$377:$G$501,3,FALSE),0)*(1+Parameters!$G$13)^(AE$8-$G$8)/1000</f>
        <v>0</v>
      </c>
      <c r="AF13" s="527">
        <f>IF(AF$8=$C$4,VLOOKUP($B13,Parameters!$E$377:$G$501,3,FALSE),0)*(1+Parameters!$G$13)^(AF$8-$G$8)/1000</f>
        <v>0</v>
      </c>
      <c r="AG13" s="527">
        <f>IF(AG$8=$C$4,VLOOKUP($B13,Parameters!$E$377:$G$501,3,FALSE),0)*(1+Parameters!$G$13)^(AG$8-$G$8)/1000</f>
        <v>0</v>
      </c>
      <c r="AH13" s="527">
        <f>IF(AH$8=$C$4,VLOOKUP($B13,Parameters!$E$377:$G$501,3,FALSE),0)*(1+Parameters!$G$13)^(AH$8-$G$8)/1000</f>
        <v>0</v>
      </c>
      <c r="AI13" s="527">
        <f>IF(AI$8=$C$4,VLOOKUP($B13,Parameters!$E$377:$G$501,3,FALSE),0)*(1+Parameters!$G$13)^(AI$8-$G$8)/1000</f>
        <v>0</v>
      </c>
      <c r="AJ13" s="527">
        <f>IF(AJ$8=$C$4,VLOOKUP($B13,Parameters!$E$377:$G$501,3,FALSE),0)*(1+Parameters!$G$13)^(AJ$8-$G$8)/1000</f>
        <v>0</v>
      </c>
      <c r="AK13" s="527">
        <f>IF(AK$8=$C$4,VLOOKUP($B13,Parameters!$E$377:$G$501,3,FALSE),0)*(1+Parameters!$G$13)^(AK$8-$G$8)/1000</f>
        <v>0</v>
      </c>
      <c r="AL13" s="527">
        <f>IF(AL$8=$C$4,VLOOKUP($B13,Parameters!$E$377:$G$501,3,FALSE),0)*(1+Parameters!$G$13)^(AL$8-$G$8)/1000</f>
        <v>0</v>
      </c>
      <c r="AM13" s="527">
        <f>IF(AM$8=$C$4,VLOOKUP($B13,Parameters!$E$377:$G$501,3,FALSE),0)*(1+Parameters!$G$13)^(AM$8-$G$8)/1000</f>
        <v>0</v>
      </c>
      <c r="AN13" s="527">
        <f>IF(AN$8=$C$4,VLOOKUP($B13,Parameters!$E$377:$G$501,3,FALSE),0)*(1+Parameters!$G$13)^(AN$8-$G$8)/1000</f>
        <v>0</v>
      </c>
      <c r="AO13" s="527">
        <f>IF(AO$8=$C$4,VLOOKUP($B13,Parameters!$E$377:$G$501,3,FALSE),0)*(1+Parameters!$G$13)^(AO$8-$G$8)/1000</f>
        <v>0</v>
      </c>
      <c r="AP13" s="527">
        <f>IF(AP$8=$C$4,VLOOKUP($B13,Parameters!$E$377:$G$501,3,FALSE),0)*(1+Parameters!$G$13)^(AP$8-$G$8)/1000</f>
        <v>0</v>
      </c>
      <c r="AQ13" s="527">
        <f>IF(AQ$8=$C$4,VLOOKUP($B13,Parameters!$E$377:$G$501,3,FALSE),0)*(1+Parameters!$G$13)^(AQ$8-$G$8)/1000</f>
        <v>0</v>
      </c>
      <c r="AR13" s="527">
        <f>IF(AR$8=$C$4,VLOOKUP($B13,Parameters!$E$377:$G$501,3,FALSE),0)*(1+Parameters!$G$13)^(AR$8-$G$8)/1000</f>
        <v>0</v>
      </c>
      <c r="AS13" s="527">
        <f>IF(AS$8=$C$4,VLOOKUP($B13,Parameters!$E$377:$G$501,3,FALSE),0)*(1+Parameters!$G$13)^(AS$8-$G$8)/1000</f>
        <v>0</v>
      </c>
      <c r="AT13" s="527">
        <f>IF(AT$8=$C$4,VLOOKUP($B13,Parameters!$E$377:$G$501,3,FALSE),0)*(1+Parameters!$G$13)^(AT$8-$G$8)/1000</f>
        <v>0</v>
      </c>
      <c r="AU13" s="527">
        <f>IF(AU$8=$C$4,VLOOKUP($B13,Parameters!$E$377:$G$501,3,FALSE),0)*(1+Parameters!$G$13)^(AU$8-$G$8)/1000</f>
        <v>0</v>
      </c>
      <c r="AV13" s="527">
        <f>IF(AV$8=$C$4,VLOOKUP($B13,Parameters!$E$377:$G$501,3,FALSE),0)*(1+Parameters!$G$13)^(AV$8-$G$8)/1000</f>
        <v>0</v>
      </c>
      <c r="AW13" s="527">
        <f>IF(AW$8=$C$4,VLOOKUP($B13,Parameters!$E$377:$G$501,3,FALSE),0)*(1+Parameters!$G$13)^(AW$8-$G$8)/1000</f>
        <v>0</v>
      </c>
      <c r="AX13" s="527">
        <f>IF(AX$8=$C$4,VLOOKUP($B13,Parameters!$E$377:$G$501,3,FALSE),0)*(1+Parameters!$G$13)^(AX$8-$G$8)/1000</f>
        <v>0</v>
      </c>
      <c r="AY13" s="527">
        <f>IF(AY$8=$C$4,VLOOKUP($B13,Parameters!$E$377:$G$501,3,FALSE),0)*(1+Parameters!$G$13)^(AY$8-$G$8)/1000</f>
        <v>0</v>
      </c>
      <c r="AZ13" s="527">
        <f>IF(AZ$8=$C$4,VLOOKUP($B13,Parameters!$E$377:$G$501,3,FALSE),0)*(1+Parameters!$G$13)^(AZ$8-$G$8)/1000</f>
        <v>0</v>
      </c>
      <c r="BA13" s="527">
        <f>IF(BA$8=$C$4,VLOOKUP($B13,Parameters!$E$377:$G$501,3,FALSE),0)*(1+Parameters!$G$13)^(BA$8-$G$8)/1000</f>
        <v>0</v>
      </c>
      <c r="BB13" s="527">
        <f>IF(BB$8=$C$4,VLOOKUP($B13,Parameters!$E$377:$G$501,3,FALSE),0)*(1+Parameters!$G$13)^(BB$8-$G$8)/1000</f>
        <v>0</v>
      </c>
    </row>
    <row r="14" spans="2:54" x14ac:dyDescent="0.25">
      <c r="B14" s="478" t="str">
        <f>Parameters!E484</f>
        <v>Capex cable (H2)</v>
      </c>
      <c r="C14" s="511" t="s">
        <v>979</v>
      </c>
      <c r="D14" s="512">
        <f t="shared" si="10"/>
        <v>58691.221087758626</v>
      </c>
      <c r="E14" s="512">
        <f t="shared" si="11"/>
        <v>18700.83176761185</v>
      </c>
      <c r="F14" s="478"/>
      <c r="G14" s="527">
        <f>IF(G$8=$C$4,VLOOKUP($B14,Parameters!$E$377:$G$501,3,FALSE),0)*(1+Parameters!$G$13)^(G$8-$G$8)/1000</f>
        <v>0</v>
      </c>
      <c r="H14" s="527">
        <f>IF(H$8=$C$4,VLOOKUP($B14,Parameters!$E$377:$G$501,3,FALSE),0)*(1+Parameters!$G$13)^(H$8-$G$8)/1000</f>
        <v>0</v>
      </c>
      <c r="I14" s="527">
        <f>IF(I$8=$C$4,VLOOKUP($B14,Parameters!$E$377:$G$501,3,FALSE),0)*(1+Parameters!$G$13)^(I$8-$G$8)/1000</f>
        <v>0</v>
      </c>
      <c r="J14" s="527">
        <f>IF(J$8=$C$4,VLOOKUP($B14,Parameters!$E$377:$G$501,3,FALSE),0)*(1+Parameters!$G$13)^(J$8-$G$8)/1000</f>
        <v>0</v>
      </c>
      <c r="K14" s="527">
        <f>IF(K$8=$C$4,VLOOKUP($B14,Parameters!$E$377:$G$501,3,FALSE),0)*(1+Parameters!$G$13)^(K$8-$G$8)/1000</f>
        <v>0</v>
      </c>
      <c r="L14" s="527">
        <f>IF(L$8=$C$4,VLOOKUP($B14,Parameters!$E$377:$G$501,3,FALSE),0)*(1+Parameters!$G$13)^(L$8-$G$8)/1000</f>
        <v>0</v>
      </c>
      <c r="M14" s="527">
        <f>IF(M$8=$C$4,VLOOKUP($B14,Parameters!$E$377:$G$501,3,FALSE),0)*(1+Parameters!$G$13)^(M$8-$G$8)/1000</f>
        <v>0</v>
      </c>
      <c r="N14" s="527">
        <f>IF(N$8=$C$4,VLOOKUP($B14,Parameters!$E$377:$G$501,3,FALSE),0)*(1+Parameters!$G$13)^(N$8-$G$8)/1000</f>
        <v>0</v>
      </c>
      <c r="O14" s="527">
        <f>IF(O$8=$C$4,VLOOKUP($B14,Parameters!$E$377:$G$501,3,FALSE),0)*(1+Parameters!$G$13)^(O$8-$G$8)/1000</f>
        <v>0</v>
      </c>
      <c r="P14" s="527">
        <f>IF(P$8=$C$4,VLOOKUP($B14,Parameters!$E$377:$G$501,3,FALSE),0)*(1+Parameters!$G$13)^(P$8-$G$8)/1000</f>
        <v>0</v>
      </c>
      <c r="Q14" s="527">
        <f>IF(Q$8=$C$4,VLOOKUP($B14,Parameters!$E$377:$G$501,3,FALSE),0)*(1+Parameters!$G$13)^(Q$8-$G$8)/1000</f>
        <v>0</v>
      </c>
      <c r="R14" s="527">
        <f>IF(R$8=$C$4,VLOOKUP($B14,Parameters!$E$377:$G$501,3,FALSE),0)*(1+Parameters!$G$13)^(R$8-$G$8)/1000</f>
        <v>0</v>
      </c>
      <c r="S14" s="527">
        <f>IF(S$8=$C$4,VLOOKUP($B14,Parameters!$E$377:$G$501,3,FALSE),0)*(1+Parameters!$G$13)^(S$8-$G$8)/1000</f>
        <v>58691.221087758626</v>
      </c>
      <c r="T14" s="527">
        <f>IF(T$8=$C$4,VLOOKUP($B14,Parameters!$E$377:$G$501,3,FALSE),0)*(1+Parameters!$G$13)^(T$8-$G$8)/1000</f>
        <v>0</v>
      </c>
      <c r="U14" s="527">
        <f>IF(U$8=$C$4,VLOOKUP($B14,Parameters!$E$377:$G$501,3,FALSE),0)*(1+Parameters!$G$13)^(U$8-$G$8)/1000</f>
        <v>0</v>
      </c>
      <c r="V14" s="527">
        <f>IF(V$8=$C$4,VLOOKUP($B14,Parameters!$E$377:$G$501,3,FALSE),0)*(1+Parameters!$G$13)^(V$8-$G$8)/1000</f>
        <v>0</v>
      </c>
      <c r="W14" s="527">
        <f>IF(W$8=$C$4,VLOOKUP($B14,Parameters!$E$377:$G$501,3,FALSE),0)*(1+Parameters!$G$13)^(W$8-$G$8)/1000</f>
        <v>0</v>
      </c>
      <c r="X14" s="527">
        <f>IF(X$8=$C$4,VLOOKUP($B14,Parameters!$E$377:$G$501,3,FALSE),0)*(1+Parameters!$G$13)^(X$8-$G$8)/1000</f>
        <v>0</v>
      </c>
      <c r="Y14" s="527">
        <f>IF(Y$8=$C$4,VLOOKUP($B14,Parameters!$E$377:$G$501,3,FALSE),0)*(1+Parameters!$G$13)^(Y$8-$G$8)/1000</f>
        <v>0</v>
      </c>
      <c r="Z14" s="527">
        <f>IF(Z$8=$C$4,VLOOKUP($B14,Parameters!$E$377:$G$501,3,FALSE),0)*(1+Parameters!$G$13)^(Z$8-$G$8)/1000</f>
        <v>0</v>
      </c>
      <c r="AA14" s="527">
        <f>IF(AA$8=$C$4,VLOOKUP($B14,Parameters!$E$377:$G$501,3,FALSE),0)*(1+Parameters!$G$13)^(AA$8-$G$8)/1000</f>
        <v>0</v>
      </c>
      <c r="AB14" s="527">
        <f>IF(AB$8=$C$4,VLOOKUP($B14,Parameters!$E$377:$G$501,3,FALSE),0)*(1+Parameters!$G$13)^(AB$8-$G$8)/1000</f>
        <v>0</v>
      </c>
      <c r="AC14" s="527">
        <f>IF(AC$8=$C$4,VLOOKUP($B14,Parameters!$E$377:$G$501,3,FALSE),0)*(1+Parameters!$G$13)^(AC$8-$G$8)/1000</f>
        <v>0</v>
      </c>
      <c r="AD14" s="527">
        <f>IF(AD$8=$C$4,VLOOKUP($B14,Parameters!$E$377:$G$501,3,FALSE),0)*(1+Parameters!$G$13)^(AD$8-$G$8)/1000</f>
        <v>0</v>
      </c>
      <c r="AE14" s="527">
        <f>IF(AE$8=$C$4,VLOOKUP($B14,Parameters!$E$377:$G$501,3,FALSE),0)*(1+Parameters!$G$13)^(AE$8-$G$8)/1000</f>
        <v>0</v>
      </c>
      <c r="AF14" s="527">
        <f>IF(AF$8=$C$4,VLOOKUP($B14,Parameters!$E$377:$G$501,3,FALSE),0)*(1+Parameters!$G$13)^(AF$8-$G$8)/1000</f>
        <v>0</v>
      </c>
      <c r="AG14" s="527">
        <f>IF(AG$8=$C$4,VLOOKUP($B14,Parameters!$E$377:$G$501,3,FALSE),0)*(1+Parameters!$G$13)^(AG$8-$G$8)/1000</f>
        <v>0</v>
      </c>
      <c r="AH14" s="527">
        <f>IF(AH$8=$C$4,VLOOKUP($B14,Parameters!$E$377:$G$501,3,FALSE),0)*(1+Parameters!$G$13)^(AH$8-$G$8)/1000</f>
        <v>0</v>
      </c>
      <c r="AI14" s="527">
        <f>IF(AI$8=$C$4,VLOOKUP($B14,Parameters!$E$377:$G$501,3,FALSE),0)*(1+Parameters!$G$13)^(AI$8-$G$8)/1000</f>
        <v>0</v>
      </c>
      <c r="AJ14" s="527">
        <f>IF(AJ$8=$C$4,VLOOKUP($B14,Parameters!$E$377:$G$501,3,FALSE),0)*(1+Parameters!$G$13)^(AJ$8-$G$8)/1000</f>
        <v>0</v>
      </c>
      <c r="AK14" s="527">
        <f>IF(AK$8=$C$4,VLOOKUP($B14,Parameters!$E$377:$G$501,3,FALSE),0)*(1+Parameters!$G$13)^(AK$8-$G$8)/1000</f>
        <v>0</v>
      </c>
      <c r="AL14" s="527">
        <f>IF(AL$8=$C$4,VLOOKUP($B14,Parameters!$E$377:$G$501,3,FALSE),0)*(1+Parameters!$G$13)^(AL$8-$G$8)/1000</f>
        <v>0</v>
      </c>
      <c r="AM14" s="527">
        <f>IF(AM$8=$C$4,VLOOKUP($B14,Parameters!$E$377:$G$501,3,FALSE),0)*(1+Parameters!$G$13)^(AM$8-$G$8)/1000</f>
        <v>0</v>
      </c>
      <c r="AN14" s="527">
        <f>IF(AN$8=$C$4,VLOOKUP($B14,Parameters!$E$377:$G$501,3,FALSE),0)*(1+Parameters!$G$13)^(AN$8-$G$8)/1000</f>
        <v>0</v>
      </c>
      <c r="AO14" s="527">
        <f>IF(AO$8=$C$4,VLOOKUP($B14,Parameters!$E$377:$G$501,3,FALSE),0)*(1+Parameters!$G$13)^(AO$8-$G$8)/1000</f>
        <v>0</v>
      </c>
      <c r="AP14" s="527">
        <f>IF(AP$8=$C$4,VLOOKUP($B14,Parameters!$E$377:$G$501,3,FALSE),0)*(1+Parameters!$G$13)^(AP$8-$G$8)/1000</f>
        <v>0</v>
      </c>
      <c r="AQ14" s="527">
        <f>IF(AQ$8=$C$4,VLOOKUP($B14,Parameters!$E$377:$G$501,3,FALSE),0)*(1+Parameters!$G$13)^(AQ$8-$G$8)/1000</f>
        <v>0</v>
      </c>
      <c r="AR14" s="527">
        <f>IF(AR$8=$C$4,VLOOKUP($B14,Parameters!$E$377:$G$501,3,FALSE),0)*(1+Parameters!$G$13)^(AR$8-$G$8)/1000</f>
        <v>0</v>
      </c>
      <c r="AS14" s="527">
        <f>IF(AS$8=$C$4,VLOOKUP($B14,Parameters!$E$377:$G$501,3,FALSE),0)*(1+Parameters!$G$13)^(AS$8-$G$8)/1000</f>
        <v>0</v>
      </c>
      <c r="AT14" s="527">
        <f>IF(AT$8=$C$4,VLOOKUP($B14,Parameters!$E$377:$G$501,3,FALSE),0)*(1+Parameters!$G$13)^(AT$8-$G$8)/1000</f>
        <v>0</v>
      </c>
      <c r="AU14" s="527">
        <f>IF(AU$8=$C$4,VLOOKUP($B14,Parameters!$E$377:$G$501,3,FALSE),0)*(1+Parameters!$G$13)^(AU$8-$G$8)/1000</f>
        <v>0</v>
      </c>
      <c r="AV14" s="527">
        <f>IF(AV$8=$C$4,VLOOKUP($B14,Parameters!$E$377:$G$501,3,FALSE),0)*(1+Parameters!$G$13)^(AV$8-$G$8)/1000</f>
        <v>0</v>
      </c>
      <c r="AW14" s="527">
        <f>IF(AW$8=$C$4,VLOOKUP($B14,Parameters!$E$377:$G$501,3,FALSE),0)*(1+Parameters!$G$13)^(AW$8-$G$8)/1000</f>
        <v>0</v>
      </c>
      <c r="AX14" s="527">
        <f>IF(AX$8=$C$4,VLOOKUP($B14,Parameters!$E$377:$G$501,3,FALSE),0)*(1+Parameters!$G$13)^(AX$8-$G$8)/1000</f>
        <v>0</v>
      </c>
      <c r="AY14" s="527">
        <f>IF(AY$8=$C$4,VLOOKUP($B14,Parameters!$E$377:$G$501,3,FALSE),0)*(1+Parameters!$G$13)^(AY$8-$G$8)/1000</f>
        <v>0</v>
      </c>
      <c r="AZ14" s="527">
        <f>IF(AZ$8=$C$4,VLOOKUP($B14,Parameters!$E$377:$G$501,3,FALSE),0)*(1+Parameters!$G$13)^(AZ$8-$G$8)/1000</f>
        <v>0</v>
      </c>
      <c r="BA14" s="527">
        <f>IF(BA$8=$C$4,VLOOKUP($B14,Parameters!$E$377:$G$501,3,FALSE),0)*(1+Parameters!$G$13)^(BA$8-$G$8)/1000</f>
        <v>0</v>
      </c>
      <c r="BB14" s="527">
        <f>IF(BB$8=$C$4,VLOOKUP($B14,Parameters!$E$377:$G$501,3,FALSE),0)*(1+Parameters!$G$13)^(BB$8-$G$8)/1000</f>
        <v>0</v>
      </c>
    </row>
    <row r="15" spans="2:54" x14ac:dyDescent="0.25">
      <c r="B15" s="478" t="str">
        <f>Parameters!E486</f>
        <v>Capex adjustments H2 on platform</v>
      </c>
      <c r="C15" s="511" t="s">
        <v>979</v>
      </c>
      <c r="D15" s="512">
        <f t="shared" si="10"/>
        <v>0</v>
      </c>
      <c r="E15" s="512">
        <f t="shared" si="11"/>
        <v>0</v>
      </c>
      <c r="F15" s="478"/>
      <c r="G15" s="527">
        <f>IF(G$8=$C$4,VLOOKUP($B15,Parameters!$E$377:$G$501,3,FALSE),0)*(1+Parameters!$G$13)^(G$8-$G$8)/1000</f>
        <v>0</v>
      </c>
      <c r="H15" s="527">
        <f>IF(H$8=$C$4,VLOOKUP($B15,Parameters!$E$377:$G$501,3,FALSE),0)*(1+Parameters!$G$13)^(H$8-$G$8)/1000</f>
        <v>0</v>
      </c>
      <c r="I15" s="527">
        <f>IF(I$8=$C$4,VLOOKUP($B15,Parameters!$E$377:$G$501,3,FALSE),0)*(1+Parameters!$G$13)^(I$8-$G$8)/1000</f>
        <v>0</v>
      </c>
      <c r="J15" s="527">
        <f>IF(J$8=$C$4,VLOOKUP($B15,Parameters!$E$377:$G$501,3,FALSE),0)*(1+Parameters!$G$13)^(J$8-$G$8)/1000</f>
        <v>0</v>
      </c>
      <c r="K15" s="527">
        <f>IF(K$8=$C$4,VLOOKUP($B15,Parameters!$E$377:$G$501,3,FALSE),0)*(1+Parameters!$G$13)^(K$8-$G$8)/1000</f>
        <v>0</v>
      </c>
      <c r="L15" s="527">
        <f>IF(L$8=$C$4,VLOOKUP($B15,Parameters!$E$377:$G$501,3,FALSE),0)*(1+Parameters!$G$13)^(L$8-$G$8)/1000</f>
        <v>0</v>
      </c>
      <c r="M15" s="527">
        <f>IF(M$8=$C$4,VLOOKUP($B15,Parameters!$E$377:$G$501,3,FALSE),0)*(1+Parameters!$G$13)^(M$8-$G$8)/1000</f>
        <v>0</v>
      </c>
      <c r="N15" s="527">
        <f>IF(N$8=$C$4,VLOOKUP($B15,Parameters!$E$377:$G$501,3,FALSE),0)*(1+Parameters!$G$13)^(N$8-$G$8)/1000</f>
        <v>0</v>
      </c>
      <c r="O15" s="527">
        <f>IF(O$8=$C$4,VLOOKUP($B15,Parameters!$E$377:$G$501,3,FALSE),0)*(1+Parameters!$G$13)^(O$8-$G$8)/1000</f>
        <v>0</v>
      </c>
      <c r="P15" s="527">
        <f>IF(P$8=$C$4,VLOOKUP($B15,Parameters!$E$377:$G$501,3,FALSE),0)*(1+Parameters!$G$13)^(P$8-$G$8)/1000</f>
        <v>0</v>
      </c>
      <c r="Q15" s="527">
        <f>IF(Q$8=$C$4,VLOOKUP($B15,Parameters!$E$377:$G$501,3,FALSE),0)*(1+Parameters!$G$13)^(Q$8-$G$8)/1000</f>
        <v>0</v>
      </c>
      <c r="R15" s="527">
        <f>IF(R$8=$C$4,VLOOKUP($B15,Parameters!$E$377:$G$501,3,FALSE),0)*(1+Parameters!$G$13)^(R$8-$G$8)/1000</f>
        <v>0</v>
      </c>
      <c r="S15" s="527">
        <f>IF(S$8=$C$4,VLOOKUP($B15,Parameters!$E$377:$G$501,3,FALSE),0)*(1+Parameters!$G$13)^(S$8-$G$8)/1000</f>
        <v>0</v>
      </c>
      <c r="T15" s="527">
        <f>IF(T$8=$C$4,VLOOKUP($B15,Parameters!$E$377:$G$501,3,FALSE),0)*(1+Parameters!$G$13)^(T$8-$G$8)/1000</f>
        <v>0</v>
      </c>
      <c r="U15" s="527">
        <f>IF(U$8=$C$4,VLOOKUP($B15,Parameters!$E$377:$G$501,3,FALSE),0)*(1+Parameters!$G$13)^(U$8-$G$8)/1000</f>
        <v>0</v>
      </c>
      <c r="V15" s="527">
        <f>IF(V$8=$C$4,VLOOKUP($B15,Parameters!$E$377:$G$501,3,FALSE),0)*(1+Parameters!$G$13)^(V$8-$G$8)/1000</f>
        <v>0</v>
      </c>
      <c r="W15" s="527">
        <f>IF(W$8=$C$4,VLOOKUP($B15,Parameters!$E$377:$G$501,3,FALSE),0)*(1+Parameters!$G$13)^(W$8-$G$8)/1000</f>
        <v>0</v>
      </c>
      <c r="X15" s="527">
        <f>IF(X$8=$C$4,VLOOKUP($B15,Parameters!$E$377:$G$501,3,FALSE),0)*(1+Parameters!$G$13)^(X$8-$G$8)/1000</f>
        <v>0</v>
      </c>
      <c r="Y15" s="527">
        <f>IF(Y$8=$C$4,VLOOKUP($B15,Parameters!$E$377:$G$501,3,FALSE),0)*(1+Parameters!$G$13)^(Y$8-$G$8)/1000</f>
        <v>0</v>
      </c>
      <c r="Z15" s="527">
        <f>IF(Z$8=$C$4,VLOOKUP($B15,Parameters!$E$377:$G$501,3,FALSE),0)*(1+Parameters!$G$13)^(Z$8-$G$8)/1000</f>
        <v>0</v>
      </c>
      <c r="AA15" s="527">
        <f>IF(AA$8=$C$4,VLOOKUP($B15,Parameters!$E$377:$G$501,3,FALSE),0)*(1+Parameters!$G$13)^(AA$8-$G$8)/1000</f>
        <v>0</v>
      </c>
      <c r="AB15" s="527">
        <f>IF(AB$8=$C$4,VLOOKUP($B15,Parameters!$E$377:$G$501,3,FALSE),0)*(1+Parameters!$G$13)^(AB$8-$G$8)/1000</f>
        <v>0</v>
      </c>
      <c r="AC15" s="527">
        <f>IF(AC$8=$C$4,VLOOKUP($B15,Parameters!$E$377:$G$501,3,FALSE),0)*(1+Parameters!$G$13)^(AC$8-$G$8)/1000</f>
        <v>0</v>
      </c>
      <c r="AD15" s="527">
        <f>IF(AD$8=$C$4,VLOOKUP($B15,Parameters!$E$377:$G$501,3,FALSE),0)*(1+Parameters!$G$13)^(AD$8-$G$8)/1000</f>
        <v>0</v>
      </c>
      <c r="AE15" s="527">
        <f>IF(AE$8=$C$4,VLOOKUP($B15,Parameters!$E$377:$G$501,3,FALSE),0)*(1+Parameters!$G$13)^(AE$8-$G$8)/1000</f>
        <v>0</v>
      </c>
      <c r="AF15" s="527">
        <f>IF(AF$8=$C$4,VLOOKUP($B15,Parameters!$E$377:$G$501,3,FALSE),0)*(1+Parameters!$G$13)^(AF$8-$G$8)/1000</f>
        <v>0</v>
      </c>
      <c r="AG15" s="527">
        <f>IF(AG$8=$C$4,VLOOKUP($B15,Parameters!$E$377:$G$501,3,FALSE),0)*(1+Parameters!$G$13)^(AG$8-$G$8)/1000</f>
        <v>0</v>
      </c>
      <c r="AH15" s="527">
        <f>IF(AH$8=$C$4,VLOOKUP($B15,Parameters!$E$377:$G$501,3,FALSE),0)*(1+Parameters!$G$13)^(AH$8-$G$8)/1000</f>
        <v>0</v>
      </c>
      <c r="AI15" s="527">
        <f>IF(AI$8=$C$4,VLOOKUP($B15,Parameters!$E$377:$G$501,3,FALSE),0)*(1+Parameters!$G$13)^(AI$8-$G$8)/1000</f>
        <v>0</v>
      </c>
      <c r="AJ15" s="527">
        <f>IF(AJ$8=$C$4,VLOOKUP($B15,Parameters!$E$377:$G$501,3,FALSE),0)*(1+Parameters!$G$13)^(AJ$8-$G$8)/1000</f>
        <v>0</v>
      </c>
      <c r="AK15" s="527">
        <f>IF(AK$8=$C$4,VLOOKUP($B15,Parameters!$E$377:$G$501,3,FALSE),0)*(1+Parameters!$G$13)^(AK$8-$G$8)/1000</f>
        <v>0</v>
      </c>
      <c r="AL15" s="527">
        <f>IF(AL$8=$C$4,VLOOKUP($B15,Parameters!$E$377:$G$501,3,FALSE),0)*(1+Parameters!$G$13)^(AL$8-$G$8)/1000</f>
        <v>0</v>
      </c>
      <c r="AM15" s="527">
        <f>IF(AM$8=$C$4,VLOOKUP($B15,Parameters!$E$377:$G$501,3,FALSE),0)*(1+Parameters!$G$13)^(AM$8-$G$8)/1000</f>
        <v>0</v>
      </c>
      <c r="AN15" s="527">
        <f>IF(AN$8=$C$4,VLOOKUP($B15,Parameters!$E$377:$G$501,3,FALSE),0)*(1+Parameters!$G$13)^(AN$8-$G$8)/1000</f>
        <v>0</v>
      </c>
      <c r="AO15" s="527">
        <f>IF(AO$8=$C$4,VLOOKUP($B15,Parameters!$E$377:$G$501,3,FALSE),0)*(1+Parameters!$G$13)^(AO$8-$G$8)/1000</f>
        <v>0</v>
      </c>
      <c r="AP15" s="527">
        <f>IF(AP$8=$C$4,VLOOKUP($B15,Parameters!$E$377:$G$501,3,FALSE),0)*(1+Parameters!$G$13)^(AP$8-$G$8)/1000</f>
        <v>0</v>
      </c>
      <c r="AQ15" s="527">
        <f>IF(AQ$8=$C$4,VLOOKUP($B15,Parameters!$E$377:$G$501,3,FALSE),0)*(1+Parameters!$G$13)^(AQ$8-$G$8)/1000</f>
        <v>0</v>
      </c>
      <c r="AR15" s="527">
        <f>IF(AR$8=$C$4,VLOOKUP($B15,Parameters!$E$377:$G$501,3,FALSE),0)*(1+Parameters!$G$13)^(AR$8-$G$8)/1000</f>
        <v>0</v>
      </c>
      <c r="AS15" s="527">
        <f>IF(AS$8=$C$4,VLOOKUP($B15,Parameters!$E$377:$G$501,3,FALSE),0)*(1+Parameters!$G$13)^(AS$8-$G$8)/1000</f>
        <v>0</v>
      </c>
      <c r="AT15" s="527">
        <f>IF(AT$8=$C$4,VLOOKUP($B15,Parameters!$E$377:$G$501,3,FALSE),0)*(1+Parameters!$G$13)^(AT$8-$G$8)/1000</f>
        <v>0</v>
      </c>
      <c r="AU15" s="527">
        <f>IF(AU$8=$C$4,VLOOKUP($B15,Parameters!$E$377:$G$501,3,FALSE),0)*(1+Parameters!$G$13)^(AU$8-$G$8)/1000</f>
        <v>0</v>
      </c>
      <c r="AV15" s="527">
        <f>IF(AV$8=$C$4,VLOOKUP($B15,Parameters!$E$377:$G$501,3,FALSE),0)*(1+Parameters!$G$13)^(AV$8-$G$8)/1000</f>
        <v>0</v>
      </c>
      <c r="AW15" s="527">
        <f>IF(AW$8=$C$4,VLOOKUP($B15,Parameters!$E$377:$G$501,3,FALSE),0)*(1+Parameters!$G$13)^(AW$8-$G$8)/1000</f>
        <v>0</v>
      </c>
      <c r="AX15" s="527">
        <f>IF(AX$8=$C$4,VLOOKUP($B15,Parameters!$E$377:$G$501,3,FALSE),0)*(1+Parameters!$G$13)^(AX$8-$G$8)/1000</f>
        <v>0</v>
      </c>
      <c r="AY15" s="527">
        <f>IF(AY$8=$C$4,VLOOKUP($B15,Parameters!$E$377:$G$501,3,FALSE),0)*(1+Parameters!$G$13)^(AY$8-$G$8)/1000</f>
        <v>0</v>
      </c>
      <c r="AZ15" s="527">
        <f>IF(AZ$8=$C$4,VLOOKUP($B15,Parameters!$E$377:$G$501,3,FALSE),0)*(1+Parameters!$G$13)^(AZ$8-$G$8)/1000</f>
        <v>0</v>
      </c>
      <c r="BA15" s="527">
        <f>IF(BA$8=$C$4,VLOOKUP($B15,Parameters!$E$377:$G$501,3,FALSE),0)*(1+Parameters!$G$13)^(BA$8-$G$8)/1000</f>
        <v>0</v>
      </c>
      <c r="BB15" s="527">
        <f>IF(BB$8=$C$4,VLOOKUP($B15,Parameters!$E$377:$G$501,3,FALSE),0)*(1+Parameters!$G$13)^(BB$8-$G$8)/1000</f>
        <v>0</v>
      </c>
    </row>
    <row r="16" spans="2:54" x14ac:dyDescent="0.25">
      <c r="B16" s="478" t="str">
        <f>Parameters!E475</f>
        <v>Capex H2 pipeline crossings &amp; landing</v>
      </c>
      <c r="C16" s="511" t="s">
        <v>979</v>
      </c>
      <c r="D16" s="512">
        <f t="shared" si="10"/>
        <v>0</v>
      </c>
      <c r="E16" s="512">
        <f t="shared" si="11"/>
        <v>0</v>
      </c>
      <c r="F16" s="478"/>
      <c r="G16" s="527">
        <f>IF(G$8=$C$4,VLOOKUP($B16,Parameters!$E$377:$G$501,3,FALSE),0)*(1+Parameters!$G$13)^(G$8-$G$8)/1000</f>
        <v>0</v>
      </c>
      <c r="H16" s="527">
        <f>IF(H$8=$C$4,VLOOKUP($B16,Parameters!$E$377:$G$501,3,FALSE),0)*(1+Parameters!$G$13)^(H$8-$G$8)/1000</f>
        <v>0</v>
      </c>
      <c r="I16" s="527">
        <f>IF(I$8=$C$4,VLOOKUP($B16,Parameters!$E$377:$G$501,3,FALSE),0)*(1+Parameters!$G$13)^(I$8-$G$8)/1000</f>
        <v>0</v>
      </c>
      <c r="J16" s="527">
        <f>IF(J$8=$C$4,VLOOKUP($B16,Parameters!$E$377:$G$501,3,FALSE),0)*(1+Parameters!$G$13)^(J$8-$G$8)/1000</f>
        <v>0</v>
      </c>
      <c r="K16" s="527">
        <f>IF(K$8=$C$4,VLOOKUP($B16,Parameters!$E$377:$G$501,3,FALSE),0)*(1+Parameters!$G$13)^(K$8-$G$8)/1000</f>
        <v>0</v>
      </c>
      <c r="L16" s="527">
        <f>IF(L$8=$C$4,VLOOKUP($B16,Parameters!$E$377:$G$501,3,FALSE),0)*(1+Parameters!$G$13)^(L$8-$G$8)/1000</f>
        <v>0</v>
      </c>
      <c r="M16" s="527">
        <f>IF(M$8=$C$4,VLOOKUP($B16,Parameters!$E$377:$G$501,3,FALSE),0)*(1+Parameters!$G$13)^(M$8-$G$8)/1000</f>
        <v>0</v>
      </c>
      <c r="N16" s="527">
        <f>IF(N$8=$C$4,VLOOKUP($B16,Parameters!$E$377:$G$501,3,FALSE),0)*(1+Parameters!$G$13)^(N$8-$G$8)/1000</f>
        <v>0</v>
      </c>
      <c r="O16" s="527">
        <f>IF(O$8=$C$4,VLOOKUP($B16,Parameters!$E$377:$G$501,3,FALSE),0)*(1+Parameters!$G$13)^(O$8-$G$8)/1000</f>
        <v>0</v>
      </c>
      <c r="P16" s="527">
        <f>IF(P$8=$C$4,VLOOKUP($B16,Parameters!$E$377:$G$501,3,FALSE),0)*(1+Parameters!$G$13)^(P$8-$G$8)/1000</f>
        <v>0</v>
      </c>
      <c r="Q16" s="527">
        <f>IF(Q$8=$C$4,VLOOKUP($B16,Parameters!$E$377:$G$501,3,FALSE),0)*(1+Parameters!$G$13)^(Q$8-$G$8)/1000</f>
        <v>0</v>
      </c>
      <c r="R16" s="527">
        <f>IF(R$8=$C$4,VLOOKUP($B16,Parameters!$E$377:$G$501,3,FALSE),0)*(1+Parameters!$G$13)^(R$8-$G$8)/1000</f>
        <v>0</v>
      </c>
      <c r="S16" s="527">
        <f>IF(S$8=$C$4,VLOOKUP($B16,Parameters!$E$377:$G$501,3,FALSE),0)*(1+Parameters!$G$13)^(S$8-$G$8)/1000</f>
        <v>0</v>
      </c>
      <c r="T16" s="527">
        <f>IF(T$8=$C$4,VLOOKUP($B16,Parameters!$E$377:$G$501,3,FALSE),0)*(1+Parameters!$G$13)^(T$8-$G$8)/1000</f>
        <v>0</v>
      </c>
      <c r="U16" s="527">
        <f>IF(U$8=$C$4,VLOOKUP($B16,Parameters!$E$377:$G$501,3,FALSE),0)*(1+Parameters!$G$13)^(U$8-$G$8)/1000</f>
        <v>0</v>
      </c>
      <c r="V16" s="527">
        <f>IF(V$8=$C$4,VLOOKUP($B16,Parameters!$E$377:$G$501,3,FALSE),0)*(1+Parameters!$G$13)^(V$8-$G$8)/1000</f>
        <v>0</v>
      </c>
      <c r="W16" s="527">
        <f>IF(W$8=$C$4,VLOOKUP($B16,Parameters!$E$377:$G$501,3,FALSE),0)*(1+Parameters!$G$13)^(W$8-$G$8)/1000</f>
        <v>0</v>
      </c>
      <c r="X16" s="527">
        <f>IF(X$8=$C$4,VLOOKUP($B16,Parameters!$E$377:$G$501,3,FALSE),0)*(1+Parameters!$G$13)^(X$8-$G$8)/1000</f>
        <v>0</v>
      </c>
      <c r="Y16" s="527">
        <f>IF(Y$8=$C$4,VLOOKUP($B16,Parameters!$E$377:$G$501,3,FALSE),0)*(1+Parameters!$G$13)^(Y$8-$G$8)/1000</f>
        <v>0</v>
      </c>
      <c r="Z16" s="527">
        <f>IF(Z$8=$C$4,VLOOKUP($B16,Parameters!$E$377:$G$501,3,FALSE),0)*(1+Parameters!$G$13)^(Z$8-$G$8)/1000</f>
        <v>0</v>
      </c>
      <c r="AA16" s="527">
        <f>IF(AA$8=$C$4,VLOOKUP($B16,Parameters!$E$377:$G$501,3,FALSE),0)*(1+Parameters!$G$13)^(AA$8-$G$8)/1000</f>
        <v>0</v>
      </c>
      <c r="AB16" s="527">
        <f>IF(AB$8=$C$4,VLOOKUP($B16,Parameters!$E$377:$G$501,3,FALSE),0)*(1+Parameters!$G$13)^(AB$8-$G$8)/1000</f>
        <v>0</v>
      </c>
      <c r="AC16" s="527">
        <f>IF(AC$8=$C$4,VLOOKUP($B16,Parameters!$E$377:$G$501,3,FALSE),0)*(1+Parameters!$G$13)^(AC$8-$G$8)/1000</f>
        <v>0</v>
      </c>
      <c r="AD16" s="527">
        <f>IF(AD$8=$C$4,VLOOKUP($B16,Parameters!$E$377:$G$501,3,FALSE),0)*(1+Parameters!$G$13)^(AD$8-$G$8)/1000</f>
        <v>0</v>
      </c>
      <c r="AE16" s="527">
        <f>IF(AE$8=$C$4,VLOOKUP($B16,Parameters!$E$377:$G$501,3,FALSE),0)*(1+Parameters!$G$13)^(AE$8-$G$8)/1000</f>
        <v>0</v>
      </c>
      <c r="AF16" s="527">
        <f>IF(AF$8=$C$4,VLOOKUP($B16,Parameters!$E$377:$G$501,3,FALSE),0)*(1+Parameters!$G$13)^(AF$8-$G$8)/1000</f>
        <v>0</v>
      </c>
      <c r="AG16" s="527">
        <f>IF(AG$8=$C$4,VLOOKUP($B16,Parameters!$E$377:$G$501,3,FALSE),0)*(1+Parameters!$G$13)^(AG$8-$G$8)/1000</f>
        <v>0</v>
      </c>
      <c r="AH16" s="527">
        <f>IF(AH$8=$C$4,VLOOKUP($B16,Parameters!$E$377:$G$501,3,FALSE),0)*(1+Parameters!$G$13)^(AH$8-$G$8)/1000</f>
        <v>0</v>
      </c>
      <c r="AI16" s="527">
        <f>IF(AI$8=$C$4,VLOOKUP($B16,Parameters!$E$377:$G$501,3,FALSE),0)*(1+Parameters!$G$13)^(AI$8-$G$8)/1000</f>
        <v>0</v>
      </c>
      <c r="AJ16" s="527">
        <f>IF(AJ$8=$C$4,VLOOKUP($B16,Parameters!$E$377:$G$501,3,FALSE),0)*(1+Parameters!$G$13)^(AJ$8-$G$8)/1000</f>
        <v>0</v>
      </c>
      <c r="AK16" s="527">
        <f>IF(AK$8=$C$4,VLOOKUP($B16,Parameters!$E$377:$G$501,3,FALSE),0)*(1+Parameters!$G$13)^(AK$8-$G$8)/1000</f>
        <v>0</v>
      </c>
      <c r="AL16" s="527">
        <f>IF(AL$8=$C$4,VLOOKUP($B16,Parameters!$E$377:$G$501,3,FALSE),0)*(1+Parameters!$G$13)^(AL$8-$G$8)/1000</f>
        <v>0</v>
      </c>
      <c r="AM16" s="527">
        <f>IF(AM$8=$C$4,VLOOKUP($B16,Parameters!$E$377:$G$501,3,FALSE),0)*(1+Parameters!$G$13)^(AM$8-$G$8)/1000</f>
        <v>0</v>
      </c>
      <c r="AN16" s="527">
        <f>IF(AN$8=$C$4,VLOOKUP($B16,Parameters!$E$377:$G$501,3,FALSE),0)*(1+Parameters!$G$13)^(AN$8-$G$8)/1000</f>
        <v>0</v>
      </c>
      <c r="AO16" s="527">
        <f>IF(AO$8=$C$4,VLOOKUP($B16,Parameters!$E$377:$G$501,3,FALSE),0)*(1+Parameters!$G$13)^(AO$8-$G$8)/1000</f>
        <v>0</v>
      </c>
      <c r="AP16" s="527">
        <f>IF(AP$8=$C$4,VLOOKUP($B16,Parameters!$E$377:$G$501,3,FALSE),0)*(1+Parameters!$G$13)^(AP$8-$G$8)/1000</f>
        <v>0</v>
      </c>
      <c r="AQ16" s="527">
        <f>IF(AQ$8=$C$4,VLOOKUP($B16,Parameters!$E$377:$G$501,3,FALSE),0)*(1+Parameters!$G$13)^(AQ$8-$G$8)/1000</f>
        <v>0</v>
      </c>
      <c r="AR16" s="527">
        <f>IF(AR$8=$C$4,VLOOKUP($B16,Parameters!$E$377:$G$501,3,FALSE),0)*(1+Parameters!$G$13)^(AR$8-$G$8)/1000</f>
        <v>0</v>
      </c>
      <c r="AS16" s="527">
        <f>IF(AS$8=$C$4,VLOOKUP($B16,Parameters!$E$377:$G$501,3,FALSE),0)*(1+Parameters!$G$13)^(AS$8-$G$8)/1000</f>
        <v>0</v>
      </c>
      <c r="AT16" s="527">
        <f>IF(AT$8=$C$4,VLOOKUP($B16,Parameters!$E$377:$G$501,3,FALSE),0)*(1+Parameters!$G$13)^(AT$8-$G$8)/1000</f>
        <v>0</v>
      </c>
      <c r="AU16" s="527">
        <f>IF(AU$8=$C$4,VLOOKUP($B16,Parameters!$E$377:$G$501,3,FALSE),0)*(1+Parameters!$G$13)^(AU$8-$G$8)/1000</f>
        <v>0</v>
      </c>
      <c r="AV16" s="527">
        <f>IF(AV$8=$C$4,VLOOKUP($B16,Parameters!$E$377:$G$501,3,FALSE),0)*(1+Parameters!$G$13)^(AV$8-$G$8)/1000</f>
        <v>0</v>
      </c>
      <c r="AW16" s="527">
        <f>IF(AW$8=$C$4,VLOOKUP($B16,Parameters!$E$377:$G$501,3,FALSE),0)*(1+Parameters!$G$13)^(AW$8-$G$8)/1000</f>
        <v>0</v>
      </c>
      <c r="AX16" s="527">
        <f>IF(AX$8=$C$4,VLOOKUP($B16,Parameters!$E$377:$G$501,3,FALSE),0)*(1+Parameters!$G$13)^(AX$8-$G$8)/1000</f>
        <v>0</v>
      </c>
      <c r="AY16" s="527">
        <f>IF(AY$8=$C$4,VLOOKUP($B16,Parameters!$E$377:$G$501,3,FALSE),0)*(1+Parameters!$G$13)^(AY$8-$G$8)/1000</f>
        <v>0</v>
      </c>
      <c r="AZ16" s="527">
        <f>IF(AZ$8=$C$4,VLOOKUP($B16,Parameters!$E$377:$G$501,3,FALSE),0)*(1+Parameters!$G$13)^(AZ$8-$G$8)/1000</f>
        <v>0</v>
      </c>
      <c r="BA16" s="527">
        <f>IF(BA$8=$C$4,VLOOKUP($B16,Parameters!$E$377:$G$501,3,FALSE),0)*(1+Parameters!$G$13)^(BA$8-$G$8)/1000</f>
        <v>0</v>
      </c>
      <c r="BB16" s="527">
        <f>IF(BB$8=$C$4,VLOOKUP($B16,Parameters!$E$377:$G$501,3,FALSE),0)*(1+Parameters!$G$13)^(BB$8-$G$8)/1000</f>
        <v>0</v>
      </c>
    </row>
    <row r="17" spans="1:54" s="1190" customFormat="1" x14ac:dyDescent="0.25">
      <c r="B17" s="738" t="str">
        <f>Parameters!E487</f>
        <v>Total capex new platforms (LH2)</v>
      </c>
      <c r="C17" s="511" t="s">
        <v>979</v>
      </c>
      <c r="D17" s="512">
        <f t="shared" si="10"/>
        <v>101459.34356500361</v>
      </c>
      <c r="E17" s="512">
        <f t="shared" si="11"/>
        <v>32328.073604473091</v>
      </c>
      <c r="F17" s="478"/>
      <c r="G17" s="527">
        <f>IF(G$8=$C$4,VLOOKUP($B17,Parameters!$E$377:$G$501,3,FALSE),0)*(1+Parameters!$G$13)^(G$8-$G$8)/1000</f>
        <v>0</v>
      </c>
      <c r="H17" s="527">
        <f>IF(H$8=$C$4,VLOOKUP($B17,Parameters!$E$377:$G$501,3,FALSE),0)*(1+Parameters!$G$13)^(H$8-$G$8)/1000</f>
        <v>0</v>
      </c>
      <c r="I17" s="527">
        <f>IF(I$8=$C$4,VLOOKUP($B17,Parameters!$E$377:$G$501,3,FALSE),0)*(1+Parameters!$G$13)^(I$8-$G$8)/1000</f>
        <v>0</v>
      </c>
      <c r="J17" s="527">
        <f>IF(J$8=$C$4,VLOOKUP($B17,Parameters!$E$377:$G$501,3,FALSE),0)*(1+Parameters!$G$13)^(J$8-$G$8)/1000</f>
        <v>0</v>
      </c>
      <c r="K17" s="527">
        <f>IF(K$8=$C$4,VLOOKUP($B17,Parameters!$E$377:$G$501,3,FALSE),0)*(1+Parameters!$G$13)^(K$8-$G$8)/1000</f>
        <v>0</v>
      </c>
      <c r="L17" s="527">
        <f>IF(L$8=$C$4,VLOOKUP($B17,Parameters!$E$377:$G$501,3,FALSE),0)*(1+Parameters!$G$13)^(L$8-$G$8)/1000</f>
        <v>0</v>
      </c>
      <c r="M17" s="527">
        <f>IF(M$8=$C$4,VLOOKUP($B17,Parameters!$E$377:$G$501,3,FALSE),0)*(1+Parameters!$G$13)^(M$8-$G$8)/1000</f>
        <v>0</v>
      </c>
      <c r="N17" s="527">
        <f>IF(N$8=$C$4,VLOOKUP($B17,Parameters!$E$377:$G$501,3,FALSE),0)*(1+Parameters!$G$13)^(N$8-$G$8)/1000</f>
        <v>0</v>
      </c>
      <c r="O17" s="527">
        <f>IF(O$8=$C$4,VLOOKUP($B17,Parameters!$E$377:$G$501,3,FALSE),0)*(1+Parameters!$G$13)^(O$8-$G$8)/1000</f>
        <v>0</v>
      </c>
      <c r="P17" s="527">
        <f>IF(P$8=$C$4,VLOOKUP($B17,Parameters!$E$377:$G$501,3,FALSE),0)*(1+Parameters!$G$13)^(P$8-$G$8)/1000</f>
        <v>0</v>
      </c>
      <c r="Q17" s="527">
        <f>IF(Q$8=$C$4,VLOOKUP($B17,Parameters!$E$377:$G$501,3,FALSE),0)*(1+Parameters!$G$13)^(Q$8-$G$8)/1000</f>
        <v>0</v>
      </c>
      <c r="R17" s="527">
        <f>IF(R$8=$C$4,VLOOKUP($B17,Parameters!$E$377:$G$501,3,FALSE),0)*(1+Parameters!$G$13)^(R$8-$G$8)/1000</f>
        <v>0</v>
      </c>
      <c r="S17" s="527">
        <f>IF(S$8=$C$4,VLOOKUP($B17,Parameters!$E$377:$G$501,3,FALSE),0)*(1+Parameters!$G$13)^(S$8-$G$8)/1000</f>
        <v>101459.34356500361</v>
      </c>
      <c r="T17" s="527">
        <f>IF(T$8=$C$4,VLOOKUP($B17,Parameters!$E$377:$G$501,3,FALSE),0)*(1+Parameters!$G$13)^(T$8-$G$8)/1000</f>
        <v>0</v>
      </c>
      <c r="U17" s="527">
        <f>IF(U$8=$C$4,VLOOKUP($B17,Parameters!$E$377:$G$501,3,FALSE),0)*(1+Parameters!$G$13)^(U$8-$G$8)/1000</f>
        <v>0</v>
      </c>
      <c r="V17" s="527">
        <f>IF(V$8=$C$4,VLOOKUP($B17,Parameters!$E$377:$G$501,3,FALSE),0)*(1+Parameters!$G$13)^(V$8-$G$8)/1000</f>
        <v>0</v>
      </c>
      <c r="W17" s="527">
        <f>IF(W$8=$C$4,VLOOKUP($B17,Parameters!$E$377:$G$501,3,FALSE),0)*(1+Parameters!$G$13)^(W$8-$G$8)/1000</f>
        <v>0</v>
      </c>
      <c r="X17" s="527">
        <f>IF(X$8=$C$4,VLOOKUP($B17,Parameters!$E$377:$G$501,3,FALSE),0)*(1+Parameters!$G$13)^(X$8-$G$8)/1000</f>
        <v>0</v>
      </c>
      <c r="Y17" s="527">
        <f>IF(Y$8=$C$4,VLOOKUP($B17,Parameters!$E$377:$G$501,3,FALSE),0)*(1+Parameters!$G$13)^(Y$8-$G$8)/1000</f>
        <v>0</v>
      </c>
      <c r="Z17" s="527">
        <f>IF(Z$8=$C$4,VLOOKUP($B17,Parameters!$E$377:$G$501,3,FALSE),0)*(1+Parameters!$G$13)^(Z$8-$G$8)/1000</f>
        <v>0</v>
      </c>
      <c r="AA17" s="527">
        <f>IF(AA$8=$C$4,VLOOKUP($B17,Parameters!$E$377:$G$501,3,FALSE),0)*(1+Parameters!$G$13)^(AA$8-$G$8)/1000</f>
        <v>0</v>
      </c>
      <c r="AB17" s="527">
        <f>IF(AB$8=$C$4,VLOOKUP($B17,Parameters!$E$377:$G$501,3,FALSE),0)*(1+Parameters!$G$13)^(AB$8-$G$8)/1000</f>
        <v>0</v>
      </c>
      <c r="AC17" s="527">
        <f>IF(AC$8=$C$4,VLOOKUP($B17,Parameters!$E$377:$G$501,3,FALSE),0)*(1+Parameters!$G$13)^(AC$8-$G$8)/1000</f>
        <v>0</v>
      </c>
      <c r="AD17" s="527">
        <f>IF(AD$8=$C$4,VLOOKUP($B17,Parameters!$E$377:$G$501,3,FALSE),0)*(1+Parameters!$G$13)^(AD$8-$G$8)/1000</f>
        <v>0</v>
      </c>
      <c r="AE17" s="527">
        <f>IF(AE$8=$C$4,VLOOKUP($B17,Parameters!$E$377:$G$501,3,FALSE),0)*(1+Parameters!$G$13)^(AE$8-$G$8)/1000</f>
        <v>0</v>
      </c>
      <c r="AF17" s="527">
        <f>IF(AF$8=$C$4,VLOOKUP($B17,Parameters!$E$377:$G$501,3,FALSE),0)*(1+Parameters!$G$13)^(AF$8-$G$8)/1000</f>
        <v>0</v>
      </c>
      <c r="AG17" s="527">
        <f>IF(AG$8=$C$4,VLOOKUP($B17,Parameters!$E$377:$G$501,3,FALSE),0)*(1+Parameters!$G$13)^(AG$8-$G$8)/1000</f>
        <v>0</v>
      </c>
      <c r="AH17" s="527">
        <f>IF(AH$8=$C$4,VLOOKUP($B17,Parameters!$E$377:$G$501,3,FALSE),0)*(1+Parameters!$G$13)^(AH$8-$G$8)/1000</f>
        <v>0</v>
      </c>
      <c r="AI17" s="527">
        <f>IF(AI$8=$C$4,VLOOKUP($B17,Parameters!$E$377:$G$501,3,FALSE),0)*(1+Parameters!$G$13)^(AI$8-$G$8)/1000</f>
        <v>0</v>
      </c>
      <c r="AJ17" s="527">
        <f>IF(AJ$8=$C$4,VLOOKUP($B17,Parameters!$E$377:$G$501,3,FALSE),0)*(1+Parameters!$G$13)^(AJ$8-$G$8)/1000</f>
        <v>0</v>
      </c>
      <c r="AK17" s="527">
        <f>IF(AK$8=$C$4,VLOOKUP($B17,Parameters!$E$377:$G$501,3,FALSE),0)*(1+Parameters!$G$13)^(AK$8-$G$8)/1000</f>
        <v>0</v>
      </c>
      <c r="AL17" s="527">
        <f>IF(AL$8=$C$4,VLOOKUP($B17,Parameters!$E$377:$G$501,3,FALSE),0)*(1+Parameters!$G$13)^(AL$8-$G$8)/1000</f>
        <v>0</v>
      </c>
      <c r="AM17" s="527">
        <f>IF(AM$8=$C$4,VLOOKUP($B17,Parameters!$E$377:$G$501,3,FALSE),0)*(1+Parameters!$G$13)^(AM$8-$G$8)/1000</f>
        <v>0</v>
      </c>
      <c r="AN17" s="527">
        <f>IF(AN$8=$C$4,VLOOKUP($B17,Parameters!$E$377:$G$501,3,FALSE),0)*(1+Parameters!$G$13)^(AN$8-$G$8)/1000</f>
        <v>0</v>
      </c>
      <c r="AO17" s="527">
        <f>IF(AO$8=$C$4,VLOOKUP($B17,Parameters!$E$377:$G$501,3,FALSE),0)*(1+Parameters!$G$13)^(AO$8-$G$8)/1000</f>
        <v>0</v>
      </c>
      <c r="AP17" s="527">
        <f>IF(AP$8=$C$4,VLOOKUP($B17,Parameters!$E$377:$G$501,3,FALSE),0)*(1+Parameters!$G$13)^(AP$8-$G$8)/1000</f>
        <v>0</v>
      </c>
      <c r="AQ17" s="527">
        <f>IF(AQ$8=$C$4,VLOOKUP($B17,Parameters!$E$377:$G$501,3,FALSE),0)*(1+Parameters!$G$13)^(AQ$8-$G$8)/1000</f>
        <v>0</v>
      </c>
      <c r="AR17" s="527">
        <f>IF(AR$8=$C$4,VLOOKUP($B17,Parameters!$E$377:$G$501,3,FALSE),0)*(1+Parameters!$G$13)^(AR$8-$G$8)/1000</f>
        <v>0</v>
      </c>
      <c r="AS17" s="527">
        <f>IF(AS$8=$C$4,VLOOKUP($B17,Parameters!$E$377:$G$501,3,FALSE),0)*(1+Parameters!$G$13)^(AS$8-$G$8)/1000</f>
        <v>0</v>
      </c>
      <c r="AT17" s="527">
        <f>IF(AT$8=$C$4,VLOOKUP($B17,Parameters!$E$377:$G$501,3,FALSE),0)*(1+Parameters!$G$13)^(AT$8-$G$8)/1000</f>
        <v>0</v>
      </c>
      <c r="AU17" s="527">
        <f>IF(AU$8=$C$4,VLOOKUP($B17,Parameters!$E$377:$G$501,3,FALSE),0)*(1+Parameters!$G$13)^(AU$8-$G$8)/1000</f>
        <v>0</v>
      </c>
      <c r="AV17" s="527">
        <f>IF(AV$8=$C$4,VLOOKUP($B17,Parameters!$E$377:$G$501,3,FALSE),0)*(1+Parameters!$G$13)^(AV$8-$G$8)/1000</f>
        <v>0</v>
      </c>
      <c r="AW17" s="527">
        <f>IF(AW$8=$C$4,VLOOKUP($B17,Parameters!$E$377:$G$501,3,FALSE),0)*(1+Parameters!$G$13)^(AW$8-$G$8)/1000</f>
        <v>0</v>
      </c>
      <c r="AX17" s="527">
        <f>IF(AX$8=$C$4,VLOOKUP($B17,Parameters!$E$377:$G$501,3,FALSE),0)*(1+Parameters!$G$13)^(AX$8-$G$8)/1000</f>
        <v>0</v>
      </c>
      <c r="AY17" s="527">
        <f>IF(AY$8=$C$4,VLOOKUP($B17,Parameters!$E$377:$G$501,3,FALSE),0)*(1+Parameters!$G$13)^(AY$8-$G$8)/1000</f>
        <v>0</v>
      </c>
      <c r="AZ17" s="527">
        <f>IF(AZ$8=$C$4,VLOOKUP($B17,Parameters!$E$377:$G$501,3,FALSE),0)*(1+Parameters!$G$13)^(AZ$8-$G$8)/1000</f>
        <v>0</v>
      </c>
      <c r="BA17" s="527">
        <f>IF(BA$8=$C$4,VLOOKUP($B17,Parameters!$E$377:$G$501,3,FALSE),0)*(1+Parameters!$G$13)^(BA$8-$G$8)/1000</f>
        <v>0</v>
      </c>
      <c r="BB17" s="527">
        <f>IF(BB$8=$C$4,VLOOKUP($B17,Parameters!$E$377:$G$501,3,FALSE),0)*(1+Parameters!$G$13)^(BB$8-$G$8)/1000</f>
        <v>0</v>
      </c>
    </row>
    <row r="18" spans="1:54" x14ac:dyDescent="0.25">
      <c r="B18" s="537" t="s">
        <v>1579</v>
      </c>
      <c r="C18" s="511" t="s">
        <v>979</v>
      </c>
      <c r="D18" s="512">
        <f t="shared" si="10"/>
        <v>78880.801220779249</v>
      </c>
      <c r="E18" s="512">
        <f t="shared" si="11"/>
        <v>3735.9872737188948</v>
      </c>
      <c r="F18" s="478"/>
      <c r="G18" s="527">
        <f>IF(G8='H2 decom &amp; refub L'!$E$59,'H2 decom &amp; refub L'!$E$65,0)</f>
        <v>0</v>
      </c>
      <c r="H18" s="527">
        <f>IF(H8='H2 decom &amp; refub L'!$E$59,'H2 decom &amp; refub L'!$E$65,0)</f>
        <v>0</v>
      </c>
      <c r="I18" s="527">
        <f>IF(I8='H2 decom &amp; refub L'!$E$59,'H2 decom &amp; refub L'!$E$65,0)</f>
        <v>0</v>
      </c>
      <c r="J18" s="527">
        <f>IF(J8='H2 decom &amp; refub L'!$E$59,'H2 decom &amp; refub L'!$E$65,0)</f>
        <v>0</v>
      </c>
      <c r="K18" s="527">
        <f>IF(K8='H2 decom &amp; refub L'!$E$59,'H2 decom &amp; refub L'!$E$65,0)</f>
        <v>0</v>
      </c>
      <c r="L18" s="527">
        <f>IF(L8='H2 decom &amp; refub L'!$E$59,'H2 decom &amp; refub L'!$E$65,0)</f>
        <v>0</v>
      </c>
      <c r="M18" s="527">
        <f>IF(M8='H2 decom &amp; refub L'!$E$59,'H2 decom &amp; refub L'!$E$65,0)</f>
        <v>0</v>
      </c>
      <c r="N18" s="527">
        <f>IF(N8='H2 decom &amp; refub L'!$E$59,'H2 decom &amp; refub L'!$E$65,0)</f>
        <v>0</v>
      </c>
      <c r="O18" s="527">
        <f>IF(O8='H2 decom &amp; refub L'!$E$59,'H2 decom &amp; refub L'!$E$65,0)</f>
        <v>0</v>
      </c>
      <c r="P18" s="527">
        <f>IF(P8='H2 decom &amp; refub L'!$E$59,'H2 decom &amp; refub L'!$E$65,0)</f>
        <v>0</v>
      </c>
      <c r="Q18" s="527">
        <f>IF(Q8='H2 decom &amp; refub L'!$E$59,'H2 decom &amp; refub L'!$E$65,0)</f>
        <v>0</v>
      </c>
      <c r="R18" s="527">
        <f>IF(R8='H2 decom &amp; refub L'!$E$59,'H2 decom &amp; refub L'!$E$65,0)</f>
        <v>0</v>
      </c>
      <c r="S18" s="527">
        <f>IF(S8='H2 decom &amp; refub L'!$E$59,'H2 decom &amp; refub L'!$E$65,0)</f>
        <v>0</v>
      </c>
      <c r="T18" s="527">
        <f>IF(T8='H2 decom &amp; refub L'!$E$59,'H2 decom &amp; refub L'!$E$65,0)</f>
        <v>0</v>
      </c>
      <c r="U18" s="527">
        <f>IF(U8='H2 decom &amp; refub L'!$E$59,'H2 decom &amp; refub L'!$E$65,0)</f>
        <v>0</v>
      </c>
      <c r="V18" s="527">
        <f>IF(V8='H2 decom &amp; refub L'!$E$59,'H2 decom &amp; refub L'!$E$65,0)</f>
        <v>0</v>
      </c>
      <c r="W18" s="527">
        <f>IF(W8='H2 decom &amp; refub L'!$E$59,'H2 decom &amp; refub L'!$E$65,0)</f>
        <v>0</v>
      </c>
      <c r="X18" s="527">
        <f>IF(X8='H2 decom &amp; refub L'!$E$59,'H2 decom &amp; refub L'!$E$65,0)</f>
        <v>0</v>
      </c>
      <c r="Y18" s="527">
        <f>IF(Y8='H2 decom &amp; refub L'!$E$59,'H2 decom &amp; refub L'!$E$65,0)</f>
        <v>0</v>
      </c>
      <c r="Z18" s="527">
        <f>IF(Z8='H2 decom &amp; refub L'!$E$59,'H2 decom &amp; refub L'!$E$65,0)</f>
        <v>0</v>
      </c>
      <c r="AA18" s="527">
        <f>IF(AA8='H2 decom &amp; refub L'!$E$59,'H2 decom &amp; refub L'!$E$65,0)</f>
        <v>0</v>
      </c>
      <c r="AB18" s="527">
        <f>IF(AB8='H2 decom &amp; refub L'!$E$59,'H2 decom &amp; refub L'!$E$65,0)</f>
        <v>0</v>
      </c>
      <c r="AC18" s="527">
        <f>IF(AC8='H2 decom &amp; refub L'!$E$59,'H2 decom &amp; refub L'!$E$65,0)</f>
        <v>0</v>
      </c>
      <c r="AD18" s="527">
        <f>IF(AD8='H2 decom &amp; refub L'!$E$59,'H2 decom &amp; refub L'!$E$65,0)</f>
        <v>0</v>
      </c>
      <c r="AE18" s="527">
        <f>IF(AE8='H2 decom &amp; refub L'!$E$59,'H2 decom &amp; refub L'!$E$65,0)</f>
        <v>0</v>
      </c>
      <c r="AF18" s="527">
        <f>IF(AF8='H2 decom &amp; refub L'!$E$59,'H2 decom &amp; refub L'!$E$65,0)</f>
        <v>0</v>
      </c>
      <c r="AG18" s="527">
        <f>IF(AG8='H2 decom &amp; refub L'!$E$59,'H2 decom &amp; refub L'!$E$65,0)</f>
        <v>0</v>
      </c>
      <c r="AH18" s="527">
        <f>IF(AH8='H2 decom &amp; refub L'!$E$59,'H2 decom &amp; refub L'!$E$65,0)</f>
        <v>0</v>
      </c>
      <c r="AI18" s="527">
        <f>IF(AI8='H2 decom &amp; refub L'!$E$59,'H2 decom &amp; refub L'!$E$65,0)</f>
        <v>0</v>
      </c>
      <c r="AJ18" s="527">
        <f>IF(AJ8='H2 decom &amp; refub L'!$E$59,'H2 decom &amp; refub L'!$E$65,0)</f>
        <v>0</v>
      </c>
      <c r="AK18" s="527">
        <f>IF(AK8='H2 decom &amp; refub L'!$E$59,'H2 decom &amp; refub L'!$E$65,0)</f>
        <v>0</v>
      </c>
      <c r="AL18" s="527">
        <f>IF(AL8='H2 decom &amp; refub L'!$E$59,'H2 decom &amp; refub L'!$E$65,0)</f>
        <v>0</v>
      </c>
      <c r="AM18" s="527">
        <f>IF(AM8='H2 decom &amp; refub L'!$E$59,'H2 decom &amp; refub L'!$E$65,0)</f>
        <v>78880.801220779249</v>
      </c>
      <c r="AN18" s="527">
        <f>IF(AN8='H2 decom &amp; refub L'!$E$59,'H2 decom &amp; refub L'!$E$65,0)</f>
        <v>0</v>
      </c>
      <c r="AO18" s="527">
        <f>IF(AO8='H2 decom &amp; refub L'!$E$59,'H2 decom &amp; refub L'!$E$65,0)</f>
        <v>0</v>
      </c>
      <c r="AP18" s="527">
        <f>IF(AP8='H2 decom &amp; refub L'!$E$59,'H2 decom &amp; refub L'!$E$65,0)</f>
        <v>0</v>
      </c>
      <c r="AQ18" s="527">
        <f>IF(AQ8='H2 decom &amp; refub L'!$E$59,'H2 decom &amp; refub L'!$E$65,0)</f>
        <v>0</v>
      </c>
      <c r="AR18" s="527">
        <f>IF(AR8='H2 decom &amp; refub L'!$E$59,'H2 decom &amp; refub L'!$E$65,0)</f>
        <v>0</v>
      </c>
      <c r="AS18" s="527">
        <f>IF(AS8='H2 decom &amp; refub L'!$E$59,'H2 decom &amp; refub L'!$E$65,0)</f>
        <v>0</v>
      </c>
      <c r="AT18" s="527">
        <f>IF(AT8='H2 decom &amp; refub L'!$E$59,'H2 decom &amp; refub L'!$E$65,0)</f>
        <v>0</v>
      </c>
      <c r="AU18" s="527">
        <f>IF(AU8='H2 decom &amp; refub L'!$E$59,'H2 decom &amp; refub L'!$E$65,0)</f>
        <v>0</v>
      </c>
      <c r="AV18" s="527">
        <f>IF(AV8='H2 decom &amp; refub L'!$E$59,'H2 decom &amp; refub L'!$E$65,0)</f>
        <v>0</v>
      </c>
      <c r="AW18" s="527">
        <f>IF(AW8='H2 decom &amp; refub L'!$E$59,'H2 decom &amp; refub L'!$E$65,0)</f>
        <v>0</v>
      </c>
      <c r="AX18" s="527">
        <f>IF(AX8='H2 decom &amp; refub L'!$E$59,'H2 decom &amp; refub L'!$E$65,0)</f>
        <v>0</v>
      </c>
      <c r="AY18" s="527">
        <f>IF(AY8='H2 decom &amp; refub L'!$E$59,'H2 decom &amp; refub L'!$E$65,0)</f>
        <v>0</v>
      </c>
      <c r="AZ18" s="527">
        <f>IF(AZ8='H2 decom &amp; refub L'!$E$59,'H2 decom &amp; refub L'!$E$65,0)</f>
        <v>0</v>
      </c>
      <c r="BA18" s="527">
        <f>IF(BA8='H2 decom &amp; refub L'!$E$59,'H2 decom &amp; refub L'!$E$65,0)</f>
        <v>0</v>
      </c>
      <c r="BB18" s="527">
        <f>IF(BB8='H2 decom &amp; refub L'!$E$59,'H2 decom &amp; refub L'!$E$65,0)</f>
        <v>0</v>
      </c>
    </row>
    <row r="19" spans="1:54" x14ac:dyDescent="0.25">
      <c r="B19" s="440"/>
      <c r="C19" s="440"/>
      <c r="D19" s="514">
        <f t="shared" si="10"/>
        <v>0</v>
      </c>
      <c r="E19" s="514">
        <f t="shared" si="11"/>
        <v>0</v>
      </c>
      <c r="F19" s="440"/>
      <c r="G19" s="515"/>
      <c r="H19" s="515"/>
      <c r="I19" s="515"/>
      <c r="J19" s="515"/>
      <c r="K19" s="515"/>
      <c r="L19" s="515"/>
      <c r="M19" s="515"/>
      <c r="N19" s="515"/>
      <c r="O19" s="515"/>
      <c r="P19" s="515"/>
      <c r="Q19" s="515"/>
      <c r="R19" s="515"/>
      <c r="S19" s="515"/>
      <c r="T19" s="515"/>
      <c r="U19" s="515"/>
      <c r="V19" s="515"/>
      <c r="W19" s="515"/>
      <c r="X19" s="515"/>
      <c r="Y19" s="515"/>
      <c r="Z19" s="515"/>
      <c r="AA19" s="515"/>
      <c r="AB19" s="515"/>
      <c r="AC19" s="515"/>
      <c r="AD19" s="515"/>
      <c r="AE19" s="515"/>
      <c r="AF19" s="515"/>
      <c r="AG19" s="515"/>
      <c r="AH19" s="515"/>
      <c r="AI19" s="515"/>
      <c r="AJ19" s="515"/>
      <c r="AK19" s="515"/>
      <c r="AL19" s="515"/>
      <c r="AM19" s="515"/>
      <c r="AN19" s="515"/>
      <c r="AO19" s="515"/>
      <c r="AP19" s="515"/>
      <c r="AQ19" s="515"/>
      <c r="AR19" s="515"/>
      <c r="AS19" s="515"/>
      <c r="AT19" s="515"/>
      <c r="AU19" s="515"/>
      <c r="AV19" s="515"/>
      <c r="AW19" s="515"/>
      <c r="AX19" s="515"/>
      <c r="AY19" s="515"/>
      <c r="AZ19" s="515"/>
      <c r="BA19" s="515"/>
      <c r="BB19" s="515"/>
    </row>
    <row r="20" spans="1:54" x14ac:dyDescent="0.25">
      <c r="B20" s="309" t="s">
        <v>982</v>
      </c>
      <c r="C20" s="309" t="s">
        <v>979</v>
      </c>
      <c r="D20" s="505">
        <f>SUM(G20:BB20)</f>
        <v>709447.97461106465</v>
      </c>
      <c r="E20" s="505">
        <f>G20+NPV($C$43,H20:BB20)</f>
        <v>94219.268753351309</v>
      </c>
      <c r="F20" s="309"/>
      <c r="G20" s="506">
        <f t="shared" ref="G20:AU20" si="12">SUM(G21:G31)</f>
        <v>0</v>
      </c>
      <c r="H20" s="506">
        <f t="shared" si="12"/>
        <v>0</v>
      </c>
      <c r="I20" s="506">
        <f t="shared" si="12"/>
        <v>0</v>
      </c>
      <c r="J20" s="506">
        <f t="shared" si="12"/>
        <v>0</v>
      </c>
      <c r="K20" s="506">
        <f t="shared" si="12"/>
        <v>0</v>
      </c>
      <c r="L20" s="506">
        <f t="shared" si="12"/>
        <v>0</v>
      </c>
      <c r="M20" s="506">
        <f t="shared" si="12"/>
        <v>0</v>
      </c>
      <c r="N20" s="506">
        <f t="shared" si="12"/>
        <v>0</v>
      </c>
      <c r="O20" s="506">
        <f t="shared" si="12"/>
        <v>0</v>
      </c>
      <c r="P20" s="506">
        <f t="shared" si="12"/>
        <v>0</v>
      </c>
      <c r="Q20" s="506">
        <f t="shared" si="12"/>
        <v>0</v>
      </c>
      <c r="R20" s="506">
        <f t="shared" si="12"/>
        <v>0</v>
      </c>
      <c r="S20" s="506">
        <f t="shared" si="12"/>
        <v>0</v>
      </c>
      <c r="T20" s="506">
        <f t="shared" si="12"/>
        <v>31023.224309678029</v>
      </c>
      <c r="U20" s="506">
        <f t="shared" si="12"/>
        <v>31649.23921768595</v>
      </c>
      <c r="V20" s="506">
        <f t="shared" si="12"/>
        <v>32287.885432290299</v>
      </c>
      <c r="W20" s="506">
        <f t="shared" si="12"/>
        <v>32939.417799791772</v>
      </c>
      <c r="X20" s="506">
        <f t="shared" si="12"/>
        <v>33604.096307820379</v>
      </c>
      <c r="Y20" s="506">
        <f t="shared" si="12"/>
        <v>34282.186189050204</v>
      </c>
      <c r="Z20" s="506">
        <f t="shared" si="12"/>
        <v>34973.958027006098</v>
      </c>
      <c r="AA20" s="506">
        <f t="shared" si="12"/>
        <v>35679.68786400462</v>
      </c>
      <c r="AB20" s="506">
        <f t="shared" si="12"/>
        <v>36399.657311272269</v>
      </c>
      <c r="AC20" s="506">
        <f t="shared" si="12"/>
        <v>37134.153661285025</v>
      </c>
      <c r="AD20" s="506">
        <f t="shared" si="12"/>
        <v>37876.836734510711</v>
      </c>
      <c r="AE20" s="506">
        <f t="shared" si="12"/>
        <v>38634.373469200924</v>
      </c>
      <c r="AF20" s="506">
        <f t="shared" si="12"/>
        <v>39407.060938584946</v>
      </c>
      <c r="AG20" s="506">
        <f t="shared" si="12"/>
        <v>40195.202157356645</v>
      </c>
      <c r="AH20" s="506">
        <f t="shared" si="12"/>
        <v>40999.106200503775</v>
      </c>
      <c r="AI20" s="506">
        <f t="shared" si="12"/>
        <v>41819.088324513854</v>
      </c>
      <c r="AJ20" s="506">
        <f t="shared" si="12"/>
        <v>42655.470091004128</v>
      </c>
      <c r="AK20" s="506">
        <f t="shared" si="12"/>
        <v>43508.57949282421</v>
      </c>
      <c r="AL20" s="506">
        <f t="shared" si="12"/>
        <v>44378.75108268069</v>
      </c>
      <c r="AM20" s="506">
        <f t="shared" si="12"/>
        <v>0</v>
      </c>
      <c r="AN20" s="506">
        <f t="shared" si="12"/>
        <v>0</v>
      </c>
      <c r="AO20" s="506">
        <f t="shared" si="12"/>
        <v>0</v>
      </c>
      <c r="AP20" s="506">
        <f t="shared" si="12"/>
        <v>0</v>
      </c>
      <c r="AQ20" s="506">
        <f t="shared" si="12"/>
        <v>0</v>
      </c>
      <c r="AR20" s="506">
        <f t="shared" si="12"/>
        <v>0</v>
      </c>
      <c r="AS20" s="506">
        <f t="shared" si="12"/>
        <v>0</v>
      </c>
      <c r="AT20" s="506">
        <f t="shared" si="12"/>
        <v>0</v>
      </c>
      <c r="AU20" s="506">
        <f t="shared" si="12"/>
        <v>0</v>
      </c>
      <c r="AV20" s="506">
        <f t="shared" ref="AV20:BB20" si="13">SUM(AV21:AV31)</f>
        <v>0</v>
      </c>
      <c r="AW20" s="506">
        <f t="shared" si="13"/>
        <v>0</v>
      </c>
      <c r="AX20" s="506">
        <f t="shared" si="13"/>
        <v>0</v>
      </c>
      <c r="AY20" s="506">
        <f t="shared" si="13"/>
        <v>0</v>
      </c>
      <c r="AZ20" s="506">
        <f t="shared" si="13"/>
        <v>0</v>
      </c>
      <c r="BA20" s="506">
        <f t="shared" si="13"/>
        <v>0</v>
      </c>
      <c r="BB20" s="506">
        <f t="shared" si="13"/>
        <v>0</v>
      </c>
    </row>
    <row r="21" spans="1:54" x14ac:dyDescent="0.25">
      <c r="A21" s="1031"/>
      <c r="B21" s="507" t="str">
        <f>Parameters!E420</f>
        <v>Energy requirement desalination unit</v>
      </c>
      <c r="C21" s="508" t="s">
        <v>979</v>
      </c>
      <c r="D21" s="509">
        <f t="shared" ref="D21:D30" si="14">SUM(G21:BB21)</f>
        <v>1715.2212804211908</v>
      </c>
      <c r="E21" s="509">
        <f t="shared" ref="E21:E30" si="15">G21+NPV($C$43,H21:BB21)</f>
        <v>223.12800769670153</v>
      </c>
      <c r="F21" s="533" t="s">
        <v>1481</v>
      </c>
      <c r="G21" s="510">
        <f>IF(AND(G$8&gt;=$C$5,G$8&lt;$C$6),VLOOKUP($B21,Parameters!$E$377:$G$501,3,FALSE),0)*(Parameters!$G$37+INDEX('Electricity price scenarios'!$B$3:$BB$11,MATCH(Parameters!$G$15,'Electricity price scenarios'!$B$3:$B$11,0),MATCH(G$8,'Electricity price scenarios'!$B$3:$BB$3,0)))*(1+Parameters!$G$13)^(G$8-$G$8)/1000</f>
        <v>0</v>
      </c>
      <c r="H21" s="510">
        <f>IF(AND(H$8&gt;=$C$5,H$8&lt;$C$6),VLOOKUP($B21,Parameters!$E$377:$G$501,3,FALSE),0)*(Parameters!$G$37+INDEX('Electricity price scenarios'!$B$3:$BB$11,MATCH(Parameters!$G$15,'Electricity price scenarios'!$B$3:$B$11,0),MATCH(H$8,'Electricity price scenarios'!$B$3:$BB$3,0)))*(1+Parameters!$G$13)^(H$8-$G$8)/1000</f>
        <v>0</v>
      </c>
      <c r="I21" s="510">
        <f>IF(AND(I$8&gt;=$C$5,I$8&lt;$C$6),VLOOKUP($B21,Parameters!$E$377:$G$501,3,FALSE),0)*(Parameters!$G$37+INDEX('Electricity price scenarios'!$B$3:$BB$11,MATCH(Parameters!$G$15,'Electricity price scenarios'!$B$3:$B$11,0),MATCH(I$8,'Electricity price scenarios'!$B$3:$BB$3,0)))*(1+Parameters!$G$13)^(I$8-$G$8)/1000</f>
        <v>0</v>
      </c>
      <c r="J21" s="510">
        <f>IF(AND(J$8&gt;=$C$5,J$8&lt;$C$6),VLOOKUP($B21,Parameters!$E$377:$G$501,3,FALSE),0)*(Parameters!$G$37+INDEX('Electricity price scenarios'!$B$3:$BB$11,MATCH(Parameters!$G$15,'Electricity price scenarios'!$B$3:$B$11,0),MATCH(J$8,'Electricity price scenarios'!$B$3:$BB$3,0)))*(1+Parameters!$G$13)^(J$8-$G$8)/1000</f>
        <v>0</v>
      </c>
      <c r="K21" s="510">
        <f>IF(AND(K$8&gt;=$C$5,K$8&lt;$C$6),VLOOKUP($B21,Parameters!$E$377:$G$501,3,FALSE),0)*(Parameters!$G$37+INDEX('Electricity price scenarios'!$B$3:$BB$11,MATCH(Parameters!$G$15,'Electricity price scenarios'!$B$3:$B$11,0),MATCH(K$8,'Electricity price scenarios'!$B$3:$BB$3,0)))*(1+Parameters!$G$13)^(K$8-$G$8)/1000</f>
        <v>0</v>
      </c>
      <c r="L21" s="510">
        <f>IF(AND(L$8&gt;=$C$5,L$8&lt;$C$6),VLOOKUP($B21,Parameters!$E$377:$G$501,3,FALSE),0)*(Parameters!$G$37+INDEX('Electricity price scenarios'!$B$3:$BB$11,MATCH(Parameters!$G$15,'Electricity price scenarios'!$B$3:$B$11,0),MATCH(L$8,'Electricity price scenarios'!$B$3:$BB$3,0)))*(1+Parameters!$G$13)^(L$8-$G$8)/1000</f>
        <v>0</v>
      </c>
      <c r="M21" s="510">
        <f>IF(AND(M$8&gt;=$C$5,M$8&lt;$C$6),VLOOKUP($B21,Parameters!$E$377:$G$501,3,FALSE),0)*(Parameters!$G$37+INDEX('Electricity price scenarios'!$B$3:$BB$11,MATCH(Parameters!$G$15,'Electricity price scenarios'!$B$3:$B$11,0),MATCH(M$8,'Electricity price scenarios'!$B$3:$BB$3,0)))*(1+Parameters!$G$13)^(M$8-$G$8)/1000</f>
        <v>0</v>
      </c>
      <c r="N21" s="510">
        <f>IF(AND(N$8&gt;=$C$5,N$8&lt;$C$6),VLOOKUP($B21,Parameters!$E$377:$G$501,3,FALSE),0)*(Parameters!$G$37+INDEX('Electricity price scenarios'!$B$3:$BB$11,MATCH(Parameters!$G$15,'Electricity price scenarios'!$B$3:$B$11,0),MATCH(N$8,'Electricity price scenarios'!$B$3:$BB$3,0)))*(1+Parameters!$G$13)^(N$8-$G$8)/1000</f>
        <v>0</v>
      </c>
      <c r="O21" s="510">
        <f>IF(AND(O$8&gt;=$C$5,O$8&lt;$C$6),VLOOKUP($B21,Parameters!$E$377:$G$501,3,FALSE),0)*(Parameters!$G$37+INDEX('Electricity price scenarios'!$B$3:$BB$11,MATCH(Parameters!$G$15,'Electricity price scenarios'!$B$3:$B$11,0),MATCH(O$8,'Electricity price scenarios'!$B$3:$BB$3,0)))*(1+Parameters!$G$13)^(O$8-$G$8)/1000</f>
        <v>0</v>
      </c>
      <c r="P21" s="510">
        <f>IF(AND(P$8&gt;=$C$5,P$8&lt;$C$6),VLOOKUP($B21,Parameters!$E$377:$G$501,3,FALSE),0)*(Parameters!$G$37+INDEX('Electricity price scenarios'!$B$3:$BB$11,MATCH(Parameters!$G$15,'Electricity price scenarios'!$B$3:$B$11,0),MATCH(P$8,'Electricity price scenarios'!$B$3:$BB$3,0)))*(1+Parameters!$G$13)^(P$8-$G$8)/1000</f>
        <v>0</v>
      </c>
      <c r="Q21" s="510">
        <f>IF(AND(Q$8&gt;=$C$5,Q$8&lt;$C$6),VLOOKUP($B21,Parameters!$E$377:$G$501,3,FALSE),0)*(Parameters!$G$37+INDEX('Electricity price scenarios'!$B$3:$BB$11,MATCH(Parameters!$G$15,'Electricity price scenarios'!$B$3:$B$11,0),MATCH(Q$8,'Electricity price scenarios'!$B$3:$BB$3,0)))*(1+Parameters!$G$13)^(Q$8-$G$8)/1000</f>
        <v>0</v>
      </c>
      <c r="R21" s="510">
        <f>IF(AND(R$8&gt;=$C$5,R$8&lt;$C$6),VLOOKUP($B21,Parameters!$E$377:$G$501,3,FALSE),0)*(Parameters!$G$37+INDEX('Electricity price scenarios'!$B$3:$BB$11,MATCH(Parameters!$G$15,'Electricity price scenarios'!$B$3:$B$11,0),MATCH(R$8,'Electricity price scenarios'!$B$3:$BB$3,0)))*(1+Parameters!$G$13)^(R$8-$G$8)/1000</f>
        <v>0</v>
      </c>
      <c r="S21" s="510">
        <f>IF(AND(S$8&gt;=$C$5,S$8&lt;$C$6),VLOOKUP($B21,Parameters!$E$377:$G$501,3,FALSE),0)*(Parameters!$G$37+INDEX('Electricity price scenarios'!$B$3:$BB$11,MATCH(Parameters!$G$15,'Electricity price scenarios'!$B$3:$B$11,0),MATCH(S$8,'Electricity price scenarios'!$B$3:$BB$3,0)))*(1+Parameters!$G$13)^(S$8-$G$8)/1000</f>
        <v>0</v>
      </c>
      <c r="T21" s="510">
        <f>IF(AND(T$8&gt;=$C$5,T$8&lt;$C$6),VLOOKUP($B21,Parameters!$E$377:$G$501,3,FALSE),0)*(Parameters!$G$37+INDEX('Electricity price scenarios'!$B$3:$BB$11,MATCH(Parameters!$G$15,'Electricity price scenarios'!$B$3:$B$11,0),MATCH(T$8,'Electricity price scenarios'!$B$3:$BB$3,0)))*(1+Parameters!$G$13)^(T$8-$G$8)/1000</f>
        <v>67.821089195561683</v>
      </c>
      <c r="U21" s="510">
        <f>IF(AND(U$8&gt;=$C$5,U$8&lt;$C$6),VLOOKUP($B21,Parameters!$E$377:$G$501,3,FALSE),0)*(Parameters!$G$37+INDEX('Electricity price scenarios'!$B$3:$BB$11,MATCH(Parameters!$G$15,'Electricity price scenarios'!$B$3:$B$11,0),MATCH(U$8,'Electricity price scenarios'!$B$3:$BB$3,0)))*(1+Parameters!$G$13)^(U$8-$G$8)/1000</f>
        <v>70.249587187163215</v>
      </c>
      <c r="V21" s="510">
        <f>IF(AND(V$8&gt;=$C$5,V$8&lt;$C$6),VLOOKUP($B21,Parameters!$E$377:$G$501,3,FALSE),0)*(Parameters!$G$37+INDEX('Electricity price scenarios'!$B$3:$BB$11,MATCH(Parameters!$G$15,'Electricity price scenarios'!$B$3:$B$11,0),MATCH(V$8,'Electricity price scenarios'!$B$3:$BB$3,0)))*(1+Parameters!$G$13)^(V$8-$G$8)/1000</f>
        <v>72.748096662750569</v>
      </c>
      <c r="W21" s="510">
        <f>IF(AND(W$8&gt;=$C$5,W$8&lt;$C$6),VLOOKUP($B21,Parameters!$E$377:$G$501,3,FALSE),0)*(Parameters!$G$37+INDEX('Electricity price scenarios'!$B$3:$BB$11,MATCH(Parameters!$G$15,'Electricity price scenarios'!$B$3:$B$11,0),MATCH(W$8,'Electricity price scenarios'!$B$3:$BB$3,0)))*(1+Parameters!$G$13)^(W$8-$G$8)/1000</f>
        <v>75.318446682486567</v>
      </c>
      <c r="X21" s="510">
        <f>IF(AND(X$8&gt;=$C$5,X$8&lt;$C$6),VLOOKUP($B21,Parameters!$E$377:$G$501,3,FALSE),0)*(Parameters!$G$37+INDEX('Electricity price scenarios'!$B$3:$BB$11,MATCH(Parameters!$G$15,'Electricity price scenarios'!$B$3:$B$11,0),MATCH(X$8,'Electricity price scenarios'!$B$3:$BB$3,0)))*(1+Parameters!$G$13)^(X$8-$G$8)/1000</f>
        <v>77.962511464346903</v>
      </c>
      <c r="Y21" s="510">
        <f>IF(AND(Y$8&gt;=$C$5,Y$8&lt;$C$6),VLOOKUP($B21,Parameters!$E$377:$G$501,3,FALSE),0)*(Parameters!$G$37+INDEX('Electricity price scenarios'!$B$3:$BB$11,MATCH(Parameters!$G$15,'Electricity price scenarios'!$B$3:$B$11,0),MATCH(Y$8,'Electricity price scenarios'!$B$3:$BB$3,0)))*(1+Parameters!$G$13)^(Y$8-$G$8)/1000</f>
        <v>80.682211458808638</v>
      </c>
      <c r="Z21" s="510">
        <f>IF(AND(Z$8&gt;=$C$5,Z$8&lt;$C$6),VLOOKUP($B21,Parameters!$E$377:$G$501,3,FALSE),0)*(Parameters!$G$37+INDEX('Electricity price scenarios'!$B$3:$BB$11,MATCH(Parameters!$G$15,'Electricity price scenarios'!$B$3:$B$11,0),MATCH(Z$8,'Electricity price scenarios'!$B$3:$BB$3,0)))*(1+Parameters!$G$13)^(Z$8-$G$8)/1000</f>
        <v>83.479514448463135</v>
      </c>
      <c r="AA21" s="510">
        <f>IF(AND(AA$8&gt;=$C$5,AA$8&lt;$C$6),VLOOKUP($B21,Parameters!$E$377:$G$501,3,FALSE),0)*(Parameters!$G$37+INDEX('Electricity price scenarios'!$B$3:$BB$11,MATCH(Parameters!$G$15,'Electricity price scenarios'!$B$3:$B$11,0),MATCH(AA$8,'Electricity price scenarios'!$B$3:$BB$3,0)))*(1+Parameters!$G$13)^(AA$8-$G$8)/1000</f>
        <v>86.356436673120271</v>
      </c>
      <c r="AB21" s="510">
        <f>IF(AND(AB$8&gt;=$C$5,AB$8&lt;$C$6),VLOOKUP($B21,Parameters!$E$377:$G$501,3,FALSE),0)*(Parameters!$G$37+INDEX('Electricity price scenarios'!$B$3:$BB$11,MATCH(Parameters!$G$15,'Electricity price scenarios'!$B$3:$B$11,0),MATCH(AB$8,'Electricity price scenarios'!$B$3:$BB$3,0)))*(1+Parameters!$G$13)^(AB$8-$G$8)/1000</f>
        <v>89.315043980984314</v>
      </c>
      <c r="AC21" s="510">
        <f>IF(AND(AC$8&gt;=$C$5,AC$8&lt;$C$6),VLOOKUP($B21,Parameters!$E$377:$G$501,3,FALSE),0)*(Parameters!$G$37+INDEX('Electricity price scenarios'!$B$3:$BB$11,MATCH(Parameters!$G$15,'Electricity price scenarios'!$B$3:$B$11,0),MATCH(AC$8,'Electricity price scenarios'!$B$3:$BB$3,0)))*(1+Parameters!$G$13)^(AC$8-$G$8)/1000</f>
        <v>92.357453006493657</v>
      </c>
      <c r="AD21" s="510">
        <f>IF(AND(AD$8&gt;=$C$5,AD$8&lt;$C$6),VLOOKUP($B21,Parameters!$E$377:$G$501,3,FALSE),0)*(Parameters!$G$37+INDEX('Electricity price scenarios'!$B$3:$BB$11,MATCH(Parameters!$G$15,'Electricity price scenarios'!$B$3:$B$11,0),MATCH(AD$8,'Electricity price scenarios'!$B$3:$BB$3,0)))*(1+Parameters!$G$13)^(AD$8-$G$8)/1000</f>
        <v>94.204602066623508</v>
      </c>
      <c r="AE21" s="510">
        <f>IF(AND(AE$8&gt;=$C$5,AE$8&lt;$C$6),VLOOKUP($B21,Parameters!$E$377:$G$501,3,FALSE),0)*(Parameters!$G$37+INDEX('Electricity price scenarios'!$B$3:$BB$11,MATCH(Parameters!$G$15,'Electricity price scenarios'!$B$3:$B$11,0),MATCH(AE$8,'Electricity price scenarios'!$B$3:$BB$3,0)))*(1+Parameters!$G$13)^(AE$8-$G$8)/1000</f>
        <v>96.088694107955973</v>
      </c>
      <c r="AF21" s="510">
        <f>IF(AND(AF$8&gt;=$C$5,AF$8&lt;$C$6),VLOOKUP($B21,Parameters!$E$377:$G$501,3,FALSE),0)*(Parameters!$G$37+INDEX('Electricity price scenarios'!$B$3:$BB$11,MATCH(Parameters!$G$15,'Electricity price scenarios'!$B$3:$B$11,0),MATCH(AF$8,'Electricity price scenarios'!$B$3:$BB$3,0)))*(1+Parameters!$G$13)^(AF$8-$G$8)/1000</f>
        <v>98.010467990115089</v>
      </c>
      <c r="AG21" s="510">
        <f>IF(AND(AG$8&gt;=$C$5,AG$8&lt;$C$6),VLOOKUP($B21,Parameters!$E$377:$G$501,3,FALSE),0)*(Parameters!$G$37+INDEX('Electricity price scenarios'!$B$3:$BB$11,MATCH(Parameters!$G$15,'Electricity price scenarios'!$B$3:$B$11,0),MATCH(AG$8,'Electricity price scenarios'!$B$3:$BB$3,0)))*(1+Parameters!$G$13)^(AG$8-$G$8)/1000</f>
        <v>99.970677349917409</v>
      </c>
      <c r="AH21" s="510">
        <f>IF(AND(AH$8&gt;=$C$5,AH$8&lt;$C$6),VLOOKUP($B21,Parameters!$E$377:$G$501,3,FALSE),0)*(Parameters!$G$37+INDEX('Electricity price scenarios'!$B$3:$BB$11,MATCH(Parameters!$G$15,'Electricity price scenarios'!$B$3:$B$11,0),MATCH(AH$8,'Electricity price scenarios'!$B$3:$BB$3,0)))*(1+Parameters!$G$13)^(AH$8-$G$8)/1000</f>
        <v>101.97009089691575</v>
      </c>
      <c r="AI21" s="510">
        <f>IF(AND(AI$8&gt;=$C$5,AI$8&lt;$C$6),VLOOKUP($B21,Parameters!$E$377:$G$501,3,FALSE),0)*(Parameters!$G$37+INDEX('Electricity price scenarios'!$B$3:$BB$11,MATCH(Parameters!$G$15,'Electricity price scenarios'!$B$3:$B$11,0),MATCH(AI$8,'Electricity price scenarios'!$B$3:$BB$3,0)))*(1+Parameters!$G$13)^(AI$8-$G$8)/1000</f>
        <v>104.00949271485408</v>
      </c>
      <c r="AJ21" s="510">
        <f>IF(AND(AJ$8&gt;=$C$5,AJ$8&lt;$C$6),VLOOKUP($B21,Parameters!$E$377:$G$501,3,FALSE),0)*(Parameters!$G$37+INDEX('Electricity price scenarios'!$B$3:$BB$11,MATCH(Parameters!$G$15,'Electricity price scenarios'!$B$3:$B$11,0),MATCH(AJ$8,'Electricity price scenarios'!$B$3:$BB$3,0)))*(1+Parameters!$G$13)^(AJ$8-$G$8)/1000</f>
        <v>106.08968256915115</v>
      </c>
      <c r="AK21" s="510">
        <f>IF(AND(AK$8&gt;=$C$5,AK$8&lt;$C$6),VLOOKUP($B21,Parameters!$E$377:$G$501,3,FALSE),0)*(Parameters!$G$37+INDEX('Electricity price scenarios'!$B$3:$BB$11,MATCH(Parameters!$G$15,'Electricity price scenarios'!$B$3:$B$11,0),MATCH(AK$8,'Electricity price scenarios'!$B$3:$BB$3,0)))*(1+Parameters!$G$13)^(AK$8-$G$8)/1000</f>
        <v>108.21147622053418</v>
      </c>
      <c r="AL21" s="510">
        <f>IF(AND(AL$8&gt;=$C$5,AL$8&lt;$C$6),VLOOKUP($B21,Parameters!$E$377:$G$501,3,FALSE),0)*(Parameters!$G$37+INDEX('Electricity price scenarios'!$B$3:$BB$11,MATCH(Parameters!$G$15,'Electricity price scenarios'!$B$3:$B$11,0),MATCH(AL$8,'Electricity price scenarios'!$B$3:$BB$3,0)))*(1+Parameters!$G$13)^(AL$8-$G$8)/1000</f>
        <v>110.37570574494484</v>
      </c>
      <c r="AM21" s="510">
        <f>IF(AND(AM$8&gt;=$C$5,AM$8&lt;$C$6),VLOOKUP($B21,Parameters!$E$377:$G$501,3,FALSE),0)*(Parameters!$G$37+INDEX('Electricity price scenarios'!$B$3:$BB$11,MATCH(Parameters!$G$15,'Electricity price scenarios'!$B$3:$B$11,0),MATCH(AM$8,'Electricity price scenarios'!$B$3:$BB$3,0)))*(1+Parameters!$G$13)^(AM$8-$G$8)/1000</f>
        <v>0</v>
      </c>
      <c r="AN21" s="510">
        <f>IF(AND(AN$8&gt;=$C$5,AN$8&lt;$C$6),VLOOKUP($B21,Parameters!$E$377:$G$501,3,FALSE),0)*(Parameters!$G$37+INDEX('Electricity price scenarios'!$B$3:$BB$11,MATCH(Parameters!$G$15,'Electricity price scenarios'!$B$3:$B$11,0),MATCH(AN$8,'Electricity price scenarios'!$B$3:$BB$3,0)))*(1+Parameters!$G$13)^(AN$8-$G$8)/1000</f>
        <v>0</v>
      </c>
      <c r="AO21" s="510">
        <f>IF(AND(AO$8&gt;=$C$5,AO$8&lt;$C$6),VLOOKUP($B21,Parameters!$E$377:$G$501,3,FALSE),0)*(Parameters!$G$37+INDEX('Electricity price scenarios'!$B$3:$BB$11,MATCH(Parameters!$G$15,'Electricity price scenarios'!$B$3:$B$11,0),MATCH(AO$8,'Electricity price scenarios'!$B$3:$BB$3,0)))*(1+Parameters!$G$13)^(AO$8-$G$8)/1000</f>
        <v>0</v>
      </c>
      <c r="AP21" s="510">
        <f>IF(AND(AP$8&gt;=$C$5,AP$8&lt;$C$6),VLOOKUP($B21,Parameters!$E$377:$G$501,3,FALSE),0)*(Parameters!$G$37+INDEX('Electricity price scenarios'!$B$3:$BB$11,MATCH(Parameters!$G$15,'Electricity price scenarios'!$B$3:$B$11,0),MATCH(AP$8,'Electricity price scenarios'!$B$3:$BB$3,0)))*(1+Parameters!$G$13)^(AP$8-$G$8)/1000</f>
        <v>0</v>
      </c>
      <c r="AQ21" s="510">
        <f>IF(AND(AQ$8&gt;=$C$5,AQ$8&lt;$C$6),VLOOKUP($B21,Parameters!$E$377:$G$501,3,FALSE),0)*(Parameters!$G$37+INDEX('Electricity price scenarios'!$B$3:$BB$11,MATCH(Parameters!$G$15,'Electricity price scenarios'!$B$3:$B$11,0),MATCH(AQ$8,'Electricity price scenarios'!$B$3:$BB$3,0)))*(1+Parameters!$G$13)^(AQ$8-$G$8)/1000</f>
        <v>0</v>
      </c>
      <c r="AR21" s="510">
        <f>IF(AND(AR$8&gt;=$C$5,AR$8&lt;$C$6),VLOOKUP($B21,Parameters!$E$377:$G$501,3,FALSE),0)*(Parameters!$G$37+INDEX('Electricity price scenarios'!$B$3:$BB$11,MATCH(Parameters!$G$15,'Electricity price scenarios'!$B$3:$B$11,0),MATCH(AR$8,'Electricity price scenarios'!$B$3:$BB$3,0)))*(1+Parameters!$G$13)^(AR$8-$G$8)/1000</f>
        <v>0</v>
      </c>
      <c r="AS21" s="510">
        <f>IF(AND(AS$8&gt;=$C$5,AS$8&lt;$C$6),VLOOKUP($B21,Parameters!$E$377:$G$501,3,FALSE),0)*(Parameters!$G$37+INDEX('Electricity price scenarios'!$B$3:$BB$11,MATCH(Parameters!$G$15,'Electricity price scenarios'!$B$3:$B$11,0),MATCH(AS$8,'Electricity price scenarios'!$B$3:$BB$3,0)))*(1+Parameters!$G$13)^(AS$8-$G$8)/1000</f>
        <v>0</v>
      </c>
      <c r="AT21" s="510">
        <f>IF(AND(AT$8&gt;=$C$5,AT$8&lt;$C$6),VLOOKUP($B21,Parameters!$E$377:$G$501,3,FALSE),0)*(Parameters!$G$37+INDEX('Electricity price scenarios'!$B$3:$BB$11,MATCH(Parameters!$G$15,'Electricity price scenarios'!$B$3:$B$11,0),MATCH(AT$8,'Electricity price scenarios'!$B$3:$BB$3,0)))*(1+Parameters!$G$13)^(AT$8-$G$8)/1000</f>
        <v>0</v>
      </c>
      <c r="AU21" s="510">
        <f>IF(AND(AU$8&gt;=$C$5,AU$8&lt;$C$6),VLOOKUP($B21,Parameters!$E$377:$G$501,3,FALSE),0)*(Parameters!$G$37+INDEX('Electricity price scenarios'!$B$3:$BB$11,MATCH(Parameters!$G$15,'Electricity price scenarios'!$B$3:$B$11,0),MATCH(AU$8,'Electricity price scenarios'!$B$3:$BB$3,0)))*(1+Parameters!$G$13)^(AU$8-$G$8)/1000</f>
        <v>0</v>
      </c>
      <c r="AV21" s="510">
        <f>IF(AND(AV$8&gt;=$C$5,AV$8&lt;$C$6),VLOOKUP($B21,Parameters!$E$377:$G$501,3,FALSE),0)*(Parameters!$G$37+INDEX('Electricity price scenarios'!$B$3:$BB$11,MATCH(Parameters!$G$15,'Electricity price scenarios'!$B$3:$B$11,0),MATCH(AV$8,'Electricity price scenarios'!$B$3:$BB$3,0)))*(1+Parameters!$G$13)^(AV$8-$G$8)/1000</f>
        <v>0</v>
      </c>
      <c r="AW21" s="510">
        <f>IF(AND(AW$8&gt;=$C$5,AW$8&lt;$C$6),VLOOKUP($B21,Parameters!$E$377:$G$501,3,FALSE),0)*(Parameters!$G$37+INDEX('Electricity price scenarios'!$B$3:$BB$11,MATCH(Parameters!$G$15,'Electricity price scenarios'!$B$3:$B$11,0),MATCH(AW$8,'Electricity price scenarios'!$B$3:$BB$3,0)))*(1+Parameters!$G$13)^(AW$8-$G$8)/1000</f>
        <v>0</v>
      </c>
      <c r="AX21" s="510">
        <f>IF(AND(AX$8&gt;=$C$5,AX$8&lt;$C$6),VLOOKUP($B21,Parameters!$E$377:$G$501,3,FALSE),0)*(Parameters!$G$37+INDEX('Electricity price scenarios'!$B$3:$BB$11,MATCH(Parameters!$G$15,'Electricity price scenarios'!$B$3:$B$11,0),MATCH(AX$8,'Electricity price scenarios'!$B$3:$BB$3,0)))*(1+Parameters!$G$13)^(AX$8-$G$8)/1000</f>
        <v>0</v>
      </c>
      <c r="AY21" s="510">
        <f>IF(AND(AY$8&gt;=$C$5,AY$8&lt;$C$6),VLOOKUP($B21,Parameters!$E$377:$G$501,3,FALSE),0)*(Parameters!$G$37+INDEX('Electricity price scenarios'!$B$3:$BB$11,MATCH(Parameters!$G$15,'Electricity price scenarios'!$B$3:$B$11,0),MATCH(AY$8,'Electricity price scenarios'!$B$3:$BB$3,0)))*(1+Parameters!$G$13)^(AY$8-$G$8)/1000</f>
        <v>0</v>
      </c>
      <c r="AZ21" s="510">
        <f>IF(AND(AZ$8&gt;=$C$5,AZ$8&lt;$C$6),VLOOKUP($B21,Parameters!$E$377:$G$501,3,FALSE),0)*(Parameters!$G$37+INDEX('Electricity price scenarios'!$B$3:$BB$11,MATCH(Parameters!$G$15,'Electricity price scenarios'!$B$3:$B$11,0),MATCH(AZ$8,'Electricity price scenarios'!$B$3:$BB$3,0)))*(1+Parameters!$G$13)^(AZ$8-$G$8)/1000</f>
        <v>0</v>
      </c>
      <c r="BA21" s="510">
        <f>IF(AND(BA$8&gt;=$C$5,BA$8&lt;$C$6),VLOOKUP($B21,Parameters!$E$377:$G$501,3,FALSE),0)*(Parameters!$G$37+INDEX('Electricity price scenarios'!$B$3:$BB$11,MATCH(Parameters!$G$15,'Electricity price scenarios'!$B$3:$B$11,0),MATCH(BA$8,'Electricity price scenarios'!$B$3:$BB$3,0)))*(1+Parameters!$G$13)^(BA$8-$G$8)/1000</f>
        <v>0</v>
      </c>
      <c r="BB21" s="510">
        <f>IF(AND(BB$8&gt;=$C$5,BB$8&lt;$C$6),VLOOKUP($B21,Parameters!$E$377:$G$501,3,FALSE),0)*(Parameters!$G$37+INDEX('Electricity price scenarios'!$B$3:$BB$11,MATCH(Parameters!$G$15,'Electricity price scenarios'!$B$3:$B$11,0),MATCH(BB$8,'Electricity price scenarios'!$B$3:$BB$3,0)))*(1+Parameters!$G$13)^(BB$8-$G$8)/1000</f>
        <v>0</v>
      </c>
    </row>
    <row r="22" spans="1:54" x14ac:dyDescent="0.25">
      <c r="B22" s="904" t="str">
        <f>Parameters!E412</f>
        <v>Electricity costs electrolysis</v>
      </c>
      <c r="C22" s="511" t="s">
        <v>979</v>
      </c>
      <c r="D22" s="512">
        <f t="shared" si="14"/>
        <v>358514.19510834542</v>
      </c>
      <c r="E22" s="512">
        <f t="shared" si="15"/>
        <v>47625.356667328502</v>
      </c>
      <c r="F22" s="537" t="s">
        <v>1482</v>
      </c>
      <c r="G22" s="527">
        <f>IF(AND(G$8&gt;=$C$5,G$8&lt;$C$6),VLOOKUP($B22,Parameters!$E$377:$G$501,3,FALSE),0)*(1+Parameters!$G$13)^(G$8-$G$8)/1000</f>
        <v>0</v>
      </c>
      <c r="H22" s="527">
        <f>IF(AND(H$8&gt;=$C$5,H$8&lt;$C$6),VLOOKUP($B22,Parameters!$E$377:$G$501,3,FALSE),0)*(1+Parameters!$G$13)^(H$8-$G$8)/1000</f>
        <v>0</v>
      </c>
      <c r="I22" s="527">
        <f>IF(AND(I$8&gt;=$C$5,I$8&lt;$C$6),VLOOKUP($B22,Parameters!$E$377:$G$501,3,FALSE),0)*(1+Parameters!$G$13)^(I$8-$G$8)/1000</f>
        <v>0</v>
      </c>
      <c r="J22" s="527">
        <f>IF(AND(J$8&gt;=$C$5,J$8&lt;$C$6),VLOOKUP($B22,Parameters!$E$377:$G$501,3,FALSE),0)*(1+Parameters!$G$13)^(J$8-$G$8)/1000</f>
        <v>0</v>
      </c>
      <c r="K22" s="527">
        <f>IF(AND(K$8&gt;=$C$5,K$8&lt;$C$6),VLOOKUP($B22,Parameters!$E$377:$G$501,3,FALSE),0)*(1+Parameters!$G$13)^(K$8-$G$8)/1000</f>
        <v>0</v>
      </c>
      <c r="L22" s="527">
        <f>IF(AND(L$8&gt;=$C$5,L$8&lt;$C$6),VLOOKUP($B22,Parameters!$E$377:$G$501,3,FALSE),0)*(1+Parameters!$G$13)^(L$8-$G$8)/1000</f>
        <v>0</v>
      </c>
      <c r="M22" s="527">
        <f>IF(AND(M$8&gt;=$C$5,M$8&lt;$C$6),VLOOKUP($B22,Parameters!$E$377:$G$501,3,FALSE),0)*(1+Parameters!$G$13)^(M$8-$G$8)/1000</f>
        <v>0</v>
      </c>
      <c r="N22" s="527">
        <f>IF(AND(N$8&gt;=$C$5,N$8&lt;$C$6),VLOOKUP($B22,Parameters!$E$377:$G$501,3,FALSE),0)*(1+Parameters!$G$13)^(N$8-$G$8)/1000</f>
        <v>0</v>
      </c>
      <c r="O22" s="527">
        <f>IF(AND(O$8&gt;=$C$5,O$8&lt;$C$6),VLOOKUP($B22,Parameters!$E$377:$G$501,3,FALSE),0)*(1+Parameters!$G$13)^(O$8-$G$8)/1000</f>
        <v>0</v>
      </c>
      <c r="P22" s="527">
        <f>IF(AND(P$8&gt;=$C$5,P$8&lt;$C$6),VLOOKUP($B22,Parameters!$E$377:$G$501,3,FALSE),0)*(1+Parameters!$G$13)^(P$8-$G$8)/1000</f>
        <v>0</v>
      </c>
      <c r="Q22" s="527">
        <f>IF(AND(Q$8&gt;=$C$5,Q$8&lt;$C$6),VLOOKUP($B22,Parameters!$E$377:$G$501,3,FALSE),0)*(1+Parameters!$G$13)^(Q$8-$G$8)/1000</f>
        <v>0</v>
      </c>
      <c r="R22" s="527">
        <f>IF(AND(R$8&gt;=$C$5,R$8&lt;$C$6),VLOOKUP($B22,Parameters!$E$377:$G$501,3,FALSE),0)*(1+Parameters!$G$13)^(R$8-$G$8)/1000</f>
        <v>0</v>
      </c>
      <c r="S22" s="527">
        <f>IF(AND(S$8&gt;=$C$5,S$8&lt;$C$6),VLOOKUP($B22,Parameters!$E$377:$G$501,3,FALSE),0)*(1+Parameters!$G$13)^(S$8-$G$8)/1000</f>
        <v>0</v>
      </c>
      <c r="T22" s="527">
        <f>IF(AND(T$8&gt;=$C$5,T$8&lt;$C$6),VLOOKUP($B22,Parameters!$E$377:$G$501,3,FALSE),0)*(1+Parameters!$G$13)^(T$8-$G$8)/1000</f>
        <v>15696.384706375749</v>
      </c>
      <c r="U22" s="527">
        <f>IF(AND(U$8&gt;=$C$5,U$8&lt;$C$6),VLOOKUP($B22,Parameters!$E$377:$G$501,3,FALSE),0)*(1+Parameters!$G$13)^(U$8-$G$8)/1000</f>
        <v>16010.312400503266</v>
      </c>
      <c r="V22" s="527">
        <f>IF(AND(V$8&gt;=$C$5,V$8&lt;$C$6),VLOOKUP($B22,Parameters!$E$377:$G$501,3,FALSE),0)*(1+Parameters!$G$13)^(V$8-$G$8)/1000</f>
        <v>16330.518648513329</v>
      </c>
      <c r="W22" s="527">
        <f>IF(AND(W$8&gt;=$C$5,W$8&lt;$C$6),VLOOKUP($B22,Parameters!$E$377:$G$501,3,FALSE),0)*(1+Parameters!$G$13)^(W$8-$G$8)/1000</f>
        <v>16657.129021483597</v>
      </c>
      <c r="X22" s="527">
        <f>IF(AND(X$8&gt;=$C$5,X$8&lt;$C$6),VLOOKUP($B22,Parameters!$E$377:$G$501,3,FALSE),0)*(1+Parameters!$G$13)^(X$8-$G$8)/1000</f>
        <v>16990.271601913271</v>
      </c>
      <c r="Y22" s="527">
        <f>IF(AND(Y$8&gt;=$C$5,Y$8&lt;$C$6),VLOOKUP($B22,Parameters!$E$377:$G$501,3,FALSE),0)*(1+Parameters!$G$13)^(Y$8-$G$8)/1000</f>
        <v>17330.077033951533</v>
      </c>
      <c r="Z22" s="527">
        <f>IF(AND(Z$8&gt;=$C$5,Z$8&lt;$C$6),VLOOKUP($B22,Parameters!$E$377:$G$501,3,FALSE),0)*(1+Parameters!$G$13)^(Z$8-$G$8)/1000</f>
        <v>17676.678574630561</v>
      </c>
      <c r="AA22" s="527">
        <f>IF(AND(AA$8&gt;=$C$5,AA$8&lt;$C$6),VLOOKUP($B22,Parameters!$E$377:$G$501,3,FALSE),0)*(1+Parameters!$G$13)^(AA$8-$G$8)/1000</f>
        <v>18030.21214612318</v>
      </c>
      <c r="AB22" s="527">
        <f>IF(AND(AB$8&gt;=$C$5,AB$8&lt;$C$6),VLOOKUP($B22,Parameters!$E$377:$G$501,3,FALSE),0)*(1+Parameters!$G$13)^(AB$8-$G$8)/1000</f>
        <v>18390.816389045642</v>
      </c>
      <c r="AC22" s="527">
        <f>IF(AND(AC$8&gt;=$C$5,AC$8&lt;$C$6),VLOOKUP($B22,Parameters!$E$377:$G$501,3,FALSE),0)*(1+Parameters!$G$13)^(AC$8-$G$8)/1000</f>
        <v>18758.632716826556</v>
      </c>
      <c r="AD22" s="527">
        <f>IF(AND(AD$8&gt;=$C$5,AD$8&lt;$C$6),VLOOKUP($B22,Parameters!$E$377:$G$501,3,FALSE),0)*(1+Parameters!$G$13)^(AD$8-$G$8)/1000</f>
        <v>19133.805371163082</v>
      </c>
      <c r="AE22" s="527">
        <f>IF(AND(AE$8&gt;=$C$5,AE$8&lt;$C$6),VLOOKUP($B22,Parameters!$E$377:$G$501,3,FALSE),0)*(1+Parameters!$G$13)^(AE$8-$G$8)/1000</f>
        <v>19516.481478586342</v>
      </c>
      <c r="AF22" s="527">
        <f>IF(AND(AF$8&gt;=$C$5,AF$8&lt;$C$6),VLOOKUP($B22,Parameters!$E$377:$G$501,3,FALSE),0)*(1+Parameters!$G$13)^(AF$8-$G$8)/1000</f>
        <v>19906.811108158072</v>
      </c>
      <c r="AG22" s="527">
        <f>IF(AND(AG$8&gt;=$C$5,AG$8&lt;$C$6),VLOOKUP($B22,Parameters!$E$377:$G$501,3,FALSE),0)*(1+Parameters!$G$13)^(AG$8-$G$8)/1000</f>
        <v>20304.947330321233</v>
      </c>
      <c r="AH22" s="527">
        <f>IF(AND(AH$8&gt;=$C$5,AH$8&lt;$C$6),VLOOKUP($B22,Parameters!$E$377:$G$501,3,FALSE),0)*(1+Parameters!$G$13)^(AH$8-$G$8)/1000</f>
        <v>20711.046276927653</v>
      </c>
      <c r="AI22" s="527">
        <f>IF(AND(AI$8&gt;=$C$5,AI$8&lt;$C$6),VLOOKUP($B22,Parameters!$E$377:$G$501,3,FALSE),0)*(1+Parameters!$G$13)^(AI$8-$G$8)/1000</f>
        <v>21125.267202466213</v>
      </c>
      <c r="AJ22" s="527">
        <f>IF(AND(AJ$8&gt;=$C$5,AJ$8&lt;$C$6),VLOOKUP($B22,Parameters!$E$377:$G$501,3,FALSE),0)*(1+Parameters!$G$13)^(AJ$8-$G$8)/1000</f>
        <v>21547.772546515531</v>
      </c>
      <c r="AK22" s="527">
        <f>IF(AND(AK$8&gt;=$C$5,AK$8&lt;$C$6),VLOOKUP($B22,Parameters!$E$377:$G$501,3,FALSE),0)*(1+Parameters!$G$13)^(AK$8-$G$8)/1000</f>
        <v>21978.727997445843</v>
      </c>
      <c r="AL22" s="527">
        <f>IF(AND(AL$8&gt;=$C$5,AL$8&lt;$C$6),VLOOKUP($B22,Parameters!$E$377:$G$501,3,FALSE),0)*(1+Parameters!$G$13)^(AL$8-$G$8)/1000</f>
        <v>22418.302557394756</v>
      </c>
      <c r="AM22" s="527">
        <f>IF(AND(AM$8&gt;=$C$5,AM$8&lt;$C$6),VLOOKUP($B22,Parameters!$E$377:$G$501,3,FALSE),0)*(1+Parameters!$G$13)^(AM$8-$G$8)/1000</f>
        <v>0</v>
      </c>
      <c r="AN22" s="527">
        <f>IF(AND(AN$8&gt;=$C$5,AN$8&lt;$C$6),VLOOKUP($B22,Parameters!$E$377:$G$501,3,FALSE),0)*(1+Parameters!$G$13)^(AN$8-$G$8)/1000</f>
        <v>0</v>
      </c>
      <c r="AO22" s="527">
        <f>IF(AND(AO$8&gt;=$C$5,AO$8&lt;$C$6),VLOOKUP($B22,Parameters!$E$377:$G$501,3,FALSE),0)*(1+Parameters!$G$13)^(AO$8-$G$8)/1000</f>
        <v>0</v>
      </c>
      <c r="AP22" s="527">
        <f>IF(AND(AP$8&gt;=$C$5,AP$8&lt;$C$6),VLOOKUP($B22,Parameters!$E$377:$G$501,3,FALSE),0)*(1+Parameters!$G$13)^(AP$8-$G$8)/1000</f>
        <v>0</v>
      </c>
      <c r="AQ22" s="527">
        <f>IF(AND(AQ$8&gt;=$C$5,AQ$8&lt;$C$6),VLOOKUP($B22,Parameters!$E$377:$G$501,3,FALSE),0)*(1+Parameters!$G$13)^(AQ$8-$G$8)/1000</f>
        <v>0</v>
      </c>
      <c r="AR22" s="527">
        <f>IF(AND(AR$8&gt;=$C$5,AR$8&lt;$C$6),VLOOKUP($B22,Parameters!$E$377:$G$501,3,FALSE),0)*(1+Parameters!$G$13)^(AR$8-$G$8)/1000</f>
        <v>0</v>
      </c>
      <c r="AS22" s="527">
        <f>IF(AND(AS$8&gt;=$C$5,AS$8&lt;$C$6),VLOOKUP($B22,Parameters!$E$377:$G$501,3,FALSE),0)*(1+Parameters!$G$13)^(AS$8-$G$8)/1000</f>
        <v>0</v>
      </c>
      <c r="AT22" s="527">
        <f>IF(AND(AT$8&gt;=$C$5,AT$8&lt;$C$6),VLOOKUP($B22,Parameters!$E$377:$G$501,3,FALSE),0)*(1+Parameters!$G$13)^(AT$8-$G$8)/1000</f>
        <v>0</v>
      </c>
      <c r="AU22" s="527">
        <f>IF(AND(AU$8&gt;=$C$5,AU$8&lt;$C$6),VLOOKUP($B22,Parameters!$E$377:$G$501,3,FALSE),0)*(1+Parameters!$G$13)^(AU$8-$G$8)/1000</f>
        <v>0</v>
      </c>
      <c r="AV22" s="527">
        <f>IF(AND(AV$8&gt;=$C$5,AV$8&lt;$C$6),VLOOKUP($B22,Parameters!$E$377:$G$501,3,FALSE),0)*(1+Parameters!$G$13)^(AV$8-$G$8)/1000</f>
        <v>0</v>
      </c>
      <c r="AW22" s="527">
        <f>IF(AND(AW$8&gt;=$C$5,AW$8&lt;$C$6),VLOOKUP($B22,Parameters!$E$377:$G$501,3,FALSE),0)*(1+Parameters!$G$13)^(AW$8-$G$8)/1000</f>
        <v>0</v>
      </c>
      <c r="AX22" s="527">
        <f>IF(AND(AX$8&gt;=$C$5,AX$8&lt;$C$6),VLOOKUP($B22,Parameters!$E$377:$G$501,3,FALSE),0)*(1+Parameters!$G$13)^(AX$8-$G$8)/1000</f>
        <v>0</v>
      </c>
      <c r="AY22" s="527">
        <f>IF(AND(AY$8&gt;=$C$5,AY$8&lt;$C$6),VLOOKUP($B22,Parameters!$E$377:$G$501,3,FALSE),0)*(1+Parameters!$G$13)^(AY$8-$G$8)/1000</f>
        <v>0</v>
      </c>
      <c r="AZ22" s="527">
        <f>IF(AND(AZ$8&gt;=$C$5,AZ$8&lt;$C$6),VLOOKUP($B22,Parameters!$E$377:$G$501,3,FALSE),0)*(1+Parameters!$G$13)^(AZ$8-$G$8)/1000</f>
        <v>0</v>
      </c>
      <c r="BA22" s="527">
        <f>IF(AND(BA$8&gt;=$C$5,BA$8&lt;$C$6),VLOOKUP($B22,Parameters!$E$377:$G$501,3,FALSE),0)*(1+Parameters!$G$13)^(BA$8-$G$8)/1000</f>
        <v>0</v>
      </c>
      <c r="BB22" s="527">
        <f>IF(AND(BB$8&gt;=$C$5,BB$8&lt;$C$6),VLOOKUP($B22,Parameters!$E$377:$G$501,3,FALSE),0)*(1+Parameters!$G$13)^(BB$8-$G$8)/1000</f>
        <v>0</v>
      </c>
    </row>
    <row r="23" spans="1:54" x14ac:dyDescent="0.25">
      <c r="A23" s="1029"/>
      <c r="B23" s="478" t="str">
        <f>Parameters!E437</f>
        <v>Electricity demand H2 compressor</v>
      </c>
      <c r="C23" s="511" t="s">
        <v>979</v>
      </c>
      <c r="D23" s="512">
        <f t="shared" si="14"/>
        <v>7164.9325211514024</v>
      </c>
      <c r="E23" s="512">
        <f t="shared" si="15"/>
        <v>932.06464785303956</v>
      </c>
      <c r="F23" s="478" t="s">
        <v>1481</v>
      </c>
      <c r="G23" s="527">
        <f>IF(AND(G$8&gt;=$C$5,G$8&lt;$C$6),VLOOKUP($B23,Parameters!$E$377:$G$501,3,FALSE),0)*(Parameters!$G$37+INDEX('Electricity price scenarios'!$B$3:$BB$11,MATCH(Parameters!$G$15,'Electricity price scenarios'!$B$3:$B$11,0),MATCH(G$8,'Electricity price scenarios'!$B$3:$BB$3,0)))*(1+Parameters!$G$13)^(G$8-$G$8)/1000</f>
        <v>0</v>
      </c>
      <c r="H23" s="527">
        <f>IF(AND(H$8&gt;=$C$5,H$8&lt;$C$6),VLOOKUP($B23,Parameters!$E$377:$G$501,3,FALSE),0)*(Parameters!$G$37+INDEX('Electricity price scenarios'!$B$3:$BB$11,MATCH(Parameters!$G$15,'Electricity price scenarios'!$B$3:$B$11,0),MATCH(H$8,'Electricity price scenarios'!$B$3:$BB$3,0)))*(1+Parameters!$G$13)^(H$8-$G$8)/1000</f>
        <v>0</v>
      </c>
      <c r="I23" s="527">
        <f>IF(AND(I$8&gt;=$C$5,I$8&lt;$C$6),VLOOKUP($B23,Parameters!$E$377:$G$501,3,FALSE),0)*(Parameters!$G$37+INDEX('Electricity price scenarios'!$B$3:$BB$11,MATCH(Parameters!$G$15,'Electricity price scenarios'!$B$3:$B$11,0),MATCH(I$8,'Electricity price scenarios'!$B$3:$BB$3,0)))*(1+Parameters!$G$13)^(I$8-$G$8)/1000</f>
        <v>0</v>
      </c>
      <c r="J23" s="527">
        <f>IF(AND(J$8&gt;=$C$5,J$8&lt;$C$6),VLOOKUP($B23,Parameters!$E$377:$G$501,3,FALSE),0)*(Parameters!$G$37+INDEX('Electricity price scenarios'!$B$3:$BB$11,MATCH(Parameters!$G$15,'Electricity price scenarios'!$B$3:$B$11,0),MATCH(J$8,'Electricity price scenarios'!$B$3:$BB$3,0)))*(1+Parameters!$G$13)^(J$8-$G$8)/1000</f>
        <v>0</v>
      </c>
      <c r="K23" s="527">
        <f>IF(AND(K$8&gt;=$C$5,K$8&lt;$C$6),VLOOKUP($B23,Parameters!$E$377:$G$501,3,FALSE),0)*(Parameters!$G$37+INDEX('Electricity price scenarios'!$B$3:$BB$11,MATCH(Parameters!$G$15,'Electricity price scenarios'!$B$3:$B$11,0),MATCH(K$8,'Electricity price scenarios'!$B$3:$BB$3,0)))*(1+Parameters!$G$13)^(K$8-$G$8)/1000</f>
        <v>0</v>
      </c>
      <c r="L23" s="527">
        <f>IF(AND(L$8&gt;=$C$5,L$8&lt;$C$6),VLOOKUP($B23,Parameters!$E$377:$G$501,3,FALSE),0)*(Parameters!$G$37+INDEX('Electricity price scenarios'!$B$3:$BB$11,MATCH(Parameters!$G$15,'Electricity price scenarios'!$B$3:$B$11,0),MATCH(L$8,'Electricity price scenarios'!$B$3:$BB$3,0)))*(1+Parameters!$G$13)^(L$8-$G$8)/1000</f>
        <v>0</v>
      </c>
      <c r="M23" s="527">
        <f>IF(AND(M$8&gt;=$C$5,M$8&lt;$C$6),VLOOKUP($B23,Parameters!$E$377:$G$501,3,FALSE),0)*(Parameters!$G$37+INDEX('Electricity price scenarios'!$B$3:$BB$11,MATCH(Parameters!$G$15,'Electricity price scenarios'!$B$3:$B$11,0),MATCH(M$8,'Electricity price scenarios'!$B$3:$BB$3,0)))*(1+Parameters!$G$13)^(M$8-$G$8)/1000</f>
        <v>0</v>
      </c>
      <c r="N23" s="527">
        <f>IF(AND(N$8&gt;=$C$5,N$8&lt;$C$6),VLOOKUP($B23,Parameters!$E$377:$G$501,3,FALSE),0)*(Parameters!$G$37+INDEX('Electricity price scenarios'!$B$3:$BB$11,MATCH(Parameters!$G$15,'Electricity price scenarios'!$B$3:$B$11,0),MATCH(N$8,'Electricity price scenarios'!$B$3:$BB$3,0)))*(1+Parameters!$G$13)^(N$8-$G$8)/1000</f>
        <v>0</v>
      </c>
      <c r="O23" s="527">
        <f>IF(AND(O$8&gt;=$C$5,O$8&lt;$C$6),VLOOKUP($B23,Parameters!$E$377:$G$501,3,FALSE),0)*(Parameters!$G$37+INDEX('Electricity price scenarios'!$B$3:$BB$11,MATCH(Parameters!$G$15,'Electricity price scenarios'!$B$3:$B$11,0),MATCH(O$8,'Electricity price scenarios'!$B$3:$BB$3,0)))*(1+Parameters!$G$13)^(O$8-$G$8)/1000</f>
        <v>0</v>
      </c>
      <c r="P23" s="527">
        <f>IF(AND(P$8&gt;=$C$5,P$8&lt;$C$6),VLOOKUP($B23,Parameters!$E$377:$G$501,3,FALSE),0)*(Parameters!$G$37+INDEX('Electricity price scenarios'!$B$3:$BB$11,MATCH(Parameters!$G$15,'Electricity price scenarios'!$B$3:$B$11,0),MATCH(P$8,'Electricity price scenarios'!$B$3:$BB$3,0)))*(1+Parameters!$G$13)^(P$8-$G$8)/1000</f>
        <v>0</v>
      </c>
      <c r="Q23" s="527">
        <f>IF(AND(Q$8&gt;=$C$5,Q$8&lt;$C$6),VLOOKUP($B23,Parameters!$E$377:$G$501,3,FALSE),0)*(Parameters!$G$37+INDEX('Electricity price scenarios'!$B$3:$BB$11,MATCH(Parameters!$G$15,'Electricity price scenarios'!$B$3:$B$11,0),MATCH(Q$8,'Electricity price scenarios'!$B$3:$BB$3,0)))*(1+Parameters!$G$13)^(Q$8-$G$8)/1000</f>
        <v>0</v>
      </c>
      <c r="R23" s="527">
        <f>IF(AND(R$8&gt;=$C$5,R$8&lt;$C$6),VLOOKUP($B23,Parameters!$E$377:$G$501,3,FALSE),0)*(Parameters!$G$37+INDEX('Electricity price scenarios'!$B$3:$BB$11,MATCH(Parameters!$G$15,'Electricity price scenarios'!$B$3:$B$11,0),MATCH(R$8,'Electricity price scenarios'!$B$3:$BB$3,0)))*(1+Parameters!$G$13)^(R$8-$G$8)/1000</f>
        <v>0</v>
      </c>
      <c r="S23" s="527">
        <f>IF(AND(S$8&gt;=$C$5,S$8&lt;$C$6),VLOOKUP($B23,Parameters!$E$377:$G$501,3,FALSE),0)*(Parameters!$G$37+INDEX('Electricity price scenarios'!$B$3:$BB$11,MATCH(Parameters!$G$15,'Electricity price scenarios'!$B$3:$B$11,0),MATCH(S$8,'Electricity price scenarios'!$B$3:$BB$3,0)))*(1+Parameters!$G$13)^(S$8-$G$8)/1000</f>
        <v>0</v>
      </c>
      <c r="T23" s="527">
        <f>IF(AND(T$8&gt;=$C$5,T$8&lt;$C$6),VLOOKUP($B23,Parameters!$E$377:$G$501,3,FALSE),0)*(Parameters!$G$37+INDEX('Electricity price scenarios'!$B$3:$BB$11,MATCH(Parameters!$G$15,'Electricity price scenarios'!$B$3:$B$11,0),MATCH(T$8,'Electricity price scenarios'!$B$3:$BB$3,0)))*(1+Parameters!$G$13)^(T$8-$G$8)/1000</f>
        <v>283.30661072364012</v>
      </c>
      <c r="U23" s="527">
        <f>IF(AND(U$8&gt;=$C$5,U$8&lt;$C$6),VLOOKUP($B23,Parameters!$E$377:$G$501,3,FALSE),0)*(Parameters!$G$37+INDEX('Electricity price scenarios'!$B$3:$BB$11,MATCH(Parameters!$G$15,'Electricity price scenarios'!$B$3:$B$11,0),MATCH(U$8,'Electricity price scenarios'!$B$3:$BB$3,0)))*(1+Parameters!$G$13)^(U$8-$G$8)/1000</f>
        <v>293.45108854477814</v>
      </c>
      <c r="V23" s="527">
        <f>IF(AND(V$8&gt;=$C$5,V$8&lt;$C$6),VLOOKUP($B23,Parameters!$E$377:$G$501,3,FALSE),0)*(Parameters!$G$37+INDEX('Electricity price scenarios'!$B$3:$BB$11,MATCH(Parameters!$G$15,'Electricity price scenarios'!$B$3:$B$11,0),MATCH(V$8,'Electricity price scenarios'!$B$3:$BB$3,0)))*(1+Parameters!$G$13)^(V$8-$G$8)/1000</f>
        <v>303.88802283447205</v>
      </c>
      <c r="W23" s="527">
        <f>IF(AND(W$8&gt;=$C$5,W$8&lt;$C$6),VLOOKUP($B23,Parameters!$E$377:$G$501,3,FALSE),0)*(Parameters!$G$37+INDEX('Electricity price scenarios'!$B$3:$BB$11,MATCH(Parameters!$G$15,'Electricity price scenarios'!$B$3:$B$11,0),MATCH(W$8,'Electricity price scenarios'!$B$3:$BB$3,0)))*(1+Parameters!$G$13)^(W$8-$G$8)/1000</f>
        <v>314.62505406033603</v>
      </c>
      <c r="X23" s="527">
        <f>IF(AND(X$8&gt;=$C$5,X$8&lt;$C$6),VLOOKUP($B23,Parameters!$E$377:$G$501,3,FALSE),0)*(Parameters!$G$37+INDEX('Electricity price scenarios'!$B$3:$BB$11,MATCH(Parameters!$G$15,'Electricity price scenarios'!$B$3:$B$11,0),MATCH(X$8,'Electricity price scenarios'!$B$3:$BB$3,0)))*(1+Parameters!$G$13)^(X$8-$G$8)/1000</f>
        <v>325.67001132610068</v>
      </c>
      <c r="Y23" s="527">
        <f>IF(AND(Y$8&gt;=$C$5,Y$8&lt;$C$6),VLOOKUP($B23,Parameters!$E$377:$G$501,3,FALSE),0)*(Parameters!$G$37+INDEX('Electricity price scenarios'!$B$3:$BB$11,MATCH(Parameters!$G$15,'Electricity price scenarios'!$B$3:$B$11,0),MATCH(Y$8,'Electricity price scenarios'!$B$3:$BB$3,0)))*(1+Parameters!$G$13)^(Y$8-$G$8)/1000</f>
        <v>337.03091686087174</v>
      </c>
      <c r="Z23" s="527">
        <f>IF(AND(Z$8&gt;=$C$5,Z$8&lt;$C$6),VLOOKUP($B23,Parameters!$E$377:$G$501,3,FALSE),0)*(Parameters!$G$37+INDEX('Electricity price scenarios'!$B$3:$BB$11,MATCH(Parameters!$G$15,'Electricity price scenarios'!$B$3:$B$11,0),MATCH(Z$8,'Electricity price scenarios'!$B$3:$BB$3,0)))*(1+Parameters!$G$13)^(Z$8-$G$8)/1000</f>
        <v>348.71599061250322</v>
      </c>
      <c r="AA23" s="527">
        <f>IF(AND(AA$8&gt;=$C$5,AA$8&lt;$C$6),VLOOKUP($B23,Parameters!$E$377:$G$501,3,FALSE),0)*(Parameters!$G$37+INDEX('Electricity price scenarios'!$B$3:$BB$11,MATCH(Parameters!$G$15,'Electricity price scenarios'!$B$3:$B$11,0),MATCH(AA$8,'Electricity price scenarios'!$B$3:$BB$3,0)))*(1+Parameters!$G$13)^(AA$8-$G$8)/1000</f>
        <v>360.7336549474557</v>
      </c>
      <c r="AB23" s="527">
        <f>IF(AND(AB$8&gt;=$C$5,AB$8&lt;$C$6),VLOOKUP($B23,Parameters!$E$377:$G$501,3,FALSE),0)*(Parameters!$G$37+INDEX('Electricity price scenarios'!$B$3:$BB$11,MATCH(Parameters!$G$15,'Electricity price scenarios'!$B$3:$B$11,0),MATCH(AB$8,'Electricity price scenarios'!$B$3:$BB$3,0)))*(1+Parameters!$G$13)^(AB$8-$G$8)/1000</f>
        <v>373.09253945956118</v>
      </c>
      <c r="AC23" s="527">
        <f>IF(AND(AC$8&gt;=$C$5,AC$8&lt;$C$6),VLOOKUP($B23,Parameters!$E$377:$G$501,3,FALSE),0)*(Parameters!$G$37+INDEX('Electricity price scenarios'!$B$3:$BB$11,MATCH(Parameters!$G$15,'Electricity price scenarios'!$B$3:$B$11,0),MATCH(AC$8,'Electricity price scenarios'!$B$3:$BB$3,0)))*(1+Parameters!$G$13)^(AC$8-$G$8)/1000</f>
        <v>385.80148589017188</v>
      </c>
      <c r="AD23" s="527">
        <f>IF(AND(AD$8&gt;=$C$5,AD$8&lt;$C$6),VLOOKUP($B23,Parameters!$E$377:$G$501,3,FALSE),0)*(Parameters!$G$37+INDEX('Electricity price scenarios'!$B$3:$BB$11,MATCH(Parameters!$G$15,'Electricity price scenarios'!$B$3:$B$11,0),MATCH(AD$8,'Electricity price scenarios'!$B$3:$BB$3,0)))*(1+Parameters!$G$13)^(AD$8-$G$8)/1000</f>
        <v>393.51751560797527</v>
      </c>
      <c r="AE23" s="527">
        <f>IF(AND(AE$8&gt;=$C$5,AE$8&lt;$C$6),VLOOKUP($B23,Parameters!$E$377:$G$501,3,FALSE),0)*(Parameters!$G$37+INDEX('Electricity price scenarios'!$B$3:$BB$11,MATCH(Parameters!$G$15,'Electricity price scenarios'!$B$3:$B$11,0),MATCH(AE$8,'Electricity price scenarios'!$B$3:$BB$3,0)))*(1+Parameters!$G$13)^(AE$8-$G$8)/1000</f>
        <v>401.38786592013474</v>
      </c>
      <c r="AF23" s="527">
        <f>IF(AND(AF$8&gt;=$C$5,AF$8&lt;$C$6),VLOOKUP($B23,Parameters!$E$377:$G$501,3,FALSE),0)*(Parameters!$G$37+INDEX('Electricity price scenarios'!$B$3:$BB$11,MATCH(Parameters!$G$15,'Electricity price scenarios'!$B$3:$B$11,0),MATCH(AF$8,'Electricity price scenarios'!$B$3:$BB$3,0)))*(1+Parameters!$G$13)^(AF$8-$G$8)/1000</f>
        <v>409.41562323853748</v>
      </c>
      <c r="AG23" s="527">
        <f>IF(AND(AG$8&gt;=$C$5,AG$8&lt;$C$6),VLOOKUP($B23,Parameters!$E$377:$G$501,3,FALSE),0)*(Parameters!$G$37+INDEX('Electricity price scenarios'!$B$3:$BB$11,MATCH(Parameters!$G$15,'Electricity price scenarios'!$B$3:$B$11,0),MATCH(AG$8,'Electricity price scenarios'!$B$3:$BB$3,0)))*(1+Parameters!$G$13)^(AG$8-$G$8)/1000</f>
        <v>417.60393570330825</v>
      </c>
      <c r="AH23" s="527">
        <f>IF(AND(AH$8&gt;=$C$5,AH$8&lt;$C$6),VLOOKUP($B23,Parameters!$E$377:$G$501,3,FALSE),0)*(Parameters!$G$37+INDEX('Electricity price scenarios'!$B$3:$BB$11,MATCH(Parameters!$G$15,'Electricity price scenarios'!$B$3:$B$11,0),MATCH(AH$8,'Electricity price scenarios'!$B$3:$BB$3,0)))*(1+Parameters!$G$13)^(AH$8-$G$8)/1000</f>
        <v>425.95601441737438</v>
      </c>
      <c r="AI23" s="527">
        <f>IF(AND(AI$8&gt;=$C$5,AI$8&lt;$C$6),VLOOKUP($B23,Parameters!$E$377:$G$501,3,FALSE),0)*(Parameters!$G$37+INDEX('Electricity price scenarios'!$B$3:$BB$11,MATCH(Parameters!$G$15,'Electricity price scenarios'!$B$3:$B$11,0),MATCH(AI$8,'Electricity price scenarios'!$B$3:$BB$3,0)))*(1+Parameters!$G$13)^(AI$8-$G$8)/1000</f>
        <v>434.47513470572193</v>
      </c>
      <c r="AJ23" s="527">
        <f>IF(AND(AJ$8&gt;=$C$5,AJ$8&lt;$C$6),VLOOKUP($B23,Parameters!$E$377:$G$501,3,FALSE),0)*(Parameters!$G$37+INDEX('Electricity price scenarios'!$B$3:$BB$11,MATCH(Parameters!$G$15,'Electricity price scenarios'!$B$3:$B$11,0),MATCH(AJ$8,'Electricity price scenarios'!$B$3:$BB$3,0)))*(1+Parameters!$G$13)^(AJ$8-$G$8)/1000</f>
        <v>443.16463739983635</v>
      </c>
      <c r="AK23" s="527">
        <f>IF(AND(AK$8&gt;=$C$5,AK$8&lt;$C$6),VLOOKUP($B23,Parameters!$E$377:$G$501,3,FALSE),0)*(Parameters!$G$37+INDEX('Electricity price scenarios'!$B$3:$BB$11,MATCH(Parameters!$G$15,'Electricity price scenarios'!$B$3:$B$11,0),MATCH(AK$8,'Electricity price scenarios'!$B$3:$BB$3,0)))*(1+Parameters!$G$13)^(AK$8-$G$8)/1000</f>
        <v>452.02793014783305</v>
      </c>
      <c r="AL23" s="527">
        <f>IF(AND(AL$8&gt;=$C$5,AL$8&lt;$C$6),VLOOKUP($B23,Parameters!$E$377:$G$501,3,FALSE),0)*(Parameters!$G$37+INDEX('Electricity price scenarios'!$B$3:$BB$11,MATCH(Parameters!$G$15,'Electricity price scenarios'!$B$3:$B$11,0),MATCH(AL$8,'Electricity price scenarios'!$B$3:$BB$3,0)))*(1+Parameters!$G$13)^(AL$8-$G$8)/1000</f>
        <v>461.06848875078958</v>
      </c>
      <c r="AM23" s="527">
        <f>IF(AND(AM$8&gt;=$C$5,AM$8&lt;$C$6),VLOOKUP($B23,Parameters!$E$377:$G$501,3,FALSE),0)*(Parameters!$G$37+INDEX('Electricity price scenarios'!$B$3:$BB$11,MATCH(Parameters!$G$15,'Electricity price scenarios'!$B$3:$B$11,0),MATCH(AM$8,'Electricity price scenarios'!$B$3:$BB$3,0)))*(1+Parameters!$G$13)^(AM$8-$G$8)/1000</f>
        <v>0</v>
      </c>
      <c r="AN23" s="527">
        <f>IF(AND(AN$8&gt;=$C$5,AN$8&lt;$C$6),VLOOKUP($B23,Parameters!$E$377:$G$501,3,FALSE),0)*(Parameters!$G$37+INDEX('Electricity price scenarios'!$B$3:$BB$11,MATCH(Parameters!$G$15,'Electricity price scenarios'!$B$3:$B$11,0),MATCH(AN$8,'Electricity price scenarios'!$B$3:$BB$3,0)))*(1+Parameters!$G$13)^(AN$8-$G$8)/1000</f>
        <v>0</v>
      </c>
      <c r="AO23" s="527">
        <f>IF(AND(AO$8&gt;=$C$5,AO$8&lt;$C$6),VLOOKUP($B23,Parameters!$E$377:$G$501,3,FALSE),0)*(Parameters!$G$37+INDEX('Electricity price scenarios'!$B$3:$BB$11,MATCH(Parameters!$G$15,'Electricity price scenarios'!$B$3:$B$11,0),MATCH(AO$8,'Electricity price scenarios'!$B$3:$BB$3,0)))*(1+Parameters!$G$13)^(AO$8-$G$8)/1000</f>
        <v>0</v>
      </c>
      <c r="AP23" s="527">
        <f>IF(AND(AP$8&gt;=$C$5,AP$8&lt;$C$6),VLOOKUP($B23,Parameters!$E$377:$G$501,3,FALSE),0)*(Parameters!$G$37+INDEX('Electricity price scenarios'!$B$3:$BB$11,MATCH(Parameters!$G$15,'Electricity price scenarios'!$B$3:$B$11,0),MATCH(AP$8,'Electricity price scenarios'!$B$3:$BB$3,0)))*(1+Parameters!$G$13)^(AP$8-$G$8)/1000</f>
        <v>0</v>
      </c>
      <c r="AQ23" s="527">
        <f>IF(AND(AQ$8&gt;=$C$5,AQ$8&lt;$C$6),VLOOKUP($B23,Parameters!$E$377:$G$501,3,FALSE),0)*(Parameters!$G$37+INDEX('Electricity price scenarios'!$B$3:$BB$11,MATCH(Parameters!$G$15,'Electricity price scenarios'!$B$3:$B$11,0),MATCH(AQ$8,'Electricity price scenarios'!$B$3:$BB$3,0)))*(1+Parameters!$G$13)^(AQ$8-$G$8)/1000</f>
        <v>0</v>
      </c>
      <c r="AR23" s="527">
        <f>IF(AND(AR$8&gt;=$C$5,AR$8&lt;$C$6),VLOOKUP($B23,Parameters!$E$377:$G$501,3,FALSE),0)*(Parameters!$G$37+INDEX('Electricity price scenarios'!$B$3:$BB$11,MATCH(Parameters!$G$15,'Electricity price scenarios'!$B$3:$B$11,0),MATCH(AR$8,'Electricity price scenarios'!$B$3:$BB$3,0)))*(1+Parameters!$G$13)^(AR$8-$G$8)/1000</f>
        <v>0</v>
      </c>
      <c r="AS23" s="527">
        <f>IF(AND(AS$8&gt;=$C$5,AS$8&lt;$C$6),VLOOKUP($B23,Parameters!$E$377:$G$501,3,FALSE),0)*(Parameters!$G$37+INDEX('Electricity price scenarios'!$B$3:$BB$11,MATCH(Parameters!$G$15,'Electricity price scenarios'!$B$3:$B$11,0),MATCH(AS$8,'Electricity price scenarios'!$B$3:$BB$3,0)))*(1+Parameters!$G$13)^(AS$8-$G$8)/1000</f>
        <v>0</v>
      </c>
      <c r="AT23" s="527">
        <f>IF(AND(AT$8&gt;=$C$5,AT$8&lt;$C$6),VLOOKUP($B23,Parameters!$E$377:$G$501,3,FALSE),0)*(Parameters!$G$37+INDEX('Electricity price scenarios'!$B$3:$BB$11,MATCH(Parameters!$G$15,'Electricity price scenarios'!$B$3:$B$11,0),MATCH(AT$8,'Electricity price scenarios'!$B$3:$BB$3,0)))*(1+Parameters!$G$13)^(AT$8-$G$8)/1000</f>
        <v>0</v>
      </c>
      <c r="AU23" s="527">
        <f>IF(AND(AU$8&gt;=$C$5,AU$8&lt;$C$6),VLOOKUP($B23,Parameters!$E$377:$G$501,3,FALSE),0)*(Parameters!$G$37+INDEX('Electricity price scenarios'!$B$3:$BB$11,MATCH(Parameters!$G$15,'Electricity price scenarios'!$B$3:$B$11,0),MATCH(AU$8,'Electricity price scenarios'!$B$3:$BB$3,0)))*(1+Parameters!$G$13)^(AU$8-$G$8)/1000</f>
        <v>0</v>
      </c>
      <c r="AV23" s="527">
        <f>IF(AND(AV$8&gt;=$C$5,AV$8&lt;$C$6),VLOOKUP($B23,Parameters!$E$377:$G$501,3,FALSE),0)*(Parameters!$G$37+INDEX('Electricity price scenarios'!$B$3:$BB$11,MATCH(Parameters!$G$15,'Electricity price scenarios'!$B$3:$B$11,0),MATCH(AV$8,'Electricity price scenarios'!$B$3:$BB$3,0)))*(1+Parameters!$G$13)^(AV$8-$G$8)/1000</f>
        <v>0</v>
      </c>
      <c r="AW23" s="527">
        <f>IF(AND(AW$8&gt;=$C$5,AW$8&lt;$C$6),VLOOKUP($B23,Parameters!$E$377:$G$501,3,FALSE),0)*(Parameters!$G$37+INDEX('Electricity price scenarios'!$B$3:$BB$11,MATCH(Parameters!$G$15,'Electricity price scenarios'!$B$3:$B$11,0),MATCH(AW$8,'Electricity price scenarios'!$B$3:$BB$3,0)))*(1+Parameters!$G$13)^(AW$8-$G$8)/1000</f>
        <v>0</v>
      </c>
      <c r="AX23" s="527">
        <f>IF(AND(AX$8&gt;=$C$5,AX$8&lt;$C$6),VLOOKUP($B23,Parameters!$E$377:$G$501,3,FALSE),0)*(Parameters!$G$37+INDEX('Electricity price scenarios'!$B$3:$BB$11,MATCH(Parameters!$G$15,'Electricity price scenarios'!$B$3:$B$11,0),MATCH(AX$8,'Electricity price scenarios'!$B$3:$BB$3,0)))*(1+Parameters!$G$13)^(AX$8-$G$8)/1000</f>
        <v>0</v>
      </c>
      <c r="AY23" s="527">
        <f>IF(AND(AY$8&gt;=$C$5,AY$8&lt;$C$6),VLOOKUP($B23,Parameters!$E$377:$G$501,3,FALSE),0)*(Parameters!$G$37+INDEX('Electricity price scenarios'!$B$3:$BB$11,MATCH(Parameters!$G$15,'Electricity price scenarios'!$B$3:$B$11,0),MATCH(AY$8,'Electricity price scenarios'!$B$3:$BB$3,0)))*(1+Parameters!$G$13)^(AY$8-$G$8)/1000</f>
        <v>0</v>
      </c>
      <c r="AZ23" s="527">
        <f>IF(AND(AZ$8&gt;=$C$5,AZ$8&lt;$C$6),VLOOKUP($B23,Parameters!$E$377:$G$501,3,FALSE),0)*(Parameters!$G$37+INDEX('Electricity price scenarios'!$B$3:$BB$11,MATCH(Parameters!$G$15,'Electricity price scenarios'!$B$3:$B$11,0),MATCH(AZ$8,'Electricity price scenarios'!$B$3:$BB$3,0)))*(1+Parameters!$G$13)^(AZ$8-$G$8)/1000</f>
        <v>0</v>
      </c>
      <c r="BA23" s="527">
        <f>IF(AND(BA$8&gt;=$C$5,BA$8&lt;$C$6),VLOOKUP($B23,Parameters!$E$377:$G$501,3,FALSE),0)*(Parameters!$G$37+INDEX('Electricity price scenarios'!$B$3:$BB$11,MATCH(Parameters!$G$15,'Electricity price scenarios'!$B$3:$B$11,0),MATCH(BA$8,'Electricity price scenarios'!$B$3:$BB$3,0)))*(1+Parameters!$G$13)^(BA$8-$G$8)/1000</f>
        <v>0</v>
      </c>
      <c r="BB23" s="527">
        <f>IF(AND(BB$8&gt;=$C$5,BB$8&lt;$C$6),VLOOKUP($B23,Parameters!$E$377:$G$501,3,FALSE),0)*(Parameters!$G$37+INDEX('Electricity price scenarios'!$B$3:$BB$11,MATCH(Parameters!$G$15,'Electricity price scenarios'!$B$3:$B$11,0),MATCH(BB$8,'Electricity price scenarios'!$B$3:$BB$3,0)))*(1+Parameters!$G$13)^(BB$8-$G$8)/1000</f>
        <v>0</v>
      </c>
    </row>
    <row r="24" spans="1:54" x14ac:dyDescent="0.25">
      <c r="A24" s="1030"/>
      <c r="B24" s="478" t="str">
        <f>Parameters!E422</f>
        <v>OPEX desalination unit</v>
      </c>
      <c r="C24" s="511" t="s">
        <v>979</v>
      </c>
      <c r="D24" s="512">
        <f t="shared" si="14"/>
        <v>622.25346161464165</v>
      </c>
      <c r="E24" s="512">
        <f t="shared" si="15"/>
        <v>82.660724320612204</v>
      </c>
      <c r="F24" s="478"/>
      <c r="G24" s="527">
        <f>IF(AND(G$8&gt;=$C$5,G$8&lt;$C$6),VLOOKUP($B24,Parameters!$E$377:$G$501,3,FALSE),0)*(1+Parameters!$G$13)^(G$8-$G$8)/1000</f>
        <v>0</v>
      </c>
      <c r="H24" s="527">
        <f>IF(AND(H$8&gt;=$C$5,H$8&lt;$C$6),VLOOKUP($B24,Parameters!$E$377:$G$501,3,FALSE),0)*(1+Parameters!$G$13)^(H$8-$G$8)/1000</f>
        <v>0</v>
      </c>
      <c r="I24" s="527">
        <f>IF(AND(I$8&gt;=$C$5,I$8&lt;$C$6),VLOOKUP($B24,Parameters!$E$377:$G$501,3,FALSE),0)*(1+Parameters!$G$13)^(I$8-$G$8)/1000</f>
        <v>0</v>
      </c>
      <c r="J24" s="527">
        <f>IF(AND(J$8&gt;=$C$5,J$8&lt;$C$6),VLOOKUP($B24,Parameters!$E$377:$G$501,3,FALSE),0)*(1+Parameters!$G$13)^(J$8-$G$8)/1000</f>
        <v>0</v>
      </c>
      <c r="K24" s="527">
        <f>IF(AND(K$8&gt;=$C$5,K$8&lt;$C$6),VLOOKUP($B24,Parameters!$E$377:$G$501,3,FALSE),0)*(1+Parameters!$G$13)^(K$8-$G$8)/1000</f>
        <v>0</v>
      </c>
      <c r="L24" s="527">
        <f>IF(AND(L$8&gt;=$C$5,L$8&lt;$C$6),VLOOKUP($B24,Parameters!$E$377:$G$501,3,FALSE),0)*(1+Parameters!$G$13)^(L$8-$G$8)/1000</f>
        <v>0</v>
      </c>
      <c r="M24" s="527">
        <f>IF(AND(M$8&gt;=$C$5,M$8&lt;$C$6),VLOOKUP($B24,Parameters!$E$377:$G$501,3,FALSE),0)*(1+Parameters!$G$13)^(M$8-$G$8)/1000</f>
        <v>0</v>
      </c>
      <c r="N24" s="527">
        <f>IF(AND(N$8&gt;=$C$5,N$8&lt;$C$6),VLOOKUP($B24,Parameters!$E$377:$G$501,3,FALSE),0)*(1+Parameters!$G$13)^(N$8-$G$8)/1000</f>
        <v>0</v>
      </c>
      <c r="O24" s="527">
        <f>IF(AND(O$8&gt;=$C$5,O$8&lt;$C$6),VLOOKUP($B24,Parameters!$E$377:$G$501,3,FALSE),0)*(1+Parameters!$G$13)^(O$8-$G$8)/1000</f>
        <v>0</v>
      </c>
      <c r="P24" s="527">
        <f>IF(AND(P$8&gt;=$C$5,P$8&lt;$C$6),VLOOKUP($B24,Parameters!$E$377:$G$501,3,FALSE),0)*(1+Parameters!$G$13)^(P$8-$G$8)/1000</f>
        <v>0</v>
      </c>
      <c r="Q24" s="527">
        <f>IF(AND(Q$8&gt;=$C$5,Q$8&lt;$C$6),VLOOKUP($B24,Parameters!$E$377:$G$501,3,FALSE),0)*(1+Parameters!$G$13)^(Q$8-$G$8)/1000</f>
        <v>0</v>
      </c>
      <c r="R24" s="527">
        <f>IF(AND(R$8&gt;=$C$5,R$8&lt;$C$6),VLOOKUP($B24,Parameters!$E$377:$G$501,3,FALSE),0)*(1+Parameters!$G$13)^(R$8-$G$8)/1000</f>
        <v>0</v>
      </c>
      <c r="S24" s="527">
        <f>IF(AND(S$8&gt;=$C$5,S$8&lt;$C$6),VLOOKUP($B24,Parameters!$E$377:$G$501,3,FALSE),0)*(1+Parameters!$G$13)^(S$8-$G$8)/1000</f>
        <v>0</v>
      </c>
      <c r="T24" s="527">
        <f>IF(AND(T$8&gt;=$C$5,T$8&lt;$C$6),VLOOKUP($B24,Parameters!$E$377:$G$501,3,FALSE),0)*(1+Parameters!$G$13)^(T$8-$G$8)/1000</f>
        <v>27.243355637356952</v>
      </c>
      <c r="U24" s="527">
        <f>IF(AND(U$8&gt;=$C$5,U$8&lt;$C$6),VLOOKUP($B24,Parameters!$E$377:$G$501,3,FALSE),0)*(1+Parameters!$G$13)^(U$8-$G$8)/1000</f>
        <v>27.78822275010409</v>
      </c>
      <c r="V24" s="527">
        <f>IF(AND(V$8&gt;=$C$5,V$8&lt;$C$6),VLOOKUP($B24,Parameters!$E$377:$G$501,3,FALSE),0)*(1+Parameters!$G$13)^(V$8-$G$8)/1000</f>
        <v>28.343987205106163</v>
      </c>
      <c r="W24" s="527">
        <f>IF(AND(W$8&gt;=$C$5,W$8&lt;$C$6),VLOOKUP($B24,Parameters!$E$377:$G$501,3,FALSE),0)*(1+Parameters!$G$13)^(W$8-$G$8)/1000</f>
        <v>28.910866949208295</v>
      </c>
      <c r="X24" s="527">
        <f>IF(AND(X$8&gt;=$C$5,X$8&lt;$C$6),VLOOKUP($B24,Parameters!$E$377:$G$501,3,FALSE),0)*(1+Parameters!$G$13)^(X$8-$G$8)/1000</f>
        <v>29.489084288192462</v>
      </c>
      <c r="Y24" s="527">
        <f>IF(AND(Y$8&gt;=$C$5,Y$8&lt;$C$6),VLOOKUP($B24,Parameters!$E$377:$G$501,3,FALSE),0)*(1+Parameters!$G$13)^(Y$8-$G$8)/1000</f>
        <v>30.078865973956308</v>
      </c>
      <c r="Z24" s="527">
        <f>IF(AND(Z$8&gt;=$C$5,Z$8&lt;$C$6),VLOOKUP($B24,Parameters!$E$377:$G$501,3,FALSE),0)*(1+Parameters!$G$13)^(Z$8-$G$8)/1000</f>
        <v>30.680443293435435</v>
      </c>
      <c r="AA24" s="527">
        <f>IF(AND(AA$8&gt;=$C$5,AA$8&lt;$C$6),VLOOKUP($B24,Parameters!$E$377:$G$501,3,FALSE),0)*(1+Parameters!$G$13)^(AA$8-$G$8)/1000</f>
        <v>31.294052159304144</v>
      </c>
      <c r="AB24" s="527">
        <f>IF(AND(AB$8&gt;=$C$5,AB$8&lt;$C$6),VLOOKUP($B24,Parameters!$E$377:$G$501,3,FALSE),0)*(1+Parameters!$G$13)^(AB$8-$G$8)/1000</f>
        <v>31.919933202490224</v>
      </c>
      <c r="AC24" s="527">
        <f>IF(AND(AC$8&gt;=$C$5,AC$8&lt;$C$6),VLOOKUP($B24,Parameters!$E$377:$G$501,3,FALSE),0)*(1+Parameters!$G$13)^(AC$8-$G$8)/1000</f>
        <v>32.55833186654003</v>
      </c>
      <c r="AD24" s="527">
        <f>IF(AND(AD$8&gt;=$C$5,AD$8&lt;$C$6),VLOOKUP($B24,Parameters!$E$377:$G$501,3,FALSE),0)*(1+Parameters!$G$13)^(AD$8-$G$8)/1000</f>
        <v>33.209498503870826</v>
      </c>
      <c r="AE24" s="527">
        <f>IF(AND(AE$8&gt;=$C$5,AE$8&lt;$C$6),VLOOKUP($B24,Parameters!$E$377:$G$501,3,FALSE),0)*(1+Parameters!$G$13)^(AE$8-$G$8)/1000</f>
        <v>33.873688473948249</v>
      </c>
      <c r="AF24" s="527">
        <f>IF(AND(AF$8&gt;=$C$5,AF$8&lt;$C$6),VLOOKUP($B24,Parameters!$E$377:$G$501,3,FALSE),0)*(1+Parameters!$G$13)^(AF$8-$G$8)/1000</f>
        <v>34.551162243427207</v>
      </c>
      <c r="AG24" s="527">
        <f>IF(AND(AG$8&gt;=$C$5,AG$8&lt;$C$6),VLOOKUP($B24,Parameters!$E$377:$G$501,3,FALSE),0)*(1+Parameters!$G$13)^(AG$8-$G$8)/1000</f>
        <v>35.242185488295753</v>
      </c>
      <c r="AH24" s="527">
        <f>IF(AND(AH$8&gt;=$C$5,AH$8&lt;$C$6),VLOOKUP($B24,Parameters!$E$377:$G$501,3,FALSE),0)*(1+Parameters!$G$13)^(AH$8-$G$8)/1000</f>
        <v>35.947029198061671</v>
      </c>
      <c r="AI24" s="527">
        <f>IF(AND(AI$8&gt;=$C$5,AI$8&lt;$C$6),VLOOKUP($B24,Parameters!$E$377:$G$501,3,FALSE),0)*(1+Parameters!$G$13)^(AI$8-$G$8)/1000</f>
        <v>36.665969782022906</v>
      </c>
      <c r="AJ24" s="527">
        <f>IF(AND(AJ$8&gt;=$C$5,AJ$8&lt;$C$6),VLOOKUP($B24,Parameters!$E$377:$G$501,3,FALSE),0)*(1+Parameters!$G$13)^(AJ$8-$G$8)/1000</f>
        <v>37.399289177663363</v>
      </c>
      <c r="AK24" s="527">
        <f>IF(AND(AK$8&gt;=$C$5,AK$8&lt;$C$6),VLOOKUP($B24,Parameters!$E$377:$G$501,3,FALSE),0)*(1+Parameters!$G$13)^(AK$8-$G$8)/1000</f>
        <v>38.147274961216631</v>
      </c>
      <c r="AL24" s="527">
        <f>IF(AND(AL$8&gt;=$C$5,AL$8&lt;$C$6),VLOOKUP($B24,Parameters!$E$377:$G$501,3,FALSE),0)*(1+Parameters!$G$13)^(AL$8-$G$8)/1000</f>
        <v>38.910220460440954</v>
      </c>
      <c r="AM24" s="527">
        <f>IF(AND(AM$8&gt;=$C$5,AM$8&lt;$C$6),VLOOKUP($B24,Parameters!$E$377:$G$501,3,FALSE),0)*(1+Parameters!$G$13)^(AM$8-$G$8)/1000</f>
        <v>0</v>
      </c>
      <c r="AN24" s="527">
        <f>IF(AND(AN$8&gt;=$C$5,AN$8&lt;$C$6),VLOOKUP($B24,Parameters!$E$377:$G$501,3,FALSE),0)*(1+Parameters!$G$13)^(AN$8-$G$8)/1000</f>
        <v>0</v>
      </c>
      <c r="AO24" s="527">
        <f>IF(AND(AO$8&gt;=$C$5,AO$8&lt;$C$6),VLOOKUP($B24,Parameters!$E$377:$G$501,3,FALSE),0)*(1+Parameters!$G$13)^(AO$8-$G$8)/1000</f>
        <v>0</v>
      </c>
      <c r="AP24" s="527">
        <f>IF(AND(AP$8&gt;=$C$5,AP$8&lt;$C$6),VLOOKUP($B24,Parameters!$E$377:$G$501,3,FALSE),0)*(1+Parameters!$G$13)^(AP$8-$G$8)/1000</f>
        <v>0</v>
      </c>
      <c r="AQ24" s="527">
        <f>IF(AND(AQ$8&gt;=$C$5,AQ$8&lt;$C$6),VLOOKUP($B24,Parameters!$E$377:$G$501,3,FALSE),0)*(1+Parameters!$G$13)^(AQ$8-$G$8)/1000</f>
        <v>0</v>
      </c>
      <c r="AR24" s="527">
        <f>IF(AND(AR$8&gt;=$C$5,AR$8&lt;$C$6),VLOOKUP($B24,Parameters!$E$377:$G$501,3,FALSE),0)*(1+Parameters!$G$13)^(AR$8-$G$8)/1000</f>
        <v>0</v>
      </c>
      <c r="AS24" s="527">
        <f>IF(AND(AS$8&gt;=$C$5,AS$8&lt;$C$6),VLOOKUP($B24,Parameters!$E$377:$G$501,3,FALSE),0)*(1+Parameters!$G$13)^(AS$8-$G$8)/1000</f>
        <v>0</v>
      </c>
      <c r="AT24" s="527">
        <f>IF(AND(AT$8&gt;=$C$5,AT$8&lt;$C$6),VLOOKUP($B24,Parameters!$E$377:$G$501,3,FALSE),0)*(1+Parameters!$G$13)^(AT$8-$G$8)/1000</f>
        <v>0</v>
      </c>
      <c r="AU24" s="527">
        <f>IF(AND(AU$8&gt;=$C$5,AU$8&lt;$C$6),VLOOKUP($B24,Parameters!$E$377:$G$501,3,FALSE),0)*(1+Parameters!$G$13)^(AU$8-$G$8)/1000</f>
        <v>0</v>
      </c>
      <c r="AV24" s="527">
        <f>IF(AND(AV$8&gt;=$C$5,AV$8&lt;$C$6),VLOOKUP($B24,Parameters!$E$377:$G$501,3,FALSE),0)*(1+Parameters!$G$13)^(AV$8-$G$8)/1000</f>
        <v>0</v>
      </c>
      <c r="AW24" s="527">
        <f>IF(AND(AW$8&gt;=$C$5,AW$8&lt;$C$6),VLOOKUP($B24,Parameters!$E$377:$G$501,3,FALSE),0)*(1+Parameters!$G$13)^(AW$8-$G$8)/1000</f>
        <v>0</v>
      </c>
      <c r="AX24" s="527">
        <f>IF(AND(AX$8&gt;=$C$5,AX$8&lt;$C$6),VLOOKUP($B24,Parameters!$E$377:$G$501,3,FALSE),0)*(1+Parameters!$G$13)^(AX$8-$G$8)/1000</f>
        <v>0</v>
      </c>
      <c r="AY24" s="527">
        <f>IF(AND(AY$8&gt;=$C$5,AY$8&lt;$C$6),VLOOKUP($B24,Parameters!$E$377:$G$501,3,FALSE),0)*(1+Parameters!$G$13)^(AY$8-$G$8)/1000</f>
        <v>0</v>
      </c>
      <c r="AZ24" s="527">
        <f>IF(AND(AZ$8&gt;=$C$5,AZ$8&lt;$C$6),VLOOKUP($B24,Parameters!$E$377:$G$501,3,FALSE),0)*(1+Parameters!$G$13)^(AZ$8-$G$8)/1000</f>
        <v>0</v>
      </c>
      <c r="BA24" s="527">
        <f>IF(AND(BA$8&gt;=$C$5,BA$8&lt;$C$6),VLOOKUP($B24,Parameters!$E$377:$G$501,3,FALSE),0)*(1+Parameters!$G$13)^(BA$8-$G$8)/1000</f>
        <v>0</v>
      </c>
      <c r="BB24" s="527">
        <f>IF(AND(BB$8&gt;=$C$5,BB$8&lt;$C$6),VLOOKUP($B24,Parameters!$E$377:$G$501,3,FALSE),0)*(1+Parameters!$G$13)^(BB$8-$G$8)/1000</f>
        <v>0</v>
      </c>
    </row>
    <row r="25" spans="1:54" x14ac:dyDescent="0.25">
      <c r="B25" s="478" t="str">
        <f>Parameters!E411</f>
        <v>Opex electrolyser</v>
      </c>
      <c r="C25" s="511" t="s">
        <v>979</v>
      </c>
      <c r="D25" s="512">
        <f t="shared" si="14"/>
        <v>46528.653643574915</v>
      </c>
      <c r="E25" s="512">
        <f t="shared" si="15"/>
        <v>6180.9093064116369</v>
      </c>
      <c r="F25" s="478"/>
      <c r="G25" s="527">
        <f>IF(AND(G$8&gt;=$C$5,G$8&lt;$C$6),VLOOKUP($B25,Parameters!$E$377:$G$501,3,FALSE),0)*(1+Parameters!$G$13)^(G$8-$G$8)/1000</f>
        <v>0</v>
      </c>
      <c r="H25" s="527">
        <f>IF(AND(H$8&gt;=$C$5,H$8&lt;$C$6),VLOOKUP($B25,Parameters!$E$377:$G$501,3,FALSE),0)*(1+Parameters!$G$13)^(H$8-$G$8)/1000</f>
        <v>0</v>
      </c>
      <c r="I25" s="527">
        <f>IF(AND(I$8&gt;=$C$5,I$8&lt;$C$6),VLOOKUP($B25,Parameters!$E$377:$G$501,3,FALSE),0)*(1+Parameters!$G$13)^(I$8-$G$8)/1000</f>
        <v>0</v>
      </c>
      <c r="J25" s="527">
        <f>IF(AND(J$8&gt;=$C$5,J$8&lt;$C$6),VLOOKUP($B25,Parameters!$E$377:$G$501,3,FALSE),0)*(1+Parameters!$G$13)^(J$8-$G$8)/1000</f>
        <v>0</v>
      </c>
      <c r="K25" s="527">
        <f>IF(AND(K$8&gt;=$C$5,K$8&lt;$C$6),VLOOKUP($B25,Parameters!$E$377:$G$501,3,FALSE),0)*(1+Parameters!$G$13)^(K$8-$G$8)/1000</f>
        <v>0</v>
      </c>
      <c r="L25" s="527">
        <f>IF(AND(L$8&gt;=$C$5,L$8&lt;$C$6),VLOOKUP($B25,Parameters!$E$377:$G$501,3,FALSE),0)*(1+Parameters!$G$13)^(L$8-$G$8)/1000</f>
        <v>0</v>
      </c>
      <c r="M25" s="527">
        <f>IF(AND(M$8&gt;=$C$5,M$8&lt;$C$6),VLOOKUP($B25,Parameters!$E$377:$G$501,3,FALSE),0)*(1+Parameters!$G$13)^(M$8-$G$8)/1000</f>
        <v>0</v>
      </c>
      <c r="N25" s="527">
        <f>IF(AND(N$8&gt;=$C$5,N$8&lt;$C$6),VLOOKUP($B25,Parameters!$E$377:$G$501,3,FALSE),0)*(1+Parameters!$G$13)^(N$8-$G$8)/1000</f>
        <v>0</v>
      </c>
      <c r="O25" s="527">
        <f>IF(AND(O$8&gt;=$C$5,O$8&lt;$C$6),VLOOKUP($B25,Parameters!$E$377:$G$501,3,FALSE),0)*(1+Parameters!$G$13)^(O$8-$G$8)/1000</f>
        <v>0</v>
      </c>
      <c r="P25" s="527">
        <f>IF(AND(P$8&gt;=$C$5,P$8&lt;$C$6),VLOOKUP($B25,Parameters!$E$377:$G$501,3,FALSE),0)*(1+Parameters!$G$13)^(P$8-$G$8)/1000</f>
        <v>0</v>
      </c>
      <c r="Q25" s="527">
        <f>IF(AND(Q$8&gt;=$C$5,Q$8&lt;$C$6),VLOOKUP($B25,Parameters!$E$377:$G$501,3,FALSE),0)*(1+Parameters!$G$13)^(Q$8-$G$8)/1000</f>
        <v>0</v>
      </c>
      <c r="R25" s="527">
        <f>IF(AND(R$8&gt;=$C$5,R$8&lt;$C$6),VLOOKUP($B25,Parameters!$E$377:$G$501,3,FALSE),0)*(1+Parameters!$G$13)^(R$8-$G$8)/1000</f>
        <v>0</v>
      </c>
      <c r="S25" s="527">
        <f>IF(AND(S$8&gt;=$C$5,S$8&lt;$C$6),VLOOKUP($B25,Parameters!$E$377:$G$501,3,FALSE),0)*(1+Parameters!$G$13)^(S$8-$G$8)/1000</f>
        <v>0</v>
      </c>
      <c r="T25" s="527">
        <f>IF(AND(T$8&gt;=$C$5,T$8&lt;$C$6),VLOOKUP($B25,Parameters!$E$377:$G$501,3,FALSE),0)*(1+Parameters!$G$13)^(T$8-$G$8)/1000</f>
        <v>2037.1066401946862</v>
      </c>
      <c r="U25" s="527">
        <f>IF(AND(U$8&gt;=$C$5,U$8&lt;$C$6),VLOOKUP($B25,Parameters!$E$377:$G$501,3,FALSE),0)*(1+Parameters!$G$13)^(U$8-$G$8)/1000</f>
        <v>2077.84877299858</v>
      </c>
      <c r="V25" s="527">
        <f>IF(AND(V$8&gt;=$C$5,V$8&lt;$C$6),VLOOKUP($B25,Parameters!$E$377:$G$501,3,FALSE),0)*(1+Parameters!$G$13)^(V$8-$G$8)/1000</f>
        <v>2119.4057484585514</v>
      </c>
      <c r="W25" s="527">
        <f>IF(AND(W$8&gt;=$C$5,W$8&lt;$C$6),VLOOKUP($B25,Parameters!$E$377:$G$501,3,FALSE),0)*(1+Parameters!$G$13)^(W$8-$G$8)/1000</f>
        <v>2161.7938634277225</v>
      </c>
      <c r="X25" s="527">
        <f>IF(AND(X$8&gt;=$C$5,X$8&lt;$C$6),VLOOKUP($B25,Parameters!$E$377:$G$501,3,FALSE),0)*(1+Parameters!$G$13)^(X$8-$G$8)/1000</f>
        <v>2205.0297406962768</v>
      </c>
      <c r="Y25" s="527">
        <f>IF(AND(Y$8&gt;=$C$5,Y$8&lt;$C$6),VLOOKUP($B25,Parameters!$E$377:$G$501,3,FALSE),0)*(1+Parameters!$G$13)^(Y$8-$G$8)/1000</f>
        <v>2249.1303355102023</v>
      </c>
      <c r="Z25" s="527">
        <f>IF(AND(Z$8&gt;=$C$5,Z$8&lt;$C$6),VLOOKUP($B25,Parameters!$E$377:$G$501,3,FALSE),0)*(1+Parameters!$G$13)^(Z$8-$G$8)/1000</f>
        <v>2294.1129422204062</v>
      </c>
      <c r="AA25" s="527">
        <f>IF(AND(AA$8&gt;=$C$5,AA$8&lt;$C$6),VLOOKUP($B25,Parameters!$E$377:$G$501,3,FALSE),0)*(1+Parameters!$G$13)^(AA$8-$G$8)/1000</f>
        <v>2339.9952010648149</v>
      </c>
      <c r="AB25" s="527">
        <f>IF(AND(AB$8&gt;=$C$5,AB$8&lt;$C$6),VLOOKUP($B25,Parameters!$E$377:$G$501,3,FALSE),0)*(1+Parameters!$G$13)^(AB$8-$G$8)/1000</f>
        <v>2386.7951050861111</v>
      </c>
      <c r="AC25" s="527">
        <f>IF(AND(AC$8&gt;=$C$5,AC$8&lt;$C$6),VLOOKUP($B25,Parameters!$E$377:$G$501,3,FALSE),0)*(1+Parameters!$G$13)^(AC$8-$G$8)/1000</f>
        <v>2434.531007187833</v>
      </c>
      <c r="AD25" s="527">
        <f>IF(AND(AD$8&gt;=$C$5,AD$8&lt;$C$6),VLOOKUP($B25,Parameters!$E$377:$G$501,3,FALSE),0)*(1+Parameters!$G$13)^(AD$8-$G$8)/1000</f>
        <v>2483.2216273315894</v>
      </c>
      <c r="AE25" s="527">
        <f>IF(AND(AE$8&gt;=$C$5,AE$8&lt;$C$6),VLOOKUP($B25,Parameters!$E$377:$G$501,3,FALSE),0)*(1+Parameters!$G$13)^(AE$8-$G$8)/1000</f>
        <v>2532.8860598782212</v>
      </c>
      <c r="AF25" s="527">
        <f>IF(AND(AF$8&gt;=$C$5,AF$8&lt;$C$6),VLOOKUP($B25,Parameters!$E$377:$G$501,3,FALSE),0)*(1+Parameters!$G$13)^(AF$8-$G$8)/1000</f>
        <v>2583.5437810757858</v>
      </c>
      <c r="AG25" s="527">
        <f>IF(AND(AG$8&gt;=$C$5,AG$8&lt;$C$6),VLOOKUP($B25,Parameters!$E$377:$G$501,3,FALSE),0)*(1+Parameters!$G$13)^(AG$8-$G$8)/1000</f>
        <v>2635.2146566973015</v>
      </c>
      <c r="AH25" s="527">
        <f>IF(AND(AH$8&gt;=$C$5,AH$8&lt;$C$6),VLOOKUP($B25,Parameters!$E$377:$G$501,3,FALSE),0)*(1+Parameters!$G$13)^(AH$8-$G$8)/1000</f>
        <v>2687.9189498312471</v>
      </c>
      <c r="AI25" s="527">
        <f>IF(AND(AI$8&gt;=$C$5,AI$8&lt;$C$6),VLOOKUP($B25,Parameters!$E$377:$G$501,3,FALSE),0)*(1+Parameters!$G$13)^(AI$8-$G$8)/1000</f>
        <v>2741.6773288278728</v>
      </c>
      <c r="AJ25" s="527">
        <f>IF(AND(AJ$8&gt;=$C$5,AJ$8&lt;$C$6),VLOOKUP($B25,Parameters!$E$377:$G$501,3,FALSE),0)*(1+Parameters!$G$13)^(AJ$8-$G$8)/1000</f>
        <v>2796.5108754044295</v>
      </c>
      <c r="AK25" s="527">
        <f>IF(AND(AK$8&gt;=$C$5,AK$8&lt;$C$6),VLOOKUP($B25,Parameters!$E$377:$G$501,3,FALSE),0)*(1+Parameters!$G$13)^(AK$8-$G$8)/1000</f>
        <v>2852.4410929125183</v>
      </c>
      <c r="AL25" s="527">
        <f>IF(AND(AL$8&gt;=$C$5,AL$8&lt;$C$6),VLOOKUP($B25,Parameters!$E$377:$G$501,3,FALSE),0)*(1+Parameters!$G$13)^(AL$8-$G$8)/1000</f>
        <v>2909.4899147707683</v>
      </c>
      <c r="AM25" s="527">
        <f>IF(AND(AM$8&gt;=$C$5,AM$8&lt;$C$6),VLOOKUP($B25,Parameters!$E$377:$G$501,3,FALSE),0)*(1+Parameters!$G$13)^(AM$8-$G$8)/1000</f>
        <v>0</v>
      </c>
      <c r="AN25" s="527">
        <f>IF(AND(AN$8&gt;=$C$5,AN$8&lt;$C$6),VLOOKUP($B25,Parameters!$E$377:$G$501,3,FALSE),0)*(1+Parameters!$G$13)^(AN$8-$G$8)/1000</f>
        <v>0</v>
      </c>
      <c r="AO25" s="527">
        <f>IF(AND(AO$8&gt;=$C$5,AO$8&lt;$C$6),VLOOKUP($B25,Parameters!$E$377:$G$501,3,FALSE),0)*(1+Parameters!$G$13)^(AO$8-$G$8)/1000</f>
        <v>0</v>
      </c>
      <c r="AP25" s="527">
        <f>IF(AND(AP$8&gt;=$C$5,AP$8&lt;$C$6),VLOOKUP($B25,Parameters!$E$377:$G$501,3,FALSE),0)*(1+Parameters!$G$13)^(AP$8-$G$8)/1000</f>
        <v>0</v>
      </c>
      <c r="AQ25" s="527">
        <f>IF(AND(AQ$8&gt;=$C$5,AQ$8&lt;$C$6),VLOOKUP($B25,Parameters!$E$377:$G$501,3,FALSE),0)*(1+Parameters!$G$13)^(AQ$8-$G$8)/1000</f>
        <v>0</v>
      </c>
      <c r="AR25" s="527">
        <f>IF(AND(AR$8&gt;=$C$5,AR$8&lt;$C$6),VLOOKUP($B25,Parameters!$E$377:$G$501,3,FALSE),0)*(1+Parameters!$G$13)^(AR$8-$G$8)/1000</f>
        <v>0</v>
      </c>
      <c r="AS25" s="527">
        <f>IF(AND(AS$8&gt;=$C$5,AS$8&lt;$C$6),VLOOKUP($B25,Parameters!$E$377:$G$501,3,FALSE),0)*(1+Parameters!$G$13)^(AS$8-$G$8)/1000</f>
        <v>0</v>
      </c>
      <c r="AT25" s="527">
        <f>IF(AND(AT$8&gt;=$C$5,AT$8&lt;$C$6),VLOOKUP($B25,Parameters!$E$377:$G$501,3,FALSE),0)*(1+Parameters!$G$13)^(AT$8-$G$8)/1000</f>
        <v>0</v>
      </c>
      <c r="AU25" s="527">
        <f>IF(AND(AU$8&gt;=$C$5,AU$8&lt;$C$6),VLOOKUP($B25,Parameters!$E$377:$G$501,3,FALSE),0)*(1+Parameters!$G$13)^(AU$8-$G$8)/1000</f>
        <v>0</v>
      </c>
      <c r="AV25" s="527">
        <f>IF(AND(AV$8&gt;=$C$5,AV$8&lt;$C$6),VLOOKUP($B25,Parameters!$E$377:$G$501,3,FALSE),0)*(1+Parameters!$G$13)^(AV$8-$G$8)/1000</f>
        <v>0</v>
      </c>
      <c r="AW25" s="527">
        <f>IF(AND(AW$8&gt;=$C$5,AW$8&lt;$C$6),VLOOKUP($B25,Parameters!$E$377:$G$501,3,FALSE),0)*(1+Parameters!$G$13)^(AW$8-$G$8)/1000</f>
        <v>0</v>
      </c>
      <c r="AX25" s="527">
        <f>IF(AND(AX$8&gt;=$C$5,AX$8&lt;$C$6),VLOOKUP($B25,Parameters!$E$377:$G$501,3,FALSE),0)*(1+Parameters!$G$13)^(AX$8-$G$8)/1000</f>
        <v>0</v>
      </c>
      <c r="AY25" s="527">
        <f>IF(AND(AY$8&gt;=$C$5,AY$8&lt;$C$6),VLOOKUP($B25,Parameters!$E$377:$G$501,3,FALSE),0)*(1+Parameters!$G$13)^(AY$8-$G$8)/1000</f>
        <v>0</v>
      </c>
      <c r="AZ25" s="527">
        <f>IF(AND(AZ$8&gt;=$C$5,AZ$8&lt;$C$6),VLOOKUP($B25,Parameters!$E$377:$G$501,3,FALSE),0)*(1+Parameters!$G$13)^(AZ$8-$G$8)/1000</f>
        <v>0</v>
      </c>
      <c r="BA25" s="527">
        <f>IF(AND(BA$8&gt;=$C$5,BA$8&lt;$C$6),VLOOKUP($B25,Parameters!$E$377:$G$501,3,FALSE),0)*(1+Parameters!$G$13)^(BA$8-$G$8)/1000</f>
        <v>0</v>
      </c>
      <c r="BB25" s="527">
        <f>IF(AND(BB$8&gt;=$C$5,BB$8&lt;$C$6),VLOOKUP($B25,Parameters!$E$377:$G$501,3,FALSE),0)*(1+Parameters!$G$13)^(BB$8-$G$8)/1000</f>
        <v>0</v>
      </c>
    </row>
    <row r="26" spans="1:54" x14ac:dyDescent="0.25">
      <c r="A26" s="1029"/>
      <c r="B26" s="478" t="str">
        <f>Parameters!E439</f>
        <v>Opex compressor</v>
      </c>
      <c r="C26" s="511" t="s">
        <v>979</v>
      </c>
      <c r="D26" s="512">
        <f t="shared" si="14"/>
        <v>1434.7734471733586</v>
      </c>
      <c r="E26" s="512">
        <f t="shared" si="15"/>
        <v>190.59662934069689</v>
      </c>
      <c r="F26" s="478"/>
      <c r="G26" s="527">
        <f>IF(AND(G$8&gt;=$C$5,G$8&lt;$C$6),VLOOKUP($B26,Parameters!$E$377:$G$501,3,FALSE),0)*(1+Parameters!$G$13)^(G$8-$G$8)/1000</f>
        <v>0</v>
      </c>
      <c r="H26" s="527">
        <f>IF(AND(H$8&gt;=$C$5,H$8&lt;$C$6),VLOOKUP($B26,Parameters!$E$377:$G$501,3,FALSE),0)*(1+Parameters!$G$13)^(H$8-$G$8)/1000</f>
        <v>0</v>
      </c>
      <c r="I26" s="527">
        <f>IF(AND(I$8&gt;=$C$5,I$8&lt;$C$6),VLOOKUP($B26,Parameters!$E$377:$G$501,3,FALSE),0)*(1+Parameters!$G$13)^(I$8-$G$8)/1000</f>
        <v>0</v>
      </c>
      <c r="J26" s="527">
        <f>IF(AND(J$8&gt;=$C$5,J$8&lt;$C$6),VLOOKUP($B26,Parameters!$E$377:$G$501,3,FALSE),0)*(1+Parameters!$G$13)^(J$8-$G$8)/1000</f>
        <v>0</v>
      </c>
      <c r="K26" s="527">
        <f>IF(AND(K$8&gt;=$C$5,K$8&lt;$C$6),VLOOKUP($B26,Parameters!$E$377:$G$501,3,FALSE),0)*(1+Parameters!$G$13)^(K$8-$G$8)/1000</f>
        <v>0</v>
      </c>
      <c r="L26" s="527">
        <f>IF(AND(L$8&gt;=$C$5,L$8&lt;$C$6),VLOOKUP($B26,Parameters!$E$377:$G$501,3,FALSE),0)*(1+Parameters!$G$13)^(L$8-$G$8)/1000</f>
        <v>0</v>
      </c>
      <c r="M26" s="527">
        <f>IF(AND(M$8&gt;=$C$5,M$8&lt;$C$6),VLOOKUP($B26,Parameters!$E$377:$G$501,3,FALSE),0)*(1+Parameters!$G$13)^(M$8-$G$8)/1000</f>
        <v>0</v>
      </c>
      <c r="N26" s="527">
        <f>IF(AND(N$8&gt;=$C$5,N$8&lt;$C$6),VLOOKUP($B26,Parameters!$E$377:$G$501,3,FALSE),0)*(1+Parameters!$G$13)^(N$8-$G$8)/1000</f>
        <v>0</v>
      </c>
      <c r="O26" s="527">
        <f>IF(AND(O$8&gt;=$C$5,O$8&lt;$C$6),VLOOKUP($B26,Parameters!$E$377:$G$501,3,FALSE),0)*(1+Parameters!$G$13)^(O$8-$G$8)/1000</f>
        <v>0</v>
      </c>
      <c r="P26" s="527">
        <f>IF(AND(P$8&gt;=$C$5,P$8&lt;$C$6),VLOOKUP($B26,Parameters!$E$377:$G$501,3,FALSE),0)*(1+Parameters!$G$13)^(P$8-$G$8)/1000</f>
        <v>0</v>
      </c>
      <c r="Q26" s="527">
        <f>IF(AND(Q$8&gt;=$C$5,Q$8&lt;$C$6),VLOOKUP($B26,Parameters!$E$377:$G$501,3,FALSE),0)*(1+Parameters!$G$13)^(Q$8-$G$8)/1000</f>
        <v>0</v>
      </c>
      <c r="R26" s="527">
        <f>IF(AND(R$8&gt;=$C$5,R$8&lt;$C$6),VLOOKUP($B26,Parameters!$E$377:$G$501,3,FALSE),0)*(1+Parameters!$G$13)^(R$8-$G$8)/1000</f>
        <v>0</v>
      </c>
      <c r="S26" s="527">
        <f>IF(AND(S$8&gt;=$C$5,S$8&lt;$C$6),VLOOKUP($B26,Parameters!$E$377:$G$501,3,FALSE),0)*(1+Parameters!$G$13)^(S$8-$G$8)/1000</f>
        <v>0</v>
      </c>
      <c r="T26" s="527">
        <f>IF(AND(T$8&gt;=$C$5,T$8&lt;$C$6),VLOOKUP($B26,Parameters!$E$377:$G$501,3,FALSE),0)*(1+Parameters!$G$13)^(T$8-$G$8)/1000</f>
        <v>62.816915761229474</v>
      </c>
      <c r="U26" s="527">
        <f>IF(AND(U$8&gt;=$C$5,U$8&lt;$C$6),VLOOKUP($B26,Parameters!$E$377:$G$501,3,FALSE),0)*(1+Parameters!$G$13)^(U$8-$G$8)/1000</f>
        <v>64.073254076454063</v>
      </c>
      <c r="V26" s="527">
        <f>IF(AND(V$8&gt;=$C$5,V$8&lt;$C$6),VLOOKUP($B26,Parameters!$E$377:$G$501,3,FALSE),0)*(1+Parameters!$G$13)^(V$8-$G$8)/1000</f>
        <v>65.354719157983141</v>
      </c>
      <c r="W26" s="527">
        <f>IF(AND(W$8&gt;=$C$5,W$8&lt;$C$6),VLOOKUP($B26,Parameters!$E$377:$G$501,3,FALSE),0)*(1+Parameters!$G$13)^(W$8-$G$8)/1000</f>
        <v>66.661813541142806</v>
      </c>
      <c r="X26" s="527">
        <f>IF(AND(X$8&gt;=$C$5,X$8&lt;$C$6),VLOOKUP($B26,Parameters!$E$377:$G$501,3,FALSE),0)*(1+Parameters!$G$13)^(X$8-$G$8)/1000</f>
        <v>67.995049811965671</v>
      </c>
      <c r="Y26" s="527">
        <f>IF(AND(Y$8&gt;=$C$5,Y$8&lt;$C$6),VLOOKUP($B26,Parameters!$E$377:$G$501,3,FALSE),0)*(1+Parameters!$G$13)^(Y$8-$G$8)/1000</f>
        <v>69.354950808204975</v>
      </c>
      <c r="Z26" s="527">
        <f>IF(AND(Z$8&gt;=$C$5,Z$8&lt;$C$6),VLOOKUP($B26,Parameters!$E$377:$G$501,3,FALSE),0)*(1+Parameters!$G$13)^(Z$8-$G$8)/1000</f>
        <v>70.742049824369062</v>
      </c>
      <c r="AA26" s="527">
        <f>IF(AND(AA$8&gt;=$C$5,AA$8&lt;$C$6),VLOOKUP($B26,Parameters!$E$377:$G$501,3,FALSE),0)*(1+Parameters!$G$13)^(AA$8-$G$8)/1000</f>
        <v>72.156890820856475</v>
      </c>
      <c r="AB26" s="527">
        <f>IF(AND(AB$8&gt;=$C$5,AB$8&lt;$C$6),VLOOKUP($B26,Parameters!$E$377:$G$501,3,FALSE),0)*(1+Parameters!$G$13)^(AB$8-$G$8)/1000</f>
        <v>73.600028637273581</v>
      </c>
      <c r="AC26" s="527">
        <f>IF(AND(AC$8&gt;=$C$5,AC$8&lt;$C$6),VLOOKUP($B26,Parameters!$E$377:$G$501,3,FALSE),0)*(1+Parameters!$G$13)^(AC$8-$G$8)/1000</f>
        <v>75.072029210019053</v>
      </c>
      <c r="AD26" s="527">
        <f>IF(AND(AD$8&gt;=$C$5,AD$8&lt;$C$6),VLOOKUP($B26,Parameters!$E$377:$G$501,3,FALSE),0)*(1+Parameters!$G$13)^(AD$8-$G$8)/1000</f>
        <v>76.573469794219434</v>
      </c>
      <c r="AE26" s="527">
        <f>IF(AND(AE$8&gt;=$C$5,AE$8&lt;$C$6),VLOOKUP($B26,Parameters!$E$377:$G$501,3,FALSE),0)*(1+Parameters!$G$13)^(AE$8-$G$8)/1000</f>
        <v>78.104939190103821</v>
      </c>
      <c r="AF26" s="527">
        <f>IF(AND(AF$8&gt;=$C$5,AF$8&lt;$C$6),VLOOKUP($B26,Parameters!$E$377:$G$501,3,FALSE),0)*(1+Parameters!$G$13)^(AF$8-$G$8)/1000</f>
        <v>79.667037973905906</v>
      </c>
      <c r="AG26" s="527">
        <f>IF(AND(AG$8&gt;=$C$5,AG$8&lt;$C$6),VLOOKUP($B26,Parameters!$E$377:$G$501,3,FALSE),0)*(1+Parameters!$G$13)^(AG$8-$G$8)/1000</f>
        <v>81.26037873338403</v>
      </c>
      <c r="AH26" s="527">
        <f>IF(AND(AH$8&gt;=$C$5,AH$8&lt;$C$6),VLOOKUP($B26,Parameters!$E$377:$G$501,3,FALSE),0)*(1+Parameters!$G$13)^(AH$8-$G$8)/1000</f>
        <v>82.885586308051685</v>
      </c>
      <c r="AI26" s="527">
        <f>IF(AND(AI$8&gt;=$C$5,AI$8&lt;$C$6),VLOOKUP($B26,Parameters!$E$377:$G$501,3,FALSE),0)*(1+Parameters!$G$13)^(AI$8-$G$8)/1000</f>
        <v>84.543298034212739</v>
      </c>
      <c r="AJ26" s="527">
        <f>IF(AND(AJ$8&gt;=$C$5,AJ$8&lt;$C$6),VLOOKUP($B26,Parameters!$E$377:$G$501,3,FALSE),0)*(1+Parameters!$G$13)^(AJ$8-$G$8)/1000</f>
        <v>86.234163994896988</v>
      </c>
      <c r="AK26" s="527">
        <f>IF(AND(AK$8&gt;=$C$5,AK$8&lt;$C$6),VLOOKUP($B26,Parameters!$E$377:$G$501,3,FALSE),0)*(1+Parameters!$G$13)^(AK$8-$G$8)/1000</f>
        <v>87.958847274794934</v>
      </c>
      <c r="AL26" s="527">
        <f>IF(AND(AL$8&gt;=$C$5,AL$8&lt;$C$6),VLOOKUP($B26,Parameters!$E$377:$G$501,3,FALSE),0)*(1+Parameters!$G$13)^(AL$8-$G$8)/1000</f>
        <v>89.718024220290815</v>
      </c>
      <c r="AM26" s="527">
        <f>IF(AND(AM$8&gt;=$C$5,AM$8&lt;$C$6),VLOOKUP($B26,Parameters!$E$377:$G$501,3,FALSE),0)*(1+Parameters!$G$13)^(AM$8-$G$8)/1000</f>
        <v>0</v>
      </c>
      <c r="AN26" s="527">
        <f>IF(AND(AN$8&gt;=$C$5,AN$8&lt;$C$6),VLOOKUP($B26,Parameters!$E$377:$G$501,3,FALSE),0)*(1+Parameters!$G$13)^(AN$8-$G$8)/1000</f>
        <v>0</v>
      </c>
      <c r="AO26" s="527">
        <f>IF(AND(AO$8&gt;=$C$5,AO$8&lt;$C$6),VLOOKUP($B26,Parameters!$E$377:$G$501,3,FALSE),0)*(1+Parameters!$G$13)^(AO$8-$G$8)/1000</f>
        <v>0</v>
      </c>
      <c r="AP26" s="527">
        <f>IF(AND(AP$8&gt;=$C$5,AP$8&lt;$C$6),VLOOKUP($B26,Parameters!$E$377:$G$501,3,FALSE),0)*(1+Parameters!$G$13)^(AP$8-$G$8)/1000</f>
        <v>0</v>
      </c>
      <c r="AQ26" s="527">
        <f>IF(AND(AQ$8&gt;=$C$5,AQ$8&lt;$C$6),VLOOKUP($B26,Parameters!$E$377:$G$501,3,FALSE),0)*(1+Parameters!$G$13)^(AQ$8-$G$8)/1000</f>
        <v>0</v>
      </c>
      <c r="AR26" s="527">
        <f>IF(AND(AR$8&gt;=$C$5,AR$8&lt;$C$6),VLOOKUP($B26,Parameters!$E$377:$G$501,3,FALSE),0)*(1+Parameters!$G$13)^(AR$8-$G$8)/1000</f>
        <v>0</v>
      </c>
      <c r="AS26" s="527">
        <f>IF(AND(AS$8&gt;=$C$5,AS$8&lt;$C$6),VLOOKUP($B26,Parameters!$E$377:$G$501,3,FALSE),0)*(1+Parameters!$G$13)^(AS$8-$G$8)/1000</f>
        <v>0</v>
      </c>
      <c r="AT26" s="527">
        <f>IF(AND(AT$8&gt;=$C$5,AT$8&lt;$C$6),VLOOKUP($B26,Parameters!$E$377:$G$501,3,FALSE),0)*(1+Parameters!$G$13)^(AT$8-$G$8)/1000</f>
        <v>0</v>
      </c>
      <c r="AU26" s="527">
        <f>IF(AND(AU$8&gt;=$C$5,AU$8&lt;$C$6),VLOOKUP($B26,Parameters!$E$377:$G$501,3,FALSE),0)*(1+Parameters!$G$13)^(AU$8-$G$8)/1000</f>
        <v>0</v>
      </c>
      <c r="AV26" s="527">
        <f>IF(AND(AV$8&gt;=$C$5,AV$8&lt;$C$6),VLOOKUP($B26,Parameters!$E$377:$G$501,3,FALSE),0)*(1+Parameters!$G$13)^(AV$8-$G$8)/1000</f>
        <v>0</v>
      </c>
      <c r="AW26" s="527">
        <f>IF(AND(AW$8&gt;=$C$5,AW$8&lt;$C$6),VLOOKUP($B26,Parameters!$E$377:$G$501,3,FALSE),0)*(1+Parameters!$G$13)^(AW$8-$G$8)/1000</f>
        <v>0</v>
      </c>
      <c r="AX26" s="527">
        <f>IF(AND(AX$8&gt;=$C$5,AX$8&lt;$C$6),VLOOKUP($B26,Parameters!$E$377:$G$501,3,FALSE),0)*(1+Parameters!$G$13)^(AX$8-$G$8)/1000</f>
        <v>0</v>
      </c>
      <c r="AY26" s="527">
        <f>IF(AND(AY$8&gt;=$C$5,AY$8&lt;$C$6),VLOOKUP($B26,Parameters!$E$377:$G$501,3,FALSE),0)*(1+Parameters!$G$13)^(AY$8-$G$8)/1000</f>
        <v>0</v>
      </c>
      <c r="AZ26" s="527">
        <f>IF(AND(AZ$8&gt;=$C$5,AZ$8&lt;$C$6),VLOOKUP($B26,Parameters!$E$377:$G$501,3,FALSE),0)*(1+Parameters!$G$13)^(AZ$8-$G$8)/1000</f>
        <v>0</v>
      </c>
      <c r="BA26" s="527">
        <f>IF(AND(BA$8&gt;=$C$5,BA$8&lt;$C$6),VLOOKUP($B26,Parameters!$E$377:$G$501,3,FALSE),0)*(1+Parameters!$G$13)^(BA$8-$G$8)/1000</f>
        <v>0</v>
      </c>
      <c r="BB26" s="527">
        <f>IF(AND(BB$8&gt;=$C$5,BB$8&lt;$C$6),VLOOKUP($B26,Parameters!$E$377:$G$501,3,FALSE),0)*(1+Parameters!$G$13)^(BB$8-$G$8)/1000</f>
        <v>0</v>
      </c>
    </row>
    <row r="27" spans="1:54" x14ac:dyDescent="0.25">
      <c r="B27" s="478" t="str">
        <f>Parameters!E472</f>
        <v>Opex existing pipeline</v>
      </c>
      <c r="C27" s="511" t="s">
        <v>979</v>
      </c>
      <c r="D27" s="512">
        <f t="shared" si="14"/>
        <v>16132.249774439373</v>
      </c>
      <c r="E27" s="512">
        <f t="shared" si="15"/>
        <v>2143.0229537268901</v>
      </c>
      <c r="F27" s="478"/>
      <c r="G27" s="527">
        <f>IF(AND(G$8&gt;=$C$5,G$8&lt;$C$6),VLOOKUP($B27,Parameters!$E$377:$G$501,3,FALSE),0)*(1+Parameters!$G$13)^(G$8-$G$8)/1000</f>
        <v>0</v>
      </c>
      <c r="H27" s="527">
        <f>IF(AND(H$8&gt;=$C$5,H$8&lt;$C$6),VLOOKUP($B27,Parameters!$E$377:$G$501,3,FALSE),0)*(1+Parameters!$G$13)^(H$8-$G$8)/1000</f>
        <v>0</v>
      </c>
      <c r="I27" s="527">
        <f>IF(AND(I$8&gt;=$C$5,I$8&lt;$C$6),VLOOKUP($B27,Parameters!$E$377:$G$501,3,FALSE),0)*(1+Parameters!$G$13)^(I$8-$G$8)/1000</f>
        <v>0</v>
      </c>
      <c r="J27" s="527">
        <f>IF(AND(J$8&gt;=$C$5,J$8&lt;$C$6),VLOOKUP($B27,Parameters!$E$377:$G$501,3,FALSE),0)*(1+Parameters!$G$13)^(J$8-$G$8)/1000</f>
        <v>0</v>
      </c>
      <c r="K27" s="527">
        <f>IF(AND(K$8&gt;=$C$5,K$8&lt;$C$6),VLOOKUP($B27,Parameters!$E$377:$G$501,3,FALSE),0)*(1+Parameters!$G$13)^(K$8-$G$8)/1000</f>
        <v>0</v>
      </c>
      <c r="L27" s="527">
        <f>IF(AND(L$8&gt;=$C$5,L$8&lt;$C$6),VLOOKUP($B27,Parameters!$E$377:$G$501,3,FALSE),0)*(1+Parameters!$G$13)^(L$8-$G$8)/1000</f>
        <v>0</v>
      </c>
      <c r="M27" s="527">
        <f>IF(AND(M$8&gt;=$C$5,M$8&lt;$C$6),VLOOKUP($B27,Parameters!$E$377:$G$501,3,FALSE),0)*(1+Parameters!$G$13)^(M$8-$G$8)/1000</f>
        <v>0</v>
      </c>
      <c r="N27" s="527">
        <f>IF(AND(N$8&gt;=$C$5,N$8&lt;$C$6),VLOOKUP($B27,Parameters!$E$377:$G$501,3,FALSE),0)*(1+Parameters!$G$13)^(N$8-$G$8)/1000</f>
        <v>0</v>
      </c>
      <c r="O27" s="527">
        <f>IF(AND(O$8&gt;=$C$5,O$8&lt;$C$6),VLOOKUP($B27,Parameters!$E$377:$G$501,3,FALSE),0)*(1+Parameters!$G$13)^(O$8-$G$8)/1000</f>
        <v>0</v>
      </c>
      <c r="P27" s="527">
        <f>IF(AND(P$8&gt;=$C$5,P$8&lt;$C$6),VLOOKUP($B27,Parameters!$E$377:$G$501,3,FALSE),0)*(1+Parameters!$G$13)^(P$8-$G$8)/1000</f>
        <v>0</v>
      </c>
      <c r="Q27" s="527">
        <f>IF(AND(Q$8&gt;=$C$5,Q$8&lt;$C$6),VLOOKUP($B27,Parameters!$E$377:$G$501,3,FALSE),0)*(1+Parameters!$G$13)^(Q$8-$G$8)/1000</f>
        <v>0</v>
      </c>
      <c r="R27" s="527">
        <f>IF(AND(R$8&gt;=$C$5,R$8&lt;$C$6),VLOOKUP($B27,Parameters!$E$377:$G$501,3,FALSE),0)*(1+Parameters!$G$13)^(R$8-$G$8)/1000</f>
        <v>0</v>
      </c>
      <c r="S27" s="527">
        <f>IF(AND(S$8&gt;=$C$5,S$8&lt;$C$6),VLOOKUP($B27,Parameters!$E$377:$G$501,3,FALSE),0)*(1+Parameters!$G$13)^(S$8-$G$8)/1000</f>
        <v>0</v>
      </c>
      <c r="T27" s="527">
        <f>IF(AND(T$8&gt;=$C$5,T$8&lt;$C$6),VLOOKUP($B27,Parameters!$E$377:$G$501,3,FALSE),0)*(1+Parameters!$G$13)^(T$8-$G$8)/1000</f>
        <v>706.29838955866069</v>
      </c>
      <c r="U27" s="527">
        <f>IF(AND(U$8&gt;=$C$5,U$8&lt;$C$6),VLOOKUP($B27,Parameters!$E$377:$G$501,3,FALSE),0)*(1+Parameters!$G$13)^(U$8-$G$8)/1000</f>
        <v>720.42435734983394</v>
      </c>
      <c r="V27" s="527">
        <f>IF(AND(V$8&gt;=$C$5,V$8&lt;$C$6),VLOOKUP($B27,Parameters!$E$377:$G$501,3,FALSE),0)*(1+Parameters!$G$13)^(V$8-$G$8)/1000</f>
        <v>734.83284449683049</v>
      </c>
      <c r="W27" s="527">
        <f>IF(AND(W$8&gt;=$C$5,W$8&lt;$C$6),VLOOKUP($B27,Parameters!$E$377:$G$501,3,FALSE),0)*(1+Parameters!$G$13)^(W$8-$G$8)/1000</f>
        <v>749.52950138676715</v>
      </c>
      <c r="X27" s="527">
        <f>IF(AND(X$8&gt;=$C$5,X$8&lt;$C$6),VLOOKUP($B27,Parameters!$E$377:$G$501,3,FALSE),0)*(1+Parameters!$G$13)^(X$8-$G$8)/1000</f>
        <v>764.52009141450264</v>
      </c>
      <c r="Y27" s="527">
        <f>IF(AND(Y$8&gt;=$C$5,Y$8&lt;$C$6),VLOOKUP($B27,Parameters!$E$377:$G$501,3,FALSE),0)*(1+Parameters!$G$13)^(Y$8-$G$8)/1000</f>
        <v>779.81049324279252</v>
      </c>
      <c r="Z27" s="527">
        <f>IF(AND(Z$8&gt;=$C$5,Z$8&lt;$C$6),VLOOKUP($B27,Parameters!$E$377:$G$501,3,FALSE),0)*(1+Parameters!$G$13)^(Z$8-$G$8)/1000</f>
        <v>795.40670310764847</v>
      </c>
      <c r="AA27" s="527">
        <f>IF(AND(AA$8&gt;=$C$5,AA$8&lt;$C$6),VLOOKUP($B27,Parameters!$E$377:$G$501,3,FALSE),0)*(1+Parameters!$G$13)^(AA$8-$G$8)/1000</f>
        <v>811.31483716980142</v>
      </c>
      <c r="AB27" s="527">
        <f>IF(AND(AB$8&gt;=$C$5,AB$8&lt;$C$6),VLOOKUP($B27,Parameters!$E$377:$G$501,3,FALSE),0)*(1+Parameters!$G$13)^(AB$8-$G$8)/1000</f>
        <v>827.54113391319743</v>
      </c>
      <c r="AC27" s="527">
        <f>IF(AND(AC$8&gt;=$C$5,AC$8&lt;$C$6),VLOOKUP($B27,Parameters!$E$377:$G$501,3,FALSE),0)*(1+Parameters!$G$13)^(AC$8-$G$8)/1000</f>
        <v>844.09195659146144</v>
      </c>
      <c r="AD27" s="527">
        <f>IF(AND(AD$8&gt;=$C$5,AD$8&lt;$C$6),VLOOKUP($B27,Parameters!$E$377:$G$501,3,FALSE),0)*(1+Parameters!$G$13)^(AD$8-$G$8)/1000</f>
        <v>860.97379572329044</v>
      </c>
      <c r="AE27" s="527">
        <f>IF(AND(AE$8&gt;=$C$5,AE$8&lt;$C$6),VLOOKUP($B27,Parameters!$E$377:$G$501,3,FALSE),0)*(1+Parameters!$G$13)^(AE$8-$G$8)/1000</f>
        <v>878.19327163775631</v>
      </c>
      <c r="AF27" s="527">
        <f>IF(AND(AF$8&gt;=$C$5,AF$8&lt;$C$6),VLOOKUP($B27,Parameters!$E$377:$G$501,3,FALSE),0)*(1+Parameters!$G$13)^(AF$8-$G$8)/1000</f>
        <v>895.75713707051148</v>
      </c>
      <c r="AG27" s="527">
        <f>IF(AND(AG$8&gt;=$C$5,AG$8&lt;$C$6),VLOOKUP($B27,Parameters!$E$377:$G$501,3,FALSE),0)*(1+Parameters!$G$13)^(AG$8-$G$8)/1000</f>
        <v>913.67227981192173</v>
      </c>
      <c r="AH27" s="527">
        <f>IF(AND(AH$8&gt;=$C$5,AH$8&lt;$C$6),VLOOKUP($B27,Parameters!$E$377:$G$501,3,FALSE),0)*(1+Parameters!$G$13)^(AH$8-$G$8)/1000</f>
        <v>931.94572540816</v>
      </c>
      <c r="AI27" s="527">
        <f>IF(AND(AI$8&gt;=$C$5,AI$8&lt;$C$6),VLOOKUP($B27,Parameters!$E$377:$G$501,3,FALSE),0)*(1+Parameters!$G$13)^(AI$8-$G$8)/1000</f>
        <v>950.58463991632345</v>
      </c>
      <c r="AJ27" s="527">
        <f>IF(AND(AJ$8&gt;=$C$5,AJ$8&lt;$C$6),VLOOKUP($B27,Parameters!$E$377:$G$501,3,FALSE),0)*(1+Parameters!$G$13)^(AJ$8-$G$8)/1000</f>
        <v>969.59633271464975</v>
      </c>
      <c r="AK27" s="527">
        <f>IF(AND(AK$8&gt;=$C$5,AK$8&lt;$C$6),VLOOKUP($B27,Parameters!$E$377:$G$501,3,FALSE),0)*(1+Parameters!$G$13)^(AK$8-$G$8)/1000</f>
        <v>988.98825936894286</v>
      </c>
      <c r="AL27" s="527">
        <f>IF(AND(AL$8&gt;=$C$5,AL$8&lt;$C$6),VLOOKUP($B27,Parameters!$E$377:$G$501,3,FALSE),0)*(1+Parameters!$G$13)^(AL$8-$G$8)/1000</f>
        <v>1008.7680245563214</v>
      </c>
      <c r="AM27" s="527">
        <f>IF(AND(AM$8&gt;=$C$5,AM$8&lt;$C$6),VLOOKUP($B27,Parameters!$E$377:$G$501,3,FALSE),0)*(1+Parameters!$G$13)^(AM$8-$G$8)/1000</f>
        <v>0</v>
      </c>
      <c r="AN27" s="527">
        <f>IF(AND(AN$8&gt;=$C$5,AN$8&lt;$C$6),VLOOKUP($B27,Parameters!$E$377:$G$501,3,FALSE),0)*(1+Parameters!$G$13)^(AN$8-$G$8)/1000</f>
        <v>0</v>
      </c>
      <c r="AO27" s="527">
        <f>IF(AND(AO$8&gt;=$C$5,AO$8&lt;$C$6),VLOOKUP($B27,Parameters!$E$377:$G$501,3,FALSE),0)*(1+Parameters!$G$13)^(AO$8-$G$8)/1000</f>
        <v>0</v>
      </c>
      <c r="AP27" s="527">
        <f>IF(AND(AP$8&gt;=$C$5,AP$8&lt;$C$6),VLOOKUP($B27,Parameters!$E$377:$G$501,3,FALSE),0)*(1+Parameters!$G$13)^(AP$8-$G$8)/1000</f>
        <v>0</v>
      </c>
      <c r="AQ27" s="527">
        <f>IF(AND(AQ$8&gt;=$C$5,AQ$8&lt;$C$6),VLOOKUP($B27,Parameters!$E$377:$G$501,3,FALSE),0)*(1+Parameters!$G$13)^(AQ$8-$G$8)/1000</f>
        <v>0</v>
      </c>
      <c r="AR27" s="527">
        <f>IF(AND(AR$8&gt;=$C$5,AR$8&lt;$C$6),VLOOKUP($B27,Parameters!$E$377:$G$501,3,FALSE),0)*(1+Parameters!$G$13)^(AR$8-$G$8)/1000</f>
        <v>0</v>
      </c>
      <c r="AS27" s="527">
        <f>IF(AND(AS$8&gt;=$C$5,AS$8&lt;$C$6),VLOOKUP($B27,Parameters!$E$377:$G$501,3,FALSE),0)*(1+Parameters!$G$13)^(AS$8-$G$8)/1000</f>
        <v>0</v>
      </c>
      <c r="AT27" s="527">
        <f>IF(AND(AT$8&gt;=$C$5,AT$8&lt;$C$6),VLOOKUP($B27,Parameters!$E$377:$G$501,3,FALSE),0)*(1+Parameters!$G$13)^(AT$8-$G$8)/1000</f>
        <v>0</v>
      </c>
      <c r="AU27" s="527">
        <f>IF(AND(AU$8&gt;=$C$5,AU$8&lt;$C$6),VLOOKUP($B27,Parameters!$E$377:$G$501,3,FALSE),0)*(1+Parameters!$G$13)^(AU$8-$G$8)/1000</f>
        <v>0</v>
      </c>
      <c r="AV27" s="527">
        <f>IF(AND(AV$8&gt;=$C$5,AV$8&lt;$C$6),VLOOKUP($B27,Parameters!$E$377:$G$501,3,FALSE),0)*(1+Parameters!$G$13)^(AV$8-$G$8)/1000</f>
        <v>0</v>
      </c>
      <c r="AW27" s="527">
        <f>IF(AND(AW$8&gt;=$C$5,AW$8&lt;$C$6),VLOOKUP($B27,Parameters!$E$377:$G$501,3,FALSE),0)*(1+Parameters!$G$13)^(AW$8-$G$8)/1000</f>
        <v>0</v>
      </c>
      <c r="AX27" s="527">
        <f>IF(AND(AX$8&gt;=$C$5,AX$8&lt;$C$6),VLOOKUP($B27,Parameters!$E$377:$G$501,3,FALSE),0)*(1+Parameters!$G$13)^(AX$8-$G$8)/1000</f>
        <v>0</v>
      </c>
      <c r="AY27" s="527">
        <f>IF(AND(AY$8&gt;=$C$5,AY$8&lt;$C$6),VLOOKUP($B27,Parameters!$E$377:$G$501,3,FALSE),0)*(1+Parameters!$G$13)^(AY$8-$G$8)/1000</f>
        <v>0</v>
      </c>
      <c r="AZ27" s="527">
        <f>IF(AND(AZ$8&gt;=$C$5,AZ$8&lt;$C$6),VLOOKUP($B27,Parameters!$E$377:$G$501,3,FALSE),0)*(1+Parameters!$G$13)^(AZ$8-$G$8)/1000</f>
        <v>0</v>
      </c>
      <c r="BA27" s="527">
        <f>IF(AND(BA$8&gt;=$C$5,BA$8&lt;$C$6),VLOOKUP($B27,Parameters!$E$377:$G$501,3,FALSE),0)*(1+Parameters!$G$13)^(BA$8-$G$8)/1000</f>
        <v>0</v>
      </c>
      <c r="BB27" s="527">
        <f>IF(AND(BB$8&gt;=$C$5,BB$8&lt;$C$6),VLOOKUP($B27,Parameters!$E$377:$G$501,3,FALSE),0)*(1+Parameters!$G$13)^(BB$8-$G$8)/1000</f>
        <v>0</v>
      </c>
    </row>
    <row r="28" spans="1:54" x14ac:dyDescent="0.25">
      <c r="B28" s="478" t="str">
        <f>Parameters!E473</f>
        <v>Cost of hydrogen extraction (admix)</v>
      </c>
      <c r="C28" s="511" t="s">
        <v>979</v>
      </c>
      <c r="D28" s="512">
        <f t="shared" si="14"/>
        <v>42829.289104876174</v>
      </c>
      <c r="E28" s="512">
        <f t="shared" si="15"/>
        <v>5689.4823057464282</v>
      </c>
      <c r="F28" s="478"/>
      <c r="G28" s="527">
        <f>IF(AND(G$8&gt;=$C$5,G$8&lt;$C$6),VLOOKUP($B28,Parameters!$E$377:$G$501,3,FALSE),0)*(1+Parameters!$G$13)^(G$8-$G$8)/1000</f>
        <v>0</v>
      </c>
      <c r="H28" s="527">
        <f>IF(AND(H$8&gt;=$C$5,H$8&lt;$C$6),VLOOKUP($B28,Parameters!$E$377:$G$501,3,FALSE),0)*(1+Parameters!$G$13)^(H$8-$G$8)/1000</f>
        <v>0</v>
      </c>
      <c r="I28" s="527">
        <f>IF(AND(I$8&gt;=$C$5,I$8&lt;$C$6),VLOOKUP($B28,Parameters!$E$377:$G$501,3,FALSE),0)*(1+Parameters!$G$13)^(I$8-$G$8)/1000</f>
        <v>0</v>
      </c>
      <c r="J28" s="527">
        <f>IF(AND(J$8&gt;=$C$5,J$8&lt;$C$6),VLOOKUP($B28,Parameters!$E$377:$G$501,3,FALSE),0)*(1+Parameters!$G$13)^(J$8-$G$8)/1000</f>
        <v>0</v>
      </c>
      <c r="K28" s="527">
        <f>IF(AND(K$8&gt;=$C$5,K$8&lt;$C$6),VLOOKUP($B28,Parameters!$E$377:$G$501,3,FALSE),0)*(1+Parameters!$G$13)^(K$8-$G$8)/1000</f>
        <v>0</v>
      </c>
      <c r="L28" s="527">
        <f>IF(AND(L$8&gt;=$C$5,L$8&lt;$C$6),VLOOKUP($B28,Parameters!$E$377:$G$501,3,FALSE),0)*(1+Parameters!$G$13)^(L$8-$G$8)/1000</f>
        <v>0</v>
      </c>
      <c r="M28" s="527">
        <f>IF(AND(M$8&gt;=$C$5,M$8&lt;$C$6),VLOOKUP($B28,Parameters!$E$377:$G$501,3,FALSE),0)*(1+Parameters!$G$13)^(M$8-$G$8)/1000</f>
        <v>0</v>
      </c>
      <c r="N28" s="527">
        <f>IF(AND(N$8&gt;=$C$5,N$8&lt;$C$6),VLOOKUP($B28,Parameters!$E$377:$G$501,3,FALSE),0)*(1+Parameters!$G$13)^(N$8-$G$8)/1000</f>
        <v>0</v>
      </c>
      <c r="O28" s="527">
        <f>IF(AND(O$8&gt;=$C$5,O$8&lt;$C$6),VLOOKUP($B28,Parameters!$E$377:$G$501,3,FALSE),0)*(1+Parameters!$G$13)^(O$8-$G$8)/1000</f>
        <v>0</v>
      </c>
      <c r="P28" s="527">
        <f>IF(AND(P$8&gt;=$C$5,P$8&lt;$C$6),VLOOKUP($B28,Parameters!$E$377:$G$501,3,FALSE),0)*(1+Parameters!$G$13)^(P$8-$G$8)/1000</f>
        <v>0</v>
      </c>
      <c r="Q28" s="527">
        <f>IF(AND(Q$8&gt;=$C$5,Q$8&lt;$C$6),VLOOKUP($B28,Parameters!$E$377:$G$501,3,FALSE),0)*(1+Parameters!$G$13)^(Q$8-$G$8)/1000</f>
        <v>0</v>
      </c>
      <c r="R28" s="527">
        <f>IF(AND(R$8&gt;=$C$5,R$8&lt;$C$6),VLOOKUP($B28,Parameters!$E$377:$G$501,3,FALSE),0)*(1+Parameters!$G$13)^(R$8-$G$8)/1000</f>
        <v>0</v>
      </c>
      <c r="S28" s="527">
        <f>IF(AND(S$8&gt;=$C$5,S$8&lt;$C$6),VLOOKUP($B28,Parameters!$E$377:$G$501,3,FALSE),0)*(1+Parameters!$G$13)^(S$8-$G$8)/1000</f>
        <v>0</v>
      </c>
      <c r="T28" s="527">
        <f>IF(AND(T$8&gt;=$C$5,T$8&lt;$C$6),VLOOKUP($B28,Parameters!$E$377:$G$501,3,FALSE),0)*(1+Parameters!$G$13)^(T$8-$G$8)/1000</f>
        <v>1875.1419264934848</v>
      </c>
      <c r="U28" s="527">
        <f>IF(AND(U$8&gt;=$C$5,U$8&lt;$C$6),VLOOKUP($B28,Parameters!$E$377:$G$501,3,FALSE),0)*(1+Parameters!$G$13)^(U$8-$G$8)/1000</f>
        <v>1912.6447650233547</v>
      </c>
      <c r="V28" s="527">
        <f>IF(AND(V$8&gt;=$C$5,V$8&lt;$C$6),VLOOKUP($B28,Parameters!$E$377:$G$501,3,FALSE),0)*(1+Parameters!$G$13)^(V$8-$G$8)/1000</f>
        <v>1950.8976603238211</v>
      </c>
      <c r="W28" s="527">
        <f>IF(AND(W$8&gt;=$C$5,W$8&lt;$C$6),VLOOKUP($B28,Parameters!$E$377:$G$501,3,FALSE),0)*(1+Parameters!$G$13)^(W$8-$G$8)/1000</f>
        <v>1989.9156135302981</v>
      </c>
      <c r="X28" s="527">
        <f>IF(AND(X$8&gt;=$C$5,X$8&lt;$C$6),VLOOKUP($B28,Parameters!$E$377:$G$501,3,FALSE),0)*(1+Parameters!$G$13)^(X$8-$G$8)/1000</f>
        <v>2029.7139258009042</v>
      </c>
      <c r="Y28" s="527">
        <f>IF(AND(Y$8&gt;=$C$5,Y$8&lt;$C$6),VLOOKUP($B28,Parameters!$E$377:$G$501,3,FALSE),0)*(1+Parameters!$G$13)^(Y$8-$G$8)/1000</f>
        <v>2070.308204316922</v>
      </c>
      <c r="Z28" s="527">
        <f>IF(AND(Z$8&gt;=$C$5,Z$8&lt;$C$6),VLOOKUP($B28,Parameters!$E$377:$G$501,3,FALSE),0)*(1+Parameters!$G$13)^(Z$8-$G$8)/1000</f>
        <v>2111.7143684032603</v>
      </c>
      <c r="AA28" s="527">
        <f>IF(AND(AA$8&gt;=$C$5,AA$8&lt;$C$6),VLOOKUP($B28,Parameters!$E$377:$G$501,3,FALSE),0)*(1+Parameters!$G$13)^(AA$8-$G$8)/1000</f>
        <v>2153.9486557713258</v>
      </c>
      <c r="AB28" s="527">
        <f>IF(AND(AB$8&gt;=$C$5,AB$8&lt;$C$6),VLOOKUP($B28,Parameters!$E$377:$G$501,3,FALSE),0)*(1+Parameters!$G$13)^(AB$8-$G$8)/1000</f>
        <v>2197.0276288867522</v>
      </c>
      <c r="AC28" s="527">
        <f>IF(AND(AC$8&gt;=$C$5,AC$8&lt;$C$6),VLOOKUP($B28,Parameters!$E$377:$G$501,3,FALSE),0)*(1+Parameters!$G$13)^(AC$8-$G$8)/1000</f>
        <v>2240.9681814644873</v>
      </c>
      <c r="AD28" s="527">
        <f>IF(AND(AD$8&gt;=$C$5,AD$8&lt;$C$6),VLOOKUP($B28,Parameters!$E$377:$G$501,3,FALSE),0)*(1+Parameters!$G$13)^(AD$8-$G$8)/1000</f>
        <v>2285.7875450937768</v>
      </c>
      <c r="AE28" s="527">
        <f>IF(AND(AE$8&gt;=$C$5,AE$8&lt;$C$6),VLOOKUP($B28,Parameters!$E$377:$G$501,3,FALSE),0)*(1+Parameters!$G$13)^(AE$8-$G$8)/1000</f>
        <v>2331.503295995652</v>
      </c>
      <c r="AF28" s="527">
        <f>IF(AND(AF$8&gt;=$C$5,AF$8&lt;$C$6),VLOOKUP($B28,Parameters!$E$377:$G$501,3,FALSE),0)*(1+Parameters!$G$13)^(AF$8-$G$8)/1000</f>
        <v>2378.1333619155653</v>
      </c>
      <c r="AG28" s="527">
        <f>IF(AND(AG$8&gt;=$C$5,AG$8&lt;$C$6),VLOOKUP($B28,Parameters!$E$377:$G$501,3,FALSE),0)*(1+Parameters!$G$13)^(AG$8-$G$8)/1000</f>
        <v>2425.6960291538771</v>
      </c>
      <c r="AH28" s="527">
        <f>IF(AND(AH$8&gt;=$C$5,AH$8&lt;$C$6),VLOOKUP($B28,Parameters!$E$377:$G$501,3,FALSE),0)*(1+Parameters!$G$13)^(AH$8-$G$8)/1000</f>
        <v>2474.2099497369536</v>
      </c>
      <c r="AI28" s="527">
        <f>IF(AND(AI$8&gt;=$C$5,AI$8&lt;$C$6),VLOOKUP($B28,Parameters!$E$377:$G$501,3,FALSE),0)*(1+Parameters!$G$13)^(AI$8-$G$8)/1000</f>
        <v>2523.6941487316935</v>
      </c>
      <c r="AJ28" s="527">
        <f>IF(AND(AJ$8&gt;=$C$5,AJ$8&lt;$C$6),VLOOKUP($B28,Parameters!$E$377:$G$501,3,FALSE),0)*(1+Parameters!$G$13)^(AJ$8-$G$8)/1000</f>
        <v>2574.1680317063269</v>
      </c>
      <c r="AK28" s="527">
        <f>IF(AND(AK$8&gt;=$C$5,AK$8&lt;$C$6),VLOOKUP($B28,Parameters!$E$377:$G$501,3,FALSE),0)*(1+Parameters!$G$13)^(AK$8-$G$8)/1000</f>
        <v>2625.6513923404536</v>
      </c>
      <c r="AL28" s="527">
        <f>IF(AND(AL$8&gt;=$C$5,AL$8&lt;$C$6),VLOOKUP($B28,Parameters!$E$377:$G$501,3,FALSE),0)*(1+Parameters!$G$13)^(AL$8-$G$8)/1000</f>
        <v>2678.1644201872623</v>
      </c>
      <c r="AM28" s="527">
        <f>IF(AND(AM$8&gt;=$C$5,AM$8&lt;$C$6),VLOOKUP($B28,Parameters!$E$377:$G$501,3,FALSE),0)*(1+Parameters!$G$13)^(AM$8-$G$8)/1000</f>
        <v>0</v>
      </c>
      <c r="AN28" s="527">
        <f>IF(AND(AN$8&gt;=$C$5,AN$8&lt;$C$6),VLOOKUP($B28,Parameters!$E$377:$G$501,3,FALSE),0)*(1+Parameters!$G$13)^(AN$8-$G$8)/1000</f>
        <v>0</v>
      </c>
      <c r="AO28" s="527">
        <f>IF(AND(AO$8&gt;=$C$5,AO$8&lt;$C$6),VLOOKUP($B28,Parameters!$E$377:$G$501,3,FALSE),0)*(1+Parameters!$G$13)^(AO$8-$G$8)/1000</f>
        <v>0</v>
      </c>
      <c r="AP28" s="527">
        <f>IF(AND(AP$8&gt;=$C$5,AP$8&lt;$C$6),VLOOKUP($B28,Parameters!$E$377:$G$501,3,FALSE),0)*(1+Parameters!$G$13)^(AP$8-$G$8)/1000</f>
        <v>0</v>
      </c>
      <c r="AQ28" s="527">
        <f>IF(AND(AQ$8&gt;=$C$5,AQ$8&lt;$C$6),VLOOKUP($B28,Parameters!$E$377:$G$501,3,FALSE),0)*(1+Parameters!$G$13)^(AQ$8-$G$8)/1000</f>
        <v>0</v>
      </c>
      <c r="AR28" s="527">
        <f>IF(AND(AR$8&gt;=$C$5,AR$8&lt;$C$6),VLOOKUP($B28,Parameters!$E$377:$G$501,3,FALSE),0)*(1+Parameters!$G$13)^(AR$8-$G$8)/1000</f>
        <v>0</v>
      </c>
      <c r="AS28" s="527">
        <f>IF(AND(AS$8&gt;=$C$5,AS$8&lt;$C$6),VLOOKUP($B28,Parameters!$E$377:$G$501,3,FALSE),0)*(1+Parameters!$G$13)^(AS$8-$G$8)/1000</f>
        <v>0</v>
      </c>
      <c r="AT28" s="527">
        <f>IF(AND(AT$8&gt;=$C$5,AT$8&lt;$C$6),VLOOKUP($B28,Parameters!$E$377:$G$501,3,FALSE),0)*(1+Parameters!$G$13)^(AT$8-$G$8)/1000</f>
        <v>0</v>
      </c>
      <c r="AU28" s="527">
        <f>IF(AND(AU$8&gt;=$C$5,AU$8&lt;$C$6),VLOOKUP($B28,Parameters!$E$377:$G$501,3,FALSE),0)*(1+Parameters!$G$13)^(AU$8-$G$8)/1000</f>
        <v>0</v>
      </c>
      <c r="AV28" s="527">
        <f>IF(AND(AV$8&gt;=$C$5,AV$8&lt;$C$6),VLOOKUP($B28,Parameters!$E$377:$G$501,3,FALSE),0)*(1+Parameters!$G$13)^(AV$8-$G$8)/1000</f>
        <v>0</v>
      </c>
      <c r="AW28" s="527">
        <f>IF(AND(AW$8&gt;=$C$5,AW$8&lt;$C$6),VLOOKUP($B28,Parameters!$E$377:$G$501,3,FALSE),0)*(1+Parameters!$G$13)^(AW$8-$G$8)/1000</f>
        <v>0</v>
      </c>
      <c r="AX28" s="527">
        <f>IF(AND(AX$8&gt;=$C$5,AX$8&lt;$C$6),VLOOKUP($B28,Parameters!$E$377:$G$501,3,FALSE),0)*(1+Parameters!$G$13)^(AX$8-$G$8)/1000</f>
        <v>0</v>
      </c>
      <c r="AY28" s="527">
        <f>IF(AND(AY$8&gt;=$C$5,AY$8&lt;$C$6),VLOOKUP($B28,Parameters!$E$377:$G$501,3,FALSE),0)*(1+Parameters!$G$13)^(AY$8-$G$8)/1000</f>
        <v>0</v>
      </c>
      <c r="AZ28" s="527">
        <f>IF(AND(AZ$8&gt;=$C$5,AZ$8&lt;$C$6),VLOOKUP($B28,Parameters!$E$377:$G$501,3,FALSE),0)*(1+Parameters!$G$13)^(AZ$8-$G$8)/1000</f>
        <v>0</v>
      </c>
      <c r="BA28" s="527">
        <f>IF(AND(BA$8&gt;=$C$5,BA$8&lt;$C$6),VLOOKUP($B28,Parameters!$E$377:$G$501,3,FALSE),0)*(1+Parameters!$G$13)^(BA$8-$G$8)/1000</f>
        <v>0</v>
      </c>
      <c r="BB28" s="527">
        <f>IF(AND(BB$8&gt;=$C$5,BB$8&lt;$C$6),VLOOKUP($B28,Parameters!$E$377:$G$501,3,FALSE),0)*(1+Parameters!$G$13)^(BB$8-$G$8)/1000</f>
        <v>0</v>
      </c>
    </row>
    <row r="29" spans="1:54" x14ac:dyDescent="0.25">
      <c r="B29" s="478" t="str">
        <f>Parameters!E485</f>
        <v>Opex cable (H2)</v>
      </c>
      <c r="C29" s="511" t="s">
        <v>979</v>
      </c>
      <c r="D29" s="512">
        <f t="shared" si="14"/>
        <v>0</v>
      </c>
      <c r="E29" s="512">
        <f t="shared" si="15"/>
        <v>0</v>
      </c>
      <c r="F29" s="478"/>
      <c r="G29" s="527">
        <f>IF(AND(G$8&gt;=$C$5,G$8&lt;$C$6),VLOOKUP($B29,Parameters!$E$377:$G$501,3,FALSE),0)*(1+Parameters!$G$13)^(G$8-$G$8)/1000</f>
        <v>0</v>
      </c>
      <c r="H29" s="527">
        <f>IF(AND(H$8&gt;=$C$5,H$8&lt;$C$6),VLOOKUP($B29,Parameters!$E$377:$G$501,3,FALSE),0)*(1+Parameters!$G$13)^(H$8-$G$8)/1000</f>
        <v>0</v>
      </c>
      <c r="I29" s="527">
        <f>IF(AND(I$8&gt;=$C$5,I$8&lt;$C$6),VLOOKUP($B29,Parameters!$E$377:$G$501,3,FALSE),0)*(1+Parameters!$G$13)^(I$8-$G$8)/1000</f>
        <v>0</v>
      </c>
      <c r="J29" s="527">
        <f>IF(AND(J$8&gt;=$C$5,J$8&lt;$C$6),VLOOKUP($B29,Parameters!$E$377:$G$501,3,FALSE),0)*(1+Parameters!$G$13)^(J$8-$G$8)/1000</f>
        <v>0</v>
      </c>
      <c r="K29" s="527">
        <f>IF(AND(K$8&gt;=$C$5,K$8&lt;$C$6),VLOOKUP($B29,Parameters!$E$377:$G$501,3,FALSE),0)*(1+Parameters!$G$13)^(K$8-$G$8)/1000</f>
        <v>0</v>
      </c>
      <c r="L29" s="527">
        <f>IF(AND(L$8&gt;=$C$5,L$8&lt;$C$6),VLOOKUP($B29,Parameters!$E$377:$G$501,3,FALSE),0)*(1+Parameters!$G$13)^(L$8-$G$8)/1000</f>
        <v>0</v>
      </c>
      <c r="M29" s="527">
        <f>IF(AND(M$8&gt;=$C$5,M$8&lt;$C$6),VLOOKUP($B29,Parameters!$E$377:$G$501,3,FALSE),0)*(1+Parameters!$G$13)^(M$8-$G$8)/1000</f>
        <v>0</v>
      </c>
      <c r="N29" s="527">
        <f>IF(AND(N$8&gt;=$C$5,N$8&lt;$C$6),VLOOKUP($B29,Parameters!$E$377:$G$501,3,FALSE),0)*(1+Parameters!$G$13)^(N$8-$G$8)/1000</f>
        <v>0</v>
      </c>
      <c r="O29" s="527">
        <f>IF(AND(O$8&gt;=$C$5,O$8&lt;$C$6),VLOOKUP($B29,Parameters!$E$377:$G$501,3,FALSE),0)*(1+Parameters!$G$13)^(O$8-$G$8)/1000</f>
        <v>0</v>
      </c>
      <c r="P29" s="527">
        <f>IF(AND(P$8&gt;=$C$5,P$8&lt;$C$6),VLOOKUP($B29,Parameters!$E$377:$G$501,3,FALSE),0)*(1+Parameters!$G$13)^(P$8-$G$8)/1000</f>
        <v>0</v>
      </c>
      <c r="Q29" s="527">
        <f>IF(AND(Q$8&gt;=$C$5,Q$8&lt;$C$6),VLOOKUP($B29,Parameters!$E$377:$G$501,3,FALSE),0)*(1+Parameters!$G$13)^(Q$8-$G$8)/1000</f>
        <v>0</v>
      </c>
      <c r="R29" s="527">
        <f>IF(AND(R$8&gt;=$C$5,R$8&lt;$C$6),VLOOKUP($B29,Parameters!$E$377:$G$501,3,FALSE),0)*(1+Parameters!$G$13)^(R$8-$G$8)/1000</f>
        <v>0</v>
      </c>
      <c r="S29" s="527">
        <f>IF(AND(S$8&gt;=$C$5,S$8&lt;$C$6),VLOOKUP($B29,Parameters!$E$377:$G$501,3,FALSE),0)*(1+Parameters!$G$13)^(S$8-$G$8)/1000</f>
        <v>0</v>
      </c>
      <c r="T29" s="527">
        <f>IF(AND(T$8&gt;=$C$5,T$8&lt;$C$6),VLOOKUP($B29,Parameters!$E$377:$G$501,3,FALSE),0)*(1+Parameters!$G$13)^(T$8-$G$8)/1000</f>
        <v>0</v>
      </c>
      <c r="U29" s="527">
        <f>IF(AND(U$8&gt;=$C$5,U$8&lt;$C$6),VLOOKUP($B29,Parameters!$E$377:$G$501,3,FALSE),0)*(1+Parameters!$G$13)^(U$8-$G$8)/1000</f>
        <v>0</v>
      </c>
      <c r="V29" s="527">
        <f>IF(AND(V$8&gt;=$C$5,V$8&lt;$C$6),VLOOKUP($B29,Parameters!$E$377:$G$501,3,FALSE),0)*(1+Parameters!$G$13)^(V$8-$G$8)/1000</f>
        <v>0</v>
      </c>
      <c r="W29" s="527">
        <f>IF(AND(W$8&gt;=$C$5,W$8&lt;$C$6),VLOOKUP($B29,Parameters!$E$377:$G$501,3,FALSE),0)*(1+Parameters!$G$13)^(W$8-$G$8)/1000</f>
        <v>0</v>
      </c>
      <c r="X29" s="527">
        <f>IF(AND(X$8&gt;=$C$5,X$8&lt;$C$6),VLOOKUP($B29,Parameters!$E$377:$G$501,3,FALSE),0)*(1+Parameters!$G$13)^(X$8-$G$8)/1000</f>
        <v>0</v>
      </c>
      <c r="Y29" s="527">
        <f>IF(AND(Y$8&gt;=$C$5,Y$8&lt;$C$6),VLOOKUP($B29,Parameters!$E$377:$G$501,3,FALSE),0)*(1+Parameters!$G$13)^(Y$8-$G$8)/1000</f>
        <v>0</v>
      </c>
      <c r="Z29" s="527">
        <f>IF(AND(Z$8&gt;=$C$5,Z$8&lt;$C$6),VLOOKUP($B29,Parameters!$E$377:$G$501,3,FALSE),0)*(1+Parameters!$G$13)^(Z$8-$G$8)/1000</f>
        <v>0</v>
      </c>
      <c r="AA29" s="527">
        <f>IF(AND(AA$8&gt;=$C$5,AA$8&lt;$C$6),VLOOKUP($B29,Parameters!$E$377:$G$501,3,FALSE),0)*(1+Parameters!$G$13)^(AA$8-$G$8)/1000</f>
        <v>0</v>
      </c>
      <c r="AB29" s="527">
        <f>IF(AND(AB$8&gt;=$C$5,AB$8&lt;$C$6),VLOOKUP($B29,Parameters!$E$377:$G$501,3,FALSE),0)*(1+Parameters!$G$13)^(AB$8-$G$8)/1000</f>
        <v>0</v>
      </c>
      <c r="AC29" s="527">
        <f>IF(AND(AC$8&gt;=$C$5,AC$8&lt;$C$6),VLOOKUP($B29,Parameters!$E$377:$G$501,3,FALSE),0)*(1+Parameters!$G$13)^(AC$8-$G$8)/1000</f>
        <v>0</v>
      </c>
      <c r="AD29" s="527">
        <f>IF(AND(AD$8&gt;=$C$5,AD$8&lt;$C$6),VLOOKUP($B29,Parameters!$E$377:$G$501,3,FALSE),0)*(1+Parameters!$G$13)^(AD$8-$G$8)/1000</f>
        <v>0</v>
      </c>
      <c r="AE29" s="527">
        <f>IF(AND(AE$8&gt;=$C$5,AE$8&lt;$C$6),VLOOKUP($B29,Parameters!$E$377:$G$501,3,FALSE),0)*(1+Parameters!$G$13)^(AE$8-$G$8)/1000</f>
        <v>0</v>
      </c>
      <c r="AF29" s="527">
        <f>IF(AND(AF$8&gt;=$C$5,AF$8&lt;$C$6),VLOOKUP($B29,Parameters!$E$377:$G$501,3,FALSE),0)*(1+Parameters!$G$13)^(AF$8-$G$8)/1000</f>
        <v>0</v>
      </c>
      <c r="AG29" s="527">
        <f>IF(AND(AG$8&gt;=$C$5,AG$8&lt;$C$6),VLOOKUP($B29,Parameters!$E$377:$G$501,3,FALSE),0)*(1+Parameters!$G$13)^(AG$8-$G$8)/1000</f>
        <v>0</v>
      </c>
      <c r="AH29" s="527">
        <f>IF(AND(AH$8&gt;=$C$5,AH$8&lt;$C$6),VLOOKUP($B29,Parameters!$E$377:$G$501,3,FALSE),0)*(1+Parameters!$G$13)^(AH$8-$G$8)/1000</f>
        <v>0</v>
      </c>
      <c r="AI29" s="527">
        <f>IF(AND(AI$8&gt;=$C$5,AI$8&lt;$C$6),VLOOKUP($B29,Parameters!$E$377:$G$501,3,FALSE),0)*(1+Parameters!$G$13)^(AI$8-$G$8)/1000</f>
        <v>0</v>
      </c>
      <c r="AJ29" s="527">
        <f>IF(AND(AJ$8&gt;=$C$5,AJ$8&lt;$C$6),VLOOKUP($B29,Parameters!$E$377:$G$501,3,FALSE),0)*(1+Parameters!$G$13)^(AJ$8-$G$8)/1000</f>
        <v>0</v>
      </c>
      <c r="AK29" s="527">
        <f>IF(AND(AK$8&gt;=$C$5,AK$8&lt;$C$6),VLOOKUP($B29,Parameters!$E$377:$G$501,3,FALSE),0)*(1+Parameters!$G$13)^(AK$8-$G$8)/1000</f>
        <v>0</v>
      </c>
      <c r="AL29" s="527">
        <f>IF(AND(AL$8&gt;=$C$5,AL$8&lt;$C$6),VLOOKUP($B29,Parameters!$E$377:$G$501,3,FALSE),0)*(1+Parameters!$G$13)^(AL$8-$G$8)/1000</f>
        <v>0</v>
      </c>
      <c r="AM29" s="527">
        <f>IF(AND(AM$8&gt;=$C$5,AM$8&lt;$C$6),VLOOKUP($B29,Parameters!$E$377:$G$501,3,FALSE),0)*(1+Parameters!$G$13)^(AM$8-$G$8)/1000</f>
        <v>0</v>
      </c>
      <c r="AN29" s="527">
        <f>IF(AND(AN$8&gt;=$C$5,AN$8&lt;$C$6),VLOOKUP($B29,Parameters!$E$377:$G$501,3,FALSE),0)*(1+Parameters!$G$13)^(AN$8-$G$8)/1000</f>
        <v>0</v>
      </c>
      <c r="AO29" s="527">
        <f>IF(AND(AO$8&gt;=$C$5,AO$8&lt;$C$6),VLOOKUP($B29,Parameters!$E$377:$G$501,3,FALSE),0)*(1+Parameters!$G$13)^(AO$8-$G$8)/1000</f>
        <v>0</v>
      </c>
      <c r="AP29" s="527">
        <f>IF(AND(AP$8&gt;=$C$5,AP$8&lt;$C$6),VLOOKUP($B29,Parameters!$E$377:$G$501,3,FALSE),0)*(1+Parameters!$G$13)^(AP$8-$G$8)/1000</f>
        <v>0</v>
      </c>
      <c r="AQ29" s="527">
        <f>IF(AND(AQ$8&gt;=$C$5,AQ$8&lt;$C$6),VLOOKUP($B29,Parameters!$E$377:$G$501,3,FALSE),0)*(1+Parameters!$G$13)^(AQ$8-$G$8)/1000</f>
        <v>0</v>
      </c>
      <c r="AR29" s="527">
        <f>IF(AND(AR$8&gt;=$C$5,AR$8&lt;$C$6),VLOOKUP($B29,Parameters!$E$377:$G$501,3,FALSE),0)*(1+Parameters!$G$13)^(AR$8-$G$8)/1000</f>
        <v>0</v>
      </c>
      <c r="AS29" s="527">
        <f>IF(AND(AS$8&gt;=$C$5,AS$8&lt;$C$6),VLOOKUP($B29,Parameters!$E$377:$G$501,3,FALSE),0)*(1+Parameters!$G$13)^(AS$8-$G$8)/1000</f>
        <v>0</v>
      </c>
      <c r="AT29" s="527">
        <f>IF(AND(AT$8&gt;=$C$5,AT$8&lt;$C$6),VLOOKUP($B29,Parameters!$E$377:$G$501,3,FALSE),0)*(1+Parameters!$G$13)^(AT$8-$G$8)/1000</f>
        <v>0</v>
      </c>
      <c r="AU29" s="527">
        <f>IF(AND(AU$8&gt;=$C$5,AU$8&lt;$C$6),VLOOKUP($B29,Parameters!$E$377:$G$501,3,FALSE),0)*(1+Parameters!$G$13)^(AU$8-$G$8)/1000</f>
        <v>0</v>
      </c>
      <c r="AV29" s="527">
        <f>IF(AND(AV$8&gt;=$C$5,AV$8&lt;$C$6),VLOOKUP($B29,Parameters!$E$377:$G$501,3,FALSE),0)*(1+Parameters!$G$13)^(AV$8-$G$8)/1000</f>
        <v>0</v>
      </c>
      <c r="AW29" s="527">
        <f>IF(AND(AW$8&gt;=$C$5,AW$8&lt;$C$6),VLOOKUP($B29,Parameters!$E$377:$G$501,3,FALSE),0)*(1+Parameters!$G$13)^(AW$8-$G$8)/1000</f>
        <v>0</v>
      </c>
      <c r="AX29" s="527">
        <f>IF(AND(AX$8&gt;=$C$5,AX$8&lt;$C$6),VLOOKUP($B29,Parameters!$E$377:$G$501,3,FALSE),0)*(1+Parameters!$G$13)^(AX$8-$G$8)/1000</f>
        <v>0</v>
      </c>
      <c r="AY29" s="527">
        <f>IF(AND(AY$8&gt;=$C$5,AY$8&lt;$C$6),VLOOKUP($B29,Parameters!$E$377:$G$501,3,FALSE),0)*(1+Parameters!$G$13)^(AY$8-$G$8)/1000</f>
        <v>0</v>
      </c>
      <c r="AZ29" s="527">
        <f>IF(AND(AZ$8&gt;=$C$5,AZ$8&lt;$C$6),VLOOKUP($B29,Parameters!$E$377:$G$501,3,FALSE),0)*(1+Parameters!$G$13)^(AZ$8-$G$8)/1000</f>
        <v>0</v>
      </c>
      <c r="BA29" s="527">
        <f>IF(AND(BA$8&gt;=$C$5,BA$8&lt;$C$6),VLOOKUP($B29,Parameters!$E$377:$G$501,3,FALSE),0)*(1+Parameters!$G$13)^(BA$8-$G$8)/1000</f>
        <v>0</v>
      </c>
      <c r="BB29" s="527">
        <f>IF(AND(BB$8&gt;=$C$5,BB$8&lt;$C$6),VLOOKUP($B29,Parameters!$E$377:$G$501,3,FALSE),0)*(1+Parameters!$G$13)^(BB$8-$G$8)/1000</f>
        <v>0</v>
      </c>
    </row>
    <row r="30" spans="1:54" x14ac:dyDescent="0.25">
      <c r="B30" s="478" t="str">
        <f>Parameters!E488</f>
        <v>Opex platform</v>
      </c>
      <c r="C30" s="511" t="s">
        <v>979</v>
      </c>
      <c r="D30" s="512">
        <f t="shared" si="14"/>
        <v>234506.40626946808</v>
      </c>
      <c r="E30" s="512">
        <f t="shared" si="15"/>
        <v>31152.047510926797</v>
      </c>
      <c r="F30" s="478"/>
      <c r="G30" s="527">
        <f>IF(AND(G$8&gt;=$C$5,G$8&lt;$C$6),VLOOKUP($B30,Parameters!$E$377:$G$501,3,FALSE),0)*(1+Parameters!$G$13)^(G$8-$G$8)/1000</f>
        <v>0</v>
      </c>
      <c r="H30" s="527">
        <f>IF(AND(H$8&gt;=$C$5,H$8&lt;$C$6),VLOOKUP($B30,Parameters!$E$377:$G$501,3,FALSE),0)*(1+Parameters!$G$13)^(H$8-$G$8)/1000</f>
        <v>0</v>
      </c>
      <c r="I30" s="527">
        <f>IF(AND(I$8&gt;=$C$5,I$8&lt;$C$6),VLOOKUP($B30,Parameters!$E$377:$G$501,3,FALSE),0)*(1+Parameters!$G$13)^(I$8-$G$8)/1000</f>
        <v>0</v>
      </c>
      <c r="J30" s="527">
        <f>IF(AND(J$8&gt;=$C$5,J$8&lt;$C$6),VLOOKUP($B30,Parameters!$E$377:$G$501,3,FALSE),0)*(1+Parameters!$G$13)^(J$8-$G$8)/1000</f>
        <v>0</v>
      </c>
      <c r="K30" s="527">
        <f>IF(AND(K$8&gt;=$C$5,K$8&lt;$C$6),VLOOKUP($B30,Parameters!$E$377:$G$501,3,FALSE),0)*(1+Parameters!$G$13)^(K$8-$G$8)/1000</f>
        <v>0</v>
      </c>
      <c r="L30" s="527">
        <f>IF(AND(L$8&gt;=$C$5,L$8&lt;$C$6),VLOOKUP($B30,Parameters!$E$377:$G$501,3,FALSE),0)*(1+Parameters!$G$13)^(L$8-$G$8)/1000</f>
        <v>0</v>
      </c>
      <c r="M30" s="527">
        <f>IF(AND(M$8&gt;=$C$5,M$8&lt;$C$6),VLOOKUP($B30,Parameters!$E$377:$G$501,3,FALSE),0)*(1+Parameters!$G$13)^(M$8-$G$8)/1000</f>
        <v>0</v>
      </c>
      <c r="N30" s="527">
        <f>IF(AND(N$8&gt;=$C$5,N$8&lt;$C$6),VLOOKUP($B30,Parameters!$E$377:$G$501,3,FALSE),0)*(1+Parameters!$G$13)^(N$8-$G$8)/1000</f>
        <v>0</v>
      </c>
      <c r="O30" s="527">
        <f>IF(AND(O$8&gt;=$C$5,O$8&lt;$C$6),VLOOKUP($B30,Parameters!$E$377:$G$501,3,FALSE),0)*(1+Parameters!$G$13)^(O$8-$G$8)/1000</f>
        <v>0</v>
      </c>
      <c r="P30" s="527">
        <f>IF(AND(P$8&gt;=$C$5,P$8&lt;$C$6),VLOOKUP($B30,Parameters!$E$377:$G$501,3,FALSE),0)*(1+Parameters!$G$13)^(P$8-$G$8)/1000</f>
        <v>0</v>
      </c>
      <c r="Q30" s="527">
        <f>IF(AND(Q$8&gt;=$C$5,Q$8&lt;$C$6),VLOOKUP($B30,Parameters!$E$377:$G$501,3,FALSE),0)*(1+Parameters!$G$13)^(Q$8-$G$8)/1000</f>
        <v>0</v>
      </c>
      <c r="R30" s="527">
        <f>IF(AND(R$8&gt;=$C$5,R$8&lt;$C$6),VLOOKUP($B30,Parameters!$E$377:$G$501,3,FALSE),0)*(1+Parameters!$G$13)^(R$8-$G$8)/1000</f>
        <v>0</v>
      </c>
      <c r="S30" s="527">
        <f>IF(AND(S$8&gt;=$C$5,S$8&lt;$C$6),VLOOKUP($B30,Parameters!$E$377:$G$501,3,FALSE),0)*(1+Parameters!$G$13)^(S$8-$G$8)/1000</f>
        <v>0</v>
      </c>
      <c r="T30" s="527">
        <f>IF(AND(T$8&gt;=$C$5,T$8&lt;$C$6),VLOOKUP($B30,Parameters!$E$377:$G$501,3,FALSE),0)*(1+Parameters!$G$13)^(T$8-$G$8)/1000</f>
        <v>10267.104675737659</v>
      </c>
      <c r="U30" s="527">
        <f>IF(AND(U$8&gt;=$C$5,U$8&lt;$C$6),VLOOKUP($B30,Parameters!$E$377:$G$501,3,FALSE),0)*(1+Parameters!$G$13)^(U$8-$G$8)/1000</f>
        <v>10472.446769252414</v>
      </c>
      <c r="V30" s="527">
        <f>IF(AND(V$8&gt;=$C$5,V$8&lt;$C$6),VLOOKUP($B30,Parameters!$E$377:$G$501,3,FALSE),0)*(1+Parameters!$G$13)^(V$8-$G$8)/1000</f>
        <v>10681.895704637458</v>
      </c>
      <c r="W30" s="527">
        <f>IF(AND(W$8&gt;=$C$5,W$8&lt;$C$6),VLOOKUP($B30,Parameters!$E$377:$G$501,3,FALSE),0)*(1+Parameters!$G$13)^(W$8-$G$8)/1000</f>
        <v>10895.533618730209</v>
      </c>
      <c r="X30" s="527">
        <f>IF(AND(X$8&gt;=$C$5,X$8&lt;$C$6),VLOOKUP($B30,Parameters!$E$377:$G$501,3,FALSE),0)*(1+Parameters!$G$13)^(X$8-$G$8)/1000</f>
        <v>11113.444291104814</v>
      </c>
      <c r="Y30" s="527">
        <f>IF(AND(Y$8&gt;=$C$5,Y$8&lt;$C$6),VLOOKUP($B30,Parameters!$E$377:$G$501,3,FALSE),0)*(1+Parameters!$G$13)^(Y$8-$G$8)/1000</f>
        <v>11335.713176926909</v>
      </c>
      <c r="Z30" s="527">
        <f>IF(AND(Z$8&gt;=$C$5,Z$8&lt;$C$6),VLOOKUP($B30,Parameters!$E$377:$G$501,3,FALSE),0)*(1+Parameters!$G$13)^(Z$8-$G$8)/1000</f>
        <v>11562.427440465446</v>
      </c>
      <c r="AA30" s="527">
        <f>IF(AND(AA$8&gt;=$C$5,AA$8&lt;$C$6),VLOOKUP($B30,Parameters!$E$377:$G$501,3,FALSE),0)*(1+Parameters!$G$13)^(AA$8-$G$8)/1000</f>
        <v>11793.675989274758</v>
      </c>
      <c r="AB30" s="527">
        <f>IF(AND(AB$8&gt;=$C$5,AB$8&lt;$C$6),VLOOKUP($B30,Parameters!$E$377:$G$501,3,FALSE),0)*(1+Parameters!$G$13)^(AB$8-$G$8)/1000</f>
        <v>12029.549509060253</v>
      </c>
      <c r="AC30" s="527">
        <f>IF(AND(AC$8&gt;=$C$5,AC$8&lt;$C$6),VLOOKUP($B30,Parameters!$E$377:$G$501,3,FALSE),0)*(1+Parameters!$G$13)^(AC$8-$G$8)/1000</f>
        <v>12270.140499241459</v>
      </c>
      <c r="AD30" s="527">
        <f>IF(AND(AD$8&gt;=$C$5,AD$8&lt;$C$6),VLOOKUP($B30,Parameters!$E$377:$G$501,3,FALSE),0)*(1+Parameters!$G$13)^(AD$8-$G$8)/1000</f>
        <v>12515.543309226285</v>
      </c>
      <c r="AE30" s="527">
        <f>IF(AND(AE$8&gt;=$C$5,AE$8&lt;$C$6),VLOOKUP($B30,Parameters!$E$377:$G$501,3,FALSE),0)*(1+Parameters!$G$13)^(AE$8-$G$8)/1000</f>
        <v>12765.85417541081</v>
      </c>
      <c r="AF30" s="527">
        <f>IF(AND(AF$8&gt;=$C$5,AF$8&lt;$C$6),VLOOKUP($B30,Parameters!$E$377:$G$501,3,FALSE),0)*(1+Parameters!$G$13)^(AF$8-$G$8)/1000</f>
        <v>13021.171258919027</v>
      </c>
      <c r="AG30" s="527">
        <f>IF(AND(AG$8&gt;=$C$5,AG$8&lt;$C$6),VLOOKUP($B30,Parameters!$E$377:$G$501,3,FALSE),0)*(1+Parameters!$G$13)^(AG$8-$G$8)/1000</f>
        <v>13281.594684097408</v>
      </c>
      <c r="AH30" s="527">
        <f>IF(AND(AH$8&gt;=$C$5,AH$8&lt;$C$6),VLOOKUP($B30,Parameters!$E$377:$G$501,3,FALSE),0)*(1+Parameters!$G$13)^(AH$8-$G$8)/1000</f>
        <v>13547.226577779355</v>
      </c>
      <c r="AI30" s="527">
        <f>IF(AND(AI$8&gt;=$C$5,AI$8&lt;$C$6),VLOOKUP($B30,Parameters!$E$377:$G$501,3,FALSE),0)*(1+Parameters!$G$13)^(AI$8-$G$8)/1000</f>
        <v>13818.171109334944</v>
      </c>
      <c r="AJ30" s="527">
        <f>IF(AND(AJ$8&gt;=$C$5,AJ$8&lt;$C$6),VLOOKUP($B30,Parameters!$E$377:$G$501,3,FALSE),0)*(1+Parameters!$G$13)^(AJ$8-$G$8)/1000</f>
        <v>14094.53453152164</v>
      </c>
      <c r="AK30" s="527">
        <f>IF(AND(AK$8&gt;=$C$5,AK$8&lt;$C$6),VLOOKUP($B30,Parameters!$E$377:$G$501,3,FALSE),0)*(1+Parameters!$G$13)^(AK$8-$G$8)/1000</f>
        <v>14376.425222152075</v>
      </c>
      <c r="AL30" s="527">
        <f>IF(AND(AL$8&gt;=$C$5,AL$8&lt;$C$6),VLOOKUP($B30,Parameters!$E$377:$G$501,3,FALSE),0)*(1+Parameters!$G$13)^(AL$8-$G$8)/1000</f>
        <v>14663.953726595113</v>
      </c>
      <c r="AM30" s="527">
        <f>IF(AND(AM$8&gt;=$C$5,AM$8&lt;$C$6),VLOOKUP($B30,Parameters!$E$377:$G$501,3,FALSE),0)*(1+Parameters!$G$13)^(AM$8-$G$8)/1000</f>
        <v>0</v>
      </c>
      <c r="AN30" s="527">
        <f>IF(AND(AN$8&gt;=$C$5,AN$8&lt;$C$6),VLOOKUP($B30,Parameters!$E$377:$G$501,3,FALSE),0)*(1+Parameters!$G$13)^(AN$8-$G$8)/1000</f>
        <v>0</v>
      </c>
      <c r="AO30" s="527">
        <f>IF(AND(AO$8&gt;=$C$5,AO$8&lt;$C$6),VLOOKUP($B30,Parameters!$E$377:$G$501,3,FALSE),0)*(1+Parameters!$G$13)^(AO$8-$G$8)/1000</f>
        <v>0</v>
      </c>
      <c r="AP30" s="527">
        <f>IF(AND(AP$8&gt;=$C$5,AP$8&lt;$C$6),VLOOKUP($B30,Parameters!$E$377:$G$501,3,FALSE),0)*(1+Parameters!$G$13)^(AP$8-$G$8)/1000</f>
        <v>0</v>
      </c>
      <c r="AQ30" s="527">
        <f>IF(AND(AQ$8&gt;=$C$5,AQ$8&lt;$C$6),VLOOKUP($B30,Parameters!$E$377:$G$501,3,FALSE),0)*(1+Parameters!$G$13)^(AQ$8-$G$8)/1000</f>
        <v>0</v>
      </c>
      <c r="AR30" s="527">
        <f>IF(AND(AR$8&gt;=$C$5,AR$8&lt;$C$6),VLOOKUP($B30,Parameters!$E$377:$G$501,3,FALSE),0)*(1+Parameters!$G$13)^(AR$8-$G$8)/1000</f>
        <v>0</v>
      </c>
      <c r="AS30" s="527">
        <f>IF(AND(AS$8&gt;=$C$5,AS$8&lt;$C$6),VLOOKUP($B30,Parameters!$E$377:$G$501,3,FALSE),0)*(1+Parameters!$G$13)^(AS$8-$G$8)/1000</f>
        <v>0</v>
      </c>
      <c r="AT30" s="527">
        <f>IF(AND(AT$8&gt;=$C$5,AT$8&lt;$C$6),VLOOKUP($B30,Parameters!$E$377:$G$501,3,FALSE),0)*(1+Parameters!$G$13)^(AT$8-$G$8)/1000</f>
        <v>0</v>
      </c>
      <c r="AU30" s="527">
        <f>IF(AND(AU$8&gt;=$C$5,AU$8&lt;$C$6),VLOOKUP($B30,Parameters!$E$377:$G$501,3,FALSE),0)*(1+Parameters!$G$13)^(AU$8-$G$8)/1000</f>
        <v>0</v>
      </c>
      <c r="AV30" s="527">
        <f>IF(AND(AV$8&gt;=$C$5,AV$8&lt;$C$6),VLOOKUP($B30,Parameters!$E$377:$G$501,3,FALSE),0)*(1+Parameters!$G$13)^(AV$8-$G$8)/1000</f>
        <v>0</v>
      </c>
      <c r="AW30" s="527">
        <f>IF(AND(AW$8&gt;=$C$5,AW$8&lt;$C$6),VLOOKUP($B30,Parameters!$E$377:$G$501,3,FALSE),0)*(1+Parameters!$G$13)^(AW$8-$G$8)/1000</f>
        <v>0</v>
      </c>
      <c r="AX30" s="527">
        <f>IF(AND(AX$8&gt;=$C$5,AX$8&lt;$C$6),VLOOKUP($B30,Parameters!$E$377:$G$501,3,FALSE),0)*(1+Parameters!$G$13)^(AX$8-$G$8)/1000</f>
        <v>0</v>
      </c>
      <c r="AY30" s="527">
        <f>IF(AND(AY$8&gt;=$C$5,AY$8&lt;$C$6),VLOOKUP($B30,Parameters!$E$377:$G$501,3,FALSE),0)*(1+Parameters!$G$13)^(AY$8-$G$8)/1000</f>
        <v>0</v>
      </c>
      <c r="AZ30" s="527">
        <f>IF(AND(AZ$8&gt;=$C$5,AZ$8&lt;$C$6),VLOOKUP($B30,Parameters!$E$377:$G$501,3,FALSE),0)*(1+Parameters!$G$13)^(AZ$8-$G$8)/1000</f>
        <v>0</v>
      </c>
      <c r="BA30" s="527">
        <f>IF(AND(BA$8&gt;=$C$5,BA$8&lt;$C$6),VLOOKUP($B30,Parameters!$E$377:$G$501,3,FALSE),0)*(1+Parameters!$G$13)^(BA$8-$G$8)/1000</f>
        <v>0</v>
      </c>
      <c r="BB30" s="527">
        <f>IF(AND(BB$8&gt;=$C$5,BB$8&lt;$C$6),VLOOKUP($B30,Parameters!$E$377:$G$501,3,FALSE),0)*(1+Parameters!$G$13)^(BB$8-$G$8)/1000</f>
        <v>0</v>
      </c>
    </row>
    <row r="31" spans="1:54" x14ac:dyDescent="0.25">
      <c r="B31" s="440"/>
      <c r="C31" s="440"/>
      <c r="D31" s="514"/>
      <c r="E31" s="514"/>
      <c r="F31" s="440"/>
      <c r="G31" s="515"/>
      <c r="H31" s="515"/>
      <c r="I31" s="515"/>
      <c r="J31" s="515"/>
      <c r="K31" s="515"/>
      <c r="L31" s="515"/>
      <c r="M31" s="515"/>
      <c r="N31" s="515"/>
      <c r="O31" s="515"/>
      <c r="P31" s="515"/>
      <c r="Q31" s="515"/>
      <c r="R31" s="515"/>
      <c r="S31" s="515"/>
      <c r="T31" s="515"/>
      <c r="U31" s="515"/>
      <c r="V31" s="515"/>
      <c r="W31" s="515"/>
      <c r="X31" s="515"/>
      <c r="Y31" s="515"/>
      <c r="Z31" s="515"/>
      <c r="AA31" s="515"/>
      <c r="AB31" s="515"/>
      <c r="AC31" s="515"/>
      <c r="AD31" s="515"/>
      <c r="AE31" s="515"/>
      <c r="AF31" s="515"/>
      <c r="AG31" s="515"/>
      <c r="AH31" s="515"/>
      <c r="AI31" s="515"/>
      <c r="AJ31" s="515"/>
      <c r="AK31" s="515"/>
      <c r="AL31" s="515"/>
      <c r="AM31" s="515"/>
      <c r="AN31" s="515"/>
      <c r="AO31" s="515"/>
      <c r="AP31" s="515"/>
      <c r="AQ31" s="515"/>
      <c r="AR31" s="515"/>
      <c r="AS31" s="515"/>
      <c r="AT31" s="515"/>
      <c r="AU31" s="515"/>
      <c r="AV31" s="515"/>
      <c r="AW31" s="515"/>
      <c r="AX31" s="515"/>
      <c r="AY31" s="515"/>
      <c r="AZ31" s="515"/>
      <c r="BA31" s="515"/>
      <c r="BB31" s="515"/>
    </row>
    <row r="32" spans="1:54" x14ac:dyDescent="0.25">
      <c r="B32" s="309" t="s">
        <v>983</v>
      </c>
      <c r="C32" s="309" t="s">
        <v>979</v>
      </c>
      <c r="D32" s="505">
        <f>SUM(G32:BB32)</f>
        <v>442828.84366893937</v>
      </c>
      <c r="E32" s="505">
        <f>G32+NPV($C$43,H32:BB32)</f>
        <v>58825.792423478197</v>
      </c>
      <c r="F32" s="309"/>
      <c r="G32" s="506">
        <f t="shared" ref="G32:AL32" si="16">SUM(G33:G36)</f>
        <v>0</v>
      </c>
      <c r="H32" s="506">
        <f t="shared" si="16"/>
        <v>0</v>
      </c>
      <c r="I32" s="506">
        <f t="shared" si="16"/>
        <v>0</v>
      </c>
      <c r="J32" s="506">
        <f t="shared" si="16"/>
        <v>0</v>
      </c>
      <c r="K32" s="506">
        <f t="shared" si="16"/>
        <v>0</v>
      </c>
      <c r="L32" s="506">
        <f t="shared" si="16"/>
        <v>0</v>
      </c>
      <c r="M32" s="506">
        <f t="shared" si="16"/>
        <v>0</v>
      </c>
      <c r="N32" s="506">
        <f t="shared" si="16"/>
        <v>0</v>
      </c>
      <c r="O32" s="506">
        <f t="shared" si="16"/>
        <v>0</v>
      </c>
      <c r="P32" s="506">
        <f t="shared" si="16"/>
        <v>0</v>
      </c>
      <c r="Q32" s="506">
        <f t="shared" si="16"/>
        <v>0</v>
      </c>
      <c r="R32" s="506">
        <f t="shared" si="16"/>
        <v>0</v>
      </c>
      <c r="S32" s="506">
        <f t="shared" si="16"/>
        <v>0</v>
      </c>
      <c r="T32" s="506">
        <f t="shared" si="16"/>
        <v>19387.828945536217</v>
      </c>
      <c r="U32" s="506">
        <f t="shared" si="16"/>
        <v>19775.585524446942</v>
      </c>
      <c r="V32" s="506">
        <f t="shared" si="16"/>
        <v>20171.097234935874</v>
      </c>
      <c r="W32" s="506">
        <f t="shared" si="16"/>
        <v>20574.519179634597</v>
      </c>
      <c r="X32" s="506">
        <f t="shared" si="16"/>
        <v>20986.009563227293</v>
      </c>
      <c r="Y32" s="506">
        <f t="shared" si="16"/>
        <v>21405.729754491837</v>
      </c>
      <c r="Z32" s="506">
        <f t="shared" si="16"/>
        <v>21833.844349581668</v>
      </c>
      <c r="AA32" s="506">
        <f t="shared" si="16"/>
        <v>22270.521236573306</v>
      </c>
      <c r="AB32" s="506">
        <f t="shared" si="16"/>
        <v>22715.93166130477</v>
      </c>
      <c r="AC32" s="506">
        <f t="shared" si="16"/>
        <v>23170.25029453087</v>
      </c>
      <c r="AD32" s="506">
        <f t="shared" si="16"/>
        <v>23633.65530042148</v>
      </c>
      <c r="AE32" s="506">
        <f t="shared" si="16"/>
        <v>24106.328406429911</v>
      </c>
      <c r="AF32" s="506">
        <f t="shared" si="16"/>
        <v>24588.45497455851</v>
      </c>
      <c r="AG32" s="506">
        <f t="shared" si="16"/>
        <v>25080.224074049682</v>
      </c>
      <c r="AH32" s="506">
        <f t="shared" si="16"/>
        <v>25581.828555530672</v>
      </c>
      <c r="AI32" s="506">
        <f t="shared" si="16"/>
        <v>26093.465126641291</v>
      </c>
      <c r="AJ32" s="506">
        <f t="shared" si="16"/>
        <v>26615.334429174112</v>
      </c>
      <c r="AK32" s="506">
        <f t="shared" si="16"/>
        <v>27147.641117757597</v>
      </c>
      <c r="AL32" s="506">
        <f t="shared" si="16"/>
        <v>27690.593940112743</v>
      </c>
      <c r="AM32" s="506">
        <f t="shared" ref="AM32" si="17">SUM(AM33:AM36)</f>
        <v>0</v>
      </c>
      <c r="AN32" s="506">
        <f t="shared" ref="AN32:BB32" si="18">SUM(AN33:AN36)</f>
        <v>0</v>
      </c>
      <c r="AO32" s="506">
        <f t="shared" si="18"/>
        <v>0</v>
      </c>
      <c r="AP32" s="506">
        <f t="shared" si="18"/>
        <v>0</v>
      </c>
      <c r="AQ32" s="506">
        <f t="shared" si="18"/>
        <v>0</v>
      </c>
      <c r="AR32" s="506">
        <f t="shared" si="18"/>
        <v>0</v>
      </c>
      <c r="AS32" s="506">
        <f t="shared" si="18"/>
        <v>0</v>
      </c>
      <c r="AT32" s="506">
        <f t="shared" si="18"/>
        <v>0</v>
      </c>
      <c r="AU32" s="506">
        <f t="shared" si="18"/>
        <v>0</v>
      </c>
      <c r="AV32" s="506">
        <f t="shared" si="18"/>
        <v>0</v>
      </c>
      <c r="AW32" s="506">
        <f t="shared" si="18"/>
        <v>0</v>
      </c>
      <c r="AX32" s="506">
        <f t="shared" si="18"/>
        <v>0</v>
      </c>
      <c r="AY32" s="506">
        <f t="shared" si="18"/>
        <v>0</v>
      </c>
      <c r="AZ32" s="506">
        <f t="shared" si="18"/>
        <v>0</v>
      </c>
      <c r="BA32" s="506">
        <f t="shared" si="18"/>
        <v>0</v>
      </c>
      <c r="BB32" s="506">
        <f t="shared" si="18"/>
        <v>0</v>
      </c>
    </row>
    <row r="33" spans="2:64" x14ac:dyDescent="0.25">
      <c r="B33" s="743" t="str">
        <f>Parameters!E390</f>
        <v>H2 processing revenue</v>
      </c>
      <c r="C33" s="508" t="s">
        <v>979</v>
      </c>
      <c r="D33" s="509">
        <f t="shared" ref="D33" si="19">SUM(G33:BB33)</f>
        <v>442828.84366893937</v>
      </c>
      <c r="E33" s="509">
        <f t="shared" ref="E33" si="20">G33+NPV($C$43,H33:BB33)</f>
        <v>58825.792423478197</v>
      </c>
      <c r="F33" s="507"/>
      <c r="G33" s="510">
        <f>IF(AND(G$8&gt;=$C$5,G$8&lt;$C$6),VLOOKUP($B33,Parameters!$E$377:$G$501,3,FALSE),0)*Parameters!$G$14/8760*(1+Parameters!$G$13)^(G$8-$G$8)/1000</f>
        <v>0</v>
      </c>
      <c r="H33" s="510">
        <f>IF(AND(H$8&gt;=$C$5,H$8&lt;$C$6),VLOOKUP($B33,Parameters!$E$377:$G$501,3,FALSE),0)*Parameters!$G$14/8760*(1+Parameters!$G$13)^(H$8-$G$8)/1000</f>
        <v>0</v>
      </c>
      <c r="I33" s="510">
        <f>IF(AND(I$8&gt;=$C$5,I$8&lt;$C$6),VLOOKUP($B33,Parameters!$E$377:$G$501,3,FALSE),0)*Parameters!$G$14/8760*(1+Parameters!$G$13)^(I$8-$G$8)/1000</f>
        <v>0</v>
      </c>
      <c r="J33" s="510">
        <f>IF(AND(J$8&gt;=$C$5,J$8&lt;$C$6),VLOOKUP($B33,Parameters!$E$377:$G$501,3,FALSE),0)*Parameters!$G$14/8760*(1+Parameters!$G$13)^(J$8-$G$8)/1000</f>
        <v>0</v>
      </c>
      <c r="K33" s="510">
        <f>IF(AND(K$8&gt;=$C$5,K$8&lt;$C$6),VLOOKUP($B33,Parameters!$E$377:$G$501,3,FALSE),0)*Parameters!$G$14/8760*(1+Parameters!$G$13)^(K$8-$G$8)/1000</f>
        <v>0</v>
      </c>
      <c r="L33" s="510">
        <f>IF(AND(L$8&gt;=$C$5,L$8&lt;$C$6),VLOOKUP($B33,Parameters!$E$377:$G$501,3,FALSE),0)*Parameters!$G$14/8760*(1+Parameters!$G$13)^(L$8-$G$8)/1000</f>
        <v>0</v>
      </c>
      <c r="M33" s="510">
        <f>IF(AND(M$8&gt;=$C$5,M$8&lt;$C$6),VLOOKUP($B33,Parameters!$E$377:$G$501,3,FALSE),0)*Parameters!$G$14/8760*(1+Parameters!$G$13)^(M$8-$G$8)/1000</f>
        <v>0</v>
      </c>
      <c r="N33" s="510">
        <f>IF(AND(N$8&gt;=$C$5,N$8&lt;$C$6),VLOOKUP($B33,Parameters!$E$377:$G$501,3,FALSE),0)*Parameters!$G$14/8760*(1+Parameters!$G$13)^(N$8-$G$8)/1000</f>
        <v>0</v>
      </c>
      <c r="O33" s="510">
        <f>IF(AND(O$8&gt;=$C$5,O$8&lt;$C$6),VLOOKUP($B33,Parameters!$E$377:$G$501,3,FALSE),0)*Parameters!$G$14/8760*(1+Parameters!$G$13)^(O$8-$G$8)/1000</f>
        <v>0</v>
      </c>
      <c r="P33" s="510">
        <f>IF(AND(P$8&gt;=$C$5,P$8&lt;$C$6),VLOOKUP($B33,Parameters!$E$377:$G$501,3,FALSE),0)*Parameters!$G$14/8760*(1+Parameters!$G$13)^(P$8-$G$8)/1000</f>
        <v>0</v>
      </c>
      <c r="Q33" s="510">
        <f>IF(AND(Q$8&gt;=$C$5,Q$8&lt;$C$6),VLOOKUP($B33,Parameters!$E$377:$G$501,3,FALSE),0)*Parameters!$G$14/8760*(1+Parameters!$G$13)^(Q$8-$G$8)/1000</f>
        <v>0</v>
      </c>
      <c r="R33" s="510">
        <f>IF(AND(R$8&gt;=$C$5,R$8&lt;$C$6),VLOOKUP($B33,Parameters!$E$377:$G$501,3,FALSE),0)*Parameters!$G$14/8760*(1+Parameters!$G$13)^(R$8-$G$8)/1000</f>
        <v>0</v>
      </c>
      <c r="S33" s="510">
        <f>IF(AND(S$8&gt;=$C$5,S$8&lt;$C$6),VLOOKUP($B33,Parameters!$E$377:$G$501,3,FALSE),0)*Parameters!$G$14/8760*(1+Parameters!$G$13)^(S$8-$G$8)/1000</f>
        <v>0</v>
      </c>
      <c r="T33" s="510">
        <f>IF(AND(T$8&gt;=$C$5,T$8&lt;$C$6),VLOOKUP($B33,Parameters!$E$377:$G$501,3,FALSE),0)*Parameters!$G$14/8760*(1+Parameters!$G$13)^(T$8-$G$8)/1000</f>
        <v>19387.828945536217</v>
      </c>
      <c r="U33" s="510">
        <f>IF(AND(U$8&gt;=$C$5,U$8&lt;$C$6),VLOOKUP($B33,Parameters!$E$377:$G$501,3,FALSE),0)*Parameters!$G$14/8760*(1+Parameters!$G$13)^(U$8-$G$8)/1000</f>
        <v>19775.585524446942</v>
      </c>
      <c r="V33" s="510">
        <f>IF(AND(V$8&gt;=$C$5,V$8&lt;$C$6),VLOOKUP($B33,Parameters!$E$377:$G$501,3,FALSE),0)*Parameters!$G$14/8760*(1+Parameters!$G$13)^(V$8-$G$8)/1000</f>
        <v>20171.097234935874</v>
      </c>
      <c r="W33" s="510">
        <f>IF(AND(W$8&gt;=$C$5,W$8&lt;$C$6),VLOOKUP($B33,Parameters!$E$377:$G$501,3,FALSE),0)*Parameters!$G$14/8760*(1+Parameters!$G$13)^(W$8-$G$8)/1000</f>
        <v>20574.519179634597</v>
      </c>
      <c r="X33" s="510">
        <f>IF(AND(X$8&gt;=$C$5,X$8&lt;$C$6),VLOOKUP($B33,Parameters!$E$377:$G$501,3,FALSE),0)*Parameters!$G$14/8760*(1+Parameters!$G$13)^(X$8-$G$8)/1000</f>
        <v>20986.009563227293</v>
      </c>
      <c r="Y33" s="510">
        <f>IF(AND(Y$8&gt;=$C$5,Y$8&lt;$C$6),VLOOKUP($B33,Parameters!$E$377:$G$501,3,FALSE),0)*Parameters!$G$14/8760*(1+Parameters!$G$13)^(Y$8-$G$8)/1000</f>
        <v>21405.729754491837</v>
      </c>
      <c r="Z33" s="510">
        <f>IF(AND(Z$8&gt;=$C$5,Z$8&lt;$C$6),VLOOKUP($B33,Parameters!$E$377:$G$501,3,FALSE),0)*Parameters!$G$14/8760*(1+Parameters!$G$13)^(Z$8-$G$8)/1000</f>
        <v>21833.844349581668</v>
      </c>
      <c r="AA33" s="510">
        <f>IF(AND(AA$8&gt;=$C$5,AA$8&lt;$C$6),VLOOKUP($B33,Parameters!$E$377:$G$501,3,FALSE),0)*Parameters!$G$14/8760*(1+Parameters!$G$13)^(AA$8-$G$8)/1000</f>
        <v>22270.521236573306</v>
      </c>
      <c r="AB33" s="510">
        <f>IF(AND(AB$8&gt;=$C$5,AB$8&lt;$C$6),VLOOKUP($B33,Parameters!$E$377:$G$501,3,FALSE),0)*Parameters!$G$14/8760*(1+Parameters!$G$13)^(AB$8-$G$8)/1000</f>
        <v>22715.93166130477</v>
      </c>
      <c r="AC33" s="510">
        <f>IF(AND(AC$8&gt;=$C$5,AC$8&lt;$C$6),VLOOKUP($B33,Parameters!$E$377:$G$501,3,FALSE),0)*Parameters!$G$14/8760*(1+Parameters!$G$13)^(AC$8-$G$8)/1000</f>
        <v>23170.25029453087</v>
      </c>
      <c r="AD33" s="510">
        <f>IF(AND(AD$8&gt;=$C$5,AD$8&lt;$C$6),VLOOKUP($B33,Parameters!$E$377:$G$501,3,FALSE),0)*Parameters!$G$14/8760*(1+Parameters!$G$13)^(AD$8-$G$8)/1000</f>
        <v>23633.65530042148</v>
      </c>
      <c r="AE33" s="510">
        <f>IF(AND(AE$8&gt;=$C$5,AE$8&lt;$C$6),VLOOKUP($B33,Parameters!$E$377:$G$501,3,FALSE),0)*Parameters!$G$14/8760*(1+Parameters!$G$13)^(AE$8-$G$8)/1000</f>
        <v>24106.328406429911</v>
      </c>
      <c r="AF33" s="510">
        <f>IF(AND(AF$8&gt;=$C$5,AF$8&lt;$C$6),VLOOKUP($B33,Parameters!$E$377:$G$501,3,FALSE),0)*Parameters!$G$14/8760*(1+Parameters!$G$13)^(AF$8-$G$8)/1000</f>
        <v>24588.45497455851</v>
      </c>
      <c r="AG33" s="510">
        <f>IF(AND(AG$8&gt;=$C$5,AG$8&lt;$C$6),VLOOKUP($B33,Parameters!$E$377:$G$501,3,FALSE),0)*Parameters!$G$14/8760*(1+Parameters!$G$13)^(AG$8-$G$8)/1000</f>
        <v>25080.224074049682</v>
      </c>
      <c r="AH33" s="510">
        <f>IF(AND(AH$8&gt;=$C$5,AH$8&lt;$C$6),VLOOKUP($B33,Parameters!$E$377:$G$501,3,FALSE),0)*Parameters!$G$14/8760*(1+Parameters!$G$13)^(AH$8-$G$8)/1000</f>
        <v>25581.828555530672</v>
      </c>
      <c r="AI33" s="510">
        <f>IF(AND(AI$8&gt;=$C$5,AI$8&lt;$C$6),VLOOKUP($B33,Parameters!$E$377:$G$501,3,FALSE),0)*Parameters!$G$14/8760*(1+Parameters!$G$13)^(AI$8-$G$8)/1000</f>
        <v>26093.465126641291</v>
      </c>
      <c r="AJ33" s="510">
        <f>IF(AND(AJ$8&gt;=$C$5,AJ$8&lt;$C$6),VLOOKUP($B33,Parameters!$E$377:$G$501,3,FALSE),0)*Parameters!$G$14/8760*(1+Parameters!$G$13)^(AJ$8-$G$8)/1000</f>
        <v>26615.334429174112</v>
      </c>
      <c r="AK33" s="510">
        <f>IF(AND(AK$8&gt;=$C$5,AK$8&lt;$C$6),VLOOKUP($B33,Parameters!$E$377:$G$501,3,FALSE),0)*Parameters!$G$14/8760*(1+Parameters!$G$13)^(AK$8-$G$8)/1000</f>
        <v>27147.641117757597</v>
      </c>
      <c r="AL33" s="510">
        <f>IF(AND(AL$8&gt;=$C$5,AL$8&lt;$C$6),VLOOKUP($B33,Parameters!$E$377:$G$501,3,FALSE),0)*Parameters!$G$14/8760*(1+Parameters!$G$13)^(AL$8-$G$8)/1000</f>
        <v>27690.593940112743</v>
      </c>
      <c r="AM33" s="510">
        <f>IF(AND(AM$8&gt;=$C$5,AM$8&lt;$C$6),VLOOKUP($B33,Parameters!$E$377:$G$501,3,FALSE),0)*Parameters!$G$14/8760*(1+Parameters!$G$13)^(AM$8-$G$8)/1000</f>
        <v>0</v>
      </c>
      <c r="AN33" s="510">
        <f>IF(AND(AN$8&gt;=$C$5,AN$8&lt;$C$6),VLOOKUP($B33,Parameters!$E$377:$G$501,3,FALSE),0)*Parameters!$G$14/8760*(1+Parameters!$G$13)^(AN$8-$G$8)/1000</f>
        <v>0</v>
      </c>
      <c r="AO33" s="510">
        <f>IF(AND(AO$8&gt;=$C$5,AO$8&lt;$C$6),VLOOKUP($B33,Parameters!$E$377:$G$501,3,FALSE),0)*Parameters!$G$14/8760*(1+Parameters!$G$13)^(AO$8-$G$8)/1000</f>
        <v>0</v>
      </c>
      <c r="AP33" s="510">
        <f>IF(AND(AP$8&gt;=$C$5,AP$8&lt;$C$6),VLOOKUP($B33,Parameters!$E$377:$G$501,3,FALSE),0)*Parameters!$G$14/8760*(1+Parameters!$G$13)^(AP$8-$G$8)/1000</f>
        <v>0</v>
      </c>
      <c r="AQ33" s="510">
        <f>IF(AND(AQ$8&gt;=$C$5,AQ$8&lt;$C$6),VLOOKUP($B33,Parameters!$E$377:$G$501,3,FALSE),0)*Parameters!$G$14/8760*(1+Parameters!$G$13)^(AQ$8-$G$8)/1000</f>
        <v>0</v>
      </c>
      <c r="AR33" s="510">
        <f>IF(AND(AR$8&gt;=$C$5,AR$8&lt;$C$6),VLOOKUP($B33,Parameters!$E$377:$G$501,3,FALSE),0)*Parameters!$G$14/8760*(1+Parameters!$G$13)^(AR$8-$G$8)/1000</f>
        <v>0</v>
      </c>
      <c r="AS33" s="510">
        <f>IF(AND(AS$8&gt;=$C$5,AS$8&lt;$C$6),VLOOKUP($B33,Parameters!$E$377:$G$501,3,FALSE),0)*Parameters!$G$14/8760*(1+Parameters!$G$13)^(AS$8-$G$8)/1000</f>
        <v>0</v>
      </c>
      <c r="AT33" s="510">
        <f>IF(AND(AT$8&gt;=$C$5,AT$8&lt;$C$6),VLOOKUP($B33,Parameters!$E$377:$G$501,3,FALSE),0)*Parameters!$G$14/8760*(1+Parameters!$G$13)^(AT$8-$G$8)/1000</f>
        <v>0</v>
      </c>
      <c r="AU33" s="510">
        <f>IF(AND(AU$8&gt;=$C$5,AU$8&lt;$C$6),VLOOKUP($B33,Parameters!$E$377:$G$501,3,FALSE),0)*Parameters!$G$14/8760*(1+Parameters!$G$13)^(AU$8-$G$8)/1000</f>
        <v>0</v>
      </c>
      <c r="AV33" s="510">
        <f>IF(AND(AV$8&gt;=$C$5,AV$8&lt;$C$6),VLOOKUP($B33,Parameters!$E$377:$G$501,3,FALSE),0)*Parameters!$G$14/8760*(1+Parameters!$G$13)^(AV$8-$G$8)/1000</f>
        <v>0</v>
      </c>
      <c r="AW33" s="510">
        <f>IF(AND(AW$8&gt;=$C$5,AW$8&lt;$C$6),VLOOKUP($B33,Parameters!$E$377:$G$501,3,FALSE),0)*Parameters!$G$14/8760*(1+Parameters!$G$13)^(AW$8-$G$8)/1000</f>
        <v>0</v>
      </c>
      <c r="AX33" s="510">
        <f>IF(AND(AX$8&gt;=$C$5,AX$8&lt;$C$6),VLOOKUP($B33,Parameters!$E$377:$G$501,3,FALSE),0)*Parameters!$G$14/8760*(1+Parameters!$G$13)^(AX$8-$G$8)/1000</f>
        <v>0</v>
      </c>
      <c r="AY33" s="510">
        <f>IF(AND(AY$8&gt;=$C$5,AY$8&lt;$C$6),VLOOKUP($B33,Parameters!$E$377:$G$501,3,FALSE),0)*Parameters!$G$14/8760*(1+Parameters!$G$13)^(AY$8-$G$8)/1000</f>
        <v>0</v>
      </c>
      <c r="AZ33" s="510">
        <f>IF(AND(AZ$8&gt;=$C$5,AZ$8&lt;$C$6),VLOOKUP($B33,Parameters!$E$377:$G$501,3,FALSE),0)*Parameters!$G$14/8760*(1+Parameters!$G$13)^(AZ$8-$G$8)/1000</f>
        <v>0</v>
      </c>
      <c r="BA33" s="510">
        <f>IF(AND(BA$8&gt;=$C$5,BA$8&lt;$C$6),VLOOKUP($B33,Parameters!$E$377:$G$501,3,FALSE),0)*Parameters!$G$14/8760*(1+Parameters!$G$13)^(BA$8-$G$8)/1000</f>
        <v>0</v>
      </c>
      <c r="BB33" s="510">
        <f>IF(AND(BB$8&gt;=$C$5,BB$8&lt;$C$6),VLOOKUP($B33,Parameters!$E$377:$G$501,3,FALSE),0)*Parameters!$G$14/8760*(1+Parameters!$G$13)^(BB$8-$G$8)/1000</f>
        <v>0</v>
      </c>
      <c r="BL33" s="165"/>
    </row>
    <row r="34" spans="2:64" x14ac:dyDescent="0.25">
      <c r="B34" s="739"/>
      <c r="C34" s="511"/>
      <c r="D34" s="512"/>
      <c r="E34" s="512"/>
      <c r="F34" s="478"/>
      <c r="G34" s="527"/>
      <c r="H34" s="527"/>
      <c r="I34" s="527"/>
      <c r="J34" s="527"/>
      <c r="K34" s="527"/>
      <c r="L34" s="527"/>
      <c r="M34" s="527"/>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7"/>
      <c r="AK34" s="527"/>
      <c r="AL34" s="527"/>
      <c r="AM34" s="527"/>
      <c r="AN34" s="527"/>
      <c r="AO34" s="527"/>
      <c r="AP34" s="527"/>
      <c r="AQ34" s="527"/>
      <c r="AR34" s="527"/>
      <c r="AS34" s="527"/>
      <c r="AT34" s="527"/>
      <c r="AU34" s="527"/>
      <c r="AV34" s="527"/>
      <c r="AW34" s="527"/>
      <c r="AX34" s="527"/>
      <c r="AY34" s="527"/>
      <c r="AZ34" s="527"/>
      <c r="BA34" s="527"/>
      <c r="BB34" s="527"/>
      <c r="BL34" s="165"/>
    </row>
    <row r="35" spans="2:64" x14ac:dyDescent="0.25">
      <c r="B35" s="478"/>
      <c r="C35" s="511"/>
      <c r="D35" s="512"/>
      <c r="E35" s="512"/>
      <c r="F35" s="478"/>
      <c r="G35" s="513"/>
      <c r="H35" s="513"/>
      <c r="I35" s="513"/>
      <c r="J35" s="513"/>
      <c r="K35" s="513"/>
      <c r="L35" s="513"/>
      <c r="M35" s="513"/>
      <c r="N35" s="513"/>
      <c r="O35" s="513"/>
      <c r="P35" s="513"/>
      <c r="Q35" s="513"/>
      <c r="R35" s="513"/>
      <c r="S35" s="513"/>
      <c r="T35" s="513"/>
      <c r="U35" s="513"/>
      <c r="V35" s="513"/>
      <c r="W35" s="513"/>
      <c r="X35" s="513"/>
      <c r="Y35" s="513"/>
      <c r="Z35" s="513"/>
      <c r="AA35" s="513"/>
      <c r="AB35" s="513"/>
      <c r="AC35" s="513"/>
      <c r="AD35" s="513"/>
      <c r="AE35" s="513"/>
      <c r="AF35" s="513"/>
      <c r="AG35" s="513"/>
      <c r="AH35" s="513"/>
      <c r="AI35" s="513"/>
      <c r="AJ35" s="513"/>
      <c r="AK35" s="513"/>
      <c r="AL35" s="513"/>
      <c r="AM35" s="513"/>
      <c r="AN35" s="513"/>
      <c r="AO35" s="513"/>
      <c r="AP35" s="513"/>
      <c r="AQ35" s="513"/>
      <c r="AR35" s="513"/>
      <c r="AS35" s="513"/>
      <c r="AT35" s="513"/>
      <c r="AU35" s="513"/>
      <c r="AV35" s="513"/>
      <c r="AW35" s="513"/>
      <c r="AX35" s="513"/>
      <c r="AY35" s="513"/>
      <c r="AZ35" s="513"/>
      <c r="BA35" s="513"/>
      <c r="BB35" s="513"/>
      <c r="BL35" s="165"/>
    </row>
    <row r="36" spans="2:64" x14ac:dyDescent="0.25">
      <c r="D36" s="516"/>
      <c r="E36" s="516">
        <f>G36+NPV($C$43,H36:AU36)</f>
        <v>0</v>
      </c>
      <c r="G36" s="517"/>
      <c r="H36" s="517"/>
      <c r="I36" s="517"/>
      <c r="J36" s="517"/>
      <c r="K36" s="517"/>
      <c r="L36" s="517"/>
      <c r="M36" s="517"/>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7"/>
      <c r="AK36" s="517"/>
      <c r="AL36" s="517"/>
      <c r="AM36" s="517"/>
      <c r="AN36" s="517"/>
      <c r="AO36" s="517"/>
      <c r="AP36" s="517"/>
      <c r="AQ36" s="517"/>
      <c r="AR36" s="517"/>
      <c r="AS36" s="517"/>
      <c r="AT36" s="517"/>
      <c r="AU36" s="517"/>
      <c r="AV36" s="517"/>
      <c r="AW36" s="517"/>
      <c r="AX36" s="517"/>
      <c r="AY36" s="517"/>
      <c r="AZ36" s="517"/>
      <c r="BA36" s="517"/>
      <c r="BB36" s="517"/>
    </row>
    <row r="37" spans="2:64" x14ac:dyDescent="0.25">
      <c r="B37" s="518" t="s">
        <v>84</v>
      </c>
      <c r="C37" s="518" t="s">
        <v>979</v>
      </c>
      <c r="D37" s="519">
        <f>SUM(G37:BB37)</f>
        <v>-608202.61244538939</v>
      </c>
      <c r="E37" s="519">
        <f>G37+NPV($C$43,H37:BB37)</f>
        <v>-118874.84152082319</v>
      </c>
      <c r="F37" s="518"/>
      <c r="G37" s="520">
        <f t="shared" ref="G37:BB37" si="21">-G9-G20+G32</f>
        <v>0</v>
      </c>
      <c r="H37" s="520">
        <f t="shared" si="21"/>
        <v>0</v>
      </c>
      <c r="I37" s="520">
        <f t="shared" si="21"/>
        <v>0</v>
      </c>
      <c r="J37" s="520">
        <f t="shared" si="21"/>
        <v>0</v>
      </c>
      <c r="K37" s="520">
        <f t="shared" si="21"/>
        <v>0</v>
      </c>
      <c r="L37" s="520">
        <f t="shared" si="21"/>
        <v>0</v>
      </c>
      <c r="M37" s="520">
        <f t="shared" si="21"/>
        <v>0</v>
      </c>
      <c r="N37" s="520">
        <f t="shared" si="21"/>
        <v>0</v>
      </c>
      <c r="O37" s="520">
        <f t="shared" si="21"/>
        <v>0</v>
      </c>
      <c r="P37" s="520">
        <f t="shared" si="21"/>
        <v>0</v>
      </c>
      <c r="Q37" s="520">
        <f t="shared" si="21"/>
        <v>0</v>
      </c>
      <c r="R37" s="520">
        <f t="shared" si="21"/>
        <v>0</v>
      </c>
      <c r="S37" s="520">
        <f t="shared" si="21"/>
        <v>-243568.87491132191</v>
      </c>
      <c r="T37" s="520">
        <f t="shared" si="21"/>
        <v>-11635.395364141812</v>
      </c>
      <c r="U37" s="520">
        <f t="shared" si="21"/>
        <v>-11873.653693239008</v>
      </c>
      <c r="V37" s="520">
        <f t="shared" si="21"/>
        <v>-12116.788197354424</v>
      </c>
      <c r="W37" s="520">
        <f t="shared" si="21"/>
        <v>-12364.898620157175</v>
      </c>
      <c r="X37" s="520">
        <f t="shared" si="21"/>
        <v>-12618.086744593085</v>
      </c>
      <c r="Y37" s="520">
        <f t="shared" si="21"/>
        <v>-12876.456434558368</v>
      </c>
      <c r="Z37" s="520">
        <f t="shared" si="21"/>
        <v>-13140.11367742443</v>
      </c>
      <c r="AA37" s="520">
        <f t="shared" si="21"/>
        <v>-13409.166627431314</v>
      </c>
      <c r="AB37" s="520">
        <f t="shared" si="21"/>
        <v>-13683.725649967499</v>
      </c>
      <c r="AC37" s="520">
        <f t="shared" si="21"/>
        <v>-13963.903366754155</v>
      </c>
      <c r="AD37" s="520">
        <f t="shared" si="21"/>
        <v>-33376.986805252309</v>
      </c>
      <c r="AE37" s="520">
        <f t="shared" si="21"/>
        <v>-14528.045062771012</v>
      </c>
      <c r="AF37" s="520">
        <f t="shared" si="21"/>
        <v>-14818.605964026436</v>
      </c>
      <c r="AG37" s="520">
        <f t="shared" si="21"/>
        <v>-15114.978083306964</v>
      </c>
      <c r="AH37" s="520">
        <f t="shared" si="21"/>
        <v>-15417.277644973103</v>
      </c>
      <c r="AI37" s="520">
        <f t="shared" si="21"/>
        <v>-15725.623197872563</v>
      </c>
      <c r="AJ37" s="520">
        <f t="shared" si="21"/>
        <v>-16040.135661830016</v>
      </c>
      <c r="AK37" s="520">
        <f t="shared" si="21"/>
        <v>-16360.938375066613</v>
      </c>
      <c r="AL37" s="520">
        <f t="shared" si="21"/>
        <v>-16688.157142567947</v>
      </c>
      <c r="AM37" s="520">
        <f t="shared" si="21"/>
        <v>-78880.801220779249</v>
      </c>
      <c r="AN37" s="520">
        <f t="shared" si="21"/>
        <v>0</v>
      </c>
      <c r="AO37" s="520">
        <f t="shared" si="21"/>
        <v>0</v>
      </c>
      <c r="AP37" s="520">
        <f t="shared" si="21"/>
        <v>0</v>
      </c>
      <c r="AQ37" s="520">
        <f t="shared" si="21"/>
        <v>0</v>
      </c>
      <c r="AR37" s="520">
        <f t="shared" si="21"/>
        <v>0</v>
      </c>
      <c r="AS37" s="520">
        <f t="shared" si="21"/>
        <v>0</v>
      </c>
      <c r="AT37" s="520">
        <f t="shared" si="21"/>
        <v>0</v>
      </c>
      <c r="AU37" s="520">
        <f t="shared" si="21"/>
        <v>0</v>
      </c>
      <c r="AV37" s="520">
        <f t="shared" si="21"/>
        <v>0</v>
      </c>
      <c r="AW37" s="520">
        <f t="shared" si="21"/>
        <v>0</v>
      </c>
      <c r="AX37" s="520">
        <f t="shared" si="21"/>
        <v>0</v>
      </c>
      <c r="AY37" s="520">
        <f t="shared" si="21"/>
        <v>0</v>
      </c>
      <c r="AZ37" s="520">
        <f t="shared" si="21"/>
        <v>0</v>
      </c>
      <c r="BA37" s="520">
        <f t="shared" si="21"/>
        <v>0</v>
      </c>
      <c r="BB37" s="520">
        <f t="shared" si="21"/>
        <v>0</v>
      </c>
    </row>
    <row r="38" spans="2:64" x14ac:dyDescent="0.25">
      <c r="B38" s="474" t="s">
        <v>985</v>
      </c>
      <c r="C38" s="521" t="s">
        <v>979</v>
      </c>
      <c r="D38" s="522">
        <f>SUM(G38:BB38)</f>
        <v>-118874.84152082322</v>
      </c>
      <c r="E38" s="522"/>
      <c r="G38" s="523">
        <f t="shared" ref="G38:BB38" si="22">G37/(1+$C$43)^(G8-$G8)</f>
        <v>0</v>
      </c>
      <c r="H38" s="523">
        <f t="shared" si="22"/>
        <v>0</v>
      </c>
      <c r="I38" s="523">
        <f t="shared" si="22"/>
        <v>0</v>
      </c>
      <c r="J38" s="523">
        <f t="shared" si="22"/>
        <v>0</v>
      </c>
      <c r="K38" s="523">
        <f t="shared" si="22"/>
        <v>0</v>
      </c>
      <c r="L38" s="523">
        <f t="shared" si="22"/>
        <v>0</v>
      </c>
      <c r="M38" s="523">
        <f t="shared" si="22"/>
        <v>0</v>
      </c>
      <c r="N38" s="523">
        <f t="shared" si="22"/>
        <v>0</v>
      </c>
      <c r="O38" s="523">
        <f t="shared" si="22"/>
        <v>0</v>
      </c>
      <c r="P38" s="523">
        <f t="shared" si="22"/>
        <v>0</v>
      </c>
      <c r="Q38" s="523">
        <f t="shared" si="22"/>
        <v>0</v>
      </c>
      <c r="R38" s="523">
        <f t="shared" si="22"/>
        <v>0</v>
      </c>
      <c r="S38" s="523">
        <f t="shared" si="22"/>
        <v>-77608.549781786045</v>
      </c>
      <c r="T38" s="523">
        <f t="shared" si="22"/>
        <v>-3370.3595811452701</v>
      </c>
      <c r="U38" s="523">
        <f t="shared" si="22"/>
        <v>-3126.704120236644</v>
      </c>
      <c r="V38" s="523">
        <f t="shared" si="22"/>
        <v>-2900.6627583367667</v>
      </c>
      <c r="W38" s="523">
        <f t="shared" si="22"/>
        <v>-2690.9622008376064</v>
      </c>
      <c r="X38" s="523">
        <f t="shared" si="22"/>
        <v>-2496.4211941372018</v>
      </c>
      <c r="Y38" s="523">
        <f t="shared" si="22"/>
        <v>-2315.9438726383755</v>
      </c>
      <c r="Z38" s="523">
        <f t="shared" si="22"/>
        <v>-2148.5135866282408</v>
      </c>
      <c r="AA38" s="523">
        <f t="shared" si="22"/>
        <v>-1993.1871762816588</v>
      </c>
      <c r="AB38" s="523">
        <f t="shared" si="22"/>
        <v>-1849.089659543818</v>
      </c>
      <c r="AC38" s="523">
        <f t="shared" si="22"/>
        <v>-1715.4093039775942</v>
      </c>
      <c r="AD38" s="523">
        <f t="shared" si="22"/>
        <v>-3727.4803991334843</v>
      </c>
      <c r="AE38" s="523">
        <f t="shared" si="22"/>
        <v>-1474.9684626927999</v>
      </c>
      <c r="AF38" s="523">
        <f t="shared" si="22"/>
        <v>-1367.6980290424144</v>
      </c>
      <c r="AG38" s="523">
        <f t="shared" si="22"/>
        <v>-1268.2290814756932</v>
      </c>
      <c r="AH38" s="523">
        <f t="shared" si="22"/>
        <v>-1175.9942391865518</v>
      </c>
      <c r="AI38" s="523">
        <f t="shared" si="22"/>
        <v>-1090.4673854275297</v>
      </c>
      <c r="AJ38" s="523">
        <f t="shared" si="22"/>
        <v>-1011.1606664873458</v>
      </c>
      <c r="AK38" s="523">
        <f t="shared" si="22"/>
        <v>-937.62170892462939</v>
      </c>
      <c r="AL38" s="523">
        <f t="shared" si="22"/>
        <v>-869.43103918465636</v>
      </c>
      <c r="AM38" s="523">
        <f t="shared" si="22"/>
        <v>-3735.9872737188944</v>
      </c>
      <c r="AN38" s="523">
        <f t="shared" si="22"/>
        <v>0</v>
      </c>
      <c r="AO38" s="523">
        <f t="shared" si="22"/>
        <v>0</v>
      </c>
      <c r="AP38" s="523">
        <f t="shared" si="22"/>
        <v>0</v>
      </c>
      <c r="AQ38" s="523">
        <f t="shared" si="22"/>
        <v>0</v>
      </c>
      <c r="AR38" s="523">
        <f t="shared" si="22"/>
        <v>0</v>
      </c>
      <c r="AS38" s="523">
        <f t="shared" si="22"/>
        <v>0</v>
      </c>
      <c r="AT38" s="523">
        <f t="shared" si="22"/>
        <v>0</v>
      </c>
      <c r="AU38" s="523">
        <f t="shared" si="22"/>
        <v>0</v>
      </c>
      <c r="AV38" s="523">
        <f t="shared" si="22"/>
        <v>0</v>
      </c>
      <c r="AW38" s="523">
        <f t="shared" si="22"/>
        <v>0</v>
      </c>
      <c r="AX38" s="523">
        <f t="shared" si="22"/>
        <v>0</v>
      </c>
      <c r="AY38" s="523">
        <f t="shared" si="22"/>
        <v>0</v>
      </c>
      <c r="AZ38" s="523">
        <f t="shared" si="22"/>
        <v>0</v>
      </c>
      <c r="BA38" s="523">
        <f t="shared" si="22"/>
        <v>0</v>
      </c>
      <c r="BB38" s="523">
        <f t="shared" si="22"/>
        <v>0</v>
      </c>
    </row>
    <row r="39" spans="2:64" x14ac:dyDescent="0.25">
      <c r="C39" s="524"/>
      <c r="D39" s="525"/>
      <c r="E39" s="525"/>
      <c r="G39" s="523"/>
      <c r="H39" s="523"/>
      <c r="I39" s="523"/>
      <c r="J39" s="523"/>
      <c r="K39" s="523"/>
      <c r="L39" s="523"/>
      <c r="M39" s="523"/>
      <c r="N39" s="523"/>
      <c r="O39" s="523"/>
      <c r="P39" s="523"/>
      <c r="Q39" s="523"/>
      <c r="R39" s="523"/>
      <c r="S39" s="523"/>
      <c r="T39" s="523"/>
      <c r="U39" s="523"/>
      <c r="V39" s="523"/>
      <c r="W39" s="523"/>
      <c r="X39" s="523"/>
      <c r="Y39" s="523"/>
      <c r="Z39" s="523"/>
      <c r="AA39" s="523"/>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row>
    <row r="40" spans="2:64" x14ac:dyDescent="0.25">
      <c r="B40" s="437" t="s">
        <v>986</v>
      </c>
      <c r="C40" s="511" t="s">
        <v>979</v>
      </c>
      <c r="D40" s="526"/>
      <c r="E40" s="526"/>
      <c r="F40" s="527"/>
      <c r="G40" s="527">
        <f>SUM($G37:G37)</f>
        <v>0</v>
      </c>
      <c r="H40" s="527">
        <f>SUM($G37:H37)</f>
        <v>0</v>
      </c>
      <c r="I40" s="527">
        <f>SUM($G37:I37)</f>
        <v>0</v>
      </c>
      <c r="J40" s="527">
        <f>SUM($G37:J37)</f>
        <v>0</v>
      </c>
      <c r="K40" s="527">
        <f>SUM($G37:K37)</f>
        <v>0</v>
      </c>
      <c r="L40" s="527">
        <f>SUM($G37:L37)</f>
        <v>0</v>
      </c>
      <c r="M40" s="527">
        <f>SUM($G37:M37)</f>
        <v>0</v>
      </c>
      <c r="N40" s="527">
        <f>SUM($G37:N37)</f>
        <v>0</v>
      </c>
      <c r="O40" s="527">
        <f>SUM($G37:O37)</f>
        <v>0</v>
      </c>
      <c r="P40" s="527">
        <f>SUM($G37:P37)</f>
        <v>0</v>
      </c>
      <c r="Q40" s="527">
        <f>SUM($G37:Q37)</f>
        <v>0</v>
      </c>
      <c r="R40" s="527">
        <f>SUM($G37:R37)</f>
        <v>0</v>
      </c>
      <c r="S40" s="527">
        <f>SUM($G37:S37)</f>
        <v>-243568.87491132191</v>
      </c>
      <c r="T40" s="527">
        <f>SUM($G37:T37)</f>
        <v>-255204.27027546373</v>
      </c>
      <c r="U40" s="527">
        <f>SUM($G37:U37)</f>
        <v>-267077.92396870273</v>
      </c>
      <c r="V40" s="527">
        <f>SUM($G37:V37)</f>
        <v>-279194.71216605714</v>
      </c>
      <c r="W40" s="527">
        <f>SUM($G37:W37)</f>
        <v>-291559.6107862143</v>
      </c>
      <c r="X40" s="527">
        <f>SUM($G37:X37)</f>
        <v>-304177.6975308074</v>
      </c>
      <c r="Y40" s="527">
        <f>SUM($G37:Y37)</f>
        <v>-317054.15396536578</v>
      </c>
      <c r="Z40" s="527">
        <f>SUM($G37:Z37)</f>
        <v>-330194.26764279022</v>
      </c>
      <c r="AA40" s="527">
        <f>SUM($G37:AA37)</f>
        <v>-343603.43427022151</v>
      </c>
      <c r="AB40" s="527">
        <f>SUM($G37:AB37)</f>
        <v>-357287.15992018901</v>
      </c>
      <c r="AC40" s="527">
        <f>SUM($G37:AC37)</f>
        <v>-371251.06328694319</v>
      </c>
      <c r="AD40" s="527">
        <f>SUM($G37:AD37)</f>
        <v>-404628.05009219551</v>
      </c>
      <c r="AE40" s="527">
        <f>SUM($G37:AE37)</f>
        <v>-419156.09515496652</v>
      </c>
      <c r="AF40" s="527">
        <f>SUM($G37:AF37)</f>
        <v>-433974.70111899293</v>
      </c>
      <c r="AG40" s="527">
        <f>SUM($G37:AG37)</f>
        <v>-449089.67920229991</v>
      </c>
      <c r="AH40" s="527">
        <f>SUM($G37:AH37)</f>
        <v>-464506.95684727305</v>
      </c>
      <c r="AI40" s="527">
        <f>SUM($G37:AI37)</f>
        <v>-480232.58004514559</v>
      </c>
      <c r="AJ40" s="527">
        <f>SUM($G37:AJ37)</f>
        <v>-496272.71570697561</v>
      </c>
      <c r="AK40" s="527">
        <f>SUM($G37:AK37)</f>
        <v>-512633.65408204222</v>
      </c>
      <c r="AL40" s="527">
        <f>SUM($G37:AL37)</f>
        <v>-529321.8112246102</v>
      </c>
      <c r="AM40" s="527">
        <f>SUM($G37:AM37)</f>
        <v>-608202.61244538939</v>
      </c>
      <c r="AN40" s="527">
        <f>SUM($G37:AN37)</f>
        <v>-608202.61244538939</v>
      </c>
      <c r="AO40" s="527">
        <f>SUM($G37:AO37)</f>
        <v>-608202.61244538939</v>
      </c>
      <c r="AP40" s="527">
        <f>SUM($G37:AP37)</f>
        <v>-608202.61244538939</v>
      </c>
      <c r="AQ40" s="527">
        <f>SUM($G37:AQ37)</f>
        <v>-608202.61244538939</v>
      </c>
      <c r="AR40" s="527">
        <f>SUM($G37:AR37)</f>
        <v>-608202.61244538939</v>
      </c>
      <c r="AS40" s="527">
        <f>SUM($G37:AS37)</f>
        <v>-608202.61244538939</v>
      </c>
      <c r="AT40" s="527">
        <f>SUM($G37:AT37)</f>
        <v>-608202.61244538939</v>
      </c>
      <c r="AU40" s="527">
        <f>SUM($G37:AU37)</f>
        <v>-608202.61244538939</v>
      </c>
      <c r="AV40" s="527">
        <f>SUM($G37:AV37)</f>
        <v>-608202.61244538939</v>
      </c>
      <c r="AW40" s="527">
        <f>SUM($G37:AW37)</f>
        <v>-608202.61244538939</v>
      </c>
      <c r="AX40" s="527">
        <f>SUM($G37:AX37)</f>
        <v>-608202.61244538939</v>
      </c>
      <c r="AY40" s="527">
        <f>SUM($G37:AY37)</f>
        <v>-608202.61244538939</v>
      </c>
      <c r="AZ40" s="527">
        <f>SUM($G37:AZ37)</f>
        <v>-608202.61244538939</v>
      </c>
      <c r="BA40" s="527">
        <f>SUM($G37:BA37)</f>
        <v>-608202.61244538939</v>
      </c>
      <c r="BB40" s="527">
        <f>SUM($G37:BB37)</f>
        <v>-608202.61244538939</v>
      </c>
    </row>
    <row r="41" spans="2:64" x14ac:dyDescent="0.25">
      <c r="B41" s="437" t="s">
        <v>987</v>
      </c>
      <c r="C41" s="986" t="s">
        <v>1653</v>
      </c>
      <c r="D41" s="526"/>
      <c r="E41" s="526"/>
      <c r="F41" s="527"/>
      <c r="G41" s="528">
        <f>SUM($G38:G38)/1000</f>
        <v>0</v>
      </c>
      <c r="H41" s="528">
        <f>SUM($G38:H38)/1000</f>
        <v>0</v>
      </c>
      <c r="I41" s="528">
        <f>SUM($G38:I38)/1000</f>
        <v>0</v>
      </c>
      <c r="J41" s="528">
        <f>SUM($G38:J38)/1000</f>
        <v>0</v>
      </c>
      <c r="K41" s="528">
        <f>SUM($G38:K38)/1000</f>
        <v>0</v>
      </c>
      <c r="L41" s="528">
        <f>SUM($G38:L38)/1000</f>
        <v>0</v>
      </c>
      <c r="M41" s="528">
        <f>SUM($G38:M38)/1000</f>
        <v>0</v>
      </c>
      <c r="N41" s="528">
        <f>SUM($G38:N38)/1000</f>
        <v>0</v>
      </c>
      <c r="O41" s="528">
        <f>SUM($G38:O38)/1000</f>
        <v>0</v>
      </c>
      <c r="P41" s="528">
        <f>SUM($G38:P38)/1000</f>
        <v>0</v>
      </c>
      <c r="Q41" s="528">
        <f>SUM($G38:Q38)/1000</f>
        <v>0</v>
      </c>
      <c r="R41" s="528">
        <f>SUM($G38:R38)/1000</f>
        <v>0</v>
      </c>
      <c r="S41" s="528">
        <f>SUM($G38:S38)/1000</f>
        <v>-77.608549781786039</v>
      </c>
      <c r="T41" s="528">
        <f>SUM($G38:T38)/1000</f>
        <v>-80.978909362931319</v>
      </c>
      <c r="U41" s="528">
        <f>SUM($G38:U38)/1000</f>
        <v>-84.105613483167957</v>
      </c>
      <c r="V41" s="528">
        <f>SUM($G38:V38)/1000</f>
        <v>-87.006276241504722</v>
      </c>
      <c r="W41" s="528">
        <f>SUM($G38:W38)/1000</f>
        <v>-89.697238442342325</v>
      </c>
      <c r="X41" s="528">
        <f>SUM($G38:X38)/1000</f>
        <v>-92.193659636479524</v>
      </c>
      <c r="Y41" s="528">
        <f>SUM($G38:Y38)/1000</f>
        <v>-94.509603509117909</v>
      </c>
      <c r="Z41" s="528">
        <f>SUM($G38:Z38)/1000</f>
        <v>-96.65811709574615</v>
      </c>
      <c r="AA41" s="528">
        <f>SUM($G38:AA38)/1000</f>
        <v>-98.651304272027801</v>
      </c>
      <c r="AB41" s="528">
        <f>SUM($G38:AB38)/1000</f>
        <v>-100.50039393157162</v>
      </c>
      <c r="AC41" s="528">
        <f>SUM($G38:AC38)/1000</f>
        <v>-102.21580323554922</v>
      </c>
      <c r="AD41" s="528">
        <f>SUM($G38:AD38)/1000</f>
        <v>-105.9432836346827</v>
      </c>
      <c r="AE41" s="528">
        <f>SUM($G38:AE38)/1000</f>
        <v>-107.4182520973755</v>
      </c>
      <c r="AF41" s="528">
        <f>SUM($G38:AF38)/1000</f>
        <v>-108.78595012641792</v>
      </c>
      <c r="AG41" s="528">
        <f>SUM($G38:AG38)/1000</f>
        <v>-110.05417920789361</v>
      </c>
      <c r="AH41" s="528">
        <f>SUM($G38:AH38)/1000</f>
        <v>-111.23017344708016</v>
      </c>
      <c r="AI41" s="528">
        <f>SUM($G38:AI38)/1000</f>
        <v>-112.32064083250769</v>
      </c>
      <c r="AJ41" s="528">
        <f>SUM($G38:AJ38)/1000</f>
        <v>-113.33180149899503</v>
      </c>
      <c r="AK41" s="528">
        <f>SUM($G38:AK38)/1000</f>
        <v>-114.26942320791967</v>
      </c>
      <c r="AL41" s="528">
        <f>SUM($G38:AL38)/1000</f>
        <v>-115.13885424710432</v>
      </c>
      <c r="AM41" s="528">
        <f>SUM($G38:AM38)/1000</f>
        <v>-118.87484152082322</v>
      </c>
      <c r="AN41" s="528">
        <f>SUM($G38:AN38)/1000</f>
        <v>-118.87484152082322</v>
      </c>
      <c r="AO41" s="528">
        <f>SUM($G38:AO38)/1000</f>
        <v>-118.87484152082322</v>
      </c>
      <c r="AP41" s="528">
        <f>SUM($G38:AP38)/1000</f>
        <v>-118.87484152082322</v>
      </c>
      <c r="AQ41" s="528">
        <f>SUM($G38:AQ38)/1000</f>
        <v>-118.87484152082322</v>
      </c>
      <c r="AR41" s="528">
        <f>SUM($G38:AR38)/1000</f>
        <v>-118.87484152082322</v>
      </c>
      <c r="AS41" s="528">
        <f>SUM($G38:AS38)/1000</f>
        <v>-118.87484152082322</v>
      </c>
      <c r="AT41" s="528">
        <f>SUM($G38:AT38)/1000</f>
        <v>-118.87484152082322</v>
      </c>
      <c r="AU41" s="528">
        <f>SUM($G38:AU38)/1000</f>
        <v>-118.87484152082322</v>
      </c>
      <c r="AV41" s="528">
        <f>SUM($G38:AV38)/1000</f>
        <v>-118.87484152082322</v>
      </c>
      <c r="AW41" s="528">
        <f>SUM($G38:AW38)/1000</f>
        <v>-118.87484152082322</v>
      </c>
      <c r="AX41" s="528">
        <f>SUM($G38:AX38)/1000</f>
        <v>-118.87484152082322</v>
      </c>
      <c r="AY41" s="528">
        <f>SUM($G38:AY38)/1000</f>
        <v>-118.87484152082322</v>
      </c>
      <c r="AZ41" s="528">
        <f>SUM($G38:AZ38)/1000</f>
        <v>-118.87484152082322</v>
      </c>
      <c r="BA41" s="528">
        <f>SUM($G38:BA38)/1000</f>
        <v>-118.87484152082322</v>
      </c>
      <c r="BB41" s="528">
        <f>SUM($G38:BB38)/1000</f>
        <v>-118.87484152082322</v>
      </c>
    </row>
    <row r="42" spans="2:64" x14ac:dyDescent="0.25">
      <c r="C42" s="524"/>
      <c r="D42" s="525"/>
      <c r="E42" s="525"/>
      <c r="G42" s="523"/>
      <c r="H42" s="523"/>
      <c r="I42" s="523"/>
      <c r="J42" s="523"/>
      <c r="K42" s="523"/>
      <c r="L42" s="523"/>
      <c r="M42" s="523"/>
      <c r="N42" s="523"/>
      <c r="O42" s="523"/>
      <c r="P42" s="523"/>
      <c r="Q42" s="523"/>
      <c r="R42" s="523"/>
      <c r="S42" s="523"/>
      <c r="T42" s="523"/>
      <c r="U42" s="523"/>
      <c r="V42" s="523"/>
      <c r="W42" s="523"/>
      <c r="X42" s="523"/>
      <c r="Y42" s="523"/>
      <c r="Z42" s="523"/>
      <c r="AA42" s="523"/>
      <c r="AB42" s="523"/>
      <c r="AC42" s="523"/>
      <c r="AD42" s="523"/>
      <c r="AE42" s="523"/>
      <c r="AF42" s="523"/>
      <c r="AG42" s="523"/>
      <c r="AH42" s="523"/>
      <c r="AI42" s="523"/>
      <c r="AJ42" s="523"/>
      <c r="AK42" s="523"/>
      <c r="AL42" s="523"/>
      <c r="AM42" s="523"/>
      <c r="AN42" s="523"/>
      <c r="AO42" s="523"/>
      <c r="AP42" s="523"/>
      <c r="AQ42" s="523"/>
      <c r="AR42" s="523"/>
      <c r="AS42" s="523"/>
      <c r="AT42" s="523"/>
      <c r="AU42" s="523"/>
      <c r="AV42" s="523"/>
      <c r="AW42" s="523"/>
      <c r="AX42" s="523"/>
      <c r="AY42" s="523"/>
      <c r="AZ42" s="523"/>
      <c r="BA42" s="523"/>
      <c r="BB42" s="523"/>
    </row>
    <row r="43" spans="2:64" x14ac:dyDescent="0.25">
      <c r="B43" s="165" t="s">
        <v>713</v>
      </c>
      <c r="C43" s="529">
        <f>Parameters!G12</f>
        <v>0.1</v>
      </c>
      <c r="D43" s="527" t="s">
        <v>988</v>
      </c>
      <c r="E43" s="527">
        <f>SUMPRODUCT((G41:AU41&gt;G$40:AU$40)*1)+1</f>
        <v>30</v>
      </c>
      <c r="F43" s="527" t="s">
        <v>111</v>
      </c>
      <c r="H43" s="517"/>
      <c r="I43" s="517"/>
      <c r="J43" s="517"/>
      <c r="K43" s="517"/>
      <c r="L43" s="517"/>
      <c r="M43" s="517"/>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7"/>
      <c r="AK43" s="517"/>
      <c r="AL43" s="517"/>
      <c r="AM43" s="517"/>
      <c r="AN43" s="517"/>
      <c r="AO43" s="517"/>
      <c r="AP43" s="517"/>
    </row>
    <row r="45" spans="2:64" ht="31.5" x14ac:dyDescent="0.5">
      <c r="B45" s="499" t="s">
        <v>1446</v>
      </c>
      <c r="E45" s="500"/>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row>
    <row r="48" spans="2:64" x14ac:dyDescent="0.25">
      <c r="B48" s="440"/>
      <c r="C48" s="440"/>
      <c r="D48" s="440"/>
      <c r="E48" s="440"/>
      <c r="F48" s="440"/>
    </row>
    <row r="49" spans="2:54" ht="15.75" x14ac:dyDescent="0.25">
      <c r="B49" s="501" t="s">
        <v>720</v>
      </c>
      <c r="C49" s="501"/>
      <c r="D49" s="502"/>
      <c r="E49" s="503"/>
      <c r="F49" s="502"/>
      <c r="G49" s="504">
        <f>G8</f>
        <v>2018</v>
      </c>
      <c r="H49" s="504">
        <f t="shared" ref="H49:AU49" si="23">H8</f>
        <v>2019</v>
      </c>
      <c r="I49" s="504">
        <f t="shared" si="23"/>
        <v>2020</v>
      </c>
      <c r="J49" s="504">
        <f t="shared" si="23"/>
        <v>2021</v>
      </c>
      <c r="K49" s="504">
        <f t="shared" si="23"/>
        <v>2022</v>
      </c>
      <c r="L49" s="504">
        <f t="shared" si="23"/>
        <v>2023</v>
      </c>
      <c r="M49" s="504">
        <f t="shared" si="23"/>
        <v>2024</v>
      </c>
      <c r="N49" s="504">
        <f t="shared" si="23"/>
        <v>2025</v>
      </c>
      <c r="O49" s="504">
        <f t="shared" si="23"/>
        <v>2026</v>
      </c>
      <c r="P49" s="504">
        <f t="shared" si="23"/>
        <v>2027</v>
      </c>
      <c r="Q49" s="504">
        <f t="shared" si="23"/>
        <v>2028</v>
      </c>
      <c r="R49" s="504">
        <f t="shared" si="23"/>
        <v>2029</v>
      </c>
      <c r="S49" s="504">
        <f t="shared" si="23"/>
        <v>2030</v>
      </c>
      <c r="T49" s="504">
        <f t="shared" si="23"/>
        <v>2031</v>
      </c>
      <c r="U49" s="504">
        <f t="shared" si="23"/>
        <v>2032</v>
      </c>
      <c r="V49" s="504">
        <f t="shared" si="23"/>
        <v>2033</v>
      </c>
      <c r="W49" s="504">
        <f t="shared" si="23"/>
        <v>2034</v>
      </c>
      <c r="X49" s="504">
        <f t="shared" si="23"/>
        <v>2035</v>
      </c>
      <c r="Y49" s="504">
        <f t="shared" si="23"/>
        <v>2036</v>
      </c>
      <c r="Z49" s="504">
        <f t="shared" si="23"/>
        <v>2037</v>
      </c>
      <c r="AA49" s="504">
        <f t="shared" si="23"/>
        <v>2038</v>
      </c>
      <c r="AB49" s="504">
        <f t="shared" si="23"/>
        <v>2039</v>
      </c>
      <c r="AC49" s="504">
        <f t="shared" si="23"/>
        <v>2040</v>
      </c>
      <c r="AD49" s="504">
        <f t="shared" si="23"/>
        <v>2041</v>
      </c>
      <c r="AE49" s="504">
        <f t="shared" si="23"/>
        <v>2042</v>
      </c>
      <c r="AF49" s="504">
        <f t="shared" si="23"/>
        <v>2043</v>
      </c>
      <c r="AG49" s="504">
        <f t="shared" si="23"/>
        <v>2044</v>
      </c>
      <c r="AH49" s="504">
        <f t="shared" si="23"/>
        <v>2045</v>
      </c>
      <c r="AI49" s="504">
        <f t="shared" si="23"/>
        <v>2046</v>
      </c>
      <c r="AJ49" s="504">
        <f t="shared" si="23"/>
        <v>2047</v>
      </c>
      <c r="AK49" s="504">
        <f t="shared" si="23"/>
        <v>2048</v>
      </c>
      <c r="AL49" s="504">
        <f t="shared" si="23"/>
        <v>2049</v>
      </c>
      <c r="AM49" s="504">
        <f t="shared" si="23"/>
        <v>2050</v>
      </c>
      <c r="AN49" s="504">
        <f t="shared" si="23"/>
        <v>2051</v>
      </c>
      <c r="AO49" s="504">
        <f t="shared" si="23"/>
        <v>2052</v>
      </c>
      <c r="AP49" s="504">
        <f t="shared" si="23"/>
        <v>2053</v>
      </c>
      <c r="AQ49" s="504">
        <f t="shared" si="23"/>
        <v>2054</v>
      </c>
      <c r="AR49" s="504">
        <f t="shared" si="23"/>
        <v>2055</v>
      </c>
      <c r="AS49" s="504">
        <f t="shared" si="23"/>
        <v>2056</v>
      </c>
      <c r="AT49" s="504">
        <f t="shared" si="23"/>
        <v>2057</v>
      </c>
      <c r="AU49" s="504">
        <f t="shared" si="23"/>
        <v>2058</v>
      </c>
      <c r="AV49" s="504">
        <f t="shared" ref="AV49:BB49" si="24">AV8</f>
        <v>2059</v>
      </c>
      <c r="AW49" s="504">
        <f t="shared" si="24"/>
        <v>2060</v>
      </c>
      <c r="AX49" s="504">
        <f t="shared" si="24"/>
        <v>2061</v>
      </c>
      <c r="AY49" s="504">
        <f t="shared" si="24"/>
        <v>2062</v>
      </c>
      <c r="AZ49" s="504">
        <f t="shared" si="24"/>
        <v>2063</v>
      </c>
      <c r="BA49" s="504">
        <f t="shared" si="24"/>
        <v>2064</v>
      </c>
      <c r="BB49" s="504">
        <f t="shared" si="24"/>
        <v>2065</v>
      </c>
    </row>
    <row r="50" spans="2:54" x14ac:dyDescent="0.25">
      <c r="B50" s="165" t="s">
        <v>1464</v>
      </c>
      <c r="C50" s="165" t="s">
        <v>1447</v>
      </c>
      <c r="G50" s="990">
        <f>IF(AND(G$49&gt;=$C$5,G$49&lt;=$C$6),Parameters!$G$391,0)</f>
        <v>0</v>
      </c>
      <c r="H50" s="990">
        <f>IF(AND(H$49&gt;=$C$5,H$49&lt;=$C$6),Parameters!$G$391,0)</f>
        <v>0</v>
      </c>
      <c r="I50" s="990">
        <f>IF(AND(I$49&gt;=$C$5,I$49&lt;=$C$6),Parameters!$G$391,0)</f>
        <v>0</v>
      </c>
      <c r="J50" s="990">
        <f>IF(AND(J$49&gt;=$C$5,J$49&lt;=$C$6),Parameters!$G$391,0)</f>
        <v>0</v>
      </c>
      <c r="K50" s="990">
        <f>IF(AND(K$49&gt;=$C$5,K$49&lt;=$C$6),Parameters!$G$391,0)</f>
        <v>0</v>
      </c>
      <c r="L50" s="990">
        <f>IF(AND(L$49&gt;=$C$5,L$49&lt;=$C$6),Parameters!$G$391,0)</f>
        <v>0</v>
      </c>
      <c r="M50" s="990">
        <f>IF(AND(M$49&gt;=$C$5,M$49&lt;=$C$6),Parameters!$G$391,0)</f>
        <v>0</v>
      </c>
      <c r="N50" s="990">
        <f>IF(AND(N$49&gt;=$C$5,N$49&lt;=$C$6),Parameters!$G$391,0)</f>
        <v>0</v>
      </c>
      <c r="O50" s="990">
        <f>IF(AND(O$49&gt;=$C$5,O$49&lt;=$C$6),Parameters!$G$391,0)</f>
        <v>0</v>
      </c>
      <c r="P50" s="990">
        <f>IF(AND(P$49&gt;=$C$5,P$49&lt;=$C$6),Parameters!$G$391,0)</f>
        <v>0</v>
      </c>
      <c r="Q50" s="990">
        <f>IF(AND(Q$49&gt;=$C$5,Q$49&lt;=$C$6),Parameters!$G$391,0)</f>
        <v>0</v>
      </c>
      <c r="R50" s="990">
        <f>IF(AND(R$49&gt;=$C$5,R$49&lt;=$C$6),Parameters!$G$391,0)</f>
        <v>0</v>
      </c>
      <c r="S50" s="990">
        <f>IF(AND(S$49&gt;=$C$5,S$49&lt;=$C$6),Parameters!$G$391,0)</f>
        <v>0</v>
      </c>
      <c r="T50" s="990">
        <f>IF(AND(T$49&gt;=$C$5,T$49&lt;=$C$6),Parameters!$G$391,0)</f>
        <v>100</v>
      </c>
      <c r="U50" s="990">
        <f>IF(AND(U$49&gt;=$C$5,U$49&lt;=$C$6),Parameters!$G$391,0)</f>
        <v>100</v>
      </c>
      <c r="V50" s="990">
        <f>IF(AND(V$49&gt;=$C$5,V$49&lt;=$C$6),Parameters!$G$391,0)</f>
        <v>100</v>
      </c>
      <c r="W50" s="990">
        <f>IF(AND(W$49&gt;=$C$5,W$49&lt;=$C$6),Parameters!$G$391,0)</f>
        <v>100</v>
      </c>
      <c r="X50" s="990">
        <f>IF(AND(X$49&gt;=$C$5,X$49&lt;=$C$6),Parameters!$G$391,0)</f>
        <v>100</v>
      </c>
      <c r="Y50" s="990">
        <f>IF(AND(Y$49&gt;=$C$5,Y$49&lt;=$C$6),Parameters!$G$391,0)</f>
        <v>100</v>
      </c>
      <c r="Z50" s="990">
        <f>IF(AND(Z$49&gt;=$C$5,Z$49&lt;=$C$6),Parameters!$G$391,0)</f>
        <v>100</v>
      </c>
      <c r="AA50" s="990">
        <f>IF(AND(AA$49&gt;=$C$5,AA$49&lt;=$C$6),Parameters!$G$391,0)</f>
        <v>100</v>
      </c>
      <c r="AB50" s="990">
        <f>IF(AND(AB$49&gt;=$C$5,AB$49&lt;=$C$6),Parameters!$G$391,0)</f>
        <v>100</v>
      </c>
      <c r="AC50" s="990">
        <f>IF(AND(AC$49&gt;=$C$5,AC$49&lt;=$C$6),Parameters!$G$391,0)</f>
        <v>100</v>
      </c>
      <c r="AD50" s="990">
        <f>IF(AND(AD$49&gt;=$C$5,AD$49&lt;=$C$6),Parameters!$G$391,0)</f>
        <v>100</v>
      </c>
      <c r="AE50" s="990">
        <f>IF(AND(AE$49&gt;=$C$5,AE$49&lt;=$C$6),Parameters!$G$391,0)</f>
        <v>100</v>
      </c>
      <c r="AF50" s="990">
        <f>IF(AND(AF$49&gt;=$C$5,AF$49&lt;=$C$6),Parameters!$G$391,0)</f>
        <v>100</v>
      </c>
      <c r="AG50" s="990">
        <f>IF(AND(AG$49&gt;=$C$5,AG$49&lt;=$C$6),Parameters!$G$391,0)</f>
        <v>100</v>
      </c>
      <c r="AH50" s="990">
        <f>IF(AND(AH$49&gt;=$C$5,AH$49&lt;=$C$6),Parameters!$G$391,0)</f>
        <v>100</v>
      </c>
      <c r="AI50" s="990">
        <f>IF(AND(AI$49&gt;=$C$5,AI$49&lt;=$C$6),Parameters!$G$391,0)</f>
        <v>100</v>
      </c>
      <c r="AJ50" s="990">
        <f>IF(AND(AJ$49&gt;=$C$5,AJ$49&lt;=$C$6),Parameters!$G$391,0)</f>
        <v>100</v>
      </c>
      <c r="AK50" s="990">
        <f>IF(AND(AK$49&gt;=$C$5,AK$49&lt;=$C$6),Parameters!$G$391,0)</f>
        <v>100</v>
      </c>
      <c r="AL50" s="990">
        <f>IF(AND(AL$49&gt;=$C$5,AL$49&lt;=$C$6),Parameters!$G$391,0)</f>
        <v>100</v>
      </c>
      <c r="AM50" s="990">
        <f>IF(AND(AM$49&gt;=$C$5,AM$49&lt;=$C$6),Parameters!$G$391,0)</f>
        <v>100</v>
      </c>
      <c r="AN50" s="990">
        <f>IF(AND(AN$49&gt;=$C$5,AN$49&lt;=$C$6),Parameters!$G$391,0)</f>
        <v>0</v>
      </c>
      <c r="AO50" s="990">
        <f>IF(AND(AO$49&gt;=$C$5,AO$49&lt;=$C$6),Parameters!$G$391,0)</f>
        <v>0</v>
      </c>
      <c r="AP50" s="990">
        <f>IF(AND(AP$49&gt;=$C$5,AP$49&lt;=$C$6),Parameters!$G$391,0)</f>
        <v>0</v>
      </c>
      <c r="AQ50" s="990">
        <f>IF(AND(AQ$49&gt;=$C$5,AQ$49&lt;=$C$6),Parameters!$G$391,0)</f>
        <v>0</v>
      </c>
      <c r="AR50" s="990">
        <f>IF(AND(AR$49&gt;=$C$5,AR$49&lt;=$C$6),Parameters!$G$391,0)</f>
        <v>0</v>
      </c>
      <c r="AS50" s="990">
        <f>IF(AND(AS$49&gt;=$C$5,AS$49&lt;=$C$6),Parameters!$G$391,0)</f>
        <v>0</v>
      </c>
      <c r="AT50" s="990">
        <f>IF(AND(AT$49&gt;=$C$5,AT$49&lt;=$C$6),Parameters!$G$391,0)</f>
        <v>0</v>
      </c>
      <c r="AU50" s="990">
        <f>IF(AND(AU$49&gt;=$C$5,AU$49&lt;=$C$6),Parameters!$G$391,0)</f>
        <v>0</v>
      </c>
      <c r="AV50" s="990">
        <f>IF(AND(AV$49&gt;=$C$5,AV$49&lt;=$C$6),Parameters!$G$391,0)</f>
        <v>0</v>
      </c>
      <c r="AW50" s="990">
        <f>IF(AND(AW$49&gt;=$C$5,AW$49&lt;=$C$6),Parameters!$G$391,0)</f>
        <v>0</v>
      </c>
      <c r="AX50" s="990">
        <f>IF(AND(AX$49&gt;=$C$5,AX$49&lt;=$C$6),Parameters!$G$391,0)</f>
        <v>0</v>
      </c>
      <c r="AY50" s="990">
        <f>IF(AND(AY$49&gt;=$C$5,AY$49&lt;=$C$6),Parameters!$G$391,0)</f>
        <v>0</v>
      </c>
      <c r="AZ50" s="990">
        <f>IF(AND(AZ$49&gt;=$C$5,AZ$49&lt;=$C$6),Parameters!$G$391,0)</f>
        <v>0</v>
      </c>
      <c r="BA50" s="990">
        <f>IF(AND(BA$49&gt;=$C$5,BA$49&lt;=$C$6),Parameters!$G$391,0)</f>
        <v>0</v>
      </c>
      <c r="BB50" s="990">
        <f>IF(AND(BB$49&gt;=$C$5,BB$49&lt;=$C$6),Parameters!$G$391,0)</f>
        <v>0</v>
      </c>
    </row>
    <row r="51" spans="2:54" x14ac:dyDescent="0.25">
      <c r="B51" s="165" t="s">
        <v>1465</v>
      </c>
      <c r="C51" s="165" t="s">
        <v>1447</v>
      </c>
      <c r="G51" s="990">
        <f>IF(AND(G$49&gt;=$C$5,G$49&lt;=$C$6),Parameters!$G$419,0)</f>
        <v>0</v>
      </c>
      <c r="H51" s="990">
        <f>IF(AND(H$49&gt;=$C$5,H$49&lt;=$C$6),Parameters!$G$419,0)</f>
        <v>0</v>
      </c>
      <c r="I51" s="990">
        <f>IF(AND(I$49&gt;=$C$5,I$49&lt;=$C$6),Parameters!$G$419,0)</f>
        <v>0</v>
      </c>
      <c r="J51" s="990">
        <f>IF(AND(J$49&gt;=$C$5,J$49&lt;=$C$6),Parameters!$G$419,0)</f>
        <v>0</v>
      </c>
      <c r="K51" s="990">
        <f>IF(AND(K$49&gt;=$C$5,K$49&lt;=$C$6),Parameters!$G$419,0)</f>
        <v>0</v>
      </c>
      <c r="L51" s="990">
        <f>IF(AND(L$49&gt;=$C$5,L$49&lt;=$C$6),Parameters!$G$419,0)</f>
        <v>0</v>
      </c>
      <c r="M51" s="990">
        <f>IF(AND(M$49&gt;=$C$5,M$49&lt;=$C$6),Parameters!$G$419,0)</f>
        <v>0</v>
      </c>
      <c r="N51" s="990">
        <f>IF(AND(N$49&gt;=$C$5,N$49&lt;=$C$6),Parameters!$G$419,0)</f>
        <v>0</v>
      </c>
      <c r="O51" s="990">
        <f>IF(AND(O$49&gt;=$C$5,O$49&lt;=$C$6),Parameters!$G$419,0)</f>
        <v>0</v>
      </c>
      <c r="P51" s="990">
        <f>IF(AND(P$49&gt;=$C$5,P$49&lt;=$C$6),Parameters!$G$419,0)</f>
        <v>0</v>
      </c>
      <c r="Q51" s="990">
        <f>IF(AND(Q$49&gt;=$C$5,Q$49&lt;=$C$6),Parameters!$G$419,0)</f>
        <v>0</v>
      </c>
      <c r="R51" s="990">
        <f>IF(AND(R$49&gt;=$C$5,R$49&lt;=$C$6),Parameters!$G$419,0)</f>
        <v>0</v>
      </c>
      <c r="S51" s="990">
        <f>IF(AND(S$49&gt;=$C$5,S$49&lt;=$C$6),Parameters!$G$419,0)</f>
        <v>0</v>
      </c>
      <c r="T51" s="990">
        <f>IF(AND(T$49&gt;=$C$5,T$49&lt;=$C$6),Parameters!$G$419,0)</f>
        <v>0.24299999999999997</v>
      </c>
      <c r="U51" s="990">
        <f>IF(AND(U$49&gt;=$C$5,U$49&lt;=$C$6),Parameters!$G$419,0)</f>
        <v>0.24299999999999997</v>
      </c>
      <c r="V51" s="990">
        <f>IF(AND(V$49&gt;=$C$5,V$49&lt;=$C$6),Parameters!$G$419,0)</f>
        <v>0.24299999999999997</v>
      </c>
      <c r="W51" s="990">
        <f>IF(AND(W$49&gt;=$C$5,W$49&lt;=$C$6),Parameters!$G$419,0)</f>
        <v>0.24299999999999997</v>
      </c>
      <c r="X51" s="990">
        <f>IF(AND(X$49&gt;=$C$5,X$49&lt;=$C$6),Parameters!$G$419,0)</f>
        <v>0.24299999999999997</v>
      </c>
      <c r="Y51" s="990">
        <f>IF(AND(Y$49&gt;=$C$5,Y$49&lt;=$C$6),Parameters!$G$419,0)</f>
        <v>0.24299999999999997</v>
      </c>
      <c r="Z51" s="990">
        <f>IF(AND(Z$49&gt;=$C$5,Z$49&lt;=$C$6),Parameters!$G$419,0)</f>
        <v>0.24299999999999997</v>
      </c>
      <c r="AA51" s="990">
        <f>IF(AND(AA$49&gt;=$C$5,AA$49&lt;=$C$6),Parameters!$G$419,0)</f>
        <v>0.24299999999999997</v>
      </c>
      <c r="AB51" s="990">
        <f>IF(AND(AB$49&gt;=$C$5,AB$49&lt;=$C$6),Parameters!$G$419,0)</f>
        <v>0.24299999999999997</v>
      </c>
      <c r="AC51" s="990">
        <f>IF(AND(AC$49&gt;=$C$5,AC$49&lt;=$C$6),Parameters!$G$419,0)</f>
        <v>0.24299999999999997</v>
      </c>
      <c r="AD51" s="990">
        <f>IF(AND(AD$49&gt;=$C$5,AD$49&lt;=$C$6),Parameters!$G$419,0)</f>
        <v>0.24299999999999997</v>
      </c>
      <c r="AE51" s="990">
        <f>IF(AND(AE$49&gt;=$C$5,AE$49&lt;=$C$6),Parameters!$G$419,0)</f>
        <v>0.24299999999999997</v>
      </c>
      <c r="AF51" s="990">
        <f>IF(AND(AF$49&gt;=$C$5,AF$49&lt;=$C$6),Parameters!$G$419,0)</f>
        <v>0.24299999999999997</v>
      </c>
      <c r="AG51" s="990">
        <f>IF(AND(AG$49&gt;=$C$5,AG$49&lt;=$C$6),Parameters!$G$419,0)</f>
        <v>0.24299999999999997</v>
      </c>
      <c r="AH51" s="990">
        <f>IF(AND(AH$49&gt;=$C$5,AH$49&lt;=$C$6),Parameters!$G$419,0)</f>
        <v>0.24299999999999997</v>
      </c>
      <c r="AI51" s="990">
        <f>IF(AND(AI$49&gt;=$C$5,AI$49&lt;=$C$6),Parameters!$G$419,0)</f>
        <v>0.24299999999999997</v>
      </c>
      <c r="AJ51" s="990">
        <f>IF(AND(AJ$49&gt;=$C$5,AJ$49&lt;=$C$6),Parameters!$G$419,0)</f>
        <v>0.24299999999999997</v>
      </c>
      <c r="AK51" s="990">
        <f>IF(AND(AK$49&gt;=$C$5,AK$49&lt;=$C$6),Parameters!$G$419,0)</f>
        <v>0.24299999999999997</v>
      </c>
      <c r="AL51" s="990">
        <f>IF(AND(AL$49&gt;=$C$5,AL$49&lt;=$C$6),Parameters!$G$419,0)</f>
        <v>0.24299999999999997</v>
      </c>
      <c r="AM51" s="990">
        <f>IF(AND(AM$49&gt;=$C$5,AM$49&lt;=$C$6),Parameters!$G$419,0)</f>
        <v>0.24299999999999997</v>
      </c>
      <c r="AN51" s="990">
        <f>IF(AND(AN$49&gt;=$C$5,AN$49&lt;=$C$6),Parameters!$G$419,0)</f>
        <v>0</v>
      </c>
      <c r="AO51" s="990">
        <f>IF(AND(AO$49&gt;=$C$5,AO$49&lt;=$C$6),Parameters!$G$419,0)</f>
        <v>0</v>
      </c>
      <c r="AP51" s="990">
        <f>IF(AND(AP$49&gt;=$C$5,AP$49&lt;=$C$6),Parameters!$G$419,0)</f>
        <v>0</v>
      </c>
      <c r="AQ51" s="990">
        <f>IF(AND(AQ$49&gt;=$C$5,AQ$49&lt;=$C$6),Parameters!$G$419,0)</f>
        <v>0</v>
      </c>
      <c r="AR51" s="990">
        <f>IF(AND(AR$49&gt;=$C$5,AR$49&lt;=$C$6),Parameters!$G$419,0)</f>
        <v>0</v>
      </c>
      <c r="AS51" s="990">
        <f>IF(AND(AS$49&gt;=$C$5,AS$49&lt;=$C$6),Parameters!$G$419,0)</f>
        <v>0</v>
      </c>
      <c r="AT51" s="990">
        <f>IF(AND(AT$49&gt;=$C$5,AT$49&lt;=$C$6),Parameters!$G$419,0)</f>
        <v>0</v>
      </c>
      <c r="AU51" s="990">
        <f>IF(AND(AU$49&gt;=$C$5,AU$49&lt;=$C$6),Parameters!$G$419,0)</f>
        <v>0</v>
      </c>
      <c r="AV51" s="990">
        <f>IF(AND(AV$49&gt;=$C$5,AV$49&lt;=$C$6),Parameters!$G$419,0)</f>
        <v>0</v>
      </c>
      <c r="AW51" s="990">
        <f>IF(AND(AW$49&gt;=$C$5,AW$49&lt;=$C$6),Parameters!$G$419,0)</f>
        <v>0</v>
      </c>
      <c r="AX51" s="990">
        <f>IF(AND(AX$49&gt;=$C$5,AX$49&lt;=$C$6),Parameters!$G$419,0)</f>
        <v>0</v>
      </c>
      <c r="AY51" s="990">
        <f>IF(AND(AY$49&gt;=$C$5,AY$49&lt;=$C$6),Parameters!$G$419,0)</f>
        <v>0</v>
      </c>
      <c r="AZ51" s="990">
        <f>IF(AND(AZ$49&gt;=$C$5,AZ$49&lt;=$C$6),Parameters!$G$419,0)</f>
        <v>0</v>
      </c>
      <c r="BA51" s="990">
        <f>IF(AND(BA$49&gt;=$C$5,BA$49&lt;=$C$6),Parameters!$G$419,0)</f>
        <v>0</v>
      </c>
      <c r="BB51" s="990">
        <f>IF(AND(BB$49&gt;=$C$5,BB$49&lt;=$C$6),Parameters!$G$419,0)</f>
        <v>0</v>
      </c>
    </row>
    <row r="52" spans="2:54" x14ac:dyDescent="0.25">
      <c r="B52" s="165" t="s">
        <v>1466</v>
      </c>
      <c r="C52" s="165" t="s">
        <v>1447</v>
      </c>
      <c r="G52" s="990">
        <f>IF(AND(G$49&gt;=$C$5,G$49&lt;=$C$6),Parameters!$G$436,0)</f>
        <v>0</v>
      </c>
      <c r="H52" s="990">
        <f>IF(AND(H$49&gt;=$C$5,H$49&lt;=$C$6),Parameters!$G$436,0)</f>
        <v>0</v>
      </c>
      <c r="I52" s="990">
        <f>IF(AND(I$49&gt;=$C$5,I$49&lt;=$C$6),Parameters!$G$436,0)</f>
        <v>0</v>
      </c>
      <c r="J52" s="990">
        <f>IF(AND(J$49&gt;=$C$5,J$49&lt;=$C$6),Parameters!$G$436,0)</f>
        <v>0</v>
      </c>
      <c r="K52" s="990">
        <f>IF(AND(K$49&gt;=$C$5,K$49&lt;=$C$6),Parameters!$G$436,0)</f>
        <v>0</v>
      </c>
      <c r="L52" s="990">
        <f>IF(AND(L$49&gt;=$C$5,L$49&lt;=$C$6),Parameters!$G$436,0)</f>
        <v>0</v>
      </c>
      <c r="M52" s="990">
        <f>IF(AND(M$49&gt;=$C$5,M$49&lt;=$C$6),Parameters!$G$436,0)</f>
        <v>0</v>
      </c>
      <c r="N52" s="990">
        <f>IF(AND(N$49&gt;=$C$5,N$49&lt;=$C$6),Parameters!$G$436,0)</f>
        <v>0</v>
      </c>
      <c r="O52" s="990">
        <f>IF(AND(O$49&gt;=$C$5,O$49&lt;=$C$6),Parameters!$G$436,0)</f>
        <v>0</v>
      </c>
      <c r="P52" s="990">
        <f>IF(AND(P$49&gt;=$C$5,P$49&lt;=$C$6),Parameters!$G$436,0)</f>
        <v>0</v>
      </c>
      <c r="Q52" s="990">
        <f>IF(AND(Q$49&gt;=$C$5,Q$49&lt;=$C$6),Parameters!$G$436,0)</f>
        <v>0</v>
      </c>
      <c r="R52" s="990">
        <f>IF(AND(R$49&gt;=$C$5,R$49&lt;=$C$6),Parameters!$G$436,0)</f>
        <v>0</v>
      </c>
      <c r="S52" s="990">
        <f>IF(AND(S$49&gt;=$C$5,S$49&lt;=$C$6),Parameters!$G$436,0)</f>
        <v>0</v>
      </c>
      <c r="T52" s="990">
        <f>IF(AND(T$49&gt;=$C$5,T$49&lt;=$C$6),Parameters!$G$436,0)</f>
        <v>1.0150752107111509</v>
      </c>
      <c r="U52" s="990">
        <f>IF(AND(U$49&gt;=$C$5,U$49&lt;=$C$6),Parameters!$G$436,0)</f>
        <v>1.0150752107111509</v>
      </c>
      <c r="V52" s="990">
        <f>IF(AND(V$49&gt;=$C$5,V$49&lt;=$C$6),Parameters!$G$436,0)</f>
        <v>1.0150752107111509</v>
      </c>
      <c r="W52" s="990">
        <f>IF(AND(W$49&gt;=$C$5,W$49&lt;=$C$6),Parameters!$G$436,0)</f>
        <v>1.0150752107111509</v>
      </c>
      <c r="X52" s="990">
        <f>IF(AND(X$49&gt;=$C$5,X$49&lt;=$C$6),Parameters!$G$436,0)</f>
        <v>1.0150752107111509</v>
      </c>
      <c r="Y52" s="990">
        <f>IF(AND(Y$49&gt;=$C$5,Y$49&lt;=$C$6),Parameters!$G$436,0)</f>
        <v>1.0150752107111509</v>
      </c>
      <c r="Z52" s="990">
        <f>IF(AND(Z$49&gt;=$C$5,Z$49&lt;=$C$6),Parameters!$G$436,0)</f>
        <v>1.0150752107111509</v>
      </c>
      <c r="AA52" s="990">
        <f>IF(AND(AA$49&gt;=$C$5,AA$49&lt;=$C$6),Parameters!$G$436,0)</f>
        <v>1.0150752107111509</v>
      </c>
      <c r="AB52" s="990">
        <f>IF(AND(AB$49&gt;=$C$5,AB$49&lt;=$C$6),Parameters!$G$436,0)</f>
        <v>1.0150752107111509</v>
      </c>
      <c r="AC52" s="990">
        <f>IF(AND(AC$49&gt;=$C$5,AC$49&lt;=$C$6),Parameters!$G$436,0)</f>
        <v>1.0150752107111509</v>
      </c>
      <c r="AD52" s="990">
        <f>IF(AND(AD$49&gt;=$C$5,AD$49&lt;=$C$6),Parameters!$G$436,0)</f>
        <v>1.0150752107111509</v>
      </c>
      <c r="AE52" s="990">
        <f>IF(AND(AE$49&gt;=$C$5,AE$49&lt;=$C$6),Parameters!$G$436,0)</f>
        <v>1.0150752107111509</v>
      </c>
      <c r="AF52" s="990">
        <f>IF(AND(AF$49&gt;=$C$5,AF$49&lt;=$C$6),Parameters!$G$436,0)</f>
        <v>1.0150752107111509</v>
      </c>
      <c r="AG52" s="990">
        <f>IF(AND(AG$49&gt;=$C$5,AG$49&lt;=$C$6),Parameters!$G$436,0)</f>
        <v>1.0150752107111509</v>
      </c>
      <c r="AH52" s="990">
        <f>IF(AND(AH$49&gt;=$C$5,AH$49&lt;=$C$6),Parameters!$G$436,0)</f>
        <v>1.0150752107111509</v>
      </c>
      <c r="AI52" s="990">
        <f>IF(AND(AI$49&gt;=$C$5,AI$49&lt;=$C$6),Parameters!$G$436,0)</f>
        <v>1.0150752107111509</v>
      </c>
      <c r="AJ52" s="990">
        <f>IF(AND(AJ$49&gt;=$C$5,AJ$49&lt;=$C$6),Parameters!$G$436,0)</f>
        <v>1.0150752107111509</v>
      </c>
      <c r="AK52" s="990">
        <f>IF(AND(AK$49&gt;=$C$5,AK$49&lt;=$C$6),Parameters!$G$436,0)</f>
        <v>1.0150752107111509</v>
      </c>
      <c r="AL52" s="990">
        <f>IF(AND(AL$49&gt;=$C$5,AL$49&lt;=$C$6),Parameters!$G$436,0)</f>
        <v>1.0150752107111509</v>
      </c>
      <c r="AM52" s="990">
        <f>IF(AND(AM$49&gt;=$C$5,AM$49&lt;=$C$6),Parameters!$G$436,0)</f>
        <v>1.0150752107111509</v>
      </c>
      <c r="AN52" s="990">
        <f>IF(AND(AN$49&gt;=$C$5,AN$49&lt;=$C$6),Parameters!$G$436,0)</f>
        <v>0</v>
      </c>
      <c r="AO52" s="990">
        <f>IF(AND(AO$49&gt;=$C$5,AO$49&lt;=$C$6),Parameters!$G$436,0)</f>
        <v>0</v>
      </c>
      <c r="AP52" s="990">
        <f>IF(AND(AP$49&gt;=$C$5,AP$49&lt;=$C$6),Parameters!$G$436,0)</f>
        <v>0</v>
      </c>
      <c r="AQ52" s="990">
        <f>IF(AND(AQ$49&gt;=$C$5,AQ$49&lt;=$C$6),Parameters!$G$436,0)</f>
        <v>0</v>
      </c>
      <c r="AR52" s="990">
        <f>IF(AND(AR$49&gt;=$C$5,AR$49&lt;=$C$6),Parameters!$G$436,0)</f>
        <v>0</v>
      </c>
      <c r="AS52" s="990">
        <f>IF(AND(AS$49&gt;=$C$5,AS$49&lt;=$C$6),Parameters!$G$436,0)</f>
        <v>0</v>
      </c>
      <c r="AT52" s="990">
        <f>IF(AND(AT$49&gt;=$C$5,AT$49&lt;=$C$6),Parameters!$G$436,0)</f>
        <v>0</v>
      </c>
      <c r="AU52" s="990">
        <f>IF(AND(AU$49&gt;=$C$5,AU$49&lt;=$C$6),Parameters!$G$436,0)</f>
        <v>0</v>
      </c>
      <c r="AV52" s="990">
        <f>IF(AND(AV$49&gt;=$C$5,AV$49&lt;=$C$6),Parameters!$G$436,0)</f>
        <v>0</v>
      </c>
      <c r="AW52" s="990">
        <f>IF(AND(AW$49&gt;=$C$5,AW$49&lt;=$C$6),Parameters!$G$436,0)</f>
        <v>0</v>
      </c>
      <c r="AX52" s="990">
        <f>IF(AND(AX$49&gt;=$C$5,AX$49&lt;=$C$6),Parameters!$G$436,0)</f>
        <v>0</v>
      </c>
      <c r="AY52" s="990">
        <f>IF(AND(AY$49&gt;=$C$5,AY$49&lt;=$C$6),Parameters!$G$436,0)</f>
        <v>0</v>
      </c>
      <c r="AZ52" s="990">
        <f>IF(AND(AZ$49&gt;=$C$5,AZ$49&lt;=$C$6),Parameters!$G$436,0)</f>
        <v>0</v>
      </c>
      <c r="BA52" s="990">
        <f>IF(AND(BA$49&gt;=$C$5,BA$49&lt;=$C$6),Parameters!$G$436,0)</f>
        <v>0</v>
      </c>
      <c r="BB52" s="990">
        <f>IF(AND(BB$49&gt;=$C$5,BB$49&lt;=$C$6),Parameters!$G$436,0)</f>
        <v>0</v>
      </c>
    </row>
    <row r="53" spans="2:54" x14ac:dyDescent="0.25">
      <c r="B53" s="165" t="s">
        <v>1467</v>
      </c>
      <c r="C53" s="165" t="s">
        <v>1451</v>
      </c>
      <c r="G53" s="700">
        <f>IF(AND($C$5&lt;=G$49,$C$6&gt;=G$49),'H2 PIPELINE'!$O$16,0)</f>
        <v>0</v>
      </c>
      <c r="H53" s="700">
        <f>IF(AND($C$5&lt;=H$49,$C$6&gt;=H$49),'H2 PIPELINE'!$O$16,0)</f>
        <v>0</v>
      </c>
      <c r="I53" s="700">
        <f>IF(AND($C$5&lt;=I$49,$C$6&gt;=I$49),'H2 PIPELINE'!$O$16,0)</f>
        <v>0</v>
      </c>
      <c r="J53" s="700">
        <f>IF(AND($C$5&lt;=J$49,$C$6&gt;=J$49),'H2 PIPELINE'!$O$16,0)</f>
        <v>0</v>
      </c>
      <c r="K53" s="700">
        <f>IF(AND($C$5&lt;=K$49,$C$6&gt;=K$49),'H2 PIPELINE'!$O$16,0)</f>
        <v>0</v>
      </c>
      <c r="L53" s="700">
        <f>IF(AND($C$5&lt;=L$49,$C$6&gt;=L$49),'H2 PIPELINE'!$O$16,0)</f>
        <v>0</v>
      </c>
      <c r="M53" s="700">
        <f>IF(AND($C$5&lt;=M$49,$C$6&gt;=M$49),'H2 PIPELINE'!$O$16,0)</f>
        <v>0</v>
      </c>
      <c r="N53" s="700">
        <f>IF(AND($C$5&lt;=N$49,$C$6&gt;=N$49),'H2 PIPELINE'!$O$16,0)</f>
        <v>0</v>
      </c>
      <c r="O53" s="700">
        <f>IF(AND($C$5&lt;=O$49,$C$6&gt;=O$49),'H2 PIPELINE'!$O$16,0)</f>
        <v>0</v>
      </c>
      <c r="P53" s="700">
        <f>IF(AND($C$5&lt;=P$49,$C$6&gt;=P$49),'H2 PIPELINE'!$O$16,0)</f>
        <v>0</v>
      </c>
      <c r="Q53" s="700">
        <f>IF(AND($C$5&lt;=Q$49,$C$6&gt;=Q$49),'H2 PIPELINE'!$O$16,0)</f>
        <v>0</v>
      </c>
      <c r="R53" s="700">
        <f>IF(AND($C$5&lt;=R$49,$C$6&gt;=R$49),'H2 PIPELINE'!$O$16,0)</f>
        <v>0</v>
      </c>
      <c r="S53" s="700">
        <f>IF(AND($C$5&lt;=S$49,$C$6&gt;=S$49),'H2 PIPELINE'!$O$16,0)</f>
        <v>0</v>
      </c>
      <c r="T53" s="700">
        <f>IF(AND($C$5&lt;=T$49,$C$6&gt;=T$49),'H2 PIPELINE'!$O$16,0)</f>
        <v>2127.6595744680849</v>
      </c>
      <c r="U53" s="700">
        <f>IF(AND($C$5&lt;=U$49,$C$6&gt;=U$49),'H2 PIPELINE'!$O$16,0)</f>
        <v>2127.6595744680849</v>
      </c>
      <c r="V53" s="700">
        <f>IF(AND($C$5&lt;=V$49,$C$6&gt;=V$49),'H2 PIPELINE'!$O$16,0)</f>
        <v>2127.6595744680849</v>
      </c>
      <c r="W53" s="700">
        <f>IF(AND($C$5&lt;=W$49,$C$6&gt;=W$49),'H2 PIPELINE'!$O$16,0)</f>
        <v>2127.6595744680849</v>
      </c>
      <c r="X53" s="700">
        <f>IF(AND($C$5&lt;=X$49,$C$6&gt;=X$49),'H2 PIPELINE'!$O$16,0)</f>
        <v>2127.6595744680849</v>
      </c>
      <c r="Y53" s="700">
        <f>IF(AND($C$5&lt;=Y$49,$C$6&gt;=Y$49),'H2 PIPELINE'!$O$16,0)</f>
        <v>2127.6595744680849</v>
      </c>
      <c r="Z53" s="700">
        <f>IF(AND($C$5&lt;=Z$49,$C$6&gt;=Z$49),'H2 PIPELINE'!$O$16,0)</f>
        <v>2127.6595744680849</v>
      </c>
      <c r="AA53" s="700">
        <f>IF(AND($C$5&lt;=AA$49,$C$6&gt;=AA$49),'H2 PIPELINE'!$O$16,0)</f>
        <v>2127.6595744680849</v>
      </c>
      <c r="AB53" s="700">
        <f>IF(AND($C$5&lt;=AB$49,$C$6&gt;=AB$49),'H2 PIPELINE'!$O$16,0)</f>
        <v>2127.6595744680849</v>
      </c>
      <c r="AC53" s="700">
        <f>IF(AND($C$5&lt;=AC$49,$C$6&gt;=AC$49),'H2 PIPELINE'!$O$16,0)</f>
        <v>2127.6595744680849</v>
      </c>
      <c r="AD53" s="700">
        <f>IF(AND($C$5&lt;=AD$49,$C$6&gt;=AD$49),'H2 PIPELINE'!$O$16,0)</f>
        <v>2127.6595744680849</v>
      </c>
      <c r="AE53" s="700">
        <f>IF(AND($C$5&lt;=AE$49,$C$6&gt;=AE$49),'H2 PIPELINE'!$O$16,0)</f>
        <v>2127.6595744680849</v>
      </c>
      <c r="AF53" s="700">
        <f>IF(AND($C$5&lt;=AF$49,$C$6&gt;=AF$49),'H2 PIPELINE'!$O$16,0)</f>
        <v>2127.6595744680849</v>
      </c>
      <c r="AG53" s="700">
        <f>IF(AND($C$5&lt;=AG$49,$C$6&gt;=AG$49),'H2 PIPELINE'!$O$16,0)</f>
        <v>2127.6595744680849</v>
      </c>
      <c r="AH53" s="700">
        <f>IF(AND($C$5&lt;=AH$49,$C$6&gt;=AH$49),'H2 PIPELINE'!$O$16,0)</f>
        <v>2127.6595744680849</v>
      </c>
      <c r="AI53" s="700">
        <f>IF(AND($C$5&lt;=AI$49,$C$6&gt;=AI$49),'H2 PIPELINE'!$O$16,0)</f>
        <v>2127.6595744680849</v>
      </c>
      <c r="AJ53" s="700">
        <f>IF(AND($C$5&lt;=AJ$49,$C$6&gt;=AJ$49),'H2 PIPELINE'!$O$16,0)</f>
        <v>2127.6595744680849</v>
      </c>
      <c r="AK53" s="700">
        <f>IF(AND($C$5&lt;=AK$49,$C$6&gt;=AK$49),'H2 PIPELINE'!$O$16,0)</f>
        <v>2127.6595744680849</v>
      </c>
      <c r="AL53" s="700">
        <f>IF(AND($C$5&lt;=AL$49,$C$6&gt;=AL$49),'H2 PIPELINE'!$O$16,0)</f>
        <v>2127.6595744680849</v>
      </c>
      <c r="AM53" s="700">
        <f>IF(AND($C$5&lt;=AM$49,$C$6&gt;=AM$49),'H2 PIPELINE'!$O$16,0)</f>
        <v>2127.6595744680849</v>
      </c>
      <c r="AN53" s="700">
        <f>IF(AND($C$5&lt;=AN$49,$C$6&gt;=AN$49),'H2 PIPELINE'!$O$16,0)</f>
        <v>0</v>
      </c>
      <c r="AO53" s="700">
        <f>IF(AND($C$5&lt;=AO$49,$C$6&gt;=AO$49),'H2 PIPELINE'!$O$16,0)</f>
        <v>0</v>
      </c>
      <c r="AP53" s="700">
        <f>IF(AND($C$5&lt;=AP$49,$C$6&gt;=AP$49),'H2 PIPELINE'!$O$16,0)</f>
        <v>0</v>
      </c>
      <c r="AQ53" s="700">
        <f>IF(AND($C$5&lt;=AQ$49,$C$6&gt;=AQ$49),'H2 PIPELINE'!$O$16,0)</f>
        <v>0</v>
      </c>
      <c r="AR53" s="700">
        <f>IF(AND($C$5&lt;=AR$49,$C$6&gt;=AR$49),'H2 PIPELINE'!$O$16,0)</f>
        <v>0</v>
      </c>
      <c r="AS53" s="700">
        <f>IF(AND($C$5&lt;=AS$49,$C$6&gt;=AS$49),'H2 PIPELINE'!$O$16,0)</f>
        <v>0</v>
      </c>
      <c r="AT53" s="700">
        <f>IF(AND($C$5&lt;=AT$49,$C$6&gt;=AT$49),'H2 PIPELINE'!$O$16,0)</f>
        <v>0</v>
      </c>
      <c r="AU53" s="700">
        <f>IF(AND($C$5&lt;=AU$49,$C$6&gt;=AU$49),'H2 PIPELINE'!$O$16,0)</f>
        <v>0</v>
      </c>
      <c r="AV53" s="700">
        <f>IF(AND($C$5&lt;=AV$49,$C$6&gt;=AV$49),'H2 PIPELINE'!$O$16,0)</f>
        <v>0</v>
      </c>
      <c r="AW53" s="700">
        <f>IF(AND($C$5&lt;=AW$49,$C$6&gt;=AW$49),'H2 PIPELINE'!$O$16,0)</f>
        <v>0</v>
      </c>
      <c r="AX53" s="700">
        <f>IF(AND($C$5&lt;=AX$49,$C$6&gt;=AX$49),'H2 PIPELINE'!$O$16,0)</f>
        <v>0</v>
      </c>
      <c r="AY53" s="700">
        <f>IF(AND($C$5&lt;=AY$49,$C$6&gt;=AY$49),'H2 PIPELINE'!$O$16,0)</f>
        <v>0</v>
      </c>
      <c r="AZ53" s="700">
        <f>IF(AND($C$5&lt;=AZ$49,$C$6&gt;=AZ$49),'H2 PIPELINE'!$O$16,0)</f>
        <v>0</v>
      </c>
      <c r="BA53" s="700">
        <f>IF(AND($C$5&lt;=BA$49,$C$6&gt;=BA$49),'H2 PIPELINE'!$O$16,0)</f>
        <v>0</v>
      </c>
      <c r="BB53" s="700">
        <f>IF(AND($C$5&lt;=BB$49,$C$6&gt;=BB$49),'H2 PIPELINE'!$O$16,0)</f>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8"/>
  <dimension ref="B2:BB26"/>
  <sheetViews>
    <sheetView zoomScaleNormal="100" workbookViewId="0">
      <selection activeCell="F14" sqref="F14"/>
    </sheetView>
  </sheetViews>
  <sheetFormatPr defaultColWidth="8.85546875" defaultRowHeight="15" x14ac:dyDescent="0.25"/>
  <cols>
    <col min="1" max="1" width="8.85546875" style="171"/>
    <col min="2" max="2" width="35.5703125" style="171" customWidth="1"/>
    <col min="3" max="3" width="11.42578125" style="171" bestFit="1" customWidth="1"/>
    <col min="4" max="5" width="9.85546875" style="171" bestFit="1" customWidth="1"/>
    <col min="6" max="8" width="9.5703125" style="171" bestFit="1" customWidth="1"/>
    <col min="9" max="9" width="10.28515625" style="171" customWidth="1"/>
    <col min="10" max="53" width="9.5703125" style="171" bestFit="1" customWidth="1"/>
    <col min="54" max="54" width="7" style="171" bestFit="1" customWidth="1"/>
    <col min="55" max="16384" width="8.85546875" style="171"/>
  </cols>
  <sheetData>
    <row r="2" spans="2:54" x14ac:dyDescent="0.25">
      <c r="B2" s="615" t="s">
        <v>1029</v>
      </c>
      <c r="C2" s="615" t="s">
        <v>1030</v>
      </c>
      <c r="D2" s="616"/>
      <c r="E2" s="616"/>
      <c r="F2" s="616"/>
      <c r="G2" s="616"/>
      <c r="H2" s="616"/>
      <c r="I2" s="616"/>
      <c r="J2" s="616"/>
      <c r="K2" s="616"/>
      <c r="L2" s="616"/>
      <c r="M2" s="616"/>
      <c r="N2" s="616"/>
      <c r="O2" s="616"/>
      <c r="P2" s="616"/>
      <c r="Q2" s="616"/>
      <c r="R2" s="616"/>
      <c r="S2" s="616"/>
      <c r="T2" s="616"/>
      <c r="U2" s="616"/>
      <c r="V2" s="616"/>
      <c r="W2" s="616"/>
      <c r="X2" s="616"/>
      <c r="Y2" s="616"/>
      <c r="Z2" s="616"/>
      <c r="AA2" s="616"/>
    </row>
    <row r="3" spans="2:54" x14ac:dyDescent="0.25">
      <c r="B3" s="615"/>
      <c r="C3" s="615"/>
      <c r="D3" s="617">
        <v>2017</v>
      </c>
      <c r="E3" s="617">
        <v>2018</v>
      </c>
      <c r="F3" s="617">
        <v>2019</v>
      </c>
      <c r="G3" s="617">
        <v>2020</v>
      </c>
      <c r="H3" s="617">
        <v>2021</v>
      </c>
      <c r="I3" s="617">
        <v>2022</v>
      </c>
      <c r="J3" s="617">
        <v>2023</v>
      </c>
      <c r="K3" s="617">
        <v>2024</v>
      </c>
      <c r="L3" s="617">
        <v>2025</v>
      </c>
      <c r="M3" s="617">
        <v>2026</v>
      </c>
      <c r="N3" s="617">
        <v>2027</v>
      </c>
      <c r="O3" s="617">
        <v>2028</v>
      </c>
      <c r="P3" s="617">
        <v>2029</v>
      </c>
      <c r="Q3" s="617">
        <v>2030</v>
      </c>
      <c r="R3" s="617">
        <v>2031</v>
      </c>
      <c r="S3" s="617">
        <v>2032</v>
      </c>
      <c r="T3" s="617">
        <v>2033</v>
      </c>
      <c r="U3" s="617">
        <v>2034</v>
      </c>
      <c r="V3" s="617">
        <v>2035</v>
      </c>
      <c r="W3" s="617">
        <v>2036</v>
      </c>
      <c r="X3" s="617">
        <v>2037</v>
      </c>
      <c r="Y3" s="617">
        <v>2038</v>
      </c>
      <c r="Z3" s="617">
        <v>2039</v>
      </c>
      <c r="AA3" s="617">
        <v>2040</v>
      </c>
      <c r="AB3" s="171">
        <f>AA3+1</f>
        <v>2041</v>
      </c>
      <c r="AC3" s="171">
        <f t="shared" ref="AC3:BB3" si="0">AB3+1</f>
        <v>2042</v>
      </c>
      <c r="AD3" s="171">
        <f t="shared" si="0"/>
        <v>2043</v>
      </c>
      <c r="AE3" s="171">
        <f t="shared" si="0"/>
        <v>2044</v>
      </c>
      <c r="AF3" s="171">
        <f t="shared" si="0"/>
        <v>2045</v>
      </c>
      <c r="AG3" s="171">
        <f t="shared" si="0"/>
        <v>2046</v>
      </c>
      <c r="AH3" s="171">
        <f t="shared" si="0"/>
        <v>2047</v>
      </c>
      <c r="AI3" s="171">
        <f t="shared" si="0"/>
        <v>2048</v>
      </c>
      <c r="AJ3" s="171">
        <f t="shared" si="0"/>
        <v>2049</v>
      </c>
      <c r="AK3" s="171">
        <f t="shared" si="0"/>
        <v>2050</v>
      </c>
      <c r="AL3" s="171">
        <f t="shared" si="0"/>
        <v>2051</v>
      </c>
      <c r="AM3" s="171">
        <f t="shared" si="0"/>
        <v>2052</v>
      </c>
      <c r="AN3" s="171">
        <f t="shared" si="0"/>
        <v>2053</v>
      </c>
      <c r="AO3" s="171">
        <f t="shared" si="0"/>
        <v>2054</v>
      </c>
      <c r="AP3" s="171">
        <f t="shared" si="0"/>
        <v>2055</v>
      </c>
      <c r="AQ3" s="171">
        <f t="shared" si="0"/>
        <v>2056</v>
      </c>
      <c r="AR3" s="171">
        <f t="shared" si="0"/>
        <v>2057</v>
      </c>
      <c r="AS3" s="171">
        <f t="shared" si="0"/>
        <v>2058</v>
      </c>
      <c r="AT3" s="171">
        <f t="shared" si="0"/>
        <v>2059</v>
      </c>
      <c r="AU3" s="171">
        <f t="shared" si="0"/>
        <v>2060</v>
      </c>
      <c r="AV3" s="171">
        <f t="shared" si="0"/>
        <v>2061</v>
      </c>
      <c r="AW3" s="171">
        <f t="shared" si="0"/>
        <v>2062</v>
      </c>
      <c r="AX3" s="171">
        <f t="shared" si="0"/>
        <v>2063</v>
      </c>
      <c r="AY3" s="171">
        <f t="shared" si="0"/>
        <v>2064</v>
      </c>
      <c r="AZ3" s="171">
        <f t="shared" si="0"/>
        <v>2065</v>
      </c>
      <c r="BA3" s="171">
        <f t="shared" si="0"/>
        <v>2066</v>
      </c>
      <c r="BB3" s="171">
        <f t="shared" si="0"/>
        <v>2067</v>
      </c>
    </row>
    <row r="4" spans="2:54" x14ac:dyDescent="0.25">
      <c r="B4" s="615" t="s">
        <v>952</v>
      </c>
      <c r="C4" s="618">
        <v>1</v>
      </c>
      <c r="D4" s="619">
        <f>Frontier!D39</f>
        <v>24.211836734693875</v>
      </c>
      <c r="E4" s="619">
        <f>Frontier!E39</f>
        <v>25.453469387755103</v>
      </c>
      <c r="F4" s="619">
        <f>Frontier!F39</f>
        <v>26.695102040816327</v>
      </c>
      <c r="G4" s="619">
        <f>Frontier!G39</f>
        <v>27.936734693877547</v>
      </c>
      <c r="H4" s="619">
        <f>Frontier!H39</f>
        <v>28.971428571428568</v>
      </c>
      <c r="I4" s="619">
        <f>Frontier!I39</f>
        <v>30.006122448979589</v>
      </c>
      <c r="J4" s="619">
        <f>Frontier!J39</f>
        <v>31.040816326530607</v>
      </c>
      <c r="K4" s="619">
        <f>Frontier!K39</f>
        <v>31.336443148688044</v>
      </c>
      <c r="L4" s="619">
        <f>Frontier!L39</f>
        <v>31.632069970845482</v>
      </c>
      <c r="M4" s="619">
        <f>Frontier!M39</f>
        <v>31.927696793002912</v>
      </c>
      <c r="N4" s="619">
        <f>Frontier!N39</f>
        <v>32.223323615160346</v>
      </c>
      <c r="O4" s="619">
        <f>Frontier!O39</f>
        <v>32.518950437317777</v>
      </c>
      <c r="P4" s="619">
        <f>Frontier!P39</f>
        <v>32.814577259475222</v>
      </c>
      <c r="Q4" s="619">
        <f>Frontier!Q39</f>
        <v>33.110204081632652</v>
      </c>
      <c r="R4" s="619">
        <f>Frontier!R39</f>
        <v>33.110204081632652</v>
      </c>
      <c r="S4" s="619">
        <f>Frontier!S39</f>
        <v>33.110204081632652</v>
      </c>
      <c r="T4" s="619">
        <f>Frontier!T39</f>
        <v>33.110204081632645</v>
      </c>
      <c r="U4" s="619">
        <f>Frontier!U39</f>
        <v>33.110204081632652</v>
      </c>
      <c r="V4" s="619">
        <f>Frontier!V39</f>
        <v>33.110204081632652</v>
      </c>
      <c r="W4" s="619">
        <f>Frontier!W39</f>
        <v>33.110204081632645</v>
      </c>
      <c r="X4" s="619">
        <f>Frontier!X39</f>
        <v>33.110204081632652</v>
      </c>
      <c r="Y4" s="619">
        <f>Frontier!Y39</f>
        <v>33.110204081632652</v>
      </c>
      <c r="Z4" s="619">
        <f>Frontier!Z39</f>
        <v>33.110204081632652</v>
      </c>
      <c r="AA4" s="619">
        <f>Frontier!AA39</f>
        <v>33.110204081632645</v>
      </c>
      <c r="AB4" s="620">
        <f>AA4</f>
        <v>33.110204081632645</v>
      </c>
      <c r="AC4" s="620">
        <f t="shared" ref="AC4:BB4" si="1">AB4</f>
        <v>33.110204081632645</v>
      </c>
      <c r="AD4" s="620">
        <f t="shared" si="1"/>
        <v>33.110204081632645</v>
      </c>
      <c r="AE4" s="620">
        <f t="shared" si="1"/>
        <v>33.110204081632645</v>
      </c>
      <c r="AF4" s="620">
        <f t="shared" si="1"/>
        <v>33.110204081632645</v>
      </c>
      <c r="AG4" s="620">
        <f t="shared" si="1"/>
        <v>33.110204081632645</v>
      </c>
      <c r="AH4" s="620">
        <f t="shared" si="1"/>
        <v>33.110204081632645</v>
      </c>
      <c r="AI4" s="620">
        <f t="shared" si="1"/>
        <v>33.110204081632645</v>
      </c>
      <c r="AJ4" s="620">
        <f t="shared" si="1"/>
        <v>33.110204081632645</v>
      </c>
      <c r="AK4" s="620">
        <f t="shared" si="1"/>
        <v>33.110204081632645</v>
      </c>
      <c r="AL4" s="620">
        <f t="shared" si="1"/>
        <v>33.110204081632645</v>
      </c>
      <c r="AM4" s="620">
        <f t="shared" si="1"/>
        <v>33.110204081632645</v>
      </c>
      <c r="AN4" s="620">
        <f t="shared" si="1"/>
        <v>33.110204081632645</v>
      </c>
      <c r="AO4" s="620">
        <f t="shared" si="1"/>
        <v>33.110204081632645</v>
      </c>
      <c r="AP4" s="620">
        <f t="shared" si="1"/>
        <v>33.110204081632645</v>
      </c>
      <c r="AQ4" s="620">
        <f t="shared" si="1"/>
        <v>33.110204081632645</v>
      </c>
      <c r="AR4" s="620">
        <f t="shared" si="1"/>
        <v>33.110204081632645</v>
      </c>
      <c r="AS4" s="620">
        <f t="shared" si="1"/>
        <v>33.110204081632645</v>
      </c>
      <c r="AT4" s="620">
        <f t="shared" si="1"/>
        <v>33.110204081632645</v>
      </c>
      <c r="AU4" s="620">
        <f t="shared" si="1"/>
        <v>33.110204081632645</v>
      </c>
      <c r="AV4" s="620">
        <f t="shared" si="1"/>
        <v>33.110204081632645</v>
      </c>
      <c r="AW4" s="620">
        <f t="shared" si="1"/>
        <v>33.110204081632645</v>
      </c>
      <c r="AX4" s="620">
        <f t="shared" si="1"/>
        <v>33.110204081632645</v>
      </c>
      <c r="AY4" s="620">
        <f t="shared" si="1"/>
        <v>33.110204081632645</v>
      </c>
      <c r="AZ4" s="620">
        <f t="shared" si="1"/>
        <v>33.110204081632645</v>
      </c>
      <c r="BA4" s="620">
        <f t="shared" si="1"/>
        <v>33.110204081632645</v>
      </c>
      <c r="BB4" s="620">
        <f t="shared" si="1"/>
        <v>33.110204081632645</v>
      </c>
    </row>
    <row r="5" spans="2:54" x14ac:dyDescent="0.25">
      <c r="B5" s="615" t="s">
        <v>1031</v>
      </c>
      <c r="C5" s="618">
        <f t="shared" ref="C5:C11" si="2">C4+1</f>
        <v>2</v>
      </c>
      <c r="D5" s="619">
        <f>Frontier!D40</f>
        <v>24.211836734693875</v>
      </c>
      <c r="E5" s="619">
        <f>Frontier!E40</f>
        <v>25.453469387755103</v>
      </c>
      <c r="F5" s="619">
        <f>Frontier!F40</f>
        <v>26.695102040816327</v>
      </c>
      <c r="G5" s="619">
        <f>Frontier!G40</f>
        <v>27.936734693877547</v>
      </c>
      <c r="H5" s="619">
        <f>Frontier!H40</f>
        <v>28.971428571428568</v>
      </c>
      <c r="I5" s="619">
        <f>Frontier!I40</f>
        <v>30.006122448979589</v>
      </c>
      <c r="J5" s="619">
        <f>Frontier!J40</f>
        <v>31.040816326530607</v>
      </c>
      <c r="K5" s="619">
        <f>Frontier!K40</f>
        <v>31.336443148688044</v>
      </c>
      <c r="L5" s="619">
        <f>Frontier!L40</f>
        <v>31.632069970845482</v>
      </c>
      <c r="M5" s="619">
        <f>Frontier!M40</f>
        <v>31.927696793002912</v>
      </c>
      <c r="N5" s="619">
        <f>Frontier!N40</f>
        <v>32.223323615160346</v>
      </c>
      <c r="O5" s="619">
        <f>Frontier!O40</f>
        <v>32.518950437317777</v>
      </c>
      <c r="P5" s="619">
        <f>Frontier!P40</f>
        <v>32.814577259475222</v>
      </c>
      <c r="Q5" s="619">
        <f>Frontier!Q40</f>
        <v>33.110204081632652</v>
      </c>
      <c r="R5" s="619">
        <f>Frontier!R40</f>
        <v>33.110204081632652</v>
      </c>
      <c r="S5" s="619">
        <f>Frontier!S40</f>
        <v>33.110204081632652</v>
      </c>
      <c r="T5" s="619">
        <f>Frontier!T40</f>
        <v>33.110204081632645</v>
      </c>
      <c r="U5" s="619">
        <f>Frontier!U40</f>
        <v>33.110204081632652</v>
      </c>
      <c r="V5" s="619">
        <f>Frontier!V40</f>
        <v>33.110204081632652</v>
      </c>
      <c r="W5" s="619">
        <f>Frontier!W40</f>
        <v>33.110204081632645</v>
      </c>
      <c r="X5" s="619">
        <f>Frontier!X40</f>
        <v>33.110204081632652</v>
      </c>
      <c r="Y5" s="619">
        <f>Frontier!Y40</f>
        <v>33.110204081632652</v>
      </c>
      <c r="Z5" s="619">
        <f>Frontier!Z40</f>
        <v>33.110204081632652</v>
      </c>
      <c r="AA5" s="619">
        <f>Frontier!AA40</f>
        <v>33.110204081632645</v>
      </c>
    </row>
    <row r="6" spans="2:54" x14ac:dyDescent="0.25">
      <c r="B6" s="615" t="s">
        <v>1032</v>
      </c>
      <c r="C6" s="618">
        <f t="shared" si="2"/>
        <v>3</v>
      </c>
      <c r="D6" s="619">
        <f>Frontier!D41</f>
        <v>24.211836734693875</v>
      </c>
      <c r="E6" s="619">
        <f>Frontier!E41</f>
        <v>25.453469387755103</v>
      </c>
      <c r="F6" s="619">
        <f>Frontier!F41</f>
        <v>26.695102040816327</v>
      </c>
      <c r="G6" s="619">
        <f>Frontier!G41</f>
        <v>27.936734693877547</v>
      </c>
      <c r="H6" s="619">
        <f>Frontier!H41</f>
        <v>28.971428571428568</v>
      </c>
      <c r="I6" s="619">
        <f>Frontier!I41</f>
        <v>30.006122448979589</v>
      </c>
      <c r="J6" s="619">
        <f>Frontier!J41</f>
        <v>31.040816326530607</v>
      </c>
      <c r="K6" s="619">
        <f>Frontier!K41</f>
        <v>31.336443148688044</v>
      </c>
      <c r="L6" s="619">
        <f>Frontier!L41</f>
        <v>31.632069970845482</v>
      </c>
      <c r="M6" s="619">
        <f>Frontier!M41</f>
        <v>31.927696793002912</v>
      </c>
      <c r="N6" s="619">
        <f>Frontier!N41</f>
        <v>32.223323615160346</v>
      </c>
      <c r="O6" s="619">
        <f>Frontier!O41</f>
        <v>32.518950437317777</v>
      </c>
      <c r="P6" s="619">
        <f>Frontier!P41</f>
        <v>32.814577259475222</v>
      </c>
      <c r="Q6" s="619">
        <f>Frontier!Q41</f>
        <v>33.110204081632652</v>
      </c>
      <c r="R6" s="619">
        <f>Frontier!R41</f>
        <v>33.110204081632652</v>
      </c>
      <c r="S6" s="619">
        <f>Frontier!S41</f>
        <v>33.110204081632652</v>
      </c>
      <c r="T6" s="619">
        <f>Frontier!T41</f>
        <v>33.110204081632645</v>
      </c>
      <c r="U6" s="619">
        <f>Frontier!U41</f>
        <v>33.110204081632652</v>
      </c>
      <c r="V6" s="619">
        <f>Frontier!V41</f>
        <v>33.110204081632652</v>
      </c>
      <c r="W6" s="619">
        <f>Frontier!W41</f>
        <v>33.110204081632645</v>
      </c>
      <c r="X6" s="619">
        <f>Frontier!X41</f>
        <v>33.110204081632652</v>
      </c>
      <c r="Y6" s="619">
        <f>Frontier!Y41</f>
        <v>33.110204081632652</v>
      </c>
      <c r="Z6" s="619">
        <f>Frontier!Z41</f>
        <v>33.110204081632652</v>
      </c>
      <c r="AA6" s="619">
        <f>Frontier!AA41</f>
        <v>33.110204081632645</v>
      </c>
    </row>
    <row r="7" spans="2:54" x14ac:dyDescent="0.25">
      <c r="B7" s="615" t="s">
        <v>1033</v>
      </c>
      <c r="C7" s="618">
        <f t="shared" si="2"/>
        <v>4</v>
      </c>
      <c r="D7" s="619">
        <f>Frontier!D42</f>
        <v>27.108979591836736</v>
      </c>
      <c r="E7" s="619">
        <f>Frontier!E42</f>
        <v>29.799183673469386</v>
      </c>
      <c r="F7" s="619">
        <f>Frontier!F42</f>
        <v>32.489387755102044</v>
      </c>
      <c r="G7" s="619">
        <f>Frontier!G42</f>
        <v>35.179591836734694</v>
      </c>
      <c r="H7" s="619">
        <f>Frontier!H42</f>
        <v>36.904081632653053</v>
      </c>
      <c r="I7" s="619">
        <f>Frontier!I42</f>
        <v>38.628571428571426</v>
      </c>
      <c r="J7" s="619">
        <f>Frontier!J42</f>
        <v>40.353061224489785</v>
      </c>
      <c r="K7" s="619">
        <f>Frontier!K42</f>
        <v>41.092128279883376</v>
      </c>
      <c r="L7" s="619">
        <f>Frontier!L42</f>
        <v>41.831195335276959</v>
      </c>
      <c r="M7" s="619">
        <f>Frontier!M42</f>
        <v>42.570262390670557</v>
      </c>
      <c r="N7" s="619">
        <f>Frontier!N42</f>
        <v>43.309329446064133</v>
      </c>
      <c r="O7" s="619">
        <f>Frontier!O42</f>
        <v>44.048396501457724</v>
      </c>
      <c r="P7" s="619">
        <f>Frontier!P42</f>
        <v>44.787463556851307</v>
      </c>
      <c r="Q7" s="619">
        <f>Frontier!Q42</f>
        <v>45.526530612244898</v>
      </c>
      <c r="R7" s="619">
        <f>Frontier!R42</f>
        <v>46.147346938775506</v>
      </c>
      <c r="S7" s="619">
        <f>Frontier!S42</f>
        <v>46.768163265306121</v>
      </c>
      <c r="T7" s="619">
        <f>Frontier!T42</f>
        <v>47.388979591836723</v>
      </c>
      <c r="U7" s="619">
        <f>Frontier!U42</f>
        <v>48.009795918367352</v>
      </c>
      <c r="V7" s="619">
        <f>Frontier!V42</f>
        <v>48.630612244897954</v>
      </c>
      <c r="W7" s="619">
        <f>Frontier!W42</f>
        <v>49.251428571428562</v>
      </c>
      <c r="X7" s="619">
        <f>Frontier!X42</f>
        <v>49.872244897959177</v>
      </c>
      <c r="Y7" s="619">
        <f>Frontier!Y42</f>
        <v>50.4930612244898</v>
      </c>
      <c r="Z7" s="619">
        <f>Frontier!Z42</f>
        <v>51.113877551020416</v>
      </c>
      <c r="AA7" s="619">
        <f>Frontier!AA42</f>
        <v>51.734693877551024</v>
      </c>
    </row>
    <row r="8" spans="2:54" x14ac:dyDescent="0.25">
      <c r="B8" s="615" t="s">
        <v>1034</v>
      </c>
      <c r="C8" s="618">
        <f t="shared" si="2"/>
        <v>5</v>
      </c>
      <c r="D8" s="619">
        <f>Frontier!D43</f>
        <v>24.211836734693875</v>
      </c>
      <c r="E8" s="619">
        <f>Frontier!E43</f>
        <v>25.453469387755103</v>
      </c>
      <c r="F8" s="619">
        <f>Frontier!F43</f>
        <v>26.695102040816327</v>
      </c>
      <c r="G8" s="619">
        <f>Frontier!G43</f>
        <v>27.936734693877547</v>
      </c>
      <c r="H8" s="619">
        <f>Frontier!H43</f>
        <v>28.971428571428568</v>
      </c>
      <c r="I8" s="619">
        <f>Frontier!I43</f>
        <v>30.006122448979589</v>
      </c>
      <c r="J8" s="619">
        <f>Frontier!J43</f>
        <v>31.040816326530607</v>
      </c>
      <c r="K8" s="619">
        <f>Frontier!K43</f>
        <v>31.336443148688044</v>
      </c>
      <c r="L8" s="619">
        <f>Frontier!L43</f>
        <v>31.632069970845482</v>
      </c>
      <c r="M8" s="619">
        <f>Frontier!M43</f>
        <v>31.927696793002912</v>
      </c>
      <c r="N8" s="619">
        <f>Frontier!N43</f>
        <v>32.223323615160346</v>
      </c>
      <c r="O8" s="619">
        <f>Frontier!O43</f>
        <v>32.518950437317777</v>
      </c>
      <c r="P8" s="619">
        <f>Frontier!P43</f>
        <v>32.814577259475222</v>
      </c>
      <c r="Q8" s="619">
        <f>Frontier!Q43</f>
        <v>33.110204081632652</v>
      </c>
      <c r="R8" s="619">
        <f>Frontier!R43</f>
        <v>33.110204081632652</v>
      </c>
      <c r="S8" s="619">
        <f>Frontier!S43</f>
        <v>33.110204081632652</v>
      </c>
      <c r="T8" s="619">
        <f>Frontier!T43</f>
        <v>33.110204081632645</v>
      </c>
      <c r="U8" s="619">
        <f>Frontier!U43</f>
        <v>33.110204081632652</v>
      </c>
      <c r="V8" s="619">
        <f>Frontier!V43</f>
        <v>33.110204081632652</v>
      </c>
      <c r="W8" s="619">
        <f>Frontier!W43</f>
        <v>33.110204081632645</v>
      </c>
      <c r="X8" s="619">
        <f>Frontier!X43</f>
        <v>33.110204081632652</v>
      </c>
      <c r="Y8" s="619">
        <f>Frontier!Y43</f>
        <v>33.110204081632652</v>
      </c>
      <c r="Z8" s="619">
        <f>Frontier!Z43</f>
        <v>33.110204081632652</v>
      </c>
      <c r="AA8" s="619">
        <f>Frontier!AA43</f>
        <v>33.110204081632645</v>
      </c>
    </row>
    <row r="9" spans="2:54" x14ac:dyDescent="0.25">
      <c r="B9" s="615" t="s">
        <v>1035</v>
      </c>
      <c r="C9" s="618">
        <f t="shared" si="2"/>
        <v>6</v>
      </c>
      <c r="D9" s="621">
        <f>'NEV Tabel 3a Prijzen V'!D41</f>
        <v>16.764805641397665</v>
      </c>
      <c r="E9" s="621">
        <f>'NEV Tabel 3a Prijzen V'!E41</f>
        <v>16.660749861724845</v>
      </c>
      <c r="F9" s="621">
        <f>'NEV Tabel 3a Prijzen V'!F41</f>
        <v>16.334652126039423</v>
      </c>
      <c r="G9" s="621">
        <f>'NEV Tabel 3a Prijzen V'!G41</f>
        <v>17.806237725910087</v>
      </c>
      <c r="H9" s="621">
        <f>'NEV Tabel 3a Prijzen V'!H41</f>
        <v>19.277823325780755</v>
      </c>
      <c r="I9" s="621">
        <f>'NEV Tabel 3a Prijzen V'!I41</f>
        <v>20.749408925651423</v>
      </c>
      <c r="J9" s="621">
        <f>'NEV Tabel 3a Prijzen V'!J41</f>
        <v>22.220994525522087</v>
      </c>
      <c r="K9" s="621">
        <f>'NEV Tabel 3a Prijzen V'!K41</f>
        <v>23.692580125392752</v>
      </c>
      <c r="L9" s="621">
        <f>'NEV Tabel 3a Prijzen V'!L41</f>
        <v>25.164165725263416</v>
      </c>
      <c r="M9" s="621">
        <f>'NEV Tabel 3a Prijzen V'!M41</f>
        <v>26.635751325134081</v>
      </c>
      <c r="N9" s="621">
        <f>'NEV Tabel 3a Prijzen V'!N41</f>
        <v>28.107336925004745</v>
      </c>
      <c r="O9" s="621">
        <f>'NEV Tabel 3a Prijzen V'!O41</f>
        <v>29.578922524875409</v>
      </c>
      <c r="P9" s="621">
        <f>'NEV Tabel 3a Prijzen V'!P41</f>
        <v>31.050508124746074</v>
      </c>
      <c r="Q9" s="621">
        <f>'NEV Tabel 3a Prijzen V'!Q41</f>
        <v>32.522093724616745</v>
      </c>
      <c r="R9" s="621">
        <f>'NEV Tabel 3a Prijzen V'!R41</f>
        <v>32.90099190393267</v>
      </c>
      <c r="S9" s="621">
        <f>'NEV Tabel 3a Prijzen V'!S41</f>
        <v>33.279890083248596</v>
      </c>
      <c r="T9" s="621">
        <f>'NEV Tabel 3a Prijzen V'!T41</f>
        <v>33.658788262564521</v>
      </c>
      <c r="U9" s="621">
        <f>'NEV Tabel 3a Prijzen V'!U41</f>
        <v>34.037686441880446</v>
      </c>
      <c r="V9" s="621">
        <f>'NEV Tabel 3a Prijzen V'!V41</f>
        <v>34.416584621196357</v>
      </c>
      <c r="W9" s="619"/>
      <c r="X9" s="619"/>
      <c r="Y9" s="619"/>
      <c r="Z9" s="619"/>
      <c r="AA9" s="619"/>
    </row>
    <row r="10" spans="2:54" ht="30" x14ac:dyDescent="0.25">
      <c r="B10" s="615" t="s">
        <v>1036</v>
      </c>
      <c r="C10" s="618">
        <f t="shared" si="2"/>
        <v>7</v>
      </c>
      <c r="D10" s="621">
        <f>'NEV Tabel 3b Prijzen VV'!D41</f>
        <v>16.764805641397665</v>
      </c>
      <c r="E10" s="621">
        <f>'NEV Tabel 3b Prijzen VV'!E41</f>
        <v>16.660749861724845</v>
      </c>
      <c r="F10" s="621">
        <f>'NEV Tabel 3b Prijzen VV'!F41</f>
        <v>16.334652126039423</v>
      </c>
      <c r="G10" s="621">
        <f>'NEV Tabel 3b Prijzen VV'!G41</f>
        <v>17.806237725910087</v>
      </c>
      <c r="H10" s="621">
        <f>'NEV Tabel 3b Prijzen VV'!H41</f>
        <v>19.277823325780755</v>
      </c>
      <c r="I10" s="621">
        <f>'NEV Tabel 3b Prijzen VV'!I41</f>
        <v>20.749408925651423</v>
      </c>
      <c r="J10" s="621">
        <f>'NEV Tabel 3b Prijzen VV'!J41</f>
        <v>22.220994525522087</v>
      </c>
      <c r="K10" s="621">
        <f>'NEV Tabel 3b Prijzen VV'!K41</f>
        <v>23.692580125392752</v>
      </c>
      <c r="L10" s="621">
        <f>'NEV Tabel 3b Prijzen VV'!L41</f>
        <v>25.164165725263416</v>
      </c>
      <c r="M10" s="621">
        <f>'NEV Tabel 3b Prijzen VV'!M41</f>
        <v>26.635751325134081</v>
      </c>
      <c r="N10" s="621">
        <f>'NEV Tabel 3b Prijzen VV'!N41</f>
        <v>28.107336925004745</v>
      </c>
      <c r="O10" s="621">
        <f>'NEV Tabel 3b Prijzen VV'!O41</f>
        <v>29.578922524875409</v>
      </c>
      <c r="P10" s="621">
        <f>'NEV Tabel 3b Prijzen VV'!P41</f>
        <v>31.050508124746074</v>
      </c>
      <c r="Q10" s="621">
        <f>'NEV Tabel 3b Prijzen VV'!Q41</f>
        <v>32.522093724616745</v>
      </c>
      <c r="R10" s="621">
        <f>'NEV Tabel 3b Prijzen VV'!R41</f>
        <v>32.90099190393267</v>
      </c>
      <c r="S10" s="621">
        <f>'NEV Tabel 3b Prijzen VV'!S41</f>
        <v>33.279890083248596</v>
      </c>
      <c r="T10" s="621">
        <f>'NEV Tabel 3b Prijzen VV'!T41</f>
        <v>33.658788262564521</v>
      </c>
      <c r="U10" s="621">
        <f>'NEV Tabel 3b Prijzen VV'!U41</f>
        <v>34.037686441880446</v>
      </c>
      <c r="V10" s="621">
        <f>'NEV Tabel 3b Prijzen VV'!V41</f>
        <v>34.416584621196357</v>
      </c>
      <c r="W10" s="619"/>
      <c r="X10" s="619"/>
      <c r="Y10" s="619"/>
      <c r="Z10" s="619"/>
      <c r="AA10" s="619"/>
    </row>
    <row r="11" spans="2:54" x14ac:dyDescent="0.25">
      <c r="B11" s="615" t="s">
        <v>1037</v>
      </c>
      <c r="C11" s="618">
        <f t="shared" si="2"/>
        <v>8</v>
      </c>
      <c r="D11" s="622">
        <f>electrification_input!$E$17</f>
        <v>30</v>
      </c>
      <c r="E11" s="619">
        <f>D11</f>
        <v>30</v>
      </c>
      <c r="F11" s="619">
        <f t="shared" ref="F11:AA11" si="3">E11</f>
        <v>30</v>
      </c>
      <c r="G11" s="619">
        <f t="shared" si="3"/>
        <v>30</v>
      </c>
      <c r="H11" s="619">
        <f t="shared" si="3"/>
        <v>30</v>
      </c>
      <c r="I11" s="619">
        <f t="shared" si="3"/>
        <v>30</v>
      </c>
      <c r="J11" s="619">
        <f t="shared" si="3"/>
        <v>30</v>
      </c>
      <c r="K11" s="619">
        <f t="shared" si="3"/>
        <v>30</v>
      </c>
      <c r="L11" s="619">
        <f t="shared" si="3"/>
        <v>30</v>
      </c>
      <c r="M11" s="619">
        <f t="shared" si="3"/>
        <v>30</v>
      </c>
      <c r="N11" s="619">
        <f t="shared" si="3"/>
        <v>30</v>
      </c>
      <c r="O11" s="619">
        <f t="shared" si="3"/>
        <v>30</v>
      </c>
      <c r="P11" s="619">
        <f t="shared" si="3"/>
        <v>30</v>
      </c>
      <c r="Q11" s="619">
        <f t="shared" si="3"/>
        <v>30</v>
      </c>
      <c r="R11" s="619">
        <f t="shared" si="3"/>
        <v>30</v>
      </c>
      <c r="S11" s="619">
        <f t="shared" si="3"/>
        <v>30</v>
      </c>
      <c r="T11" s="619">
        <f t="shared" si="3"/>
        <v>30</v>
      </c>
      <c r="U11" s="619">
        <f t="shared" si="3"/>
        <v>30</v>
      </c>
      <c r="V11" s="619">
        <f t="shared" si="3"/>
        <v>30</v>
      </c>
      <c r="W11" s="619">
        <f t="shared" si="3"/>
        <v>30</v>
      </c>
      <c r="X11" s="619">
        <f t="shared" si="3"/>
        <v>30</v>
      </c>
      <c r="Y11" s="619">
        <f t="shared" si="3"/>
        <v>30</v>
      </c>
      <c r="Z11" s="619">
        <f t="shared" si="3"/>
        <v>30</v>
      </c>
      <c r="AA11" s="619">
        <f t="shared" si="3"/>
        <v>30</v>
      </c>
    </row>
    <row r="13" spans="2:54" x14ac:dyDescent="0.25">
      <c r="B13" s="615" t="s">
        <v>1038</v>
      </c>
    </row>
    <row r="14" spans="2:54" x14ac:dyDescent="0.25">
      <c r="B14" s="623" t="s">
        <v>1039</v>
      </c>
    </row>
    <row r="15" spans="2:54" x14ac:dyDescent="0.25">
      <c r="B15" s="624" t="s">
        <v>1040</v>
      </c>
    </row>
    <row r="16" spans="2:54" s="566" customFormat="1" x14ac:dyDescent="0.25"/>
    <row r="18" spans="2:54" x14ac:dyDescent="0.25">
      <c r="B18" s="309" t="s">
        <v>1041</v>
      </c>
      <c r="C18" s="625">
        <f>VLOOKUP(electrification_input!$E$16,$B$4:$C$11,2,FALSE)</f>
        <v>1</v>
      </c>
    </row>
    <row r="20" spans="2:54" x14ac:dyDescent="0.25">
      <c r="B20" s="615" t="s">
        <v>1029</v>
      </c>
      <c r="C20" s="615" t="s">
        <v>1042</v>
      </c>
    </row>
    <row r="21" spans="2:54" x14ac:dyDescent="0.25">
      <c r="C21" s="171">
        <v>1</v>
      </c>
      <c r="D21" s="171">
        <v>2</v>
      </c>
      <c r="E21" s="171">
        <v>3</v>
      </c>
      <c r="F21" s="171">
        <v>4</v>
      </c>
      <c r="G21" s="171">
        <v>5</v>
      </c>
      <c r="H21" s="171">
        <v>6</v>
      </c>
      <c r="I21" s="171">
        <v>7</v>
      </c>
      <c r="J21" s="171">
        <v>8</v>
      </c>
      <c r="K21" s="171">
        <v>9</v>
      </c>
      <c r="L21" s="171">
        <v>10</v>
      </c>
      <c r="M21" s="171">
        <v>11</v>
      </c>
      <c r="N21" s="171">
        <v>12</v>
      </c>
      <c r="O21" s="171">
        <v>13</v>
      </c>
      <c r="P21" s="171">
        <v>14</v>
      </c>
      <c r="Q21" s="171">
        <v>15</v>
      </c>
      <c r="R21" s="171">
        <v>16</v>
      </c>
      <c r="S21" s="171">
        <v>17</v>
      </c>
      <c r="T21" s="171">
        <v>18</v>
      </c>
      <c r="U21" s="171">
        <v>19</v>
      </c>
      <c r="V21" s="171">
        <v>20</v>
      </c>
      <c r="W21" s="171">
        <v>21</v>
      </c>
      <c r="X21" s="171">
        <v>22</v>
      </c>
      <c r="Y21" s="171">
        <v>23</v>
      </c>
      <c r="Z21" s="171">
        <v>24</v>
      </c>
      <c r="AA21" s="171">
        <f>Z21+1</f>
        <v>25</v>
      </c>
      <c r="AB21" s="171">
        <f t="shared" ref="AB21:BB21" si="4">AA21+1</f>
        <v>26</v>
      </c>
      <c r="AC21" s="171">
        <f t="shared" si="4"/>
        <v>27</v>
      </c>
      <c r="AD21" s="171">
        <f t="shared" si="4"/>
        <v>28</v>
      </c>
      <c r="AE21" s="171">
        <f t="shared" si="4"/>
        <v>29</v>
      </c>
      <c r="AF21" s="171">
        <f t="shared" si="4"/>
        <v>30</v>
      </c>
      <c r="AG21" s="171">
        <f t="shared" si="4"/>
        <v>31</v>
      </c>
      <c r="AH21" s="171">
        <f t="shared" si="4"/>
        <v>32</v>
      </c>
      <c r="AI21" s="171">
        <f t="shared" si="4"/>
        <v>33</v>
      </c>
      <c r="AJ21" s="171">
        <f t="shared" si="4"/>
        <v>34</v>
      </c>
      <c r="AK21" s="171">
        <f t="shared" si="4"/>
        <v>35</v>
      </c>
      <c r="AL21" s="171">
        <f t="shared" si="4"/>
        <v>36</v>
      </c>
      <c r="AM21" s="171">
        <f t="shared" si="4"/>
        <v>37</v>
      </c>
      <c r="AN21" s="171">
        <f t="shared" si="4"/>
        <v>38</v>
      </c>
      <c r="AO21" s="171">
        <f t="shared" si="4"/>
        <v>39</v>
      </c>
      <c r="AP21" s="171">
        <f t="shared" si="4"/>
        <v>40</v>
      </c>
      <c r="AQ21" s="171">
        <f t="shared" si="4"/>
        <v>41</v>
      </c>
      <c r="AR21" s="171">
        <f t="shared" si="4"/>
        <v>42</v>
      </c>
      <c r="AS21" s="171">
        <f t="shared" si="4"/>
        <v>43</v>
      </c>
      <c r="AT21" s="171">
        <f t="shared" si="4"/>
        <v>44</v>
      </c>
      <c r="AU21" s="171">
        <f t="shared" si="4"/>
        <v>45</v>
      </c>
      <c r="AV21" s="171">
        <f t="shared" si="4"/>
        <v>46</v>
      </c>
      <c r="AW21" s="171">
        <f t="shared" si="4"/>
        <v>47</v>
      </c>
      <c r="AX21" s="171">
        <f t="shared" si="4"/>
        <v>48</v>
      </c>
      <c r="AY21" s="171">
        <f t="shared" si="4"/>
        <v>49</v>
      </c>
      <c r="AZ21" s="171">
        <f t="shared" si="4"/>
        <v>50</v>
      </c>
      <c r="BA21" s="171">
        <f t="shared" si="4"/>
        <v>51</v>
      </c>
      <c r="BB21" s="171">
        <f t="shared" si="4"/>
        <v>52</v>
      </c>
    </row>
    <row r="22" spans="2:54" x14ac:dyDescent="0.25">
      <c r="C22" s="171">
        <f>D3</f>
        <v>2017</v>
      </c>
      <c r="D22" s="171">
        <f t="shared" ref="D22:BB22" si="5">E3</f>
        <v>2018</v>
      </c>
      <c r="E22" s="171">
        <f t="shared" si="5"/>
        <v>2019</v>
      </c>
      <c r="F22" s="171">
        <f t="shared" si="5"/>
        <v>2020</v>
      </c>
      <c r="G22" s="171">
        <f t="shared" si="5"/>
        <v>2021</v>
      </c>
      <c r="H22" s="171">
        <f t="shared" si="5"/>
        <v>2022</v>
      </c>
      <c r="I22" s="171">
        <f t="shared" si="5"/>
        <v>2023</v>
      </c>
      <c r="J22" s="171">
        <f t="shared" si="5"/>
        <v>2024</v>
      </c>
      <c r="K22" s="171">
        <f t="shared" si="5"/>
        <v>2025</v>
      </c>
      <c r="L22" s="171">
        <f t="shared" si="5"/>
        <v>2026</v>
      </c>
      <c r="M22" s="171">
        <f t="shared" si="5"/>
        <v>2027</v>
      </c>
      <c r="N22" s="171">
        <f t="shared" si="5"/>
        <v>2028</v>
      </c>
      <c r="O22" s="171">
        <f t="shared" si="5"/>
        <v>2029</v>
      </c>
      <c r="P22" s="171">
        <f t="shared" si="5"/>
        <v>2030</v>
      </c>
      <c r="Q22" s="171">
        <f t="shared" si="5"/>
        <v>2031</v>
      </c>
      <c r="R22" s="171">
        <f t="shared" si="5"/>
        <v>2032</v>
      </c>
      <c r="S22" s="171">
        <f t="shared" si="5"/>
        <v>2033</v>
      </c>
      <c r="T22" s="171">
        <f t="shared" si="5"/>
        <v>2034</v>
      </c>
      <c r="U22" s="171">
        <f t="shared" si="5"/>
        <v>2035</v>
      </c>
      <c r="V22" s="171">
        <f t="shared" si="5"/>
        <v>2036</v>
      </c>
      <c r="W22" s="171">
        <f t="shared" si="5"/>
        <v>2037</v>
      </c>
      <c r="X22" s="171">
        <f t="shared" si="5"/>
        <v>2038</v>
      </c>
      <c r="Y22" s="171">
        <f t="shared" si="5"/>
        <v>2039</v>
      </c>
      <c r="Z22" s="171">
        <f t="shared" si="5"/>
        <v>2040</v>
      </c>
      <c r="AA22" s="171">
        <f t="shared" si="5"/>
        <v>2041</v>
      </c>
      <c r="AB22" s="171">
        <f t="shared" si="5"/>
        <v>2042</v>
      </c>
      <c r="AC22" s="171">
        <f t="shared" si="5"/>
        <v>2043</v>
      </c>
      <c r="AD22" s="171">
        <f t="shared" si="5"/>
        <v>2044</v>
      </c>
      <c r="AE22" s="171">
        <f t="shared" si="5"/>
        <v>2045</v>
      </c>
      <c r="AF22" s="171">
        <f t="shared" si="5"/>
        <v>2046</v>
      </c>
      <c r="AG22" s="171">
        <f t="shared" si="5"/>
        <v>2047</v>
      </c>
      <c r="AH22" s="171">
        <f t="shared" si="5"/>
        <v>2048</v>
      </c>
      <c r="AI22" s="171">
        <f t="shared" si="5"/>
        <v>2049</v>
      </c>
      <c r="AJ22" s="171">
        <f t="shared" si="5"/>
        <v>2050</v>
      </c>
      <c r="AK22" s="171">
        <f t="shared" si="5"/>
        <v>2051</v>
      </c>
      <c r="AL22" s="171">
        <f t="shared" si="5"/>
        <v>2052</v>
      </c>
      <c r="AM22" s="171">
        <f t="shared" si="5"/>
        <v>2053</v>
      </c>
      <c r="AN22" s="171">
        <f t="shared" si="5"/>
        <v>2054</v>
      </c>
      <c r="AO22" s="171">
        <f t="shared" si="5"/>
        <v>2055</v>
      </c>
      <c r="AP22" s="171">
        <f t="shared" si="5"/>
        <v>2056</v>
      </c>
      <c r="AQ22" s="171">
        <f t="shared" si="5"/>
        <v>2057</v>
      </c>
      <c r="AR22" s="171">
        <f t="shared" si="5"/>
        <v>2058</v>
      </c>
      <c r="AS22" s="171">
        <f t="shared" si="5"/>
        <v>2059</v>
      </c>
      <c r="AT22" s="171">
        <f t="shared" si="5"/>
        <v>2060</v>
      </c>
      <c r="AU22" s="171">
        <f t="shared" si="5"/>
        <v>2061</v>
      </c>
      <c r="AV22" s="171">
        <f t="shared" si="5"/>
        <v>2062</v>
      </c>
      <c r="AW22" s="171">
        <f t="shared" si="5"/>
        <v>2063</v>
      </c>
      <c r="AX22" s="171">
        <f t="shared" si="5"/>
        <v>2064</v>
      </c>
      <c r="AY22" s="171">
        <f t="shared" si="5"/>
        <v>2065</v>
      </c>
      <c r="AZ22" s="171">
        <f t="shared" si="5"/>
        <v>2066</v>
      </c>
      <c r="BA22" s="171">
        <f t="shared" si="5"/>
        <v>2067</v>
      </c>
      <c r="BB22" s="171">
        <f t="shared" si="5"/>
        <v>0</v>
      </c>
    </row>
    <row r="23" spans="2:54" x14ac:dyDescent="0.25">
      <c r="B23" s="171" t="s">
        <v>1043</v>
      </c>
      <c r="C23" s="626">
        <f>VLOOKUP($C$18,$C$3:$AA$11,C21+1,FALSE)*'Unit conversion'!$B$6</f>
        <v>0.23653619387755101</v>
      </c>
      <c r="D23" s="626">
        <f>VLOOKUP($C$18,$C$3:$AA$11,D21+1,FALSE)*'Unit conversion'!$B$6</f>
        <v>0.24866625510204085</v>
      </c>
      <c r="E23" s="626">
        <f>VLOOKUP($C$18,$C$3:$AA$11,E21+1,FALSE)*'Unit conversion'!$B$6</f>
        <v>0.26079631632653061</v>
      </c>
      <c r="F23" s="626">
        <f>VLOOKUP($C$18,$C$3:$AA$11,F21+1,FALSE)*'Unit conversion'!$B$6</f>
        <v>0.27292637755102039</v>
      </c>
      <c r="G23" s="626">
        <f>VLOOKUP($C$18,$C$3:$AA$11,G21+1,FALSE)*'Unit conversion'!$B$6</f>
        <v>0.2830347619047619</v>
      </c>
      <c r="H23" s="626">
        <f>VLOOKUP($C$18,$C$3:$AA$11,H21+1,FALSE)*'Unit conversion'!$B$6</f>
        <v>0.29314314625850341</v>
      </c>
      <c r="I23" s="626">
        <f>VLOOKUP($C$18,$C$3:$AA$11,I21+1,FALSE)*'Unit conversion'!$B$6</f>
        <v>0.30325153061224486</v>
      </c>
      <c r="J23" s="626">
        <f>VLOOKUP($C$18,$C$3:$AA$11,J21+1,FALSE)*'Unit conversion'!$B$6</f>
        <v>0.30613964042759961</v>
      </c>
      <c r="K23" s="626">
        <f>VLOOKUP($C$18,$C$3:$AA$11,K21+1,FALSE)*'Unit conversion'!$B$6</f>
        <v>0.30902775024295437</v>
      </c>
      <c r="L23" s="626">
        <f>VLOOKUP($C$18,$C$3:$AA$11,L21+1,FALSE)*'Unit conversion'!$B$6</f>
        <v>0.31191586005830901</v>
      </c>
      <c r="M23" s="626">
        <f>VLOOKUP($C$18,$C$3:$AA$11,M21+1,FALSE)*'Unit conversion'!$B$6</f>
        <v>0.31480396987366371</v>
      </c>
      <c r="N23" s="626">
        <f>VLOOKUP($C$18,$C$3:$AA$11,N21+1,FALSE)*'Unit conversion'!$B$6</f>
        <v>0.31769207968901841</v>
      </c>
      <c r="O23" s="626">
        <f>VLOOKUP($C$18,$C$3:$AA$11,O21+1,FALSE)*'Unit conversion'!$B$6</f>
        <v>0.32058018950437323</v>
      </c>
      <c r="P23" s="626">
        <f>VLOOKUP($C$18,$C$3:$AA$11,P21+1,FALSE)*'Unit conversion'!$B$6</f>
        <v>0.32346829931972793</v>
      </c>
      <c r="Q23" s="626">
        <f>VLOOKUP($C$18,$C$3:$AA$11,Q21+1,FALSE)*'Unit conversion'!$B$6</f>
        <v>0.32346829931972793</v>
      </c>
      <c r="R23" s="626">
        <f>VLOOKUP($C$18,$C$3:$AA$11,R21+1,FALSE)*'Unit conversion'!$B$6</f>
        <v>0.32346829931972793</v>
      </c>
      <c r="S23" s="626">
        <f>VLOOKUP($C$18,$C$3:$AA$11,S21+1,FALSE)*'Unit conversion'!$B$6</f>
        <v>0.32346829931972781</v>
      </c>
      <c r="T23" s="626">
        <f>VLOOKUP($C$18,$C$3:$AA$11,T21+1,FALSE)*'Unit conversion'!$B$6</f>
        <v>0.32346829931972793</v>
      </c>
      <c r="U23" s="626">
        <f>VLOOKUP($C$18,$C$3:$AA$11,U21+1,FALSE)*'Unit conversion'!$B$6</f>
        <v>0.32346829931972793</v>
      </c>
      <c r="V23" s="626">
        <f>VLOOKUP($C$18,$C$3:$AA$11,V21+1,FALSE)*'Unit conversion'!$B$6</f>
        <v>0.32346829931972781</v>
      </c>
      <c r="W23" s="626">
        <f>VLOOKUP($C$18,$C$3:$AA$11,W21+1,FALSE)*'Unit conversion'!$B$6</f>
        <v>0.32346829931972793</v>
      </c>
      <c r="X23" s="626">
        <f>VLOOKUP($C$18,$C$3:$AA$11,X21+1,FALSE)*'Unit conversion'!$B$6</f>
        <v>0.32346829931972793</v>
      </c>
      <c r="Y23" s="626">
        <f>VLOOKUP($C$18,$C$3:$AA$11,Y21+1,FALSE)*'Unit conversion'!$B$6</f>
        <v>0.32346829931972793</v>
      </c>
      <c r="Z23" s="626">
        <f>VLOOKUP($C$18,$C$3:$AA$11,Z21+1,FALSE)*'Unit conversion'!$B$6</f>
        <v>0.32346829931972781</v>
      </c>
      <c r="AA23" s="626">
        <f>VLOOKUP($C$18,$C$3:$BB$11,AA21+1,FALSE)*'Unit conversion'!$B$6</f>
        <v>0.32346829931972781</v>
      </c>
      <c r="AB23" s="626">
        <f>VLOOKUP($C$18,$C$3:$BB$11,AB21+1,FALSE)*'Unit conversion'!$B$6</f>
        <v>0.32346829931972781</v>
      </c>
      <c r="AC23" s="626">
        <f>VLOOKUP($C$18,$C$3:$BB$11,AC21+1,FALSE)*'Unit conversion'!$B$6</f>
        <v>0.32346829931972781</v>
      </c>
      <c r="AD23" s="626">
        <f>VLOOKUP($C$18,$C$3:$BB$11,AD21+1,FALSE)*'Unit conversion'!$B$6</f>
        <v>0.32346829931972781</v>
      </c>
      <c r="AE23" s="626">
        <f>VLOOKUP($C$18,$C$3:$BB$11,AE21+1,FALSE)*'Unit conversion'!$B$6</f>
        <v>0.32346829931972781</v>
      </c>
      <c r="AF23" s="626">
        <f>VLOOKUP($C$18,$C$3:$BB$11,AF21+1,FALSE)*'Unit conversion'!$B$6</f>
        <v>0.32346829931972781</v>
      </c>
      <c r="AG23" s="626">
        <f>VLOOKUP($C$18,$C$3:$BB$11,AG21+1,FALSE)*'Unit conversion'!$B$6</f>
        <v>0.32346829931972781</v>
      </c>
      <c r="AH23" s="626">
        <f>VLOOKUP($C$18,$C$3:$BB$11,AH21+1,FALSE)*'Unit conversion'!$B$6</f>
        <v>0.32346829931972781</v>
      </c>
      <c r="AI23" s="626">
        <f>VLOOKUP($C$18,$C$3:$BB$11,AI21+1,FALSE)*'Unit conversion'!$B$6</f>
        <v>0.32346829931972781</v>
      </c>
      <c r="AJ23" s="626">
        <f>VLOOKUP($C$18,$C$3:$BB$11,AJ21+1,FALSE)*'Unit conversion'!$B$6</f>
        <v>0.32346829931972781</v>
      </c>
      <c r="AK23" s="626">
        <f>VLOOKUP($C$18,$C$3:$BB$11,AK21+1,FALSE)*'Unit conversion'!$B$6</f>
        <v>0.32346829931972781</v>
      </c>
      <c r="AL23" s="626">
        <f>VLOOKUP($C$18,$C$3:$BB$11,AL21+1,FALSE)*'Unit conversion'!$B$6</f>
        <v>0.32346829931972781</v>
      </c>
      <c r="AM23" s="626">
        <f>VLOOKUP($C$18,$C$3:$BB$11,AM21+1,FALSE)*'Unit conversion'!$B$6</f>
        <v>0.32346829931972781</v>
      </c>
      <c r="AN23" s="626">
        <f>VLOOKUP($C$18,$C$3:$BB$11,AN21+1,FALSE)*'Unit conversion'!$B$6</f>
        <v>0.32346829931972781</v>
      </c>
      <c r="AO23" s="626">
        <f>VLOOKUP($C$18,$C$3:$BB$11,AO21+1,FALSE)*'Unit conversion'!$B$6</f>
        <v>0.32346829931972781</v>
      </c>
      <c r="AP23" s="626">
        <f>VLOOKUP($C$18,$C$3:$BB$11,AP21+1,FALSE)*'Unit conversion'!$B$6</f>
        <v>0.32346829931972781</v>
      </c>
      <c r="AQ23" s="626">
        <f>VLOOKUP($C$18,$C$3:$BB$11,AQ21+1,FALSE)*'Unit conversion'!$B$6</f>
        <v>0.32346829931972781</v>
      </c>
      <c r="AR23" s="626">
        <f>VLOOKUP($C$18,$C$3:$BB$11,AR21+1,FALSE)*'Unit conversion'!$B$6</f>
        <v>0.32346829931972781</v>
      </c>
      <c r="AS23" s="626">
        <f>VLOOKUP($C$18,$C$3:$BB$11,AS21+1,FALSE)*'Unit conversion'!$B$6</f>
        <v>0.32346829931972781</v>
      </c>
      <c r="AT23" s="626">
        <f>VLOOKUP($C$18,$C$3:$BB$11,AT21+1,FALSE)*'Unit conversion'!$B$6</f>
        <v>0.32346829931972781</v>
      </c>
      <c r="AU23" s="626">
        <f>VLOOKUP($C$18,$C$3:$BB$11,AU21+1,FALSE)*'Unit conversion'!$B$6</f>
        <v>0.32346829931972781</v>
      </c>
      <c r="AV23" s="626">
        <f>VLOOKUP($C$18,$C$3:$BB$11,AV21+1,FALSE)*'Unit conversion'!$B$6</f>
        <v>0.32346829931972781</v>
      </c>
      <c r="AW23" s="626">
        <f>VLOOKUP($C$18,$C$3:$BB$11,AW21+1,FALSE)*'Unit conversion'!$B$6</f>
        <v>0.32346829931972781</v>
      </c>
      <c r="AX23" s="626">
        <f>VLOOKUP($C$18,$C$3:$BB$11,AX21+1,FALSE)*'Unit conversion'!$B$6</f>
        <v>0.32346829931972781</v>
      </c>
      <c r="AY23" s="626">
        <f>VLOOKUP($C$18,$C$3:$BB$11,AY21+1,FALSE)*'Unit conversion'!$B$6</f>
        <v>0.32346829931972781</v>
      </c>
      <c r="AZ23" s="626">
        <f>VLOOKUP($C$18,$C$3:$BB$11,AZ21+1,FALSE)*'Unit conversion'!$B$6</f>
        <v>0.32346829931972781</v>
      </c>
      <c r="BA23" s="626">
        <f>VLOOKUP($C$18,$C$3:$BB$11,BA21+1,FALSE)*'Unit conversion'!$B$6</f>
        <v>0.32346829931972781</v>
      </c>
      <c r="BB23" s="626" t="e">
        <f>VLOOKUP($C$18,$C$3:$BB$11,BB21+1,FALSE)*'Unit conversion'!$B$6</f>
        <v>#REF!</v>
      </c>
    </row>
    <row r="26" spans="2:54" x14ac:dyDescent="0.25">
      <c r="B26" s="309" t="s">
        <v>1044</v>
      </c>
      <c r="I26" s="952"/>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9"/>
  <dimension ref="A2:CI32"/>
  <sheetViews>
    <sheetView zoomScale="85" zoomScaleNormal="85" workbookViewId="0">
      <selection activeCell="C11" sqref="C11"/>
    </sheetView>
  </sheetViews>
  <sheetFormatPr defaultColWidth="9.140625" defaultRowHeight="15" x14ac:dyDescent="0.25"/>
  <cols>
    <col min="1" max="1" width="9.140625" style="171"/>
    <col min="2" max="2" width="35.5703125" style="171" bestFit="1" customWidth="1"/>
    <col min="3" max="3" width="12.85546875" style="171" bestFit="1" customWidth="1"/>
    <col min="4" max="10" width="9" style="171" bestFit="1" customWidth="1"/>
    <col min="11" max="11" width="14.140625" style="171" bestFit="1" customWidth="1"/>
    <col min="12" max="27" width="9" style="171" bestFit="1" customWidth="1"/>
    <col min="28" max="16384" width="9.140625" style="171"/>
  </cols>
  <sheetData>
    <row r="2" spans="1:87" x14ac:dyDescent="0.25">
      <c r="B2" s="617" t="s">
        <v>82</v>
      </c>
      <c r="C2" s="617" t="s">
        <v>1045</v>
      </c>
      <c r="D2" s="616"/>
      <c r="E2" s="616"/>
      <c r="F2" s="616"/>
      <c r="G2" s="616"/>
      <c r="H2" s="616"/>
      <c r="I2" s="616"/>
      <c r="J2" s="616"/>
      <c r="K2" s="616"/>
      <c r="L2" s="616"/>
      <c r="M2" s="616"/>
      <c r="N2" s="616"/>
      <c r="O2" s="616"/>
      <c r="P2" s="616"/>
      <c r="Q2" s="616"/>
      <c r="R2" s="616"/>
      <c r="S2" s="616"/>
      <c r="T2" s="616"/>
      <c r="U2" s="616"/>
      <c r="V2" s="616"/>
      <c r="W2" s="616"/>
      <c r="X2" s="616"/>
      <c r="Y2" s="616"/>
      <c r="Z2" s="616"/>
      <c r="AA2" s="616"/>
    </row>
    <row r="3" spans="1:87" x14ac:dyDescent="0.25">
      <c r="B3" s="616"/>
      <c r="C3" s="616"/>
      <c r="D3" s="617">
        <v>2017</v>
      </c>
      <c r="E3" s="617">
        <v>2018</v>
      </c>
      <c r="F3" s="617">
        <v>2019</v>
      </c>
      <c r="G3" s="617">
        <v>2020</v>
      </c>
      <c r="H3" s="617">
        <v>2021</v>
      </c>
      <c r="I3" s="617">
        <v>2022</v>
      </c>
      <c r="J3" s="617">
        <v>2023</v>
      </c>
      <c r="K3" s="617">
        <v>2024</v>
      </c>
      <c r="L3" s="617">
        <v>2025</v>
      </c>
      <c r="M3" s="617">
        <v>2026</v>
      </c>
      <c r="N3" s="617">
        <v>2027</v>
      </c>
      <c r="O3" s="617">
        <v>2028</v>
      </c>
      <c r="P3" s="617">
        <v>2029</v>
      </c>
      <c r="Q3" s="617">
        <v>2030</v>
      </c>
      <c r="R3" s="617">
        <v>2031</v>
      </c>
      <c r="S3" s="617">
        <v>2032</v>
      </c>
      <c r="T3" s="617">
        <v>2033</v>
      </c>
      <c r="U3" s="617">
        <v>2034</v>
      </c>
      <c r="V3" s="617">
        <v>2035</v>
      </c>
      <c r="W3" s="617">
        <v>2036</v>
      </c>
      <c r="X3" s="617">
        <v>2037</v>
      </c>
      <c r="Y3" s="617">
        <v>2038</v>
      </c>
      <c r="Z3" s="617">
        <v>2039</v>
      </c>
      <c r="AA3" s="617">
        <v>2040</v>
      </c>
      <c r="AB3" s="171">
        <f>AA3+1</f>
        <v>2041</v>
      </c>
      <c r="AC3" s="171">
        <f t="shared" ref="AC3:BB3" si="0">AB3+1</f>
        <v>2042</v>
      </c>
      <c r="AD3" s="171">
        <f t="shared" si="0"/>
        <v>2043</v>
      </c>
      <c r="AE3" s="171">
        <f t="shared" si="0"/>
        <v>2044</v>
      </c>
      <c r="AF3" s="171">
        <f t="shared" si="0"/>
        <v>2045</v>
      </c>
      <c r="AG3" s="171">
        <f t="shared" si="0"/>
        <v>2046</v>
      </c>
      <c r="AH3" s="171">
        <f t="shared" si="0"/>
        <v>2047</v>
      </c>
      <c r="AI3" s="171">
        <f t="shared" si="0"/>
        <v>2048</v>
      </c>
      <c r="AJ3" s="171">
        <f t="shared" si="0"/>
        <v>2049</v>
      </c>
      <c r="AK3" s="171">
        <f t="shared" si="0"/>
        <v>2050</v>
      </c>
      <c r="AL3" s="171">
        <f t="shared" si="0"/>
        <v>2051</v>
      </c>
      <c r="AM3" s="171">
        <f t="shared" si="0"/>
        <v>2052</v>
      </c>
      <c r="AN3" s="171">
        <f t="shared" si="0"/>
        <v>2053</v>
      </c>
      <c r="AO3" s="171">
        <f t="shared" si="0"/>
        <v>2054</v>
      </c>
      <c r="AP3" s="171">
        <f t="shared" si="0"/>
        <v>2055</v>
      </c>
      <c r="AQ3" s="171">
        <f t="shared" si="0"/>
        <v>2056</v>
      </c>
      <c r="AR3" s="171">
        <f t="shared" si="0"/>
        <v>2057</v>
      </c>
      <c r="AS3" s="171">
        <f t="shared" si="0"/>
        <v>2058</v>
      </c>
      <c r="AT3" s="171">
        <f t="shared" si="0"/>
        <v>2059</v>
      </c>
      <c r="AU3" s="171">
        <f t="shared" si="0"/>
        <v>2060</v>
      </c>
      <c r="AV3" s="171">
        <f t="shared" si="0"/>
        <v>2061</v>
      </c>
      <c r="AW3" s="171">
        <f t="shared" si="0"/>
        <v>2062</v>
      </c>
      <c r="AX3" s="171">
        <f t="shared" si="0"/>
        <v>2063</v>
      </c>
      <c r="AY3" s="171">
        <f t="shared" si="0"/>
        <v>2064</v>
      </c>
      <c r="AZ3" s="171">
        <f t="shared" si="0"/>
        <v>2065</v>
      </c>
      <c r="BA3" s="171">
        <f t="shared" si="0"/>
        <v>2066</v>
      </c>
      <c r="BB3" s="171">
        <f t="shared" si="0"/>
        <v>2067</v>
      </c>
      <c r="BC3" s="171">
        <f t="shared" ref="BC3" si="1">BB3+1</f>
        <v>2068</v>
      </c>
      <c r="BD3" s="171">
        <f t="shared" ref="BD3" si="2">BC3+1</f>
        <v>2069</v>
      </c>
      <c r="BE3" s="171">
        <f t="shared" ref="BE3" si="3">BD3+1</f>
        <v>2070</v>
      </c>
      <c r="BF3" s="171">
        <f t="shared" ref="BF3" si="4">BE3+1</f>
        <v>2071</v>
      </c>
      <c r="BG3" s="171">
        <f t="shared" ref="BG3" si="5">BF3+1</f>
        <v>2072</v>
      </c>
      <c r="BH3" s="171">
        <f t="shared" ref="BH3" si="6">BG3+1</f>
        <v>2073</v>
      </c>
      <c r="BI3" s="171">
        <f t="shared" ref="BI3" si="7">BH3+1</f>
        <v>2074</v>
      </c>
      <c r="BJ3" s="171">
        <f t="shared" ref="BJ3" si="8">BI3+1</f>
        <v>2075</v>
      </c>
      <c r="BK3" s="171">
        <f t="shared" ref="BK3" si="9">BJ3+1</f>
        <v>2076</v>
      </c>
      <c r="BL3" s="171">
        <f t="shared" ref="BL3" si="10">BK3+1</f>
        <v>2077</v>
      </c>
      <c r="BM3" s="171">
        <f t="shared" ref="BM3" si="11">BL3+1</f>
        <v>2078</v>
      </c>
      <c r="BN3" s="171">
        <f t="shared" ref="BN3" si="12">BM3+1</f>
        <v>2079</v>
      </c>
      <c r="BO3" s="171">
        <f t="shared" ref="BO3" si="13">BN3+1</f>
        <v>2080</v>
      </c>
      <c r="BP3" s="171">
        <f t="shared" ref="BP3" si="14">BO3+1</f>
        <v>2081</v>
      </c>
      <c r="BQ3" s="171">
        <f t="shared" ref="BQ3" si="15">BP3+1</f>
        <v>2082</v>
      </c>
      <c r="BR3" s="171">
        <f t="shared" ref="BR3" si="16">BQ3+1</f>
        <v>2083</v>
      </c>
      <c r="BS3" s="171">
        <f t="shared" ref="BS3" si="17">BR3+1</f>
        <v>2084</v>
      </c>
      <c r="BT3" s="171">
        <f t="shared" ref="BT3" si="18">BS3+1</f>
        <v>2085</v>
      </c>
      <c r="BU3" s="171">
        <f t="shared" ref="BU3" si="19">BT3+1</f>
        <v>2086</v>
      </c>
      <c r="BV3" s="171">
        <f t="shared" ref="BV3" si="20">BU3+1</f>
        <v>2087</v>
      </c>
      <c r="BW3" s="171">
        <f t="shared" ref="BW3" si="21">BV3+1</f>
        <v>2088</v>
      </c>
      <c r="BX3" s="171">
        <f t="shared" ref="BX3" si="22">BW3+1</f>
        <v>2089</v>
      </c>
      <c r="BY3" s="171">
        <f t="shared" ref="BY3" si="23">BX3+1</f>
        <v>2090</v>
      </c>
      <c r="BZ3" s="171">
        <f t="shared" ref="BZ3" si="24">BY3+1</f>
        <v>2091</v>
      </c>
      <c r="CA3" s="171">
        <f t="shared" ref="CA3" si="25">BZ3+1</f>
        <v>2092</v>
      </c>
      <c r="CB3" s="171">
        <f t="shared" ref="CB3" si="26">CA3+1</f>
        <v>2093</v>
      </c>
      <c r="CC3" s="171">
        <f t="shared" ref="CC3" si="27">CB3+1</f>
        <v>2094</v>
      </c>
      <c r="CD3" s="171">
        <f t="shared" ref="CD3" si="28">CC3+1</f>
        <v>2095</v>
      </c>
      <c r="CE3" s="171">
        <f t="shared" ref="CE3" si="29">CD3+1</f>
        <v>2096</v>
      </c>
      <c r="CF3" s="171">
        <f t="shared" ref="CF3" si="30">CE3+1</f>
        <v>2097</v>
      </c>
      <c r="CG3" s="171">
        <f t="shared" ref="CG3" si="31">CF3+1</f>
        <v>2098</v>
      </c>
      <c r="CH3" s="171">
        <f t="shared" ref="CH3" si="32">CG3+1</f>
        <v>2099</v>
      </c>
      <c r="CI3" s="171">
        <f t="shared" ref="CI3" si="33">CH3+1</f>
        <v>2100</v>
      </c>
    </row>
    <row r="4" spans="1:87" x14ac:dyDescent="0.25">
      <c r="B4" s="615" t="s">
        <v>952</v>
      </c>
      <c r="C4" s="618">
        <v>1</v>
      </c>
      <c r="D4" s="627">
        <f>Frontier!D47</f>
        <v>42.629387755102044</v>
      </c>
      <c r="E4" s="627">
        <f>Frontier!E47</f>
        <v>44.284897959183667</v>
      </c>
      <c r="F4" s="627">
        <f>Frontier!F47</f>
        <v>45.940408163265303</v>
      </c>
      <c r="G4" s="627">
        <f>Frontier!G47</f>
        <v>47.59591836734694</v>
      </c>
      <c r="H4" s="627">
        <f>Frontier!H47</f>
        <v>49.872244897959177</v>
      </c>
      <c r="I4" s="627">
        <f>Frontier!I47</f>
        <v>52.148571428571415</v>
      </c>
      <c r="J4" s="627">
        <f>Frontier!J47</f>
        <v>54.424897959183667</v>
      </c>
      <c r="K4" s="627">
        <f>Frontier!K47</f>
        <v>54.439679300291544</v>
      </c>
      <c r="L4" s="627">
        <f>Frontier!L47</f>
        <v>54.454460641399415</v>
      </c>
      <c r="M4" s="627">
        <f>Frontier!M47</f>
        <v>54.469241982507292</v>
      </c>
      <c r="N4" s="627">
        <f>Frontier!N47</f>
        <v>54.484023323615155</v>
      </c>
      <c r="O4" s="627">
        <f>Frontier!O47</f>
        <v>54.498804664723018</v>
      </c>
      <c r="P4" s="627">
        <f>Frontier!P47</f>
        <v>54.513586005830909</v>
      </c>
      <c r="Q4" s="627">
        <f>Frontier!Q47</f>
        <v>54.528367346938779</v>
      </c>
      <c r="R4" s="627">
        <f>Frontier!R47</f>
        <v>55.418204081632652</v>
      </c>
      <c r="S4" s="627">
        <f>Frontier!S47</f>
        <v>56.308040816326525</v>
      </c>
      <c r="T4" s="627">
        <f>Frontier!T47</f>
        <v>57.197877551020404</v>
      </c>
      <c r="U4" s="627">
        <f>Frontier!U47</f>
        <v>58.087714285714284</v>
      </c>
      <c r="V4" s="627">
        <f>Frontier!V47</f>
        <v>58.977551020408157</v>
      </c>
      <c r="W4" s="627">
        <f>Frontier!W47</f>
        <v>59.86738775510203</v>
      </c>
      <c r="X4" s="627">
        <f>Frontier!X47</f>
        <v>60.75722448979591</v>
      </c>
      <c r="Y4" s="627">
        <f>Frontier!Y47</f>
        <v>61.647061224489789</v>
      </c>
      <c r="Z4" s="627">
        <f>Frontier!Z47</f>
        <v>62.536897959183662</v>
      </c>
      <c r="AA4" s="627">
        <f>Frontier!AA47</f>
        <v>63.426734693877535</v>
      </c>
      <c r="AB4" s="628">
        <f>AA4</f>
        <v>63.426734693877535</v>
      </c>
      <c r="AC4" s="628">
        <f t="shared" ref="AC4:BB4" si="34">AB4</f>
        <v>63.426734693877535</v>
      </c>
      <c r="AD4" s="628">
        <f t="shared" si="34"/>
        <v>63.426734693877535</v>
      </c>
      <c r="AE4" s="628">
        <f t="shared" si="34"/>
        <v>63.426734693877535</v>
      </c>
      <c r="AF4" s="628">
        <f t="shared" si="34"/>
        <v>63.426734693877535</v>
      </c>
      <c r="AG4" s="628">
        <f t="shared" si="34"/>
        <v>63.426734693877535</v>
      </c>
      <c r="AH4" s="628">
        <f t="shared" si="34"/>
        <v>63.426734693877535</v>
      </c>
      <c r="AI4" s="628">
        <f t="shared" si="34"/>
        <v>63.426734693877535</v>
      </c>
      <c r="AJ4" s="628">
        <f t="shared" si="34"/>
        <v>63.426734693877535</v>
      </c>
      <c r="AK4" s="628">
        <f t="shared" si="34"/>
        <v>63.426734693877535</v>
      </c>
      <c r="AL4" s="628">
        <f t="shared" si="34"/>
        <v>63.426734693877535</v>
      </c>
      <c r="AM4" s="628">
        <f t="shared" si="34"/>
        <v>63.426734693877535</v>
      </c>
      <c r="AN4" s="628">
        <f t="shared" si="34"/>
        <v>63.426734693877535</v>
      </c>
      <c r="AO4" s="628">
        <f t="shared" si="34"/>
        <v>63.426734693877535</v>
      </c>
      <c r="AP4" s="628">
        <f t="shared" si="34"/>
        <v>63.426734693877535</v>
      </c>
      <c r="AQ4" s="628">
        <f t="shared" si="34"/>
        <v>63.426734693877535</v>
      </c>
      <c r="AR4" s="628">
        <f t="shared" si="34"/>
        <v>63.426734693877535</v>
      </c>
      <c r="AS4" s="628">
        <f t="shared" si="34"/>
        <v>63.426734693877535</v>
      </c>
      <c r="AT4" s="628">
        <f t="shared" si="34"/>
        <v>63.426734693877535</v>
      </c>
      <c r="AU4" s="628">
        <f t="shared" si="34"/>
        <v>63.426734693877535</v>
      </c>
      <c r="AV4" s="628">
        <f t="shared" si="34"/>
        <v>63.426734693877535</v>
      </c>
      <c r="AW4" s="628">
        <f t="shared" si="34"/>
        <v>63.426734693877535</v>
      </c>
      <c r="AX4" s="628">
        <f t="shared" si="34"/>
        <v>63.426734693877535</v>
      </c>
      <c r="AY4" s="628">
        <f t="shared" si="34"/>
        <v>63.426734693877535</v>
      </c>
      <c r="AZ4" s="628">
        <f t="shared" si="34"/>
        <v>63.426734693877535</v>
      </c>
      <c r="BA4" s="628">
        <f t="shared" si="34"/>
        <v>63.426734693877535</v>
      </c>
      <c r="BB4" s="628">
        <f t="shared" si="34"/>
        <v>63.426734693877535</v>
      </c>
      <c r="BC4" s="628"/>
      <c r="BD4" s="628"/>
      <c r="BE4" s="628"/>
      <c r="BF4" s="628"/>
      <c r="BG4" s="628"/>
      <c r="BH4" s="628"/>
      <c r="BI4" s="628"/>
      <c r="BJ4" s="628"/>
      <c r="BK4" s="628"/>
      <c r="BL4" s="628"/>
      <c r="BM4" s="628"/>
      <c r="BN4" s="628"/>
      <c r="BO4" s="628"/>
      <c r="BP4" s="628"/>
      <c r="BQ4" s="628"/>
      <c r="BR4" s="628"/>
      <c r="BS4" s="628"/>
    </row>
    <row r="5" spans="1:87" x14ac:dyDescent="0.25">
      <c r="B5" s="615" t="s">
        <v>1031</v>
      </c>
      <c r="C5" s="618">
        <f t="shared" ref="C5:C11" si="35">C4+1</f>
        <v>2</v>
      </c>
      <c r="D5" s="627">
        <f>Frontier!D48</f>
        <v>41.801632653061219</v>
      </c>
      <c r="E5" s="627">
        <f>Frontier!E48</f>
        <v>43.04326530612245</v>
      </c>
      <c r="F5" s="627">
        <f>Frontier!F48</f>
        <v>44.284897959183667</v>
      </c>
      <c r="G5" s="627">
        <f>Frontier!G48</f>
        <v>45.526530612244891</v>
      </c>
      <c r="H5" s="627">
        <f>Frontier!H48</f>
        <v>47.423469387755098</v>
      </c>
      <c r="I5" s="627">
        <f>Frontier!I48</f>
        <v>49.320408163265292</v>
      </c>
      <c r="J5" s="627">
        <f>Frontier!J48</f>
        <v>51.217346938775506</v>
      </c>
      <c r="K5" s="627">
        <f>Frontier!K48</f>
        <v>50.759125364431483</v>
      </c>
      <c r="L5" s="627">
        <f>Frontier!L48</f>
        <v>50.300903790087453</v>
      </c>
      <c r="M5" s="627">
        <f>Frontier!M48</f>
        <v>49.842682215743437</v>
      </c>
      <c r="N5" s="627">
        <f>Frontier!N48</f>
        <v>49.384460641399407</v>
      </c>
      <c r="O5" s="627">
        <f>Frontier!O48</f>
        <v>48.926239067055391</v>
      </c>
      <c r="P5" s="627">
        <f>Frontier!P48</f>
        <v>48.468017492711368</v>
      </c>
      <c r="Q5" s="627">
        <f>Frontier!Q48</f>
        <v>48.009795918367345</v>
      </c>
      <c r="R5" s="627">
        <f>Frontier!R48</f>
        <v>48.133959183673461</v>
      </c>
      <c r="S5" s="627">
        <f>Frontier!S48</f>
        <v>48.258122448979584</v>
      </c>
      <c r="T5" s="627">
        <f>Frontier!T48</f>
        <v>48.3822857142857</v>
      </c>
      <c r="U5" s="627">
        <f>Frontier!U48</f>
        <v>48.506448979591838</v>
      </c>
      <c r="V5" s="627">
        <f>Frontier!V48</f>
        <v>48.630612244897954</v>
      </c>
      <c r="W5" s="627">
        <f>Frontier!W48</f>
        <v>48.75477551020407</v>
      </c>
      <c r="X5" s="627">
        <f>Frontier!X48</f>
        <v>48.878938775510193</v>
      </c>
      <c r="Y5" s="627">
        <f>Frontier!Y48</f>
        <v>49.003102040816316</v>
      </c>
      <c r="Z5" s="627">
        <f>Frontier!Z48</f>
        <v>49.127265306122432</v>
      </c>
      <c r="AA5" s="627">
        <f>Frontier!AA48</f>
        <v>49.251428571428555</v>
      </c>
      <c r="AB5" s="627"/>
    </row>
    <row r="6" spans="1:87" x14ac:dyDescent="0.25">
      <c r="B6" s="615" t="s">
        <v>1032</v>
      </c>
      <c r="C6" s="618">
        <f t="shared" si="35"/>
        <v>3</v>
      </c>
      <c r="D6" s="627">
        <f>Frontier!D49</f>
        <v>45.443755102040818</v>
      </c>
      <c r="E6" s="627">
        <f>Frontier!E49</f>
        <v>48.402979591836726</v>
      </c>
      <c r="F6" s="627">
        <f>Frontier!F49</f>
        <v>51.362204081632655</v>
      </c>
      <c r="G6" s="627">
        <f>Frontier!G49</f>
        <v>54.321428571428562</v>
      </c>
      <c r="H6" s="627">
        <f>Frontier!H49</f>
        <v>56.908163265306115</v>
      </c>
      <c r="I6" s="627">
        <f>Frontier!I49</f>
        <v>59.49489795918366</v>
      </c>
      <c r="J6" s="627">
        <f>Frontier!J49</f>
        <v>62.081632653061213</v>
      </c>
      <c r="K6" s="627">
        <f>Frontier!K49</f>
        <v>62.318134110787163</v>
      </c>
      <c r="L6" s="627">
        <f>Frontier!L49</f>
        <v>62.554635568513106</v>
      </c>
      <c r="M6" s="627">
        <f>Frontier!M49</f>
        <v>62.791137026239063</v>
      </c>
      <c r="N6" s="627">
        <f>Frontier!N49</f>
        <v>63.027638483965006</v>
      </c>
      <c r="O6" s="627">
        <f>Frontier!O49</f>
        <v>63.264139941690956</v>
      </c>
      <c r="P6" s="627">
        <f>Frontier!P49</f>
        <v>63.500641399416914</v>
      </c>
      <c r="Q6" s="627">
        <f>Frontier!Q49</f>
        <v>63.737142857142864</v>
      </c>
      <c r="R6" s="627">
        <f>Frontier!R49</f>
        <v>64.171714285714287</v>
      </c>
      <c r="S6" s="627">
        <f>Frontier!S49</f>
        <v>64.606285714285718</v>
      </c>
      <c r="T6" s="627">
        <f>Frontier!T49</f>
        <v>65.040857142857135</v>
      </c>
      <c r="U6" s="627">
        <f>Frontier!U49</f>
        <v>65.475428571428566</v>
      </c>
      <c r="V6" s="627">
        <f>Frontier!V49</f>
        <v>65.910000000000011</v>
      </c>
      <c r="W6" s="627">
        <f>Frontier!W49</f>
        <v>66.344571428571427</v>
      </c>
      <c r="X6" s="627">
        <f>Frontier!X49</f>
        <v>66.779142857142858</v>
      </c>
      <c r="Y6" s="627">
        <f>Frontier!Y49</f>
        <v>67.213714285714289</v>
      </c>
      <c r="Z6" s="627">
        <f>Frontier!Z49</f>
        <v>67.64828571428572</v>
      </c>
      <c r="AA6" s="627">
        <f>Frontier!AA49</f>
        <v>68.082857142857151</v>
      </c>
      <c r="AB6" s="627"/>
    </row>
    <row r="7" spans="1:87" x14ac:dyDescent="0.25">
      <c r="B7" s="615" t="s">
        <v>1033</v>
      </c>
      <c r="C7" s="618">
        <f t="shared" si="35"/>
        <v>4</v>
      </c>
      <c r="D7" s="627">
        <f>Frontier!D50</f>
        <v>45.4230612244898</v>
      </c>
      <c r="E7" s="627">
        <f>Frontier!E50</f>
        <v>48.527142857142856</v>
      </c>
      <c r="F7" s="627">
        <f>Frontier!F50</f>
        <v>51.631224489795919</v>
      </c>
      <c r="G7" s="627">
        <f>Frontier!G50</f>
        <v>54.735306122448975</v>
      </c>
      <c r="H7" s="627">
        <f>Frontier!H50</f>
        <v>58.046326530612248</v>
      </c>
      <c r="I7" s="627">
        <f>Frontier!I50</f>
        <v>61.3573469387755</v>
      </c>
      <c r="J7" s="627">
        <f>Frontier!J50</f>
        <v>64.668367346938766</v>
      </c>
      <c r="K7" s="627">
        <f>Frontier!K50</f>
        <v>64.564897959183668</v>
      </c>
      <c r="L7" s="627">
        <f>Frontier!L50</f>
        <v>64.461428571428556</v>
      </c>
      <c r="M7" s="627">
        <f>Frontier!M50</f>
        <v>64.357959183673472</v>
      </c>
      <c r="N7" s="627">
        <f>Frontier!N50</f>
        <v>64.25448979591836</v>
      </c>
      <c r="O7" s="627">
        <f>Frontier!O50</f>
        <v>64.151020408163262</v>
      </c>
      <c r="P7" s="627">
        <f>Frontier!P50</f>
        <v>64.047551020408164</v>
      </c>
      <c r="Q7" s="627">
        <f>Frontier!Q50</f>
        <v>63.944081632653059</v>
      </c>
      <c r="R7" s="627">
        <f>Frontier!R50</f>
        <v>64.564897959183668</v>
      </c>
      <c r="S7" s="627">
        <f>Frontier!S50</f>
        <v>65.185714285714283</v>
      </c>
      <c r="T7" s="627">
        <f>Frontier!T50</f>
        <v>65.806530612244885</v>
      </c>
      <c r="U7" s="627">
        <f>Frontier!U50</f>
        <v>66.427346938775528</v>
      </c>
      <c r="V7" s="627">
        <f>Frontier!V50</f>
        <v>67.048163265306115</v>
      </c>
      <c r="W7" s="627">
        <f>Frontier!W50</f>
        <v>67.668979591836717</v>
      </c>
      <c r="X7" s="627">
        <f>Frontier!X50</f>
        <v>68.289795918367318</v>
      </c>
      <c r="Y7" s="627">
        <f>Frontier!Y50</f>
        <v>68.910612244897933</v>
      </c>
      <c r="Z7" s="627">
        <f>Frontier!Z50</f>
        <v>69.531428571428535</v>
      </c>
      <c r="AA7" s="627">
        <f>Frontier!AA50</f>
        <v>70.152244897959136</v>
      </c>
      <c r="AB7" s="627"/>
    </row>
    <row r="8" spans="1:87" x14ac:dyDescent="0.25">
      <c r="B8" s="615" t="s">
        <v>1034</v>
      </c>
      <c r="C8" s="618">
        <f t="shared" si="35"/>
        <v>5</v>
      </c>
      <c r="D8" s="627">
        <f>Frontier!D51</f>
        <v>43.167428571428566</v>
      </c>
      <c r="E8" s="627">
        <f>Frontier!E51</f>
        <v>45.09195918367346</v>
      </c>
      <c r="F8" s="627">
        <f>Frontier!F51</f>
        <v>47.016489795918368</v>
      </c>
      <c r="G8" s="627">
        <f>Frontier!G51</f>
        <v>48.941020408163254</v>
      </c>
      <c r="H8" s="627">
        <f>Frontier!H51</f>
        <v>51.217346938775506</v>
      </c>
      <c r="I8" s="627">
        <f>Frontier!I51</f>
        <v>53.493673469387737</v>
      </c>
      <c r="J8" s="627">
        <f>Frontier!J51</f>
        <v>55.769999999999989</v>
      </c>
      <c r="K8" s="627">
        <f>Frontier!K51</f>
        <v>55.740437317784256</v>
      </c>
      <c r="L8" s="627">
        <f>Frontier!L51</f>
        <v>55.710874635568501</v>
      </c>
      <c r="M8" s="627">
        <f>Frontier!M51</f>
        <v>55.681311953352768</v>
      </c>
      <c r="N8" s="627">
        <f>Frontier!N51</f>
        <v>55.651749271137021</v>
      </c>
      <c r="O8" s="627">
        <f>Frontier!O51</f>
        <v>55.622186588921281</v>
      </c>
      <c r="P8" s="627">
        <f>Frontier!P51</f>
        <v>55.592623906705541</v>
      </c>
      <c r="Q8" s="627">
        <f>Frontier!Q51</f>
        <v>55.563061224489793</v>
      </c>
      <c r="R8" s="627">
        <f>Frontier!R51</f>
        <v>56.680530612244894</v>
      </c>
      <c r="S8" s="627">
        <f>Frontier!S51</f>
        <v>57.797999999999988</v>
      </c>
      <c r="T8" s="627">
        <f>Frontier!T51</f>
        <v>58.915469387755103</v>
      </c>
      <c r="U8" s="627">
        <f>Frontier!U51</f>
        <v>60.03293877551021</v>
      </c>
      <c r="V8" s="627">
        <f>Frontier!V51</f>
        <v>61.150408163265304</v>
      </c>
      <c r="W8" s="627">
        <f>Frontier!W51</f>
        <v>62.267877551020398</v>
      </c>
      <c r="X8" s="627">
        <f>Frontier!X51</f>
        <v>63.385346938775506</v>
      </c>
      <c r="Y8" s="627">
        <f>Frontier!Y51</f>
        <v>64.502816326530606</v>
      </c>
      <c r="Z8" s="627">
        <f>Frontier!Z51</f>
        <v>65.6202857142857</v>
      </c>
      <c r="AA8" s="627">
        <f>Frontier!AA51</f>
        <v>66.737755102040808</v>
      </c>
      <c r="AB8" s="627"/>
    </row>
    <row r="9" spans="1:87" x14ac:dyDescent="0.25">
      <c r="B9" s="615" t="s">
        <v>1035</v>
      </c>
      <c r="C9" s="618">
        <f t="shared" si="35"/>
        <v>6</v>
      </c>
      <c r="D9" s="627">
        <f>'NEV Tabel 3a Prijzen V'!D42</f>
        <v>33.572937340423394</v>
      </c>
      <c r="E9" s="627">
        <f>'NEV Tabel 3a Prijzen V'!E42</f>
        <v>32.751581853729775</v>
      </c>
      <c r="F9" s="627">
        <f>'NEV Tabel 3a Prijzen V'!F42</f>
        <v>31.622215611693616</v>
      </c>
      <c r="G9" s="627">
        <f>'NEV Tabel 3a Prijzen V'!G42</f>
        <v>33.059590161239889</v>
      </c>
      <c r="H9" s="627">
        <f>'NEV Tabel 3a Prijzen V'!H42</f>
        <v>36.413460846404604</v>
      </c>
      <c r="I9" s="627">
        <f>'NEV Tabel 3a Prijzen V'!I42</f>
        <v>39.767331531569319</v>
      </c>
      <c r="J9" s="627">
        <f>'NEV Tabel 3a Prijzen V'!J42</f>
        <v>43.121202216734041</v>
      </c>
      <c r="K9" s="627">
        <f>'NEV Tabel 3a Prijzen V'!K42</f>
        <v>45.944615373992022</v>
      </c>
      <c r="L9" s="627">
        <f>'NEV Tabel 3a Prijzen V'!L42</f>
        <v>48.768028531249996</v>
      </c>
      <c r="M9" s="627">
        <f>'NEV Tabel 3a Prijzen V'!M42</f>
        <v>48.110943162762126</v>
      </c>
      <c r="N9" s="627">
        <f>'NEV Tabel 3a Prijzen V'!N42</f>
        <v>47.453857794274256</v>
      </c>
      <c r="O9" s="627">
        <f>'NEV Tabel 3a Prijzen V'!O42</f>
        <v>46.796772425786386</v>
      </c>
      <c r="P9" s="627">
        <f>'NEV Tabel 3a Prijzen V'!P42</f>
        <v>46.139687057298516</v>
      </c>
      <c r="Q9" s="627">
        <f>'NEV Tabel 3a Prijzen V'!Q42</f>
        <v>45.482601688810632</v>
      </c>
      <c r="R9" s="627">
        <f>'NEV Tabel 3a Prijzen V'!R42</f>
        <v>46.550364800645312</v>
      </c>
      <c r="S9" s="627">
        <f>'NEV Tabel 3a Prijzen V'!S42</f>
        <v>47.618127912479991</v>
      </c>
      <c r="T9" s="627">
        <f>'NEV Tabel 3a Prijzen V'!T42</f>
        <v>48.685891024314671</v>
      </c>
      <c r="U9" s="627">
        <f>'NEV Tabel 3a Prijzen V'!U42</f>
        <v>49.753654136149351</v>
      </c>
      <c r="V9" s="627">
        <f>'NEV Tabel 3a Prijzen V'!V42</f>
        <v>50.821417247984037</v>
      </c>
      <c r="W9" s="627"/>
      <c r="X9" s="627"/>
      <c r="Y9" s="627"/>
      <c r="Z9" s="627"/>
      <c r="AA9" s="627"/>
      <c r="AB9" s="627"/>
    </row>
    <row r="10" spans="1:87" ht="30" x14ac:dyDescent="0.25">
      <c r="B10" s="615" t="s">
        <v>1036</v>
      </c>
      <c r="C10" s="618">
        <f t="shared" si="35"/>
        <v>7</v>
      </c>
      <c r="D10" s="627">
        <f>'NEV Tabel 3b Prijzen VV'!D42</f>
        <v>33.880945647933501</v>
      </c>
      <c r="E10" s="627">
        <f>'NEV Tabel 3b Prijzen VV'!E42</f>
        <v>32.956920725403187</v>
      </c>
      <c r="F10" s="627">
        <f>'NEV Tabel 3b Prijzen VV'!F42</f>
        <v>31.724885047530321</v>
      </c>
      <c r="G10" s="627">
        <f>'NEV Tabel 3b Prijzen VV'!G42</f>
        <v>33.162259597076584</v>
      </c>
      <c r="H10" s="627">
        <f>'NEV Tabel 3b Prijzen VV'!H42</f>
        <v>36.481907136962406</v>
      </c>
      <c r="I10" s="627">
        <f>'NEV Tabel 3b Prijzen VV'!I42</f>
        <v>39.801554676848227</v>
      </c>
      <c r="J10" s="627">
        <f>'NEV Tabel 3b Prijzen VV'!J42</f>
        <v>43.121202216734041</v>
      </c>
      <c r="K10" s="627">
        <f>'NEV Tabel 3b Prijzen VV'!K42</f>
        <v>45.84194593815532</v>
      </c>
      <c r="L10" s="627">
        <f>'NEV Tabel 3b Prijzen VV'!L42</f>
        <v>48.562689659576591</v>
      </c>
      <c r="M10" s="627">
        <f>'NEV Tabel 3b Prijzen VV'!M42</f>
        <v>47.761867570483822</v>
      </c>
      <c r="N10" s="627">
        <f>'NEV Tabel 3b Prijzen VV'!N42</f>
        <v>46.961045481391054</v>
      </c>
      <c r="O10" s="627">
        <f>'NEV Tabel 3b Prijzen VV'!O42</f>
        <v>46.160223392298285</v>
      </c>
      <c r="P10" s="627">
        <f>'NEV Tabel 3b Prijzen VV'!P42</f>
        <v>45.359401303205516</v>
      </c>
      <c r="Q10" s="627">
        <f>'NEV Tabel 3b Prijzen VV'!Q42</f>
        <v>44.558579214112747</v>
      </c>
      <c r="R10" s="627">
        <f>'NEV Tabel 3b Prijzen VV'!R42</f>
        <v>45.503139002943385</v>
      </c>
      <c r="S10" s="627">
        <f>'NEV Tabel 3b Prijzen VV'!S42</f>
        <v>46.447698791774023</v>
      </c>
      <c r="T10" s="627">
        <f>'NEV Tabel 3b Prijzen VV'!T42</f>
        <v>47.392258580604661</v>
      </c>
      <c r="U10" s="627">
        <f>'NEV Tabel 3b Prijzen VV'!U42</f>
        <v>48.336818369435299</v>
      </c>
      <c r="V10" s="627">
        <f>'NEV Tabel 3b Prijzen VV'!V42</f>
        <v>49.281378158265937</v>
      </c>
      <c r="W10" s="627"/>
      <c r="X10" s="627"/>
      <c r="Y10" s="627"/>
      <c r="Z10" s="627"/>
      <c r="AA10" s="627"/>
      <c r="AB10" s="627"/>
    </row>
    <row r="11" spans="1:87" x14ac:dyDescent="0.25">
      <c r="B11" s="615" t="s">
        <v>1037</v>
      </c>
      <c r="C11" s="618">
        <f t="shared" si="35"/>
        <v>8</v>
      </c>
      <c r="D11" s="629">
        <f>electrification_input!$F$17</f>
        <v>30</v>
      </c>
      <c r="E11" s="627">
        <f>D11</f>
        <v>30</v>
      </c>
      <c r="F11" s="627">
        <f t="shared" ref="F11:AA11" si="36">E11</f>
        <v>30</v>
      </c>
      <c r="G11" s="627">
        <f t="shared" si="36"/>
        <v>30</v>
      </c>
      <c r="H11" s="627">
        <f t="shared" si="36"/>
        <v>30</v>
      </c>
      <c r="I11" s="627">
        <f t="shared" si="36"/>
        <v>30</v>
      </c>
      <c r="J11" s="627">
        <f t="shared" si="36"/>
        <v>30</v>
      </c>
      <c r="K11" s="627">
        <f t="shared" si="36"/>
        <v>30</v>
      </c>
      <c r="L11" s="627">
        <f t="shared" si="36"/>
        <v>30</v>
      </c>
      <c r="M11" s="627">
        <f t="shared" si="36"/>
        <v>30</v>
      </c>
      <c r="N11" s="627">
        <f t="shared" si="36"/>
        <v>30</v>
      </c>
      <c r="O11" s="627">
        <f t="shared" si="36"/>
        <v>30</v>
      </c>
      <c r="P11" s="627">
        <f t="shared" si="36"/>
        <v>30</v>
      </c>
      <c r="Q11" s="627">
        <f t="shared" si="36"/>
        <v>30</v>
      </c>
      <c r="R11" s="627">
        <f t="shared" si="36"/>
        <v>30</v>
      </c>
      <c r="S11" s="627">
        <f t="shared" si="36"/>
        <v>30</v>
      </c>
      <c r="T11" s="627">
        <f t="shared" si="36"/>
        <v>30</v>
      </c>
      <c r="U11" s="627">
        <f t="shared" si="36"/>
        <v>30</v>
      </c>
      <c r="V11" s="627">
        <f t="shared" si="36"/>
        <v>30</v>
      </c>
      <c r="W11" s="627">
        <f t="shared" si="36"/>
        <v>30</v>
      </c>
      <c r="X11" s="627">
        <f t="shared" si="36"/>
        <v>30</v>
      </c>
      <c r="Y11" s="627">
        <f t="shared" si="36"/>
        <v>30</v>
      </c>
      <c r="Z11" s="627">
        <f t="shared" si="36"/>
        <v>30</v>
      </c>
      <c r="AA11" s="627">
        <f t="shared" si="36"/>
        <v>30</v>
      </c>
      <c r="AB11" s="627"/>
    </row>
    <row r="13" spans="1:87" x14ac:dyDescent="0.25">
      <c r="B13" s="615" t="s">
        <v>1038</v>
      </c>
    </row>
    <row r="14" spans="1:87" x14ac:dyDescent="0.25">
      <c r="B14" s="623" t="s">
        <v>1039</v>
      </c>
      <c r="G14" s="630"/>
    </row>
    <row r="15" spans="1:87" x14ac:dyDescent="0.25">
      <c r="B15" s="624" t="s">
        <v>1040</v>
      </c>
    </row>
    <row r="16" spans="1:87" x14ac:dyDescent="0.2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row>
    <row r="18" spans="2:54" x14ac:dyDescent="0.25">
      <c r="B18" s="309" t="s">
        <v>1041</v>
      </c>
      <c r="C18" s="625">
        <f>VLOOKUP(electrification_input!$F$16,$B$4:$C$11,2,FALSE)</f>
        <v>1</v>
      </c>
    </row>
    <row r="21" spans="2:54" x14ac:dyDescent="0.25">
      <c r="B21" s="617" t="s">
        <v>82</v>
      </c>
      <c r="C21" s="617" t="s">
        <v>1045</v>
      </c>
    </row>
    <row r="22" spans="2:54" x14ac:dyDescent="0.25">
      <c r="B22" s="617"/>
      <c r="C22" s="617"/>
    </row>
    <row r="23" spans="2:54" x14ac:dyDescent="0.25">
      <c r="C23" s="171">
        <v>1</v>
      </c>
      <c r="D23" s="171">
        <v>2</v>
      </c>
      <c r="E23" s="171">
        <v>3</v>
      </c>
      <c r="F23" s="171">
        <v>4</v>
      </c>
      <c r="G23" s="171">
        <v>5</v>
      </c>
      <c r="H23" s="171">
        <v>6</v>
      </c>
      <c r="I23" s="171">
        <v>7</v>
      </c>
      <c r="J23" s="171">
        <v>8</v>
      </c>
      <c r="K23" s="171">
        <v>9</v>
      </c>
      <c r="L23" s="171">
        <v>10</v>
      </c>
      <c r="M23" s="171">
        <v>11</v>
      </c>
      <c r="N23" s="171">
        <v>12</v>
      </c>
      <c r="O23" s="171">
        <v>13</v>
      </c>
      <c r="P23" s="171">
        <v>14</v>
      </c>
      <c r="Q23" s="171">
        <v>15</v>
      </c>
      <c r="R23" s="171">
        <v>16</v>
      </c>
      <c r="S23" s="171">
        <v>17</v>
      </c>
      <c r="T23" s="171">
        <v>18</v>
      </c>
      <c r="U23" s="171">
        <v>19</v>
      </c>
      <c r="V23" s="171">
        <v>20</v>
      </c>
      <c r="W23" s="171">
        <v>21</v>
      </c>
      <c r="X23" s="171">
        <v>22</v>
      </c>
      <c r="Y23" s="171">
        <v>23</v>
      </c>
      <c r="Z23" s="171">
        <v>24</v>
      </c>
      <c r="AA23" s="171">
        <f>Z23+1</f>
        <v>25</v>
      </c>
      <c r="AB23" s="171">
        <f t="shared" ref="AB23:BB23" si="37">AA23+1</f>
        <v>26</v>
      </c>
      <c r="AC23" s="171">
        <f t="shared" si="37"/>
        <v>27</v>
      </c>
      <c r="AD23" s="171">
        <f t="shared" si="37"/>
        <v>28</v>
      </c>
      <c r="AE23" s="171">
        <f t="shared" si="37"/>
        <v>29</v>
      </c>
      <c r="AF23" s="171">
        <f t="shared" si="37"/>
        <v>30</v>
      </c>
      <c r="AG23" s="171">
        <f t="shared" si="37"/>
        <v>31</v>
      </c>
      <c r="AH23" s="171">
        <f t="shared" si="37"/>
        <v>32</v>
      </c>
      <c r="AI23" s="171">
        <f t="shared" si="37"/>
        <v>33</v>
      </c>
      <c r="AJ23" s="171">
        <f t="shared" si="37"/>
        <v>34</v>
      </c>
      <c r="AK23" s="171">
        <f t="shared" si="37"/>
        <v>35</v>
      </c>
      <c r="AL23" s="171">
        <f t="shared" si="37"/>
        <v>36</v>
      </c>
      <c r="AM23" s="171">
        <f t="shared" si="37"/>
        <v>37</v>
      </c>
      <c r="AN23" s="171">
        <f t="shared" si="37"/>
        <v>38</v>
      </c>
      <c r="AO23" s="171">
        <f t="shared" si="37"/>
        <v>39</v>
      </c>
      <c r="AP23" s="171">
        <f t="shared" si="37"/>
        <v>40</v>
      </c>
      <c r="AQ23" s="171">
        <f t="shared" si="37"/>
        <v>41</v>
      </c>
      <c r="AR23" s="171">
        <f t="shared" si="37"/>
        <v>42</v>
      </c>
      <c r="AS23" s="171">
        <f t="shared" si="37"/>
        <v>43</v>
      </c>
      <c r="AT23" s="171">
        <f t="shared" si="37"/>
        <v>44</v>
      </c>
      <c r="AU23" s="171">
        <f t="shared" si="37"/>
        <v>45</v>
      </c>
      <c r="AV23" s="171">
        <f t="shared" si="37"/>
        <v>46</v>
      </c>
      <c r="AW23" s="171">
        <f t="shared" si="37"/>
        <v>47</v>
      </c>
      <c r="AX23" s="171">
        <f t="shared" si="37"/>
        <v>48</v>
      </c>
      <c r="AY23" s="171">
        <f t="shared" si="37"/>
        <v>49</v>
      </c>
      <c r="AZ23" s="171">
        <f t="shared" si="37"/>
        <v>50</v>
      </c>
      <c r="BA23" s="171">
        <f t="shared" si="37"/>
        <v>51</v>
      </c>
      <c r="BB23" s="171">
        <f t="shared" si="37"/>
        <v>52</v>
      </c>
    </row>
    <row r="24" spans="2:54" x14ac:dyDescent="0.25">
      <c r="C24" s="309">
        <f t="shared" ref="C24:AH24" si="38">D3</f>
        <v>2017</v>
      </c>
      <c r="D24" s="309">
        <f t="shared" si="38"/>
        <v>2018</v>
      </c>
      <c r="E24" s="309">
        <f t="shared" si="38"/>
        <v>2019</v>
      </c>
      <c r="F24" s="309">
        <f t="shared" si="38"/>
        <v>2020</v>
      </c>
      <c r="G24" s="309">
        <f t="shared" si="38"/>
        <v>2021</v>
      </c>
      <c r="H24" s="309">
        <f t="shared" si="38"/>
        <v>2022</v>
      </c>
      <c r="I24" s="309">
        <f t="shared" si="38"/>
        <v>2023</v>
      </c>
      <c r="J24" s="309">
        <f t="shared" si="38"/>
        <v>2024</v>
      </c>
      <c r="K24" s="309">
        <f t="shared" si="38"/>
        <v>2025</v>
      </c>
      <c r="L24" s="309">
        <f t="shared" si="38"/>
        <v>2026</v>
      </c>
      <c r="M24" s="309">
        <f t="shared" si="38"/>
        <v>2027</v>
      </c>
      <c r="N24" s="309">
        <f t="shared" si="38"/>
        <v>2028</v>
      </c>
      <c r="O24" s="309">
        <f t="shared" si="38"/>
        <v>2029</v>
      </c>
      <c r="P24" s="309">
        <f t="shared" si="38"/>
        <v>2030</v>
      </c>
      <c r="Q24" s="309">
        <f t="shared" si="38"/>
        <v>2031</v>
      </c>
      <c r="R24" s="309">
        <f t="shared" si="38"/>
        <v>2032</v>
      </c>
      <c r="S24" s="309">
        <f t="shared" si="38"/>
        <v>2033</v>
      </c>
      <c r="T24" s="309">
        <f t="shared" si="38"/>
        <v>2034</v>
      </c>
      <c r="U24" s="309">
        <f t="shared" si="38"/>
        <v>2035</v>
      </c>
      <c r="V24" s="309">
        <f t="shared" si="38"/>
        <v>2036</v>
      </c>
      <c r="W24" s="309">
        <f t="shared" si="38"/>
        <v>2037</v>
      </c>
      <c r="X24" s="309">
        <f t="shared" si="38"/>
        <v>2038</v>
      </c>
      <c r="Y24" s="309">
        <f t="shared" si="38"/>
        <v>2039</v>
      </c>
      <c r="Z24" s="309">
        <f t="shared" si="38"/>
        <v>2040</v>
      </c>
      <c r="AA24" s="309">
        <f t="shared" si="38"/>
        <v>2041</v>
      </c>
      <c r="AB24" s="309">
        <f t="shared" si="38"/>
        <v>2042</v>
      </c>
      <c r="AC24" s="309">
        <f t="shared" si="38"/>
        <v>2043</v>
      </c>
      <c r="AD24" s="309">
        <f t="shared" si="38"/>
        <v>2044</v>
      </c>
      <c r="AE24" s="309">
        <f t="shared" si="38"/>
        <v>2045</v>
      </c>
      <c r="AF24" s="309">
        <f t="shared" si="38"/>
        <v>2046</v>
      </c>
      <c r="AG24" s="309">
        <f t="shared" si="38"/>
        <v>2047</v>
      </c>
      <c r="AH24" s="309">
        <f t="shared" si="38"/>
        <v>2048</v>
      </c>
      <c r="AI24" s="309">
        <f t="shared" ref="AI24:BB24" si="39">AJ3</f>
        <v>2049</v>
      </c>
      <c r="AJ24" s="309">
        <f t="shared" si="39"/>
        <v>2050</v>
      </c>
      <c r="AK24" s="309">
        <f t="shared" si="39"/>
        <v>2051</v>
      </c>
      <c r="AL24" s="309">
        <f t="shared" si="39"/>
        <v>2052</v>
      </c>
      <c r="AM24" s="309">
        <f t="shared" si="39"/>
        <v>2053</v>
      </c>
      <c r="AN24" s="309">
        <f t="shared" si="39"/>
        <v>2054</v>
      </c>
      <c r="AO24" s="309">
        <f t="shared" si="39"/>
        <v>2055</v>
      </c>
      <c r="AP24" s="309">
        <f t="shared" si="39"/>
        <v>2056</v>
      </c>
      <c r="AQ24" s="309">
        <f t="shared" si="39"/>
        <v>2057</v>
      </c>
      <c r="AR24" s="309">
        <f t="shared" si="39"/>
        <v>2058</v>
      </c>
      <c r="AS24" s="309">
        <f t="shared" si="39"/>
        <v>2059</v>
      </c>
      <c r="AT24" s="309">
        <f t="shared" si="39"/>
        <v>2060</v>
      </c>
      <c r="AU24" s="309">
        <f t="shared" si="39"/>
        <v>2061</v>
      </c>
      <c r="AV24" s="309">
        <f t="shared" si="39"/>
        <v>2062</v>
      </c>
      <c r="AW24" s="309">
        <f t="shared" si="39"/>
        <v>2063</v>
      </c>
      <c r="AX24" s="309">
        <f t="shared" si="39"/>
        <v>2064</v>
      </c>
      <c r="AY24" s="309">
        <f t="shared" si="39"/>
        <v>2065</v>
      </c>
      <c r="AZ24" s="309">
        <f t="shared" si="39"/>
        <v>2066</v>
      </c>
      <c r="BA24" s="309">
        <f t="shared" si="39"/>
        <v>2067</v>
      </c>
      <c r="BB24" s="309">
        <f t="shared" si="39"/>
        <v>2068</v>
      </c>
    </row>
    <row r="25" spans="2:54" x14ac:dyDescent="0.25">
      <c r="B25" s="171" t="s">
        <v>1043</v>
      </c>
      <c r="C25" s="628">
        <f t="shared" ref="C25:Z25" si="40">VLOOKUP($C$18,$C$3:$AA$11,C23+1,FALSE)</f>
        <v>42.629387755102044</v>
      </c>
      <c r="D25" s="628">
        <f t="shared" si="40"/>
        <v>44.284897959183667</v>
      </c>
      <c r="E25" s="628">
        <f t="shared" si="40"/>
        <v>45.940408163265303</v>
      </c>
      <c r="F25" s="628">
        <f t="shared" si="40"/>
        <v>47.59591836734694</v>
      </c>
      <c r="G25" s="628">
        <f t="shared" si="40"/>
        <v>49.872244897959177</v>
      </c>
      <c r="H25" s="628">
        <f t="shared" si="40"/>
        <v>52.148571428571415</v>
      </c>
      <c r="I25" s="628">
        <f t="shared" si="40"/>
        <v>54.424897959183667</v>
      </c>
      <c r="J25" s="628">
        <f t="shared" si="40"/>
        <v>54.439679300291544</v>
      </c>
      <c r="K25" s="628">
        <f t="shared" si="40"/>
        <v>54.454460641399415</v>
      </c>
      <c r="L25" s="628">
        <f t="shared" si="40"/>
        <v>54.469241982507292</v>
      </c>
      <c r="M25" s="628">
        <f t="shared" si="40"/>
        <v>54.484023323615155</v>
      </c>
      <c r="N25" s="628">
        <f t="shared" si="40"/>
        <v>54.498804664723018</v>
      </c>
      <c r="O25" s="628">
        <f t="shared" si="40"/>
        <v>54.513586005830909</v>
      </c>
      <c r="P25" s="628">
        <f t="shared" si="40"/>
        <v>54.528367346938779</v>
      </c>
      <c r="Q25" s="628">
        <f t="shared" si="40"/>
        <v>55.418204081632652</v>
      </c>
      <c r="R25" s="628">
        <f t="shared" si="40"/>
        <v>56.308040816326525</v>
      </c>
      <c r="S25" s="628">
        <f t="shared" si="40"/>
        <v>57.197877551020404</v>
      </c>
      <c r="T25" s="628">
        <f t="shared" si="40"/>
        <v>58.087714285714284</v>
      </c>
      <c r="U25" s="628">
        <f t="shared" si="40"/>
        <v>58.977551020408157</v>
      </c>
      <c r="V25" s="628">
        <f t="shared" si="40"/>
        <v>59.86738775510203</v>
      </c>
      <c r="W25" s="628">
        <f t="shared" si="40"/>
        <v>60.75722448979591</v>
      </c>
      <c r="X25" s="628">
        <f t="shared" si="40"/>
        <v>61.647061224489789</v>
      </c>
      <c r="Y25" s="628">
        <f t="shared" si="40"/>
        <v>62.536897959183662</v>
      </c>
      <c r="Z25" s="628">
        <f t="shared" si="40"/>
        <v>63.426734693877535</v>
      </c>
      <c r="AA25" s="628">
        <f t="shared" ref="AA25:BB25" si="41">VLOOKUP($C$18,$C$3:$BB$11,AA23+1,FALSE)</f>
        <v>63.426734693877535</v>
      </c>
      <c r="AB25" s="628">
        <f t="shared" si="41"/>
        <v>63.426734693877535</v>
      </c>
      <c r="AC25" s="628">
        <f t="shared" si="41"/>
        <v>63.426734693877535</v>
      </c>
      <c r="AD25" s="628">
        <f t="shared" si="41"/>
        <v>63.426734693877535</v>
      </c>
      <c r="AE25" s="628">
        <f t="shared" si="41"/>
        <v>63.426734693877535</v>
      </c>
      <c r="AF25" s="628">
        <f t="shared" si="41"/>
        <v>63.426734693877535</v>
      </c>
      <c r="AG25" s="628">
        <f t="shared" si="41"/>
        <v>63.426734693877535</v>
      </c>
      <c r="AH25" s="628">
        <f t="shared" si="41"/>
        <v>63.426734693877535</v>
      </c>
      <c r="AI25" s="628">
        <f t="shared" si="41"/>
        <v>63.426734693877535</v>
      </c>
      <c r="AJ25" s="628">
        <f t="shared" si="41"/>
        <v>63.426734693877535</v>
      </c>
      <c r="AK25" s="628">
        <f t="shared" si="41"/>
        <v>63.426734693877535</v>
      </c>
      <c r="AL25" s="628">
        <f t="shared" si="41"/>
        <v>63.426734693877535</v>
      </c>
      <c r="AM25" s="628">
        <f t="shared" si="41"/>
        <v>63.426734693877535</v>
      </c>
      <c r="AN25" s="628">
        <f t="shared" si="41"/>
        <v>63.426734693877535</v>
      </c>
      <c r="AO25" s="628">
        <f t="shared" si="41"/>
        <v>63.426734693877535</v>
      </c>
      <c r="AP25" s="628">
        <f t="shared" si="41"/>
        <v>63.426734693877535</v>
      </c>
      <c r="AQ25" s="628">
        <f t="shared" si="41"/>
        <v>63.426734693877535</v>
      </c>
      <c r="AR25" s="628">
        <f t="shared" si="41"/>
        <v>63.426734693877535</v>
      </c>
      <c r="AS25" s="628">
        <f t="shared" si="41"/>
        <v>63.426734693877535</v>
      </c>
      <c r="AT25" s="628">
        <f t="shared" si="41"/>
        <v>63.426734693877535</v>
      </c>
      <c r="AU25" s="628">
        <f t="shared" si="41"/>
        <v>63.426734693877535</v>
      </c>
      <c r="AV25" s="628">
        <f t="shared" si="41"/>
        <v>63.426734693877535</v>
      </c>
      <c r="AW25" s="628">
        <f t="shared" si="41"/>
        <v>63.426734693877535</v>
      </c>
      <c r="AX25" s="628">
        <f t="shared" si="41"/>
        <v>63.426734693877535</v>
      </c>
      <c r="AY25" s="628">
        <f t="shared" si="41"/>
        <v>63.426734693877535</v>
      </c>
      <c r="AZ25" s="628">
        <f t="shared" si="41"/>
        <v>63.426734693877535</v>
      </c>
      <c r="BA25" s="628">
        <f t="shared" si="41"/>
        <v>63.426734693877535</v>
      </c>
      <c r="BB25" s="628" t="e">
        <f t="shared" si="41"/>
        <v>#REF!</v>
      </c>
    </row>
    <row r="27" spans="2:54" x14ac:dyDescent="0.25">
      <c r="C27" s="631"/>
      <c r="D27" s="631"/>
      <c r="E27" s="631"/>
      <c r="F27" s="631"/>
      <c r="G27" s="631"/>
      <c r="H27" s="631"/>
      <c r="I27" s="631"/>
      <c r="J27" s="631"/>
      <c r="K27" s="631"/>
      <c r="L27" s="631"/>
      <c r="M27" s="631"/>
      <c r="N27" s="631"/>
      <c r="O27" s="631"/>
      <c r="P27" s="631"/>
      <c r="Q27" s="631"/>
      <c r="R27" s="631"/>
      <c r="S27" s="631"/>
      <c r="T27" s="631"/>
      <c r="U27" s="631"/>
      <c r="V27" s="631"/>
      <c r="W27" s="631"/>
      <c r="X27" s="631"/>
      <c r="Y27" s="631"/>
      <c r="Z27" s="631"/>
      <c r="AA27" s="631"/>
    </row>
    <row r="32" spans="2:54" x14ac:dyDescent="0.25">
      <c r="C32" s="628"/>
    </row>
  </sheetData>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0"/>
  <dimension ref="A2:CI28"/>
  <sheetViews>
    <sheetView zoomScale="85" zoomScaleNormal="85" workbookViewId="0">
      <selection activeCell="B11" sqref="B11"/>
    </sheetView>
  </sheetViews>
  <sheetFormatPr defaultColWidth="8.85546875" defaultRowHeight="15" x14ac:dyDescent="0.25"/>
  <cols>
    <col min="1" max="1" width="8.85546875" style="171"/>
    <col min="2" max="2" width="35.5703125" style="171" customWidth="1"/>
    <col min="3" max="3" width="10.42578125" style="171" customWidth="1"/>
    <col min="4" max="54" width="9.140625" style="171" customWidth="1"/>
    <col min="55" max="55" width="8.85546875" style="171"/>
    <col min="56" max="56" width="10.85546875" style="171" customWidth="1"/>
    <col min="57" max="57" width="25.28515625" style="171" customWidth="1"/>
    <col min="58" max="16384" width="8.85546875" style="171"/>
  </cols>
  <sheetData>
    <row r="2" spans="2:87" x14ac:dyDescent="0.25">
      <c r="B2" s="615" t="s">
        <v>10</v>
      </c>
      <c r="C2" s="615" t="s">
        <v>1046</v>
      </c>
    </row>
    <row r="3" spans="2:87" x14ac:dyDescent="0.25">
      <c r="D3" s="617">
        <v>2017</v>
      </c>
      <c r="E3" s="617">
        <v>2018</v>
      </c>
      <c r="F3" s="617">
        <v>2019</v>
      </c>
      <c r="G3" s="617">
        <v>2020</v>
      </c>
      <c r="H3" s="617">
        <v>2021</v>
      </c>
      <c r="I3" s="617">
        <v>2022</v>
      </c>
      <c r="J3" s="617">
        <v>2023</v>
      </c>
      <c r="K3" s="617">
        <v>2024</v>
      </c>
      <c r="L3" s="617">
        <v>2025</v>
      </c>
      <c r="M3" s="617">
        <v>2026</v>
      </c>
      <c r="N3" s="617">
        <v>2027</v>
      </c>
      <c r="O3" s="617">
        <v>2028</v>
      </c>
      <c r="P3" s="617">
        <v>2029</v>
      </c>
      <c r="Q3" s="617">
        <v>2030</v>
      </c>
      <c r="R3" s="617">
        <v>2031</v>
      </c>
      <c r="S3" s="617">
        <v>2032</v>
      </c>
      <c r="T3" s="617">
        <v>2033</v>
      </c>
      <c r="U3" s="617">
        <v>2034</v>
      </c>
      <c r="V3" s="617">
        <v>2035</v>
      </c>
      <c r="W3" s="617">
        <v>2036</v>
      </c>
      <c r="X3" s="617">
        <v>2037</v>
      </c>
      <c r="Y3" s="617">
        <v>2038</v>
      </c>
      <c r="Z3" s="617">
        <v>2039</v>
      </c>
      <c r="AA3" s="617">
        <v>2040</v>
      </c>
      <c r="AB3" s="617">
        <v>2041</v>
      </c>
      <c r="AC3" s="617">
        <v>2042</v>
      </c>
      <c r="AD3" s="617">
        <v>2043</v>
      </c>
      <c r="AE3" s="617">
        <v>2044</v>
      </c>
      <c r="AF3" s="617">
        <v>2045</v>
      </c>
      <c r="AG3" s="617">
        <v>2046</v>
      </c>
      <c r="AH3" s="617">
        <v>2047</v>
      </c>
      <c r="AI3" s="617">
        <v>2048</v>
      </c>
      <c r="AJ3" s="617">
        <v>2049</v>
      </c>
      <c r="AK3" s="617">
        <v>2050</v>
      </c>
      <c r="AL3" s="617">
        <v>2051</v>
      </c>
      <c r="AM3" s="617">
        <v>2052</v>
      </c>
      <c r="AN3" s="617">
        <v>2053</v>
      </c>
      <c r="AO3" s="617">
        <v>2054</v>
      </c>
      <c r="AP3" s="617">
        <v>2055</v>
      </c>
      <c r="AQ3" s="617">
        <v>2056</v>
      </c>
      <c r="AR3" s="617">
        <v>2057</v>
      </c>
      <c r="AS3" s="617">
        <v>2058</v>
      </c>
      <c r="AT3" s="617">
        <v>2059</v>
      </c>
      <c r="AU3" s="617">
        <v>2060</v>
      </c>
      <c r="AV3" s="617">
        <v>2061</v>
      </c>
      <c r="AW3" s="617">
        <v>2062</v>
      </c>
      <c r="AX3" s="617">
        <v>2063</v>
      </c>
      <c r="AY3" s="617">
        <v>2064</v>
      </c>
      <c r="AZ3" s="617">
        <v>2065</v>
      </c>
      <c r="BA3" s="617">
        <v>2066</v>
      </c>
      <c r="BB3" s="617">
        <v>2067</v>
      </c>
      <c r="BC3" s="617">
        <v>2068</v>
      </c>
      <c r="BD3" s="617">
        <v>2069</v>
      </c>
      <c r="BE3" s="617">
        <v>2070</v>
      </c>
      <c r="BF3" s="617">
        <v>2071</v>
      </c>
      <c r="BG3" s="617">
        <v>2072</v>
      </c>
      <c r="BH3" s="617">
        <v>2073</v>
      </c>
      <c r="BI3" s="617">
        <v>2074</v>
      </c>
      <c r="BJ3" s="617">
        <v>2075</v>
      </c>
      <c r="BK3" s="617">
        <v>2076</v>
      </c>
      <c r="BL3" s="617">
        <v>2077</v>
      </c>
      <c r="BM3" s="617">
        <v>2078</v>
      </c>
      <c r="BN3" s="617">
        <v>2079</v>
      </c>
      <c r="BO3" s="617">
        <v>2080</v>
      </c>
      <c r="BP3" s="617">
        <v>2081</v>
      </c>
      <c r="BQ3" s="617">
        <v>2082</v>
      </c>
      <c r="BR3" s="617">
        <v>2083</v>
      </c>
      <c r="BS3" s="617">
        <v>2084</v>
      </c>
      <c r="BT3" s="617">
        <v>2085</v>
      </c>
      <c r="BU3" s="617">
        <v>2086</v>
      </c>
      <c r="BV3" s="617">
        <v>2087</v>
      </c>
      <c r="BW3" s="617">
        <v>2088</v>
      </c>
      <c r="BX3" s="617">
        <v>2089</v>
      </c>
      <c r="BY3" s="617">
        <v>2090</v>
      </c>
      <c r="BZ3" s="617">
        <v>2091</v>
      </c>
      <c r="CA3" s="617">
        <v>2092</v>
      </c>
      <c r="CB3" s="617">
        <v>2093</v>
      </c>
      <c r="CC3" s="617">
        <v>2094</v>
      </c>
      <c r="CD3" s="617">
        <v>2095</v>
      </c>
      <c r="CE3" s="617">
        <v>2096</v>
      </c>
      <c r="CF3" s="617">
        <v>2097</v>
      </c>
      <c r="CG3" s="617">
        <v>2098</v>
      </c>
      <c r="CH3" s="617">
        <v>2099</v>
      </c>
      <c r="CI3" s="617">
        <v>2100</v>
      </c>
    </row>
    <row r="4" spans="2:87" x14ac:dyDescent="0.25">
      <c r="B4" s="615" t="s">
        <v>952</v>
      </c>
      <c r="C4" s="618">
        <v>1</v>
      </c>
      <c r="D4" s="632">
        <f>Frontier!D55</f>
        <v>9.2087755102040827</v>
      </c>
      <c r="E4" s="632">
        <f>Frontier!E55</f>
        <v>9.933061224489796</v>
      </c>
      <c r="F4" s="632">
        <f>Frontier!F55</f>
        <v>10.657346938775511</v>
      </c>
      <c r="G4" s="632">
        <f>Frontier!G55</f>
        <v>11.381632653061223</v>
      </c>
      <c r="H4" s="632">
        <f>Frontier!H55</f>
        <v>12.933673469387754</v>
      </c>
      <c r="I4" s="632">
        <f>Frontier!I55</f>
        <v>14.485714285714284</v>
      </c>
      <c r="J4" s="632">
        <f>Frontier!J55</f>
        <v>16.037755102040812</v>
      </c>
      <c r="K4" s="632">
        <f>Frontier!K55</f>
        <v>16.776822157434403</v>
      </c>
      <c r="L4" s="632">
        <f>Frontier!L55</f>
        <v>17.515889212827982</v>
      </c>
      <c r="M4" s="632">
        <f>Frontier!M55</f>
        <v>18.254956268221573</v>
      </c>
      <c r="N4" s="632">
        <f>Frontier!N55</f>
        <v>18.99402332361516</v>
      </c>
      <c r="O4" s="632">
        <f>Frontier!O55</f>
        <v>19.733090379008747</v>
      </c>
      <c r="P4" s="632">
        <f>Frontier!P55</f>
        <v>20.472157434402334</v>
      </c>
      <c r="Q4" s="632">
        <f>Frontier!Q55</f>
        <v>21.211224489795921</v>
      </c>
      <c r="R4" s="632">
        <f>Frontier!R55</f>
        <v>23.280612244897956</v>
      </c>
      <c r="S4" s="632">
        <f>Frontier!S55</f>
        <v>25.349999999999998</v>
      </c>
      <c r="T4" s="632">
        <f>Frontier!T55</f>
        <v>27.419387755102036</v>
      </c>
      <c r="U4" s="632">
        <f>Frontier!U55</f>
        <v>29.488775510204082</v>
      </c>
      <c r="V4" s="632">
        <f>Frontier!V55</f>
        <v>31.558163265306124</v>
      </c>
      <c r="W4" s="632">
        <f>Frontier!W55</f>
        <v>33.627551020408156</v>
      </c>
      <c r="X4" s="632">
        <f>Frontier!X55</f>
        <v>35.696938775510198</v>
      </c>
      <c r="Y4" s="632">
        <f>Frontier!Y55</f>
        <v>37.766326530612247</v>
      </c>
      <c r="Z4" s="632">
        <f>Frontier!Z55</f>
        <v>39.835714285714282</v>
      </c>
      <c r="AA4" s="632">
        <f>Frontier!AA55</f>
        <v>41.905102040816317</v>
      </c>
      <c r="AB4" s="1166">
        <f>$AA4</f>
        <v>41.905102040816317</v>
      </c>
      <c r="AC4" s="1166">
        <f t="shared" ref="AC4:BB8" si="0">$AA4</f>
        <v>41.905102040816317</v>
      </c>
      <c r="AD4" s="1166">
        <f t="shared" si="0"/>
        <v>41.905102040816317</v>
      </c>
      <c r="AE4" s="1166">
        <f t="shared" si="0"/>
        <v>41.905102040816317</v>
      </c>
      <c r="AF4" s="1166">
        <f t="shared" si="0"/>
        <v>41.905102040816317</v>
      </c>
      <c r="AG4" s="1166">
        <f t="shared" si="0"/>
        <v>41.905102040816317</v>
      </c>
      <c r="AH4" s="1166">
        <f t="shared" si="0"/>
        <v>41.905102040816317</v>
      </c>
      <c r="AI4" s="1166">
        <f t="shared" si="0"/>
        <v>41.905102040816317</v>
      </c>
      <c r="AJ4" s="1166">
        <f t="shared" si="0"/>
        <v>41.905102040816317</v>
      </c>
      <c r="AK4" s="1166">
        <f t="shared" si="0"/>
        <v>41.905102040816317</v>
      </c>
      <c r="AL4" s="1166">
        <f t="shared" si="0"/>
        <v>41.905102040816317</v>
      </c>
      <c r="AM4" s="1166">
        <f t="shared" si="0"/>
        <v>41.905102040816317</v>
      </c>
      <c r="AN4" s="1166">
        <f t="shared" si="0"/>
        <v>41.905102040816317</v>
      </c>
      <c r="AO4" s="1166">
        <f t="shared" si="0"/>
        <v>41.905102040816317</v>
      </c>
      <c r="AP4" s="1166">
        <f t="shared" si="0"/>
        <v>41.905102040816317</v>
      </c>
      <c r="AQ4" s="1166">
        <f t="shared" si="0"/>
        <v>41.905102040816317</v>
      </c>
      <c r="AR4" s="1166">
        <f t="shared" si="0"/>
        <v>41.905102040816317</v>
      </c>
      <c r="AS4" s="1166">
        <f t="shared" si="0"/>
        <v>41.905102040816317</v>
      </c>
      <c r="AT4" s="1166">
        <f t="shared" si="0"/>
        <v>41.905102040816317</v>
      </c>
      <c r="AU4" s="1166">
        <f t="shared" si="0"/>
        <v>41.905102040816317</v>
      </c>
      <c r="AV4" s="1166">
        <f t="shared" si="0"/>
        <v>41.905102040816317</v>
      </c>
      <c r="AW4" s="1166">
        <f t="shared" si="0"/>
        <v>41.905102040816317</v>
      </c>
      <c r="AX4" s="1166">
        <f t="shared" si="0"/>
        <v>41.905102040816317</v>
      </c>
      <c r="AY4" s="1166">
        <f t="shared" si="0"/>
        <v>41.905102040816317</v>
      </c>
      <c r="AZ4" s="1166">
        <f t="shared" si="0"/>
        <v>41.905102040816317</v>
      </c>
      <c r="BA4" s="1166">
        <f t="shared" si="0"/>
        <v>41.905102040816317</v>
      </c>
      <c r="BB4" s="1166">
        <f t="shared" si="0"/>
        <v>41.905102040816317</v>
      </c>
      <c r="BD4" s="171" t="s">
        <v>10</v>
      </c>
      <c r="BE4" s="171" t="s">
        <v>1047</v>
      </c>
      <c r="BF4" s="171" t="s">
        <v>123</v>
      </c>
    </row>
    <row r="5" spans="2:87" x14ac:dyDescent="0.25">
      <c r="B5" s="615" t="s">
        <v>1031</v>
      </c>
      <c r="C5" s="618">
        <f t="shared" ref="C5:C13" si="1">C4+1</f>
        <v>2</v>
      </c>
      <c r="D5" s="632">
        <f>Frontier!D56</f>
        <v>7.967142857142858</v>
      </c>
      <c r="E5" s="632">
        <f>Frontier!E56</f>
        <v>8.0706122448979585</v>
      </c>
      <c r="F5" s="632">
        <f>Frontier!F56</f>
        <v>8.1740816326530616</v>
      </c>
      <c r="G5" s="632">
        <f>Frontier!G56</f>
        <v>8.277551020408163</v>
      </c>
      <c r="H5" s="632">
        <f>Frontier!H56</f>
        <v>8.4499999999999993</v>
      </c>
      <c r="I5" s="632">
        <f>Frontier!I56</f>
        <v>8.6224489795918355</v>
      </c>
      <c r="J5" s="632">
        <f>Frontier!J56</f>
        <v>8.7948979591836718</v>
      </c>
      <c r="K5" s="632">
        <f>Frontier!K56</f>
        <v>9.0905247813411076</v>
      </c>
      <c r="L5" s="632">
        <f>Frontier!L56</f>
        <v>9.3861516034985417</v>
      </c>
      <c r="M5" s="632">
        <f>Frontier!M56</f>
        <v>9.6817784256559758</v>
      </c>
      <c r="N5" s="632">
        <f>Frontier!N56</f>
        <v>9.9774052478134081</v>
      </c>
      <c r="O5" s="632">
        <f>Frontier!O56</f>
        <v>10.273032069970844</v>
      </c>
      <c r="P5" s="632">
        <f>Frontier!P56</f>
        <v>10.568658892128278</v>
      </c>
      <c r="Q5" s="632">
        <f>Frontier!Q56</f>
        <v>10.864285714285714</v>
      </c>
      <c r="R5" s="632">
        <f>Frontier!R56</f>
        <v>11.071224489795918</v>
      </c>
      <c r="S5" s="632">
        <f>Frontier!S56</f>
        <v>11.278163265306121</v>
      </c>
      <c r="T5" s="632">
        <f>Frontier!T56</f>
        <v>11.485102040816324</v>
      </c>
      <c r="U5" s="632">
        <f>Frontier!U56</f>
        <v>11.692040816326532</v>
      </c>
      <c r="V5" s="632">
        <f>Frontier!V56</f>
        <v>11.898979591836733</v>
      </c>
      <c r="W5" s="632">
        <f>Frontier!W56</f>
        <v>12.105918367346936</v>
      </c>
      <c r="X5" s="632">
        <f>Frontier!X56</f>
        <v>12.312857142857141</v>
      </c>
      <c r="Y5" s="632">
        <f>Frontier!Y56</f>
        <v>12.519795918367343</v>
      </c>
      <c r="Z5" s="632">
        <f>Frontier!Z56</f>
        <v>12.726734693877548</v>
      </c>
      <c r="AA5" s="632">
        <f>Frontier!AA56</f>
        <v>12.933673469387749</v>
      </c>
      <c r="AB5" s="1166">
        <f t="shared" ref="AB5:AQ8" si="2">$AA5</f>
        <v>12.933673469387749</v>
      </c>
      <c r="AC5" s="1166">
        <f t="shared" si="2"/>
        <v>12.933673469387749</v>
      </c>
      <c r="AD5" s="1166">
        <f t="shared" si="2"/>
        <v>12.933673469387749</v>
      </c>
      <c r="AE5" s="1166">
        <f t="shared" si="2"/>
        <v>12.933673469387749</v>
      </c>
      <c r="AF5" s="1166">
        <f t="shared" si="2"/>
        <v>12.933673469387749</v>
      </c>
      <c r="AG5" s="1166">
        <f t="shared" si="2"/>
        <v>12.933673469387749</v>
      </c>
      <c r="AH5" s="1166">
        <f t="shared" si="2"/>
        <v>12.933673469387749</v>
      </c>
      <c r="AI5" s="1166">
        <f t="shared" si="2"/>
        <v>12.933673469387749</v>
      </c>
      <c r="AJ5" s="1166">
        <f t="shared" si="2"/>
        <v>12.933673469387749</v>
      </c>
      <c r="AK5" s="1166">
        <f t="shared" si="2"/>
        <v>12.933673469387749</v>
      </c>
      <c r="AL5" s="1166">
        <f t="shared" si="2"/>
        <v>12.933673469387749</v>
      </c>
      <c r="AM5" s="1166">
        <f t="shared" si="2"/>
        <v>12.933673469387749</v>
      </c>
      <c r="AN5" s="1166">
        <f t="shared" si="2"/>
        <v>12.933673469387749</v>
      </c>
      <c r="AO5" s="1166">
        <f t="shared" si="2"/>
        <v>12.933673469387749</v>
      </c>
      <c r="AP5" s="1166">
        <f t="shared" si="2"/>
        <v>12.933673469387749</v>
      </c>
      <c r="AQ5" s="1166">
        <f t="shared" si="2"/>
        <v>12.933673469387749</v>
      </c>
      <c r="AR5" s="1166">
        <f t="shared" si="0"/>
        <v>12.933673469387749</v>
      </c>
      <c r="AS5" s="1166">
        <f t="shared" si="0"/>
        <v>12.933673469387749</v>
      </c>
      <c r="AT5" s="1166">
        <f t="shared" si="0"/>
        <v>12.933673469387749</v>
      </c>
      <c r="AU5" s="1166">
        <f t="shared" si="0"/>
        <v>12.933673469387749</v>
      </c>
      <c r="AV5" s="1166">
        <f t="shared" si="0"/>
        <v>12.933673469387749</v>
      </c>
      <c r="AW5" s="1166">
        <f t="shared" si="0"/>
        <v>12.933673469387749</v>
      </c>
      <c r="AX5" s="1166">
        <f t="shared" si="0"/>
        <v>12.933673469387749</v>
      </c>
      <c r="AY5" s="1166">
        <f t="shared" si="0"/>
        <v>12.933673469387749</v>
      </c>
      <c r="AZ5" s="1166">
        <f t="shared" si="0"/>
        <v>12.933673469387749</v>
      </c>
      <c r="BA5" s="1166">
        <f t="shared" si="0"/>
        <v>12.933673469387749</v>
      </c>
      <c r="BB5" s="1166">
        <f t="shared" si="0"/>
        <v>12.933673469387749</v>
      </c>
      <c r="BD5" s="171" t="s">
        <v>1048</v>
      </c>
      <c r="BE5" s="171" t="s">
        <v>1048</v>
      </c>
      <c r="BF5" s="171" t="s">
        <v>757</v>
      </c>
    </row>
    <row r="6" spans="2:87" x14ac:dyDescent="0.25">
      <c r="B6" s="615" t="s">
        <v>1032</v>
      </c>
      <c r="C6" s="618">
        <f t="shared" si="1"/>
        <v>3</v>
      </c>
      <c r="D6" s="632">
        <f>Frontier!D57</f>
        <v>9.2087755102040827</v>
      </c>
      <c r="E6" s="632">
        <f>Frontier!E57</f>
        <v>9.933061224489796</v>
      </c>
      <c r="F6" s="632">
        <f>Frontier!F57</f>
        <v>10.657346938775511</v>
      </c>
      <c r="G6" s="632">
        <f>Frontier!G57</f>
        <v>11.381632653061223</v>
      </c>
      <c r="H6" s="632">
        <f>Frontier!H57</f>
        <v>12.933673469387754</v>
      </c>
      <c r="I6" s="632">
        <f>Frontier!I57</f>
        <v>14.485714285714284</v>
      </c>
      <c r="J6" s="632">
        <f>Frontier!J57</f>
        <v>16.037755102040812</v>
      </c>
      <c r="K6" s="632">
        <f>Frontier!K57</f>
        <v>16.776822157434403</v>
      </c>
      <c r="L6" s="632">
        <f>Frontier!L57</f>
        <v>17.515889212827982</v>
      </c>
      <c r="M6" s="632">
        <f>Frontier!M57</f>
        <v>18.254956268221573</v>
      </c>
      <c r="N6" s="632">
        <f>Frontier!N57</f>
        <v>18.99402332361516</v>
      </c>
      <c r="O6" s="632">
        <f>Frontier!O57</f>
        <v>19.733090379008747</v>
      </c>
      <c r="P6" s="632">
        <f>Frontier!P57</f>
        <v>20.472157434402334</v>
      </c>
      <c r="Q6" s="632">
        <f>Frontier!Q57</f>
        <v>21.211224489795921</v>
      </c>
      <c r="R6" s="632">
        <f>Frontier!R57</f>
        <v>23.280612244897956</v>
      </c>
      <c r="S6" s="632">
        <f>Frontier!S57</f>
        <v>25.349999999999998</v>
      </c>
      <c r="T6" s="632">
        <f>Frontier!T57</f>
        <v>27.419387755102036</v>
      </c>
      <c r="U6" s="632">
        <f>Frontier!U57</f>
        <v>29.488775510204082</v>
      </c>
      <c r="V6" s="632">
        <f>Frontier!V57</f>
        <v>31.558163265306124</v>
      </c>
      <c r="W6" s="632">
        <f>Frontier!W57</f>
        <v>33.627551020408156</v>
      </c>
      <c r="X6" s="632">
        <f>Frontier!X57</f>
        <v>35.696938775510198</v>
      </c>
      <c r="Y6" s="632">
        <f>Frontier!Y57</f>
        <v>37.766326530612247</v>
      </c>
      <c r="Z6" s="632">
        <f>Frontier!Z57</f>
        <v>39.835714285714282</v>
      </c>
      <c r="AA6" s="632">
        <f>Frontier!AA57</f>
        <v>41.905102040816317</v>
      </c>
      <c r="AB6" s="1166">
        <f t="shared" si="2"/>
        <v>41.905102040816317</v>
      </c>
      <c r="AC6" s="1166">
        <f t="shared" si="0"/>
        <v>41.905102040816317</v>
      </c>
      <c r="AD6" s="1166">
        <f t="shared" si="0"/>
        <v>41.905102040816317</v>
      </c>
      <c r="AE6" s="1166">
        <f t="shared" si="0"/>
        <v>41.905102040816317</v>
      </c>
      <c r="AF6" s="1166">
        <f t="shared" si="0"/>
        <v>41.905102040816317</v>
      </c>
      <c r="AG6" s="1166">
        <f t="shared" si="0"/>
        <v>41.905102040816317</v>
      </c>
      <c r="AH6" s="1166">
        <f t="shared" si="0"/>
        <v>41.905102040816317</v>
      </c>
      <c r="AI6" s="1166">
        <f t="shared" si="0"/>
        <v>41.905102040816317</v>
      </c>
      <c r="AJ6" s="1166">
        <f t="shared" si="0"/>
        <v>41.905102040816317</v>
      </c>
      <c r="AK6" s="1166">
        <f t="shared" si="0"/>
        <v>41.905102040816317</v>
      </c>
      <c r="AL6" s="1166">
        <f t="shared" si="0"/>
        <v>41.905102040816317</v>
      </c>
      <c r="AM6" s="1166">
        <f t="shared" si="0"/>
        <v>41.905102040816317</v>
      </c>
      <c r="AN6" s="1166">
        <f t="shared" si="0"/>
        <v>41.905102040816317</v>
      </c>
      <c r="AO6" s="1166">
        <f t="shared" si="0"/>
        <v>41.905102040816317</v>
      </c>
      <c r="AP6" s="1166">
        <f t="shared" si="0"/>
        <v>41.905102040816317</v>
      </c>
      <c r="AQ6" s="1166">
        <f t="shared" si="0"/>
        <v>41.905102040816317</v>
      </c>
      <c r="AR6" s="1166">
        <f t="shared" si="0"/>
        <v>41.905102040816317</v>
      </c>
      <c r="AS6" s="1166">
        <f t="shared" si="0"/>
        <v>41.905102040816317</v>
      </c>
      <c r="AT6" s="1166">
        <f t="shared" si="0"/>
        <v>41.905102040816317</v>
      </c>
      <c r="AU6" s="1166">
        <f t="shared" si="0"/>
        <v>41.905102040816317</v>
      </c>
      <c r="AV6" s="1166">
        <f t="shared" si="0"/>
        <v>41.905102040816317</v>
      </c>
      <c r="AW6" s="1166">
        <f t="shared" si="0"/>
        <v>41.905102040816317</v>
      </c>
      <c r="AX6" s="1166">
        <f t="shared" si="0"/>
        <v>41.905102040816317</v>
      </c>
      <c r="AY6" s="1166">
        <f t="shared" si="0"/>
        <v>41.905102040816317</v>
      </c>
      <c r="AZ6" s="1166">
        <f t="shared" si="0"/>
        <v>41.905102040816317</v>
      </c>
      <c r="BA6" s="1166">
        <f t="shared" si="0"/>
        <v>41.905102040816317</v>
      </c>
      <c r="BB6" s="1166">
        <f t="shared" si="0"/>
        <v>41.905102040816317</v>
      </c>
      <c r="BD6" s="171" t="s">
        <v>1049</v>
      </c>
      <c r="BE6" s="171" t="s">
        <v>1050</v>
      </c>
      <c r="BF6" s="171" t="s">
        <v>1051</v>
      </c>
    </row>
    <row r="7" spans="2:87" x14ac:dyDescent="0.25">
      <c r="B7" s="615" t="s">
        <v>1033</v>
      </c>
      <c r="C7" s="618">
        <f t="shared" si="1"/>
        <v>4</v>
      </c>
      <c r="D7" s="632">
        <f>Frontier!D58</f>
        <v>9.2087755102040827</v>
      </c>
      <c r="E7" s="632">
        <f>Frontier!E58</f>
        <v>9.933061224489796</v>
      </c>
      <c r="F7" s="632">
        <f>Frontier!F58</f>
        <v>10.657346938775511</v>
      </c>
      <c r="G7" s="632">
        <f>Frontier!G58</f>
        <v>11.381632653061223</v>
      </c>
      <c r="H7" s="632">
        <f>Frontier!H58</f>
        <v>12.933673469387754</v>
      </c>
      <c r="I7" s="632">
        <f>Frontier!I58</f>
        <v>14.485714285714284</v>
      </c>
      <c r="J7" s="632">
        <f>Frontier!J58</f>
        <v>16.037755102040812</v>
      </c>
      <c r="K7" s="632">
        <f>Frontier!K58</f>
        <v>16.776822157434403</v>
      </c>
      <c r="L7" s="632">
        <f>Frontier!L58</f>
        <v>17.515889212827982</v>
      </c>
      <c r="M7" s="632">
        <f>Frontier!M58</f>
        <v>18.254956268221573</v>
      </c>
      <c r="N7" s="632">
        <f>Frontier!N58</f>
        <v>18.99402332361516</v>
      </c>
      <c r="O7" s="632">
        <f>Frontier!O58</f>
        <v>19.733090379008747</v>
      </c>
      <c r="P7" s="632">
        <f>Frontier!P58</f>
        <v>20.472157434402334</v>
      </c>
      <c r="Q7" s="632">
        <f>Frontier!Q58</f>
        <v>21.211224489795921</v>
      </c>
      <c r="R7" s="632">
        <f>Frontier!R58</f>
        <v>23.280612244897956</v>
      </c>
      <c r="S7" s="632">
        <f>Frontier!S58</f>
        <v>25.349999999999998</v>
      </c>
      <c r="T7" s="632">
        <f>Frontier!T58</f>
        <v>27.419387755102036</v>
      </c>
      <c r="U7" s="632">
        <f>Frontier!U58</f>
        <v>29.488775510204082</v>
      </c>
      <c r="V7" s="632">
        <f>Frontier!V58</f>
        <v>31.558163265306124</v>
      </c>
      <c r="W7" s="632">
        <f>Frontier!W58</f>
        <v>33.627551020408156</v>
      </c>
      <c r="X7" s="632">
        <f>Frontier!X58</f>
        <v>35.696938775510198</v>
      </c>
      <c r="Y7" s="632">
        <f>Frontier!Y58</f>
        <v>37.766326530612247</v>
      </c>
      <c r="Z7" s="632">
        <f>Frontier!Z58</f>
        <v>39.835714285714282</v>
      </c>
      <c r="AA7" s="632">
        <f>Frontier!AA58</f>
        <v>41.905102040816317</v>
      </c>
      <c r="AB7" s="1166">
        <f t="shared" si="2"/>
        <v>41.905102040816317</v>
      </c>
      <c r="AC7" s="1166">
        <f t="shared" si="0"/>
        <v>41.905102040816317</v>
      </c>
      <c r="AD7" s="1166">
        <f t="shared" si="0"/>
        <v>41.905102040816317</v>
      </c>
      <c r="AE7" s="1166">
        <f t="shared" si="0"/>
        <v>41.905102040816317</v>
      </c>
      <c r="AF7" s="1166">
        <f t="shared" si="0"/>
        <v>41.905102040816317</v>
      </c>
      <c r="AG7" s="1166">
        <f t="shared" si="0"/>
        <v>41.905102040816317</v>
      </c>
      <c r="AH7" s="1166">
        <f t="shared" si="0"/>
        <v>41.905102040816317</v>
      </c>
      <c r="AI7" s="1166">
        <f t="shared" si="0"/>
        <v>41.905102040816317</v>
      </c>
      <c r="AJ7" s="1166">
        <f t="shared" si="0"/>
        <v>41.905102040816317</v>
      </c>
      <c r="AK7" s="1166">
        <f t="shared" si="0"/>
        <v>41.905102040816317</v>
      </c>
      <c r="AL7" s="1166">
        <f t="shared" si="0"/>
        <v>41.905102040816317</v>
      </c>
      <c r="AM7" s="1166">
        <f t="shared" si="0"/>
        <v>41.905102040816317</v>
      </c>
      <c r="AN7" s="1166">
        <f t="shared" si="0"/>
        <v>41.905102040816317</v>
      </c>
      <c r="AO7" s="1166">
        <f t="shared" si="0"/>
        <v>41.905102040816317</v>
      </c>
      <c r="AP7" s="1166">
        <f t="shared" si="0"/>
        <v>41.905102040816317</v>
      </c>
      <c r="AQ7" s="1166">
        <f t="shared" si="0"/>
        <v>41.905102040816317</v>
      </c>
      <c r="AR7" s="1166">
        <f t="shared" si="0"/>
        <v>41.905102040816317</v>
      </c>
      <c r="AS7" s="1166">
        <f t="shared" si="0"/>
        <v>41.905102040816317</v>
      </c>
      <c r="AT7" s="1166">
        <f t="shared" si="0"/>
        <v>41.905102040816317</v>
      </c>
      <c r="AU7" s="1166">
        <f t="shared" si="0"/>
        <v>41.905102040816317</v>
      </c>
      <c r="AV7" s="1166">
        <f t="shared" si="0"/>
        <v>41.905102040816317</v>
      </c>
      <c r="AW7" s="1166">
        <f t="shared" si="0"/>
        <v>41.905102040816317</v>
      </c>
      <c r="AX7" s="1166">
        <f t="shared" si="0"/>
        <v>41.905102040816317</v>
      </c>
      <c r="AY7" s="1166">
        <f t="shared" si="0"/>
        <v>41.905102040816317</v>
      </c>
      <c r="AZ7" s="1166">
        <f t="shared" si="0"/>
        <v>41.905102040816317</v>
      </c>
      <c r="BA7" s="1166">
        <f t="shared" si="0"/>
        <v>41.905102040816317</v>
      </c>
      <c r="BB7" s="1166">
        <f t="shared" si="0"/>
        <v>41.905102040816317</v>
      </c>
      <c r="BD7" s="171" t="s">
        <v>757</v>
      </c>
      <c r="BE7" s="171" t="s">
        <v>1052</v>
      </c>
      <c r="BF7" s="171" t="s">
        <v>757</v>
      </c>
    </row>
    <row r="8" spans="2:87" x14ac:dyDescent="0.25">
      <c r="B8" s="615" t="s">
        <v>1034</v>
      </c>
      <c r="C8" s="618">
        <f t="shared" si="1"/>
        <v>5</v>
      </c>
      <c r="D8" s="632">
        <f>Frontier!D59</f>
        <v>9.2087755102040827</v>
      </c>
      <c r="E8" s="632">
        <f>Frontier!E59</f>
        <v>9.933061224489796</v>
      </c>
      <c r="F8" s="632">
        <f>Frontier!F59</f>
        <v>10.657346938775511</v>
      </c>
      <c r="G8" s="632">
        <f>Frontier!G59</f>
        <v>11.381632653061223</v>
      </c>
      <c r="H8" s="632">
        <f>Frontier!H59</f>
        <v>12.933673469387754</v>
      </c>
      <c r="I8" s="632">
        <f>Frontier!I59</f>
        <v>14.485714285714284</v>
      </c>
      <c r="J8" s="632">
        <f>Frontier!J59</f>
        <v>16.037755102040812</v>
      </c>
      <c r="K8" s="632">
        <f>Frontier!K59</f>
        <v>16.776822157434403</v>
      </c>
      <c r="L8" s="632">
        <f>Frontier!L59</f>
        <v>17.515889212827982</v>
      </c>
      <c r="M8" s="632">
        <f>Frontier!M59</f>
        <v>18.254956268221573</v>
      </c>
      <c r="N8" s="632">
        <f>Frontier!N59</f>
        <v>18.99402332361516</v>
      </c>
      <c r="O8" s="632">
        <f>Frontier!O59</f>
        <v>19.733090379008747</v>
      </c>
      <c r="P8" s="632">
        <f>Frontier!P59</f>
        <v>20.472157434402334</v>
      </c>
      <c r="Q8" s="632">
        <f>Frontier!Q59</f>
        <v>21.211224489795921</v>
      </c>
      <c r="R8" s="632">
        <f>Frontier!R59</f>
        <v>23.280612244897956</v>
      </c>
      <c r="S8" s="632">
        <f>Frontier!S59</f>
        <v>25.349999999999998</v>
      </c>
      <c r="T8" s="632">
        <f>Frontier!T59</f>
        <v>27.419387755102036</v>
      </c>
      <c r="U8" s="632">
        <f>Frontier!U59</f>
        <v>29.488775510204082</v>
      </c>
      <c r="V8" s="632">
        <f>Frontier!V59</f>
        <v>31.558163265306124</v>
      </c>
      <c r="W8" s="632">
        <f>Frontier!W59</f>
        <v>33.627551020408156</v>
      </c>
      <c r="X8" s="632">
        <f>Frontier!X59</f>
        <v>35.696938775510198</v>
      </c>
      <c r="Y8" s="632">
        <f>Frontier!Y59</f>
        <v>37.766326530612247</v>
      </c>
      <c r="Z8" s="632">
        <f>Frontier!Z59</f>
        <v>39.835714285714282</v>
      </c>
      <c r="AA8" s="632">
        <f>Frontier!AA59</f>
        <v>41.905102040816317</v>
      </c>
      <c r="AB8" s="1166">
        <f t="shared" si="2"/>
        <v>41.905102040816317</v>
      </c>
      <c r="AC8" s="1166">
        <f t="shared" si="0"/>
        <v>41.905102040816317</v>
      </c>
      <c r="AD8" s="1166">
        <f t="shared" si="0"/>
        <v>41.905102040816317</v>
      </c>
      <c r="AE8" s="1166">
        <f t="shared" si="0"/>
        <v>41.905102040816317</v>
      </c>
      <c r="AF8" s="1166">
        <f t="shared" si="0"/>
        <v>41.905102040816317</v>
      </c>
      <c r="AG8" s="1166">
        <f t="shared" si="0"/>
        <v>41.905102040816317</v>
      </c>
      <c r="AH8" s="1166">
        <f t="shared" si="0"/>
        <v>41.905102040816317</v>
      </c>
      <c r="AI8" s="1166">
        <f t="shared" si="0"/>
        <v>41.905102040816317</v>
      </c>
      <c r="AJ8" s="1166">
        <f t="shared" si="0"/>
        <v>41.905102040816317</v>
      </c>
      <c r="AK8" s="1166">
        <f t="shared" si="0"/>
        <v>41.905102040816317</v>
      </c>
      <c r="AL8" s="1166">
        <f t="shared" si="0"/>
        <v>41.905102040816317</v>
      </c>
      <c r="AM8" s="1166">
        <f t="shared" si="0"/>
        <v>41.905102040816317</v>
      </c>
      <c r="AN8" s="1166">
        <f t="shared" si="0"/>
        <v>41.905102040816317</v>
      </c>
      <c r="AO8" s="1166">
        <f t="shared" si="0"/>
        <v>41.905102040816317</v>
      </c>
      <c r="AP8" s="1166">
        <f t="shared" si="0"/>
        <v>41.905102040816317</v>
      </c>
      <c r="AQ8" s="1166">
        <f t="shared" si="0"/>
        <v>41.905102040816317</v>
      </c>
      <c r="AR8" s="1166">
        <f t="shared" si="0"/>
        <v>41.905102040816317</v>
      </c>
      <c r="AS8" s="1166">
        <f t="shared" si="0"/>
        <v>41.905102040816317</v>
      </c>
      <c r="AT8" s="1166">
        <f t="shared" si="0"/>
        <v>41.905102040816317</v>
      </c>
      <c r="AU8" s="1166">
        <f t="shared" si="0"/>
        <v>41.905102040816317</v>
      </c>
      <c r="AV8" s="1166">
        <f t="shared" si="0"/>
        <v>41.905102040816317</v>
      </c>
      <c r="AW8" s="1166">
        <f t="shared" si="0"/>
        <v>41.905102040816317</v>
      </c>
      <c r="AX8" s="1166">
        <f t="shared" si="0"/>
        <v>41.905102040816317</v>
      </c>
      <c r="AY8" s="1166">
        <f t="shared" si="0"/>
        <v>41.905102040816317</v>
      </c>
      <c r="AZ8" s="1166">
        <f t="shared" si="0"/>
        <v>41.905102040816317</v>
      </c>
      <c r="BA8" s="1166">
        <f t="shared" si="0"/>
        <v>41.905102040816317</v>
      </c>
      <c r="BB8" s="1166">
        <f t="shared" si="0"/>
        <v>41.905102040816317</v>
      </c>
      <c r="BD8" s="171" t="s">
        <v>757</v>
      </c>
      <c r="BE8" s="171" t="s">
        <v>1053</v>
      </c>
      <c r="BF8" s="171" t="s">
        <v>757</v>
      </c>
    </row>
    <row r="9" spans="2:87" x14ac:dyDescent="0.25">
      <c r="B9" s="615" t="s">
        <v>1035</v>
      </c>
      <c r="C9" s="618">
        <f t="shared" si="1"/>
        <v>6</v>
      </c>
      <c r="D9" s="632">
        <f>'NEV Tabel 3a Prijzen V'!D43</f>
        <v>5.5303289999999992</v>
      </c>
      <c r="E9" s="632">
        <f>'NEV Tabel 3a Prijzen V'!E43</f>
        <v>5.6327424999999991</v>
      </c>
      <c r="F9" s="632">
        <f>'NEV Tabel 3a Prijzen V'!F43</f>
        <v>5.735155999999999</v>
      </c>
      <c r="G9" s="632">
        <f>'NEV Tabel 3a Prijzen V'!G43</f>
        <v>6.7592909999999993</v>
      </c>
      <c r="H9" s="632">
        <f>'NEV Tabel 3a Prijzen V'!H43</f>
        <v>7.6810124999999987</v>
      </c>
      <c r="I9" s="632">
        <f>'NEV Tabel 3a Prijzen V'!I43</f>
        <v>8.6027339999999981</v>
      </c>
      <c r="J9" s="632">
        <f>'NEV Tabel 3a Prijzen V'!J43</f>
        <v>9.5244554999999984</v>
      </c>
      <c r="K9" s="632">
        <f>'NEV Tabel 3a Prijzen V'!K43</f>
        <v>10.343763499999998</v>
      </c>
      <c r="L9" s="632">
        <f>'NEV Tabel 3a Prijzen V'!L43</f>
        <v>11.163071499999999</v>
      </c>
      <c r="M9" s="632">
        <f>'NEV Tabel 3a Prijzen V'!M43</f>
        <v>12.289619999999998</v>
      </c>
      <c r="N9" s="632">
        <f>'NEV Tabel 3a Prijzen V'!N43</f>
        <v>13.416168499999996</v>
      </c>
      <c r="O9" s="632">
        <f>'NEV Tabel 3a Prijzen V'!O43</f>
        <v>14.542716999999994</v>
      </c>
      <c r="P9" s="632">
        <f>'NEV Tabel 3a Prijzen V'!P43</f>
        <v>15.669265499999993</v>
      </c>
      <c r="Q9" s="632">
        <f>'NEV Tabel 3a Prijzen V'!Q43</f>
        <v>16.795813999999993</v>
      </c>
      <c r="R9" s="632">
        <f>'NEV Tabel 3a Prijzen V'!R43</f>
        <v>18.495878099999992</v>
      </c>
      <c r="S9" s="632">
        <f>'NEV Tabel 3a Prijzen V'!S43</f>
        <v>20.19594219999999</v>
      </c>
      <c r="T9" s="632">
        <f>'NEV Tabel 3a Prijzen V'!T43</f>
        <v>21.896006299999989</v>
      </c>
      <c r="U9" s="632">
        <f>'NEV Tabel 3a Prijzen V'!U43</f>
        <v>23.596070399999988</v>
      </c>
      <c r="V9" s="632">
        <f>'NEV Tabel 3a Prijzen V'!V43</f>
        <v>25.296134499999994</v>
      </c>
      <c r="W9" s="632"/>
      <c r="X9" s="632"/>
      <c r="Y9" s="632"/>
      <c r="Z9" s="632"/>
      <c r="AA9" s="632"/>
      <c r="AB9" s="632"/>
      <c r="AC9" s="632"/>
      <c r="AD9" s="632"/>
      <c r="AE9" s="632"/>
      <c r="AF9" s="632"/>
      <c r="AG9" s="632"/>
      <c r="AH9" s="632"/>
      <c r="AI9" s="632"/>
      <c r="AJ9" s="632"/>
      <c r="AK9" s="632"/>
      <c r="AL9" s="632"/>
      <c r="AM9" s="632"/>
      <c r="AN9" s="632"/>
      <c r="AO9" s="632"/>
      <c r="AP9" s="632"/>
      <c r="AQ9" s="632"/>
      <c r="AR9" s="632"/>
      <c r="AS9" s="632"/>
      <c r="AT9" s="632"/>
      <c r="AU9" s="632"/>
      <c r="AV9" s="632"/>
      <c r="AW9" s="632"/>
      <c r="AX9" s="632"/>
      <c r="AY9" s="632"/>
      <c r="AZ9" s="632"/>
      <c r="BA9" s="632"/>
      <c r="BB9" s="632"/>
    </row>
    <row r="10" spans="2:87" ht="30" x14ac:dyDescent="0.25">
      <c r="B10" s="615" t="s">
        <v>1036</v>
      </c>
      <c r="C10" s="618">
        <f t="shared" si="1"/>
        <v>7</v>
      </c>
      <c r="D10" s="632">
        <f>'NEV Tabel 3b Prijzen VV'!D43</f>
        <v>5.5303289999999992</v>
      </c>
      <c r="E10" s="632">
        <f>'NEV Tabel 3b Prijzen VV'!E43</f>
        <v>5.6327424999999991</v>
      </c>
      <c r="F10" s="632">
        <f>'NEV Tabel 3b Prijzen VV'!F43</f>
        <v>5.735155999999999</v>
      </c>
      <c r="G10" s="632">
        <f>'NEV Tabel 3b Prijzen VV'!G43</f>
        <v>6.7592909999999993</v>
      </c>
      <c r="H10" s="632">
        <f>'NEV Tabel 3b Prijzen VV'!H43</f>
        <v>7.6810124999999987</v>
      </c>
      <c r="I10" s="632">
        <f>'NEV Tabel 3b Prijzen VV'!I43</f>
        <v>8.6027339999999981</v>
      </c>
      <c r="J10" s="632">
        <f>'NEV Tabel 3b Prijzen VV'!J43</f>
        <v>9.5244554999999984</v>
      </c>
      <c r="K10" s="632">
        <f>'NEV Tabel 3b Prijzen VV'!K43</f>
        <v>10.343763499999998</v>
      </c>
      <c r="L10" s="632">
        <f>'NEV Tabel 3b Prijzen VV'!L43</f>
        <v>11.163071499999999</v>
      </c>
      <c r="M10" s="632">
        <f>'NEV Tabel 3b Prijzen VV'!M43</f>
        <v>12.289619999999998</v>
      </c>
      <c r="N10" s="632">
        <f>'NEV Tabel 3b Prijzen VV'!N43</f>
        <v>13.416168499999996</v>
      </c>
      <c r="O10" s="632">
        <f>'NEV Tabel 3b Prijzen VV'!O43</f>
        <v>14.542716999999994</v>
      </c>
      <c r="P10" s="632">
        <f>'NEV Tabel 3b Prijzen VV'!P43</f>
        <v>15.669265499999993</v>
      </c>
      <c r="Q10" s="632">
        <f>'NEV Tabel 3b Prijzen VV'!Q43</f>
        <v>16.795813999999993</v>
      </c>
      <c r="R10" s="632">
        <f>'NEV Tabel 3b Prijzen VV'!R43</f>
        <v>18.495878099999992</v>
      </c>
      <c r="S10" s="632">
        <f>'NEV Tabel 3b Prijzen VV'!S43</f>
        <v>20.19594219999999</v>
      </c>
      <c r="T10" s="632">
        <f>'NEV Tabel 3b Prijzen VV'!T43</f>
        <v>21.896006299999989</v>
      </c>
      <c r="U10" s="632">
        <f>'NEV Tabel 3b Prijzen VV'!U43</f>
        <v>23.596070399999988</v>
      </c>
      <c r="V10" s="632">
        <f>'NEV Tabel 3b Prijzen VV'!V43</f>
        <v>25.296134499999994</v>
      </c>
      <c r="W10" s="632"/>
      <c r="X10" s="632"/>
      <c r="Y10" s="632"/>
      <c r="Z10" s="632"/>
      <c r="AA10" s="632"/>
      <c r="AB10" s="632"/>
      <c r="AC10" s="632"/>
      <c r="AD10" s="632"/>
      <c r="AE10" s="632"/>
      <c r="AF10" s="632"/>
      <c r="AG10" s="632"/>
      <c r="AH10" s="632"/>
      <c r="AI10" s="632"/>
      <c r="AJ10" s="632"/>
      <c r="AK10" s="632"/>
      <c r="AL10" s="632"/>
      <c r="AM10" s="632"/>
      <c r="AN10" s="632"/>
      <c r="AO10" s="632"/>
      <c r="AP10" s="632"/>
      <c r="AQ10" s="632"/>
      <c r="AR10" s="632"/>
      <c r="AS10" s="632"/>
      <c r="AT10" s="632"/>
      <c r="AU10" s="632"/>
      <c r="AV10" s="632"/>
      <c r="AW10" s="632"/>
      <c r="AX10" s="632"/>
      <c r="AY10" s="632"/>
      <c r="AZ10" s="632"/>
      <c r="BA10" s="632"/>
      <c r="BB10" s="632"/>
    </row>
    <row r="11" spans="2:87" ht="14.25" customHeight="1" x14ac:dyDescent="0.25">
      <c r="B11" s="615" t="s">
        <v>1745</v>
      </c>
      <c r="C11" s="618">
        <f t="shared" si="1"/>
        <v>8</v>
      </c>
      <c r="D11" s="632">
        <v>20</v>
      </c>
      <c r="E11" s="632">
        <v>20</v>
      </c>
      <c r="F11" s="632">
        <v>20</v>
      </c>
      <c r="G11" s="632">
        <v>20</v>
      </c>
      <c r="H11" s="632">
        <v>20</v>
      </c>
      <c r="I11" s="632">
        <v>20</v>
      </c>
      <c r="J11" s="632">
        <v>20</v>
      </c>
      <c r="K11" s="632">
        <v>20</v>
      </c>
      <c r="L11" s="632">
        <v>20</v>
      </c>
      <c r="M11" s="632">
        <v>20</v>
      </c>
      <c r="N11" s="632">
        <v>20</v>
      </c>
      <c r="O11" s="632">
        <v>20</v>
      </c>
      <c r="P11" s="632">
        <v>20</v>
      </c>
      <c r="Q11" s="632">
        <v>20</v>
      </c>
      <c r="R11" s="632">
        <v>20</v>
      </c>
      <c r="S11" s="632">
        <v>20</v>
      </c>
      <c r="T11" s="632">
        <v>20</v>
      </c>
      <c r="U11" s="632">
        <v>20</v>
      </c>
      <c r="V11" s="632">
        <v>20</v>
      </c>
      <c r="W11" s="632">
        <v>20</v>
      </c>
      <c r="X11" s="632">
        <v>20</v>
      </c>
      <c r="Y11" s="632">
        <v>20</v>
      </c>
      <c r="Z11" s="632">
        <v>20</v>
      </c>
      <c r="AA11" s="632">
        <v>20</v>
      </c>
      <c r="AB11" s="632">
        <v>20</v>
      </c>
      <c r="AC11" s="632">
        <v>20</v>
      </c>
      <c r="AD11" s="632">
        <v>20</v>
      </c>
      <c r="AE11" s="632">
        <v>20</v>
      </c>
      <c r="AF11" s="632">
        <v>20</v>
      </c>
      <c r="AG11" s="632">
        <v>20</v>
      </c>
      <c r="AH11" s="632">
        <v>20</v>
      </c>
      <c r="AI11" s="632">
        <v>20</v>
      </c>
      <c r="AJ11" s="632">
        <v>20</v>
      </c>
      <c r="AK11" s="632">
        <v>20</v>
      </c>
      <c r="AL11" s="632">
        <v>20</v>
      </c>
      <c r="AM11" s="632">
        <v>20</v>
      </c>
      <c r="AN11" s="632">
        <v>20</v>
      </c>
      <c r="AO11" s="632">
        <v>20</v>
      </c>
      <c r="AP11" s="632">
        <v>20</v>
      </c>
      <c r="AQ11" s="632">
        <v>20</v>
      </c>
      <c r="AR11" s="632">
        <v>20</v>
      </c>
      <c r="AS11" s="632">
        <v>20</v>
      </c>
      <c r="AT11" s="632">
        <v>20</v>
      </c>
      <c r="AU11" s="632">
        <v>20</v>
      </c>
      <c r="AV11" s="632"/>
      <c r="AW11" s="632"/>
      <c r="AX11" s="632"/>
      <c r="AY11" s="632"/>
      <c r="AZ11" s="632"/>
      <c r="BA11" s="632"/>
      <c r="BB11" s="632"/>
    </row>
    <row r="12" spans="2:87" x14ac:dyDescent="0.25">
      <c r="B12" s="615" t="s">
        <v>1746</v>
      </c>
      <c r="C12" s="618">
        <f t="shared" si="1"/>
        <v>9</v>
      </c>
      <c r="D12" s="632">
        <v>10</v>
      </c>
      <c r="E12" s="632">
        <v>10</v>
      </c>
      <c r="F12" s="632">
        <v>10</v>
      </c>
      <c r="G12" s="632">
        <v>10</v>
      </c>
      <c r="H12" s="632">
        <v>10</v>
      </c>
      <c r="I12" s="632">
        <v>10</v>
      </c>
      <c r="J12" s="632">
        <v>10</v>
      </c>
      <c r="K12" s="632">
        <v>10</v>
      </c>
      <c r="L12" s="632">
        <v>10</v>
      </c>
      <c r="M12" s="632">
        <v>10</v>
      </c>
      <c r="N12" s="632">
        <v>10</v>
      </c>
      <c r="O12" s="632">
        <v>10</v>
      </c>
      <c r="P12" s="632">
        <v>10</v>
      </c>
      <c r="Q12" s="632">
        <v>10</v>
      </c>
      <c r="R12" s="632">
        <v>10</v>
      </c>
      <c r="S12" s="632">
        <v>10</v>
      </c>
      <c r="T12" s="632">
        <v>10</v>
      </c>
      <c r="U12" s="632">
        <v>10</v>
      </c>
      <c r="V12" s="632">
        <v>10</v>
      </c>
      <c r="W12" s="632">
        <v>10</v>
      </c>
      <c r="X12" s="632">
        <v>10</v>
      </c>
      <c r="Y12" s="632">
        <v>10</v>
      </c>
      <c r="Z12" s="632">
        <v>10</v>
      </c>
      <c r="AA12" s="632">
        <v>10</v>
      </c>
      <c r="AB12" s="632">
        <v>10</v>
      </c>
      <c r="AC12" s="632">
        <v>10</v>
      </c>
      <c r="AD12" s="632">
        <v>10</v>
      </c>
      <c r="AE12" s="632">
        <v>10</v>
      </c>
      <c r="AF12" s="632">
        <v>10</v>
      </c>
      <c r="AG12" s="632">
        <v>10</v>
      </c>
      <c r="AH12" s="632">
        <v>10</v>
      </c>
      <c r="AI12" s="632">
        <v>10</v>
      </c>
      <c r="AJ12" s="632">
        <v>10</v>
      </c>
      <c r="AK12" s="632">
        <v>10</v>
      </c>
      <c r="AL12" s="632">
        <v>10</v>
      </c>
      <c r="AM12" s="632">
        <v>10</v>
      </c>
      <c r="AN12" s="632">
        <v>10</v>
      </c>
      <c r="AO12" s="632">
        <v>10</v>
      </c>
      <c r="AP12" s="632">
        <v>10</v>
      </c>
      <c r="AQ12" s="632">
        <v>10</v>
      </c>
      <c r="AR12" s="632">
        <v>10</v>
      </c>
      <c r="AS12" s="632">
        <v>10</v>
      </c>
      <c r="AT12" s="632">
        <v>10</v>
      </c>
      <c r="AU12" s="632">
        <v>10</v>
      </c>
      <c r="AV12" s="632"/>
      <c r="AW12" s="632"/>
      <c r="AX12" s="632"/>
      <c r="AY12" s="632"/>
      <c r="AZ12" s="632"/>
      <c r="BA12" s="632"/>
      <c r="BB12" s="632"/>
    </row>
    <row r="13" spans="2:87" x14ac:dyDescent="0.25">
      <c r="B13" s="615" t="s">
        <v>1747</v>
      </c>
      <c r="C13" s="618">
        <f t="shared" si="1"/>
        <v>10</v>
      </c>
      <c r="D13" s="633">
        <f>electrification_input!$G$17</f>
        <v>50</v>
      </c>
      <c r="E13" s="632">
        <f>D13</f>
        <v>50</v>
      </c>
      <c r="F13" s="632">
        <f t="shared" ref="F13:AA13" si="3">E13</f>
        <v>50</v>
      </c>
      <c r="G13" s="632">
        <f t="shared" si="3"/>
        <v>50</v>
      </c>
      <c r="H13" s="632">
        <f t="shared" si="3"/>
        <v>50</v>
      </c>
      <c r="I13" s="632">
        <f t="shared" si="3"/>
        <v>50</v>
      </c>
      <c r="J13" s="632">
        <f t="shared" si="3"/>
        <v>50</v>
      </c>
      <c r="K13" s="632">
        <f t="shared" si="3"/>
        <v>50</v>
      </c>
      <c r="L13" s="632">
        <f t="shared" si="3"/>
        <v>50</v>
      </c>
      <c r="M13" s="632">
        <f t="shared" si="3"/>
        <v>50</v>
      </c>
      <c r="N13" s="632">
        <f t="shared" si="3"/>
        <v>50</v>
      </c>
      <c r="O13" s="632">
        <f t="shared" si="3"/>
        <v>50</v>
      </c>
      <c r="P13" s="632">
        <f t="shared" si="3"/>
        <v>50</v>
      </c>
      <c r="Q13" s="632">
        <f t="shared" si="3"/>
        <v>50</v>
      </c>
      <c r="R13" s="632">
        <f t="shared" si="3"/>
        <v>50</v>
      </c>
      <c r="S13" s="632">
        <f t="shared" si="3"/>
        <v>50</v>
      </c>
      <c r="T13" s="632">
        <f t="shared" si="3"/>
        <v>50</v>
      </c>
      <c r="U13" s="632">
        <f t="shared" si="3"/>
        <v>50</v>
      </c>
      <c r="V13" s="632">
        <f t="shared" si="3"/>
        <v>50</v>
      </c>
      <c r="W13" s="632">
        <f t="shared" si="3"/>
        <v>50</v>
      </c>
      <c r="X13" s="632">
        <f t="shared" si="3"/>
        <v>50</v>
      </c>
      <c r="Y13" s="632">
        <f t="shared" si="3"/>
        <v>50</v>
      </c>
      <c r="Z13" s="632">
        <f t="shared" si="3"/>
        <v>50</v>
      </c>
      <c r="AA13" s="632">
        <f t="shared" si="3"/>
        <v>50</v>
      </c>
      <c r="AB13" s="632">
        <f t="shared" ref="AB13" si="4">AA13</f>
        <v>50</v>
      </c>
      <c r="AC13" s="632">
        <f t="shared" ref="AC13" si="5">AB13</f>
        <v>50</v>
      </c>
      <c r="AD13" s="632">
        <f t="shared" ref="AD13" si="6">AC13</f>
        <v>50</v>
      </c>
      <c r="AE13" s="632">
        <f t="shared" ref="AE13" si="7">AD13</f>
        <v>50</v>
      </c>
      <c r="AF13" s="632">
        <f t="shared" ref="AF13" si="8">AE13</f>
        <v>50</v>
      </c>
      <c r="AG13" s="632">
        <f t="shared" ref="AG13" si="9">AF13</f>
        <v>50</v>
      </c>
      <c r="AH13" s="632">
        <f t="shared" ref="AH13" si="10">AG13</f>
        <v>50</v>
      </c>
      <c r="AI13" s="632">
        <f t="shared" ref="AI13" si="11">AH13</f>
        <v>50</v>
      </c>
      <c r="AJ13" s="632">
        <f t="shared" ref="AJ13" si="12">AI13</f>
        <v>50</v>
      </c>
      <c r="AK13" s="632">
        <f t="shared" ref="AK13" si="13">AJ13</f>
        <v>50</v>
      </c>
      <c r="AL13" s="632">
        <f t="shared" ref="AL13" si="14">AK13</f>
        <v>50</v>
      </c>
      <c r="AM13" s="632">
        <f t="shared" ref="AM13" si="15">AL13</f>
        <v>50</v>
      </c>
      <c r="AN13" s="632">
        <f t="shared" ref="AN13" si="16">AM13</f>
        <v>50</v>
      </c>
      <c r="AO13" s="632">
        <f t="shared" ref="AO13" si="17">AN13</f>
        <v>50</v>
      </c>
      <c r="AP13" s="632">
        <f t="shared" ref="AP13" si="18">AO13</f>
        <v>50</v>
      </c>
      <c r="AQ13" s="632">
        <f t="shared" ref="AQ13" si="19">AP13</f>
        <v>50</v>
      </c>
      <c r="AR13" s="632">
        <f t="shared" ref="AR13" si="20">AQ13</f>
        <v>50</v>
      </c>
      <c r="AS13" s="632">
        <f t="shared" ref="AS13" si="21">AR13</f>
        <v>50</v>
      </c>
      <c r="AT13" s="632">
        <f t="shared" ref="AT13" si="22">AS13</f>
        <v>50</v>
      </c>
      <c r="AU13" s="632">
        <f t="shared" ref="AU13" si="23">AT13</f>
        <v>50</v>
      </c>
      <c r="AV13" s="632">
        <f t="shared" ref="AV13" si="24">AU13</f>
        <v>50</v>
      </c>
      <c r="AW13" s="632">
        <f t="shared" ref="AW13" si="25">AV13</f>
        <v>50</v>
      </c>
      <c r="AX13" s="632">
        <f t="shared" ref="AX13" si="26">AW13</f>
        <v>50</v>
      </c>
      <c r="AY13" s="632">
        <f t="shared" ref="AY13" si="27">AX13</f>
        <v>50</v>
      </c>
      <c r="AZ13" s="632">
        <f t="shared" ref="AZ13" si="28">AY13</f>
        <v>50</v>
      </c>
      <c r="BA13" s="632">
        <f t="shared" ref="BA13" si="29">AZ13</f>
        <v>50</v>
      </c>
      <c r="BB13" s="632">
        <f t="shared" ref="BB13" si="30">BA13</f>
        <v>50</v>
      </c>
    </row>
    <row r="15" spans="2:87" x14ac:dyDescent="0.25">
      <c r="B15" s="615" t="s">
        <v>1038</v>
      </c>
    </row>
    <row r="16" spans="2:87" x14ac:dyDescent="0.25">
      <c r="B16" s="623" t="s">
        <v>1039</v>
      </c>
      <c r="G16" s="630"/>
    </row>
    <row r="17" spans="1:54" x14ac:dyDescent="0.25">
      <c r="B17" s="624" t="s">
        <v>1040</v>
      </c>
    </row>
    <row r="18" spans="1:54" x14ac:dyDescent="0.2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row>
    <row r="20" spans="1:54" x14ac:dyDescent="0.25">
      <c r="B20" s="309" t="s">
        <v>1041</v>
      </c>
      <c r="C20" s="625">
        <f>VLOOKUP(electrification_input!$G$16,$B$4:$C$13,2,FALSE)</f>
        <v>10</v>
      </c>
      <c r="F20" s="171">
        <f>(43-18)/(10)</f>
        <v>2.5</v>
      </c>
      <c r="H20" s="171">
        <f>18-F20*2020</f>
        <v>-5032</v>
      </c>
    </row>
    <row r="21" spans="1:54" x14ac:dyDescent="0.25">
      <c r="H21" s="171">
        <f>H20+F20*2020</f>
        <v>18</v>
      </c>
      <c r="I21" s="171">
        <f>H20+F20*2030</f>
        <v>43</v>
      </c>
    </row>
    <row r="22" spans="1:54" x14ac:dyDescent="0.25">
      <c r="B22" s="615" t="s">
        <v>10</v>
      </c>
      <c r="C22" s="615" t="s">
        <v>1046</v>
      </c>
    </row>
    <row r="24" spans="1:54" x14ac:dyDescent="0.25">
      <c r="C24" s="171">
        <v>1</v>
      </c>
      <c r="D24" s="171">
        <v>2</v>
      </c>
      <c r="E24" s="171">
        <v>3</v>
      </c>
      <c r="F24" s="171">
        <v>4</v>
      </c>
      <c r="G24" s="171">
        <v>5</v>
      </c>
      <c r="H24" s="171">
        <v>6</v>
      </c>
      <c r="I24" s="171">
        <v>7</v>
      </c>
      <c r="J24" s="171">
        <v>8</v>
      </c>
      <c r="K24" s="171">
        <v>9</v>
      </c>
      <c r="L24" s="171">
        <v>10</v>
      </c>
      <c r="M24" s="171">
        <v>11</v>
      </c>
      <c r="N24" s="171">
        <v>12</v>
      </c>
      <c r="O24" s="171">
        <v>13</v>
      </c>
      <c r="P24" s="171">
        <v>14</v>
      </c>
      <c r="Q24" s="171">
        <v>15</v>
      </c>
      <c r="R24" s="171">
        <v>16</v>
      </c>
      <c r="S24" s="171">
        <v>17</v>
      </c>
      <c r="T24" s="171">
        <v>18</v>
      </c>
      <c r="U24" s="171">
        <v>19</v>
      </c>
      <c r="V24" s="171">
        <v>20</v>
      </c>
      <c r="W24" s="171">
        <v>21</v>
      </c>
      <c r="X24" s="171">
        <v>22</v>
      </c>
      <c r="Y24" s="171">
        <v>23</v>
      </c>
      <c r="Z24" s="171">
        <v>24</v>
      </c>
      <c r="AA24" s="1143">
        <v>25</v>
      </c>
      <c r="AB24" s="1143">
        <v>26</v>
      </c>
      <c r="AC24" s="1143">
        <v>27</v>
      </c>
      <c r="AD24" s="1143">
        <v>28</v>
      </c>
      <c r="AE24" s="1143">
        <v>29</v>
      </c>
      <c r="AF24" s="1143">
        <v>30</v>
      </c>
      <c r="AG24" s="1143">
        <v>31</v>
      </c>
      <c r="AH24" s="1143">
        <v>32</v>
      </c>
      <c r="AI24" s="1143">
        <v>33</v>
      </c>
      <c r="AJ24" s="1143">
        <v>34</v>
      </c>
      <c r="AK24" s="1143">
        <v>35</v>
      </c>
      <c r="AL24" s="1143">
        <v>36</v>
      </c>
      <c r="AM24" s="1143">
        <v>37</v>
      </c>
      <c r="AN24" s="1143">
        <v>38</v>
      </c>
      <c r="AO24" s="1143">
        <v>39</v>
      </c>
      <c r="AP24" s="1143">
        <v>40</v>
      </c>
      <c r="AQ24" s="1143">
        <v>41</v>
      </c>
      <c r="AR24" s="1143">
        <v>42</v>
      </c>
      <c r="AS24" s="1143">
        <v>43</v>
      </c>
      <c r="AT24" s="1143">
        <v>44</v>
      </c>
      <c r="AU24" s="1143">
        <v>45</v>
      </c>
      <c r="AV24" s="1143">
        <v>46</v>
      </c>
      <c r="AW24" s="1143">
        <v>47</v>
      </c>
      <c r="AX24" s="1143">
        <v>48</v>
      </c>
      <c r="AY24" s="1143">
        <v>49</v>
      </c>
      <c r="AZ24" s="1143">
        <v>50</v>
      </c>
      <c r="BA24" s="1143">
        <v>51</v>
      </c>
      <c r="BB24" s="1143">
        <v>52</v>
      </c>
    </row>
    <row r="25" spans="1:54" x14ac:dyDescent="0.25">
      <c r="C25" s="171">
        <f t="shared" ref="C25:AH25" si="31">D3</f>
        <v>2017</v>
      </c>
      <c r="D25" s="171">
        <f t="shared" si="31"/>
        <v>2018</v>
      </c>
      <c r="E25" s="171">
        <f t="shared" si="31"/>
        <v>2019</v>
      </c>
      <c r="F25" s="171">
        <f t="shared" si="31"/>
        <v>2020</v>
      </c>
      <c r="G25" s="171">
        <f t="shared" si="31"/>
        <v>2021</v>
      </c>
      <c r="H25" s="171">
        <f t="shared" si="31"/>
        <v>2022</v>
      </c>
      <c r="I25" s="171">
        <f t="shared" si="31"/>
        <v>2023</v>
      </c>
      <c r="J25" s="171">
        <f t="shared" si="31"/>
        <v>2024</v>
      </c>
      <c r="K25" s="171">
        <f t="shared" si="31"/>
        <v>2025</v>
      </c>
      <c r="L25" s="171">
        <f t="shared" si="31"/>
        <v>2026</v>
      </c>
      <c r="M25" s="171">
        <f t="shared" si="31"/>
        <v>2027</v>
      </c>
      <c r="N25" s="171">
        <f t="shared" si="31"/>
        <v>2028</v>
      </c>
      <c r="O25" s="171">
        <f t="shared" si="31"/>
        <v>2029</v>
      </c>
      <c r="P25" s="171">
        <f t="shared" si="31"/>
        <v>2030</v>
      </c>
      <c r="Q25" s="171">
        <f t="shared" si="31"/>
        <v>2031</v>
      </c>
      <c r="R25" s="171">
        <f t="shared" si="31"/>
        <v>2032</v>
      </c>
      <c r="S25" s="171">
        <f t="shared" si="31"/>
        <v>2033</v>
      </c>
      <c r="T25" s="171">
        <f t="shared" si="31"/>
        <v>2034</v>
      </c>
      <c r="U25" s="171">
        <f t="shared" si="31"/>
        <v>2035</v>
      </c>
      <c r="V25" s="171">
        <f t="shared" si="31"/>
        <v>2036</v>
      </c>
      <c r="W25" s="171">
        <f t="shared" si="31"/>
        <v>2037</v>
      </c>
      <c r="X25" s="171">
        <f t="shared" si="31"/>
        <v>2038</v>
      </c>
      <c r="Y25" s="171">
        <f t="shared" si="31"/>
        <v>2039</v>
      </c>
      <c r="Z25" s="171">
        <f t="shared" si="31"/>
        <v>2040</v>
      </c>
      <c r="AA25" s="1143">
        <f t="shared" si="31"/>
        <v>2041</v>
      </c>
      <c r="AB25" s="1143">
        <f t="shared" si="31"/>
        <v>2042</v>
      </c>
      <c r="AC25" s="1143">
        <f t="shared" si="31"/>
        <v>2043</v>
      </c>
      <c r="AD25" s="1143">
        <f t="shared" si="31"/>
        <v>2044</v>
      </c>
      <c r="AE25" s="1143">
        <f t="shared" si="31"/>
        <v>2045</v>
      </c>
      <c r="AF25" s="1143">
        <f t="shared" si="31"/>
        <v>2046</v>
      </c>
      <c r="AG25" s="1143">
        <f t="shared" si="31"/>
        <v>2047</v>
      </c>
      <c r="AH25" s="1143">
        <f t="shared" si="31"/>
        <v>2048</v>
      </c>
      <c r="AI25" s="1143">
        <f t="shared" ref="AI25:BB25" si="32">AJ3</f>
        <v>2049</v>
      </c>
      <c r="AJ25" s="1143">
        <f t="shared" si="32"/>
        <v>2050</v>
      </c>
      <c r="AK25" s="1143">
        <f t="shared" si="32"/>
        <v>2051</v>
      </c>
      <c r="AL25" s="1143">
        <f t="shared" si="32"/>
        <v>2052</v>
      </c>
      <c r="AM25" s="1143">
        <f t="shared" si="32"/>
        <v>2053</v>
      </c>
      <c r="AN25" s="1143">
        <f t="shared" si="32"/>
        <v>2054</v>
      </c>
      <c r="AO25" s="1143">
        <f t="shared" si="32"/>
        <v>2055</v>
      </c>
      <c r="AP25" s="1143">
        <f t="shared" si="32"/>
        <v>2056</v>
      </c>
      <c r="AQ25" s="1143">
        <f t="shared" si="32"/>
        <v>2057</v>
      </c>
      <c r="AR25" s="1143">
        <f t="shared" si="32"/>
        <v>2058</v>
      </c>
      <c r="AS25" s="1143">
        <f t="shared" si="32"/>
        <v>2059</v>
      </c>
      <c r="AT25" s="1143">
        <f t="shared" si="32"/>
        <v>2060</v>
      </c>
      <c r="AU25" s="1143">
        <f t="shared" si="32"/>
        <v>2061</v>
      </c>
      <c r="AV25" s="1143">
        <f t="shared" si="32"/>
        <v>2062</v>
      </c>
      <c r="AW25" s="1143">
        <f t="shared" si="32"/>
        <v>2063</v>
      </c>
      <c r="AX25" s="1143">
        <f t="shared" si="32"/>
        <v>2064</v>
      </c>
      <c r="AY25" s="1143">
        <f t="shared" si="32"/>
        <v>2065</v>
      </c>
      <c r="AZ25" s="1143">
        <f t="shared" si="32"/>
        <v>2066</v>
      </c>
      <c r="BA25" s="1143">
        <f t="shared" si="32"/>
        <v>2067</v>
      </c>
      <c r="BB25" s="1143">
        <f t="shared" si="32"/>
        <v>2068</v>
      </c>
    </row>
    <row r="26" spans="1:54" x14ac:dyDescent="0.25">
      <c r="B26" s="171" t="s">
        <v>1043</v>
      </c>
      <c r="C26" s="628">
        <f t="shared" ref="C26:AH26" si="33">VLOOKUP($C$20,$C$3:$BB$13,C24+1,FALSE)</f>
        <v>50</v>
      </c>
      <c r="D26" s="1144">
        <f t="shared" si="33"/>
        <v>50</v>
      </c>
      <c r="E26" s="1144">
        <f t="shared" si="33"/>
        <v>50</v>
      </c>
      <c r="F26" s="1144">
        <f t="shared" si="33"/>
        <v>50</v>
      </c>
      <c r="G26" s="1144">
        <f t="shared" si="33"/>
        <v>50</v>
      </c>
      <c r="H26" s="1144">
        <f t="shared" si="33"/>
        <v>50</v>
      </c>
      <c r="I26" s="1144">
        <f t="shared" si="33"/>
        <v>50</v>
      </c>
      <c r="J26" s="1144">
        <f t="shared" si="33"/>
        <v>50</v>
      </c>
      <c r="K26" s="1144">
        <f t="shared" si="33"/>
        <v>50</v>
      </c>
      <c r="L26" s="1144">
        <f t="shared" si="33"/>
        <v>50</v>
      </c>
      <c r="M26" s="1144">
        <f t="shared" si="33"/>
        <v>50</v>
      </c>
      <c r="N26" s="1144">
        <f t="shared" si="33"/>
        <v>50</v>
      </c>
      <c r="O26" s="1144">
        <f t="shared" si="33"/>
        <v>50</v>
      </c>
      <c r="P26" s="1144">
        <f t="shared" si="33"/>
        <v>50</v>
      </c>
      <c r="Q26" s="1144">
        <f t="shared" si="33"/>
        <v>50</v>
      </c>
      <c r="R26" s="1144">
        <f t="shared" si="33"/>
        <v>50</v>
      </c>
      <c r="S26" s="1144">
        <f t="shared" si="33"/>
        <v>50</v>
      </c>
      <c r="T26" s="1144">
        <f t="shared" si="33"/>
        <v>50</v>
      </c>
      <c r="U26" s="1144">
        <f t="shared" si="33"/>
        <v>50</v>
      </c>
      <c r="V26" s="1144">
        <f t="shared" si="33"/>
        <v>50</v>
      </c>
      <c r="W26" s="1144">
        <f t="shared" si="33"/>
        <v>50</v>
      </c>
      <c r="X26" s="1144">
        <f t="shared" si="33"/>
        <v>50</v>
      </c>
      <c r="Y26" s="1144">
        <f t="shared" si="33"/>
        <v>50</v>
      </c>
      <c r="Z26" s="1144">
        <f t="shared" si="33"/>
        <v>50</v>
      </c>
      <c r="AA26" s="1144">
        <f t="shared" si="33"/>
        <v>50</v>
      </c>
      <c r="AB26" s="1144">
        <f t="shared" si="33"/>
        <v>50</v>
      </c>
      <c r="AC26" s="1144">
        <f t="shared" si="33"/>
        <v>50</v>
      </c>
      <c r="AD26" s="1144">
        <f t="shared" si="33"/>
        <v>50</v>
      </c>
      <c r="AE26" s="1144">
        <f t="shared" si="33"/>
        <v>50</v>
      </c>
      <c r="AF26" s="1144">
        <f t="shared" si="33"/>
        <v>50</v>
      </c>
      <c r="AG26" s="1144">
        <f t="shared" si="33"/>
        <v>50</v>
      </c>
      <c r="AH26" s="1144">
        <f t="shared" si="33"/>
        <v>50</v>
      </c>
      <c r="AI26" s="1144">
        <f t="shared" ref="AI26:BB26" si="34">VLOOKUP($C$20,$C$3:$BB$13,AI24+1,FALSE)</f>
        <v>50</v>
      </c>
      <c r="AJ26" s="1144">
        <f t="shared" si="34"/>
        <v>50</v>
      </c>
      <c r="AK26" s="1144">
        <f t="shared" si="34"/>
        <v>50</v>
      </c>
      <c r="AL26" s="1144">
        <f t="shared" si="34"/>
        <v>50</v>
      </c>
      <c r="AM26" s="1144">
        <f t="shared" si="34"/>
        <v>50</v>
      </c>
      <c r="AN26" s="1144">
        <f t="shared" si="34"/>
        <v>50</v>
      </c>
      <c r="AO26" s="1144">
        <f t="shared" si="34"/>
        <v>50</v>
      </c>
      <c r="AP26" s="1144">
        <f t="shared" si="34"/>
        <v>50</v>
      </c>
      <c r="AQ26" s="1144">
        <f t="shared" si="34"/>
        <v>50</v>
      </c>
      <c r="AR26" s="1144">
        <f t="shared" si="34"/>
        <v>50</v>
      </c>
      <c r="AS26" s="1144">
        <f t="shared" si="34"/>
        <v>50</v>
      </c>
      <c r="AT26" s="1144">
        <f t="shared" si="34"/>
        <v>50</v>
      </c>
      <c r="AU26" s="1144">
        <f t="shared" si="34"/>
        <v>50</v>
      </c>
      <c r="AV26" s="1144">
        <f t="shared" si="34"/>
        <v>50</v>
      </c>
      <c r="AW26" s="1144">
        <f t="shared" si="34"/>
        <v>50</v>
      </c>
      <c r="AX26" s="1144">
        <f t="shared" si="34"/>
        <v>50</v>
      </c>
      <c r="AY26" s="1144">
        <f t="shared" si="34"/>
        <v>50</v>
      </c>
      <c r="AZ26" s="1144">
        <f t="shared" si="34"/>
        <v>50</v>
      </c>
      <c r="BA26" s="1144">
        <f t="shared" si="34"/>
        <v>50</v>
      </c>
      <c r="BB26" s="1144" t="e">
        <f t="shared" si="34"/>
        <v>#REF!</v>
      </c>
    </row>
    <row r="28" spans="1:54" x14ac:dyDescent="0.25">
      <c r="B28" s="309" t="s">
        <v>1054</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2"/>
  <dimension ref="A1:AM59"/>
  <sheetViews>
    <sheetView topLeftCell="A19" zoomScale="80" zoomScaleNormal="80" workbookViewId="0">
      <selection activeCell="I33" sqref="I33"/>
    </sheetView>
  </sheetViews>
  <sheetFormatPr defaultColWidth="9.140625" defaultRowHeight="15" x14ac:dyDescent="0.25"/>
  <cols>
    <col min="1" max="1" width="22.5703125" style="171" customWidth="1"/>
    <col min="2" max="2" width="36.5703125" style="171" bestFit="1" customWidth="1"/>
    <col min="3" max="3" width="13.28515625" style="171" customWidth="1"/>
    <col min="4" max="4" width="10.28515625" style="171" bestFit="1" customWidth="1"/>
    <col min="5" max="16384" width="9.140625" style="171"/>
  </cols>
  <sheetData>
    <row r="1" spans="1:39" ht="18.75" x14ac:dyDescent="0.3">
      <c r="A1" s="635" t="s">
        <v>1631</v>
      </c>
      <c r="B1" s="617" t="s">
        <v>1029</v>
      </c>
      <c r="C1" s="617" t="s">
        <v>1030</v>
      </c>
    </row>
    <row r="2" spans="1:39" x14ac:dyDescent="0.25">
      <c r="B2" s="615"/>
      <c r="C2" s="615"/>
      <c r="D2" s="617">
        <v>2017</v>
      </c>
      <c r="E2" s="617">
        <v>2018</v>
      </c>
      <c r="F2" s="617">
        <v>2019</v>
      </c>
      <c r="G2" s="617">
        <v>2020</v>
      </c>
      <c r="H2" s="617">
        <v>2021</v>
      </c>
      <c r="I2" s="617">
        <v>2022</v>
      </c>
      <c r="J2" s="617">
        <v>2023</v>
      </c>
      <c r="K2" s="617">
        <v>2024</v>
      </c>
      <c r="L2" s="617">
        <v>2025</v>
      </c>
      <c r="M2" s="617">
        <v>2026</v>
      </c>
      <c r="N2" s="617">
        <v>2027</v>
      </c>
      <c r="O2" s="617">
        <v>2028</v>
      </c>
      <c r="P2" s="617">
        <v>2029</v>
      </c>
      <c r="Q2" s="617">
        <v>2030</v>
      </c>
      <c r="R2" s="617">
        <v>2031</v>
      </c>
      <c r="S2" s="617">
        <v>2032</v>
      </c>
      <c r="T2" s="617">
        <v>2033</v>
      </c>
      <c r="U2" s="617">
        <v>2034</v>
      </c>
      <c r="V2" s="617">
        <v>2035</v>
      </c>
      <c r="W2" s="617">
        <v>2036</v>
      </c>
      <c r="X2" s="617">
        <v>2037</v>
      </c>
      <c r="Y2" s="617">
        <v>2038</v>
      </c>
      <c r="Z2" s="617">
        <v>2039</v>
      </c>
      <c r="AA2" s="617">
        <v>2040</v>
      </c>
    </row>
    <row r="3" spans="1:39" x14ac:dyDescent="0.25">
      <c r="B3" s="615" t="s">
        <v>952</v>
      </c>
      <c r="C3" s="618">
        <v>1</v>
      </c>
      <c r="D3" s="1123">
        <v>23.4</v>
      </c>
      <c r="E3" s="1123">
        <v>24.6</v>
      </c>
      <c r="F3" s="1123">
        <v>25.8</v>
      </c>
      <c r="G3" s="1123">
        <v>27</v>
      </c>
      <c r="H3" s="1123">
        <v>28</v>
      </c>
      <c r="I3" s="1123">
        <v>29</v>
      </c>
      <c r="J3" s="1123">
        <v>30</v>
      </c>
      <c r="K3" s="1123">
        <v>30.285714285714285</v>
      </c>
      <c r="L3" s="1123">
        <v>30.571428571428573</v>
      </c>
      <c r="M3" s="1123">
        <v>30.857142857142858</v>
      </c>
      <c r="N3" s="1123">
        <v>31.142857142857142</v>
      </c>
      <c r="O3" s="1123">
        <v>31.428571428571427</v>
      </c>
      <c r="P3" s="1123">
        <v>31.714285714285715</v>
      </c>
      <c r="Q3" s="1123">
        <v>32</v>
      </c>
      <c r="R3" s="1123">
        <v>32</v>
      </c>
      <c r="S3" s="1123">
        <v>32</v>
      </c>
      <c r="T3" s="1123">
        <v>32</v>
      </c>
      <c r="U3" s="1123">
        <v>32</v>
      </c>
      <c r="V3" s="1123">
        <v>32</v>
      </c>
      <c r="W3" s="1126">
        <v>32</v>
      </c>
      <c r="X3" s="1126">
        <v>32</v>
      </c>
      <c r="Y3" s="1126">
        <v>32</v>
      </c>
      <c r="Z3" s="1126">
        <v>32</v>
      </c>
      <c r="AA3" s="1126">
        <v>32</v>
      </c>
    </row>
    <row r="4" spans="1:39" x14ac:dyDescent="0.25">
      <c r="B4" s="615" t="s">
        <v>1031</v>
      </c>
      <c r="C4" s="618">
        <v>2</v>
      </c>
      <c r="D4" s="1123">
        <v>23.4</v>
      </c>
      <c r="E4" s="1123">
        <v>24.6</v>
      </c>
      <c r="F4" s="1123">
        <v>25.8</v>
      </c>
      <c r="G4" s="1123">
        <v>27</v>
      </c>
      <c r="H4" s="1123">
        <v>28</v>
      </c>
      <c r="I4" s="1123">
        <v>29</v>
      </c>
      <c r="J4" s="1123">
        <v>30</v>
      </c>
      <c r="K4" s="1123">
        <v>30.285714285714285</v>
      </c>
      <c r="L4" s="1123">
        <v>30.571428571428573</v>
      </c>
      <c r="M4" s="1123">
        <v>30.857142857142858</v>
      </c>
      <c r="N4" s="1123">
        <v>31.142857142857142</v>
      </c>
      <c r="O4" s="1123">
        <v>31.428571428571427</v>
      </c>
      <c r="P4" s="1123">
        <v>31.714285714285715</v>
      </c>
      <c r="Q4" s="1123">
        <v>32</v>
      </c>
      <c r="R4" s="1123">
        <v>32</v>
      </c>
      <c r="S4" s="1123">
        <v>32</v>
      </c>
      <c r="T4" s="1123">
        <v>32</v>
      </c>
      <c r="U4" s="1123">
        <v>32</v>
      </c>
      <c r="V4" s="1123">
        <v>32</v>
      </c>
      <c r="W4" s="1126">
        <v>32</v>
      </c>
      <c r="X4" s="1126">
        <v>32</v>
      </c>
      <c r="Y4" s="1126">
        <v>32</v>
      </c>
      <c r="Z4" s="1126">
        <v>32</v>
      </c>
      <c r="AA4" s="1126">
        <v>32</v>
      </c>
    </row>
    <row r="5" spans="1:39" x14ac:dyDescent="0.25">
      <c r="B5" s="615" t="s">
        <v>1032</v>
      </c>
      <c r="C5" s="618">
        <v>3</v>
      </c>
      <c r="D5" s="1123">
        <v>23.4</v>
      </c>
      <c r="E5" s="1123">
        <v>24.6</v>
      </c>
      <c r="F5" s="1123">
        <v>25.8</v>
      </c>
      <c r="G5" s="1123">
        <v>27</v>
      </c>
      <c r="H5" s="1123">
        <v>28</v>
      </c>
      <c r="I5" s="1123">
        <v>29</v>
      </c>
      <c r="J5" s="1123">
        <v>30</v>
      </c>
      <c r="K5" s="1123">
        <v>30.285714285714285</v>
      </c>
      <c r="L5" s="1123">
        <v>30.571428571428573</v>
      </c>
      <c r="M5" s="1123">
        <v>30.857142857142858</v>
      </c>
      <c r="N5" s="1123">
        <v>31.142857142857142</v>
      </c>
      <c r="O5" s="1123">
        <v>31.428571428571427</v>
      </c>
      <c r="P5" s="1123">
        <v>31.714285714285715</v>
      </c>
      <c r="Q5" s="1123">
        <v>32</v>
      </c>
      <c r="R5" s="1123">
        <v>32</v>
      </c>
      <c r="S5" s="1123">
        <v>32</v>
      </c>
      <c r="T5" s="1123">
        <v>32</v>
      </c>
      <c r="U5" s="1123">
        <v>32</v>
      </c>
      <c r="V5" s="1123">
        <v>32</v>
      </c>
      <c r="W5" s="1126">
        <v>32</v>
      </c>
      <c r="X5" s="1126">
        <v>32</v>
      </c>
      <c r="Y5" s="1126">
        <v>32</v>
      </c>
      <c r="Z5" s="1126">
        <v>32</v>
      </c>
      <c r="AA5" s="1126">
        <v>32</v>
      </c>
    </row>
    <row r="6" spans="1:39" x14ac:dyDescent="0.25">
      <c r="B6" s="615" t="s">
        <v>1033</v>
      </c>
      <c r="C6" s="618">
        <v>4</v>
      </c>
      <c r="D6" s="1123">
        <v>26.2</v>
      </c>
      <c r="E6" s="1123">
        <v>28.8</v>
      </c>
      <c r="F6" s="1123">
        <v>31.4</v>
      </c>
      <c r="G6" s="1123">
        <v>34</v>
      </c>
      <c r="H6" s="1123">
        <v>35.666666666666664</v>
      </c>
      <c r="I6" s="1123">
        <v>37.333333333333336</v>
      </c>
      <c r="J6" s="1123">
        <v>39</v>
      </c>
      <c r="K6" s="1123">
        <v>39.714285714285715</v>
      </c>
      <c r="L6" s="1123">
        <v>40.428571428571431</v>
      </c>
      <c r="M6" s="1123">
        <v>41.142857142857146</v>
      </c>
      <c r="N6" s="1123">
        <v>41.857142857142854</v>
      </c>
      <c r="O6" s="1123">
        <v>42.571428571428569</v>
      </c>
      <c r="P6" s="1123">
        <v>43.285714285714285</v>
      </c>
      <c r="Q6" s="1123">
        <v>44</v>
      </c>
      <c r="R6" s="1123">
        <v>44.6</v>
      </c>
      <c r="S6" s="1123">
        <v>45.2</v>
      </c>
      <c r="T6" s="1123">
        <v>45.8</v>
      </c>
      <c r="U6" s="1123">
        <v>46.4</v>
      </c>
      <c r="V6" s="1123">
        <v>47</v>
      </c>
      <c r="W6" s="1126">
        <v>47.6</v>
      </c>
      <c r="X6" s="1126">
        <v>48.2</v>
      </c>
      <c r="Y6" s="1126">
        <v>48.800000000000004</v>
      </c>
      <c r="Z6" s="1126">
        <v>49.400000000000006</v>
      </c>
      <c r="AA6" s="1126">
        <v>50.000000000000007</v>
      </c>
    </row>
    <row r="7" spans="1:39" x14ac:dyDescent="0.25">
      <c r="B7" s="615" t="s">
        <v>1034</v>
      </c>
      <c r="C7" s="618">
        <v>5</v>
      </c>
      <c r="D7" s="1123">
        <v>23.4</v>
      </c>
      <c r="E7" s="1123">
        <v>24.6</v>
      </c>
      <c r="F7" s="1123">
        <v>25.8</v>
      </c>
      <c r="G7" s="1123">
        <v>27</v>
      </c>
      <c r="H7" s="1123">
        <v>28</v>
      </c>
      <c r="I7" s="1123">
        <v>29</v>
      </c>
      <c r="J7" s="1123">
        <v>30</v>
      </c>
      <c r="K7" s="1123">
        <v>30.285714285714285</v>
      </c>
      <c r="L7" s="1123">
        <v>30.571428571428573</v>
      </c>
      <c r="M7" s="1123">
        <v>30.857142857142858</v>
      </c>
      <c r="N7" s="1123">
        <v>31.142857142857142</v>
      </c>
      <c r="O7" s="1123">
        <v>31.428571428571427</v>
      </c>
      <c r="P7" s="1123">
        <v>31.714285714285715</v>
      </c>
      <c r="Q7" s="1123">
        <v>32</v>
      </c>
      <c r="R7" s="1123">
        <v>32</v>
      </c>
      <c r="S7" s="1123">
        <v>32</v>
      </c>
      <c r="T7" s="1123">
        <v>32</v>
      </c>
      <c r="U7" s="1123">
        <v>32</v>
      </c>
      <c r="V7" s="1123">
        <v>32</v>
      </c>
      <c r="W7" s="1126">
        <v>32</v>
      </c>
      <c r="X7" s="1126">
        <v>32</v>
      </c>
      <c r="Y7" s="1126">
        <v>32</v>
      </c>
      <c r="Z7" s="1126">
        <v>32</v>
      </c>
      <c r="AA7" s="1126">
        <v>32</v>
      </c>
    </row>
    <row r="9" spans="1:39" x14ac:dyDescent="0.25">
      <c r="B9" s="617" t="s">
        <v>82</v>
      </c>
      <c r="C9" s="617" t="s">
        <v>1045</v>
      </c>
      <c r="D9" s="616"/>
      <c r="E9" s="616"/>
      <c r="F9" s="616"/>
      <c r="G9" s="616"/>
      <c r="H9" s="616"/>
      <c r="I9" s="616"/>
      <c r="J9" s="616"/>
      <c r="K9" s="616"/>
      <c r="L9" s="616"/>
      <c r="M9" s="616"/>
      <c r="N9" s="616"/>
      <c r="O9" s="616"/>
      <c r="P9" s="616"/>
      <c r="Q9" s="616"/>
      <c r="R9" s="616"/>
      <c r="S9" s="616"/>
      <c r="T9" s="616"/>
      <c r="U9" s="616"/>
      <c r="V9" s="616"/>
      <c r="W9" s="616"/>
      <c r="X9" s="616"/>
      <c r="Y9" s="616"/>
      <c r="Z9" s="616"/>
      <c r="AA9" s="616"/>
    </row>
    <row r="10" spans="1:39" x14ac:dyDescent="0.25">
      <c r="B10" s="616"/>
      <c r="C10" s="616"/>
      <c r="D10" s="617">
        <v>2017</v>
      </c>
      <c r="E10" s="617">
        <v>2018</v>
      </c>
      <c r="F10" s="617">
        <v>2019</v>
      </c>
      <c r="G10" s="617">
        <v>2020</v>
      </c>
      <c r="H10" s="617">
        <v>2021</v>
      </c>
      <c r="I10" s="617">
        <v>2022</v>
      </c>
      <c r="J10" s="617">
        <v>2023</v>
      </c>
      <c r="K10" s="617">
        <v>2024</v>
      </c>
      <c r="L10" s="617">
        <v>2025</v>
      </c>
      <c r="M10" s="617">
        <v>2026</v>
      </c>
      <c r="N10" s="617">
        <v>2027</v>
      </c>
      <c r="O10" s="617">
        <v>2028</v>
      </c>
      <c r="P10" s="617">
        <v>2029</v>
      </c>
      <c r="Q10" s="617">
        <v>2030</v>
      </c>
      <c r="R10" s="617">
        <v>2031</v>
      </c>
      <c r="S10" s="617">
        <v>2032</v>
      </c>
      <c r="T10" s="617">
        <v>2033</v>
      </c>
      <c r="U10" s="617">
        <v>2034</v>
      </c>
      <c r="V10" s="617">
        <v>2035</v>
      </c>
      <c r="W10" s="617">
        <v>2036</v>
      </c>
      <c r="X10" s="617">
        <v>2037</v>
      </c>
      <c r="Y10" s="617">
        <v>2038</v>
      </c>
      <c r="Z10" s="617">
        <v>2039</v>
      </c>
      <c r="AA10" s="617">
        <v>2040</v>
      </c>
    </row>
    <row r="11" spans="1:39" x14ac:dyDescent="0.25">
      <c r="B11" s="615" t="s">
        <v>952</v>
      </c>
      <c r="C11" s="618">
        <v>1</v>
      </c>
      <c r="D11" s="1124">
        <v>41.2</v>
      </c>
      <c r="E11" s="1124">
        <v>42.8</v>
      </c>
      <c r="F11" s="1124">
        <v>44.4</v>
      </c>
      <c r="G11" s="1124">
        <v>46</v>
      </c>
      <c r="H11" s="1124">
        <v>48.2</v>
      </c>
      <c r="I11" s="1124">
        <v>50.4</v>
      </c>
      <c r="J11" s="1124">
        <v>52.6</v>
      </c>
      <c r="K11" s="1124">
        <v>52.614285714285714</v>
      </c>
      <c r="L11" s="1124">
        <v>52.628571428571433</v>
      </c>
      <c r="M11" s="1124">
        <v>52.642857142857146</v>
      </c>
      <c r="N11" s="1124">
        <v>52.657142857142858</v>
      </c>
      <c r="O11" s="1124">
        <v>52.671428571428571</v>
      </c>
      <c r="P11" s="1124">
        <v>52.68571428571429</v>
      </c>
      <c r="Q11" s="1124">
        <v>52.7</v>
      </c>
      <c r="R11" s="1124">
        <v>53.56</v>
      </c>
      <c r="S11" s="1124">
        <v>54.42</v>
      </c>
      <c r="T11" s="1124">
        <v>55.28</v>
      </c>
      <c r="U11" s="1124">
        <v>56.14</v>
      </c>
      <c r="V11" s="1124">
        <v>57</v>
      </c>
      <c r="W11" s="1125">
        <v>57.86</v>
      </c>
      <c r="X11" s="1125">
        <v>58.72</v>
      </c>
      <c r="Y11" s="1125">
        <v>59.58</v>
      </c>
      <c r="Z11" s="1125">
        <v>60.44</v>
      </c>
      <c r="AA11" s="1125">
        <v>61.3</v>
      </c>
    </row>
    <row r="12" spans="1:39" x14ac:dyDescent="0.25">
      <c r="B12" s="615" t="s">
        <v>1031</v>
      </c>
      <c r="C12" s="618">
        <v>2</v>
      </c>
      <c r="D12" s="1124">
        <v>40.4</v>
      </c>
      <c r="E12" s="1124">
        <v>41.6</v>
      </c>
      <c r="F12" s="1124">
        <v>42.8</v>
      </c>
      <c r="G12" s="1124">
        <v>44</v>
      </c>
      <c r="H12" s="1124">
        <v>45.833333333333336</v>
      </c>
      <c r="I12" s="1124">
        <v>47.666666666666664</v>
      </c>
      <c r="J12" s="1124">
        <v>49.5</v>
      </c>
      <c r="K12" s="1124">
        <v>49.057142857142857</v>
      </c>
      <c r="L12" s="1124">
        <v>48.614285714285714</v>
      </c>
      <c r="M12" s="1124">
        <v>48.171428571428571</v>
      </c>
      <c r="N12" s="1124">
        <v>47.728571428571428</v>
      </c>
      <c r="O12" s="1124">
        <v>47.285714285714285</v>
      </c>
      <c r="P12" s="1124">
        <v>46.842857142857142</v>
      </c>
      <c r="Q12" s="1124">
        <v>46.4</v>
      </c>
      <c r="R12" s="1124">
        <v>46.519999999999996</v>
      </c>
      <c r="S12" s="1124">
        <v>46.64</v>
      </c>
      <c r="T12" s="1124">
        <v>46.76</v>
      </c>
      <c r="U12" s="1124">
        <v>46.88</v>
      </c>
      <c r="V12" s="1124">
        <v>47</v>
      </c>
      <c r="W12" s="1125">
        <v>47.12</v>
      </c>
      <c r="X12" s="1125">
        <v>47.239999999999995</v>
      </c>
      <c r="Y12" s="1125">
        <v>47.359999999999992</v>
      </c>
      <c r="Z12" s="1125">
        <v>47.47999999999999</v>
      </c>
      <c r="AA12" s="1125">
        <v>47.599999999999987</v>
      </c>
    </row>
    <row r="13" spans="1:39" x14ac:dyDescent="0.25">
      <c r="B13" s="615" t="s">
        <v>1032</v>
      </c>
      <c r="C13" s="618">
        <v>3</v>
      </c>
      <c r="D13" s="1124">
        <v>43.92</v>
      </c>
      <c r="E13" s="1124">
        <v>46.78</v>
      </c>
      <c r="F13" s="1124">
        <v>49.64</v>
      </c>
      <c r="G13" s="1124">
        <v>52.5</v>
      </c>
      <c r="H13" s="1124">
        <v>55</v>
      </c>
      <c r="I13" s="1124">
        <v>57.5</v>
      </c>
      <c r="J13" s="1124">
        <v>60</v>
      </c>
      <c r="K13" s="1124">
        <v>60.228571428571428</v>
      </c>
      <c r="L13" s="1124">
        <v>60.457142857142856</v>
      </c>
      <c r="M13" s="1124">
        <v>60.685714285714283</v>
      </c>
      <c r="N13" s="1124">
        <v>60.914285714285718</v>
      </c>
      <c r="O13" s="1124">
        <v>61.142857142857146</v>
      </c>
      <c r="P13" s="1124">
        <v>61.371428571428574</v>
      </c>
      <c r="Q13" s="1124">
        <v>61.6</v>
      </c>
      <c r="R13" s="1124">
        <v>62.02</v>
      </c>
      <c r="S13" s="1124">
        <v>62.440000000000005</v>
      </c>
      <c r="T13" s="1124">
        <v>62.86</v>
      </c>
      <c r="U13" s="1124">
        <v>63.28</v>
      </c>
      <c r="V13" s="1124">
        <v>63.7</v>
      </c>
      <c r="W13" s="1125">
        <v>64.12</v>
      </c>
      <c r="X13" s="1125">
        <v>64.540000000000006</v>
      </c>
      <c r="Y13" s="1125">
        <v>64.960000000000008</v>
      </c>
      <c r="Z13" s="1125">
        <v>65.38000000000001</v>
      </c>
      <c r="AA13" s="1125">
        <v>65.800000000000011</v>
      </c>
    </row>
    <row r="14" spans="1:39" x14ac:dyDescent="0.25">
      <c r="B14" s="615" t="s">
        <v>1033</v>
      </c>
      <c r="C14" s="618">
        <v>4</v>
      </c>
      <c r="D14" s="1124">
        <v>43.9</v>
      </c>
      <c r="E14" s="1124">
        <v>46.9</v>
      </c>
      <c r="F14" s="1124">
        <v>49.9</v>
      </c>
      <c r="G14" s="1124">
        <v>52.9</v>
      </c>
      <c r="H14" s="1124">
        <v>56.1</v>
      </c>
      <c r="I14" s="1124">
        <v>59.3</v>
      </c>
      <c r="J14" s="1124">
        <v>62.5</v>
      </c>
      <c r="K14" s="1124">
        <v>62.4</v>
      </c>
      <c r="L14" s="1124">
        <v>62.3</v>
      </c>
      <c r="M14" s="1124">
        <v>62.199999999999996</v>
      </c>
      <c r="N14" s="1124">
        <v>62.1</v>
      </c>
      <c r="O14" s="1124">
        <v>62</v>
      </c>
      <c r="P14" s="1124">
        <v>61.9</v>
      </c>
      <c r="Q14" s="1124">
        <v>61.8</v>
      </c>
      <c r="R14" s="1124">
        <v>62.4</v>
      </c>
      <c r="S14" s="1124">
        <v>63</v>
      </c>
      <c r="T14" s="1124">
        <v>63.599999999999994</v>
      </c>
      <c r="U14" s="1124">
        <v>64.2</v>
      </c>
      <c r="V14" s="1124">
        <v>64.8</v>
      </c>
      <c r="W14" s="1125">
        <v>65.399999999999991</v>
      </c>
      <c r="X14" s="1125">
        <v>65.999999999999986</v>
      </c>
      <c r="Y14" s="1125">
        <v>66.59999999999998</v>
      </c>
      <c r="Z14" s="1125">
        <v>67.199999999999974</v>
      </c>
      <c r="AA14" s="1125">
        <v>67.799999999999969</v>
      </c>
    </row>
    <row r="15" spans="1:39" x14ac:dyDescent="0.25">
      <c r="B15" s="615" t="s">
        <v>1034</v>
      </c>
      <c r="C15" s="618">
        <v>5</v>
      </c>
      <c r="D15" s="1124">
        <v>41.72</v>
      </c>
      <c r="E15" s="1124">
        <v>43.58</v>
      </c>
      <c r="F15" s="1124">
        <v>45.44</v>
      </c>
      <c r="G15" s="1124">
        <v>47.3</v>
      </c>
      <c r="H15" s="1124">
        <v>49.5</v>
      </c>
      <c r="I15" s="1124">
        <v>51.699999999999996</v>
      </c>
      <c r="J15" s="1124">
        <v>53.9</v>
      </c>
      <c r="K15" s="1124">
        <v>53.871428571428574</v>
      </c>
      <c r="L15" s="1124">
        <v>53.842857142857142</v>
      </c>
      <c r="M15" s="1124">
        <v>53.814285714285717</v>
      </c>
      <c r="N15" s="1124">
        <v>53.785714285714285</v>
      </c>
      <c r="O15" s="1124">
        <v>53.75714285714286</v>
      </c>
      <c r="P15" s="1124">
        <v>53.728571428571428</v>
      </c>
      <c r="Q15" s="1124">
        <v>53.7</v>
      </c>
      <c r="R15" s="1124">
        <v>54.78</v>
      </c>
      <c r="S15" s="1124">
        <v>55.86</v>
      </c>
      <c r="T15" s="1124">
        <v>56.940000000000005</v>
      </c>
      <c r="U15" s="1124">
        <v>58.02</v>
      </c>
      <c r="V15" s="1124">
        <v>59.1</v>
      </c>
      <c r="W15" s="1125">
        <v>60.18</v>
      </c>
      <c r="X15" s="1125">
        <v>61.26</v>
      </c>
      <c r="Y15" s="1125">
        <v>62.339999999999996</v>
      </c>
      <c r="Z15" s="1125">
        <v>63.419999999999995</v>
      </c>
      <c r="AA15" s="1125">
        <v>64.5</v>
      </c>
    </row>
    <row r="16" spans="1:39" x14ac:dyDescent="0.25">
      <c r="B16" s="615"/>
      <c r="C16" s="618"/>
      <c r="D16" s="618"/>
      <c r="E16" s="618"/>
      <c r="F16" s="618"/>
      <c r="G16" s="618"/>
      <c r="H16" s="618"/>
      <c r="I16" s="618"/>
      <c r="J16" s="618"/>
      <c r="K16" s="618"/>
      <c r="L16" s="618"/>
      <c r="M16" s="618"/>
      <c r="N16" s="618"/>
      <c r="O16" s="618"/>
      <c r="P16" s="618"/>
      <c r="Q16" s="618"/>
      <c r="R16" s="618"/>
      <c r="S16" s="618"/>
      <c r="T16" s="618"/>
      <c r="U16" s="618"/>
      <c r="V16" s="618"/>
      <c r="W16" s="618"/>
      <c r="X16" s="618"/>
      <c r="Y16" s="618"/>
      <c r="Z16" s="618"/>
      <c r="AA16" s="618"/>
      <c r="AB16" s="618"/>
      <c r="AC16" s="618"/>
      <c r="AD16" s="618"/>
      <c r="AE16" s="618"/>
      <c r="AF16" s="618"/>
      <c r="AG16" s="618"/>
      <c r="AH16" s="618"/>
      <c r="AI16" s="618"/>
      <c r="AJ16" s="618"/>
      <c r="AK16" s="618"/>
      <c r="AL16" s="618"/>
      <c r="AM16" s="618"/>
    </row>
    <row r="17" spans="1:30" x14ac:dyDescent="0.25">
      <c r="B17" s="617" t="s">
        <v>10</v>
      </c>
      <c r="C17" s="617" t="s">
        <v>1046</v>
      </c>
    </row>
    <row r="18" spans="1:30" x14ac:dyDescent="0.25">
      <c r="D18" s="617">
        <v>2017</v>
      </c>
      <c r="E18" s="617">
        <v>2018</v>
      </c>
      <c r="F18" s="617">
        <v>2019</v>
      </c>
      <c r="G18" s="617">
        <v>2020</v>
      </c>
      <c r="H18" s="617">
        <v>2021</v>
      </c>
      <c r="I18" s="617">
        <v>2022</v>
      </c>
      <c r="J18" s="617">
        <v>2023</v>
      </c>
      <c r="K18" s="617">
        <v>2024</v>
      </c>
      <c r="L18" s="617">
        <v>2025</v>
      </c>
      <c r="M18" s="617">
        <v>2026</v>
      </c>
      <c r="N18" s="617">
        <v>2027</v>
      </c>
      <c r="O18" s="617">
        <v>2028</v>
      </c>
      <c r="P18" s="617">
        <v>2029</v>
      </c>
      <c r="Q18" s="617">
        <v>2030</v>
      </c>
      <c r="R18" s="617">
        <v>2031</v>
      </c>
      <c r="S18" s="617">
        <v>2032</v>
      </c>
      <c r="T18" s="617">
        <v>2033</v>
      </c>
      <c r="U18" s="617">
        <v>2034</v>
      </c>
      <c r="V18" s="617">
        <v>2035</v>
      </c>
      <c r="W18" s="617">
        <v>2036</v>
      </c>
      <c r="X18" s="617">
        <v>2037</v>
      </c>
      <c r="Y18" s="617">
        <v>2038</v>
      </c>
      <c r="Z18" s="617">
        <v>2039</v>
      </c>
      <c r="AA18" s="617">
        <v>2040</v>
      </c>
    </row>
    <row r="19" spans="1:30" x14ac:dyDescent="0.25">
      <c r="B19" s="615" t="s">
        <v>952</v>
      </c>
      <c r="C19" s="618">
        <v>1</v>
      </c>
      <c r="D19" s="1128">
        <v>8.9</v>
      </c>
      <c r="E19" s="1128">
        <v>9.6</v>
      </c>
      <c r="F19" s="1128">
        <v>10.3</v>
      </c>
      <c r="G19" s="1128">
        <v>11</v>
      </c>
      <c r="H19" s="1128">
        <v>12.5</v>
      </c>
      <c r="I19" s="1128">
        <v>14</v>
      </c>
      <c r="J19" s="1128">
        <v>15.5</v>
      </c>
      <c r="K19" s="1128">
        <v>16.214285714285715</v>
      </c>
      <c r="L19" s="1128">
        <v>16.928571428571427</v>
      </c>
      <c r="M19" s="1128">
        <v>17.642857142857142</v>
      </c>
      <c r="N19" s="1128">
        <v>18.357142857142858</v>
      </c>
      <c r="O19" s="1128">
        <v>19.071428571428573</v>
      </c>
      <c r="P19" s="1128">
        <v>19.785714285714285</v>
      </c>
      <c r="Q19" s="1128">
        <v>20.5</v>
      </c>
      <c r="R19" s="1128">
        <v>22.5</v>
      </c>
      <c r="S19" s="1128">
        <v>24.5</v>
      </c>
      <c r="T19" s="1128">
        <v>26.5</v>
      </c>
      <c r="U19" s="1128">
        <v>28.5</v>
      </c>
      <c r="V19" s="1128">
        <v>30.5</v>
      </c>
      <c r="W19" s="1129">
        <v>32.5</v>
      </c>
      <c r="X19" s="1129">
        <v>34.5</v>
      </c>
      <c r="Y19" s="1129">
        <v>36.5</v>
      </c>
      <c r="Z19" s="1129">
        <v>38.5</v>
      </c>
      <c r="AA19" s="1129">
        <v>40.5</v>
      </c>
    </row>
    <row r="20" spans="1:30" x14ac:dyDescent="0.25">
      <c r="B20" s="615" t="s">
        <v>1031</v>
      </c>
      <c r="C20" s="618">
        <v>2</v>
      </c>
      <c r="D20" s="1128">
        <v>7.7</v>
      </c>
      <c r="E20" s="1128">
        <v>7.8</v>
      </c>
      <c r="F20" s="1128">
        <v>7.9</v>
      </c>
      <c r="G20" s="1128">
        <v>8</v>
      </c>
      <c r="H20" s="1128">
        <v>8.1666666666666661</v>
      </c>
      <c r="I20" s="1128">
        <v>8.3333333333333339</v>
      </c>
      <c r="J20" s="1128">
        <v>8.5</v>
      </c>
      <c r="K20" s="1128">
        <v>8.7857142857142865</v>
      </c>
      <c r="L20" s="1128">
        <v>9.0714285714285712</v>
      </c>
      <c r="M20" s="1128">
        <v>9.3571428571428577</v>
      </c>
      <c r="N20" s="1128">
        <v>9.6428571428571423</v>
      </c>
      <c r="O20" s="1128">
        <v>9.9285714285714288</v>
      </c>
      <c r="P20" s="1128">
        <v>10.214285714285714</v>
      </c>
      <c r="Q20" s="1128">
        <v>10.5</v>
      </c>
      <c r="R20" s="1128">
        <v>10.7</v>
      </c>
      <c r="S20" s="1128">
        <v>10.9</v>
      </c>
      <c r="T20" s="1128">
        <v>11.1</v>
      </c>
      <c r="U20" s="1128">
        <v>11.3</v>
      </c>
      <c r="V20" s="1128">
        <v>11.5</v>
      </c>
      <c r="W20" s="1129">
        <v>11.7</v>
      </c>
      <c r="X20" s="1129">
        <v>11.899999999999999</v>
      </c>
      <c r="Y20" s="1129">
        <v>12.099999999999998</v>
      </c>
      <c r="Z20" s="1129">
        <v>12.299999999999997</v>
      </c>
      <c r="AA20" s="1129">
        <v>12.499999999999996</v>
      </c>
    </row>
    <row r="21" spans="1:30" x14ac:dyDescent="0.25">
      <c r="B21" s="615" t="s">
        <v>1032</v>
      </c>
      <c r="C21" s="618">
        <v>3</v>
      </c>
      <c r="D21" s="1128">
        <v>8.9</v>
      </c>
      <c r="E21" s="1128">
        <v>9.6</v>
      </c>
      <c r="F21" s="1128">
        <v>10.3</v>
      </c>
      <c r="G21" s="1128">
        <v>11</v>
      </c>
      <c r="H21" s="1128">
        <v>12.5</v>
      </c>
      <c r="I21" s="1128">
        <v>14</v>
      </c>
      <c r="J21" s="1128">
        <v>15.5</v>
      </c>
      <c r="K21" s="1128">
        <v>16.214285714285715</v>
      </c>
      <c r="L21" s="1128">
        <v>16.928571428571427</v>
      </c>
      <c r="M21" s="1128">
        <v>17.642857142857142</v>
      </c>
      <c r="N21" s="1128">
        <v>18.357142857142858</v>
      </c>
      <c r="O21" s="1128">
        <v>19.071428571428573</v>
      </c>
      <c r="P21" s="1128">
        <v>19.785714285714285</v>
      </c>
      <c r="Q21" s="1128">
        <v>20.5</v>
      </c>
      <c r="R21" s="1128">
        <v>22.5</v>
      </c>
      <c r="S21" s="1128">
        <v>24.5</v>
      </c>
      <c r="T21" s="1128">
        <v>26.5</v>
      </c>
      <c r="U21" s="1128">
        <v>28.5</v>
      </c>
      <c r="V21" s="1128">
        <v>30.5</v>
      </c>
      <c r="W21" s="1129">
        <v>32.5</v>
      </c>
      <c r="X21" s="1129">
        <v>34.5</v>
      </c>
      <c r="Y21" s="1129">
        <v>36.5</v>
      </c>
      <c r="Z21" s="1129">
        <v>38.5</v>
      </c>
      <c r="AA21" s="1129">
        <v>40.5</v>
      </c>
    </row>
    <row r="22" spans="1:30" x14ac:dyDescent="0.25">
      <c r="B22" s="615" t="s">
        <v>1033</v>
      </c>
      <c r="C22" s="618">
        <v>4</v>
      </c>
      <c r="D22" s="1128">
        <v>8.9</v>
      </c>
      <c r="E22" s="1128">
        <v>9.6</v>
      </c>
      <c r="F22" s="1128">
        <v>10.3</v>
      </c>
      <c r="G22" s="1128">
        <v>11</v>
      </c>
      <c r="H22" s="1128">
        <v>12.5</v>
      </c>
      <c r="I22" s="1128">
        <v>14</v>
      </c>
      <c r="J22" s="1128">
        <v>15.5</v>
      </c>
      <c r="K22" s="1128">
        <v>16.214285714285715</v>
      </c>
      <c r="L22" s="1128">
        <v>16.928571428571427</v>
      </c>
      <c r="M22" s="1128">
        <v>17.642857142857142</v>
      </c>
      <c r="N22" s="1128">
        <v>18.357142857142858</v>
      </c>
      <c r="O22" s="1128">
        <v>19.071428571428573</v>
      </c>
      <c r="P22" s="1128">
        <v>19.785714285714285</v>
      </c>
      <c r="Q22" s="1128">
        <v>20.5</v>
      </c>
      <c r="R22" s="1128">
        <v>22.5</v>
      </c>
      <c r="S22" s="1128">
        <v>24.5</v>
      </c>
      <c r="T22" s="1128">
        <v>26.5</v>
      </c>
      <c r="U22" s="1128">
        <v>28.5</v>
      </c>
      <c r="V22" s="1128">
        <v>30.5</v>
      </c>
      <c r="W22" s="1129">
        <v>32.5</v>
      </c>
      <c r="X22" s="1129">
        <v>34.5</v>
      </c>
      <c r="Y22" s="1129">
        <v>36.5</v>
      </c>
      <c r="Z22" s="1129">
        <v>38.5</v>
      </c>
      <c r="AA22" s="1129">
        <v>40.5</v>
      </c>
    </row>
    <row r="23" spans="1:30" x14ac:dyDescent="0.25">
      <c r="B23" s="615" t="s">
        <v>1034</v>
      </c>
      <c r="C23" s="618">
        <v>5</v>
      </c>
      <c r="D23" s="1128">
        <v>8.9</v>
      </c>
      <c r="E23" s="1128">
        <v>9.6</v>
      </c>
      <c r="F23" s="1128">
        <v>10.3</v>
      </c>
      <c r="G23" s="1128">
        <v>11</v>
      </c>
      <c r="H23" s="1128">
        <v>12.5</v>
      </c>
      <c r="I23" s="1128">
        <v>14</v>
      </c>
      <c r="J23" s="1128">
        <v>15.5</v>
      </c>
      <c r="K23" s="1128">
        <v>16.214285714285715</v>
      </c>
      <c r="L23" s="1128">
        <v>16.928571428571427</v>
      </c>
      <c r="M23" s="1128">
        <v>17.642857142857142</v>
      </c>
      <c r="N23" s="1128">
        <v>18.357142857142858</v>
      </c>
      <c r="O23" s="1128">
        <v>19.071428571428573</v>
      </c>
      <c r="P23" s="1128">
        <v>19.785714285714285</v>
      </c>
      <c r="Q23" s="1128">
        <v>20.5</v>
      </c>
      <c r="R23" s="1128">
        <v>22.5</v>
      </c>
      <c r="S23" s="1128">
        <v>24.5</v>
      </c>
      <c r="T23" s="1128">
        <v>26.5</v>
      </c>
      <c r="U23" s="1128">
        <v>28.5</v>
      </c>
      <c r="V23" s="1128">
        <v>30.5</v>
      </c>
      <c r="W23" s="1129">
        <v>32.5</v>
      </c>
      <c r="X23" s="1129">
        <v>34.5</v>
      </c>
      <c r="Y23" s="1129">
        <v>36.5</v>
      </c>
      <c r="Z23" s="1129">
        <v>38.5</v>
      </c>
      <c r="AA23" s="1129">
        <v>40.5</v>
      </c>
    </row>
    <row r="24" spans="1:30" x14ac:dyDescent="0.25">
      <c r="H24" s="636"/>
    </row>
    <row r="25" spans="1:30" x14ac:dyDescent="0.25">
      <c r="H25" s="636"/>
    </row>
    <row r="26" spans="1:30" x14ac:dyDescent="0.25">
      <c r="A26" s="309" t="s">
        <v>1055</v>
      </c>
      <c r="B26" s="637">
        <v>2018</v>
      </c>
      <c r="H26" s="636"/>
    </row>
    <row r="27" spans="1:30" x14ac:dyDescent="0.25">
      <c r="A27" s="1130"/>
      <c r="B27" s="1130"/>
      <c r="C27" s="1131">
        <v>2013</v>
      </c>
      <c r="D27" s="1131">
        <v>2014</v>
      </c>
      <c r="E27" s="1131">
        <v>2015</v>
      </c>
      <c r="F27" s="1140">
        <v>2016</v>
      </c>
      <c r="G27" s="1132">
        <v>2017</v>
      </c>
      <c r="H27" s="1132">
        <v>2018</v>
      </c>
      <c r="I27" s="1132">
        <v>2019</v>
      </c>
      <c r="J27" s="1132">
        <v>2020</v>
      </c>
      <c r="K27" s="1132">
        <v>2021</v>
      </c>
      <c r="L27" s="1132">
        <v>2022</v>
      </c>
      <c r="M27" s="1132">
        <v>2023</v>
      </c>
      <c r="N27" s="1132">
        <v>2024</v>
      </c>
      <c r="O27" s="1132">
        <v>2025</v>
      </c>
      <c r="P27" s="1132">
        <v>2026</v>
      </c>
      <c r="Q27" s="1132">
        <v>2027</v>
      </c>
      <c r="R27" s="1132">
        <v>2028</v>
      </c>
      <c r="S27" s="1132">
        <v>2029</v>
      </c>
      <c r="T27" s="1132">
        <v>2030</v>
      </c>
      <c r="U27" s="1132">
        <v>2031</v>
      </c>
      <c r="V27" s="1132">
        <v>2032</v>
      </c>
      <c r="W27" s="1132">
        <v>2033</v>
      </c>
      <c r="X27" s="1132">
        <v>2034</v>
      </c>
      <c r="Y27" s="1132">
        <v>2035</v>
      </c>
      <c r="Z27" s="1132">
        <v>2036</v>
      </c>
      <c r="AA27" s="1132">
        <v>2037</v>
      </c>
      <c r="AB27" s="1132">
        <v>2038</v>
      </c>
      <c r="AC27" s="1132">
        <v>2039</v>
      </c>
      <c r="AD27" s="1132">
        <v>2040</v>
      </c>
    </row>
    <row r="28" spans="1:30" x14ac:dyDescent="0.25">
      <c r="A28" s="1130" t="s">
        <v>1626</v>
      </c>
      <c r="B28" s="1130" t="s">
        <v>1627</v>
      </c>
      <c r="C28" s="1141">
        <v>99.47</v>
      </c>
      <c r="D28" s="1141">
        <v>99.79</v>
      </c>
      <c r="E28" s="1141">
        <v>100</v>
      </c>
      <c r="F28" s="1141">
        <v>100.11</v>
      </c>
      <c r="G28" s="1141">
        <v>101.4</v>
      </c>
      <c r="H28" s="1136"/>
      <c r="I28" s="1136"/>
      <c r="J28" s="1136"/>
      <c r="K28" s="1136"/>
      <c r="L28" s="1136"/>
      <c r="M28" s="1136"/>
      <c r="N28" s="1136"/>
      <c r="O28" s="1136"/>
      <c r="P28" s="1136"/>
      <c r="Q28" s="1136"/>
      <c r="R28" s="1136"/>
      <c r="S28" s="1136"/>
      <c r="T28" s="1136"/>
      <c r="U28" s="1136"/>
      <c r="V28" s="1136"/>
      <c r="W28" s="1136"/>
      <c r="X28" s="1136"/>
      <c r="Y28" s="1136"/>
      <c r="Z28" s="1136"/>
      <c r="AA28" s="1136"/>
      <c r="AB28" s="1136"/>
      <c r="AC28" s="1136"/>
      <c r="AD28" s="1136"/>
    </row>
    <row r="29" spans="1:30" x14ac:dyDescent="0.25">
      <c r="A29" s="1130"/>
      <c r="B29" s="1130" t="s">
        <v>1056</v>
      </c>
      <c r="C29" s="1135">
        <f>C28*$F$29/$F$28</f>
        <v>99.360703226450909</v>
      </c>
      <c r="D29" s="1135">
        <f>D28*$F$29/$F$28</f>
        <v>99.680351613225454</v>
      </c>
      <c r="E29" s="1135">
        <f>E28*$F$29/$F$28</f>
        <v>99.890120867046249</v>
      </c>
      <c r="F29" s="1138">
        <v>100</v>
      </c>
      <c r="G29" s="1134">
        <v>100.89999999999999</v>
      </c>
      <c r="H29" s="1142">
        <v>102.41349999999998</v>
      </c>
      <c r="I29" s="1142">
        <v>103.94970249999997</v>
      </c>
      <c r="J29" s="1142">
        <v>105.50894803749995</v>
      </c>
      <c r="K29" s="1135">
        <f>J29*(1+J30)</f>
        <v>107.09158225806242</v>
      </c>
      <c r="L29" s="1135">
        <f>K29*(1+K30)</f>
        <v>108.69795599193334</v>
      </c>
      <c r="M29" s="1142">
        <v>110.32842533181235</v>
      </c>
      <c r="N29" s="1135">
        <f>M29*(1+M30)</f>
        <v>111.98335171178952</v>
      </c>
      <c r="O29" s="1142">
        <v>113.66310198746636</v>
      </c>
      <c r="P29" s="1135">
        <f>O29*(1+O30)</f>
        <v>115.36804851727835</v>
      </c>
      <c r="Q29" s="1135">
        <f>P29*(1+P30)</f>
        <v>117.09856924503752</v>
      </c>
      <c r="R29" s="1135">
        <f>Q29*(1+Q30)</f>
        <v>118.85504778371308</v>
      </c>
      <c r="S29" s="1135">
        <f>R29*(1+R30)</f>
        <v>120.63787350046876</v>
      </c>
      <c r="T29" s="1142">
        <v>122.44744160297576</v>
      </c>
      <c r="U29" s="1135">
        <f>T29*(1+T30)</f>
        <v>124.28415322702038</v>
      </c>
      <c r="V29" s="1135">
        <f>U29*(1+U30)</f>
        <v>126.14841552542568</v>
      </c>
      <c r="W29" s="1135">
        <f>V29*(1+V30)</f>
        <v>128.04064175830706</v>
      </c>
      <c r="X29" s="1135">
        <f>W29*(1+W30)</f>
        <v>129.96125138468165</v>
      </c>
      <c r="Y29" s="1142">
        <v>131.91067015545187</v>
      </c>
      <c r="Z29" s="1135">
        <f>Y29*(1+Y30)</f>
        <v>133.88933020778364</v>
      </c>
      <c r="AA29" s="1135">
        <f>Z29*(1+Z30)</f>
        <v>135.89767016090039</v>
      </c>
      <c r="AB29" s="1135">
        <f>AA29*(1+AA30)</f>
        <v>137.93613521331389</v>
      </c>
      <c r="AC29" s="1135">
        <f>AB29*(1+AB30)</f>
        <v>140.00517724151359</v>
      </c>
      <c r="AD29" s="1135">
        <f>AC29*(1+AC30)</f>
        <v>142.10525490013629</v>
      </c>
    </row>
    <row r="30" spans="1:30" x14ac:dyDescent="0.25">
      <c r="A30" s="1130"/>
      <c r="B30" s="1130" t="s">
        <v>1628</v>
      </c>
      <c r="C30" s="1133"/>
      <c r="D30" s="1155">
        <f>D28/C28-1</f>
        <v>3.2170503669448625E-3</v>
      </c>
      <c r="E30" s="1155">
        <f>E28/D28-1</f>
        <v>2.1044192804888784E-3</v>
      </c>
      <c r="F30" s="1155">
        <f>F28/E28-1</f>
        <v>1.1000000000001009E-3</v>
      </c>
      <c r="G30" s="1155">
        <f>G28/F28-1</f>
        <v>1.2885825591848921E-2</v>
      </c>
      <c r="H30" s="1156">
        <f>H29/G29-1</f>
        <v>1.4999999999999902E-2</v>
      </c>
      <c r="I30" s="1156">
        <f>I29/H29-1</f>
        <v>1.4999999999999902E-2</v>
      </c>
      <c r="J30" s="1156">
        <f>J29/I29-1</f>
        <v>1.499999999999968E-2</v>
      </c>
      <c r="K30" s="1139">
        <f>AVERAGE($H$30:$J$30)</f>
        <v>1.4999999999999828E-2</v>
      </c>
      <c r="L30" s="1156">
        <f>AVERAGE($H$30:$J$30)</f>
        <v>1.4999999999999828E-2</v>
      </c>
      <c r="M30" s="1156">
        <f t="shared" ref="M30:AD30" si="0">AVERAGE($H$30:$J$30)</f>
        <v>1.4999999999999828E-2</v>
      </c>
      <c r="N30" s="1156">
        <f t="shared" si="0"/>
        <v>1.4999999999999828E-2</v>
      </c>
      <c r="O30" s="1156">
        <f t="shared" si="0"/>
        <v>1.4999999999999828E-2</v>
      </c>
      <c r="P30" s="1156">
        <f t="shared" si="0"/>
        <v>1.4999999999999828E-2</v>
      </c>
      <c r="Q30" s="1156">
        <f t="shared" si="0"/>
        <v>1.4999999999999828E-2</v>
      </c>
      <c r="R30" s="1156">
        <f t="shared" si="0"/>
        <v>1.4999999999999828E-2</v>
      </c>
      <c r="S30" s="1156">
        <f t="shared" si="0"/>
        <v>1.4999999999999828E-2</v>
      </c>
      <c r="T30" s="1156">
        <f t="shared" si="0"/>
        <v>1.4999999999999828E-2</v>
      </c>
      <c r="U30" s="1156">
        <f t="shared" si="0"/>
        <v>1.4999999999999828E-2</v>
      </c>
      <c r="V30" s="1156">
        <f t="shared" si="0"/>
        <v>1.4999999999999828E-2</v>
      </c>
      <c r="W30" s="1156">
        <f t="shared" si="0"/>
        <v>1.4999999999999828E-2</v>
      </c>
      <c r="X30" s="1156">
        <f t="shared" si="0"/>
        <v>1.4999999999999828E-2</v>
      </c>
      <c r="Y30" s="1156">
        <f t="shared" si="0"/>
        <v>1.4999999999999828E-2</v>
      </c>
      <c r="Z30" s="1156">
        <f t="shared" si="0"/>
        <v>1.4999999999999828E-2</v>
      </c>
      <c r="AA30" s="1156">
        <f t="shared" si="0"/>
        <v>1.4999999999999828E-2</v>
      </c>
      <c r="AB30" s="1156">
        <f t="shared" si="0"/>
        <v>1.4999999999999828E-2</v>
      </c>
      <c r="AC30" s="1156">
        <f t="shared" si="0"/>
        <v>1.4999999999999828E-2</v>
      </c>
      <c r="AD30" s="1156">
        <f t="shared" si="0"/>
        <v>1.4999999999999828E-2</v>
      </c>
    </row>
    <row r="31" spans="1:30" x14ac:dyDescent="0.25">
      <c r="A31" s="1130"/>
      <c r="B31" s="1130" t="s">
        <v>1629</v>
      </c>
      <c r="C31" s="1137">
        <f>100*C28/HLOOKUP(2013,$C$27:$AD$28,2,FALSE)</f>
        <v>100</v>
      </c>
      <c r="D31" s="1137">
        <f>C31*(1+D30)</f>
        <v>100.32170503669448</v>
      </c>
      <c r="E31" s="1154">
        <f>D31*(1+E30)</f>
        <v>100.53282396702522</v>
      </c>
      <c r="F31" s="1154">
        <f t="shared" ref="F31:AD31" si="1">E31*(1+F30)</f>
        <v>100.64341007338896</v>
      </c>
      <c r="G31" s="1154">
        <f t="shared" si="1"/>
        <v>101.94028350256359</v>
      </c>
      <c r="H31" s="1154">
        <f t="shared" si="1"/>
        <v>103.46938775510203</v>
      </c>
      <c r="I31" s="1154">
        <f t="shared" si="1"/>
        <v>105.02142857142856</v>
      </c>
      <c r="J31" s="1154">
        <f t="shared" si="1"/>
        <v>106.59674999999996</v>
      </c>
      <c r="K31" s="1154">
        <f t="shared" si="1"/>
        <v>108.19570124999994</v>
      </c>
      <c r="L31" s="1154">
        <f t="shared" si="1"/>
        <v>109.81863676874993</v>
      </c>
      <c r="M31" s="1154">
        <f t="shared" si="1"/>
        <v>111.46591632028117</v>
      </c>
      <c r="N31" s="1154">
        <f t="shared" si="1"/>
        <v>113.13790506508538</v>
      </c>
      <c r="O31" s="1154">
        <f t="shared" si="1"/>
        <v>114.83497364106165</v>
      </c>
      <c r="P31" s="1154">
        <f t="shared" si="1"/>
        <v>116.55749824567756</v>
      </c>
      <c r="Q31" s="1154">
        <f t="shared" si="1"/>
        <v>118.30586071936271</v>
      </c>
      <c r="R31" s="1154">
        <f t="shared" si="1"/>
        <v>120.08044863015314</v>
      </c>
      <c r="S31" s="1154">
        <f t="shared" si="1"/>
        <v>121.88165535960543</v>
      </c>
      <c r="T31" s="1154">
        <f t="shared" si="1"/>
        <v>123.7098801899995</v>
      </c>
      <c r="U31" s="1154">
        <f t="shared" si="1"/>
        <v>125.56552839284947</v>
      </c>
      <c r="V31" s="1154">
        <f t="shared" si="1"/>
        <v>127.44901131874221</v>
      </c>
      <c r="W31" s="1154">
        <f t="shared" si="1"/>
        <v>129.36074648852332</v>
      </c>
      <c r="X31" s="1154">
        <f t="shared" si="1"/>
        <v>131.30115768585117</v>
      </c>
      <c r="Y31" s="1154">
        <f t="shared" si="1"/>
        <v>133.27067505113891</v>
      </c>
      <c r="Z31" s="1154">
        <f t="shared" si="1"/>
        <v>135.26973517690598</v>
      </c>
      <c r="AA31" s="1154">
        <f t="shared" si="1"/>
        <v>137.29878120455956</v>
      </c>
      <c r="AB31" s="1154">
        <f t="shared" si="1"/>
        <v>139.35826292262794</v>
      </c>
      <c r="AC31" s="1154">
        <f t="shared" si="1"/>
        <v>141.44863686646735</v>
      </c>
      <c r="AD31" s="1154">
        <f t="shared" si="1"/>
        <v>143.57036641946436</v>
      </c>
    </row>
    <row r="32" spans="1:30" s="1127" customFormat="1" x14ac:dyDescent="0.25">
      <c r="A32" s="1130"/>
      <c r="B32" s="1130" t="s">
        <v>1630</v>
      </c>
      <c r="C32" s="1133">
        <f>100*C31/HLOOKUP($B$26,$C$27:$AD$31,5,FALSE)</f>
        <v>96.646942800788963</v>
      </c>
      <c r="D32" s="1144">
        <f t="shared" ref="D32:AD32" si="2">100*D31/HLOOKUP($B$26,$C$27:$AD$31,5,FALSE)</f>
        <v>96.957860883590328</v>
      </c>
      <c r="E32" s="1144">
        <f t="shared" si="2"/>
        <v>97.161900875428714</v>
      </c>
      <c r="F32" s="1144">
        <f t="shared" si="2"/>
        <v>97.268778966391707</v>
      </c>
      <c r="G32" s="1144">
        <f t="shared" si="2"/>
        <v>98.522167487684726</v>
      </c>
      <c r="H32" s="1144">
        <f t="shared" si="2"/>
        <v>100</v>
      </c>
      <c r="I32" s="1144">
        <f t="shared" si="2"/>
        <v>101.49999999999999</v>
      </c>
      <c r="J32" s="1144">
        <f t="shared" si="2"/>
        <v>103.02249999999997</v>
      </c>
      <c r="K32" s="1144">
        <f t="shared" si="2"/>
        <v>104.56783749999995</v>
      </c>
      <c r="L32" s="1144">
        <f t="shared" si="2"/>
        <v>106.13635506249994</v>
      </c>
      <c r="M32" s="1144">
        <f t="shared" si="2"/>
        <v>107.72840038843744</v>
      </c>
      <c r="N32" s="1144">
        <f t="shared" si="2"/>
        <v>109.34432639426399</v>
      </c>
      <c r="O32" s="1144">
        <f t="shared" si="2"/>
        <v>110.98449129017794</v>
      </c>
      <c r="P32" s="1144">
        <f t="shared" si="2"/>
        <v>112.64925865953059</v>
      </c>
      <c r="Q32" s="1144">
        <f t="shared" si="2"/>
        <v>114.33899753942354</v>
      </c>
      <c r="R32" s="1144">
        <f t="shared" si="2"/>
        <v>116.05408250251489</v>
      </c>
      <c r="S32" s="1144">
        <f t="shared" si="2"/>
        <v>117.79489374005259</v>
      </c>
      <c r="T32" s="1144">
        <f t="shared" si="2"/>
        <v>119.56181714615336</v>
      </c>
      <c r="U32" s="1144">
        <f t="shared" si="2"/>
        <v>121.35524440334565</v>
      </c>
      <c r="V32" s="1144">
        <f t="shared" si="2"/>
        <v>123.17557306939584</v>
      </c>
      <c r="W32" s="1144">
        <f t="shared" si="2"/>
        <v>125.02320666543676</v>
      </c>
      <c r="X32" s="1144">
        <f t="shared" si="2"/>
        <v>126.89855476541828</v>
      </c>
      <c r="Y32" s="1144">
        <f t="shared" si="2"/>
        <v>128.80203308689954</v>
      </c>
      <c r="Z32" s="1144">
        <f t="shared" si="2"/>
        <v>130.73406358320304</v>
      </c>
      <c r="AA32" s="1144">
        <f t="shared" si="2"/>
        <v>132.69507453695107</v>
      </c>
      <c r="AB32" s="1144">
        <f t="shared" si="2"/>
        <v>134.68550065500531</v>
      </c>
      <c r="AC32" s="1144">
        <f t="shared" si="2"/>
        <v>136.70578316483039</v>
      </c>
      <c r="AD32" s="1144">
        <f t="shared" si="2"/>
        <v>138.75636991230286</v>
      </c>
    </row>
    <row r="33" spans="1:27" x14ac:dyDescent="0.25">
      <c r="C33" s="618"/>
      <c r="D33" s="638"/>
      <c r="E33" s="638"/>
      <c r="F33" s="638"/>
      <c r="G33" s="638"/>
      <c r="J33" s="638"/>
      <c r="L33" s="638"/>
      <c r="Q33" s="638"/>
      <c r="V33" s="638"/>
    </row>
    <row r="34" spans="1:27" x14ac:dyDescent="0.25">
      <c r="C34" s="618"/>
      <c r="D34" s="638"/>
      <c r="E34" s="956"/>
      <c r="F34" s="638"/>
      <c r="G34" s="638"/>
      <c r="J34" s="638"/>
      <c r="L34" s="638"/>
      <c r="Q34" s="638"/>
      <c r="V34" s="638"/>
    </row>
    <row r="35" spans="1:27" x14ac:dyDescent="0.25">
      <c r="J35" s="628"/>
    </row>
    <row r="36" spans="1:27" ht="18.75" x14ac:dyDescent="0.3">
      <c r="A36" s="635" t="str">
        <f>"Base year: "&amp;$B$26</f>
        <v>Base year: 2018</v>
      </c>
    </row>
    <row r="37" spans="1:27" x14ac:dyDescent="0.25">
      <c r="B37" s="617" t="s">
        <v>1029</v>
      </c>
      <c r="C37" s="617" t="s">
        <v>1030</v>
      </c>
    </row>
    <row r="38" spans="1:27" x14ac:dyDescent="0.25">
      <c r="B38" s="615"/>
      <c r="C38" s="615"/>
      <c r="D38" s="309">
        <f>G27</f>
        <v>2017</v>
      </c>
      <c r="E38" s="309">
        <f t="shared" ref="E38:AA38" si="3">E27</f>
        <v>2015</v>
      </c>
      <c r="F38" s="309">
        <f t="shared" si="3"/>
        <v>2016</v>
      </c>
      <c r="G38" s="309">
        <f t="shared" si="3"/>
        <v>2017</v>
      </c>
      <c r="H38" s="309">
        <f t="shared" si="3"/>
        <v>2018</v>
      </c>
      <c r="I38" s="309">
        <f t="shared" si="3"/>
        <v>2019</v>
      </c>
      <c r="J38" s="309">
        <f t="shared" si="3"/>
        <v>2020</v>
      </c>
      <c r="K38" s="309">
        <f t="shared" si="3"/>
        <v>2021</v>
      </c>
      <c r="L38" s="309">
        <f t="shared" si="3"/>
        <v>2022</v>
      </c>
      <c r="M38" s="309">
        <f t="shared" si="3"/>
        <v>2023</v>
      </c>
      <c r="N38" s="309">
        <f t="shared" si="3"/>
        <v>2024</v>
      </c>
      <c r="O38" s="309">
        <f t="shared" si="3"/>
        <v>2025</v>
      </c>
      <c r="P38" s="309">
        <f t="shared" si="3"/>
        <v>2026</v>
      </c>
      <c r="Q38" s="309">
        <f t="shared" si="3"/>
        <v>2027</v>
      </c>
      <c r="R38" s="309">
        <f t="shared" si="3"/>
        <v>2028</v>
      </c>
      <c r="S38" s="309">
        <f t="shared" si="3"/>
        <v>2029</v>
      </c>
      <c r="T38" s="309">
        <f t="shared" si="3"/>
        <v>2030</v>
      </c>
      <c r="U38" s="309">
        <f t="shared" si="3"/>
        <v>2031</v>
      </c>
      <c r="V38" s="309">
        <f t="shared" si="3"/>
        <v>2032</v>
      </c>
      <c r="W38" s="309">
        <f t="shared" si="3"/>
        <v>2033</v>
      </c>
      <c r="X38" s="309">
        <f t="shared" si="3"/>
        <v>2034</v>
      </c>
      <c r="Y38" s="309">
        <f t="shared" si="3"/>
        <v>2035</v>
      </c>
      <c r="Z38" s="309">
        <f t="shared" si="3"/>
        <v>2036</v>
      </c>
      <c r="AA38" s="309">
        <f t="shared" si="3"/>
        <v>2037</v>
      </c>
    </row>
    <row r="39" spans="1:27" x14ac:dyDescent="0.25">
      <c r="B39" s="615" t="s">
        <v>952</v>
      </c>
      <c r="C39" s="618">
        <v>1</v>
      </c>
      <c r="D39" s="634">
        <f>D3*G$31/G$32</f>
        <v>24.211836734693875</v>
      </c>
      <c r="E39" s="634">
        <f t="shared" ref="E39:AA39" si="4">E3*H$31/H$32</f>
        <v>25.453469387755103</v>
      </c>
      <c r="F39" s="634">
        <f t="shared" si="4"/>
        <v>26.695102040816327</v>
      </c>
      <c r="G39" s="634">
        <f t="shared" si="4"/>
        <v>27.936734693877547</v>
      </c>
      <c r="H39" s="634">
        <f t="shared" si="4"/>
        <v>28.971428571428568</v>
      </c>
      <c r="I39" s="634">
        <f t="shared" si="4"/>
        <v>30.006122448979589</v>
      </c>
      <c r="J39" s="634">
        <f t="shared" si="4"/>
        <v>31.040816326530607</v>
      </c>
      <c r="K39" s="634">
        <f t="shared" si="4"/>
        <v>31.336443148688044</v>
      </c>
      <c r="L39" s="634">
        <f t="shared" si="4"/>
        <v>31.632069970845482</v>
      </c>
      <c r="M39" s="634">
        <f t="shared" si="4"/>
        <v>31.927696793002912</v>
      </c>
      <c r="N39" s="634">
        <f t="shared" si="4"/>
        <v>32.223323615160346</v>
      </c>
      <c r="O39" s="634">
        <f t="shared" si="4"/>
        <v>32.518950437317777</v>
      </c>
      <c r="P39" s="634">
        <f t="shared" si="4"/>
        <v>32.814577259475222</v>
      </c>
      <c r="Q39" s="634">
        <f t="shared" si="4"/>
        <v>33.110204081632652</v>
      </c>
      <c r="R39" s="634">
        <f t="shared" si="4"/>
        <v>33.110204081632652</v>
      </c>
      <c r="S39" s="634">
        <f t="shared" si="4"/>
        <v>33.110204081632652</v>
      </c>
      <c r="T39" s="634">
        <f t="shared" si="4"/>
        <v>33.110204081632645</v>
      </c>
      <c r="U39" s="634">
        <f t="shared" si="4"/>
        <v>33.110204081632652</v>
      </c>
      <c r="V39" s="634">
        <f t="shared" si="4"/>
        <v>33.110204081632652</v>
      </c>
      <c r="W39" s="634">
        <f t="shared" si="4"/>
        <v>33.110204081632645</v>
      </c>
      <c r="X39" s="634">
        <f t="shared" si="4"/>
        <v>33.110204081632652</v>
      </c>
      <c r="Y39" s="634">
        <f t="shared" si="4"/>
        <v>33.110204081632652</v>
      </c>
      <c r="Z39" s="634">
        <f t="shared" si="4"/>
        <v>33.110204081632652</v>
      </c>
      <c r="AA39" s="634">
        <f t="shared" si="4"/>
        <v>33.110204081632645</v>
      </c>
    </row>
    <row r="40" spans="1:27" x14ac:dyDescent="0.25">
      <c r="B40" s="615" t="s">
        <v>1031</v>
      </c>
      <c r="C40" s="618">
        <v>2</v>
      </c>
      <c r="D40" s="634">
        <f t="shared" ref="D40:D43" si="5">D4*G$31/G$32</f>
        <v>24.211836734693875</v>
      </c>
      <c r="E40" s="634">
        <f t="shared" ref="E40:E43" si="6">E4*H$31/H$32</f>
        <v>25.453469387755103</v>
      </c>
      <c r="F40" s="634">
        <f t="shared" ref="F40:F43" si="7">F4*I$31/I$32</f>
        <v>26.695102040816327</v>
      </c>
      <c r="G40" s="634">
        <f t="shared" ref="G40:G43" si="8">G4*J$31/J$32</f>
        <v>27.936734693877547</v>
      </c>
      <c r="H40" s="634">
        <f t="shared" ref="H40:H43" si="9">H4*K$31/K$32</f>
        <v>28.971428571428568</v>
      </c>
      <c r="I40" s="634">
        <f t="shared" ref="I40:I43" si="10">I4*L$31/L$32</f>
        <v>30.006122448979589</v>
      </c>
      <c r="J40" s="634">
        <f t="shared" ref="J40:J43" si="11">J4*M$31/M$32</f>
        <v>31.040816326530607</v>
      </c>
      <c r="K40" s="634">
        <f t="shared" ref="K40:K43" si="12">K4*N$31/N$32</f>
        <v>31.336443148688044</v>
      </c>
      <c r="L40" s="634">
        <f t="shared" ref="L40:L43" si="13">L4*O$31/O$32</f>
        <v>31.632069970845482</v>
      </c>
      <c r="M40" s="634">
        <f t="shared" ref="M40:M43" si="14">M4*P$31/P$32</f>
        <v>31.927696793002912</v>
      </c>
      <c r="N40" s="634">
        <f t="shared" ref="N40:N43" si="15">N4*Q$31/Q$32</f>
        <v>32.223323615160346</v>
      </c>
      <c r="O40" s="634">
        <f t="shared" ref="O40:O43" si="16">O4*R$31/R$32</f>
        <v>32.518950437317777</v>
      </c>
      <c r="P40" s="634">
        <f t="shared" ref="P40:P43" si="17">P4*S$31/S$32</f>
        <v>32.814577259475222</v>
      </c>
      <c r="Q40" s="634">
        <f t="shared" ref="Q40:Q43" si="18">Q4*T$31/T$32</f>
        <v>33.110204081632652</v>
      </c>
      <c r="R40" s="634">
        <f t="shared" ref="R40:R43" si="19">R4*U$31/U$32</f>
        <v>33.110204081632652</v>
      </c>
      <c r="S40" s="634">
        <f t="shared" ref="S40:S43" si="20">S4*V$31/V$32</f>
        <v>33.110204081632652</v>
      </c>
      <c r="T40" s="634">
        <f t="shared" ref="T40:T43" si="21">T4*W$31/W$32</f>
        <v>33.110204081632645</v>
      </c>
      <c r="U40" s="634">
        <f t="shared" ref="U40:U43" si="22">U4*X$31/X$32</f>
        <v>33.110204081632652</v>
      </c>
      <c r="V40" s="634">
        <f t="shared" ref="V40:V43" si="23">V4*Y$31/Y$32</f>
        <v>33.110204081632652</v>
      </c>
      <c r="W40" s="634">
        <f t="shared" ref="W40:W43" si="24">W4*Z$31/Z$32</f>
        <v>33.110204081632645</v>
      </c>
      <c r="X40" s="634">
        <f t="shared" ref="X40:X43" si="25">X4*AA$31/AA$32</f>
        <v>33.110204081632652</v>
      </c>
      <c r="Y40" s="634">
        <f t="shared" ref="Y40:Y43" si="26">Y4*AB$31/AB$32</f>
        <v>33.110204081632652</v>
      </c>
      <c r="Z40" s="634">
        <f t="shared" ref="Z40:Z43" si="27">Z4*AC$31/AC$32</f>
        <v>33.110204081632652</v>
      </c>
      <c r="AA40" s="634">
        <f t="shared" ref="AA40:AA43" si="28">AA4*AD$31/AD$32</f>
        <v>33.110204081632645</v>
      </c>
    </row>
    <row r="41" spans="1:27" x14ac:dyDescent="0.25">
      <c r="B41" s="615" t="s">
        <v>1032</v>
      </c>
      <c r="C41" s="618">
        <v>3</v>
      </c>
      <c r="D41" s="634">
        <f t="shared" si="5"/>
        <v>24.211836734693875</v>
      </c>
      <c r="E41" s="634">
        <f t="shared" si="6"/>
        <v>25.453469387755103</v>
      </c>
      <c r="F41" s="634">
        <f t="shared" si="7"/>
        <v>26.695102040816327</v>
      </c>
      <c r="G41" s="634">
        <f t="shared" si="8"/>
        <v>27.936734693877547</v>
      </c>
      <c r="H41" s="634">
        <f t="shared" si="9"/>
        <v>28.971428571428568</v>
      </c>
      <c r="I41" s="634">
        <f t="shared" si="10"/>
        <v>30.006122448979589</v>
      </c>
      <c r="J41" s="634">
        <f t="shared" si="11"/>
        <v>31.040816326530607</v>
      </c>
      <c r="K41" s="634">
        <f t="shared" si="12"/>
        <v>31.336443148688044</v>
      </c>
      <c r="L41" s="634">
        <f t="shared" si="13"/>
        <v>31.632069970845482</v>
      </c>
      <c r="M41" s="634">
        <f t="shared" si="14"/>
        <v>31.927696793002912</v>
      </c>
      <c r="N41" s="634">
        <f t="shared" si="15"/>
        <v>32.223323615160346</v>
      </c>
      <c r="O41" s="634">
        <f t="shared" si="16"/>
        <v>32.518950437317777</v>
      </c>
      <c r="P41" s="634">
        <f t="shared" si="17"/>
        <v>32.814577259475222</v>
      </c>
      <c r="Q41" s="634">
        <f t="shared" si="18"/>
        <v>33.110204081632652</v>
      </c>
      <c r="R41" s="634">
        <f t="shared" si="19"/>
        <v>33.110204081632652</v>
      </c>
      <c r="S41" s="634">
        <f t="shared" si="20"/>
        <v>33.110204081632652</v>
      </c>
      <c r="T41" s="634">
        <f t="shared" si="21"/>
        <v>33.110204081632645</v>
      </c>
      <c r="U41" s="634">
        <f t="shared" si="22"/>
        <v>33.110204081632652</v>
      </c>
      <c r="V41" s="634">
        <f t="shared" si="23"/>
        <v>33.110204081632652</v>
      </c>
      <c r="W41" s="634">
        <f t="shared" si="24"/>
        <v>33.110204081632645</v>
      </c>
      <c r="X41" s="634">
        <f t="shared" si="25"/>
        <v>33.110204081632652</v>
      </c>
      <c r="Y41" s="634">
        <f t="shared" si="26"/>
        <v>33.110204081632652</v>
      </c>
      <c r="Z41" s="634">
        <f t="shared" si="27"/>
        <v>33.110204081632652</v>
      </c>
      <c r="AA41" s="634">
        <f t="shared" si="28"/>
        <v>33.110204081632645</v>
      </c>
    </row>
    <row r="42" spans="1:27" x14ac:dyDescent="0.25">
      <c r="B42" s="615" t="s">
        <v>1033</v>
      </c>
      <c r="C42" s="618">
        <v>4</v>
      </c>
      <c r="D42" s="634">
        <f t="shared" si="5"/>
        <v>27.108979591836736</v>
      </c>
      <c r="E42" s="634">
        <f t="shared" si="6"/>
        <v>29.799183673469386</v>
      </c>
      <c r="F42" s="634">
        <f t="shared" si="7"/>
        <v>32.489387755102044</v>
      </c>
      <c r="G42" s="634">
        <f t="shared" si="8"/>
        <v>35.179591836734694</v>
      </c>
      <c r="H42" s="634">
        <f t="shared" si="9"/>
        <v>36.904081632653053</v>
      </c>
      <c r="I42" s="634">
        <f t="shared" si="10"/>
        <v>38.628571428571426</v>
      </c>
      <c r="J42" s="634">
        <f t="shared" si="11"/>
        <v>40.353061224489785</v>
      </c>
      <c r="K42" s="634">
        <f t="shared" si="12"/>
        <v>41.092128279883376</v>
      </c>
      <c r="L42" s="634">
        <f t="shared" si="13"/>
        <v>41.831195335276959</v>
      </c>
      <c r="M42" s="634">
        <f t="shared" si="14"/>
        <v>42.570262390670557</v>
      </c>
      <c r="N42" s="634">
        <f t="shared" si="15"/>
        <v>43.309329446064133</v>
      </c>
      <c r="O42" s="634">
        <f t="shared" si="16"/>
        <v>44.048396501457724</v>
      </c>
      <c r="P42" s="634">
        <f t="shared" si="17"/>
        <v>44.787463556851307</v>
      </c>
      <c r="Q42" s="634">
        <f t="shared" si="18"/>
        <v>45.526530612244898</v>
      </c>
      <c r="R42" s="634">
        <f t="shared" si="19"/>
        <v>46.147346938775506</v>
      </c>
      <c r="S42" s="634">
        <f t="shared" si="20"/>
        <v>46.768163265306121</v>
      </c>
      <c r="T42" s="634">
        <f t="shared" si="21"/>
        <v>47.388979591836723</v>
      </c>
      <c r="U42" s="634">
        <f t="shared" si="22"/>
        <v>48.009795918367352</v>
      </c>
      <c r="V42" s="634">
        <f t="shared" si="23"/>
        <v>48.630612244897954</v>
      </c>
      <c r="W42" s="634">
        <f t="shared" si="24"/>
        <v>49.251428571428562</v>
      </c>
      <c r="X42" s="634">
        <f t="shared" si="25"/>
        <v>49.872244897959177</v>
      </c>
      <c r="Y42" s="634">
        <f t="shared" si="26"/>
        <v>50.4930612244898</v>
      </c>
      <c r="Z42" s="634">
        <f t="shared" si="27"/>
        <v>51.113877551020416</v>
      </c>
      <c r="AA42" s="634">
        <f t="shared" si="28"/>
        <v>51.734693877551024</v>
      </c>
    </row>
    <row r="43" spans="1:27" x14ac:dyDescent="0.25">
      <c r="B43" s="615" t="s">
        <v>1034</v>
      </c>
      <c r="C43" s="618">
        <v>5</v>
      </c>
      <c r="D43" s="634">
        <f t="shared" si="5"/>
        <v>24.211836734693875</v>
      </c>
      <c r="E43" s="634">
        <f t="shared" si="6"/>
        <v>25.453469387755103</v>
      </c>
      <c r="F43" s="634">
        <f t="shared" si="7"/>
        <v>26.695102040816327</v>
      </c>
      <c r="G43" s="634">
        <f t="shared" si="8"/>
        <v>27.936734693877547</v>
      </c>
      <c r="H43" s="634">
        <f t="shared" si="9"/>
        <v>28.971428571428568</v>
      </c>
      <c r="I43" s="634">
        <f t="shared" si="10"/>
        <v>30.006122448979589</v>
      </c>
      <c r="J43" s="634">
        <f t="shared" si="11"/>
        <v>31.040816326530607</v>
      </c>
      <c r="K43" s="634">
        <f t="shared" si="12"/>
        <v>31.336443148688044</v>
      </c>
      <c r="L43" s="634">
        <f t="shared" si="13"/>
        <v>31.632069970845482</v>
      </c>
      <c r="M43" s="634">
        <f t="shared" si="14"/>
        <v>31.927696793002912</v>
      </c>
      <c r="N43" s="634">
        <f t="shared" si="15"/>
        <v>32.223323615160346</v>
      </c>
      <c r="O43" s="634">
        <f t="shared" si="16"/>
        <v>32.518950437317777</v>
      </c>
      <c r="P43" s="634">
        <f t="shared" si="17"/>
        <v>32.814577259475222</v>
      </c>
      <c r="Q43" s="634">
        <f t="shared" si="18"/>
        <v>33.110204081632652</v>
      </c>
      <c r="R43" s="634">
        <f t="shared" si="19"/>
        <v>33.110204081632652</v>
      </c>
      <c r="S43" s="634">
        <f t="shared" si="20"/>
        <v>33.110204081632652</v>
      </c>
      <c r="T43" s="634">
        <f t="shared" si="21"/>
        <v>33.110204081632645</v>
      </c>
      <c r="U43" s="634">
        <f t="shared" si="22"/>
        <v>33.110204081632652</v>
      </c>
      <c r="V43" s="634">
        <f t="shared" si="23"/>
        <v>33.110204081632652</v>
      </c>
      <c r="W43" s="634">
        <f t="shared" si="24"/>
        <v>33.110204081632645</v>
      </c>
      <c r="X43" s="634">
        <f t="shared" si="25"/>
        <v>33.110204081632652</v>
      </c>
      <c r="Y43" s="634">
        <f t="shared" si="26"/>
        <v>33.110204081632652</v>
      </c>
      <c r="Z43" s="634">
        <f t="shared" si="27"/>
        <v>33.110204081632652</v>
      </c>
      <c r="AA43" s="634">
        <f t="shared" si="28"/>
        <v>33.110204081632645</v>
      </c>
    </row>
    <row r="45" spans="1:27" x14ac:dyDescent="0.25">
      <c r="B45" s="617" t="s">
        <v>82</v>
      </c>
      <c r="C45" s="617" t="s">
        <v>1045</v>
      </c>
    </row>
    <row r="46" spans="1:27" x14ac:dyDescent="0.25">
      <c r="B46" s="616"/>
      <c r="C46" s="616"/>
      <c r="D46" s="309">
        <f t="shared" ref="D46:AA46" si="29">D38</f>
        <v>2017</v>
      </c>
      <c r="E46" s="309">
        <f t="shared" si="29"/>
        <v>2015</v>
      </c>
      <c r="F46" s="309">
        <f t="shared" si="29"/>
        <v>2016</v>
      </c>
      <c r="G46" s="309">
        <f t="shared" si="29"/>
        <v>2017</v>
      </c>
      <c r="H46" s="309">
        <f t="shared" si="29"/>
        <v>2018</v>
      </c>
      <c r="I46" s="309">
        <f t="shared" si="29"/>
        <v>2019</v>
      </c>
      <c r="J46" s="309">
        <f t="shared" si="29"/>
        <v>2020</v>
      </c>
      <c r="K46" s="309">
        <f t="shared" si="29"/>
        <v>2021</v>
      </c>
      <c r="L46" s="309">
        <f t="shared" si="29"/>
        <v>2022</v>
      </c>
      <c r="M46" s="309">
        <f t="shared" si="29"/>
        <v>2023</v>
      </c>
      <c r="N46" s="309">
        <f t="shared" si="29"/>
        <v>2024</v>
      </c>
      <c r="O46" s="309">
        <f t="shared" si="29"/>
        <v>2025</v>
      </c>
      <c r="P46" s="309">
        <f t="shared" si="29"/>
        <v>2026</v>
      </c>
      <c r="Q46" s="309">
        <f t="shared" si="29"/>
        <v>2027</v>
      </c>
      <c r="R46" s="309">
        <f t="shared" si="29"/>
        <v>2028</v>
      </c>
      <c r="S46" s="309">
        <f t="shared" si="29"/>
        <v>2029</v>
      </c>
      <c r="T46" s="309">
        <f t="shared" si="29"/>
        <v>2030</v>
      </c>
      <c r="U46" s="309">
        <f t="shared" si="29"/>
        <v>2031</v>
      </c>
      <c r="V46" s="309">
        <f t="shared" si="29"/>
        <v>2032</v>
      </c>
      <c r="W46" s="309">
        <f t="shared" si="29"/>
        <v>2033</v>
      </c>
      <c r="X46" s="309">
        <f t="shared" si="29"/>
        <v>2034</v>
      </c>
      <c r="Y46" s="309">
        <f t="shared" si="29"/>
        <v>2035</v>
      </c>
      <c r="Z46" s="309">
        <f t="shared" si="29"/>
        <v>2036</v>
      </c>
      <c r="AA46" s="309">
        <f t="shared" si="29"/>
        <v>2037</v>
      </c>
    </row>
    <row r="47" spans="1:27" x14ac:dyDescent="0.25">
      <c r="B47" s="615" t="s">
        <v>952</v>
      </c>
      <c r="C47" s="618">
        <v>1</v>
      </c>
      <c r="D47" s="634">
        <f>D11*G$31/G$32</f>
        <v>42.629387755102044</v>
      </c>
      <c r="E47" s="634">
        <f t="shared" ref="E47:AA47" si="30">E11*H$31/H$32</f>
        <v>44.284897959183667</v>
      </c>
      <c r="F47" s="634">
        <f t="shared" si="30"/>
        <v>45.940408163265303</v>
      </c>
      <c r="G47" s="634">
        <f t="shared" si="30"/>
        <v>47.59591836734694</v>
      </c>
      <c r="H47" s="634">
        <f t="shared" si="30"/>
        <v>49.872244897959177</v>
      </c>
      <c r="I47" s="634">
        <f t="shared" si="30"/>
        <v>52.148571428571415</v>
      </c>
      <c r="J47" s="634">
        <f t="shared" si="30"/>
        <v>54.424897959183667</v>
      </c>
      <c r="K47" s="634">
        <f t="shared" si="30"/>
        <v>54.439679300291544</v>
      </c>
      <c r="L47" s="634">
        <f t="shared" si="30"/>
        <v>54.454460641399415</v>
      </c>
      <c r="M47" s="634">
        <f t="shared" si="30"/>
        <v>54.469241982507292</v>
      </c>
      <c r="N47" s="634">
        <f t="shared" si="30"/>
        <v>54.484023323615155</v>
      </c>
      <c r="O47" s="634">
        <f t="shared" si="30"/>
        <v>54.498804664723018</v>
      </c>
      <c r="P47" s="634">
        <f t="shared" si="30"/>
        <v>54.513586005830909</v>
      </c>
      <c r="Q47" s="634">
        <f t="shared" si="30"/>
        <v>54.528367346938779</v>
      </c>
      <c r="R47" s="634">
        <f t="shared" si="30"/>
        <v>55.418204081632652</v>
      </c>
      <c r="S47" s="634">
        <f t="shared" si="30"/>
        <v>56.308040816326525</v>
      </c>
      <c r="T47" s="634">
        <f t="shared" si="30"/>
        <v>57.197877551020404</v>
      </c>
      <c r="U47" s="634">
        <f t="shared" si="30"/>
        <v>58.087714285714284</v>
      </c>
      <c r="V47" s="634">
        <f t="shared" si="30"/>
        <v>58.977551020408157</v>
      </c>
      <c r="W47" s="634">
        <f t="shared" si="30"/>
        <v>59.86738775510203</v>
      </c>
      <c r="X47" s="634">
        <f t="shared" si="30"/>
        <v>60.75722448979591</v>
      </c>
      <c r="Y47" s="634">
        <f t="shared" si="30"/>
        <v>61.647061224489789</v>
      </c>
      <c r="Z47" s="634">
        <f t="shared" si="30"/>
        <v>62.536897959183662</v>
      </c>
      <c r="AA47" s="634">
        <f t="shared" si="30"/>
        <v>63.426734693877535</v>
      </c>
    </row>
    <row r="48" spans="1:27" x14ac:dyDescent="0.25">
      <c r="B48" s="615" t="s">
        <v>1031</v>
      </c>
      <c r="C48" s="618">
        <v>2</v>
      </c>
      <c r="D48" s="634">
        <f t="shared" ref="D48:D51" si="31">D12*G$31/G$32</f>
        <v>41.801632653061219</v>
      </c>
      <c r="E48" s="634">
        <f t="shared" ref="E48:E51" si="32">E12*H$31/H$32</f>
        <v>43.04326530612245</v>
      </c>
      <c r="F48" s="634">
        <f t="shared" ref="F48:F51" si="33">F12*I$31/I$32</f>
        <v>44.284897959183667</v>
      </c>
      <c r="G48" s="634">
        <f t="shared" ref="G48:G51" si="34">G12*J$31/J$32</f>
        <v>45.526530612244891</v>
      </c>
      <c r="H48" s="634">
        <f t="shared" ref="H48:H51" si="35">H12*K$31/K$32</f>
        <v>47.423469387755098</v>
      </c>
      <c r="I48" s="634">
        <f t="shared" ref="I48:I51" si="36">I12*L$31/L$32</f>
        <v>49.320408163265292</v>
      </c>
      <c r="J48" s="634">
        <f t="shared" ref="J48:J51" si="37">J12*M$31/M$32</f>
        <v>51.217346938775506</v>
      </c>
      <c r="K48" s="634">
        <f t="shared" ref="K48:K51" si="38">K12*N$31/N$32</f>
        <v>50.759125364431483</v>
      </c>
      <c r="L48" s="634">
        <f t="shared" ref="L48:L51" si="39">L12*O$31/O$32</f>
        <v>50.300903790087453</v>
      </c>
      <c r="M48" s="634">
        <f t="shared" ref="M48:M51" si="40">M12*P$31/P$32</f>
        <v>49.842682215743437</v>
      </c>
      <c r="N48" s="634">
        <f t="shared" ref="N48:N51" si="41">N12*Q$31/Q$32</f>
        <v>49.384460641399407</v>
      </c>
      <c r="O48" s="634">
        <f t="shared" ref="O48:O51" si="42">O12*R$31/R$32</f>
        <v>48.926239067055391</v>
      </c>
      <c r="P48" s="634">
        <f t="shared" ref="P48:P51" si="43">P12*S$31/S$32</f>
        <v>48.468017492711368</v>
      </c>
      <c r="Q48" s="634">
        <f t="shared" ref="Q48:Q51" si="44">Q12*T$31/T$32</f>
        <v>48.009795918367345</v>
      </c>
      <c r="R48" s="634">
        <f t="shared" ref="R48:R51" si="45">R12*U$31/U$32</f>
        <v>48.133959183673461</v>
      </c>
      <c r="S48" s="634">
        <f t="shared" ref="S48:S51" si="46">S12*V$31/V$32</f>
        <v>48.258122448979584</v>
      </c>
      <c r="T48" s="634">
        <f t="shared" ref="T48:T51" si="47">T12*W$31/W$32</f>
        <v>48.3822857142857</v>
      </c>
      <c r="U48" s="634">
        <f t="shared" ref="U48:U51" si="48">U12*X$31/X$32</f>
        <v>48.506448979591838</v>
      </c>
      <c r="V48" s="634">
        <f t="shared" ref="V48:V51" si="49">V12*Y$31/Y$32</f>
        <v>48.630612244897954</v>
      </c>
      <c r="W48" s="634">
        <f t="shared" ref="W48:W51" si="50">W12*Z$31/Z$32</f>
        <v>48.75477551020407</v>
      </c>
      <c r="X48" s="634">
        <f t="shared" ref="X48:X51" si="51">X12*AA$31/AA$32</f>
        <v>48.878938775510193</v>
      </c>
      <c r="Y48" s="634">
        <f t="shared" ref="Y48:Y51" si="52">Y12*AB$31/AB$32</f>
        <v>49.003102040816316</v>
      </c>
      <c r="Z48" s="634">
        <f t="shared" ref="Z48:Z51" si="53">Z12*AC$31/AC$32</f>
        <v>49.127265306122432</v>
      </c>
      <c r="AA48" s="634">
        <f t="shared" ref="AA48:AA51" si="54">AA12*AD$31/AD$32</f>
        <v>49.251428571428555</v>
      </c>
    </row>
    <row r="49" spans="2:27" x14ac:dyDescent="0.25">
      <c r="B49" s="615" t="s">
        <v>1032</v>
      </c>
      <c r="C49" s="618">
        <v>3</v>
      </c>
      <c r="D49" s="634">
        <f t="shared" si="31"/>
        <v>45.443755102040818</v>
      </c>
      <c r="E49" s="634">
        <f t="shared" si="32"/>
        <v>48.402979591836726</v>
      </c>
      <c r="F49" s="634">
        <f t="shared" si="33"/>
        <v>51.362204081632655</v>
      </c>
      <c r="G49" s="634">
        <f t="shared" si="34"/>
        <v>54.321428571428562</v>
      </c>
      <c r="H49" s="634">
        <f t="shared" si="35"/>
        <v>56.908163265306115</v>
      </c>
      <c r="I49" s="634">
        <f t="shared" si="36"/>
        <v>59.49489795918366</v>
      </c>
      <c r="J49" s="634">
        <f t="shared" si="37"/>
        <v>62.081632653061213</v>
      </c>
      <c r="K49" s="634">
        <f t="shared" si="38"/>
        <v>62.318134110787163</v>
      </c>
      <c r="L49" s="634">
        <f t="shared" si="39"/>
        <v>62.554635568513106</v>
      </c>
      <c r="M49" s="634">
        <f t="shared" si="40"/>
        <v>62.791137026239063</v>
      </c>
      <c r="N49" s="634">
        <f t="shared" si="41"/>
        <v>63.027638483965006</v>
      </c>
      <c r="O49" s="634">
        <f t="shared" si="42"/>
        <v>63.264139941690956</v>
      </c>
      <c r="P49" s="634">
        <f t="shared" si="43"/>
        <v>63.500641399416914</v>
      </c>
      <c r="Q49" s="634">
        <f t="shared" si="44"/>
        <v>63.737142857142864</v>
      </c>
      <c r="R49" s="634">
        <f t="shared" si="45"/>
        <v>64.171714285714287</v>
      </c>
      <c r="S49" s="634">
        <f t="shared" si="46"/>
        <v>64.606285714285718</v>
      </c>
      <c r="T49" s="634">
        <f t="shared" si="47"/>
        <v>65.040857142857135</v>
      </c>
      <c r="U49" s="634">
        <f t="shared" si="48"/>
        <v>65.475428571428566</v>
      </c>
      <c r="V49" s="634">
        <f t="shared" si="49"/>
        <v>65.910000000000011</v>
      </c>
      <c r="W49" s="634">
        <f t="shared" si="50"/>
        <v>66.344571428571427</v>
      </c>
      <c r="X49" s="634">
        <f t="shared" si="51"/>
        <v>66.779142857142858</v>
      </c>
      <c r="Y49" s="634">
        <f t="shared" si="52"/>
        <v>67.213714285714289</v>
      </c>
      <c r="Z49" s="634">
        <f t="shared" si="53"/>
        <v>67.64828571428572</v>
      </c>
      <c r="AA49" s="634">
        <f t="shared" si="54"/>
        <v>68.082857142857151</v>
      </c>
    </row>
    <row r="50" spans="2:27" x14ac:dyDescent="0.25">
      <c r="B50" s="615" t="s">
        <v>1033</v>
      </c>
      <c r="C50" s="618">
        <v>4</v>
      </c>
      <c r="D50" s="634">
        <f t="shared" si="31"/>
        <v>45.4230612244898</v>
      </c>
      <c r="E50" s="634">
        <f t="shared" si="32"/>
        <v>48.527142857142856</v>
      </c>
      <c r="F50" s="634">
        <f t="shared" si="33"/>
        <v>51.631224489795919</v>
      </c>
      <c r="G50" s="634">
        <f t="shared" si="34"/>
        <v>54.735306122448975</v>
      </c>
      <c r="H50" s="634">
        <f t="shared" si="35"/>
        <v>58.046326530612248</v>
      </c>
      <c r="I50" s="634">
        <f t="shared" si="36"/>
        <v>61.3573469387755</v>
      </c>
      <c r="J50" s="634">
        <f t="shared" si="37"/>
        <v>64.668367346938766</v>
      </c>
      <c r="K50" s="634">
        <f t="shared" si="38"/>
        <v>64.564897959183668</v>
      </c>
      <c r="L50" s="634">
        <f t="shared" si="39"/>
        <v>64.461428571428556</v>
      </c>
      <c r="M50" s="634">
        <f t="shared" si="40"/>
        <v>64.357959183673472</v>
      </c>
      <c r="N50" s="634">
        <f t="shared" si="41"/>
        <v>64.25448979591836</v>
      </c>
      <c r="O50" s="634">
        <f t="shared" si="42"/>
        <v>64.151020408163262</v>
      </c>
      <c r="P50" s="634">
        <f t="shared" si="43"/>
        <v>64.047551020408164</v>
      </c>
      <c r="Q50" s="634">
        <f t="shared" si="44"/>
        <v>63.944081632653059</v>
      </c>
      <c r="R50" s="634">
        <f t="shared" si="45"/>
        <v>64.564897959183668</v>
      </c>
      <c r="S50" s="634">
        <f t="shared" si="46"/>
        <v>65.185714285714283</v>
      </c>
      <c r="T50" s="634">
        <f t="shared" si="47"/>
        <v>65.806530612244885</v>
      </c>
      <c r="U50" s="634">
        <f t="shared" si="48"/>
        <v>66.427346938775528</v>
      </c>
      <c r="V50" s="634">
        <f t="shared" si="49"/>
        <v>67.048163265306115</v>
      </c>
      <c r="W50" s="634">
        <f t="shared" si="50"/>
        <v>67.668979591836717</v>
      </c>
      <c r="X50" s="634">
        <f t="shared" si="51"/>
        <v>68.289795918367318</v>
      </c>
      <c r="Y50" s="634">
        <f t="shared" si="52"/>
        <v>68.910612244897933</v>
      </c>
      <c r="Z50" s="634">
        <f t="shared" si="53"/>
        <v>69.531428571428535</v>
      </c>
      <c r="AA50" s="634">
        <f t="shared" si="54"/>
        <v>70.152244897959136</v>
      </c>
    </row>
    <row r="51" spans="2:27" x14ac:dyDescent="0.25">
      <c r="B51" s="615" t="s">
        <v>1034</v>
      </c>
      <c r="C51" s="618">
        <v>5</v>
      </c>
      <c r="D51" s="634">
        <f t="shared" si="31"/>
        <v>43.167428571428566</v>
      </c>
      <c r="E51" s="634">
        <f t="shared" si="32"/>
        <v>45.09195918367346</v>
      </c>
      <c r="F51" s="634">
        <f t="shared" si="33"/>
        <v>47.016489795918368</v>
      </c>
      <c r="G51" s="634">
        <f t="shared" si="34"/>
        <v>48.941020408163254</v>
      </c>
      <c r="H51" s="634">
        <f t="shared" si="35"/>
        <v>51.217346938775506</v>
      </c>
      <c r="I51" s="634">
        <f t="shared" si="36"/>
        <v>53.493673469387737</v>
      </c>
      <c r="J51" s="634">
        <f t="shared" si="37"/>
        <v>55.769999999999989</v>
      </c>
      <c r="K51" s="634">
        <f t="shared" si="38"/>
        <v>55.740437317784256</v>
      </c>
      <c r="L51" s="634">
        <f t="shared" si="39"/>
        <v>55.710874635568501</v>
      </c>
      <c r="M51" s="634">
        <f t="shared" si="40"/>
        <v>55.681311953352768</v>
      </c>
      <c r="N51" s="634">
        <f t="shared" si="41"/>
        <v>55.651749271137021</v>
      </c>
      <c r="O51" s="634">
        <f t="shared" si="42"/>
        <v>55.622186588921281</v>
      </c>
      <c r="P51" s="634">
        <f t="shared" si="43"/>
        <v>55.592623906705541</v>
      </c>
      <c r="Q51" s="634">
        <f t="shared" si="44"/>
        <v>55.563061224489793</v>
      </c>
      <c r="R51" s="634">
        <f t="shared" si="45"/>
        <v>56.680530612244894</v>
      </c>
      <c r="S51" s="634">
        <f t="shared" si="46"/>
        <v>57.797999999999988</v>
      </c>
      <c r="T51" s="634">
        <f t="shared" si="47"/>
        <v>58.915469387755103</v>
      </c>
      <c r="U51" s="634">
        <f t="shared" si="48"/>
        <v>60.03293877551021</v>
      </c>
      <c r="V51" s="634">
        <f t="shared" si="49"/>
        <v>61.150408163265304</v>
      </c>
      <c r="W51" s="634">
        <f t="shared" si="50"/>
        <v>62.267877551020398</v>
      </c>
      <c r="X51" s="634">
        <f t="shared" si="51"/>
        <v>63.385346938775506</v>
      </c>
      <c r="Y51" s="634">
        <f t="shared" si="52"/>
        <v>64.502816326530606</v>
      </c>
      <c r="Z51" s="634">
        <f t="shared" si="53"/>
        <v>65.6202857142857</v>
      </c>
      <c r="AA51" s="634">
        <f t="shared" si="54"/>
        <v>66.737755102040808</v>
      </c>
    </row>
    <row r="52" spans="2:27" x14ac:dyDescent="0.25">
      <c r="D52" s="634"/>
      <c r="E52" s="634"/>
      <c r="F52" s="634"/>
      <c r="G52" s="634"/>
      <c r="H52" s="634"/>
      <c r="I52" s="634"/>
      <c r="J52" s="634"/>
      <c r="K52" s="634"/>
      <c r="L52" s="634"/>
      <c r="M52" s="634"/>
      <c r="N52" s="634"/>
      <c r="O52" s="634"/>
      <c r="P52" s="634"/>
      <c r="Q52" s="634"/>
      <c r="R52" s="634"/>
      <c r="S52" s="634"/>
      <c r="T52" s="634"/>
      <c r="U52" s="634"/>
      <c r="V52" s="634"/>
      <c r="W52" s="634"/>
      <c r="X52" s="634"/>
      <c r="Y52" s="634"/>
      <c r="Z52" s="634"/>
      <c r="AA52" s="634"/>
    </row>
    <row r="53" spans="2:27" x14ac:dyDescent="0.25">
      <c r="B53" s="617" t="s">
        <v>10</v>
      </c>
      <c r="C53" s="617" t="s">
        <v>1046</v>
      </c>
    </row>
    <row r="54" spans="2:27" x14ac:dyDescent="0.25">
      <c r="D54" s="309">
        <f>D46</f>
        <v>2017</v>
      </c>
      <c r="E54" s="309">
        <f t="shared" ref="E54:AA54" si="55">E46</f>
        <v>2015</v>
      </c>
      <c r="F54" s="309">
        <f t="shared" si="55"/>
        <v>2016</v>
      </c>
      <c r="G54" s="309">
        <f t="shared" si="55"/>
        <v>2017</v>
      </c>
      <c r="H54" s="309">
        <f t="shared" si="55"/>
        <v>2018</v>
      </c>
      <c r="I54" s="309">
        <f t="shared" si="55"/>
        <v>2019</v>
      </c>
      <c r="J54" s="309">
        <f t="shared" si="55"/>
        <v>2020</v>
      </c>
      <c r="K54" s="309">
        <f t="shared" si="55"/>
        <v>2021</v>
      </c>
      <c r="L54" s="309">
        <f t="shared" si="55"/>
        <v>2022</v>
      </c>
      <c r="M54" s="309">
        <f t="shared" si="55"/>
        <v>2023</v>
      </c>
      <c r="N54" s="309">
        <f t="shared" si="55"/>
        <v>2024</v>
      </c>
      <c r="O54" s="309">
        <f t="shared" si="55"/>
        <v>2025</v>
      </c>
      <c r="P54" s="309">
        <f t="shared" si="55"/>
        <v>2026</v>
      </c>
      <c r="Q54" s="309">
        <f t="shared" si="55"/>
        <v>2027</v>
      </c>
      <c r="R54" s="309">
        <f t="shared" si="55"/>
        <v>2028</v>
      </c>
      <c r="S54" s="309">
        <f t="shared" si="55"/>
        <v>2029</v>
      </c>
      <c r="T54" s="309">
        <f t="shared" si="55"/>
        <v>2030</v>
      </c>
      <c r="U54" s="309">
        <f t="shared" si="55"/>
        <v>2031</v>
      </c>
      <c r="V54" s="309">
        <f t="shared" si="55"/>
        <v>2032</v>
      </c>
      <c r="W54" s="309">
        <f t="shared" si="55"/>
        <v>2033</v>
      </c>
      <c r="X54" s="309">
        <f t="shared" si="55"/>
        <v>2034</v>
      </c>
      <c r="Y54" s="309">
        <f t="shared" si="55"/>
        <v>2035</v>
      </c>
      <c r="Z54" s="309">
        <f t="shared" si="55"/>
        <v>2036</v>
      </c>
      <c r="AA54" s="309">
        <f t="shared" si="55"/>
        <v>2037</v>
      </c>
    </row>
    <row r="55" spans="2:27" x14ac:dyDescent="0.25">
      <c r="B55" s="615" t="s">
        <v>952</v>
      </c>
      <c r="C55" s="618">
        <v>1</v>
      </c>
      <c r="D55" s="634">
        <f>D19*G$31/G$32</f>
        <v>9.2087755102040827</v>
      </c>
      <c r="E55" s="634">
        <f t="shared" ref="E55:AA59" si="56">E19*H$31/H$32</f>
        <v>9.933061224489796</v>
      </c>
      <c r="F55" s="634">
        <f t="shared" si="56"/>
        <v>10.657346938775511</v>
      </c>
      <c r="G55" s="634">
        <f t="shared" si="56"/>
        <v>11.381632653061223</v>
      </c>
      <c r="H55" s="634">
        <f t="shared" si="56"/>
        <v>12.933673469387754</v>
      </c>
      <c r="I55" s="634">
        <f t="shared" si="56"/>
        <v>14.485714285714284</v>
      </c>
      <c r="J55" s="634">
        <f t="shared" si="56"/>
        <v>16.037755102040812</v>
      </c>
      <c r="K55" s="634">
        <f t="shared" si="56"/>
        <v>16.776822157434403</v>
      </c>
      <c r="L55" s="634">
        <f t="shared" si="56"/>
        <v>17.515889212827982</v>
      </c>
      <c r="M55" s="634">
        <f t="shared" si="56"/>
        <v>18.254956268221573</v>
      </c>
      <c r="N55" s="634">
        <f t="shared" si="56"/>
        <v>18.99402332361516</v>
      </c>
      <c r="O55" s="634">
        <f t="shared" si="56"/>
        <v>19.733090379008747</v>
      </c>
      <c r="P55" s="634">
        <f t="shared" si="56"/>
        <v>20.472157434402334</v>
      </c>
      <c r="Q55" s="634">
        <f t="shared" si="56"/>
        <v>21.211224489795921</v>
      </c>
      <c r="R55" s="634">
        <f t="shared" si="56"/>
        <v>23.280612244897956</v>
      </c>
      <c r="S55" s="634">
        <f t="shared" si="56"/>
        <v>25.349999999999998</v>
      </c>
      <c r="T55" s="634">
        <f t="shared" si="56"/>
        <v>27.419387755102036</v>
      </c>
      <c r="U55" s="634">
        <f t="shared" si="56"/>
        <v>29.488775510204082</v>
      </c>
      <c r="V55" s="634">
        <f t="shared" si="56"/>
        <v>31.558163265306124</v>
      </c>
      <c r="W55" s="634">
        <f t="shared" si="56"/>
        <v>33.627551020408156</v>
      </c>
      <c r="X55" s="634">
        <f t="shared" si="56"/>
        <v>35.696938775510198</v>
      </c>
      <c r="Y55" s="634">
        <f t="shared" si="56"/>
        <v>37.766326530612247</v>
      </c>
      <c r="Z55" s="634">
        <f t="shared" si="56"/>
        <v>39.835714285714282</v>
      </c>
      <c r="AA55" s="634">
        <f t="shared" si="56"/>
        <v>41.905102040816317</v>
      </c>
    </row>
    <row r="56" spans="2:27" x14ac:dyDescent="0.25">
      <c r="B56" s="615" t="s">
        <v>1031</v>
      </c>
      <c r="C56" s="618">
        <v>2</v>
      </c>
      <c r="D56" s="634">
        <f t="shared" ref="D56:D59" si="57">D20*G$31/G$32</f>
        <v>7.967142857142858</v>
      </c>
      <c r="E56" s="634">
        <f t="shared" si="56"/>
        <v>8.0706122448979585</v>
      </c>
      <c r="F56" s="634">
        <f t="shared" si="56"/>
        <v>8.1740816326530616</v>
      </c>
      <c r="G56" s="634">
        <f t="shared" si="56"/>
        <v>8.277551020408163</v>
      </c>
      <c r="H56" s="634">
        <f t="shared" si="56"/>
        <v>8.4499999999999993</v>
      </c>
      <c r="I56" s="634">
        <f t="shared" si="56"/>
        <v>8.6224489795918355</v>
      </c>
      <c r="J56" s="634">
        <f t="shared" si="56"/>
        <v>8.7948979591836718</v>
      </c>
      <c r="K56" s="634">
        <f t="shared" si="56"/>
        <v>9.0905247813411076</v>
      </c>
      <c r="L56" s="634">
        <f t="shared" si="56"/>
        <v>9.3861516034985417</v>
      </c>
      <c r="M56" s="634">
        <f t="shared" si="56"/>
        <v>9.6817784256559758</v>
      </c>
      <c r="N56" s="634">
        <f t="shared" si="56"/>
        <v>9.9774052478134081</v>
      </c>
      <c r="O56" s="634">
        <f t="shared" si="56"/>
        <v>10.273032069970844</v>
      </c>
      <c r="P56" s="634">
        <f t="shared" si="56"/>
        <v>10.568658892128278</v>
      </c>
      <c r="Q56" s="634">
        <f t="shared" si="56"/>
        <v>10.864285714285714</v>
      </c>
      <c r="R56" s="634">
        <f t="shared" si="56"/>
        <v>11.071224489795918</v>
      </c>
      <c r="S56" s="634">
        <f t="shared" si="56"/>
        <v>11.278163265306121</v>
      </c>
      <c r="T56" s="634">
        <f t="shared" si="56"/>
        <v>11.485102040816324</v>
      </c>
      <c r="U56" s="634">
        <f t="shared" si="56"/>
        <v>11.692040816326532</v>
      </c>
      <c r="V56" s="634">
        <f t="shared" si="56"/>
        <v>11.898979591836733</v>
      </c>
      <c r="W56" s="634">
        <f t="shared" si="56"/>
        <v>12.105918367346936</v>
      </c>
      <c r="X56" s="634">
        <f t="shared" si="56"/>
        <v>12.312857142857141</v>
      </c>
      <c r="Y56" s="634">
        <f t="shared" si="56"/>
        <v>12.519795918367343</v>
      </c>
      <c r="Z56" s="634">
        <f t="shared" si="56"/>
        <v>12.726734693877548</v>
      </c>
      <c r="AA56" s="634">
        <f t="shared" si="56"/>
        <v>12.933673469387749</v>
      </c>
    </row>
    <row r="57" spans="2:27" x14ac:dyDescent="0.25">
      <c r="B57" s="615" t="s">
        <v>1032</v>
      </c>
      <c r="C57" s="618">
        <v>3</v>
      </c>
      <c r="D57" s="634">
        <f t="shared" si="57"/>
        <v>9.2087755102040827</v>
      </c>
      <c r="E57" s="634">
        <f t="shared" si="56"/>
        <v>9.933061224489796</v>
      </c>
      <c r="F57" s="634">
        <f t="shared" si="56"/>
        <v>10.657346938775511</v>
      </c>
      <c r="G57" s="634">
        <f t="shared" si="56"/>
        <v>11.381632653061223</v>
      </c>
      <c r="H57" s="634">
        <f t="shared" si="56"/>
        <v>12.933673469387754</v>
      </c>
      <c r="I57" s="634">
        <f t="shared" si="56"/>
        <v>14.485714285714284</v>
      </c>
      <c r="J57" s="634">
        <f t="shared" si="56"/>
        <v>16.037755102040812</v>
      </c>
      <c r="K57" s="634">
        <f t="shared" si="56"/>
        <v>16.776822157434403</v>
      </c>
      <c r="L57" s="634">
        <f t="shared" si="56"/>
        <v>17.515889212827982</v>
      </c>
      <c r="M57" s="634">
        <f t="shared" si="56"/>
        <v>18.254956268221573</v>
      </c>
      <c r="N57" s="634">
        <f t="shared" si="56"/>
        <v>18.99402332361516</v>
      </c>
      <c r="O57" s="634">
        <f t="shared" si="56"/>
        <v>19.733090379008747</v>
      </c>
      <c r="P57" s="634">
        <f t="shared" si="56"/>
        <v>20.472157434402334</v>
      </c>
      <c r="Q57" s="634">
        <f t="shared" si="56"/>
        <v>21.211224489795921</v>
      </c>
      <c r="R57" s="634">
        <f t="shared" si="56"/>
        <v>23.280612244897956</v>
      </c>
      <c r="S57" s="634">
        <f t="shared" si="56"/>
        <v>25.349999999999998</v>
      </c>
      <c r="T57" s="634">
        <f t="shared" si="56"/>
        <v>27.419387755102036</v>
      </c>
      <c r="U57" s="634">
        <f t="shared" si="56"/>
        <v>29.488775510204082</v>
      </c>
      <c r="V57" s="634">
        <f t="shared" si="56"/>
        <v>31.558163265306124</v>
      </c>
      <c r="W57" s="634">
        <f t="shared" si="56"/>
        <v>33.627551020408156</v>
      </c>
      <c r="X57" s="634">
        <f t="shared" si="56"/>
        <v>35.696938775510198</v>
      </c>
      <c r="Y57" s="634">
        <f t="shared" si="56"/>
        <v>37.766326530612247</v>
      </c>
      <c r="Z57" s="634">
        <f t="shared" si="56"/>
        <v>39.835714285714282</v>
      </c>
      <c r="AA57" s="634">
        <f t="shared" si="56"/>
        <v>41.905102040816317</v>
      </c>
    </row>
    <row r="58" spans="2:27" x14ac:dyDescent="0.25">
      <c r="B58" s="615" t="s">
        <v>1033</v>
      </c>
      <c r="C58" s="618">
        <v>4</v>
      </c>
      <c r="D58" s="634">
        <f t="shared" si="57"/>
        <v>9.2087755102040827</v>
      </c>
      <c r="E58" s="634">
        <f t="shared" si="56"/>
        <v>9.933061224489796</v>
      </c>
      <c r="F58" s="634">
        <f t="shared" si="56"/>
        <v>10.657346938775511</v>
      </c>
      <c r="G58" s="634">
        <f t="shared" si="56"/>
        <v>11.381632653061223</v>
      </c>
      <c r="H58" s="634">
        <f t="shared" si="56"/>
        <v>12.933673469387754</v>
      </c>
      <c r="I58" s="634">
        <f t="shared" si="56"/>
        <v>14.485714285714284</v>
      </c>
      <c r="J58" s="634">
        <f t="shared" si="56"/>
        <v>16.037755102040812</v>
      </c>
      <c r="K58" s="634">
        <f t="shared" si="56"/>
        <v>16.776822157434403</v>
      </c>
      <c r="L58" s="634">
        <f t="shared" si="56"/>
        <v>17.515889212827982</v>
      </c>
      <c r="M58" s="634">
        <f t="shared" si="56"/>
        <v>18.254956268221573</v>
      </c>
      <c r="N58" s="634">
        <f t="shared" si="56"/>
        <v>18.99402332361516</v>
      </c>
      <c r="O58" s="634">
        <f t="shared" si="56"/>
        <v>19.733090379008747</v>
      </c>
      <c r="P58" s="634">
        <f t="shared" si="56"/>
        <v>20.472157434402334</v>
      </c>
      <c r="Q58" s="634">
        <f t="shared" si="56"/>
        <v>21.211224489795921</v>
      </c>
      <c r="R58" s="634">
        <f t="shared" si="56"/>
        <v>23.280612244897956</v>
      </c>
      <c r="S58" s="634">
        <f t="shared" si="56"/>
        <v>25.349999999999998</v>
      </c>
      <c r="T58" s="634">
        <f t="shared" si="56"/>
        <v>27.419387755102036</v>
      </c>
      <c r="U58" s="634">
        <f t="shared" si="56"/>
        <v>29.488775510204082</v>
      </c>
      <c r="V58" s="634">
        <f t="shared" si="56"/>
        <v>31.558163265306124</v>
      </c>
      <c r="W58" s="634">
        <f t="shared" si="56"/>
        <v>33.627551020408156</v>
      </c>
      <c r="X58" s="634">
        <f t="shared" si="56"/>
        <v>35.696938775510198</v>
      </c>
      <c r="Y58" s="634">
        <f t="shared" si="56"/>
        <v>37.766326530612247</v>
      </c>
      <c r="Z58" s="634">
        <f t="shared" si="56"/>
        <v>39.835714285714282</v>
      </c>
      <c r="AA58" s="634">
        <f t="shared" si="56"/>
        <v>41.905102040816317</v>
      </c>
    </row>
    <row r="59" spans="2:27" x14ac:dyDescent="0.25">
      <c r="B59" s="615" t="s">
        <v>1034</v>
      </c>
      <c r="C59" s="618">
        <v>5</v>
      </c>
      <c r="D59" s="634">
        <f t="shared" si="57"/>
        <v>9.2087755102040827</v>
      </c>
      <c r="E59" s="634">
        <f t="shared" si="56"/>
        <v>9.933061224489796</v>
      </c>
      <c r="F59" s="634">
        <f t="shared" si="56"/>
        <v>10.657346938775511</v>
      </c>
      <c r="G59" s="634">
        <f t="shared" si="56"/>
        <v>11.381632653061223</v>
      </c>
      <c r="H59" s="634">
        <f t="shared" si="56"/>
        <v>12.933673469387754</v>
      </c>
      <c r="I59" s="634">
        <f t="shared" si="56"/>
        <v>14.485714285714284</v>
      </c>
      <c r="J59" s="634">
        <f t="shared" si="56"/>
        <v>16.037755102040812</v>
      </c>
      <c r="K59" s="634">
        <f t="shared" si="56"/>
        <v>16.776822157434403</v>
      </c>
      <c r="L59" s="634">
        <f t="shared" si="56"/>
        <v>17.515889212827982</v>
      </c>
      <c r="M59" s="634">
        <f t="shared" si="56"/>
        <v>18.254956268221573</v>
      </c>
      <c r="N59" s="634">
        <f t="shared" si="56"/>
        <v>18.99402332361516</v>
      </c>
      <c r="O59" s="634">
        <f t="shared" si="56"/>
        <v>19.733090379008747</v>
      </c>
      <c r="P59" s="634">
        <f t="shared" si="56"/>
        <v>20.472157434402334</v>
      </c>
      <c r="Q59" s="634">
        <f t="shared" si="56"/>
        <v>21.211224489795921</v>
      </c>
      <c r="R59" s="634">
        <f t="shared" si="56"/>
        <v>23.280612244897956</v>
      </c>
      <c r="S59" s="634">
        <f t="shared" si="56"/>
        <v>25.349999999999998</v>
      </c>
      <c r="T59" s="634">
        <f t="shared" si="56"/>
        <v>27.419387755102036</v>
      </c>
      <c r="U59" s="634">
        <f t="shared" si="56"/>
        <v>29.488775510204082</v>
      </c>
      <c r="V59" s="634">
        <f t="shared" si="56"/>
        <v>31.558163265306124</v>
      </c>
      <c r="W59" s="634">
        <f t="shared" si="56"/>
        <v>33.627551020408156</v>
      </c>
      <c r="X59" s="634">
        <f t="shared" si="56"/>
        <v>35.696938775510198</v>
      </c>
      <c r="Y59" s="634">
        <f t="shared" si="56"/>
        <v>37.766326530612247</v>
      </c>
      <c r="Z59" s="634">
        <f t="shared" si="56"/>
        <v>39.835714285714282</v>
      </c>
      <c r="AA59" s="634">
        <f t="shared" si="56"/>
        <v>41.905102040816317</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3">
    <pageSetUpPr fitToPage="1"/>
  </sheetPr>
  <dimension ref="A1:W43"/>
  <sheetViews>
    <sheetView workbookViewId="0">
      <pane xSplit="3" ySplit="4" topLeftCell="D5" activePane="bottomRight" state="frozen"/>
      <selection activeCell="C19" sqref="C19"/>
      <selection pane="topRight" activeCell="C19" sqref="C19"/>
      <selection pane="bottomLeft" activeCell="C19" sqref="C19"/>
      <selection pane="bottomRight" activeCell="D43" sqref="D43"/>
    </sheetView>
  </sheetViews>
  <sheetFormatPr defaultColWidth="9.140625" defaultRowHeight="15" x14ac:dyDescent="0.25"/>
  <cols>
    <col min="1" max="1" width="12.7109375" style="127" customWidth="1"/>
    <col min="2" max="2" width="28.42578125" style="127" customWidth="1"/>
    <col min="3" max="3" width="22.5703125" style="127" bestFit="1" customWidth="1"/>
    <col min="4" max="4" width="11.28515625" style="127" bestFit="1" customWidth="1"/>
    <col min="5" max="16384" width="9.140625" style="127"/>
  </cols>
  <sheetData>
    <row r="1" spans="1:23" x14ac:dyDescent="0.25">
      <c r="A1" s="639" t="s">
        <v>1057</v>
      </c>
    </row>
    <row r="2" spans="1:23" ht="15.75" thickBot="1" x14ac:dyDescent="0.3">
      <c r="A2" s="639" t="s">
        <v>1058</v>
      </c>
      <c r="B2" s="639">
        <v>2016</v>
      </c>
    </row>
    <row r="3" spans="1:23" x14ac:dyDescent="0.25">
      <c r="A3" s="640"/>
      <c r="B3" s="640"/>
      <c r="C3" s="640"/>
      <c r="D3" s="1334" t="s">
        <v>1059</v>
      </c>
      <c r="E3" s="1334"/>
      <c r="F3" s="1334"/>
      <c r="G3" s="1334"/>
      <c r="H3" s="1335"/>
      <c r="I3" s="1334" t="s">
        <v>1060</v>
      </c>
      <c r="J3" s="1334"/>
      <c r="K3" s="1334"/>
      <c r="L3" s="1334"/>
      <c r="M3" s="1334"/>
      <c r="N3" s="1334"/>
      <c r="O3" s="1334"/>
      <c r="P3" s="1334"/>
    </row>
    <row r="4" spans="1:23" ht="30.75" thickBot="1" x14ac:dyDescent="0.3">
      <c r="A4" s="641"/>
      <c r="B4" s="642" t="s">
        <v>1061</v>
      </c>
      <c r="C4" s="643" t="s">
        <v>1062</v>
      </c>
      <c r="D4" s="644">
        <v>2000</v>
      </c>
      <c r="E4" s="644">
        <v>2005</v>
      </c>
      <c r="F4" s="644">
        <v>2010</v>
      </c>
      <c r="G4" s="644">
        <v>2015</v>
      </c>
      <c r="H4" s="645">
        <v>2016</v>
      </c>
      <c r="I4" s="644">
        <v>2017</v>
      </c>
      <c r="J4" s="644">
        <v>2018</v>
      </c>
      <c r="K4" s="644">
        <v>2019</v>
      </c>
      <c r="L4" s="644">
        <v>2020</v>
      </c>
      <c r="M4" s="644">
        <v>2023</v>
      </c>
      <c r="N4" s="644">
        <v>2025</v>
      </c>
      <c r="O4" s="644">
        <v>2030</v>
      </c>
      <c r="P4" s="644">
        <v>2035</v>
      </c>
    </row>
    <row r="5" spans="1:23" ht="17.25" x14ac:dyDescent="0.25">
      <c r="A5" s="127" t="s">
        <v>1063</v>
      </c>
      <c r="B5" s="127" t="s">
        <v>1064</v>
      </c>
      <c r="C5" s="127" t="s">
        <v>1065</v>
      </c>
      <c r="D5" s="646">
        <v>42.509327842581826</v>
      </c>
      <c r="E5" s="646">
        <v>53.145626180809089</v>
      </c>
      <c r="F5" s="646">
        <v>65.019356183520983</v>
      </c>
      <c r="G5" s="646">
        <v>47.274267688147816</v>
      </c>
      <c r="H5" s="647">
        <v>39.344114192790663</v>
      </c>
      <c r="I5" s="648">
        <v>46.915839140588851</v>
      </c>
      <c r="J5" s="648">
        <v>46.221104162195367</v>
      </c>
      <c r="K5" s="648">
        <v>46.039402105327852</v>
      </c>
      <c r="L5" s="648">
        <v>50.967638277570778</v>
      </c>
      <c r="M5" s="648">
        <v>65.752346794299541</v>
      </c>
      <c r="N5" s="648">
        <v>75.608819138785364</v>
      </c>
      <c r="O5" s="648">
        <v>100.24999999999997</v>
      </c>
      <c r="P5" s="648">
        <v>106.12049549549546</v>
      </c>
    </row>
    <row r="6" spans="1:23" ht="17.25" x14ac:dyDescent="0.25">
      <c r="A6" s="127" t="s">
        <v>123</v>
      </c>
      <c r="B6" s="127" t="s">
        <v>1066</v>
      </c>
      <c r="C6" s="127" t="s">
        <v>1067</v>
      </c>
      <c r="D6" s="649">
        <v>0.15932051106859796</v>
      </c>
      <c r="E6" s="649">
        <v>0.17630739273025417</v>
      </c>
      <c r="F6" s="649">
        <v>0.20125081933794145</v>
      </c>
      <c r="G6" s="649">
        <v>0.20922052695000001</v>
      </c>
      <c r="H6" s="650">
        <v>0.14757332000000004</v>
      </c>
      <c r="I6" s="651">
        <v>0.15992309347453543</v>
      </c>
      <c r="J6" s="651">
        <v>0.1589304829704154</v>
      </c>
      <c r="K6" s="651">
        <v>0.15581976640254314</v>
      </c>
      <c r="L6" s="651">
        <v>0.16985753853529995</v>
      </c>
      <c r="M6" s="651">
        <v>0.21197085493357049</v>
      </c>
      <c r="N6" s="651">
        <v>0.24004639919908413</v>
      </c>
      <c r="O6" s="651">
        <v>0.31023525986286832</v>
      </c>
      <c r="P6" s="651">
        <v>0.32830721674808394</v>
      </c>
    </row>
    <row r="7" spans="1:23" ht="17.25" x14ac:dyDescent="0.25">
      <c r="A7" s="127" t="s">
        <v>1068</v>
      </c>
      <c r="B7" s="127" t="s">
        <v>1069</v>
      </c>
      <c r="C7" s="127" t="s">
        <v>1070</v>
      </c>
      <c r="D7" s="646">
        <v>44.794040385714965</v>
      </c>
      <c r="E7" s="646">
        <v>64.383820962247796</v>
      </c>
      <c r="F7" s="646">
        <v>76.094286640025913</v>
      </c>
      <c r="G7" s="646">
        <v>59.879324999999994</v>
      </c>
      <c r="H7" s="647">
        <v>46.277649177970702</v>
      </c>
      <c r="I7" s="648">
        <v>53.948095459449043</v>
      </c>
      <c r="J7" s="648">
        <v>54.570863249945333</v>
      </c>
      <c r="K7" s="648">
        <v>50.098831410216462</v>
      </c>
      <c r="L7" s="648">
        <v>51.623187645651335</v>
      </c>
      <c r="M7" s="648">
        <v>56.196256351955938</v>
      </c>
      <c r="N7" s="648">
        <v>59.244968822825676</v>
      </c>
      <c r="O7" s="648">
        <v>66.866749999999996</v>
      </c>
      <c r="P7" s="648">
        <v>68.220124999999982</v>
      </c>
    </row>
    <row r="8" spans="1:23" ht="17.25" x14ac:dyDescent="0.25">
      <c r="A8" s="127" t="s">
        <v>1047</v>
      </c>
      <c r="B8" s="127" t="s">
        <v>1071</v>
      </c>
      <c r="C8" s="127" t="s">
        <v>1072</v>
      </c>
      <c r="D8" s="652">
        <v>58.376925731074053</v>
      </c>
      <c r="E8" s="652">
        <v>51.497995281935054</v>
      </c>
      <c r="F8" s="652">
        <v>52.961579836931186</v>
      </c>
      <c r="G8" s="652">
        <v>40.808321389752791</v>
      </c>
      <c r="H8" s="653">
        <v>33.736339903193624</v>
      </c>
      <c r="I8" s="654">
        <v>32.781749808788298</v>
      </c>
      <c r="J8" s="654">
        <v>31.979750573635098</v>
      </c>
      <c r="K8" s="654">
        <v>30.876999235153196</v>
      </c>
      <c r="L8" s="654">
        <v>32.280500286817549</v>
      </c>
      <c r="M8" s="654">
        <v>42.10499808788299</v>
      </c>
      <c r="N8" s="654">
        <v>47.618749999999999</v>
      </c>
      <c r="O8" s="654">
        <v>44.41074827909469</v>
      </c>
      <c r="P8" s="654">
        <v>49.623748087882994</v>
      </c>
    </row>
    <row r="9" spans="1:23" ht="32.25" x14ac:dyDescent="0.25">
      <c r="A9" s="655" t="s">
        <v>1073</v>
      </c>
      <c r="B9" s="656" t="s">
        <v>1074</v>
      </c>
      <c r="C9" s="655" t="s">
        <v>1070</v>
      </c>
      <c r="D9" s="657"/>
      <c r="E9" s="657">
        <v>12.116267826927725</v>
      </c>
      <c r="F9" s="657">
        <v>15.4</v>
      </c>
      <c r="G9" s="657">
        <v>7.7</v>
      </c>
      <c r="H9" s="658">
        <v>5.2</v>
      </c>
      <c r="I9" s="657">
        <v>5.4</v>
      </c>
      <c r="J9" s="657">
        <v>5.5</v>
      </c>
      <c r="K9" s="657">
        <v>5.6</v>
      </c>
      <c r="L9" s="657">
        <v>6.6</v>
      </c>
      <c r="M9" s="657">
        <v>9.3000000000000007</v>
      </c>
      <c r="N9" s="657">
        <v>10.9</v>
      </c>
      <c r="O9" s="657">
        <v>16.399999999999995</v>
      </c>
      <c r="P9" s="657">
        <v>24.7</v>
      </c>
    </row>
    <row r="10" spans="1:23" x14ac:dyDescent="0.25">
      <c r="A10" s="659" t="s">
        <v>1075</v>
      </c>
      <c r="B10" s="660"/>
      <c r="C10" s="659"/>
      <c r="D10" s="661"/>
      <c r="E10" s="661"/>
      <c r="F10" s="661"/>
      <c r="G10" s="661"/>
      <c r="H10" s="661"/>
      <c r="I10" s="662"/>
      <c r="J10" s="661"/>
      <c r="K10" s="661"/>
      <c r="L10" s="661"/>
      <c r="M10" s="661"/>
      <c r="N10" s="661"/>
      <c r="O10" s="661"/>
      <c r="P10" s="661"/>
    </row>
    <row r="11" spans="1:23" ht="17.25" x14ac:dyDescent="0.25">
      <c r="A11" s="655" t="s">
        <v>1076</v>
      </c>
      <c r="B11" s="656" t="s">
        <v>1077</v>
      </c>
      <c r="C11" s="655" t="s">
        <v>547</v>
      </c>
      <c r="D11" s="638">
        <v>72.997506234413962</v>
      </c>
      <c r="E11" s="638">
        <v>82.533665835411469</v>
      </c>
      <c r="F11" s="638">
        <v>92.359102244389035</v>
      </c>
      <c r="G11" s="638">
        <v>99.750623441396513</v>
      </c>
      <c r="H11" s="638">
        <v>100</v>
      </c>
      <c r="I11" s="663">
        <v>100.89999999999999</v>
      </c>
      <c r="J11" s="638">
        <v>102.41349999999998</v>
      </c>
      <c r="K11" s="638">
        <v>103.94970249999997</v>
      </c>
      <c r="L11" s="638">
        <v>105.50894803749995</v>
      </c>
      <c r="M11" s="638">
        <v>110.32842533181235</v>
      </c>
      <c r="N11" s="638">
        <v>113.66310198746636</v>
      </c>
      <c r="O11" s="638">
        <v>122.44744160297576</v>
      </c>
      <c r="P11" s="638">
        <v>131.91067015545187</v>
      </c>
      <c r="S11" s="664">
        <f>J11/I11</f>
        <v>1.0149999999999999</v>
      </c>
      <c r="T11" s="664">
        <f>K11/J11</f>
        <v>1.0149999999999999</v>
      </c>
      <c r="U11" s="664">
        <f>L11/K11</f>
        <v>1.0149999999999997</v>
      </c>
      <c r="W11" s="127">
        <f>L11*U12^3</f>
        <v>110.32842533181234</v>
      </c>
    </row>
    <row r="12" spans="1:23" ht="18" thickBot="1" x14ac:dyDescent="0.3">
      <c r="A12" s="642" t="s">
        <v>1078</v>
      </c>
      <c r="B12" s="643" t="s">
        <v>1079</v>
      </c>
      <c r="C12" s="642" t="s">
        <v>1080</v>
      </c>
      <c r="D12" s="665"/>
      <c r="E12" s="665"/>
      <c r="F12" s="665"/>
      <c r="G12" s="666">
        <v>1.1100000000000001</v>
      </c>
      <c r="H12" s="666">
        <v>1.1100000000000001</v>
      </c>
      <c r="I12" s="667">
        <v>1.1299999999999999</v>
      </c>
      <c r="J12" s="666">
        <v>1.1599999999999999</v>
      </c>
      <c r="K12" s="666">
        <v>1.1599999999999999</v>
      </c>
      <c r="L12" s="666">
        <v>1.1599999999999999</v>
      </c>
      <c r="M12" s="666">
        <v>1.1100000000000001</v>
      </c>
      <c r="N12" s="666">
        <v>1.1100000000000001</v>
      </c>
      <c r="O12" s="666">
        <v>1.1100000000000001</v>
      </c>
      <c r="P12" s="666">
        <v>1.1100000000000001</v>
      </c>
      <c r="U12" s="664">
        <f>AVERAGE(S11:U11)</f>
        <v>1.0149999999999999</v>
      </c>
    </row>
    <row r="14" spans="1:23" ht="17.25" x14ac:dyDescent="0.25">
      <c r="A14" s="668" t="s">
        <v>1081</v>
      </c>
      <c r="B14" s="669"/>
      <c r="C14" s="669"/>
      <c r="D14" s="669"/>
      <c r="E14" s="669"/>
      <c r="F14" s="669"/>
      <c r="G14" s="669"/>
      <c r="H14" s="669"/>
      <c r="I14" s="669"/>
      <c r="J14" s="669"/>
      <c r="K14" s="669"/>
      <c r="L14" s="669"/>
      <c r="M14" s="669"/>
      <c r="N14" s="669"/>
      <c r="O14" s="669"/>
      <c r="P14" s="669"/>
    </row>
    <row r="15" spans="1:23" ht="32.25" customHeight="1" x14ac:dyDescent="0.25">
      <c r="A15" s="1336" t="s">
        <v>1082</v>
      </c>
      <c r="B15" s="1336"/>
      <c r="C15" s="1336"/>
      <c r="D15" s="1336"/>
      <c r="E15" s="1336"/>
      <c r="F15" s="1336"/>
      <c r="G15" s="1336"/>
      <c r="H15" s="1336"/>
      <c r="I15" s="1336"/>
      <c r="J15" s="1336"/>
      <c r="K15" s="1336"/>
      <c r="L15" s="1336"/>
      <c r="M15" s="1336"/>
      <c r="N15" s="1336"/>
      <c r="O15" s="1336"/>
      <c r="P15" s="1336"/>
    </row>
    <row r="16" spans="1:23" ht="29.25" customHeight="1" x14ac:dyDescent="0.25">
      <c r="A16" s="1337" t="s">
        <v>1083</v>
      </c>
      <c r="B16" s="1337"/>
      <c r="C16" s="1337"/>
      <c r="D16" s="1337"/>
      <c r="E16" s="1337"/>
      <c r="F16" s="1337"/>
      <c r="G16" s="1337"/>
      <c r="H16" s="1337"/>
      <c r="I16" s="1337"/>
      <c r="J16" s="1337"/>
      <c r="K16" s="1337"/>
      <c r="L16" s="1337"/>
      <c r="M16" s="1337"/>
      <c r="N16" s="1337"/>
      <c r="O16" s="1337"/>
      <c r="P16" s="1337"/>
    </row>
    <row r="17" spans="1:16" ht="17.25" x14ac:dyDescent="0.25">
      <c r="A17" s="669" t="s">
        <v>1084</v>
      </c>
      <c r="B17" s="669"/>
      <c r="C17" s="669"/>
      <c r="D17" s="669"/>
      <c r="E17" s="669"/>
      <c r="F17" s="669"/>
      <c r="G17" s="669"/>
      <c r="H17" s="669"/>
      <c r="I17" s="669"/>
      <c r="J17" s="669"/>
      <c r="K17" s="669"/>
      <c r="L17" s="669"/>
      <c r="M17" s="669"/>
      <c r="N17" s="669"/>
      <c r="O17" s="669"/>
      <c r="P17" s="669"/>
    </row>
    <row r="18" spans="1:16" ht="17.25" x14ac:dyDescent="0.25">
      <c r="A18" s="669" t="s">
        <v>1085</v>
      </c>
      <c r="B18" s="669"/>
      <c r="C18" s="669"/>
      <c r="D18" s="669"/>
      <c r="E18" s="669"/>
      <c r="F18" s="669"/>
      <c r="G18" s="669"/>
      <c r="H18" s="669"/>
      <c r="I18" s="669"/>
      <c r="J18" s="669"/>
      <c r="K18" s="669"/>
      <c r="L18" s="669"/>
      <c r="M18" s="669"/>
      <c r="N18" s="669"/>
      <c r="O18" s="669"/>
      <c r="P18" s="669"/>
    </row>
    <row r="19" spans="1:16" ht="17.25" x14ac:dyDescent="0.25">
      <c r="A19" s="669" t="s">
        <v>1086</v>
      </c>
      <c r="B19" s="669"/>
      <c r="C19" s="669"/>
      <c r="D19" s="669"/>
      <c r="E19" s="669"/>
      <c r="F19" s="669"/>
      <c r="G19" s="669"/>
      <c r="H19" s="669"/>
      <c r="I19" s="669"/>
      <c r="J19" s="669"/>
      <c r="K19" s="669"/>
      <c r="L19" s="669"/>
      <c r="M19" s="669"/>
      <c r="N19" s="669"/>
      <c r="O19" s="669"/>
      <c r="P19" s="669"/>
    </row>
    <row r="20" spans="1:16" ht="17.25" x14ac:dyDescent="0.25">
      <c r="A20" s="669" t="s">
        <v>1087</v>
      </c>
      <c r="B20" s="669"/>
      <c r="C20" s="669"/>
      <c r="D20" s="669"/>
      <c r="E20" s="669"/>
      <c r="F20" s="669"/>
      <c r="G20" s="669"/>
      <c r="H20" s="669"/>
      <c r="I20" s="669"/>
      <c r="J20" s="669"/>
      <c r="K20" s="669"/>
      <c r="L20" s="669"/>
      <c r="M20" s="669"/>
      <c r="N20" s="669"/>
      <c r="O20" s="669"/>
      <c r="P20" s="669"/>
    </row>
    <row r="21" spans="1:16" x14ac:dyDescent="0.25">
      <c r="A21" s="669"/>
      <c r="B21" s="669"/>
      <c r="C21" s="669"/>
      <c r="D21" s="669"/>
      <c r="E21" s="669"/>
      <c r="F21" s="669"/>
      <c r="G21" s="669"/>
      <c r="H21" s="669"/>
      <c r="I21" s="669"/>
      <c r="J21" s="669"/>
      <c r="K21" s="669"/>
      <c r="L21" s="669"/>
      <c r="M21" s="669"/>
      <c r="N21" s="669"/>
      <c r="O21" s="669"/>
      <c r="P21" s="669"/>
    </row>
    <row r="22" spans="1:16" x14ac:dyDescent="0.25">
      <c r="A22" s="670" t="s">
        <v>1088</v>
      </c>
      <c r="B22" s="669"/>
      <c r="C22" s="669"/>
      <c r="D22" s="669"/>
      <c r="E22" s="669"/>
      <c r="F22" s="669"/>
      <c r="G22" s="669"/>
      <c r="H22" s="669"/>
      <c r="I22" s="669"/>
      <c r="J22" s="669"/>
      <c r="K22" s="669"/>
      <c r="L22" s="669"/>
      <c r="M22" s="669"/>
      <c r="N22" s="669"/>
      <c r="O22" s="669"/>
      <c r="P22" s="669"/>
    </row>
    <row r="23" spans="1:16" x14ac:dyDescent="0.25">
      <c r="A23" s="669"/>
      <c r="B23" s="669"/>
      <c r="C23" s="669"/>
      <c r="D23" s="669">
        <f t="shared" ref="C23:P28" si="0">D4</f>
        <v>2000</v>
      </c>
      <c r="E23" s="669">
        <f t="shared" si="0"/>
        <v>2005</v>
      </c>
      <c r="F23" s="669">
        <f t="shared" si="0"/>
        <v>2010</v>
      </c>
      <c r="G23" s="669">
        <f t="shared" si="0"/>
        <v>2015</v>
      </c>
      <c r="H23" s="671">
        <f t="shared" si="0"/>
        <v>2016</v>
      </c>
      <c r="I23" s="669">
        <f t="shared" si="0"/>
        <v>2017</v>
      </c>
      <c r="J23" s="669">
        <f t="shared" si="0"/>
        <v>2018</v>
      </c>
      <c r="K23" s="669">
        <f t="shared" si="0"/>
        <v>2019</v>
      </c>
      <c r="L23" s="669">
        <f t="shared" si="0"/>
        <v>2020</v>
      </c>
      <c r="M23" s="669">
        <f t="shared" si="0"/>
        <v>2023</v>
      </c>
      <c r="N23" s="669">
        <f t="shared" si="0"/>
        <v>2025</v>
      </c>
      <c r="O23" s="669">
        <f t="shared" si="0"/>
        <v>2030</v>
      </c>
      <c r="P23" s="669">
        <f t="shared" si="0"/>
        <v>2035</v>
      </c>
    </row>
    <row r="24" spans="1:16" x14ac:dyDescent="0.25">
      <c r="A24" s="669" t="str">
        <f t="shared" ref="A24:B28" si="1">A5</f>
        <v>Olie</v>
      </c>
      <c r="B24" s="669" t="str">
        <f t="shared" si="1"/>
        <v>North Sea Brent1</v>
      </c>
      <c r="C24" s="669" t="str">
        <f t="shared" si="0"/>
        <v>Euro per vat</v>
      </c>
      <c r="D24" s="651">
        <f>D5*(D$30/$H$30)</f>
        <v>31.030749242096139</v>
      </c>
      <c r="E24" s="651">
        <f t="shared" ref="E24:P24" si="2">E5*(E$30/$H$30)</f>
        <v>43.863033518205924</v>
      </c>
      <c r="F24" s="651">
        <f t="shared" si="2"/>
        <v>60.051293656181628</v>
      </c>
      <c r="G24" s="651">
        <f t="shared" si="2"/>
        <v>47.156376746282113</v>
      </c>
      <c r="H24" s="672">
        <f t="shared" si="2"/>
        <v>39.344114192790663</v>
      </c>
      <c r="I24" s="651">
        <f>I5*(I$30/$H$30)</f>
        <v>47.338081692854146</v>
      </c>
      <c r="J24" s="651">
        <f>J5*(J$30/$H$30)</f>
        <v>47.336650511149941</v>
      </c>
      <c r="K24" s="651">
        <f t="shared" si="2"/>
        <v>47.857821521267027</v>
      </c>
      <c r="L24" s="651">
        <f t="shared" si="2"/>
        <v>53.775418986223087</v>
      </c>
      <c r="M24" s="651">
        <f t="shared" si="2"/>
        <v>72.543528836863075</v>
      </c>
      <c r="N24" s="651">
        <f t="shared" si="2"/>
        <v>85.93932920923659</v>
      </c>
      <c r="O24" s="651">
        <f t="shared" si="2"/>
        <v>122.75356020698317</v>
      </c>
      <c r="P24" s="651">
        <f t="shared" si="2"/>
        <v>139.98425678039416</v>
      </c>
    </row>
    <row r="25" spans="1:16" x14ac:dyDescent="0.25">
      <c r="A25" s="669" t="str">
        <f t="shared" si="1"/>
        <v>Gas</v>
      </c>
      <c r="B25" s="669" t="str">
        <f t="shared" si="1"/>
        <v>Groothandelsprijs2</v>
      </c>
      <c r="C25" s="669" t="str">
        <f t="shared" si="0"/>
        <v>Euro per m3</v>
      </c>
      <c r="D25" s="651">
        <f t="shared" ref="D25:P28" si="3">D6*(D$30/$H$30)</f>
        <v>0.11629999999999999</v>
      </c>
      <c r="E25" s="651">
        <f t="shared" si="3"/>
        <v>0.14551295435911452</v>
      </c>
      <c r="F25" s="651">
        <f t="shared" si="3"/>
        <v>0.18587345</v>
      </c>
      <c r="G25" s="651">
        <f t="shared" si="3"/>
        <v>0.20869878000000003</v>
      </c>
      <c r="H25" s="672">
        <f t="shared" si="3"/>
        <v>0.14757332000000004</v>
      </c>
      <c r="I25" s="651">
        <f t="shared" si="3"/>
        <v>0.16136240131580623</v>
      </c>
      <c r="J25" s="651">
        <f t="shared" si="3"/>
        <v>0.16276627017690634</v>
      </c>
      <c r="K25" s="651">
        <f t="shared" si="3"/>
        <v>0.16197418361163851</v>
      </c>
      <c r="L25" s="651">
        <f t="shared" si="3"/>
        <v>0.17921490207098606</v>
      </c>
      <c r="M25" s="651">
        <f t="shared" si="3"/>
        <v>0.23386410641058858</v>
      </c>
      <c r="N25" s="651">
        <f t="shared" si="3"/>
        <v>0.27284418353889561</v>
      </c>
      <c r="O25" s="651">
        <f t="shared" si="3"/>
        <v>0.37987513865242578</v>
      </c>
      <c r="P25" s="651">
        <f t="shared" si="3"/>
        <v>0.43307224978110942</v>
      </c>
    </row>
    <row r="26" spans="1:16" x14ac:dyDescent="0.25">
      <c r="A26" s="669" t="str">
        <f t="shared" si="1"/>
        <v>Kolen</v>
      </c>
      <c r="B26" s="669" t="str">
        <f t="shared" si="1"/>
        <v>Import ketelkolen Nederland3</v>
      </c>
      <c r="C26" s="669" t="str">
        <f t="shared" si="0"/>
        <v>Euro per ton</v>
      </c>
      <c r="D26" s="651">
        <f t="shared" si="3"/>
        <v>32.698532423208192</v>
      </c>
      <c r="E26" s="651">
        <f t="shared" si="3"/>
        <v>53.138327645051199</v>
      </c>
      <c r="F26" s="651">
        <f t="shared" si="3"/>
        <v>70.28</v>
      </c>
      <c r="G26" s="651">
        <f t="shared" si="3"/>
        <v>59.73</v>
      </c>
      <c r="H26" s="672">
        <f t="shared" si="3"/>
        <v>46.277649177970702</v>
      </c>
      <c r="I26" s="651">
        <f t="shared" si="3"/>
        <v>54.433628318584077</v>
      </c>
      <c r="J26" s="651">
        <f t="shared" si="3"/>
        <v>55.887931034482754</v>
      </c>
      <c r="K26" s="651">
        <f t="shared" si="3"/>
        <v>52.077586206896555</v>
      </c>
      <c r="L26" s="651">
        <f t="shared" si="3"/>
        <v>54.467082228351359</v>
      </c>
      <c r="M26" s="651">
        <f t="shared" si="3"/>
        <v>62.000444728541567</v>
      </c>
      <c r="N26" s="651">
        <f t="shared" si="3"/>
        <v>67.339669335530999</v>
      </c>
      <c r="O26" s="651">
        <f t="shared" si="3"/>
        <v>81.876624658057793</v>
      </c>
      <c r="P26" s="651">
        <f t="shared" si="3"/>
        <v>89.989624068386931</v>
      </c>
    </row>
    <row r="27" spans="1:16" x14ac:dyDescent="0.25">
      <c r="A27" s="669" t="str">
        <f t="shared" si="1"/>
        <v>Elektriciteit</v>
      </c>
      <c r="B27" s="669" t="str">
        <f t="shared" si="1"/>
        <v>Groothandelsprijs basislast4</v>
      </c>
      <c r="C27" s="669" t="str">
        <f t="shared" si="0"/>
        <v>Euro per MWh</v>
      </c>
      <c r="D27" s="651">
        <f t="shared" si="3"/>
        <v>42.613699999999994</v>
      </c>
      <c r="E27" s="651">
        <f t="shared" si="3"/>
        <v>42.503183337928242</v>
      </c>
      <c r="F27" s="651">
        <f t="shared" si="3"/>
        <v>48.914839671835004</v>
      </c>
      <c r="G27" s="651">
        <f t="shared" si="3"/>
        <v>40.706555002247178</v>
      </c>
      <c r="H27" s="672">
        <f t="shared" si="3"/>
        <v>33.736339903193624</v>
      </c>
      <c r="I27" s="651">
        <f t="shared" si="3"/>
        <v>33.076785557067389</v>
      </c>
      <c r="J27" s="651">
        <f t="shared" si="3"/>
        <v>32.751581853729775</v>
      </c>
      <c r="K27" s="651">
        <f t="shared" si="3"/>
        <v>32.096548845869016</v>
      </c>
      <c r="L27" s="651">
        <f t="shared" si="3"/>
        <v>34.05881627386335</v>
      </c>
      <c r="M27" s="651">
        <f t="shared" si="3"/>
        <v>46.453781376351003</v>
      </c>
      <c r="N27" s="651">
        <f t="shared" si="3"/>
        <v>54.124948377656636</v>
      </c>
      <c r="O27" s="651">
        <f t="shared" si="3"/>
        <v>54.379825064489033</v>
      </c>
      <c r="P27" s="651">
        <f t="shared" si="3"/>
        <v>65.459018658979687</v>
      </c>
    </row>
    <row r="28" spans="1:16" x14ac:dyDescent="0.25">
      <c r="A28" s="669" t="str">
        <f t="shared" si="1"/>
        <v>CO2</v>
      </c>
      <c r="B28" s="669" t="str">
        <f t="shared" si="1"/>
        <v>Europees emissiehandelssysteem (ETS)5</v>
      </c>
      <c r="C28" s="669" t="str">
        <f t="shared" si="0"/>
        <v>Euro per ton</v>
      </c>
      <c r="D28" s="651">
        <f t="shared" si="3"/>
        <v>0</v>
      </c>
      <c r="E28" s="651">
        <f t="shared" si="3"/>
        <v>10</v>
      </c>
      <c r="F28" s="651">
        <f t="shared" si="3"/>
        <v>14.223301745635911</v>
      </c>
      <c r="G28" s="651">
        <f t="shared" si="3"/>
        <v>7.6807980049875315</v>
      </c>
      <c r="H28" s="672">
        <f t="shared" si="3"/>
        <v>5.2</v>
      </c>
      <c r="I28" s="651">
        <f t="shared" si="3"/>
        <v>5.4485999999999999</v>
      </c>
      <c r="J28" s="651">
        <f t="shared" si="3"/>
        <v>5.6327424999999991</v>
      </c>
      <c r="K28" s="651">
        <f t="shared" si="3"/>
        <v>5.8211833399999984</v>
      </c>
      <c r="L28" s="651">
        <f t="shared" si="3"/>
        <v>6.9635905704749961</v>
      </c>
      <c r="M28" s="651">
        <f t="shared" si="3"/>
        <v>10.260543555858549</v>
      </c>
      <c r="N28" s="651">
        <f t="shared" si="3"/>
        <v>12.389278116633834</v>
      </c>
      <c r="O28" s="651">
        <f t="shared" si="3"/>
        <v>20.081380422888017</v>
      </c>
      <c r="P28" s="651">
        <f t="shared" si="3"/>
        <v>32.581935528396606</v>
      </c>
    </row>
    <row r="29" spans="1:16" x14ac:dyDescent="0.25">
      <c r="A29" s="669" t="str">
        <f>A10</f>
        <v>Conversiefactoren</v>
      </c>
      <c r="B29" s="669"/>
      <c r="C29" s="669"/>
      <c r="D29" s="669"/>
      <c r="E29" s="669"/>
      <c r="F29" s="669"/>
      <c r="G29" s="669"/>
      <c r="H29" s="671"/>
      <c r="I29" s="669"/>
      <c r="J29" s="669"/>
      <c r="K29" s="669"/>
      <c r="L29" s="669"/>
      <c r="M29" s="669"/>
      <c r="N29" s="669"/>
      <c r="O29" s="669"/>
      <c r="P29" s="669"/>
    </row>
    <row r="30" spans="1:16" x14ac:dyDescent="0.25">
      <c r="A30" s="669" t="str">
        <f>A11</f>
        <v>Prijsindex</v>
      </c>
      <c r="B30" s="669" t="str">
        <f>B11</f>
        <v>Jaarlijkse inflatie (HICP)6</v>
      </c>
      <c r="C30" s="669" t="str">
        <f t="shared" ref="C30:P30" si="4">C11</f>
        <v>Index (2016=100)</v>
      </c>
      <c r="D30" s="669">
        <f t="shared" si="4"/>
        <v>72.997506234413962</v>
      </c>
      <c r="E30" s="669">
        <f t="shared" si="4"/>
        <v>82.533665835411469</v>
      </c>
      <c r="F30" s="669">
        <f t="shared" si="4"/>
        <v>92.359102244389035</v>
      </c>
      <c r="G30" s="669">
        <f t="shared" si="4"/>
        <v>99.750623441396513</v>
      </c>
      <c r="H30" s="671">
        <f t="shared" si="4"/>
        <v>100</v>
      </c>
      <c r="I30" s="669">
        <f t="shared" si="4"/>
        <v>100.89999999999999</v>
      </c>
      <c r="J30" s="669">
        <f t="shared" si="4"/>
        <v>102.41349999999998</v>
      </c>
      <c r="K30" s="669">
        <f t="shared" si="4"/>
        <v>103.94970249999997</v>
      </c>
      <c r="L30" s="669">
        <f t="shared" si="4"/>
        <v>105.50894803749995</v>
      </c>
      <c r="M30" s="669">
        <f t="shared" si="4"/>
        <v>110.32842533181235</v>
      </c>
      <c r="N30" s="669">
        <f t="shared" si="4"/>
        <v>113.66310198746636</v>
      </c>
      <c r="O30" s="669">
        <f t="shared" si="4"/>
        <v>122.44744160297576</v>
      </c>
      <c r="P30" s="669">
        <f t="shared" si="4"/>
        <v>131.91067015545187</v>
      </c>
    </row>
    <row r="31" spans="1:16" x14ac:dyDescent="0.25">
      <c r="A31" s="669"/>
      <c r="B31" s="669"/>
      <c r="C31" s="669" t="str">
        <f>"Index ("&amp;B39&amp;"=100)"</f>
        <v>Index (2018=100)</v>
      </c>
      <c r="D31" s="669">
        <f t="shared" ref="D31:P31" si="5">100*D30/HLOOKUP($B$39,$D$23:$P$30,8,FALSE)</f>
        <v>71.277230281568322</v>
      </c>
      <c r="E31" s="669">
        <f t="shared" si="5"/>
        <v>80.588658561040759</v>
      </c>
      <c r="F31" s="669">
        <f t="shared" si="5"/>
        <v>90.182546484974196</v>
      </c>
      <c r="G31" s="669">
        <f t="shared" si="5"/>
        <v>97.399877400339335</v>
      </c>
      <c r="H31" s="669">
        <f t="shared" si="5"/>
        <v>97.643377093840186</v>
      </c>
      <c r="I31" s="669">
        <f t="shared" si="5"/>
        <v>98.52216748768474</v>
      </c>
      <c r="J31" s="669">
        <f t="shared" si="5"/>
        <v>100</v>
      </c>
      <c r="K31" s="669">
        <f t="shared" si="5"/>
        <v>101.49999999999999</v>
      </c>
      <c r="L31" s="669">
        <f t="shared" si="5"/>
        <v>103.02249999999995</v>
      </c>
      <c r="M31" s="669">
        <f t="shared" si="5"/>
        <v>107.72840038843744</v>
      </c>
      <c r="N31" s="669">
        <f t="shared" si="5"/>
        <v>110.98449129017793</v>
      </c>
      <c r="O31" s="669">
        <f t="shared" si="5"/>
        <v>119.56181714615336</v>
      </c>
      <c r="P31" s="669">
        <f t="shared" si="5"/>
        <v>128.80203308689957</v>
      </c>
    </row>
    <row r="32" spans="1:16" x14ac:dyDescent="0.25">
      <c r="A32" s="669"/>
      <c r="B32" s="669"/>
      <c r="C32" s="669"/>
      <c r="D32" s="669"/>
      <c r="E32" s="669"/>
      <c r="F32" s="669"/>
      <c r="G32" s="669"/>
      <c r="H32" s="669"/>
      <c r="I32" s="669"/>
      <c r="J32" s="669"/>
      <c r="K32" s="669"/>
      <c r="L32" s="669"/>
      <c r="M32" s="669"/>
      <c r="N32" s="669"/>
      <c r="O32" s="669"/>
      <c r="P32" s="669"/>
    </row>
    <row r="33" spans="1:22" x14ac:dyDescent="0.25">
      <c r="A33" s="669"/>
      <c r="B33" s="669"/>
      <c r="C33" s="669"/>
      <c r="D33" s="669"/>
      <c r="E33" s="669"/>
      <c r="F33" s="669"/>
      <c r="G33" s="669"/>
      <c r="H33" s="669"/>
      <c r="I33" s="669"/>
      <c r="J33" s="669"/>
      <c r="K33" s="669"/>
      <c r="L33" s="669"/>
      <c r="M33" s="669"/>
      <c r="N33" s="669"/>
      <c r="O33" s="669"/>
      <c r="P33" s="669"/>
    </row>
    <row r="34" spans="1:22" x14ac:dyDescent="0.25">
      <c r="A34" s="669"/>
      <c r="B34" s="669"/>
      <c r="C34" s="669"/>
      <c r="D34" s="669"/>
      <c r="E34" s="669"/>
      <c r="F34" s="669"/>
      <c r="G34" s="669"/>
      <c r="H34" s="669"/>
      <c r="I34" s="669"/>
      <c r="J34" s="669"/>
      <c r="K34" s="669"/>
      <c r="L34" s="669"/>
      <c r="M34" s="669"/>
      <c r="N34" s="669"/>
      <c r="O34" s="669"/>
      <c r="P34" s="669"/>
    </row>
    <row r="35" spans="1:22" x14ac:dyDescent="0.25">
      <c r="A35" s="669"/>
      <c r="B35" s="669"/>
      <c r="C35" s="669"/>
      <c r="D35" s="669"/>
      <c r="E35" s="669"/>
      <c r="F35" s="669"/>
      <c r="G35" s="669"/>
      <c r="H35" s="669"/>
      <c r="I35" s="669"/>
      <c r="J35" s="669"/>
      <c r="K35" s="669"/>
      <c r="L35" s="669"/>
      <c r="M35" s="669"/>
      <c r="N35" s="669"/>
      <c r="O35" s="669"/>
      <c r="P35" s="669"/>
    </row>
    <row r="36" spans="1:22" x14ac:dyDescent="0.25">
      <c r="A36" s="669"/>
      <c r="B36" s="669"/>
      <c r="C36" s="669"/>
      <c r="D36" s="669"/>
      <c r="E36" s="669"/>
      <c r="F36" s="669"/>
      <c r="G36" s="669"/>
      <c r="H36" s="669"/>
      <c r="I36" s="669"/>
      <c r="J36" s="669"/>
      <c r="K36" s="669"/>
      <c r="L36" s="669"/>
      <c r="M36" s="669"/>
      <c r="N36" s="669"/>
      <c r="O36" s="669"/>
      <c r="P36" s="669"/>
    </row>
    <row r="37" spans="1:22" x14ac:dyDescent="0.25">
      <c r="A37" s="669"/>
      <c r="B37" s="669"/>
      <c r="C37" s="669"/>
      <c r="D37" s="669"/>
      <c r="E37" s="669"/>
      <c r="F37" s="669"/>
      <c r="G37" s="669"/>
      <c r="H37" s="669"/>
      <c r="I37" s="669"/>
      <c r="J37" s="669"/>
      <c r="K37" s="669"/>
      <c r="L37" s="669"/>
      <c r="M37" s="669"/>
      <c r="N37" s="669"/>
      <c r="O37" s="669"/>
      <c r="P37" s="669"/>
    </row>
    <row r="38" spans="1:22" x14ac:dyDescent="0.25">
      <c r="A38" s="670" t="s">
        <v>1089</v>
      </c>
      <c r="B38" s="669"/>
      <c r="C38" s="669"/>
      <c r="D38" s="669"/>
      <c r="E38" s="669"/>
      <c r="F38" s="669"/>
      <c r="G38" s="669"/>
      <c r="H38" s="669"/>
      <c r="I38" s="669"/>
      <c r="J38" s="669"/>
      <c r="K38" s="669"/>
      <c r="L38" s="669"/>
      <c r="M38" s="669"/>
      <c r="N38" s="669"/>
      <c r="O38" s="669"/>
      <c r="P38" s="669"/>
    </row>
    <row r="39" spans="1:22" x14ac:dyDescent="0.25">
      <c r="A39" s="639" t="s">
        <v>1058</v>
      </c>
      <c r="B39" s="639">
        <v>2018</v>
      </c>
    </row>
    <row r="40" spans="1:22" x14ac:dyDescent="0.25">
      <c r="A40" s="673"/>
      <c r="B40" s="669"/>
      <c r="C40" s="669"/>
      <c r="D40" s="670">
        <v>2017</v>
      </c>
      <c r="E40" s="670">
        <v>2018</v>
      </c>
      <c r="F40" s="670">
        <v>2019</v>
      </c>
      <c r="G40" s="670">
        <v>2020</v>
      </c>
      <c r="H40" s="670">
        <v>2021</v>
      </c>
      <c r="I40" s="670">
        <v>2022</v>
      </c>
      <c r="J40" s="670">
        <v>2023</v>
      </c>
      <c r="K40" s="670">
        <v>2024</v>
      </c>
      <c r="L40" s="670">
        <v>2025</v>
      </c>
      <c r="M40" s="670">
        <v>2026</v>
      </c>
      <c r="N40" s="670">
        <v>2027</v>
      </c>
      <c r="O40" s="670">
        <v>2028</v>
      </c>
      <c r="P40" s="670">
        <v>2029</v>
      </c>
      <c r="Q40" s="670">
        <v>2030</v>
      </c>
      <c r="R40" s="670">
        <v>2031</v>
      </c>
      <c r="S40" s="670">
        <v>2032</v>
      </c>
      <c r="T40" s="670">
        <v>2033</v>
      </c>
      <c r="U40" s="670">
        <v>2034</v>
      </c>
      <c r="V40" s="670">
        <v>2035</v>
      </c>
    </row>
    <row r="41" spans="1:22" x14ac:dyDescent="0.25">
      <c r="B41" s="127" t="s">
        <v>123</v>
      </c>
      <c r="C41" s="127" t="s">
        <v>68</v>
      </c>
      <c r="D41" s="674">
        <v>16.764805641397665</v>
      </c>
      <c r="E41" s="674">
        <v>16.660749861724845</v>
      </c>
      <c r="F41" s="674">
        <v>16.334652126039423</v>
      </c>
      <c r="G41" s="674">
        <v>17.806237725910087</v>
      </c>
      <c r="H41" s="675">
        <f t="shared" ref="H41:I43" si="6">G41+($J41-$G41)/COUNT($G$40:$I$40)</f>
        <v>19.277823325780755</v>
      </c>
      <c r="I41" s="675">
        <f t="shared" si="6"/>
        <v>20.749408925651423</v>
      </c>
      <c r="J41" s="674">
        <v>22.220994525522087</v>
      </c>
      <c r="K41" s="675">
        <f>J41+($L41-$J41)/COUNT($J$40:$K$40)</f>
        <v>23.692580125392752</v>
      </c>
      <c r="L41" s="674">
        <v>25.164165725263416</v>
      </c>
      <c r="M41" s="675">
        <f>L41+($Q41-$L41)/COUNT($L$40:$P$40)</f>
        <v>26.635751325134081</v>
      </c>
      <c r="N41" s="675">
        <f>M41+($Q41-$L41)/COUNT($L$40:$P$40)</f>
        <v>28.107336925004745</v>
      </c>
      <c r="O41" s="675">
        <f>N41+($Q41-$L41)/COUNT($L$40:$P$40)</f>
        <v>29.578922524875409</v>
      </c>
      <c r="P41" s="675">
        <f>O41+($Q41-$L41)/COUNT($L$40:$P$40)</f>
        <v>31.050508124746074</v>
      </c>
      <c r="Q41" s="674">
        <v>32.522093724616745</v>
      </c>
      <c r="R41" s="675">
        <f t="shared" ref="R41:U43" si="7">Q41+($V41-$Q41)/COUNT($Q$40:$U$40)</f>
        <v>32.90099190393267</v>
      </c>
      <c r="S41" s="675">
        <f t="shared" si="7"/>
        <v>33.279890083248596</v>
      </c>
      <c r="T41" s="675">
        <f t="shared" si="7"/>
        <v>33.658788262564521</v>
      </c>
      <c r="U41" s="675">
        <f t="shared" si="7"/>
        <v>34.037686441880446</v>
      </c>
      <c r="V41" s="674">
        <v>34.416584621196357</v>
      </c>
    </row>
    <row r="42" spans="1:22" x14ac:dyDescent="0.25">
      <c r="B42" s="127" t="s">
        <v>1047</v>
      </c>
      <c r="C42" s="127" t="s">
        <v>68</v>
      </c>
      <c r="D42" s="674">
        <f t="shared" ref="D42:G43" si="8">I27*(100/I$31)</f>
        <v>33.572937340423394</v>
      </c>
      <c r="E42" s="674">
        <f t="shared" si="8"/>
        <v>32.751581853729775</v>
      </c>
      <c r="F42" s="674">
        <f t="shared" si="8"/>
        <v>31.622215611693616</v>
      </c>
      <c r="G42" s="674">
        <f t="shared" si="8"/>
        <v>33.059590161239889</v>
      </c>
      <c r="H42" s="675">
        <f t="shared" si="6"/>
        <v>36.413460846404604</v>
      </c>
      <c r="I42" s="675">
        <f t="shared" si="6"/>
        <v>39.767331531569319</v>
      </c>
      <c r="J42" s="674">
        <f>M27*(100/M$31)</f>
        <v>43.121202216734041</v>
      </c>
      <c r="K42" s="675">
        <f>J42+($L42-$J42)/COUNT($J$40:$K$40)</f>
        <v>45.944615373992022</v>
      </c>
      <c r="L42" s="674">
        <f>N27*(100/N$31)</f>
        <v>48.768028531249996</v>
      </c>
      <c r="M42" s="675">
        <f>L42+($Q42-$L42)/COUNT($L$40:$P$40)</f>
        <v>48.110943162762126</v>
      </c>
      <c r="N42" s="675">
        <f t="shared" ref="N42:P43" si="9">M42+($Q42-$L42)/COUNT($L$40:$P$40)</f>
        <v>47.453857794274256</v>
      </c>
      <c r="O42" s="675">
        <f t="shared" si="9"/>
        <v>46.796772425786386</v>
      </c>
      <c r="P42" s="675">
        <f t="shared" si="9"/>
        <v>46.139687057298516</v>
      </c>
      <c r="Q42" s="674">
        <f>O27*(100/O$31)</f>
        <v>45.482601688810632</v>
      </c>
      <c r="R42" s="675">
        <f t="shared" si="7"/>
        <v>46.550364800645312</v>
      </c>
      <c r="S42" s="675">
        <f t="shared" si="7"/>
        <v>47.618127912479991</v>
      </c>
      <c r="T42" s="675">
        <f t="shared" si="7"/>
        <v>48.685891024314671</v>
      </c>
      <c r="U42" s="675">
        <f t="shared" si="7"/>
        <v>49.753654136149351</v>
      </c>
      <c r="V42" s="674">
        <f>P27*(100/P$31)</f>
        <v>50.821417247984037</v>
      </c>
    </row>
    <row r="43" spans="1:22" x14ac:dyDescent="0.25">
      <c r="B43" s="127" t="s">
        <v>10</v>
      </c>
      <c r="C43" s="127" t="s">
        <v>112</v>
      </c>
      <c r="D43" s="674">
        <f t="shared" si="8"/>
        <v>5.5303289999999992</v>
      </c>
      <c r="E43" s="674">
        <f t="shared" si="8"/>
        <v>5.6327424999999991</v>
      </c>
      <c r="F43" s="674">
        <f t="shared" si="8"/>
        <v>5.735155999999999</v>
      </c>
      <c r="G43" s="674">
        <f t="shared" si="8"/>
        <v>6.7592909999999993</v>
      </c>
      <c r="H43" s="675">
        <f t="shared" si="6"/>
        <v>7.6810124999999987</v>
      </c>
      <c r="I43" s="675">
        <f t="shared" si="6"/>
        <v>8.6027339999999981</v>
      </c>
      <c r="J43" s="674">
        <f>M28*(100/M$31)</f>
        <v>9.5244554999999984</v>
      </c>
      <c r="K43" s="675">
        <f>J43+($L43-$J43)/COUNT($J$40:$K$40)</f>
        <v>10.343763499999998</v>
      </c>
      <c r="L43" s="674">
        <f>N28*(100/N$31)</f>
        <v>11.163071499999999</v>
      </c>
      <c r="M43" s="675">
        <f>L43+($Q43-$L43)/COUNT($L$40:$P$40)</f>
        <v>12.289619999999998</v>
      </c>
      <c r="N43" s="675">
        <f t="shared" si="9"/>
        <v>13.416168499999996</v>
      </c>
      <c r="O43" s="675">
        <f t="shared" si="9"/>
        <v>14.542716999999994</v>
      </c>
      <c r="P43" s="675">
        <f t="shared" si="9"/>
        <v>15.669265499999993</v>
      </c>
      <c r="Q43" s="674">
        <f>O28*(100/O$31)</f>
        <v>16.795813999999993</v>
      </c>
      <c r="R43" s="675">
        <f t="shared" si="7"/>
        <v>18.495878099999992</v>
      </c>
      <c r="S43" s="675">
        <f t="shared" si="7"/>
        <v>20.19594219999999</v>
      </c>
      <c r="T43" s="675">
        <f t="shared" si="7"/>
        <v>21.896006299999989</v>
      </c>
      <c r="U43" s="675">
        <f t="shared" si="7"/>
        <v>23.596070399999988</v>
      </c>
      <c r="V43" s="674">
        <f>P28*(100/P$31)</f>
        <v>25.296134499999994</v>
      </c>
    </row>
  </sheetData>
  <mergeCells count="4">
    <mergeCell ref="D3:H3"/>
    <mergeCell ref="I3:P3"/>
    <mergeCell ref="A15:P15"/>
    <mergeCell ref="A16:P16"/>
  </mergeCells>
  <pageMargins left="0.7" right="0.7" top="0.75" bottom="0.75" header="0.3" footer="0.3"/>
  <pageSetup paperSize="9" orientation="landscape" r:id="rId1"/>
  <headerFooter>
    <oddHeader>&amp;CNationale Energieverkenning 2015</oddHeader>
    <oddFooter xml:space="preserve">&amp;LVersie: 1.0; oktober 2015&amp;RPagina &amp;P van &amp;N </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V43"/>
  <sheetViews>
    <sheetView workbookViewId="0">
      <pane xSplit="3" ySplit="4" topLeftCell="D5" activePane="bottomRight" state="frozen"/>
      <selection activeCell="C19" sqref="C19"/>
      <selection pane="topRight" activeCell="C19" sqref="C19"/>
      <selection pane="bottomLeft" activeCell="C19" sqref="C19"/>
      <selection pane="bottomRight" activeCell="C27" sqref="C27"/>
    </sheetView>
  </sheetViews>
  <sheetFormatPr defaultColWidth="9.140625" defaultRowHeight="15" x14ac:dyDescent="0.25"/>
  <cols>
    <col min="1" max="1" width="12.7109375" style="127" customWidth="1"/>
    <col min="2" max="2" width="28.42578125" style="127" customWidth="1"/>
    <col min="3" max="3" width="22.5703125" style="127" bestFit="1" customWidth="1"/>
    <col min="4" max="4" width="11.28515625" style="127" bestFit="1" customWidth="1"/>
    <col min="5" max="16384" width="9.140625" style="127"/>
  </cols>
  <sheetData>
    <row r="1" spans="1:16" x14ac:dyDescent="0.25">
      <c r="A1" s="639" t="s">
        <v>1090</v>
      </c>
    </row>
    <row r="2" spans="1:16" ht="15.75" thickBot="1" x14ac:dyDescent="0.3">
      <c r="A2" s="639" t="s">
        <v>1058</v>
      </c>
      <c r="B2" s="639">
        <v>2016</v>
      </c>
    </row>
    <row r="3" spans="1:16" x14ac:dyDescent="0.25">
      <c r="A3" s="640"/>
      <c r="B3" s="640"/>
      <c r="C3" s="640"/>
      <c r="D3" s="1334" t="s">
        <v>1059</v>
      </c>
      <c r="E3" s="1334"/>
      <c r="F3" s="1334"/>
      <c r="G3" s="1334"/>
      <c r="H3" s="1335"/>
      <c r="I3" s="1334" t="s">
        <v>1060</v>
      </c>
      <c r="J3" s="1334"/>
      <c r="K3" s="1334"/>
      <c r="L3" s="1334"/>
      <c r="M3" s="1334"/>
      <c r="N3" s="1334"/>
      <c r="O3" s="1334"/>
      <c r="P3" s="1334"/>
    </row>
    <row r="4" spans="1:16" ht="30.75" thickBot="1" x14ac:dyDescent="0.3">
      <c r="A4" s="641"/>
      <c r="B4" s="642" t="s">
        <v>1061</v>
      </c>
      <c r="C4" s="643" t="s">
        <v>1062</v>
      </c>
      <c r="D4" s="644">
        <v>2000</v>
      </c>
      <c r="E4" s="644">
        <v>2005</v>
      </c>
      <c r="F4" s="644">
        <v>2010</v>
      </c>
      <c r="G4" s="644">
        <v>2015</v>
      </c>
      <c r="H4" s="645">
        <v>2016</v>
      </c>
      <c r="I4" s="644">
        <v>2017</v>
      </c>
      <c r="J4" s="644">
        <v>2018</v>
      </c>
      <c r="K4" s="644">
        <v>2019</v>
      </c>
      <c r="L4" s="644">
        <v>2020</v>
      </c>
      <c r="M4" s="644">
        <v>2023</v>
      </c>
      <c r="N4" s="644">
        <v>2025</v>
      </c>
      <c r="O4" s="644">
        <v>2030</v>
      </c>
      <c r="P4" s="644">
        <v>2035</v>
      </c>
    </row>
    <row r="5" spans="1:16" ht="17.25" x14ac:dyDescent="0.25">
      <c r="A5" s="127" t="s">
        <v>1063</v>
      </c>
      <c r="B5" s="127" t="s">
        <v>1064</v>
      </c>
      <c r="C5" s="127" t="s">
        <v>1065</v>
      </c>
      <c r="D5" s="646">
        <v>42.509327842581826</v>
      </c>
      <c r="E5" s="646">
        <v>53.145626180809089</v>
      </c>
      <c r="F5" s="646">
        <v>65.019356183520983</v>
      </c>
      <c r="G5" s="646">
        <v>47.274267688147816</v>
      </c>
      <c r="H5" s="647">
        <v>39.344114192790663</v>
      </c>
      <c r="I5" s="648">
        <v>46.915839140588851</v>
      </c>
      <c r="J5" s="648">
        <v>46.221104162195367</v>
      </c>
      <c r="K5" s="648">
        <v>46.039402105327852</v>
      </c>
      <c r="L5" s="648">
        <v>50.967638277570778</v>
      </c>
      <c r="M5" s="648">
        <v>65.752346794299541</v>
      </c>
      <c r="N5" s="648">
        <v>75.608819138785364</v>
      </c>
      <c r="O5" s="648">
        <v>100.24999999999997</v>
      </c>
      <c r="P5" s="648">
        <v>106.12049549549546</v>
      </c>
    </row>
    <row r="6" spans="1:16" ht="17.25" x14ac:dyDescent="0.25">
      <c r="A6" s="127" t="s">
        <v>123</v>
      </c>
      <c r="B6" s="127" t="s">
        <v>1066</v>
      </c>
      <c r="C6" s="127" t="s">
        <v>1067</v>
      </c>
      <c r="D6" s="649">
        <v>0.15932051106859796</v>
      </c>
      <c r="E6" s="649">
        <v>0.17630739273025417</v>
      </c>
      <c r="F6" s="649">
        <v>0.20125081933794145</v>
      </c>
      <c r="G6" s="649">
        <v>0.20922052695000001</v>
      </c>
      <c r="H6" s="650">
        <v>0.14757332000000004</v>
      </c>
      <c r="I6" s="651">
        <v>0.15992309347453543</v>
      </c>
      <c r="J6" s="651">
        <v>0.1589304829704154</v>
      </c>
      <c r="K6" s="651">
        <v>0.15581976640254314</v>
      </c>
      <c r="L6" s="651">
        <v>0.16985753853529995</v>
      </c>
      <c r="M6" s="651">
        <v>0.21197085493357049</v>
      </c>
      <c r="N6" s="651">
        <v>0.24004639919908413</v>
      </c>
      <c r="O6" s="651">
        <v>0.31023525986286832</v>
      </c>
      <c r="P6" s="651">
        <v>0.32830721674808394</v>
      </c>
    </row>
    <row r="7" spans="1:16" ht="17.25" x14ac:dyDescent="0.25">
      <c r="A7" s="127" t="s">
        <v>1068</v>
      </c>
      <c r="B7" s="127" t="s">
        <v>1069</v>
      </c>
      <c r="C7" s="127" t="s">
        <v>1070</v>
      </c>
      <c r="D7" s="646">
        <v>44.794040385714965</v>
      </c>
      <c r="E7" s="646">
        <v>64.383820962247796</v>
      </c>
      <c r="F7" s="646">
        <v>76.094286640025913</v>
      </c>
      <c r="G7" s="646">
        <v>59.879324999999994</v>
      </c>
      <c r="H7" s="647">
        <v>46.277649177970702</v>
      </c>
      <c r="I7" s="648">
        <v>53.948095459449043</v>
      </c>
      <c r="J7" s="648">
        <v>54.570863249945333</v>
      </c>
      <c r="K7" s="648">
        <v>50.098831410216462</v>
      </c>
      <c r="L7" s="648">
        <v>51.623187645651335</v>
      </c>
      <c r="M7" s="648">
        <v>56.196256351955938</v>
      </c>
      <c r="N7" s="648">
        <v>59.244968822825676</v>
      </c>
      <c r="O7" s="648">
        <v>66.866749999999996</v>
      </c>
      <c r="P7" s="648">
        <v>68.220124999999982</v>
      </c>
    </row>
    <row r="8" spans="1:16" ht="17.25" x14ac:dyDescent="0.25">
      <c r="A8" s="127" t="s">
        <v>1047</v>
      </c>
      <c r="B8" s="127" t="s">
        <v>1071</v>
      </c>
      <c r="C8" s="127" t="s">
        <v>1072</v>
      </c>
      <c r="D8" s="652">
        <v>58.376925731074053</v>
      </c>
      <c r="E8" s="652">
        <v>51.497995281935054</v>
      </c>
      <c r="F8" s="652">
        <v>52.961579836931186</v>
      </c>
      <c r="G8" s="652">
        <v>40.808321389752791</v>
      </c>
      <c r="H8" s="653">
        <v>33.736339903193624</v>
      </c>
      <c r="I8" s="654">
        <v>33.082499521970746</v>
      </c>
      <c r="J8" s="654">
        <v>32.180250382423402</v>
      </c>
      <c r="K8" s="654">
        <v>30.977249139547347</v>
      </c>
      <c r="L8" s="654">
        <v>32.380750191211696</v>
      </c>
      <c r="M8" s="654">
        <v>42.10499808788299</v>
      </c>
      <c r="N8" s="654">
        <v>47.418250191211698</v>
      </c>
      <c r="O8" s="654">
        <v>43.508501529693604</v>
      </c>
      <c r="P8" s="654">
        <v>48.120001912117004</v>
      </c>
    </row>
    <row r="9" spans="1:16" ht="33" thickBot="1" x14ac:dyDescent="0.3">
      <c r="A9" s="642" t="s">
        <v>1073</v>
      </c>
      <c r="B9" s="643" t="s">
        <v>1074</v>
      </c>
      <c r="C9" s="642" t="s">
        <v>1070</v>
      </c>
      <c r="D9" s="665"/>
      <c r="E9" s="665">
        <v>12.116267826927725</v>
      </c>
      <c r="F9" s="665">
        <v>15.4</v>
      </c>
      <c r="G9" s="665">
        <v>7.7</v>
      </c>
      <c r="H9" s="676">
        <v>5.2</v>
      </c>
      <c r="I9" s="665">
        <v>5.4</v>
      </c>
      <c r="J9" s="665">
        <v>5.5</v>
      </c>
      <c r="K9" s="665">
        <v>5.6</v>
      </c>
      <c r="L9" s="665">
        <v>6.6</v>
      </c>
      <c r="M9" s="665">
        <v>9.3000000000000007</v>
      </c>
      <c r="N9" s="665">
        <v>10.9</v>
      </c>
      <c r="O9" s="665">
        <v>16.399999999999995</v>
      </c>
      <c r="P9" s="665">
        <v>24.7</v>
      </c>
    </row>
    <row r="10" spans="1:16" x14ac:dyDescent="0.25">
      <c r="A10" s="659" t="s">
        <v>1075</v>
      </c>
      <c r="B10" s="660"/>
      <c r="C10" s="659"/>
      <c r="D10" s="661"/>
      <c r="E10" s="661"/>
      <c r="F10" s="661"/>
      <c r="G10" s="661"/>
      <c r="H10" s="661"/>
      <c r="I10" s="677"/>
      <c r="J10" s="661"/>
      <c r="K10" s="661"/>
      <c r="L10" s="661"/>
      <c r="M10" s="661"/>
      <c r="N10" s="661"/>
      <c r="O10" s="661"/>
      <c r="P10" s="661"/>
    </row>
    <row r="11" spans="1:16" ht="17.25" x14ac:dyDescent="0.25">
      <c r="A11" s="655" t="s">
        <v>1076</v>
      </c>
      <c r="B11" s="656" t="s">
        <v>1077</v>
      </c>
      <c r="C11" s="655" t="s">
        <v>547</v>
      </c>
      <c r="D11" s="638">
        <v>72.997506234413962</v>
      </c>
      <c r="E11" s="638">
        <v>82.533665835411469</v>
      </c>
      <c r="F11" s="638">
        <v>92.359102244389035</v>
      </c>
      <c r="G11" s="638">
        <v>99.750623441396513</v>
      </c>
      <c r="H11" s="638">
        <v>100</v>
      </c>
      <c r="I11" s="663">
        <v>100.89999999999999</v>
      </c>
      <c r="J11" s="638">
        <v>102.41349999999998</v>
      </c>
      <c r="K11" s="638">
        <v>103.94970249999997</v>
      </c>
      <c r="L11" s="638">
        <v>105.50894803749995</v>
      </c>
      <c r="M11" s="638">
        <v>110.32842533181235</v>
      </c>
      <c r="N11" s="638">
        <v>113.66310198746636</v>
      </c>
      <c r="O11" s="638">
        <v>122.44744160297576</v>
      </c>
      <c r="P11" s="638">
        <v>131.91067015545187</v>
      </c>
    </row>
    <row r="12" spans="1:16" ht="18" thickBot="1" x14ac:dyDescent="0.3">
      <c r="A12" s="642" t="s">
        <v>1078</v>
      </c>
      <c r="B12" s="643" t="s">
        <v>1079</v>
      </c>
      <c r="C12" s="642" t="s">
        <v>1080</v>
      </c>
      <c r="D12" s="665"/>
      <c r="E12" s="665"/>
      <c r="F12" s="665"/>
      <c r="G12" s="666">
        <v>1.1100000000000001</v>
      </c>
      <c r="H12" s="666">
        <v>1.1100000000000001</v>
      </c>
      <c r="I12" s="667">
        <v>1.1299999999999999</v>
      </c>
      <c r="J12" s="666">
        <v>1.1599999999999999</v>
      </c>
      <c r="K12" s="666">
        <v>1.1599999999999999</v>
      </c>
      <c r="L12" s="666">
        <v>1.1599999999999999</v>
      </c>
      <c r="M12" s="666">
        <v>1.1100000000000001</v>
      </c>
      <c r="N12" s="666">
        <v>1.1100000000000001</v>
      </c>
      <c r="O12" s="666">
        <v>1.1100000000000001</v>
      </c>
      <c r="P12" s="666">
        <v>1.1100000000000001</v>
      </c>
    </row>
    <row r="14" spans="1:16" ht="17.25" x14ac:dyDescent="0.25">
      <c r="A14" s="668" t="s">
        <v>1081</v>
      </c>
      <c r="B14" s="669"/>
      <c r="C14" s="669"/>
      <c r="D14" s="669"/>
      <c r="E14" s="669"/>
      <c r="F14" s="669"/>
      <c r="G14" s="669"/>
      <c r="H14" s="669"/>
      <c r="I14" s="669"/>
      <c r="J14" s="669"/>
      <c r="K14" s="669"/>
      <c r="L14" s="669"/>
      <c r="M14" s="669"/>
      <c r="N14" s="669"/>
      <c r="O14" s="669"/>
      <c r="P14" s="669"/>
    </row>
    <row r="15" spans="1:16" ht="32.25" customHeight="1" x14ac:dyDescent="0.25">
      <c r="A15" s="1336" t="s">
        <v>1082</v>
      </c>
      <c r="B15" s="1336"/>
      <c r="C15" s="1336"/>
      <c r="D15" s="1336"/>
      <c r="E15" s="1336"/>
      <c r="F15" s="1336"/>
      <c r="G15" s="1336"/>
      <c r="H15" s="1336"/>
      <c r="I15" s="1336"/>
      <c r="J15" s="1336"/>
      <c r="K15" s="1336"/>
      <c r="L15" s="1336"/>
      <c r="M15" s="1336"/>
      <c r="N15" s="1336"/>
      <c r="O15" s="1336"/>
      <c r="P15" s="1336"/>
    </row>
    <row r="16" spans="1:16" ht="29.25" customHeight="1" x14ac:dyDescent="0.25">
      <c r="A16" s="1337" t="s">
        <v>1083</v>
      </c>
      <c r="B16" s="1337"/>
      <c r="C16" s="1337"/>
      <c r="D16" s="1337"/>
      <c r="E16" s="1337"/>
      <c r="F16" s="1337"/>
      <c r="G16" s="1337"/>
      <c r="H16" s="1337"/>
      <c r="I16" s="1337"/>
      <c r="J16" s="1337"/>
      <c r="K16" s="1337"/>
      <c r="L16" s="1337"/>
      <c r="M16" s="1337"/>
      <c r="N16" s="1337"/>
      <c r="O16" s="1337"/>
      <c r="P16" s="1337"/>
    </row>
    <row r="17" spans="1:16" ht="17.25" x14ac:dyDescent="0.25">
      <c r="A17" s="669" t="s">
        <v>1084</v>
      </c>
      <c r="B17" s="669"/>
      <c r="C17" s="669"/>
      <c r="D17" s="669"/>
      <c r="E17" s="669"/>
      <c r="F17" s="669"/>
      <c r="G17" s="669"/>
      <c r="H17" s="669"/>
      <c r="I17" s="669"/>
      <c r="J17" s="669"/>
      <c r="K17" s="669"/>
      <c r="L17" s="669"/>
      <c r="M17" s="669"/>
      <c r="N17" s="669"/>
      <c r="O17" s="669"/>
      <c r="P17" s="669"/>
    </row>
    <row r="18" spans="1:16" ht="17.25" x14ac:dyDescent="0.25">
      <c r="A18" s="669" t="s">
        <v>1085</v>
      </c>
      <c r="B18" s="669"/>
      <c r="C18" s="669"/>
      <c r="D18" s="669"/>
      <c r="E18" s="669"/>
      <c r="F18" s="669"/>
      <c r="G18" s="669"/>
      <c r="H18" s="669"/>
      <c r="I18" s="669"/>
      <c r="J18" s="669"/>
      <c r="K18" s="669"/>
      <c r="L18" s="669"/>
      <c r="M18" s="669"/>
      <c r="N18" s="669"/>
      <c r="O18" s="669"/>
      <c r="P18" s="669"/>
    </row>
    <row r="19" spans="1:16" ht="17.25" x14ac:dyDescent="0.25">
      <c r="A19" s="669" t="s">
        <v>1086</v>
      </c>
      <c r="B19" s="669"/>
      <c r="C19" s="669"/>
      <c r="D19" s="669"/>
      <c r="E19" s="669"/>
      <c r="F19" s="669"/>
      <c r="G19" s="669"/>
      <c r="H19" s="669"/>
      <c r="I19" s="669"/>
      <c r="J19" s="669"/>
      <c r="K19" s="669"/>
      <c r="L19" s="669"/>
      <c r="M19" s="669"/>
      <c r="N19" s="669"/>
      <c r="O19" s="669"/>
      <c r="P19" s="669"/>
    </row>
    <row r="20" spans="1:16" ht="17.25" x14ac:dyDescent="0.25">
      <c r="A20" s="669" t="s">
        <v>1087</v>
      </c>
      <c r="B20" s="669"/>
      <c r="C20" s="669"/>
      <c r="D20" s="669"/>
      <c r="E20" s="669"/>
      <c r="F20" s="669"/>
      <c r="G20" s="669"/>
      <c r="H20" s="669"/>
      <c r="I20" s="669"/>
      <c r="J20" s="669"/>
      <c r="K20" s="669"/>
      <c r="L20" s="669"/>
      <c r="M20" s="669"/>
      <c r="N20" s="669"/>
      <c r="O20" s="669"/>
      <c r="P20" s="669"/>
    </row>
    <row r="21" spans="1:16" x14ac:dyDescent="0.25">
      <c r="A21" s="669"/>
      <c r="B21" s="669"/>
      <c r="C21" s="669"/>
      <c r="D21" s="669"/>
      <c r="E21" s="669"/>
      <c r="F21" s="669"/>
      <c r="G21" s="669"/>
      <c r="H21" s="669"/>
      <c r="I21" s="669"/>
      <c r="J21" s="669"/>
      <c r="K21" s="669"/>
      <c r="L21" s="669"/>
      <c r="M21" s="669"/>
      <c r="N21" s="669"/>
      <c r="O21" s="669"/>
      <c r="P21" s="669"/>
    </row>
    <row r="22" spans="1:16" x14ac:dyDescent="0.25">
      <c r="A22" s="670" t="s">
        <v>1088</v>
      </c>
      <c r="B22" s="669"/>
      <c r="C22" s="669"/>
      <c r="D22" s="669"/>
      <c r="E22" s="669"/>
      <c r="F22" s="669"/>
      <c r="G22" s="669"/>
      <c r="H22" s="669"/>
      <c r="I22" s="669"/>
      <c r="J22" s="669"/>
      <c r="K22" s="669"/>
      <c r="L22" s="669"/>
      <c r="M22" s="669"/>
      <c r="N22" s="669"/>
      <c r="O22" s="669"/>
      <c r="P22" s="669"/>
    </row>
    <row r="23" spans="1:16" x14ac:dyDescent="0.25">
      <c r="A23" s="669"/>
      <c r="B23" s="669"/>
      <c r="C23" s="669"/>
      <c r="D23" s="669">
        <f t="shared" ref="C23:P28" si="0">D4</f>
        <v>2000</v>
      </c>
      <c r="E23" s="669">
        <f t="shared" si="0"/>
        <v>2005</v>
      </c>
      <c r="F23" s="669">
        <f t="shared" si="0"/>
        <v>2010</v>
      </c>
      <c r="G23" s="669">
        <f t="shared" si="0"/>
        <v>2015</v>
      </c>
      <c r="H23" s="671">
        <f t="shared" si="0"/>
        <v>2016</v>
      </c>
      <c r="I23" s="669">
        <f t="shared" si="0"/>
        <v>2017</v>
      </c>
      <c r="J23" s="669">
        <f t="shared" si="0"/>
        <v>2018</v>
      </c>
      <c r="K23" s="669">
        <f t="shared" si="0"/>
        <v>2019</v>
      </c>
      <c r="L23" s="669">
        <f t="shared" si="0"/>
        <v>2020</v>
      </c>
      <c r="M23" s="669">
        <f t="shared" si="0"/>
        <v>2023</v>
      </c>
      <c r="N23" s="669">
        <f t="shared" si="0"/>
        <v>2025</v>
      </c>
      <c r="O23" s="669">
        <f t="shared" si="0"/>
        <v>2030</v>
      </c>
      <c r="P23" s="669">
        <f t="shared" si="0"/>
        <v>2035</v>
      </c>
    </row>
    <row r="24" spans="1:16" x14ac:dyDescent="0.25">
      <c r="A24" s="669" t="str">
        <f t="shared" ref="A24:B28" si="1">A5</f>
        <v>Olie</v>
      </c>
      <c r="B24" s="669" t="str">
        <f t="shared" si="1"/>
        <v>North Sea Brent1</v>
      </c>
      <c r="C24" s="669" t="str">
        <f t="shared" si="0"/>
        <v>Euro per vat</v>
      </c>
      <c r="D24" s="651">
        <f>D5*(D$30/$H$30)</f>
        <v>31.030749242096139</v>
      </c>
      <c r="E24" s="651">
        <f t="shared" ref="E24:P24" si="2">E5*(E$30/$H$30)</f>
        <v>43.863033518205924</v>
      </c>
      <c r="F24" s="651">
        <f t="shared" si="2"/>
        <v>60.051293656181628</v>
      </c>
      <c r="G24" s="651">
        <f t="shared" si="2"/>
        <v>47.156376746282113</v>
      </c>
      <c r="H24" s="672">
        <f t="shared" si="2"/>
        <v>39.344114192790663</v>
      </c>
      <c r="I24" s="651">
        <f t="shared" si="2"/>
        <v>47.338081692854146</v>
      </c>
      <c r="J24" s="651">
        <f t="shared" si="2"/>
        <v>47.336650511149941</v>
      </c>
      <c r="K24" s="651">
        <f t="shared" si="2"/>
        <v>47.857821521267027</v>
      </c>
      <c r="L24" s="651">
        <f t="shared" si="2"/>
        <v>53.775418986223087</v>
      </c>
      <c r="M24" s="651">
        <f t="shared" si="2"/>
        <v>72.543528836863075</v>
      </c>
      <c r="N24" s="651">
        <f t="shared" si="2"/>
        <v>85.93932920923659</v>
      </c>
      <c r="O24" s="651">
        <f t="shared" si="2"/>
        <v>122.75356020698317</v>
      </c>
      <c r="P24" s="651">
        <f t="shared" si="2"/>
        <v>139.98425678039416</v>
      </c>
    </row>
    <row r="25" spans="1:16" x14ac:dyDescent="0.25">
      <c r="A25" s="669" t="str">
        <f t="shared" si="1"/>
        <v>Gas</v>
      </c>
      <c r="B25" s="669" t="str">
        <f t="shared" si="1"/>
        <v>Groothandelsprijs2</v>
      </c>
      <c r="C25" s="669" t="str">
        <f t="shared" si="0"/>
        <v>Euro per m3</v>
      </c>
      <c r="D25" s="651">
        <f t="shared" ref="D25:P28" si="3">D6*(D$30/$H$30)</f>
        <v>0.11629999999999999</v>
      </c>
      <c r="E25" s="651">
        <f t="shared" si="3"/>
        <v>0.14551295435911452</v>
      </c>
      <c r="F25" s="651">
        <f t="shared" si="3"/>
        <v>0.18587345</v>
      </c>
      <c r="G25" s="651">
        <f t="shared" si="3"/>
        <v>0.20869878000000003</v>
      </c>
      <c r="H25" s="672">
        <f t="shared" si="3"/>
        <v>0.14757332000000004</v>
      </c>
      <c r="I25" s="651">
        <f t="shared" si="3"/>
        <v>0.16136240131580623</v>
      </c>
      <c r="J25" s="651">
        <f t="shared" si="3"/>
        <v>0.16276627017690634</v>
      </c>
      <c r="K25" s="651">
        <f t="shared" si="3"/>
        <v>0.16197418361163851</v>
      </c>
      <c r="L25" s="651">
        <f t="shared" si="3"/>
        <v>0.17921490207098606</v>
      </c>
      <c r="M25" s="651">
        <f t="shared" si="3"/>
        <v>0.23386410641058858</v>
      </c>
      <c r="N25" s="651">
        <f t="shared" si="3"/>
        <v>0.27284418353889561</v>
      </c>
      <c r="O25" s="651">
        <f t="shared" si="3"/>
        <v>0.37987513865242578</v>
      </c>
      <c r="P25" s="651">
        <f t="shared" si="3"/>
        <v>0.43307224978110942</v>
      </c>
    </row>
    <row r="26" spans="1:16" x14ac:dyDescent="0.25">
      <c r="A26" s="669" t="str">
        <f t="shared" si="1"/>
        <v>Kolen</v>
      </c>
      <c r="B26" s="669" t="str">
        <f t="shared" si="1"/>
        <v>Import ketelkolen Nederland3</v>
      </c>
      <c r="C26" s="669" t="str">
        <f t="shared" si="0"/>
        <v>Euro per ton</v>
      </c>
      <c r="D26" s="651">
        <f t="shared" si="3"/>
        <v>32.698532423208192</v>
      </c>
      <c r="E26" s="651">
        <f t="shared" si="3"/>
        <v>53.138327645051199</v>
      </c>
      <c r="F26" s="651">
        <f t="shared" si="3"/>
        <v>70.28</v>
      </c>
      <c r="G26" s="651">
        <f t="shared" si="3"/>
        <v>59.73</v>
      </c>
      <c r="H26" s="672">
        <f t="shared" si="3"/>
        <v>46.277649177970702</v>
      </c>
      <c r="I26" s="651">
        <f t="shared" si="3"/>
        <v>54.433628318584077</v>
      </c>
      <c r="J26" s="651">
        <f t="shared" si="3"/>
        <v>55.887931034482754</v>
      </c>
      <c r="K26" s="651">
        <f t="shared" si="3"/>
        <v>52.077586206896555</v>
      </c>
      <c r="L26" s="651">
        <f t="shared" si="3"/>
        <v>54.467082228351359</v>
      </c>
      <c r="M26" s="651">
        <f t="shared" si="3"/>
        <v>62.000444728541567</v>
      </c>
      <c r="N26" s="651">
        <f t="shared" si="3"/>
        <v>67.339669335530999</v>
      </c>
      <c r="O26" s="651">
        <f t="shared" si="3"/>
        <v>81.876624658057793</v>
      </c>
      <c r="P26" s="651">
        <f t="shared" si="3"/>
        <v>89.989624068386931</v>
      </c>
    </row>
    <row r="27" spans="1:16" x14ac:dyDescent="0.25">
      <c r="A27" s="669" t="str">
        <f t="shared" si="1"/>
        <v>Elektriciteit</v>
      </c>
      <c r="B27" s="669" t="str">
        <f t="shared" si="1"/>
        <v>Groothandelsprijs basislast4</v>
      </c>
      <c r="C27" s="669" t="str">
        <f t="shared" si="0"/>
        <v>Euro per MWh</v>
      </c>
      <c r="D27" s="651">
        <f t="shared" si="3"/>
        <v>42.613699999999994</v>
      </c>
      <c r="E27" s="651">
        <f t="shared" si="3"/>
        <v>42.503183337928242</v>
      </c>
      <c r="F27" s="651">
        <f t="shared" si="3"/>
        <v>48.914839671835004</v>
      </c>
      <c r="G27" s="651">
        <f t="shared" si="3"/>
        <v>40.706555002247178</v>
      </c>
      <c r="H27" s="672">
        <f t="shared" si="3"/>
        <v>33.736339903193624</v>
      </c>
      <c r="I27" s="651">
        <f t="shared" si="3"/>
        <v>33.380242017668479</v>
      </c>
      <c r="J27" s="651">
        <f t="shared" si="3"/>
        <v>32.956920725403187</v>
      </c>
      <c r="K27" s="651">
        <f t="shared" si="3"/>
        <v>32.200758323243271</v>
      </c>
      <c r="L27" s="651">
        <f t="shared" si="3"/>
        <v>34.164588893398211</v>
      </c>
      <c r="M27" s="651">
        <f t="shared" si="3"/>
        <v>46.453781376351003</v>
      </c>
      <c r="N27" s="651">
        <f t="shared" si="3"/>
        <v>53.897054075508919</v>
      </c>
      <c r="O27" s="651">
        <f t="shared" si="3"/>
        <v>53.275047002901388</v>
      </c>
      <c r="P27" s="651">
        <f t="shared" si="3"/>
        <v>63.475417001089788</v>
      </c>
    </row>
    <row r="28" spans="1:16" x14ac:dyDescent="0.25">
      <c r="A28" s="669" t="str">
        <f t="shared" si="1"/>
        <v>CO2</v>
      </c>
      <c r="B28" s="669" t="str">
        <f t="shared" si="1"/>
        <v>Europees emissiehandelssysteem (ETS)5</v>
      </c>
      <c r="C28" s="669" t="str">
        <f t="shared" si="0"/>
        <v>Euro per ton</v>
      </c>
      <c r="D28" s="651">
        <f t="shared" si="3"/>
        <v>0</v>
      </c>
      <c r="E28" s="651">
        <f t="shared" si="3"/>
        <v>10</v>
      </c>
      <c r="F28" s="651">
        <f t="shared" si="3"/>
        <v>14.223301745635911</v>
      </c>
      <c r="G28" s="651">
        <f t="shared" si="3"/>
        <v>7.6807980049875315</v>
      </c>
      <c r="H28" s="672">
        <f t="shared" si="3"/>
        <v>5.2</v>
      </c>
      <c r="I28" s="651">
        <f t="shared" si="3"/>
        <v>5.4485999999999999</v>
      </c>
      <c r="J28" s="651">
        <f t="shared" si="3"/>
        <v>5.6327424999999991</v>
      </c>
      <c r="K28" s="651">
        <f t="shared" si="3"/>
        <v>5.8211833399999984</v>
      </c>
      <c r="L28" s="651">
        <f t="shared" si="3"/>
        <v>6.9635905704749961</v>
      </c>
      <c r="M28" s="651">
        <f t="shared" si="3"/>
        <v>10.260543555858549</v>
      </c>
      <c r="N28" s="651">
        <f t="shared" si="3"/>
        <v>12.389278116633834</v>
      </c>
      <c r="O28" s="651">
        <f t="shared" si="3"/>
        <v>20.081380422888017</v>
      </c>
      <c r="P28" s="651">
        <f t="shared" si="3"/>
        <v>32.581935528396606</v>
      </c>
    </row>
    <row r="29" spans="1:16" x14ac:dyDescent="0.25">
      <c r="A29" s="669" t="str">
        <f>A10</f>
        <v>Conversiefactoren</v>
      </c>
      <c r="B29" s="669"/>
      <c r="C29" s="669"/>
      <c r="D29" s="669"/>
      <c r="E29" s="669"/>
      <c r="F29" s="669"/>
      <c r="G29" s="669"/>
      <c r="H29" s="671"/>
      <c r="I29" s="669"/>
      <c r="J29" s="669"/>
      <c r="K29" s="669"/>
      <c r="L29" s="669"/>
      <c r="M29" s="669"/>
      <c r="N29" s="669"/>
      <c r="O29" s="669"/>
      <c r="P29" s="669"/>
    </row>
    <row r="30" spans="1:16" x14ac:dyDescent="0.25">
      <c r="A30" s="669" t="str">
        <f>A11</f>
        <v>Prijsindex</v>
      </c>
      <c r="B30" s="669" t="str">
        <f>B11</f>
        <v>Jaarlijkse inflatie (HICP)6</v>
      </c>
      <c r="C30" s="669" t="str">
        <f t="shared" ref="C30:P30" si="4">C11</f>
        <v>Index (2016=100)</v>
      </c>
      <c r="D30" s="669">
        <f t="shared" si="4"/>
        <v>72.997506234413962</v>
      </c>
      <c r="E30" s="669">
        <f t="shared" si="4"/>
        <v>82.533665835411469</v>
      </c>
      <c r="F30" s="669">
        <f t="shared" si="4"/>
        <v>92.359102244389035</v>
      </c>
      <c r="G30" s="669">
        <f t="shared" si="4"/>
        <v>99.750623441396513</v>
      </c>
      <c r="H30" s="671">
        <f t="shared" si="4"/>
        <v>100</v>
      </c>
      <c r="I30" s="669">
        <f t="shared" si="4"/>
        <v>100.89999999999999</v>
      </c>
      <c r="J30" s="669">
        <f t="shared" si="4"/>
        <v>102.41349999999998</v>
      </c>
      <c r="K30" s="669">
        <f t="shared" si="4"/>
        <v>103.94970249999997</v>
      </c>
      <c r="L30" s="669">
        <f t="shared" si="4"/>
        <v>105.50894803749995</v>
      </c>
      <c r="M30" s="669">
        <f t="shared" si="4"/>
        <v>110.32842533181235</v>
      </c>
      <c r="N30" s="669">
        <f t="shared" si="4"/>
        <v>113.66310198746636</v>
      </c>
      <c r="O30" s="669">
        <f t="shared" si="4"/>
        <v>122.44744160297576</v>
      </c>
      <c r="P30" s="669">
        <f t="shared" si="4"/>
        <v>131.91067015545187</v>
      </c>
    </row>
    <row r="31" spans="1:16" x14ac:dyDescent="0.25">
      <c r="A31" s="669"/>
      <c r="B31" s="669"/>
      <c r="C31" s="669" t="str">
        <f>"Index ("&amp;B39&amp;"=100)"</f>
        <v>Index (2018=100)</v>
      </c>
      <c r="D31" s="669">
        <f t="shared" ref="D31:P31" si="5">100*D30/HLOOKUP($B$39,$D$23:$P$30,8,FALSE)</f>
        <v>71.277230281568322</v>
      </c>
      <c r="E31" s="669">
        <f t="shared" si="5"/>
        <v>80.588658561040759</v>
      </c>
      <c r="F31" s="669">
        <f t="shared" si="5"/>
        <v>90.182546484974196</v>
      </c>
      <c r="G31" s="669">
        <f t="shared" si="5"/>
        <v>97.399877400339335</v>
      </c>
      <c r="H31" s="669">
        <f t="shared" si="5"/>
        <v>97.643377093840186</v>
      </c>
      <c r="I31" s="669">
        <f t="shared" si="5"/>
        <v>98.52216748768474</v>
      </c>
      <c r="J31" s="669">
        <f t="shared" si="5"/>
        <v>100</v>
      </c>
      <c r="K31" s="669">
        <f t="shared" si="5"/>
        <v>101.49999999999999</v>
      </c>
      <c r="L31" s="669">
        <f t="shared" si="5"/>
        <v>103.02249999999995</v>
      </c>
      <c r="M31" s="669">
        <f t="shared" si="5"/>
        <v>107.72840038843744</v>
      </c>
      <c r="N31" s="669">
        <f t="shared" si="5"/>
        <v>110.98449129017793</v>
      </c>
      <c r="O31" s="669">
        <f t="shared" si="5"/>
        <v>119.56181714615336</v>
      </c>
      <c r="P31" s="669">
        <f t="shared" si="5"/>
        <v>128.80203308689957</v>
      </c>
    </row>
    <row r="32" spans="1:16" x14ac:dyDescent="0.25">
      <c r="A32" s="669"/>
      <c r="B32" s="669"/>
      <c r="C32" s="669"/>
      <c r="D32" s="669"/>
      <c r="E32" s="669"/>
      <c r="F32" s="669"/>
      <c r="G32" s="669"/>
      <c r="H32" s="669"/>
      <c r="I32" s="669"/>
      <c r="J32" s="669"/>
      <c r="K32" s="669"/>
      <c r="L32" s="669"/>
      <c r="M32" s="669"/>
      <c r="N32" s="669"/>
      <c r="O32" s="669"/>
      <c r="P32" s="669"/>
    </row>
    <row r="33" spans="1:22" x14ac:dyDescent="0.25">
      <c r="A33" s="669"/>
      <c r="B33" s="669"/>
      <c r="C33" s="669"/>
      <c r="D33" s="669"/>
      <c r="E33" s="669"/>
      <c r="F33" s="669"/>
      <c r="G33" s="669"/>
      <c r="H33" s="669"/>
      <c r="I33" s="669"/>
      <c r="J33" s="669"/>
      <c r="K33" s="669"/>
      <c r="L33" s="669"/>
      <c r="M33" s="669"/>
      <c r="N33" s="669"/>
      <c r="O33" s="669"/>
      <c r="P33" s="669"/>
    </row>
    <row r="34" spans="1:22" x14ac:dyDescent="0.25">
      <c r="A34" s="669"/>
      <c r="B34" s="669"/>
      <c r="C34" s="669"/>
      <c r="D34" s="669"/>
      <c r="E34" s="669"/>
      <c r="F34" s="669"/>
      <c r="G34" s="669"/>
      <c r="H34" s="669"/>
      <c r="I34" s="669"/>
      <c r="J34" s="669"/>
      <c r="K34" s="669"/>
      <c r="L34" s="669"/>
      <c r="M34" s="669"/>
      <c r="N34" s="669"/>
      <c r="O34" s="669"/>
      <c r="P34" s="669"/>
    </row>
    <row r="35" spans="1:22" x14ac:dyDescent="0.25">
      <c r="A35" s="669"/>
      <c r="B35" s="669"/>
      <c r="C35" s="669"/>
      <c r="D35" s="669"/>
      <c r="E35" s="669"/>
      <c r="F35" s="669"/>
      <c r="G35" s="669"/>
      <c r="H35" s="669"/>
      <c r="I35" s="669"/>
      <c r="J35" s="669"/>
      <c r="K35" s="669"/>
      <c r="L35" s="669"/>
      <c r="M35" s="669"/>
      <c r="N35" s="669"/>
      <c r="O35" s="669"/>
      <c r="P35" s="669"/>
    </row>
    <row r="36" spans="1:22" x14ac:dyDescent="0.25">
      <c r="A36" s="669"/>
      <c r="B36" s="669"/>
      <c r="C36" s="669"/>
      <c r="D36" s="669"/>
      <c r="E36" s="669"/>
      <c r="F36" s="669"/>
      <c r="G36" s="669"/>
      <c r="H36" s="669"/>
      <c r="I36" s="669"/>
      <c r="J36" s="669"/>
      <c r="K36" s="669"/>
      <c r="L36" s="669"/>
      <c r="M36" s="669"/>
      <c r="N36" s="669"/>
      <c r="O36" s="669"/>
      <c r="P36" s="669"/>
    </row>
    <row r="37" spans="1:22" x14ac:dyDescent="0.25">
      <c r="A37" s="669"/>
      <c r="B37" s="669"/>
      <c r="C37" s="669"/>
      <c r="D37" s="669"/>
      <c r="E37" s="669"/>
      <c r="F37" s="669"/>
      <c r="G37" s="669"/>
      <c r="H37" s="669"/>
      <c r="I37" s="669"/>
      <c r="J37" s="669"/>
      <c r="K37" s="669"/>
      <c r="L37" s="669"/>
      <c r="M37" s="669"/>
      <c r="N37" s="669"/>
      <c r="O37" s="669"/>
      <c r="P37" s="669"/>
    </row>
    <row r="38" spans="1:22" x14ac:dyDescent="0.25">
      <c r="A38" s="670" t="s">
        <v>1089</v>
      </c>
      <c r="B38" s="669"/>
      <c r="C38" s="669"/>
      <c r="D38" s="669"/>
      <c r="E38" s="669"/>
      <c r="F38" s="669"/>
      <c r="G38" s="669"/>
      <c r="H38" s="669"/>
      <c r="I38" s="669"/>
      <c r="J38" s="669"/>
      <c r="K38" s="669"/>
      <c r="L38" s="669"/>
      <c r="M38" s="669"/>
      <c r="N38" s="669"/>
      <c r="O38" s="669"/>
      <c r="P38" s="669"/>
    </row>
    <row r="39" spans="1:22" x14ac:dyDescent="0.25">
      <c r="A39" s="639" t="s">
        <v>1058</v>
      </c>
      <c r="B39" s="639">
        <v>2018</v>
      </c>
    </row>
    <row r="40" spans="1:22" x14ac:dyDescent="0.25">
      <c r="A40" s="673"/>
      <c r="B40" s="669"/>
      <c r="C40" s="669"/>
      <c r="D40" s="670">
        <v>2017</v>
      </c>
      <c r="E40" s="670">
        <v>2018</v>
      </c>
      <c r="F40" s="670">
        <v>2019</v>
      </c>
      <c r="G40" s="670">
        <v>2020</v>
      </c>
      <c r="H40" s="670">
        <v>2021</v>
      </c>
      <c r="I40" s="670">
        <v>2022</v>
      </c>
      <c r="J40" s="670">
        <v>2023</v>
      </c>
      <c r="K40" s="670">
        <v>2024</v>
      </c>
      <c r="L40" s="670">
        <v>2025</v>
      </c>
      <c r="M40" s="670">
        <v>2026</v>
      </c>
      <c r="N40" s="670">
        <v>2027</v>
      </c>
      <c r="O40" s="670">
        <v>2028</v>
      </c>
      <c r="P40" s="670">
        <v>2029</v>
      </c>
      <c r="Q40" s="670">
        <v>2030</v>
      </c>
      <c r="R40" s="670">
        <v>2031</v>
      </c>
      <c r="S40" s="670">
        <v>2032</v>
      </c>
      <c r="T40" s="670">
        <v>2033</v>
      </c>
      <c r="U40" s="670">
        <v>2034</v>
      </c>
      <c r="V40" s="670">
        <v>2035</v>
      </c>
    </row>
    <row r="41" spans="1:22" x14ac:dyDescent="0.25">
      <c r="B41" s="127" t="s">
        <v>123</v>
      </c>
      <c r="C41" s="127" t="s">
        <v>68</v>
      </c>
      <c r="D41" s="674">
        <v>16.764805641397665</v>
      </c>
      <c r="E41" s="674">
        <v>16.660749861724845</v>
      </c>
      <c r="F41" s="674">
        <v>16.334652126039423</v>
      </c>
      <c r="G41" s="674">
        <v>17.806237725910087</v>
      </c>
      <c r="H41" s="675">
        <f t="shared" ref="H41:I43" si="6">G41+($J41-$G41)/COUNT($G$40:$I$40)</f>
        <v>19.277823325780755</v>
      </c>
      <c r="I41" s="675">
        <f t="shared" si="6"/>
        <v>20.749408925651423</v>
      </c>
      <c r="J41" s="674">
        <v>22.220994525522087</v>
      </c>
      <c r="K41" s="675">
        <f>J41+($L41-$J41)/COUNT($J$40:$K$40)</f>
        <v>23.692580125392752</v>
      </c>
      <c r="L41" s="674">
        <v>25.164165725263416</v>
      </c>
      <c r="M41" s="675">
        <f>L41+($Q41-$L41)/COUNT($L$40:$P$40)</f>
        <v>26.635751325134081</v>
      </c>
      <c r="N41" s="675">
        <f>M41+($Q41-$L41)/COUNT($L$40:$P$40)</f>
        <v>28.107336925004745</v>
      </c>
      <c r="O41" s="675">
        <f>N41+($Q41-$L41)/COUNT($L$40:$P$40)</f>
        <v>29.578922524875409</v>
      </c>
      <c r="P41" s="675">
        <f>O41+($Q41-$L41)/COUNT($L$40:$P$40)</f>
        <v>31.050508124746074</v>
      </c>
      <c r="Q41" s="674">
        <v>32.522093724616745</v>
      </c>
      <c r="R41" s="675">
        <f t="shared" ref="R41:U43" si="7">Q41+($V41-$Q41)/COUNT($Q$40:$U$40)</f>
        <v>32.90099190393267</v>
      </c>
      <c r="S41" s="675">
        <f t="shared" si="7"/>
        <v>33.279890083248596</v>
      </c>
      <c r="T41" s="675">
        <f t="shared" si="7"/>
        <v>33.658788262564521</v>
      </c>
      <c r="U41" s="675">
        <f t="shared" si="7"/>
        <v>34.037686441880446</v>
      </c>
      <c r="V41" s="674">
        <v>34.416584621196357</v>
      </c>
    </row>
    <row r="42" spans="1:22" x14ac:dyDescent="0.25">
      <c r="B42" s="127" t="s">
        <v>1047</v>
      </c>
      <c r="C42" s="127" t="s">
        <v>68</v>
      </c>
      <c r="D42" s="674">
        <f t="shared" ref="D42:G43" si="8">I27*(100/I$31)</f>
        <v>33.880945647933501</v>
      </c>
      <c r="E42" s="674">
        <f t="shared" si="8"/>
        <v>32.956920725403187</v>
      </c>
      <c r="F42" s="674">
        <f t="shared" si="8"/>
        <v>31.724885047530321</v>
      </c>
      <c r="G42" s="674">
        <f t="shared" si="8"/>
        <v>33.162259597076584</v>
      </c>
      <c r="H42" s="675">
        <f t="shared" si="6"/>
        <v>36.481907136962406</v>
      </c>
      <c r="I42" s="675">
        <f t="shared" si="6"/>
        <v>39.801554676848227</v>
      </c>
      <c r="J42" s="674">
        <f>M27*(100/M$31)</f>
        <v>43.121202216734041</v>
      </c>
      <c r="K42" s="675">
        <f>J42+($L42-$J42)/COUNT($J$40:$K$40)</f>
        <v>45.84194593815532</v>
      </c>
      <c r="L42" s="674">
        <f>N27*(100/N$31)</f>
        <v>48.562689659576591</v>
      </c>
      <c r="M42" s="675">
        <f>L42+($Q42-$L42)/COUNT($L$40:$P$40)</f>
        <v>47.761867570483822</v>
      </c>
      <c r="N42" s="675">
        <f t="shared" ref="N42:P43" si="9">M42+($Q42-$L42)/COUNT($L$40:$P$40)</f>
        <v>46.961045481391054</v>
      </c>
      <c r="O42" s="675">
        <f t="shared" si="9"/>
        <v>46.160223392298285</v>
      </c>
      <c r="P42" s="675">
        <f t="shared" si="9"/>
        <v>45.359401303205516</v>
      </c>
      <c r="Q42" s="674">
        <f>O27*(100/O$31)</f>
        <v>44.558579214112747</v>
      </c>
      <c r="R42" s="675">
        <f t="shared" si="7"/>
        <v>45.503139002943385</v>
      </c>
      <c r="S42" s="675">
        <f t="shared" si="7"/>
        <v>46.447698791774023</v>
      </c>
      <c r="T42" s="675">
        <f t="shared" si="7"/>
        <v>47.392258580604661</v>
      </c>
      <c r="U42" s="675">
        <f t="shared" si="7"/>
        <v>48.336818369435299</v>
      </c>
      <c r="V42" s="674">
        <f>P27*(100/P$31)</f>
        <v>49.281378158265937</v>
      </c>
    </row>
    <row r="43" spans="1:22" x14ac:dyDescent="0.25">
      <c r="B43" s="127" t="s">
        <v>10</v>
      </c>
      <c r="C43" s="127" t="s">
        <v>112</v>
      </c>
      <c r="D43" s="674">
        <f t="shared" si="8"/>
        <v>5.5303289999999992</v>
      </c>
      <c r="E43" s="674">
        <f t="shared" si="8"/>
        <v>5.6327424999999991</v>
      </c>
      <c r="F43" s="674">
        <f t="shared" si="8"/>
        <v>5.735155999999999</v>
      </c>
      <c r="G43" s="674">
        <f t="shared" si="8"/>
        <v>6.7592909999999993</v>
      </c>
      <c r="H43" s="675">
        <f t="shared" si="6"/>
        <v>7.6810124999999987</v>
      </c>
      <c r="I43" s="675">
        <f t="shared" si="6"/>
        <v>8.6027339999999981</v>
      </c>
      <c r="J43" s="674">
        <f>M28*(100/M$31)</f>
        <v>9.5244554999999984</v>
      </c>
      <c r="K43" s="675">
        <f>J43+($L43-$J43)/COUNT($J$40:$K$40)</f>
        <v>10.343763499999998</v>
      </c>
      <c r="L43" s="674">
        <f>N28*(100/N$31)</f>
        <v>11.163071499999999</v>
      </c>
      <c r="M43" s="675">
        <f>L43+($Q43-$L43)/COUNT($L$40:$P$40)</f>
        <v>12.289619999999998</v>
      </c>
      <c r="N43" s="675">
        <f t="shared" si="9"/>
        <v>13.416168499999996</v>
      </c>
      <c r="O43" s="675">
        <f t="shared" si="9"/>
        <v>14.542716999999994</v>
      </c>
      <c r="P43" s="675">
        <f t="shared" si="9"/>
        <v>15.669265499999993</v>
      </c>
      <c r="Q43" s="674">
        <f>O28*(100/O$31)</f>
        <v>16.795813999999993</v>
      </c>
      <c r="R43" s="675">
        <f t="shared" si="7"/>
        <v>18.495878099999992</v>
      </c>
      <c r="S43" s="675">
        <f t="shared" si="7"/>
        <v>20.19594219999999</v>
      </c>
      <c r="T43" s="675">
        <f t="shared" si="7"/>
        <v>21.896006299999989</v>
      </c>
      <c r="U43" s="675">
        <f t="shared" si="7"/>
        <v>23.596070399999988</v>
      </c>
      <c r="V43" s="674">
        <f>P28*(100/P$31)</f>
        <v>25.296134499999994</v>
      </c>
    </row>
  </sheetData>
  <mergeCells count="4">
    <mergeCell ref="D3:H3"/>
    <mergeCell ref="I3:P3"/>
    <mergeCell ref="A15:P15"/>
    <mergeCell ref="A16:P16"/>
  </mergeCells>
  <pageMargins left="0.7" right="0.7" top="0.75" bottom="0.75" header="0.3" footer="0.3"/>
  <pageSetup paperSize="9" orientation="landscape" r:id="rId1"/>
  <headerFooter>
    <oddHeader>&amp;CNationale Energieverkenning 2015</oddHeader>
    <oddFooter xml:space="preserve">&amp;LVersie: 1.0; oktober 2015&amp;RPagina &amp;P van &amp;N </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5"/>
  <dimension ref="B150:T179"/>
  <sheetViews>
    <sheetView zoomScaleNormal="100" workbookViewId="0">
      <selection activeCell="B2" sqref="B2"/>
    </sheetView>
  </sheetViews>
  <sheetFormatPr defaultColWidth="9.140625" defaultRowHeight="15" x14ac:dyDescent="0.25"/>
  <cols>
    <col min="1" max="1" width="9.140625" style="1"/>
    <col min="2" max="2" width="13.85546875" style="1" customWidth="1"/>
    <col min="3" max="3" width="14.7109375" style="1" bestFit="1" customWidth="1"/>
    <col min="4" max="4" width="14.42578125" style="1" customWidth="1"/>
    <col min="5" max="5" width="13.28515625" style="1" bestFit="1" customWidth="1"/>
    <col min="6" max="6" width="13.140625" style="1" customWidth="1"/>
    <col min="7" max="7" width="12.42578125" style="1" customWidth="1"/>
    <col min="8" max="8" width="15.7109375" style="1" customWidth="1"/>
    <col min="9" max="9" width="14.28515625" style="1" bestFit="1" customWidth="1"/>
    <col min="10" max="10" width="9.140625" style="1"/>
    <col min="11" max="11" width="13.7109375" style="1" bestFit="1" customWidth="1"/>
    <col min="12" max="12" width="9.140625" style="1"/>
    <col min="13" max="13" width="14.28515625" style="1" bestFit="1" customWidth="1"/>
    <col min="14" max="14" width="9.140625" style="1"/>
    <col min="15" max="15" width="13.28515625" style="1" bestFit="1" customWidth="1"/>
    <col min="16" max="19" width="9.140625" style="1"/>
    <col min="20" max="20" width="13.28515625" style="1" bestFit="1" customWidth="1"/>
    <col min="21" max="16384" width="9.140625" style="1"/>
  </cols>
  <sheetData>
    <row r="150" spans="2:5" x14ac:dyDescent="0.25">
      <c r="B150" s="1252" t="s">
        <v>1257</v>
      </c>
      <c r="C150" s="1253">
        <f>Parameters!$G$73</f>
        <v>20</v>
      </c>
    </row>
    <row r="151" spans="2:5" x14ac:dyDescent="0.25">
      <c r="B151" s="1252" t="s">
        <v>1258</v>
      </c>
      <c r="C151" s="1253">
        <f>Parameters!$G$42</f>
        <v>37.799999999999997</v>
      </c>
    </row>
    <row r="152" spans="2:5" x14ac:dyDescent="0.25">
      <c r="B152" s="1252" t="s">
        <v>1259</v>
      </c>
      <c r="C152" s="1252">
        <f>3*400</f>
        <v>1200</v>
      </c>
    </row>
    <row r="154" spans="2:5" x14ac:dyDescent="0.25">
      <c r="B154" s="1253" t="s">
        <v>1260</v>
      </c>
      <c r="C154" s="1254">
        <v>7853400</v>
      </c>
      <c r="D154" s="1253" t="s">
        <v>562</v>
      </c>
      <c r="E154" s="1253"/>
    </row>
    <row r="155" spans="2:5" x14ac:dyDescent="0.25">
      <c r="B155" s="1253" t="s">
        <v>1261</v>
      </c>
      <c r="C155" s="1253">
        <v>2820</v>
      </c>
      <c r="D155" s="1253" t="s">
        <v>1262</v>
      </c>
      <c r="E155" s="1253"/>
    </row>
    <row r="156" spans="2:5" x14ac:dyDescent="0.25">
      <c r="B156" s="1253" t="s">
        <v>1263</v>
      </c>
      <c r="C156" s="1253">
        <v>140000</v>
      </c>
      <c r="D156" s="1253" t="s">
        <v>1264</v>
      </c>
      <c r="E156" s="1253"/>
    </row>
    <row r="157" spans="2:5" x14ac:dyDescent="0.25">
      <c r="B157" s="1253" t="s">
        <v>1265</v>
      </c>
      <c r="C157" s="1254">
        <v>121602.13636363637</v>
      </c>
      <c r="D157" s="1253" t="s">
        <v>1264</v>
      </c>
      <c r="E157" s="1253"/>
    </row>
    <row r="158" spans="2:5" x14ac:dyDescent="0.25">
      <c r="B158" s="1253"/>
      <c r="C158" s="1253"/>
      <c r="D158" s="1253"/>
      <c r="E158" s="1253"/>
    </row>
    <row r="159" spans="2:5" x14ac:dyDescent="0.25">
      <c r="B159" s="1253" t="s">
        <v>1266</v>
      </c>
      <c r="C159" s="1253"/>
      <c r="D159" s="1253"/>
      <c r="E159" s="1253"/>
    </row>
    <row r="160" spans="2:5" x14ac:dyDescent="0.25">
      <c r="B160" s="1253"/>
      <c r="C160" s="1253"/>
      <c r="D160" s="1253"/>
      <c r="E160" s="1253"/>
    </row>
    <row r="161" spans="2:20" x14ac:dyDescent="0.25">
      <c r="B161" s="1253" t="s">
        <v>1267</v>
      </c>
      <c r="C161" s="1255">
        <f>C154+C157*C151+((C156+C155*C150)*C151)</f>
        <v>19873880.754545454</v>
      </c>
      <c r="D161" s="1253"/>
      <c r="E161" s="1253"/>
      <c r="G161" s="348"/>
      <c r="I161" s="348"/>
      <c r="K161" s="348"/>
      <c r="T161" s="1256">
        <v>7853400</v>
      </c>
    </row>
    <row r="162" spans="2:20" x14ac:dyDescent="0.25">
      <c r="B162" s="1253"/>
      <c r="C162" s="1253"/>
      <c r="D162" s="1253"/>
      <c r="E162" s="1253"/>
      <c r="G162" s="348"/>
      <c r="I162" s="348"/>
      <c r="K162" s="348"/>
      <c r="T162" s="1256">
        <v>2820</v>
      </c>
    </row>
    <row r="163" spans="2:20" x14ac:dyDescent="0.25">
      <c r="B163" s="1253" t="s">
        <v>1268</v>
      </c>
      <c r="C163" s="1253" t="s">
        <v>1269</v>
      </c>
      <c r="D163" s="1253">
        <v>70</v>
      </c>
      <c r="E163" s="1253" t="s">
        <v>46</v>
      </c>
      <c r="G163" s="348"/>
      <c r="I163" s="348"/>
      <c r="K163" s="1257"/>
      <c r="T163" s="1256">
        <v>140000</v>
      </c>
    </row>
    <row r="164" spans="2:20" x14ac:dyDescent="0.25">
      <c r="B164" s="1253"/>
      <c r="C164" s="1253" t="s">
        <v>1270</v>
      </c>
      <c r="D164" s="1253">
        <v>50</v>
      </c>
      <c r="E164" s="1253" t="s">
        <v>22</v>
      </c>
      <c r="G164" s="348"/>
      <c r="I164" s="348"/>
      <c r="T164" s="1256">
        <v>121602.13636363637</v>
      </c>
    </row>
    <row r="165" spans="2:20" x14ac:dyDescent="0.25">
      <c r="D165" s="1258"/>
      <c r="E165" s="348"/>
      <c r="G165" s="348"/>
      <c r="I165" s="348"/>
    </row>
    <row r="166" spans="2:20" x14ac:dyDescent="0.25">
      <c r="D166" s="1258"/>
      <c r="E166" s="348"/>
      <c r="G166" s="348"/>
      <c r="I166" s="348"/>
    </row>
    <row r="167" spans="2:20" x14ac:dyDescent="0.25">
      <c r="D167" s="1259"/>
      <c r="E167" s="348"/>
      <c r="G167" s="348"/>
      <c r="I167" s="348"/>
    </row>
    <row r="168" spans="2:20" x14ac:dyDescent="0.25">
      <c r="D168" s="1259"/>
      <c r="E168" s="348"/>
      <c r="G168" s="348"/>
      <c r="I168" s="348"/>
    </row>
    <row r="169" spans="2:20" x14ac:dyDescent="0.25">
      <c r="D169" s="1258"/>
      <c r="E169" s="348"/>
      <c r="G169" s="348"/>
      <c r="I169" s="348"/>
    </row>
    <row r="170" spans="2:20" x14ac:dyDescent="0.25">
      <c r="D170" s="1259"/>
      <c r="E170" s="348"/>
      <c r="G170" s="348"/>
      <c r="I170" s="348"/>
    </row>
    <row r="171" spans="2:20" x14ac:dyDescent="0.25">
      <c r="I171" s="348"/>
    </row>
    <row r="173" spans="2:20" x14ac:dyDescent="0.25">
      <c r="E173" s="88"/>
    </row>
    <row r="179" spans="9:9" x14ac:dyDescent="0.25">
      <c r="I179" s="853"/>
    </row>
  </sheetData>
  <sheetProtection algorithmName="SHA-512" hashValue="PAoFY2H0EOkQ0P4uuocpHr/VFNbCqCZUpTfgGhZZf+hVycaQkSE8Pm6jJJRXt7DS+4oY8Qk4YYRQp/yuuGe/xw==" saltValue="0kF0pv8oS0BUePfVNZr+cA==" spinCount="100000" sheet="1" objects="1" scenarios="1" selectLockedCells="1" selectUnlockedCells="1"/>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6">
    <tabColor theme="1" tint="0.499984740745262"/>
  </sheetPr>
  <dimension ref="A1"/>
  <sheetViews>
    <sheetView workbookViewId="0"/>
  </sheetViews>
  <sheetFormatPr defaultColWidth="8.85546875"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Blad5"/>
  <dimension ref="A1:BB158"/>
  <sheetViews>
    <sheetView zoomScale="85" zoomScaleNormal="85" workbookViewId="0"/>
  </sheetViews>
  <sheetFormatPr defaultColWidth="9.140625" defaultRowHeight="15" x14ac:dyDescent="0.25"/>
  <cols>
    <col min="1" max="1" width="9" style="3" customWidth="1"/>
    <col min="2" max="2" width="9.140625" style="7"/>
    <col min="3" max="3" width="28.28515625" style="7" bestFit="1" customWidth="1"/>
    <col min="4" max="4" width="16.85546875" style="7" bestFit="1" customWidth="1"/>
    <col min="5" max="5" width="15.42578125" style="7" bestFit="1" customWidth="1"/>
    <col min="6" max="6" width="10.5703125" style="7" bestFit="1" customWidth="1"/>
    <col min="7" max="7" width="41" style="7" bestFit="1" customWidth="1"/>
    <col min="8" max="8" width="16.42578125" style="7" bestFit="1" customWidth="1"/>
    <col min="9" max="10" width="11.5703125" style="7" bestFit="1" customWidth="1"/>
    <col min="11" max="11" width="22.7109375" style="7" customWidth="1"/>
    <col min="12" max="12" width="19.85546875" style="7" bestFit="1" customWidth="1"/>
    <col min="13" max="13" width="25.42578125" style="7" bestFit="1" customWidth="1"/>
    <col min="14" max="14" width="9.140625" style="7"/>
    <col min="15" max="15" width="33.7109375" style="7" customWidth="1"/>
    <col min="16" max="16" width="13.7109375" style="7" bestFit="1" customWidth="1"/>
    <col min="17" max="17" width="10.5703125" style="7" bestFit="1" customWidth="1"/>
    <col min="18" max="18" width="9.140625" style="7"/>
    <col min="19" max="19" width="12.85546875" style="7" customWidth="1"/>
    <col min="20" max="20" width="8.5703125" style="7" bestFit="1" customWidth="1"/>
    <col min="21" max="22" width="9.140625" style="7"/>
    <col min="23" max="23" width="19.7109375" style="7" customWidth="1"/>
    <col min="24" max="24" width="13.28515625" style="7" bestFit="1" customWidth="1"/>
    <col min="25" max="26" width="9.140625" style="7"/>
    <col min="27" max="27" width="9.140625" style="3"/>
    <col min="28" max="16384" width="9.140625" style="7"/>
  </cols>
  <sheetData>
    <row r="1" spans="1:54" s="3" customFormat="1" ht="54.75" customHeight="1" x14ac:dyDescent="0.65">
      <c r="A1" s="30"/>
      <c r="B1" s="180" t="str">
        <f>"CO2 Compression + pumping to feed-in pressure ("&amp;Parameters!$D$6&amp;")"</f>
        <v>CO2 Compression + pumping to feed-in pressure (P15 Scenario 1)</v>
      </c>
    </row>
    <row r="2" spans="1:54" x14ac:dyDescent="0.25">
      <c r="B2" s="10"/>
      <c r="C2" s="11"/>
      <c r="D2" s="11"/>
      <c r="E2" s="11"/>
      <c r="F2" s="11"/>
      <c r="G2" s="11"/>
      <c r="H2" s="11"/>
      <c r="I2" s="11"/>
      <c r="J2" s="11"/>
      <c r="K2" s="11"/>
      <c r="L2" s="11"/>
      <c r="M2" s="11"/>
      <c r="N2" s="11"/>
      <c r="O2" s="11"/>
      <c r="P2" s="11"/>
      <c r="Q2" s="11"/>
      <c r="R2" s="11"/>
      <c r="S2" s="11"/>
      <c r="T2" s="11"/>
      <c r="U2" s="11"/>
      <c r="V2" s="11"/>
      <c r="W2" s="11"/>
      <c r="X2" s="11"/>
      <c r="Y2" s="11"/>
      <c r="Z2" s="12"/>
      <c r="AB2" s="3"/>
      <c r="AC2" s="3"/>
      <c r="AD2" s="3"/>
      <c r="AE2" s="3"/>
      <c r="AF2" s="3"/>
      <c r="AG2" s="3"/>
      <c r="AH2" s="3"/>
      <c r="AI2" s="3"/>
      <c r="AJ2" s="3"/>
      <c r="AK2" s="3"/>
      <c r="AL2" s="3"/>
      <c r="AM2" s="3"/>
      <c r="AN2" s="3"/>
      <c r="AO2" s="3"/>
      <c r="AP2" s="3"/>
      <c r="AQ2" s="3"/>
      <c r="AR2" s="3"/>
      <c r="AS2" s="3"/>
      <c r="AT2" s="3"/>
      <c r="AU2" s="3"/>
      <c r="AV2" s="3"/>
      <c r="AW2" s="3"/>
      <c r="AX2" s="3"/>
      <c r="AY2" s="3"/>
      <c r="AZ2" s="3"/>
      <c r="BA2" s="3"/>
      <c r="BB2" s="3"/>
    </row>
    <row r="3" spans="1:54" x14ac:dyDescent="0.25">
      <c r="B3" s="13"/>
      <c r="C3" s="39" t="s">
        <v>1</v>
      </c>
      <c r="D3" s="40"/>
      <c r="E3" s="41"/>
      <c r="F3" s="14"/>
      <c r="G3" s="39" t="s">
        <v>2</v>
      </c>
      <c r="H3" s="40"/>
      <c r="I3" s="41"/>
      <c r="J3" s="14"/>
      <c r="K3" s="39" t="s">
        <v>83</v>
      </c>
      <c r="L3" s="40"/>
      <c r="M3" s="41"/>
      <c r="N3" s="14"/>
      <c r="O3" s="14"/>
      <c r="P3" s="14"/>
      <c r="Q3" s="14"/>
      <c r="R3" s="14"/>
      <c r="S3" s="14"/>
      <c r="T3" s="14"/>
      <c r="U3" s="14"/>
      <c r="V3" s="14"/>
      <c r="W3" s="14"/>
      <c r="X3" s="14"/>
      <c r="Y3" s="14"/>
      <c r="Z3" s="15"/>
      <c r="AB3" s="3"/>
      <c r="AC3" s="3"/>
      <c r="AD3" s="3"/>
      <c r="AE3" s="3"/>
      <c r="AF3" s="3"/>
      <c r="AG3" s="3"/>
      <c r="AH3" s="3"/>
      <c r="AI3" s="3"/>
      <c r="AJ3" s="3"/>
      <c r="AK3" s="3"/>
      <c r="AL3" s="3"/>
      <c r="AM3" s="3"/>
      <c r="AN3" s="3"/>
      <c r="AO3" s="3"/>
      <c r="AP3" s="3"/>
      <c r="AQ3" s="3"/>
      <c r="AR3" s="3"/>
      <c r="AS3" s="3"/>
      <c r="AT3" s="3"/>
      <c r="AU3" s="3"/>
      <c r="AV3" s="3"/>
      <c r="AW3" s="3"/>
      <c r="AX3" s="3"/>
      <c r="AY3" s="3"/>
      <c r="AZ3" s="3"/>
      <c r="BA3" s="3"/>
      <c r="BB3" s="3"/>
    </row>
    <row r="4" spans="1:54" x14ac:dyDescent="0.25">
      <c r="B4" s="13"/>
      <c r="C4" s="14"/>
      <c r="D4" s="14"/>
      <c r="E4" s="14"/>
      <c r="F4" s="14"/>
      <c r="G4" s="14"/>
      <c r="H4" s="14"/>
      <c r="I4" s="14"/>
      <c r="J4" s="14"/>
      <c r="K4" s="14"/>
      <c r="L4" s="14"/>
      <c r="M4" s="14"/>
      <c r="N4" s="14"/>
      <c r="O4" s="14"/>
      <c r="P4" s="14"/>
      <c r="Q4" s="14"/>
      <c r="R4" s="14"/>
      <c r="S4" s="14"/>
      <c r="T4" s="14"/>
      <c r="U4" s="14"/>
      <c r="V4" s="14"/>
      <c r="W4" s="14"/>
      <c r="X4" s="14"/>
      <c r="Y4" s="14"/>
      <c r="Z4" s="15"/>
      <c r="AB4" s="3"/>
      <c r="AC4" s="3"/>
      <c r="AD4" s="3"/>
      <c r="AE4" s="3"/>
      <c r="AF4" s="3"/>
      <c r="AG4" s="3"/>
      <c r="AH4" s="3"/>
      <c r="AI4" s="3"/>
      <c r="AJ4" s="3"/>
      <c r="AK4" s="3"/>
      <c r="AL4" s="3"/>
      <c r="AM4" s="3"/>
      <c r="AN4" s="3"/>
      <c r="AO4" s="3"/>
      <c r="AP4" s="3"/>
      <c r="AQ4" s="3"/>
      <c r="AR4" s="3"/>
      <c r="AS4" s="3"/>
      <c r="AT4" s="3"/>
      <c r="AU4" s="3"/>
      <c r="AV4" s="3"/>
      <c r="AW4" s="3"/>
      <c r="AX4" s="3"/>
      <c r="AY4" s="3"/>
      <c r="AZ4" s="3"/>
      <c r="BA4" s="3"/>
      <c r="BB4" s="3"/>
    </row>
    <row r="5" spans="1:54" x14ac:dyDescent="0.25">
      <c r="B5" s="13"/>
      <c r="C5" s="32"/>
      <c r="D5" s="161"/>
      <c r="E5" s="34"/>
      <c r="F5" s="14"/>
      <c r="G5" s="32" t="s">
        <v>623</v>
      </c>
      <c r="H5" s="86">
        <f>D64</f>
        <v>52290683.942985684</v>
      </c>
      <c r="I5" s="34" t="s">
        <v>562</v>
      </c>
      <c r="J5" s="14"/>
      <c r="K5" s="32" t="str">
        <f>K66</f>
        <v>Total compressor area</v>
      </c>
      <c r="L5" s="886">
        <f t="shared" ref="L5:M5" si="0">L66</f>
        <v>4066.7368417349148</v>
      </c>
      <c r="M5" s="34" t="str">
        <f t="shared" si="0"/>
        <v>m²</v>
      </c>
      <c r="N5" s="14"/>
      <c r="O5" s="14"/>
      <c r="P5" s="14"/>
      <c r="Q5" s="14"/>
      <c r="R5" s="14"/>
      <c r="S5" s="14"/>
      <c r="T5" s="14"/>
      <c r="U5" s="14"/>
      <c r="V5" s="14"/>
      <c r="W5" s="14"/>
      <c r="X5" s="14"/>
      <c r="Y5" s="14"/>
      <c r="Z5" s="15"/>
      <c r="AB5" s="3"/>
      <c r="AC5" s="3"/>
      <c r="AD5" s="3"/>
      <c r="AE5" s="3"/>
      <c r="AF5" s="3"/>
      <c r="AG5" s="3"/>
      <c r="AH5" s="3"/>
      <c r="AI5" s="3"/>
      <c r="AJ5" s="3"/>
      <c r="AK5" s="3"/>
      <c r="AL5" s="3"/>
      <c r="AM5" s="3"/>
      <c r="AN5" s="3"/>
      <c r="AO5" s="3"/>
      <c r="AP5" s="3"/>
      <c r="AQ5" s="3"/>
      <c r="AR5" s="3"/>
      <c r="AS5" s="3"/>
      <c r="AT5" s="3"/>
      <c r="AU5" s="3"/>
      <c r="AV5" s="3"/>
      <c r="AW5" s="3"/>
      <c r="AX5" s="3"/>
      <c r="AY5" s="3"/>
      <c r="AZ5" s="3"/>
      <c r="BA5" s="3"/>
      <c r="BB5" s="3"/>
    </row>
    <row r="6" spans="1:54" x14ac:dyDescent="0.25">
      <c r="B6" s="13"/>
      <c r="C6" s="6" t="str">
        <f>Parameters!E122</f>
        <v>Max. Compression ratio</v>
      </c>
      <c r="D6" s="145">
        <f>Parameters!G122</f>
        <v>2.04</v>
      </c>
      <c r="E6" s="35"/>
      <c r="F6" s="14"/>
      <c r="G6" s="6" t="s">
        <v>624</v>
      </c>
      <c r="H6" s="81">
        <f>H64</f>
        <v>1045813.6788597137</v>
      </c>
      <c r="I6" s="35" t="str">
        <f>I64</f>
        <v>EUR / a</v>
      </c>
      <c r="J6" s="14"/>
      <c r="K6" s="6" t="str">
        <f t="shared" ref="K6:M6" si="1">K67</f>
        <v>Total compressor weight</v>
      </c>
      <c r="L6" s="81">
        <f t="shared" si="1"/>
        <v>1046.907226899013</v>
      </c>
      <c r="M6" s="35" t="str">
        <f t="shared" si="1"/>
        <v>t</v>
      </c>
      <c r="N6" s="14"/>
      <c r="O6" s="14"/>
      <c r="P6" s="14"/>
      <c r="Q6" s="14"/>
      <c r="R6" s="14"/>
      <c r="S6" s="14"/>
      <c r="T6" s="14"/>
      <c r="U6" s="14"/>
      <c r="V6" s="14"/>
      <c r="W6" s="14"/>
      <c r="X6" s="14"/>
      <c r="Y6" s="14"/>
      <c r="Z6" s="15"/>
      <c r="AB6" s="3"/>
      <c r="AC6" s="3"/>
      <c r="AD6" s="3"/>
      <c r="AE6" s="3"/>
      <c r="AF6" s="3"/>
      <c r="AG6" s="3"/>
      <c r="AH6" s="3"/>
      <c r="AI6" s="3"/>
      <c r="AJ6" s="3"/>
      <c r="AK6" s="3"/>
      <c r="AL6" s="3"/>
      <c r="AM6" s="3"/>
      <c r="AN6" s="3"/>
      <c r="AO6" s="3"/>
      <c r="AP6" s="3"/>
      <c r="AQ6" s="3"/>
      <c r="AR6" s="3"/>
      <c r="AS6" s="3"/>
      <c r="AT6" s="3"/>
      <c r="AU6" s="3"/>
      <c r="AV6" s="3"/>
      <c r="AW6" s="3"/>
      <c r="AX6" s="3"/>
      <c r="AY6" s="3"/>
      <c r="AZ6" s="3"/>
      <c r="BA6" s="3"/>
      <c r="BB6" s="3"/>
    </row>
    <row r="7" spans="1:54" x14ac:dyDescent="0.25">
      <c r="B7" s="13"/>
      <c r="C7" s="6" t="str">
        <f>Parameters!E125</f>
        <v>Isentropic efficiency</v>
      </c>
      <c r="D7" s="183">
        <f>Parameters!G125</f>
        <v>0.8</v>
      </c>
      <c r="E7" s="35"/>
      <c r="F7" s="14"/>
      <c r="G7" s="13" t="str">
        <f t="shared" ref="G7:I8" si="2">W43</f>
        <v>Electricity used compressor</v>
      </c>
      <c r="H7" s="83">
        <f t="shared" si="2"/>
        <v>411713.01044378692</v>
      </c>
      <c r="I7" s="343" t="str">
        <f t="shared" si="2"/>
        <v>MWh/y</v>
      </c>
      <c r="J7" s="14"/>
      <c r="K7" s="6" t="str">
        <f>O66</f>
        <v>Total pump area</v>
      </c>
      <c r="L7" s="81">
        <f t="shared" ref="L7:M7" si="3">P66</f>
        <v>5.4100388934501131</v>
      </c>
      <c r="M7" s="35" t="str">
        <f t="shared" si="3"/>
        <v>m²</v>
      </c>
      <c r="N7" s="14"/>
      <c r="O7" s="14"/>
      <c r="P7" s="14"/>
      <c r="Q7" s="14"/>
      <c r="R7" s="14"/>
      <c r="S7" s="14"/>
      <c r="T7" s="14"/>
      <c r="U7" s="14"/>
      <c r="V7" s="14"/>
      <c r="W7" s="14"/>
      <c r="X7" s="14"/>
      <c r="Y7" s="14"/>
      <c r="Z7" s="15"/>
      <c r="AB7" s="3"/>
      <c r="AC7" s="3"/>
      <c r="AD7" s="3"/>
      <c r="AE7" s="3"/>
      <c r="AF7" s="3"/>
      <c r="AG7" s="3"/>
      <c r="AH7" s="3"/>
      <c r="AI7" s="3"/>
      <c r="AJ7" s="3"/>
      <c r="AK7" s="3"/>
      <c r="AL7" s="3"/>
      <c r="AM7" s="3"/>
      <c r="AN7" s="3"/>
      <c r="AO7" s="3"/>
      <c r="AP7" s="3"/>
      <c r="AQ7" s="3"/>
      <c r="AR7" s="3"/>
      <c r="AS7" s="3"/>
      <c r="AT7" s="3"/>
      <c r="AU7" s="3"/>
      <c r="AV7" s="3"/>
      <c r="AW7" s="3"/>
      <c r="AX7" s="3"/>
      <c r="AY7" s="3"/>
      <c r="AZ7" s="3"/>
      <c r="BA7" s="3"/>
      <c r="BB7" s="3"/>
    </row>
    <row r="8" spans="1:54" x14ac:dyDescent="0.25">
      <c r="B8" s="13"/>
      <c r="C8" s="6" t="str">
        <f>Parameters!E126</f>
        <v>Mechanical efficiency</v>
      </c>
      <c r="D8" s="75">
        <f>Parameters!G126</f>
        <v>0.99</v>
      </c>
      <c r="E8" s="35"/>
      <c r="F8" s="14"/>
      <c r="G8" s="13" t="str">
        <f t="shared" si="2"/>
        <v>Electricity used pump</v>
      </c>
      <c r="H8" s="83">
        <f t="shared" si="2"/>
        <v>5729.8347503800996</v>
      </c>
      <c r="I8" s="343" t="str">
        <f t="shared" si="2"/>
        <v>MWh/y</v>
      </c>
      <c r="J8" s="14"/>
      <c r="K8" s="6" t="str">
        <f t="shared" ref="K8:M8" si="4">O67</f>
        <v>Total pump weight</v>
      </c>
      <c r="L8" s="81">
        <f t="shared" si="4"/>
        <v>1.8096510056375505</v>
      </c>
      <c r="M8" s="35" t="str">
        <f t="shared" si="4"/>
        <v>t</v>
      </c>
      <c r="N8" s="14"/>
      <c r="O8" s="14"/>
      <c r="P8" s="14"/>
      <c r="Q8" s="14"/>
      <c r="R8" s="14"/>
      <c r="S8" s="14"/>
      <c r="T8" s="14"/>
      <c r="U8" s="14"/>
      <c r="V8" s="14"/>
      <c r="W8" s="14"/>
      <c r="X8" s="14"/>
      <c r="Y8" s="14"/>
      <c r="Z8" s="15"/>
      <c r="AB8" s="3"/>
      <c r="AC8" s="3"/>
      <c r="AD8" s="3"/>
      <c r="AE8" s="3"/>
      <c r="AF8" s="3"/>
      <c r="AG8" s="3"/>
      <c r="AH8" s="3"/>
      <c r="AI8" s="3"/>
      <c r="AJ8" s="3"/>
      <c r="AK8" s="3"/>
      <c r="AL8" s="3"/>
      <c r="AM8" s="3"/>
      <c r="AN8" s="3"/>
      <c r="AO8" s="3"/>
      <c r="AP8" s="3"/>
      <c r="AQ8" s="3"/>
      <c r="AR8" s="3"/>
      <c r="AS8" s="3"/>
      <c r="AT8" s="3"/>
      <c r="AU8" s="3"/>
      <c r="AV8" s="3"/>
      <c r="AW8" s="3"/>
      <c r="AX8" s="3"/>
      <c r="AY8" s="3"/>
      <c r="AZ8" s="3"/>
      <c r="BA8" s="3"/>
      <c r="BB8" s="3"/>
    </row>
    <row r="9" spans="1:54" x14ac:dyDescent="0.25">
      <c r="B9" s="13"/>
      <c r="C9" s="182" t="str">
        <f>Parameters!E136</f>
        <v>Relative opex compressor &amp; pump</v>
      </c>
      <c r="D9" s="121">
        <f>Parameters!G136</f>
        <v>0.02</v>
      </c>
      <c r="E9" s="35"/>
      <c r="F9" s="14"/>
      <c r="G9" s="884" t="s">
        <v>1216</v>
      </c>
      <c r="H9" s="347">
        <f>SUM(H7:H8)</f>
        <v>417442.84519416699</v>
      </c>
      <c r="I9" s="703" t="str">
        <f>I8</f>
        <v>MWh/y</v>
      </c>
      <c r="J9" s="14"/>
      <c r="K9" s="114"/>
      <c r="L9" s="94"/>
      <c r="M9" s="35"/>
      <c r="N9" s="14"/>
      <c r="O9" s="14"/>
      <c r="P9" s="14"/>
      <c r="Q9" s="14"/>
      <c r="R9" s="14"/>
      <c r="S9" s="14"/>
      <c r="T9" s="14"/>
      <c r="U9" s="14"/>
      <c r="V9" s="14"/>
      <c r="W9" s="14"/>
      <c r="X9" s="14"/>
      <c r="Y9" s="14"/>
      <c r="Z9" s="15"/>
      <c r="AB9" s="3"/>
      <c r="AC9" s="3"/>
      <c r="AD9" s="3"/>
      <c r="AE9" s="3"/>
      <c r="AF9" s="3"/>
      <c r="AG9" s="3"/>
      <c r="AH9" s="3"/>
      <c r="AI9" s="3"/>
      <c r="AJ9" s="3"/>
      <c r="AK9" s="3"/>
      <c r="AL9" s="3"/>
      <c r="AM9" s="3"/>
      <c r="AN9" s="3"/>
      <c r="AO9" s="3"/>
      <c r="AP9" s="3"/>
      <c r="AQ9" s="3"/>
      <c r="AR9" s="3"/>
      <c r="AS9" s="3"/>
      <c r="AT9" s="3"/>
      <c r="AU9" s="3"/>
      <c r="AV9" s="3"/>
      <c r="AW9" s="3"/>
      <c r="AX9" s="3"/>
      <c r="AY9" s="3"/>
      <c r="AZ9" s="3"/>
      <c r="BA9" s="3"/>
      <c r="BB9" s="3"/>
    </row>
    <row r="10" spans="1:54" x14ac:dyDescent="0.25">
      <c r="B10" s="13"/>
      <c r="C10" s="6" t="str">
        <f>Parameters!E121</f>
        <v>Pipeline feed-in pressure</v>
      </c>
      <c r="D10" s="92">
        <f>Parameters!G121</f>
        <v>10</v>
      </c>
      <c r="E10" s="35" t="str">
        <f>Parameters!F121</f>
        <v>MPa</v>
      </c>
      <c r="F10" s="14"/>
      <c r="G10" s="191"/>
      <c r="H10" s="192"/>
      <c r="I10" s="344"/>
      <c r="J10" s="14"/>
      <c r="K10" s="36"/>
      <c r="L10" s="97"/>
      <c r="M10" s="38"/>
      <c r="N10" s="14"/>
      <c r="O10" s="14"/>
      <c r="P10" s="14"/>
      <c r="Q10" s="14"/>
      <c r="R10" s="14"/>
      <c r="S10" s="14"/>
      <c r="T10" s="14"/>
      <c r="U10" s="14"/>
      <c r="V10" s="14"/>
      <c r="W10" s="14"/>
      <c r="X10" s="14"/>
      <c r="Y10" s="14"/>
      <c r="Z10" s="15"/>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row>
    <row r="11" spans="1:54" x14ac:dyDescent="0.25">
      <c r="B11" s="13"/>
      <c r="C11" s="6" t="str">
        <f>Parameters!E138</f>
        <v>CO2 import pressure (onshore)</v>
      </c>
      <c r="D11" s="83">
        <f>Parameters!G138</f>
        <v>0.11000000000000001</v>
      </c>
      <c r="E11" s="35" t="str">
        <f>Parameters!F138</f>
        <v>MPa</v>
      </c>
      <c r="F11" s="14"/>
      <c r="G11" s="14"/>
      <c r="H11" s="14"/>
      <c r="I11" s="14"/>
      <c r="J11" s="14"/>
      <c r="K11" s="14"/>
      <c r="L11" s="14"/>
      <c r="M11" s="14"/>
      <c r="N11" s="14"/>
      <c r="O11" s="14"/>
      <c r="P11" s="14"/>
      <c r="Q11" s="14"/>
      <c r="R11" s="14"/>
      <c r="S11" s="14"/>
      <c r="T11" s="14"/>
      <c r="U11" s="14"/>
      <c r="V11" s="14"/>
      <c r="W11" s="14"/>
      <c r="X11" s="14"/>
      <c r="Y11" s="14"/>
      <c r="Z11" s="15"/>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row>
    <row r="12" spans="1:54" x14ac:dyDescent="0.25">
      <c r="B12" s="13"/>
      <c r="C12" s="6"/>
      <c r="D12" s="14"/>
      <c r="E12" s="35"/>
      <c r="F12" s="14"/>
      <c r="G12" s="14"/>
      <c r="H12" s="14"/>
      <c r="I12" s="75"/>
      <c r="J12" s="14"/>
      <c r="K12" s="14"/>
      <c r="L12" s="14"/>
      <c r="M12" s="14"/>
      <c r="N12" s="14"/>
      <c r="O12" s="14"/>
      <c r="P12" s="14"/>
      <c r="Q12" s="14"/>
      <c r="R12" s="14"/>
      <c r="S12" s="14"/>
      <c r="T12" s="14"/>
      <c r="U12" s="14"/>
      <c r="V12" s="14"/>
      <c r="W12" s="14"/>
      <c r="X12" s="14"/>
      <c r="Y12" s="14"/>
      <c r="Z12" s="15"/>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row>
    <row r="13" spans="1:54" x14ac:dyDescent="0.25">
      <c r="B13" s="13"/>
      <c r="C13" s="6" t="str">
        <f>Parameters!E131</f>
        <v>Pump efficiency</v>
      </c>
      <c r="D13" s="75">
        <f>Parameters!G131</f>
        <v>0.75</v>
      </c>
      <c r="E13" s="35"/>
      <c r="F13" s="14"/>
      <c r="G13" s="14"/>
      <c r="H13" s="14"/>
      <c r="I13" s="14"/>
      <c r="J13" s="14"/>
      <c r="K13" s="14"/>
      <c r="L13" s="14"/>
      <c r="M13" s="14"/>
      <c r="N13" s="14"/>
      <c r="O13" s="14"/>
      <c r="P13" s="14"/>
      <c r="Q13" s="14"/>
      <c r="R13" s="14"/>
      <c r="S13" s="14"/>
      <c r="T13" s="14"/>
      <c r="U13" s="14"/>
      <c r="V13" s="14"/>
      <c r="W13" s="14"/>
      <c r="X13" s="14"/>
      <c r="Y13" s="14"/>
      <c r="Z13" s="15"/>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row>
    <row r="14" spans="1:54" x14ac:dyDescent="0.25">
      <c r="B14" s="13"/>
      <c r="C14" s="6"/>
      <c r="D14" s="184"/>
      <c r="E14" s="35"/>
      <c r="F14" s="14"/>
      <c r="G14" s="14"/>
      <c r="H14" s="14"/>
      <c r="I14" s="14"/>
      <c r="J14" s="14"/>
      <c r="K14" s="14"/>
      <c r="L14" s="14"/>
      <c r="M14" s="14"/>
      <c r="N14" s="14"/>
      <c r="O14" s="14"/>
      <c r="P14" s="14"/>
      <c r="Q14" s="14"/>
      <c r="R14" s="14"/>
      <c r="S14" s="14"/>
      <c r="T14" s="14"/>
      <c r="U14" s="14"/>
      <c r="V14" s="14"/>
      <c r="W14" s="14"/>
      <c r="X14" s="14"/>
      <c r="Y14" s="14"/>
      <c r="Z14" s="15"/>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row>
    <row r="15" spans="1:54" x14ac:dyDescent="0.25">
      <c r="B15" s="13"/>
      <c r="C15" s="36" t="str">
        <f>Parameters!E114</f>
        <v>Density CO2</v>
      </c>
      <c r="D15" s="186">
        <f>Parameters!G114</f>
        <v>0.65600000000000003</v>
      </c>
      <c r="E15" s="38" t="str">
        <f>Parameters!F114</f>
        <v>kg / Nm³</v>
      </c>
      <c r="F15" s="14"/>
      <c r="G15" s="14"/>
      <c r="H15" s="14"/>
      <c r="I15" s="14"/>
      <c r="J15" s="14"/>
      <c r="K15" s="14"/>
      <c r="L15" s="14"/>
      <c r="M15" s="14"/>
      <c r="N15" s="14"/>
      <c r="O15" s="14"/>
      <c r="P15" s="14"/>
      <c r="Q15" s="14"/>
      <c r="R15" s="14"/>
      <c r="S15" s="14"/>
      <c r="T15" s="14"/>
      <c r="U15" s="14"/>
      <c r="V15" s="14"/>
      <c r="W15" s="14"/>
      <c r="X15" s="14"/>
      <c r="Y15" s="14"/>
      <c r="Z15" s="15"/>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row>
    <row r="16" spans="1:54" x14ac:dyDescent="0.25">
      <c r="B16" s="13"/>
      <c r="C16" s="14"/>
      <c r="D16" s="14"/>
      <c r="E16" s="14"/>
      <c r="F16" s="14"/>
      <c r="G16" s="14"/>
      <c r="H16" s="14"/>
      <c r="I16" s="14"/>
      <c r="J16" s="14"/>
      <c r="K16" s="14"/>
      <c r="L16" s="14"/>
      <c r="M16" s="14"/>
      <c r="N16" s="14"/>
      <c r="O16" s="14"/>
      <c r="P16" s="14"/>
      <c r="Q16" s="14"/>
      <c r="R16" s="14"/>
      <c r="S16" s="14"/>
      <c r="T16" s="14"/>
      <c r="U16" s="14"/>
      <c r="V16" s="14"/>
      <c r="W16" s="14"/>
      <c r="X16" s="14"/>
      <c r="Y16" s="14"/>
      <c r="Z16" s="15"/>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row>
    <row r="17" spans="2:54" x14ac:dyDescent="0.25">
      <c r="B17" s="13"/>
      <c r="C17" s="42" t="s">
        <v>5</v>
      </c>
      <c r="D17" s="14"/>
      <c r="E17" s="14"/>
      <c r="F17" s="14"/>
      <c r="G17" s="14"/>
      <c r="H17" s="14"/>
      <c r="I17" s="14"/>
      <c r="J17" s="14"/>
      <c r="K17" s="14"/>
      <c r="L17" s="14"/>
      <c r="M17" s="14"/>
      <c r="N17" s="14"/>
      <c r="O17" s="14"/>
      <c r="P17" s="14"/>
      <c r="Q17" s="14"/>
      <c r="R17" s="14"/>
      <c r="S17" s="14"/>
      <c r="T17" s="14"/>
      <c r="U17" s="14"/>
      <c r="V17" s="14"/>
      <c r="W17" s="14"/>
      <c r="X17" s="14"/>
      <c r="Y17" s="14"/>
      <c r="Z17" s="15"/>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row>
    <row r="18" spans="2:54" x14ac:dyDescent="0.25">
      <c r="B18" s="13"/>
      <c r="C18" s="39" t="s">
        <v>6</v>
      </c>
      <c r="D18" s="40"/>
      <c r="E18" s="41"/>
      <c r="F18" s="14"/>
      <c r="G18" s="39" t="s">
        <v>33</v>
      </c>
      <c r="H18" s="40"/>
      <c r="I18" s="41"/>
      <c r="J18" s="14"/>
      <c r="K18" s="39" t="s">
        <v>34</v>
      </c>
      <c r="L18" s="40"/>
      <c r="M18" s="41"/>
      <c r="N18" s="14"/>
      <c r="O18" s="39" t="s">
        <v>6</v>
      </c>
      <c r="P18" s="40"/>
      <c r="Q18" s="41"/>
      <c r="R18" s="14"/>
      <c r="S18" s="39" t="s">
        <v>35</v>
      </c>
      <c r="T18" s="40"/>
      <c r="U18" s="41"/>
      <c r="V18" s="14"/>
      <c r="W18" s="39" t="s">
        <v>9</v>
      </c>
      <c r="X18" s="40"/>
      <c r="Y18" s="41"/>
      <c r="Z18" s="15"/>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row>
    <row r="19" spans="2:54" x14ac:dyDescent="0.25">
      <c r="B19" s="13"/>
      <c r="C19" s="14"/>
      <c r="D19" s="14"/>
      <c r="E19" s="14"/>
      <c r="F19" s="14"/>
      <c r="G19" s="14"/>
      <c r="H19" s="14"/>
      <c r="I19" s="14"/>
      <c r="J19" s="14"/>
      <c r="K19" s="14"/>
      <c r="L19" s="14"/>
      <c r="M19" s="14"/>
      <c r="N19" s="14"/>
      <c r="O19" s="14"/>
      <c r="P19" s="14"/>
      <c r="Q19" s="14"/>
      <c r="R19" s="14"/>
      <c r="S19" s="14"/>
      <c r="T19" s="14"/>
      <c r="U19" s="14"/>
      <c r="V19" s="14"/>
      <c r="W19" s="14"/>
      <c r="X19" s="14"/>
      <c r="Y19" s="14"/>
      <c r="Z19" s="15"/>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row>
    <row r="20" spans="2:54" x14ac:dyDescent="0.25">
      <c r="B20" s="13"/>
      <c r="C20" s="32" t="s">
        <v>818</v>
      </c>
      <c r="D20" s="86">
        <f>D22*10^9/8760</f>
        <v>570776.25570776255</v>
      </c>
      <c r="E20" s="99" t="s">
        <v>20</v>
      </c>
      <c r="F20" s="14"/>
      <c r="G20" s="32"/>
      <c r="H20" s="33"/>
      <c r="I20" s="34"/>
      <c r="J20" s="14"/>
      <c r="K20" s="32" t="s">
        <v>40</v>
      </c>
      <c r="L20" s="86">
        <f>D20*(100%-$H$21)</f>
        <v>570776.25570776255</v>
      </c>
      <c r="M20" s="99" t="str">
        <f>E20</f>
        <v>kg/hour</v>
      </c>
      <c r="N20" s="14"/>
      <c r="O20" s="32" t="str">
        <f t="shared" ref="O20:Q24" si="5">K20</f>
        <v>CO2 compressed hour</v>
      </c>
      <c r="P20" s="86">
        <f t="shared" si="5"/>
        <v>570776.25570776255</v>
      </c>
      <c r="Q20" s="34" t="str">
        <f t="shared" si="5"/>
        <v>kg/hour</v>
      </c>
      <c r="R20" s="14"/>
      <c r="S20" s="32"/>
      <c r="T20" s="33"/>
      <c r="U20" s="34"/>
      <c r="V20" s="14"/>
      <c r="W20" s="32" t="str">
        <f>O20</f>
        <v>CO2 compressed hour</v>
      </c>
      <c r="X20" s="86">
        <f>P20*(100%-$T$21)</f>
        <v>570776.25570776255</v>
      </c>
      <c r="Y20" s="34" t="str">
        <f>Q20</f>
        <v>kg/hour</v>
      </c>
      <c r="Z20" s="15"/>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row>
    <row r="21" spans="2:54" x14ac:dyDescent="0.25">
      <c r="B21" s="13"/>
      <c r="C21" s="6" t="s">
        <v>817</v>
      </c>
      <c r="D21" s="85">
        <f>D20/3600</f>
        <v>158.54895991882293</v>
      </c>
      <c r="E21" s="35" t="s">
        <v>19</v>
      </c>
      <c r="F21" s="14"/>
      <c r="G21" s="6" t="str">
        <f>Parameters!E129</f>
        <v>Compressor leakage</v>
      </c>
      <c r="H21" s="291">
        <f>Parameters!G129</f>
        <v>0</v>
      </c>
      <c r="I21" s="35"/>
      <c r="J21" s="14"/>
      <c r="K21" s="6" t="s">
        <v>41</v>
      </c>
      <c r="L21" s="81">
        <f>D21*(100%-$H$21)</f>
        <v>158.54895991882293</v>
      </c>
      <c r="M21" s="84" t="str">
        <f>E21</f>
        <v>kg/s</v>
      </c>
      <c r="N21" s="14"/>
      <c r="O21" s="6" t="str">
        <f t="shared" si="5"/>
        <v>CO2 compressed sec</v>
      </c>
      <c r="P21" s="81">
        <f t="shared" si="5"/>
        <v>158.54895991882293</v>
      </c>
      <c r="Q21" s="35" t="str">
        <f t="shared" si="5"/>
        <v>kg/s</v>
      </c>
      <c r="R21" s="14"/>
      <c r="S21" s="6" t="str">
        <f>Parameters!E132</f>
        <v>Pump leakage</v>
      </c>
      <c r="T21" s="98">
        <f>Parameters!G132</f>
        <v>0</v>
      </c>
      <c r="U21" s="35"/>
      <c r="V21" s="14"/>
      <c r="W21" s="6" t="str">
        <f>O21</f>
        <v>CO2 compressed sec</v>
      </c>
      <c r="X21" s="81">
        <f>P21*(100%-$T$21)</f>
        <v>158.54895991882293</v>
      </c>
      <c r="Y21" s="35" t="str">
        <f>Q21</f>
        <v>kg/s</v>
      </c>
      <c r="Z21" s="15"/>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row>
    <row r="22" spans="2:54" x14ac:dyDescent="0.25">
      <c r="B22" s="13"/>
      <c r="C22" s="6" t="s">
        <v>819</v>
      </c>
      <c r="D22" s="85">
        <f>Parameters!G115</f>
        <v>5</v>
      </c>
      <c r="E22" s="35" t="s">
        <v>39</v>
      </c>
      <c r="F22" s="14"/>
      <c r="G22" s="114" t="s">
        <v>36</v>
      </c>
      <c r="H22" s="335">
        <f>D23-L23</f>
        <v>42.850000000000023</v>
      </c>
      <c r="I22" s="336" t="str">
        <f>E23</f>
        <v>K</v>
      </c>
      <c r="J22" s="14"/>
      <c r="K22" s="6" t="s">
        <v>42</v>
      </c>
      <c r="L22" s="81">
        <f>D22*(100%-$H$21)</f>
        <v>5</v>
      </c>
      <c r="M22" s="84" t="str">
        <f>E22</f>
        <v>Mt/y</v>
      </c>
      <c r="N22" s="14"/>
      <c r="O22" s="6" t="str">
        <f t="shared" si="5"/>
        <v>CO2 compressed year</v>
      </c>
      <c r="P22" s="81">
        <f t="shared" si="5"/>
        <v>5</v>
      </c>
      <c r="Q22" s="35" t="str">
        <f t="shared" si="5"/>
        <v>Mt/y</v>
      </c>
      <c r="R22" s="14"/>
      <c r="S22" s="6" t="s">
        <v>36</v>
      </c>
      <c r="T22" s="90">
        <f>0</f>
        <v>0</v>
      </c>
      <c r="U22" s="35" t="s">
        <v>17</v>
      </c>
      <c r="V22" s="14"/>
      <c r="W22" s="6" t="str">
        <f>O22</f>
        <v>CO2 compressed year</v>
      </c>
      <c r="X22" s="81">
        <f>P22*(100%-$T$21)</f>
        <v>5</v>
      </c>
      <c r="Y22" s="35" t="str">
        <f>Q22</f>
        <v>Mt/y</v>
      </c>
      <c r="Z22" s="15"/>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row>
    <row r="23" spans="2:54" x14ac:dyDescent="0.25">
      <c r="B23" s="13"/>
      <c r="C23" s="6" t="str">
        <f>Parameters!E119</f>
        <v>CO2 capture temperature</v>
      </c>
      <c r="D23" s="77">
        <f>Parameters!G119</f>
        <v>346</v>
      </c>
      <c r="E23" s="84" t="str">
        <f>Parameters!F119</f>
        <v>K</v>
      </c>
      <c r="F23" s="117"/>
      <c r="G23" s="6" t="s">
        <v>37</v>
      </c>
      <c r="H23" s="81">
        <f>L24-D24</f>
        <v>7.8181834316185617</v>
      </c>
      <c r="I23" s="35" t="s">
        <v>29</v>
      </c>
      <c r="J23" s="117"/>
      <c r="K23" s="6" t="str">
        <f>C46</f>
        <v>Inlet temperature compressor</v>
      </c>
      <c r="L23" s="81">
        <f>D46</f>
        <v>303.14999999999998</v>
      </c>
      <c r="M23" s="35" t="str">
        <f>E46</f>
        <v>K</v>
      </c>
      <c r="N23" s="117"/>
      <c r="O23" s="6" t="str">
        <f t="shared" si="5"/>
        <v>Inlet temperature compressor</v>
      </c>
      <c r="P23" s="81">
        <f>L23</f>
        <v>303.14999999999998</v>
      </c>
      <c r="Q23" s="35" t="str">
        <f t="shared" si="5"/>
        <v>K</v>
      </c>
      <c r="R23" s="117"/>
      <c r="S23" s="6" t="s">
        <v>37</v>
      </c>
      <c r="T23" s="90">
        <f>IF(D10-P24&gt;=0,D10-P24,0)</f>
        <v>2.071816568381438</v>
      </c>
      <c r="U23" s="35" t="s">
        <v>29</v>
      </c>
      <c r="V23" s="117"/>
      <c r="W23" s="6" t="s">
        <v>13</v>
      </c>
      <c r="X23" s="85">
        <f>P23-T22</f>
        <v>303.14999999999998</v>
      </c>
      <c r="Y23" s="35" t="str">
        <f>Q23</f>
        <v>K</v>
      </c>
      <c r="Z23" s="15"/>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row>
    <row r="24" spans="2:54" x14ac:dyDescent="0.25">
      <c r="B24" s="13"/>
      <c r="C24" s="6" t="str">
        <f>C11</f>
        <v>CO2 import pressure (onshore)</v>
      </c>
      <c r="D24" s="77">
        <f>D11</f>
        <v>0.11000000000000001</v>
      </c>
      <c r="E24" s="84" t="str">
        <f>E11</f>
        <v>MPa</v>
      </c>
      <c r="F24" s="14"/>
      <c r="G24" s="6"/>
      <c r="H24" s="43"/>
      <c r="I24" s="35"/>
      <c r="J24" s="14"/>
      <c r="K24" s="6" t="str">
        <f>C24</f>
        <v>CO2 import pressure (onshore)</v>
      </c>
      <c r="L24" s="81">
        <f>IF(D10&gt;8,'CO2 COMPRESSION'!$N$42,D10)</f>
        <v>7.928183431618562</v>
      </c>
      <c r="M24" s="35" t="s">
        <v>29</v>
      </c>
      <c r="N24" s="14"/>
      <c r="O24" s="6" t="str">
        <f t="shared" si="5"/>
        <v>CO2 import pressure (onshore)</v>
      </c>
      <c r="P24" s="81">
        <f t="shared" si="5"/>
        <v>7.928183431618562</v>
      </c>
      <c r="Q24" s="35" t="str">
        <f t="shared" si="5"/>
        <v>Mpa</v>
      </c>
      <c r="R24" s="14"/>
      <c r="S24" s="6"/>
      <c r="T24" s="2"/>
      <c r="U24" s="35"/>
      <c r="V24" s="14"/>
      <c r="W24" s="6" t="s">
        <v>14</v>
      </c>
      <c r="X24" s="85">
        <f>P24+T23</f>
        <v>10</v>
      </c>
      <c r="Y24" s="35" t="s">
        <v>29</v>
      </c>
      <c r="Z24" s="15"/>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row>
    <row r="25" spans="2:54" x14ac:dyDescent="0.25">
      <c r="B25" s="13"/>
      <c r="C25" s="6"/>
      <c r="D25" s="2"/>
      <c r="E25" s="35"/>
      <c r="F25" s="14"/>
      <c r="G25" s="6"/>
      <c r="H25" s="43"/>
      <c r="I25" s="35"/>
      <c r="J25" s="14"/>
      <c r="K25" s="6"/>
      <c r="L25" s="2"/>
      <c r="M25" s="35"/>
      <c r="N25" s="14"/>
      <c r="O25" s="6"/>
      <c r="P25" s="2"/>
      <c r="Q25" s="71"/>
      <c r="R25" s="14"/>
      <c r="S25" s="6"/>
      <c r="T25" s="2"/>
      <c r="U25" s="35"/>
      <c r="V25" s="14"/>
      <c r="W25" s="6"/>
      <c r="X25" s="2"/>
      <c r="Y25" s="35"/>
      <c r="Z25" s="15"/>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row>
    <row r="26" spans="2:54" x14ac:dyDescent="0.25">
      <c r="B26" s="13"/>
      <c r="C26" s="36" t="str">
        <f>C20</f>
        <v>CO2 captured per hour</v>
      </c>
      <c r="D26" s="87">
        <f>D20/D15</f>
        <v>870085.75565207703</v>
      </c>
      <c r="E26" s="38" t="s">
        <v>1622</v>
      </c>
      <c r="F26" s="14"/>
      <c r="G26" s="36"/>
      <c r="H26" s="37"/>
      <c r="I26" s="38"/>
      <c r="J26" s="14"/>
      <c r="K26" s="36"/>
      <c r="L26" s="37"/>
      <c r="M26" s="38"/>
      <c r="N26" s="14"/>
      <c r="O26" s="36"/>
      <c r="P26" s="37"/>
      <c r="Q26" s="38"/>
      <c r="R26" s="14"/>
      <c r="S26" s="36"/>
      <c r="T26" s="37"/>
      <c r="U26" s="38"/>
      <c r="V26" s="14"/>
      <c r="W26" s="36"/>
      <c r="X26" s="37"/>
      <c r="Y26" s="38"/>
      <c r="Z26" s="15"/>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row>
    <row r="27" spans="2:54" x14ac:dyDescent="0.25">
      <c r="B27" s="13"/>
      <c r="C27" s="14"/>
      <c r="D27" s="14"/>
      <c r="E27" s="14"/>
      <c r="F27" s="14"/>
      <c r="G27" s="14"/>
      <c r="H27" s="13"/>
      <c r="I27" s="14"/>
      <c r="J27" s="14"/>
      <c r="K27" s="14"/>
      <c r="L27" s="14"/>
      <c r="M27" s="14"/>
      <c r="N27" s="14"/>
      <c r="O27" s="14"/>
      <c r="P27" s="14"/>
      <c r="Q27" s="14"/>
      <c r="R27" s="14"/>
      <c r="S27" s="14"/>
      <c r="T27" s="10"/>
      <c r="U27" s="14"/>
      <c r="V27" s="14"/>
      <c r="W27" s="14"/>
      <c r="X27" s="14"/>
      <c r="Y27" s="14"/>
      <c r="Z27" s="15"/>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row>
    <row r="28" spans="2:54" x14ac:dyDescent="0.25">
      <c r="B28" s="13"/>
      <c r="C28" s="14"/>
      <c r="D28" s="92"/>
      <c r="E28" s="14"/>
      <c r="F28" s="14"/>
      <c r="G28" s="14"/>
      <c r="H28" s="13"/>
      <c r="I28" s="14"/>
      <c r="J28" s="14"/>
      <c r="K28" s="32"/>
      <c r="L28" s="33"/>
      <c r="M28" s="34"/>
      <c r="N28" s="14"/>
      <c r="O28" s="14"/>
      <c r="P28" s="14"/>
      <c r="Q28" s="14"/>
      <c r="R28" s="14"/>
      <c r="S28" s="14"/>
      <c r="T28" s="13"/>
      <c r="U28" s="14"/>
      <c r="V28" s="14"/>
      <c r="W28" s="32"/>
      <c r="X28" s="33"/>
      <c r="Y28" s="34"/>
      <c r="Z28" s="15"/>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2:54" x14ac:dyDescent="0.25">
      <c r="B29" s="13"/>
      <c r="C29" s="14"/>
      <c r="D29" s="92"/>
      <c r="E29" s="14"/>
      <c r="F29" s="14"/>
      <c r="G29" s="14"/>
      <c r="H29" s="13"/>
      <c r="I29" s="14"/>
      <c r="J29" s="14"/>
      <c r="K29" s="6"/>
      <c r="L29" s="2"/>
      <c r="M29" s="35"/>
      <c r="N29" s="14"/>
      <c r="O29" s="14"/>
      <c r="P29" s="14"/>
      <c r="Q29" s="14"/>
      <c r="R29" s="14"/>
      <c r="S29" s="14"/>
      <c r="T29" s="13"/>
      <c r="U29" s="14"/>
      <c r="V29" s="14"/>
      <c r="W29" s="6"/>
      <c r="X29" s="2"/>
      <c r="Y29" s="35"/>
      <c r="Z29" s="15"/>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row>
    <row r="30" spans="2:54" x14ac:dyDescent="0.25">
      <c r="B30" s="13"/>
      <c r="C30" s="14"/>
      <c r="D30" s="14"/>
      <c r="E30" s="14"/>
      <c r="F30" s="14"/>
      <c r="G30" s="14"/>
      <c r="H30" s="13"/>
      <c r="I30" s="14"/>
      <c r="J30" s="14"/>
      <c r="K30" s="6" t="s">
        <v>45</v>
      </c>
      <c r="L30" s="85">
        <f>D20*$H$21</f>
        <v>0</v>
      </c>
      <c r="M30" s="100" t="str">
        <f>M20</f>
        <v>kg/hour</v>
      </c>
      <c r="N30" s="14"/>
      <c r="O30" s="14"/>
      <c r="P30" s="14"/>
      <c r="Q30" s="14"/>
      <c r="R30" s="14"/>
      <c r="S30" s="14"/>
      <c r="T30" s="13"/>
      <c r="U30" s="14"/>
      <c r="V30" s="14"/>
      <c r="W30" s="6" t="str">
        <f>K30</f>
        <v>CO2 losses hour</v>
      </c>
      <c r="X30" s="85">
        <f>L30+P20*$T$21</f>
        <v>0</v>
      </c>
      <c r="Y30" s="100" t="str">
        <f>M30</f>
        <v>kg/hour</v>
      </c>
      <c r="Z30" s="15"/>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row>
    <row r="31" spans="2:54" x14ac:dyDescent="0.25">
      <c r="B31" s="13"/>
      <c r="C31" s="14"/>
      <c r="D31" s="14"/>
      <c r="E31" s="102"/>
      <c r="F31" s="14"/>
      <c r="G31" s="14"/>
      <c r="H31" s="18"/>
      <c r="I31" s="19"/>
      <c r="J31" s="19"/>
      <c r="K31" s="6" t="s">
        <v>43</v>
      </c>
      <c r="L31" s="85">
        <f>D21*$H$21</f>
        <v>0</v>
      </c>
      <c r="M31" s="118" t="str">
        <f>M21</f>
        <v>kg/s</v>
      </c>
      <c r="N31" s="18"/>
      <c r="O31" s="19"/>
      <c r="P31" s="19"/>
      <c r="Q31" s="19"/>
      <c r="R31" s="19"/>
      <c r="S31" s="19"/>
      <c r="T31" s="18"/>
      <c r="U31" s="19"/>
      <c r="V31" s="20"/>
      <c r="W31" s="2" t="str">
        <f>K31</f>
        <v>CO2 losses sec</v>
      </c>
      <c r="X31" s="85">
        <f>L31+P21*$T$21</f>
        <v>0</v>
      </c>
      <c r="Y31" s="100" t="str">
        <f>M31</f>
        <v>kg/s</v>
      </c>
      <c r="Z31" s="15"/>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row>
    <row r="32" spans="2:54" x14ac:dyDescent="0.25">
      <c r="B32" s="13"/>
      <c r="C32" s="14"/>
      <c r="D32" s="14"/>
      <c r="E32" s="14"/>
      <c r="F32" s="14"/>
      <c r="G32" s="14"/>
      <c r="H32" s="14"/>
      <c r="I32" s="14"/>
      <c r="J32" s="14"/>
      <c r="K32" s="6" t="s">
        <v>44</v>
      </c>
      <c r="L32" s="85">
        <f>D22*$H$21</f>
        <v>0</v>
      </c>
      <c r="M32" s="100" t="str">
        <f>M22</f>
        <v>Mt/y</v>
      </c>
      <c r="N32" s="14"/>
      <c r="O32" s="14"/>
      <c r="P32" s="14"/>
      <c r="Q32" s="14"/>
      <c r="R32" s="14"/>
      <c r="S32" s="14"/>
      <c r="T32" s="14"/>
      <c r="U32" s="14"/>
      <c r="V32" s="14"/>
      <c r="W32" s="6" t="str">
        <f>K32</f>
        <v>CO2 losses year</v>
      </c>
      <c r="X32" s="85">
        <f>L32+P22*$T$21</f>
        <v>0</v>
      </c>
      <c r="Y32" s="100" t="str">
        <f>M32</f>
        <v>Mt/y</v>
      </c>
      <c r="Z32" s="15"/>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row>
    <row r="33" spans="2:54" x14ac:dyDescent="0.25">
      <c r="B33" s="13"/>
      <c r="C33" s="14"/>
      <c r="D33" s="14"/>
      <c r="E33" s="14"/>
      <c r="F33" s="14"/>
      <c r="G33" s="14"/>
      <c r="H33" s="14"/>
      <c r="I33" s="14"/>
      <c r="J33" s="14"/>
      <c r="K33" s="6"/>
      <c r="L33" s="2"/>
      <c r="M33" s="71"/>
      <c r="N33" s="14"/>
      <c r="O33" s="14"/>
      <c r="P33" s="14"/>
      <c r="Q33" s="14"/>
      <c r="R33" s="14"/>
      <c r="S33" s="14"/>
      <c r="T33" s="14"/>
      <c r="U33" s="14"/>
      <c r="V33" s="14"/>
      <c r="W33" s="6"/>
      <c r="X33" s="2"/>
      <c r="Y33" s="71"/>
      <c r="Z33" s="15"/>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row>
    <row r="34" spans="2:54" x14ac:dyDescent="0.25">
      <c r="B34" s="13"/>
      <c r="C34" s="14"/>
      <c r="D34" s="14"/>
      <c r="E34" s="102"/>
      <c r="F34" s="14"/>
      <c r="G34" s="14"/>
      <c r="H34" s="14"/>
      <c r="I34" s="14"/>
      <c r="J34" s="14"/>
      <c r="K34" s="36"/>
      <c r="L34" s="37"/>
      <c r="M34" s="38"/>
      <c r="N34" s="14"/>
      <c r="O34" s="14"/>
      <c r="P34" s="14"/>
      <c r="Q34" s="14"/>
      <c r="R34" s="14"/>
      <c r="S34" s="14"/>
      <c r="T34" s="14"/>
      <c r="U34" s="14"/>
      <c r="V34" s="14"/>
      <c r="W34" s="36"/>
      <c r="X34" s="37"/>
      <c r="Y34" s="38"/>
      <c r="Z34" s="15"/>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row>
    <row r="35" spans="2:54" x14ac:dyDescent="0.25">
      <c r="B35" s="13"/>
      <c r="C35" s="14"/>
      <c r="D35" s="14"/>
      <c r="E35" s="14"/>
      <c r="F35" s="14"/>
      <c r="G35" s="102"/>
      <c r="H35" s="14"/>
      <c r="I35" s="14"/>
      <c r="J35" s="14"/>
      <c r="K35" s="14"/>
      <c r="L35" s="14"/>
      <c r="M35" s="14"/>
      <c r="N35" s="14"/>
      <c r="O35" s="14"/>
      <c r="P35" s="14"/>
      <c r="Q35" s="14"/>
      <c r="R35" s="14"/>
      <c r="S35" s="14"/>
      <c r="T35" s="14"/>
      <c r="U35" s="14"/>
      <c r="V35" s="14"/>
      <c r="W35" s="14"/>
      <c r="X35" s="14"/>
      <c r="Y35" s="14"/>
      <c r="Z35" s="15"/>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row>
    <row r="36" spans="2:54" x14ac:dyDescent="0.25">
      <c r="B36" s="13"/>
      <c r="C36" s="14"/>
      <c r="D36" s="14"/>
      <c r="E36" s="14"/>
      <c r="F36" s="14"/>
      <c r="G36" s="14"/>
      <c r="H36" s="14"/>
      <c r="I36" s="14"/>
      <c r="J36" s="14"/>
      <c r="K36" s="14"/>
      <c r="L36" s="14"/>
      <c r="M36" s="14"/>
      <c r="N36" s="14"/>
      <c r="O36" s="14"/>
      <c r="P36" s="14"/>
      <c r="Q36" s="14"/>
      <c r="R36" s="14"/>
      <c r="S36" s="14"/>
      <c r="T36" s="14"/>
      <c r="U36" s="14"/>
      <c r="V36" s="14"/>
      <c r="W36" s="14"/>
      <c r="X36" s="14"/>
      <c r="Y36" s="14"/>
      <c r="Z36" s="15"/>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row>
    <row r="37" spans="2:54" x14ac:dyDescent="0.25">
      <c r="B37" s="13"/>
      <c r="C37" s="42" t="s">
        <v>620</v>
      </c>
      <c r="D37" s="14"/>
      <c r="E37" s="14"/>
      <c r="F37" s="14"/>
      <c r="G37" s="14"/>
      <c r="H37" s="14"/>
      <c r="I37" s="14"/>
      <c r="J37" s="14"/>
      <c r="K37" s="14"/>
      <c r="L37" s="14"/>
      <c r="M37" s="14"/>
      <c r="N37" s="14"/>
      <c r="O37" s="14"/>
      <c r="P37" s="14"/>
      <c r="Q37" s="14"/>
      <c r="R37" s="14"/>
      <c r="S37" s="14"/>
      <c r="T37" s="14"/>
      <c r="U37" s="14"/>
      <c r="V37" s="14"/>
      <c r="W37" s="14"/>
      <c r="X37" s="14"/>
      <c r="Y37" s="14"/>
      <c r="Z37" s="15"/>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row>
    <row r="38" spans="2:54" x14ac:dyDescent="0.25">
      <c r="B38" s="13"/>
      <c r="C38" s="42"/>
      <c r="D38" s="14"/>
      <c r="E38" s="14"/>
      <c r="F38" s="14"/>
      <c r="G38" s="14"/>
      <c r="H38" s="14"/>
      <c r="I38" s="14"/>
      <c r="J38" s="14"/>
      <c r="K38" s="14"/>
      <c r="L38" s="14"/>
      <c r="M38" s="14"/>
      <c r="N38" s="14"/>
      <c r="O38" s="14"/>
      <c r="P38" s="92"/>
      <c r="Q38" s="92"/>
      <c r="R38" s="83"/>
      <c r="S38" s="14"/>
      <c r="T38" s="14"/>
      <c r="U38" s="14"/>
      <c r="V38" s="14"/>
      <c r="W38" s="14"/>
      <c r="X38" s="14"/>
      <c r="Y38" s="14"/>
      <c r="Z38" s="14"/>
      <c r="AA38" s="147"/>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row>
    <row r="39" spans="2:54" x14ac:dyDescent="0.25">
      <c r="B39" s="13"/>
      <c r="C39" s="39" t="s">
        <v>6</v>
      </c>
      <c r="D39" s="40"/>
      <c r="E39" s="41"/>
      <c r="F39" s="14"/>
      <c r="G39" s="39" t="s">
        <v>621</v>
      </c>
      <c r="H39" s="40"/>
      <c r="I39" s="40"/>
      <c r="J39" s="40"/>
      <c r="K39" s="40"/>
      <c r="L39" s="40"/>
      <c r="M39" s="40"/>
      <c r="N39" s="40"/>
      <c r="O39" s="40"/>
      <c r="P39" s="40"/>
      <c r="Q39" s="41"/>
      <c r="R39" s="14"/>
      <c r="S39" s="39" t="s">
        <v>621</v>
      </c>
      <c r="T39" s="40"/>
      <c r="U39" s="41"/>
      <c r="V39" s="14"/>
      <c r="W39" s="39" t="s">
        <v>34</v>
      </c>
      <c r="X39" s="40"/>
      <c r="Y39" s="41"/>
      <c r="Z39" s="15"/>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row>
    <row r="40" spans="2:54" x14ac:dyDescent="0.25">
      <c r="B40" s="13"/>
      <c r="C40" s="14"/>
      <c r="D40" s="14"/>
      <c r="E40" s="14"/>
      <c r="F40" s="14"/>
      <c r="G40" s="14"/>
      <c r="H40" s="14"/>
      <c r="I40" s="14"/>
      <c r="J40" s="5"/>
      <c r="K40" s="14"/>
      <c r="L40" s="14"/>
      <c r="M40" s="14"/>
      <c r="N40" s="14"/>
      <c r="O40" s="14"/>
      <c r="P40" s="14"/>
      <c r="Q40" s="14"/>
      <c r="R40" s="14"/>
      <c r="S40" s="14"/>
      <c r="T40" s="14"/>
      <c r="U40" s="14"/>
      <c r="V40" s="14"/>
      <c r="W40" s="14"/>
      <c r="X40" s="14"/>
      <c r="Y40" s="14"/>
      <c r="Z40" s="15"/>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row>
    <row r="41" spans="2:54" x14ac:dyDescent="0.25">
      <c r="B41" s="13"/>
      <c r="C41" s="32" t="str">
        <f t="shared" ref="C41:E45" si="6">C20</f>
        <v>CO2 captured per hour</v>
      </c>
      <c r="D41" s="86">
        <f t="shared" si="6"/>
        <v>570776.25570776255</v>
      </c>
      <c r="E41" s="99" t="str">
        <f t="shared" si="6"/>
        <v>kg/hour</v>
      </c>
      <c r="F41" s="14"/>
      <c r="G41" s="274" t="s">
        <v>64</v>
      </c>
      <c r="H41" s="275" t="s">
        <v>57</v>
      </c>
      <c r="I41" s="275" t="s">
        <v>56</v>
      </c>
      <c r="J41" s="275" t="s">
        <v>59</v>
      </c>
      <c r="K41" s="275" t="s">
        <v>60</v>
      </c>
      <c r="L41" s="275" t="s">
        <v>61</v>
      </c>
      <c r="M41" s="275" t="s">
        <v>62</v>
      </c>
      <c r="N41" s="275" t="s">
        <v>63</v>
      </c>
      <c r="O41" s="33"/>
      <c r="P41" s="33"/>
      <c r="Q41" s="34"/>
      <c r="R41" s="14"/>
      <c r="S41" s="32"/>
      <c r="T41" s="33"/>
      <c r="U41" s="34"/>
      <c r="V41" s="14"/>
      <c r="W41" s="32"/>
      <c r="X41" s="33"/>
      <c r="Y41" s="34"/>
      <c r="Z41" s="15"/>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row>
    <row r="42" spans="2:54" x14ac:dyDescent="0.25">
      <c r="B42" s="13"/>
      <c r="C42" s="6" t="str">
        <f t="shared" si="6"/>
        <v>CO2 captured per second</v>
      </c>
      <c r="D42" s="85">
        <f>D21</f>
        <v>158.54895991882293</v>
      </c>
      <c r="E42" s="35" t="str">
        <f t="shared" si="6"/>
        <v>kg/s</v>
      </c>
      <c r="F42" s="14"/>
      <c r="G42" s="274" t="s">
        <v>58</v>
      </c>
      <c r="H42" s="285">
        <f>D24</f>
        <v>0.11000000000000001</v>
      </c>
      <c r="I42" s="286">
        <f>H42*$D$6</f>
        <v>0.22440000000000004</v>
      </c>
      <c r="J42" s="286">
        <f t="shared" ref="J42:N42" si="7">I42*$D$6</f>
        <v>0.45777600000000007</v>
      </c>
      <c r="K42" s="286">
        <f t="shared" si="7"/>
        <v>0.9338630400000002</v>
      </c>
      <c r="L42" s="286">
        <f t="shared" si="7"/>
        <v>1.9050806016000004</v>
      </c>
      <c r="M42" s="286">
        <f t="shared" si="7"/>
        <v>3.886364427264001</v>
      </c>
      <c r="N42" s="286">
        <f t="shared" si="7"/>
        <v>7.928183431618562</v>
      </c>
      <c r="O42" s="2"/>
      <c r="P42" s="2"/>
      <c r="Q42" s="35"/>
      <c r="R42" s="14"/>
      <c r="S42" s="6"/>
      <c r="T42" s="90"/>
      <c r="U42" s="35"/>
      <c r="V42" s="14"/>
      <c r="W42" s="6"/>
      <c r="X42" s="2"/>
      <c r="Y42" s="35"/>
      <c r="Z42" s="15"/>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row>
    <row r="43" spans="2:54" x14ac:dyDescent="0.25">
      <c r="B43" s="13"/>
      <c r="C43" s="6" t="str">
        <f t="shared" si="6"/>
        <v>CO2 captured per year</v>
      </c>
      <c r="D43" s="85">
        <f t="shared" si="6"/>
        <v>5</v>
      </c>
      <c r="E43" s="35" t="str">
        <f t="shared" si="6"/>
        <v>Mt/y</v>
      </c>
      <c r="F43" s="14"/>
      <c r="G43" s="274"/>
      <c r="H43" s="277" t="str">
        <f>IF($D$10&lt;H42,"Off","On")</f>
        <v>On</v>
      </c>
      <c r="I43" s="277" t="str">
        <f t="shared" ref="I43:N43" si="8">IF($D$10&lt;I42,"Off","On")</f>
        <v>On</v>
      </c>
      <c r="J43" s="277" t="str">
        <f t="shared" si="8"/>
        <v>On</v>
      </c>
      <c r="K43" s="277" t="str">
        <f t="shared" si="8"/>
        <v>On</v>
      </c>
      <c r="L43" s="277" t="str">
        <f t="shared" si="8"/>
        <v>On</v>
      </c>
      <c r="M43" s="277" t="str">
        <f t="shared" si="8"/>
        <v>On</v>
      </c>
      <c r="N43" s="277" t="str">
        <f t="shared" si="8"/>
        <v>On</v>
      </c>
      <c r="O43" s="2"/>
      <c r="P43" s="2"/>
      <c r="Q43" s="35"/>
      <c r="R43" s="14"/>
      <c r="S43" s="6" t="str">
        <f>G52</f>
        <v>Compressor capacity</v>
      </c>
      <c r="T43" s="90">
        <f>H52</f>
        <v>46.999202105455126</v>
      </c>
      <c r="U43" s="84" t="str">
        <f>I52</f>
        <v>MW</v>
      </c>
      <c r="V43" s="14"/>
      <c r="W43" s="6" t="s">
        <v>828</v>
      </c>
      <c r="X43" s="81">
        <f>T43*Parameters!G14</f>
        <v>411713.01044378692</v>
      </c>
      <c r="Y43" s="115" t="s">
        <v>86</v>
      </c>
      <c r="Z43" s="15"/>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row>
    <row r="44" spans="2:54" x14ac:dyDescent="0.25">
      <c r="B44" s="13"/>
      <c r="C44" s="6" t="str">
        <f t="shared" si="6"/>
        <v>CO2 capture temperature</v>
      </c>
      <c r="D44" s="77">
        <f>D23</f>
        <v>346</v>
      </c>
      <c r="E44" s="84" t="str">
        <f t="shared" si="6"/>
        <v>K</v>
      </c>
      <c r="F44" s="14"/>
      <c r="G44" s="274"/>
      <c r="H44" s="277"/>
      <c r="I44" s="277"/>
      <c r="J44" s="277"/>
      <c r="K44" s="277"/>
      <c r="L44" s="277"/>
      <c r="M44" s="277"/>
      <c r="N44" s="277"/>
      <c r="O44" s="2"/>
      <c r="P44" s="2"/>
      <c r="Q44" s="35"/>
      <c r="R44" s="14"/>
      <c r="S44" s="6"/>
      <c r="T44" s="1"/>
      <c r="U44" s="35"/>
      <c r="V44" s="14"/>
      <c r="W44" s="6" t="s">
        <v>829</v>
      </c>
      <c r="X44" s="81">
        <f>T45*Parameters!G14</f>
        <v>5729.8347503800996</v>
      </c>
      <c r="Y44" s="115" t="s">
        <v>86</v>
      </c>
      <c r="Z44" s="15"/>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row>
    <row r="45" spans="2:54" x14ac:dyDescent="0.25">
      <c r="B45" s="13"/>
      <c r="C45" s="6" t="str">
        <f t="shared" si="6"/>
        <v>CO2 import pressure (onshore)</v>
      </c>
      <c r="D45" s="77">
        <f>D24</f>
        <v>0.11000000000000001</v>
      </c>
      <c r="E45" s="84" t="str">
        <f t="shared" si="6"/>
        <v>MPa</v>
      </c>
      <c r="F45" s="14"/>
      <c r="G45" s="274" t="s">
        <v>67</v>
      </c>
      <c r="H45" s="340">
        <v>0.99639999999999995</v>
      </c>
      <c r="I45" s="341">
        <v>0.99639999999999995</v>
      </c>
      <c r="J45" s="342">
        <v>0.98050000000000004</v>
      </c>
      <c r="K45" s="341">
        <v>0.9607</v>
      </c>
      <c r="L45" s="342">
        <v>0.91949999999999998</v>
      </c>
      <c r="M45" s="341">
        <v>0.83</v>
      </c>
      <c r="N45" s="341">
        <v>0.59809999999999997</v>
      </c>
      <c r="O45" s="2" t="s">
        <v>823</v>
      </c>
      <c r="P45" s="2"/>
      <c r="Q45" s="35"/>
      <c r="R45" s="14"/>
      <c r="S45" s="884" t="s">
        <v>622</v>
      </c>
      <c r="T45" s="1157">
        <f>(D10-P24)/(D13*'P-D-T TABLES DATABASE'!F8)*L21</f>
        <v>0.65409072492923515</v>
      </c>
      <c r="U45" s="703" t="s">
        <v>46</v>
      </c>
      <c r="V45" s="14"/>
      <c r="W45" s="6"/>
      <c r="X45" s="81"/>
      <c r="Y45" s="96"/>
      <c r="Z45" s="15"/>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row>
    <row r="46" spans="2:54" x14ac:dyDescent="0.25">
      <c r="B46" s="13"/>
      <c r="C46" s="6" t="str">
        <f>Parameters!E137</f>
        <v>Inlet temperature compressor</v>
      </c>
      <c r="D46" s="85">
        <f>Parameters!G137</f>
        <v>303.14999999999998</v>
      </c>
      <c r="E46" s="35" t="str">
        <f>Parameters!F137</f>
        <v>K</v>
      </c>
      <c r="F46" s="14"/>
      <c r="G46" s="274" t="s">
        <v>825</v>
      </c>
      <c r="H46" s="340">
        <v>1.304</v>
      </c>
      <c r="I46" s="341">
        <v>1.304</v>
      </c>
      <c r="J46" s="342">
        <v>1.304</v>
      </c>
      <c r="K46" s="341">
        <v>1.304</v>
      </c>
      <c r="L46" s="342">
        <v>1.304</v>
      </c>
      <c r="M46" s="341">
        <v>1.304</v>
      </c>
      <c r="N46" s="341">
        <v>1.304</v>
      </c>
      <c r="O46" s="2" t="s">
        <v>824</v>
      </c>
      <c r="P46" s="2"/>
      <c r="Q46" s="35"/>
      <c r="R46" s="14"/>
      <c r="S46" s="6"/>
      <c r="T46" s="85"/>
      <c r="U46" s="35"/>
      <c r="V46" s="14"/>
      <c r="W46" s="6"/>
      <c r="X46" s="81"/>
      <c r="Y46" s="35"/>
      <c r="Z46" s="15"/>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row>
    <row r="47" spans="2:54" x14ac:dyDescent="0.25">
      <c r="B47" s="13"/>
      <c r="C47" s="36"/>
      <c r="D47" s="87"/>
      <c r="E47" s="38"/>
      <c r="F47" s="14"/>
      <c r="G47" s="274" t="str">
        <f>Parameters!E123</f>
        <v>Universal constant of ideal gas</v>
      </c>
      <c r="H47" s="276">
        <f>Parameters!G123</f>
        <v>8.3144597999999998</v>
      </c>
      <c r="I47" s="274" t="str">
        <f>Parameters!F123</f>
        <v>J / (mol*K)</v>
      </c>
      <c r="J47" s="278"/>
      <c r="K47" s="279"/>
      <c r="L47" s="278"/>
      <c r="M47" s="279"/>
      <c r="N47" s="279"/>
      <c r="O47" s="2"/>
      <c r="P47" s="2"/>
      <c r="Q47" s="35"/>
      <c r="R47" s="14"/>
      <c r="S47" s="36"/>
      <c r="T47" s="87"/>
      <c r="U47" s="38"/>
      <c r="V47" s="14"/>
      <c r="W47" s="36"/>
      <c r="X47" s="37"/>
      <c r="Y47" s="38"/>
      <c r="Z47" s="15"/>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row>
    <row r="48" spans="2:54" x14ac:dyDescent="0.25">
      <c r="B48" s="13"/>
      <c r="C48" s="14"/>
      <c r="D48" s="14"/>
      <c r="E48" s="14"/>
      <c r="F48" s="14"/>
      <c r="G48" s="274" t="str">
        <f>Parameters!E124</f>
        <v>Molair mass</v>
      </c>
      <c r="H48" s="276">
        <f>Parameters!G124</f>
        <v>44.01</v>
      </c>
      <c r="I48" s="274" t="str">
        <f>Parameters!F124</f>
        <v>g / mol</v>
      </c>
      <c r="J48" s="278"/>
      <c r="K48" s="279"/>
      <c r="L48" s="278"/>
      <c r="M48" s="279"/>
      <c r="N48" s="279"/>
      <c r="O48" s="2"/>
      <c r="P48" s="2"/>
      <c r="Q48" s="35"/>
      <c r="R48" s="14"/>
      <c r="S48" s="5"/>
      <c r="T48" s="5"/>
      <c r="U48" s="5"/>
      <c r="V48" s="5"/>
      <c r="W48" s="5"/>
      <c r="X48" s="5"/>
      <c r="Y48" s="5"/>
      <c r="Z48" s="15"/>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row>
    <row r="49" spans="2:54" x14ac:dyDescent="0.25">
      <c r="B49" s="13"/>
      <c r="C49" s="14"/>
      <c r="D49" s="92"/>
      <c r="E49" s="14"/>
      <c r="F49" s="14"/>
      <c r="G49" s="274" t="str">
        <f>C46</f>
        <v>Inlet temperature compressor</v>
      </c>
      <c r="H49" s="276">
        <f>D46</f>
        <v>303.14999999999998</v>
      </c>
      <c r="I49" s="274" t="str">
        <f>E46</f>
        <v>K</v>
      </c>
      <c r="J49" s="278"/>
      <c r="K49" s="279"/>
      <c r="L49" s="278"/>
      <c r="M49" s="279"/>
      <c r="N49" s="279"/>
      <c r="O49" s="2"/>
      <c r="P49" s="2"/>
      <c r="Q49" s="35"/>
      <c r="R49" s="5"/>
      <c r="S49" s="5"/>
      <c r="T49" s="5"/>
      <c r="U49" s="5"/>
      <c r="V49" s="5"/>
      <c r="W49" s="5"/>
      <c r="X49" s="5"/>
      <c r="Y49" s="5"/>
      <c r="Z49" s="15"/>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row>
    <row r="50" spans="2:54" x14ac:dyDescent="0.25">
      <c r="B50" s="13"/>
      <c r="C50" s="14"/>
      <c r="D50" s="14"/>
      <c r="E50" s="14"/>
      <c r="F50" s="14"/>
      <c r="G50" s="274" t="s">
        <v>632</v>
      </c>
      <c r="H50" s="280"/>
      <c r="I50" s="279">
        <f>IF(I43="On",(I45*$H$47*$H$49*I46)/(($H$48*$D$7*$D$8)*(I46-1))*(((I42/H42)^((I46-1)/I46))-1),0)</f>
        <v>55.885530802326542</v>
      </c>
      <c r="J50" s="279">
        <f t="shared" ref="J50:N50" si="9">IF(J43="On",(J45*$H$47*$H$49*J46)/(($H$48*$D$7*$D$8)*(J46-1))*(((J42/I42)^((J46-1)/J46))-1),0)</f>
        <v>54.993740417183034</v>
      </c>
      <c r="K50" s="279">
        <f t="shared" si="9"/>
        <v>53.88320899417414</v>
      </c>
      <c r="L50" s="279">
        <f t="shared" si="9"/>
        <v>51.572406235185923</v>
      </c>
      <c r="M50" s="279">
        <f>IF(M43="On",(M45*$H$47*$H$49*M46)/(($H$48*$D$7*$D$8)*(M46-1))*(((M42/L42)^((M46-1)/M46))-1),0)</f>
        <v>46.55257985340328</v>
      </c>
      <c r="N50" s="279">
        <f t="shared" si="9"/>
        <v>33.545901217253615</v>
      </c>
      <c r="O50" s="2"/>
      <c r="P50" s="2"/>
      <c r="Q50" s="35"/>
      <c r="R50" s="5"/>
      <c r="S50" s="5"/>
      <c r="T50" s="5"/>
      <c r="U50" s="5"/>
      <c r="V50" s="5"/>
      <c r="W50" s="5"/>
      <c r="X50" s="5"/>
      <c r="Y50" s="5"/>
      <c r="Z50" s="15"/>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spans="2:54" x14ac:dyDescent="0.25">
      <c r="B51" s="13"/>
      <c r="C51" s="14"/>
      <c r="D51" s="14"/>
      <c r="E51" s="14"/>
      <c r="F51" s="14"/>
      <c r="G51" s="274" t="s">
        <v>634</v>
      </c>
      <c r="H51" s="292">
        <f>SUM(I50:N50)</f>
        <v>296.43336751952654</v>
      </c>
      <c r="I51" s="279" t="s">
        <v>826</v>
      </c>
      <c r="J51" s="281"/>
      <c r="K51" s="281"/>
      <c r="L51" s="281"/>
      <c r="M51" s="281"/>
      <c r="N51" s="281"/>
      <c r="O51" s="2"/>
      <c r="P51" s="2"/>
      <c r="Q51" s="35"/>
      <c r="R51" s="5"/>
      <c r="S51" s="5"/>
      <c r="T51" s="5"/>
      <c r="U51" s="5"/>
      <c r="V51" s="5"/>
      <c r="W51" s="5"/>
      <c r="X51" s="5"/>
      <c r="Y51" s="5"/>
      <c r="Z51" s="15"/>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row>
    <row r="52" spans="2:54" x14ac:dyDescent="0.25">
      <c r="B52" s="13"/>
      <c r="C52" s="14"/>
      <c r="D52" s="14"/>
      <c r="E52" s="14"/>
      <c r="F52" s="14"/>
      <c r="G52" s="280" t="s">
        <v>633</v>
      </c>
      <c r="H52" s="293">
        <f>H51*D21/1000</f>
        <v>46.999202105455126</v>
      </c>
      <c r="I52" s="279" t="s">
        <v>46</v>
      </c>
      <c r="J52" s="281"/>
      <c r="K52" s="281"/>
      <c r="L52" s="281"/>
      <c r="M52" s="281"/>
      <c r="N52" s="281"/>
      <c r="O52" s="281"/>
      <c r="P52" s="282"/>
      <c r="Q52" s="35"/>
      <c r="R52" s="5"/>
      <c r="S52" s="5"/>
      <c r="T52" s="5"/>
      <c r="U52" s="5"/>
      <c r="V52" s="5"/>
      <c r="W52" s="5"/>
      <c r="X52" s="5"/>
      <c r="Y52" s="5"/>
      <c r="Z52" s="15"/>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row>
    <row r="53" spans="2:54" x14ac:dyDescent="0.25">
      <c r="B53" s="13"/>
      <c r="C53" s="14"/>
      <c r="D53" s="14"/>
      <c r="E53" s="14"/>
      <c r="F53" s="14"/>
      <c r="G53" s="280"/>
      <c r="H53" s="37"/>
      <c r="I53" s="37"/>
      <c r="J53" s="37"/>
      <c r="K53" s="37"/>
      <c r="L53" s="37"/>
      <c r="M53" s="37"/>
      <c r="N53" s="37"/>
      <c r="O53" s="283"/>
      <c r="P53" s="284"/>
      <c r="Q53" s="38"/>
      <c r="R53" s="5"/>
      <c r="S53" s="5"/>
      <c r="T53" s="5"/>
      <c r="U53" s="5"/>
      <c r="V53" s="5"/>
      <c r="W53" s="5"/>
      <c r="X53" s="5"/>
      <c r="Y53" s="5"/>
      <c r="Z53" s="15"/>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row>
    <row r="54" spans="2:54" x14ac:dyDescent="0.25">
      <c r="B54" s="13"/>
      <c r="C54" s="14"/>
      <c r="D54" s="14"/>
      <c r="E54" s="14"/>
      <c r="F54" s="14"/>
      <c r="G54" s="14"/>
      <c r="H54" s="14"/>
      <c r="I54" s="14"/>
      <c r="J54" s="14"/>
      <c r="K54" s="14"/>
      <c r="L54" s="14"/>
      <c r="M54" s="14"/>
      <c r="N54" s="14"/>
      <c r="O54" s="5"/>
      <c r="P54" s="5"/>
      <c r="Q54" s="5"/>
      <c r="R54" s="5"/>
      <c r="S54" s="5"/>
      <c r="T54" s="5"/>
      <c r="U54" s="5"/>
      <c r="V54" s="5"/>
      <c r="W54" s="5"/>
      <c r="X54" s="5"/>
      <c r="Y54" s="5"/>
      <c r="Z54" s="15"/>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row>
    <row r="55" spans="2:54" x14ac:dyDescent="0.25">
      <c r="B55" s="13"/>
      <c r="C55" s="14"/>
      <c r="D55" s="14"/>
      <c r="E55" s="14"/>
      <c r="F55" s="14"/>
      <c r="G55" s="14"/>
      <c r="H55" s="14"/>
      <c r="I55" s="14"/>
      <c r="J55" s="14"/>
      <c r="K55" s="14"/>
      <c r="L55" s="14"/>
      <c r="M55" s="14"/>
      <c r="N55" s="14"/>
      <c r="O55" s="5"/>
      <c r="P55" s="5"/>
      <c r="Q55" s="5"/>
      <c r="R55" s="5"/>
      <c r="S55" s="5"/>
      <c r="T55" s="5"/>
      <c r="U55" s="5"/>
      <c r="V55" s="5"/>
      <c r="W55" s="5"/>
      <c r="X55" s="5"/>
      <c r="Y55" s="5"/>
      <c r="Z55" s="15"/>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row>
    <row r="56" spans="2:54" x14ac:dyDescent="0.25">
      <c r="B56" s="13"/>
      <c r="C56" s="14"/>
      <c r="D56" s="14"/>
      <c r="E56" s="14"/>
      <c r="F56" s="14"/>
      <c r="G56" s="14"/>
      <c r="H56" s="14"/>
      <c r="I56" s="14"/>
      <c r="J56" s="14"/>
      <c r="K56" s="14"/>
      <c r="L56" s="14"/>
      <c r="M56" s="14"/>
      <c r="N56" s="14"/>
      <c r="O56" s="5"/>
      <c r="P56" s="5"/>
      <c r="Q56" s="5"/>
      <c r="R56" s="5"/>
      <c r="S56" s="5"/>
      <c r="T56" s="5"/>
      <c r="U56" s="5"/>
      <c r="V56" s="5"/>
      <c r="W56" s="5"/>
      <c r="X56" s="5"/>
      <c r="Y56" s="5"/>
      <c r="Z56" s="15"/>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row>
    <row r="57" spans="2:54" x14ac:dyDescent="0.25">
      <c r="B57" s="13"/>
      <c r="C57" s="14"/>
      <c r="D57" s="14"/>
      <c r="E57" s="14"/>
      <c r="F57" s="14"/>
      <c r="G57" s="14"/>
      <c r="H57" s="14"/>
      <c r="I57" s="14"/>
      <c r="J57" s="14"/>
      <c r="K57" s="14"/>
      <c r="L57" s="14"/>
      <c r="M57" s="14"/>
      <c r="N57" s="14"/>
      <c r="O57" s="5"/>
      <c r="P57" s="5"/>
      <c r="Q57" s="5"/>
      <c r="R57" s="5"/>
      <c r="S57" s="5"/>
      <c r="T57" s="5"/>
      <c r="U57" s="5"/>
      <c r="V57" s="5"/>
      <c r="W57" s="5"/>
      <c r="X57" s="5"/>
      <c r="Y57" s="5"/>
      <c r="Z57" s="15"/>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row>
    <row r="58" spans="2:54" x14ac:dyDescent="0.25">
      <c r="B58" s="13"/>
      <c r="C58" s="14"/>
      <c r="D58" s="14"/>
      <c r="E58" s="14"/>
      <c r="F58" s="14"/>
      <c r="G58" s="14"/>
      <c r="H58" s="14"/>
      <c r="I58" s="14"/>
      <c r="J58" s="14"/>
      <c r="K58" s="14"/>
      <c r="L58" s="14"/>
      <c r="M58" s="14"/>
      <c r="N58" s="14"/>
      <c r="O58" s="5"/>
      <c r="P58" s="5"/>
      <c r="Q58" s="5"/>
      <c r="R58" s="5"/>
      <c r="S58" s="5"/>
      <c r="T58" s="5"/>
      <c r="U58" s="5"/>
      <c r="V58" s="5"/>
      <c r="W58" s="5"/>
      <c r="X58" s="5"/>
      <c r="Y58" s="5"/>
      <c r="Z58" s="15"/>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2:54" x14ac:dyDescent="0.25">
      <c r="B59" s="13"/>
      <c r="C59" s="42" t="s">
        <v>47</v>
      </c>
      <c r="D59" s="14"/>
      <c r="E59" s="14"/>
      <c r="F59" s="14"/>
      <c r="G59" s="14"/>
      <c r="H59" s="14"/>
      <c r="I59" s="14"/>
      <c r="J59" s="14"/>
      <c r="K59" s="14"/>
      <c r="L59" s="14"/>
      <c r="M59" s="14"/>
      <c r="N59" s="14"/>
      <c r="O59" s="14"/>
      <c r="P59" s="14"/>
      <c r="Q59" s="14"/>
      <c r="R59" s="14"/>
      <c r="S59" s="14"/>
      <c r="T59" s="14"/>
      <c r="U59" s="14"/>
      <c r="V59" s="14"/>
      <c r="W59" s="14"/>
      <c r="X59" s="14"/>
      <c r="Y59" s="14"/>
      <c r="Z59" s="15"/>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row>
    <row r="60" spans="2:54" x14ac:dyDescent="0.25">
      <c r="B60" s="13"/>
      <c r="C60" s="39" t="s">
        <v>552</v>
      </c>
      <c r="D60" s="40"/>
      <c r="E60" s="41"/>
      <c r="F60" s="14"/>
      <c r="G60" s="39" t="s">
        <v>1221</v>
      </c>
      <c r="H60" s="40"/>
      <c r="I60" s="41"/>
      <c r="J60" s="14"/>
      <c r="K60" s="39" t="s">
        <v>1238</v>
      </c>
      <c r="L60" s="40"/>
      <c r="M60" s="41"/>
      <c r="N60" s="14"/>
      <c r="O60" s="39" t="s">
        <v>1530</v>
      </c>
      <c r="P60" s="40"/>
      <c r="Q60" s="41"/>
      <c r="R60" s="14"/>
      <c r="S60" s="14"/>
      <c r="T60" s="14"/>
      <c r="U60" s="14"/>
      <c r="V60" s="14"/>
      <c r="W60" s="14"/>
      <c r="X60" s="14"/>
      <c r="Y60" s="14"/>
      <c r="Z60" s="15"/>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row>
    <row r="61" spans="2:54" x14ac:dyDescent="0.25">
      <c r="B61" s="13"/>
      <c r="C61" s="14"/>
      <c r="D61" s="14"/>
      <c r="E61" s="14"/>
      <c r="F61" s="14"/>
      <c r="G61" s="14"/>
      <c r="H61" s="14"/>
      <c r="I61" s="14"/>
      <c r="J61" s="14"/>
      <c r="K61" s="14"/>
      <c r="L61" s="14"/>
      <c r="M61" s="14"/>
      <c r="N61" s="14"/>
      <c r="O61" s="14"/>
      <c r="P61" s="14"/>
      <c r="Q61" s="14"/>
      <c r="R61" s="14"/>
      <c r="S61" s="14"/>
      <c r="T61" s="14"/>
      <c r="U61" s="14"/>
      <c r="V61" s="14"/>
      <c r="W61" s="14"/>
      <c r="X61" s="14"/>
      <c r="Y61" s="14"/>
      <c r="Z61" s="15"/>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row>
    <row r="62" spans="2:54" x14ac:dyDescent="0.25">
      <c r="B62" s="13"/>
      <c r="C62" s="32"/>
      <c r="D62" s="86"/>
      <c r="E62" s="99"/>
      <c r="F62" s="14"/>
      <c r="G62" s="32"/>
      <c r="H62" s="33"/>
      <c r="I62" s="34"/>
      <c r="J62" s="14"/>
      <c r="K62" s="32" t="s">
        <v>560</v>
      </c>
      <c r="L62" s="33"/>
      <c r="M62" s="34"/>
      <c r="N62" s="14"/>
      <c r="O62" s="32" t="s">
        <v>1531</v>
      </c>
      <c r="P62" s="33"/>
      <c r="Q62" s="34"/>
      <c r="R62" s="14"/>
      <c r="S62" s="14"/>
      <c r="T62" s="14"/>
      <c r="U62" s="14"/>
      <c r="V62" s="14"/>
      <c r="W62" s="14"/>
      <c r="X62" s="14"/>
      <c r="Y62" s="14"/>
      <c r="Z62" s="15"/>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row>
    <row r="63" spans="2:54" x14ac:dyDescent="0.25">
      <c r="B63" s="13"/>
      <c r="C63" s="6"/>
      <c r="D63" s="93"/>
      <c r="E63" s="35"/>
      <c r="F63" s="14"/>
      <c r="G63" s="6"/>
      <c r="H63" s="98" t="s">
        <v>4</v>
      </c>
      <c r="I63" s="35"/>
      <c r="J63" s="14"/>
      <c r="K63" s="6" t="str">
        <f>G52</f>
        <v>Compressor capacity</v>
      </c>
      <c r="L63" s="81">
        <f t="shared" ref="L63:M63" si="10">H52</f>
        <v>46.999202105455126</v>
      </c>
      <c r="M63" s="35" t="str">
        <f t="shared" si="10"/>
        <v>MW</v>
      </c>
      <c r="N63" s="14"/>
      <c r="O63" s="6" t="str">
        <f>S45</f>
        <v>Pump capacity</v>
      </c>
      <c r="P63" s="81">
        <f t="shared" ref="P63:Q63" si="11">T45</f>
        <v>0.65409072492923515</v>
      </c>
      <c r="Q63" s="35" t="str">
        <f t="shared" si="11"/>
        <v>MW</v>
      </c>
      <c r="R63" s="14"/>
      <c r="S63" s="14"/>
      <c r="T63" s="14"/>
      <c r="U63" s="14"/>
      <c r="V63" s="14"/>
      <c r="W63" s="14"/>
      <c r="X63" s="14"/>
      <c r="Y63" s="14"/>
      <c r="Z63" s="15"/>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row>
    <row r="64" spans="2:54" ht="18" x14ac:dyDescent="0.35">
      <c r="B64" s="13"/>
      <c r="C64" s="6" t="s">
        <v>613</v>
      </c>
      <c r="D64" s="684">
        <f>(21900000*(SUM(T43,T45)/13)^0.67*1^0.9)</f>
        <v>52290683.942985684</v>
      </c>
      <c r="E64" s="35" t="s">
        <v>65</v>
      </c>
      <c r="F64" s="14"/>
      <c r="G64" s="6" t="s">
        <v>66</v>
      </c>
      <c r="H64" s="81">
        <f>D64*D9</f>
        <v>1045813.6788597137</v>
      </c>
      <c r="I64" s="35" t="s">
        <v>862</v>
      </c>
      <c r="J64" s="14"/>
      <c r="K64" s="6" t="str">
        <f>Parameters!E127</f>
        <v>Specific compressor area</v>
      </c>
      <c r="L64" s="81">
        <f>Parameters!G127</f>
        <v>86.527784718772807</v>
      </c>
      <c r="M64" s="35" t="str">
        <f>Parameters!F127</f>
        <v>m²/MW</v>
      </c>
      <c r="N64" s="14"/>
      <c r="O64" s="6" t="str">
        <f>Parameters!E134</f>
        <v>Specific pump area</v>
      </c>
      <c r="P64" s="81">
        <f>Parameters!G134</f>
        <v>8.2710833333333316</v>
      </c>
      <c r="Q64" s="35" t="str">
        <f>Parameters!F134</f>
        <v>m²/MW</v>
      </c>
      <c r="R64" s="14"/>
      <c r="S64" s="14"/>
      <c r="T64" s="14"/>
      <c r="U64" s="14"/>
      <c r="V64" s="14"/>
      <c r="W64" s="14"/>
      <c r="X64" s="14"/>
      <c r="Y64" s="14"/>
      <c r="Z64" s="15"/>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row>
    <row r="65" spans="2:54" x14ac:dyDescent="0.25">
      <c r="B65" s="13"/>
      <c r="C65" s="6"/>
      <c r="D65" s="81"/>
      <c r="E65" s="84"/>
      <c r="F65" s="14"/>
      <c r="G65" s="6"/>
      <c r="H65" s="81"/>
      <c r="I65" s="35"/>
      <c r="J65" s="14"/>
      <c r="K65" s="6" t="str">
        <f>Parameters!E128</f>
        <v>Specific weight compressor</v>
      </c>
      <c r="L65" s="347">
        <f>Parameters!G128</f>
        <v>22.275000000000002</v>
      </c>
      <c r="M65" s="35" t="str">
        <f>Parameters!F128</f>
        <v>ton / MW</v>
      </c>
      <c r="N65" s="14"/>
      <c r="O65" s="6" t="str">
        <f>Parameters!E135</f>
        <v>Specific pump weight</v>
      </c>
      <c r="P65" s="81">
        <f>Parameters!G135</f>
        <v>2.7666666666666666</v>
      </c>
      <c r="Q65" s="35" t="str">
        <f>Parameters!F135</f>
        <v>ton / MW</v>
      </c>
      <c r="R65" s="14"/>
      <c r="S65" s="14"/>
      <c r="T65" s="14"/>
      <c r="U65" s="14"/>
      <c r="V65" s="14"/>
      <c r="W65" s="14"/>
      <c r="X65" s="14"/>
      <c r="Y65" s="14"/>
      <c r="Z65" s="15"/>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row>
    <row r="66" spans="2:54" x14ac:dyDescent="0.25">
      <c r="B66" s="13"/>
      <c r="C66" s="6"/>
      <c r="D66" s="93"/>
      <c r="E66" s="84"/>
      <c r="F66" s="14"/>
      <c r="G66" s="6"/>
      <c r="H66" s="43"/>
      <c r="I66" s="35"/>
      <c r="J66" s="14"/>
      <c r="K66" s="6" t="s">
        <v>1532</v>
      </c>
      <c r="L66" s="81">
        <f>L64*L63</f>
        <v>4066.7368417349148</v>
      </c>
      <c r="M66" s="35" t="s">
        <v>810</v>
      </c>
      <c r="N66" s="14"/>
      <c r="O66" s="6" t="s">
        <v>1534</v>
      </c>
      <c r="P66" s="81">
        <f>P64*P63</f>
        <v>5.4100388934501131</v>
      </c>
      <c r="Q66" s="35" t="s">
        <v>810</v>
      </c>
      <c r="R66" s="14"/>
      <c r="S66" s="14"/>
      <c r="T66" s="14"/>
      <c r="U66" s="14"/>
      <c r="V66" s="14"/>
      <c r="W66" s="14"/>
      <c r="X66" s="14"/>
      <c r="Y66" s="14"/>
      <c r="Z66" s="15"/>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row>
    <row r="67" spans="2:54" x14ac:dyDescent="0.25">
      <c r="B67" s="13"/>
      <c r="C67" s="6"/>
      <c r="D67" s="2"/>
      <c r="E67" s="35"/>
      <c r="F67" s="14"/>
      <c r="G67" s="6"/>
      <c r="H67" s="43"/>
      <c r="I67" s="35"/>
      <c r="J67" s="14"/>
      <c r="K67" s="6" t="s">
        <v>1533</v>
      </c>
      <c r="L67" s="81">
        <f>L65*L63</f>
        <v>1046.907226899013</v>
      </c>
      <c r="M67" s="35" t="s">
        <v>1540</v>
      </c>
      <c r="N67" s="14"/>
      <c r="O67" s="6" t="s">
        <v>1535</v>
      </c>
      <c r="P67" s="81">
        <f>P65*P63</f>
        <v>1.8096510056375505</v>
      </c>
      <c r="Q67" s="35" t="s">
        <v>1540</v>
      </c>
      <c r="R67" s="14"/>
      <c r="S67" s="14"/>
      <c r="T67" s="14"/>
      <c r="U67" s="14"/>
      <c r="V67" s="14"/>
      <c r="W67" s="14"/>
      <c r="X67" s="14"/>
      <c r="Y67" s="14"/>
      <c r="Z67" s="15"/>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row>
    <row r="68" spans="2:54" x14ac:dyDescent="0.25">
      <c r="B68" s="13"/>
      <c r="C68" s="36"/>
      <c r="D68" s="97"/>
      <c r="E68" s="38"/>
      <c r="F68" s="14"/>
      <c r="G68" s="36"/>
      <c r="H68" s="37"/>
      <c r="I68" s="38"/>
      <c r="J68" s="14"/>
      <c r="K68" s="36"/>
      <c r="L68" s="37"/>
      <c r="M68" s="38"/>
      <c r="N68" s="14"/>
      <c r="O68" s="36"/>
      <c r="P68" s="37"/>
      <c r="Q68" s="38"/>
      <c r="R68" s="14"/>
      <c r="S68" s="14"/>
      <c r="T68" s="14"/>
      <c r="U68" s="14"/>
      <c r="V68" s="14"/>
      <c r="W68" s="14"/>
      <c r="X68" s="14"/>
      <c r="Y68" s="14"/>
      <c r="Z68" s="15"/>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row>
    <row r="69" spans="2:54" x14ac:dyDescent="0.25">
      <c r="B69" s="13"/>
      <c r="C69" s="14"/>
      <c r="D69" s="14"/>
      <c r="E69" s="14"/>
      <c r="F69" s="14"/>
      <c r="G69" s="14"/>
      <c r="H69" s="14"/>
      <c r="I69" s="14"/>
      <c r="J69" s="14"/>
      <c r="K69" s="14"/>
      <c r="L69" s="14"/>
      <c r="M69" s="14"/>
      <c r="N69" s="14"/>
      <c r="O69" s="14"/>
      <c r="P69" s="14"/>
      <c r="Q69" s="14"/>
      <c r="R69" s="14"/>
      <c r="S69" s="14"/>
      <c r="T69" s="14"/>
      <c r="U69" s="14"/>
      <c r="V69" s="14"/>
      <c r="W69" s="14"/>
      <c r="X69" s="14"/>
      <c r="Y69" s="14"/>
      <c r="Z69" s="15"/>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row>
    <row r="70" spans="2:54" x14ac:dyDescent="0.25">
      <c r="B70" s="13"/>
      <c r="C70" s="32" t="s">
        <v>83</v>
      </c>
      <c r="D70" s="86" t="s">
        <v>1222</v>
      </c>
      <c r="E70" s="86"/>
      <c r="F70" s="86"/>
      <c r="G70" s="86"/>
      <c r="H70" s="86" t="s">
        <v>1231</v>
      </c>
      <c r="I70" s="86"/>
      <c r="J70" s="86"/>
      <c r="K70" s="86"/>
      <c r="L70" s="33"/>
      <c r="M70" s="34"/>
      <c r="N70" s="14"/>
      <c r="O70" s="14"/>
      <c r="P70" s="14"/>
      <c r="Q70" s="14"/>
      <c r="R70" s="14"/>
      <c r="S70" s="14"/>
      <c r="T70" s="14"/>
      <c r="U70" s="14"/>
      <c r="V70" s="14"/>
      <c r="W70" s="14"/>
      <c r="X70" s="14"/>
      <c r="Y70" s="14"/>
      <c r="Z70" s="15"/>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row>
    <row r="71" spans="2:54" x14ac:dyDescent="0.25">
      <c r="B71" s="13"/>
      <c r="C71" s="6"/>
      <c r="D71" s="81"/>
      <c r="E71" s="81"/>
      <c r="F71" s="81"/>
      <c r="G71" s="81"/>
      <c r="H71" s="81"/>
      <c r="I71" s="81"/>
      <c r="J71" s="81"/>
      <c r="K71" s="81"/>
      <c r="L71" s="98"/>
      <c r="M71" s="35"/>
      <c r="N71" s="14"/>
      <c r="O71" s="14"/>
      <c r="P71" s="14"/>
      <c r="Q71" s="14"/>
      <c r="R71" s="14"/>
      <c r="S71" s="14"/>
      <c r="T71" s="14"/>
      <c r="U71" s="14"/>
      <c r="V71" s="14"/>
      <c r="W71" s="14"/>
      <c r="X71" s="14"/>
      <c r="Y71" s="14"/>
      <c r="Z71" s="15"/>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row>
    <row r="72" spans="2:54" x14ac:dyDescent="0.25">
      <c r="B72" s="13"/>
      <c r="C72" s="6" t="s">
        <v>1230</v>
      </c>
      <c r="D72" s="81">
        <v>10000</v>
      </c>
      <c r="E72" s="81">
        <v>25000</v>
      </c>
      <c r="F72" s="81">
        <v>30000</v>
      </c>
      <c r="G72" s="81">
        <v>40000</v>
      </c>
      <c r="H72" s="81">
        <v>50000</v>
      </c>
      <c r="I72" s="81">
        <v>100000</v>
      </c>
      <c r="J72" s="81">
        <v>200000</v>
      </c>
      <c r="K72" s="81">
        <v>350000</v>
      </c>
      <c r="L72" s="81">
        <v>500000</v>
      </c>
      <c r="M72" s="35" t="s">
        <v>1229</v>
      </c>
      <c r="N72" s="14"/>
      <c r="O72" s="14"/>
      <c r="P72" s="14"/>
      <c r="Q72" s="14"/>
      <c r="R72" s="14"/>
      <c r="S72" s="14"/>
      <c r="T72" s="14"/>
      <c r="U72" s="14"/>
      <c r="V72" s="14"/>
      <c r="W72" s="14"/>
      <c r="X72" s="14"/>
      <c r="Y72" s="14"/>
      <c r="Z72" s="15"/>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row>
    <row r="73" spans="2:54" x14ac:dyDescent="0.25">
      <c r="B73" s="13"/>
      <c r="C73" s="6" t="s">
        <v>1223</v>
      </c>
      <c r="D73" s="347">
        <v>4</v>
      </c>
      <c r="E73" s="347">
        <v>15</v>
      </c>
      <c r="F73" s="347">
        <v>18</v>
      </c>
      <c r="G73" s="347">
        <v>20</v>
      </c>
      <c r="H73" s="347">
        <v>20</v>
      </c>
      <c r="I73" s="347">
        <v>20</v>
      </c>
      <c r="J73" s="347">
        <v>35</v>
      </c>
      <c r="K73" s="347">
        <v>50</v>
      </c>
      <c r="L73" s="81">
        <v>60</v>
      </c>
      <c r="M73" s="35" t="s">
        <v>46</v>
      </c>
      <c r="N73" s="14"/>
      <c r="O73" s="14"/>
      <c r="P73" s="14"/>
      <c r="Q73" s="14"/>
      <c r="R73" s="14"/>
      <c r="S73" s="14"/>
      <c r="T73" s="14"/>
      <c r="U73" s="14"/>
      <c r="V73" s="14"/>
      <c r="W73" s="14"/>
      <c r="X73" s="14"/>
      <c r="Y73" s="14"/>
      <c r="Z73" s="15"/>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row>
    <row r="74" spans="2:54" x14ac:dyDescent="0.25">
      <c r="B74" s="13"/>
      <c r="C74" s="6" t="s">
        <v>1224</v>
      </c>
      <c r="D74" s="347">
        <v>2.7</v>
      </c>
      <c r="E74" s="347">
        <v>3</v>
      </c>
      <c r="F74" s="347">
        <v>3.4</v>
      </c>
      <c r="G74" s="347">
        <v>3.7</v>
      </c>
      <c r="H74" s="347">
        <v>4</v>
      </c>
      <c r="I74" s="347">
        <v>4.5</v>
      </c>
      <c r="J74" s="347">
        <v>5.5</v>
      </c>
      <c r="K74" s="684">
        <f>(($J$74-$D$74)/($J$73-$D$73)*K73+D73)</f>
        <v>8.5161290322580641</v>
      </c>
      <c r="L74" s="684">
        <f>(($J$74-$D$74)/($J$73-$D$73)*L73+E73)</f>
        <v>20.419354838709676</v>
      </c>
      <c r="M74" s="35" t="s">
        <v>52</v>
      </c>
      <c r="N74" s="14"/>
      <c r="O74" s="14"/>
      <c r="P74" s="14"/>
      <c r="Q74" s="14"/>
      <c r="R74" s="14"/>
      <c r="S74" s="14"/>
      <c r="T74" s="14"/>
      <c r="U74" s="14"/>
      <c r="V74" s="14"/>
      <c r="W74" s="14"/>
      <c r="X74" s="14"/>
      <c r="Y74" s="14"/>
      <c r="Z74" s="15"/>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row>
    <row r="75" spans="2:54" x14ac:dyDescent="0.25">
      <c r="B75" s="13"/>
      <c r="C75" s="6" t="s">
        <v>1225</v>
      </c>
      <c r="D75" s="347">
        <v>3.6</v>
      </c>
      <c r="E75" s="347">
        <v>3.6</v>
      </c>
      <c r="F75" s="347">
        <v>3.6</v>
      </c>
      <c r="G75" s="347">
        <v>3.6</v>
      </c>
      <c r="H75" s="347">
        <v>3.6</v>
      </c>
      <c r="I75" s="347">
        <v>3.6</v>
      </c>
      <c r="J75" s="347">
        <v>3.6</v>
      </c>
      <c r="K75" s="684">
        <f>(($J$75-$D$75)/($J$73-$D$73)*K74+D75)</f>
        <v>3.6</v>
      </c>
      <c r="L75" s="684">
        <f>(($J$75-$D$75)/($J$73-$D$73)*L73+D75)</f>
        <v>3.6</v>
      </c>
      <c r="M75" s="35" t="s">
        <v>52</v>
      </c>
      <c r="N75" s="14"/>
      <c r="O75" s="14"/>
      <c r="P75" s="14"/>
      <c r="Q75" s="14"/>
      <c r="R75" s="14"/>
      <c r="S75" s="14"/>
      <c r="T75" s="14"/>
      <c r="U75" s="14"/>
      <c r="V75" s="14"/>
      <c r="W75" s="14"/>
      <c r="X75" s="14"/>
      <c r="Y75" s="14"/>
      <c r="Z75" s="15"/>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row>
    <row r="76" spans="2:54" x14ac:dyDescent="0.25">
      <c r="B76" s="13"/>
      <c r="C76" s="6" t="s">
        <v>1226</v>
      </c>
      <c r="D76" s="347">
        <v>2</v>
      </c>
      <c r="E76" s="347">
        <v>2.5</v>
      </c>
      <c r="F76" s="347">
        <v>3</v>
      </c>
      <c r="G76" s="347">
        <v>3.5</v>
      </c>
      <c r="H76" s="347">
        <v>3.5</v>
      </c>
      <c r="I76" s="347">
        <v>4</v>
      </c>
      <c r="J76" s="347">
        <v>5</v>
      </c>
      <c r="K76" s="347">
        <v>7</v>
      </c>
      <c r="L76" s="684">
        <f>(($J$76-$D$76)/($J$73-$D$73)*L73+D76)</f>
        <v>7.806451612903226</v>
      </c>
      <c r="M76" s="35" t="s">
        <v>52</v>
      </c>
      <c r="N76" s="14"/>
      <c r="O76" s="14"/>
      <c r="P76" s="14"/>
      <c r="Q76" s="14"/>
      <c r="R76" s="14"/>
      <c r="S76" s="14"/>
      <c r="T76" s="14"/>
      <c r="U76" s="14"/>
      <c r="V76" s="14"/>
      <c r="W76" s="14"/>
      <c r="X76" s="14"/>
      <c r="Y76" s="14"/>
      <c r="Z76" s="15"/>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row>
    <row r="77" spans="2:54" x14ac:dyDescent="0.25">
      <c r="B77" s="13"/>
      <c r="C77" s="6" t="s">
        <v>1227</v>
      </c>
      <c r="D77" s="347">
        <v>15</v>
      </c>
      <c r="E77" s="347">
        <v>30</v>
      </c>
      <c r="F77" s="347">
        <v>40</v>
      </c>
      <c r="G77" s="347">
        <v>45</v>
      </c>
      <c r="H77" s="347">
        <v>50</v>
      </c>
      <c r="I77" s="347">
        <v>60</v>
      </c>
      <c r="J77" s="684">
        <f>(($I$77-$D$77)/($I$73-$D$73)*J73+D77)</f>
        <v>113.4375</v>
      </c>
      <c r="K77" s="684">
        <f t="shared" ref="K77" si="12">(($I$77-$D$77)/($I$73-$D$73)*K73+E77)</f>
        <v>170.625</v>
      </c>
      <c r="L77" s="684">
        <f>(($I$77-$D$77)/($I$73-$D$73)*L73+F77)</f>
        <v>208.75</v>
      </c>
      <c r="M77" s="35" t="s">
        <v>112</v>
      </c>
      <c r="N77" s="14"/>
      <c r="O77" s="14"/>
      <c r="P77" s="14"/>
      <c r="Q77" s="14"/>
      <c r="R77" s="14"/>
      <c r="S77" s="14"/>
      <c r="T77" s="14"/>
      <c r="U77" s="14"/>
      <c r="V77" s="14"/>
      <c r="W77" s="14"/>
      <c r="X77" s="14"/>
      <c r="Y77" s="14"/>
      <c r="Z77" s="15"/>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row>
    <row r="78" spans="2:54" x14ac:dyDescent="0.25">
      <c r="B78" s="13"/>
      <c r="C78" s="6"/>
      <c r="D78" s="347"/>
      <c r="E78" s="347"/>
      <c r="F78" s="347"/>
      <c r="G78" s="347"/>
      <c r="H78" s="347"/>
      <c r="I78" s="347"/>
      <c r="J78" s="347"/>
      <c r="K78" s="347"/>
      <c r="L78" s="347"/>
      <c r="M78" s="35"/>
      <c r="N78" s="14"/>
      <c r="O78" s="14"/>
      <c r="P78" s="14"/>
      <c r="Q78" s="14"/>
      <c r="R78" s="14"/>
      <c r="S78" s="14"/>
      <c r="T78" s="14"/>
      <c r="U78" s="14"/>
      <c r="V78" s="14"/>
      <c r="W78" s="14"/>
      <c r="X78" s="14"/>
      <c r="Y78" s="14"/>
      <c r="Z78" s="15"/>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row>
    <row r="79" spans="2:54" x14ac:dyDescent="0.25">
      <c r="B79" s="13"/>
      <c r="C79" s="6"/>
      <c r="D79" s="347"/>
      <c r="E79" s="347"/>
      <c r="F79" s="347"/>
      <c r="G79" s="347"/>
      <c r="H79" s="347"/>
      <c r="I79" s="347"/>
      <c r="J79" s="347"/>
      <c r="K79" s="347"/>
      <c r="L79" s="2"/>
      <c r="M79" s="35"/>
      <c r="N79" s="14"/>
      <c r="O79" s="14"/>
      <c r="P79" s="14"/>
      <c r="Q79" s="14"/>
      <c r="R79" s="14"/>
      <c r="S79" s="14"/>
      <c r="T79" s="14"/>
      <c r="U79" s="14"/>
      <c r="V79" s="14"/>
      <c r="W79" s="14"/>
      <c r="X79" s="14"/>
      <c r="Y79" s="14"/>
      <c r="Z79" s="15"/>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row>
    <row r="80" spans="2:54" x14ac:dyDescent="0.25">
      <c r="B80" s="13"/>
      <c r="F80" s="347" t="str">
        <f>Parameters!H128</f>
        <v>Howden offshore compressor</v>
      </c>
      <c r="G80" s="347"/>
      <c r="H80" s="347"/>
      <c r="I80" s="347"/>
      <c r="J80" s="347"/>
      <c r="K80" s="347"/>
      <c r="L80" s="2"/>
      <c r="M80" s="35"/>
      <c r="N80" s="14"/>
      <c r="O80" s="14"/>
      <c r="P80" s="14"/>
      <c r="Q80" s="14"/>
      <c r="R80" s="14"/>
      <c r="S80" s="14"/>
      <c r="T80" s="14"/>
      <c r="U80" s="14"/>
      <c r="V80" s="14"/>
      <c r="W80" s="14"/>
      <c r="X80" s="14"/>
      <c r="Y80" s="14"/>
      <c r="Z80" s="15"/>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row>
    <row r="81" spans="2:54" x14ac:dyDescent="0.25">
      <c r="B81" s="13"/>
      <c r="C81" s="6"/>
      <c r="D81" s="347"/>
      <c r="E81" s="347"/>
      <c r="F81" s="347"/>
      <c r="G81" s="347"/>
      <c r="H81" s="347"/>
      <c r="I81" s="347"/>
      <c r="J81" s="347"/>
      <c r="K81" s="347"/>
      <c r="L81" s="2"/>
      <c r="M81" s="35"/>
      <c r="N81" s="14"/>
      <c r="O81" s="14"/>
      <c r="P81" s="14"/>
      <c r="Q81" s="14"/>
      <c r="R81" s="14"/>
      <c r="S81" s="14"/>
      <c r="T81" s="14"/>
      <c r="U81" s="14"/>
      <c r="V81" s="14"/>
      <c r="W81" s="14"/>
      <c r="X81" s="14"/>
      <c r="Y81" s="14"/>
      <c r="Z81" s="15"/>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row>
    <row r="82" spans="2:54" x14ac:dyDescent="0.25">
      <c r="B82" s="13"/>
      <c r="C82" s="36"/>
      <c r="D82" s="885"/>
      <c r="E82" s="885"/>
      <c r="F82" s="885"/>
      <c r="G82" s="885"/>
      <c r="H82" s="885"/>
      <c r="I82" s="885"/>
      <c r="J82" s="885"/>
      <c r="K82" s="885"/>
      <c r="L82" s="82"/>
      <c r="M82" s="38"/>
      <c r="N82" s="14"/>
      <c r="O82" s="14"/>
      <c r="P82" s="14"/>
      <c r="Q82" s="14"/>
      <c r="R82" s="14"/>
      <c r="S82" s="14"/>
      <c r="T82" s="14"/>
      <c r="U82" s="14"/>
      <c r="V82" s="14"/>
      <c r="W82" s="14"/>
      <c r="X82" s="14"/>
      <c r="Y82" s="14"/>
      <c r="Z82" s="15"/>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row>
    <row r="83" spans="2:54" x14ac:dyDescent="0.25">
      <c r="B83" s="13"/>
      <c r="C83" s="14"/>
      <c r="D83" s="14"/>
      <c r="E83" s="14"/>
      <c r="F83" s="14"/>
      <c r="G83" s="14"/>
      <c r="H83" s="14"/>
      <c r="I83" s="14"/>
      <c r="J83" s="14"/>
      <c r="K83" s="14"/>
      <c r="L83" s="14"/>
      <c r="M83" s="14"/>
      <c r="N83" s="14"/>
      <c r="O83" s="14"/>
      <c r="P83" s="14"/>
      <c r="Q83" s="14"/>
      <c r="R83" s="14"/>
      <c r="S83" s="14"/>
      <c r="T83" s="14"/>
      <c r="U83" s="14"/>
      <c r="V83" s="14"/>
      <c r="W83" s="14"/>
      <c r="X83" s="14"/>
      <c r="Y83" s="14"/>
      <c r="Z83" s="15"/>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row>
    <row r="84" spans="2:54" x14ac:dyDescent="0.25">
      <c r="B84" s="13"/>
      <c r="C84" s="14"/>
      <c r="D84" s="14"/>
      <c r="E84" s="14"/>
      <c r="F84" s="14"/>
      <c r="G84" s="14"/>
      <c r="H84" s="14"/>
      <c r="I84" s="14"/>
      <c r="J84" s="14"/>
      <c r="K84" s="14"/>
      <c r="L84" s="14"/>
      <c r="M84" s="14"/>
      <c r="N84" s="14"/>
      <c r="O84" s="14"/>
      <c r="P84" s="14"/>
      <c r="Q84" s="14"/>
      <c r="R84" s="14"/>
      <c r="S84" s="14"/>
      <c r="T84" s="14"/>
      <c r="U84" s="14"/>
      <c r="V84" s="14"/>
      <c r="W84" s="14"/>
      <c r="X84" s="14"/>
      <c r="Y84" s="14"/>
      <c r="Z84" s="15"/>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row>
    <row r="85" spans="2:54" x14ac:dyDescent="0.25">
      <c r="B85" s="13"/>
      <c r="C85" s="14"/>
      <c r="D85" s="14"/>
      <c r="E85" s="14"/>
      <c r="F85" s="14"/>
      <c r="G85" s="14"/>
      <c r="H85" s="14"/>
      <c r="I85" s="14"/>
      <c r="J85" s="14"/>
      <c r="K85" s="14"/>
      <c r="L85" s="14"/>
      <c r="M85" s="14"/>
      <c r="N85" s="14"/>
      <c r="O85" s="14"/>
      <c r="P85" s="14"/>
      <c r="Q85" s="14"/>
      <c r="R85" s="14"/>
      <c r="S85" s="14"/>
      <c r="T85" s="14"/>
      <c r="U85" s="14"/>
      <c r="V85" s="14"/>
      <c r="W85" s="14"/>
      <c r="X85" s="14"/>
      <c r="Y85" s="14"/>
      <c r="Z85" s="15"/>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row>
    <row r="86" spans="2:54" x14ac:dyDescent="0.25">
      <c r="B86" s="13"/>
      <c r="C86" s="14"/>
      <c r="D86" s="14"/>
      <c r="E86" s="14"/>
      <c r="F86" s="14"/>
      <c r="G86" s="14"/>
      <c r="H86" s="14"/>
      <c r="I86" s="14"/>
      <c r="J86" s="14"/>
      <c r="K86" s="14"/>
      <c r="L86" s="14"/>
      <c r="M86" s="14"/>
      <c r="N86" s="14"/>
      <c r="O86" s="14"/>
      <c r="P86" s="14"/>
      <c r="Q86" s="14"/>
      <c r="R86" s="14"/>
      <c r="S86" s="14"/>
      <c r="T86" s="14"/>
      <c r="U86" s="14"/>
      <c r="V86" s="14"/>
      <c r="W86" s="14"/>
      <c r="X86" s="14"/>
      <c r="Y86" s="14"/>
      <c r="Z86" s="15"/>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row>
    <row r="87" spans="2:54" x14ac:dyDescent="0.25">
      <c r="B87" s="13"/>
      <c r="C87" s="92"/>
      <c r="D87" s="92"/>
      <c r="E87" s="92"/>
      <c r="F87" s="92"/>
      <c r="G87" s="14"/>
      <c r="H87" s="14"/>
      <c r="I87" s="14"/>
      <c r="J87" s="14"/>
      <c r="K87" s="14"/>
      <c r="L87" s="14"/>
      <c r="M87" s="14"/>
      <c r="N87" s="14"/>
      <c r="O87" s="14"/>
      <c r="P87" s="14"/>
      <c r="Q87" s="14"/>
      <c r="R87" s="14"/>
      <c r="S87" s="14"/>
      <c r="T87" s="14"/>
      <c r="U87" s="14"/>
      <c r="V87" s="14"/>
      <c r="W87" s="14"/>
      <c r="X87" s="14"/>
      <c r="Y87" s="14"/>
      <c r="Z87" s="15"/>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row>
    <row r="88" spans="2:54" x14ac:dyDescent="0.25">
      <c r="B88" s="13"/>
      <c r="C88" s="14"/>
      <c r="D88" s="14"/>
      <c r="E88" s="14"/>
      <c r="F88" s="14"/>
      <c r="G88" s="14"/>
      <c r="H88" s="14"/>
      <c r="I88" s="14"/>
      <c r="J88" s="14"/>
      <c r="K88" s="14"/>
      <c r="L88" s="14"/>
      <c r="M88" s="14"/>
      <c r="N88" s="14"/>
      <c r="O88" s="14"/>
      <c r="P88" s="14"/>
      <c r="Q88" s="14"/>
      <c r="R88" s="14"/>
      <c r="S88" s="14"/>
      <c r="T88" s="14"/>
      <c r="U88" s="14"/>
      <c r="V88" s="14"/>
      <c r="W88" s="14"/>
      <c r="X88" s="14"/>
      <c r="Y88" s="14"/>
      <c r="Z88" s="15"/>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row>
    <row r="89" spans="2:54" x14ac:dyDescent="0.25">
      <c r="B89" s="18"/>
      <c r="C89" s="19"/>
      <c r="D89" s="19"/>
      <c r="E89" s="19"/>
      <c r="F89" s="19"/>
      <c r="G89" s="19"/>
      <c r="H89" s="19"/>
      <c r="I89" s="19"/>
      <c r="J89" s="19"/>
      <c r="K89" s="19"/>
      <c r="L89" s="19"/>
      <c r="M89" s="19"/>
      <c r="N89" s="19"/>
      <c r="O89" s="19"/>
      <c r="P89" s="19"/>
      <c r="Q89" s="19"/>
      <c r="R89" s="19"/>
      <c r="S89" s="19"/>
      <c r="T89" s="19"/>
      <c r="U89" s="19"/>
      <c r="V89" s="19"/>
      <c r="W89" s="19"/>
      <c r="X89" s="19"/>
      <c r="Y89" s="19"/>
      <c r="Z89" s="20"/>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row>
    <row r="90" spans="2:54" x14ac:dyDescent="0.25">
      <c r="B90" s="3"/>
      <c r="C90" s="3"/>
      <c r="D90" s="3"/>
      <c r="E90" s="3"/>
      <c r="F90" s="3"/>
      <c r="G90" s="3"/>
      <c r="H90" s="3"/>
      <c r="I90" s="3"/>
      <c r="J90" s="3"/>
      <c r="K90" s="3"/>
      <c r="L90" s="3"/>
      <c r="M90" s="3"/>
      <c r="N90" s="3"/>
      <c r="O90" s="3"/>
      <c r="P90" s="3"/>
      <c r="Q90" s="3"/>
      <c r="R90" s="3"/>
      <c r="S90" s="3"/>
      <c r="T90" s="3"/>
      <c r="U90" s="3"/>
      <c r="V90" s="3"/>
      <c r="W90" s="3"/>
      <c r="X90" s="3"/>
      <c r="Y90" s="3"/>
      <c r="Z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row>
    <row r="91" spans="2:54" x14ac:dyDescent="0.25">
      <c r="B91" s="3"/>
      <c r="C91" s="3"/>
      <c r="D91" s="3"/>
      <c r="E91" s="3"/>
      <c r="F91" s="3"/>
      <c r="G91" s="3"/>
      <c r="H91" s="3"/>
      <c r="I91" s="3"/>
      <c r="J91" s="3"/>
      <c r="K91" s="3"/>
      <c r="L91" s="3"/>
      <c r="M91" s="3"/>
      <c r="N91" s="3"/>
      <c r="O91" s="3"/>
      <c r="P91" s="3"/>
      <c r="Q91" s="3"/>
      <c r="R91" s="3"/>
      <c r="S91" s="3"/>
      <c r="T91" s="3"/>
      <c r="U91" s="3"/>
      <c r="V91" s="3"/>
      <c r="W91" s="3"/>
      <c r="X91" s="3"/>
      <c r="Y91" s="3"/>
      <c r="Z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row>
    <row r="92" spans="2:54" x14ac:dyDescent="0.25">
      <c r="B92" s="3"/>
      <c r="C92" s="3"/>
      <c r="D92" s="3"/>
      <c r="E92" s="3"/>
      <c r="F92" s="3"/>
      <c r="G92" s="3"/>
      <c r="H92" s="3"/>
      <c r="I92" s="3"/>
      <c r="J92" s="3"/>
      <c r="K92" s="3"/>
      <c r="L92" s="3"/>
      <c r="M92" s="3"/>
      <c r="N92" s="3"/>
      <c r="O92" s="3"/>
      <c r="P92" s="3"/>
      <c r="Q92" s="3"/>
      <c r="R92" s="3"/>
      <c r="S92" s="3"/>
      <c r="T92" s="3"/>
      <c r="U92" s="3"/>
      <c r="V92" s="3"/>
      <c r="W92" s="3"/>
      <c r="X92" s="3"/>
      <c r="Y92" s="3"/>
      <c r="Z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row>
    <row r="93" spans="2:54" x14ac:dyDescent="0.25">
      <c r="B93" s="3"/>
      <c r="C93" s="3"/>
      <c r="D93" s="3"/>
      <c r="E93" s="3"/>
      <c r="F93" s="3"/>
      <c r="G93" s="3"/>
      <c r="H93" s="3"/>
      <c r="I93" s="3"/>
      <c r="J93" s="3"/>
      <c r="K93" s="3"/>
      <c r="L93" s="3"/>
      <c r="M93" s="3"/>
      <c r="N93" s="3"/>
      <c r="O93" s="3"/>
      <c r="P93" s="3"/>
      <c r="Q93" s="3"/>
      <c r="R93" s="3"/>
      <c r="S93" s="3"/>
      <c r="T93" s="3"/>
      <c r="U93" s="3"/>
      <c r="V93" s="3"/>
      <c r="W93" s="3"/>
      <c r="X93" s="3"/>
      <c r="Y93" s="3"/>
      <c r="Z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row>
    <row r="94" spans="2:54" x14ac:dyDescent="0.25">
      <c r="B94" s="3"/>
      <c r="C94" s="3"/>
      <c r="D94" s="3"/>
      <c r="E94" s="3"/>
      <c r="F94" s="3"/>
      <c r="G94" s="3"/>
      <c r="H94" s="3"/>
      <c r="I94" s="3"/>
      <c r="J94" s="3"/>
      <c r="K94" s="3"/>
      <c r="L94" s="3"/>
      <c r="M94" s="3"/>
      <c r="N94" s="3"/>
      <c r="O94" s="3"/>
      <c r="P94" s="3"/>
      <c r="Q94" s="3"/>
      <c r="R94" s="3"/>
      <c r="S94" s="3"/>
      <c r="T94" s="3"/>
      <c r="U94" s="3"/>
      <c r="V94" s="3"/>
      <c r="W94" s="3"/>
      <c r="X94" s="3"/>
      <c r="Y94" s="3"/>
      <c r="Z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row>
    <row r="95" spans="2:54" x14ac:dyDescent="0.25">
      <c r="B95" s="3"/>
      <c r="C95" s="3"/>
      <c r="D95" s="3"/>
      <c r="E95" s="3"/>
      <c r="F95" s="3"/>
      <c r="G95" s="3"/>
      <c r="H95" s="3"/>
      <c r="I95" s="3"/>
      <c r="J95" s="3"/>
      <c r="K95" s="3"/>
      <c r="L95" s="3"/>
      <c r="M95" s="3"/>
      <c r="N95" s="3"/>
      <c r="O95" s="3"/>
      <c r="P95" s="3"/>
      <c r="Q95" s="3"/>
      <c r="R95" s="3"/>
      <c r="S95" s="3"/>
      <c r="T95" s="3"/>
      <c r="U95" s="3"/>
      <c r="V95" s="3"/>
      <c r="W95" s="3"/>
      <c r="X95" s="3"/>
      <c r="Y95" s="3"/>
      <c r="Z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row>
    <row r="96" spans="2:54" x14ac:dyDescent="0.25">
      <c r="B96" s="3"/>
      <c r="C96" s="3"/>
      <c r="D96" s="3"/>
      <c r="E96" s="3"/>
      <c r="F96" s="3"/>
      <c r="G96" s="3"/>
      <c r="H96" s="3"/>
      <c r="I96" s="3"/>
      <c r="J96" s="3"/>
      <c r="K96" s="3"/>
      <c r="L96" s="3"/>
      <c r="M96" s="3"/>
      <c r="N96" s="3"/>
      <c r="O96" s="3"/>
      <c r="P96" s="3"/>
      <c r="Q96" s="3"/>
      <c r="R96" s="3"/>
      <c r="S96" s="3"/>
      <c r="T96" s="3"/>
      <c r="U96" s="3"/>
      <c r="V96" s="3"/>
      <c r="W96" s="3"/>
      <c r="X96" s="3"/>
      <c r="Y96" s="3"/>
      <c r="Z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row>
    <row r="97" spans="2:54" x14ac:dyDescent="0.25">
      <c r="B97" s="3"/>
      <c r="C97" s="3"/>
      <c r="D97" s="3"/>
      <c r="E97" s="3"/>
      <c r="F97" s="3"/>
      <c r="G97" s="3"/>
      <c r="H97" s="3"/>
      <c r="I97" s="3"/>
      <c r="J97" s="3"/>
      <c r="K97" s="3"/>
      <c r="L97" s="3"/>
      <c r="M97" s="3"/>
      <c r="N97" s="3"/>
      <c r="O97" s="3"/>
      <c r="P97" s="3"/>
      <c r="Q97" s="3"/>
      <c r="R97" s="3"/>
      <c r="S97" s="3"/>
      <c r="T97" s="3"/>
      <c r="U97" s="3"/>
      <c r="V97" s="3"/>
      <c r="W97" s="3"/>
      <c r="X97" s="3"/>
      <c r="Y97" s="3"/>
      <c r="Z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row>
    <row r="98" spans="2:54" x14ac:dyDescent="0.25">
      <c r="B98" s="3"/>
      <c r="C98" s="3"/>
      <c r="D98" s="3"/>
      <c r="E98" s="3"/>
      <c r="F98" s="3"/>
      <c r="G98" s="3"/>
      <c r="H98" s="3"/>
      <c r="I98" s="3"/>
      <c r="J98" s="3"/>
      <c r="K98" s="3"/>
      <c r="L98" s="3"/>
      <c r="M98" s="3"/>
      <c r="N98" s="3"/>
      <c r="O98" s="3"/>
      <c r="P98" s="3"/>
      <c r="Q98" s="3"/>
      <c r="R98" s="3"/>
      <c r="S98" s="3"/>
      <c r="T98" s="3"/>
      <c r="U98" s="3"/>
      <c r="V98" s="3"/>
      <c r="W98" s="3"/>
      <c r="X98" s="3"/>
      <c r="Y98" s="3"/>
      <c r="Z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row>
    <row r="99" spans="2:54" x14ac:dyDescent="0.25">
      <c r="B99" s="3"/>
      <c r="C99" s="3"/>
      <c r="D99" s="3"/>
      <c r="E99" s="3"/>
      <c r="F99" s="3"/>
      <c r="G99" s="3"/>
      <c r="H99" s="3"/>
      <c r="I99" s="3"/>
      <c r="J99" s="3"/>
      <c r="K99" s="3"/>
      <c r="L99" s="3"/>
      <c r="M99" s="3"/>
      <c r="N99" s="3"/>
      <c r="O99" s="3"/>
      <c r="P99" s="3"/>
      <c r="Q99" s="3"/>
      <c r="R99" s="3"/>
      <c r="S99" s="3"/>
      <c r="T99" s="3"/>
      <c r="U99" s="3"/>
      <c r="V99" s="3"/>
      <c r="W99" s="3"/>
      <c r="X99" s="3"/>
      <c r="Y99" s="3"/>
      <c r="Z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row>
    <row r="100" spans="2:54" x14ac:dyDescent="0.25">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row>
    <row r="101" spans="2:54" x14ac:dyDescent="0.25">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row>
    <row r="102" spans="2:54" x14ac:dyDescent="0.25">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row>
    <row r="103" spans="2:54" x14ac:dyDescent="0.25">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row>
    <row r="104" spans="2:54" x14ac:dyDescent="0.25">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row>
    <row r="105" spans="2:54" x14ac:dyDescent="0.25">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row>
    <row r="106" spans="2:54" x14ac:dyDescent="0.25">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row>
    <row r="107" spans="2:54" x14ac:dyDescent="0.25">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row>
    <row r="108" spans="2:54" x14ac:dyDescent="0.25">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row>
    <row r="109" spans="2:54" x14ac:dyDescent="0.25">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row>
    <row r="110" spans="2:54" x14ac:dyDescent="0.25">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row>
    <row r="111" spans="2:54" x14ac:dyDescent="0.25">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row>
    <row r="112" spans="2:54" x14ac:dyDescent="0.25">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row>
    <row r="113" spans="2:54" x14ac:dyDescent="0.25">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row>
    <row r="114" spans="2:54" x14ac:dyDescent="0.25">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row>
    <row r="115" spans="2:54" x14ac:dyDescent="0.25">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row>
    <row r="116" spans="2:54" x14ac:dyDescent="0.25">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row>
    <row r="117" spans="2:54" x14ac:dyDescent="0.25">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row>
    <row r="118" spans="2:54" x14ac:dyDescent="0.25">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row>
    <row r="119" spans="2:54" x14ac:dyDescent="0.25">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row>
    <row r="120" spans="2:54" x14ac:dyDescent="0.25">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row>
    <row r="121" spans="2:54" x14ac:dyDescent="0.25">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row>
    <row r="122" spans="2:54" x14ac:dyDescent="0.25">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row>
    <row r="123" spans="2:54" x14ac:dyDescent="0.25">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row>
    <row r="124" spans="2:54" x14ac:dyDescent="0.25">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row>
    <row r="125" spans="2:54" x14ac:dyDescent="0.25">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row>
    <row r="126" spans="2:54" x14ac:dyDescent="0.25">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row>
    <row r="127" spans="2:54" x14ac:dyDescent="0.25">
      <c r="B127" s="3"/>
      <c r="C127" s="3"/>
      <c r="D127" s="3"/>
      <c r="E127" s="3"/>
      <c r="F127" s="3"/>
      <c r="G127" s="3"/>
      <c r="H127" s="3"/>
      <c r="I127" s="3"/>
      <c r="J127" s="3"/>
      <c r="K127" s="3"/>
      <c r="L127" s="3"/>
      <c r="M127" s="3"/>
      <c r="N127" s="3"/>
      <c r="O127" s="3"/>
      <c r="P127" s="3"/>
      <c r="Q127" s="3"/>
      <c r="R127" s="3"/>
      <c r="S127" s="3"/>
      <c r="T127" s="3"/>
      <c r="U127" s="3"/>
      <c r="V127" s="3"/>
      <c r="W127" s="3"/>
      <c r="X127" s="3"/>
      <c r="Y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row>
    <row r="128" spans="2:54" x14ac:dyDescent="0.25">
      <c r="B128" s="3"/>
      <c r="C128" s="3"/>
      <c r="D128" s="3"/>
      <c r="E128" s="3"/>
      <c r="F128" s="3"/>
      <c r="G128" s="3"/>
      <c r="H128" s="3"/>
      <c r="I128" s="3"/>
      <c r="J128" s="3"/>
      <c r="K128" s="3"/>
      <c r="L128" s="3"/>
      <c r="M128" s="3"/>
      <c r="N128" s="3"/>
      <c r="O128" s="3"/>
      <c r="P128" s="3"/>
      <c r="Q128" s="3"/>
      <c r="R128" s="3"/>
      <c r="S128" s="3"/>
      <c r="T128" s="3"/>
      <c r="U128" s="3"/>
      <c r="V128" s="3"/>
      <c r="W128" s="3"/>
      <c r="X128" s="3"/>
      <c r="Y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row>
    <row r="129" spans="2:54" x14ac:dyDescent="0.25">
      <c r="B129" s="3"/>
      <c r="C129" s="3"/>
      <c r="D129" s="3"/>
      <c r="E129" s="3"/>
      <c r="F129" s="3"/>
      <c r="G129" s="3"/>
      <c r="H129" s="3"/>
      <c r="I129" s="3"/>
      <c r="J129" s="3"/>
      <c r="K129" s="3"/>
      <c r="L129" s="3"/>
      <c r="M129" s="3"/>
      <c r="N129" s="3"/>
      <c r="O129" s="3"/>
      <c r="P129" s="3"/>
      <c r="Q129" s="3"/>
      <c r="R129" s="3"/>
      <c r="S129" s="3"/>
      <c r="T129" s="3"/>
      <c r="U129" s="3"/>
      <c r="V129" s="3"/>
      <c r="W129" s="3"/>
      <c r="X129" s="3"/>
      <c r="Y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row>
    <row r="130" spans="2:54" x14ac:dyDescent="0.25">
      <c r="B130" s="3"/>
      <c r="C130" s="3"/>
      <c r="D130" s="3"/>
      <c r="E130" s="3"/>
      <c r="F130" s="3"/>
      <c r="G130" s="3"/>
      <c r="H130" s="3"/>
      <c r="I130" s="3"/>
      <c r="J130" s="3"/>
      <c r="K130" s="3"/>
      <c r="L130" s="3"/>
      <c r="M130" s="3"/>
      <c r="N130" s="3"/>
      <c r="O130" s="3"/>
      <c r="P130" s="3"/>
      <c r="Q130" s="3"/>
      <c r="R130" s="3"/>
      <c r="S130" s="3"/>
      <c r="T130" s="3"/>
      <c r="U130" s="3"/>
      <c r="V130" s="3"/>
      <c r="W130" s="3"/>
      <c r="X130" s="3"/>
      <c r="Y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row>
    <row r="131" spans="2:54" x14ac:dyDescent="0.25">
      <c r="B131" s="3"/>
      <c r="C131" s="3"/>
      <c r="D131" s="3"/>
      <c r="E131" s="3"/>
      <c r="F131" s="3"/>
      <c r="G131" s="3"/>
      <c r="H131" s="3"/>
      <c r="I131" s="3"/>
      <c r="J131" s="3"/>
      <c r="K131" s="3"/>
      <c r="L131" s="3"/>
      <c r="M131" s="3"/>
      <c r="N131" s="3"/>
      <c r="O131" s="3"/>
      <c r="P131" s="3"/>
      <c r="Q131" s="3"/>
      <c r="R131" s="3"/>
      <c r="S131" s="3"/>
      <c r="T131" s="3"/>
      <c r="U131" s="3"/>
      <c r="V131" s="3"/>
      <c r="W131" s="3"/>
      <c r="X131" s="3"/>
      <c r="Y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row>
    <row r="132" spans="2:54" x14ac:dyDescent="0.25">
      <c r="B132" s="3"/>
      <c r="C132" s="3"/>
      <c r="D132" s="3"/>
      <c r="E132" s="3"/>
      <c r="F132" s="3"/>
      <c r="G132" s="3"/>
      <c r="H132" s="3"/>
      <c r="I132" s="3"/>
      <c r="J132" s="3"/>
      <c r="K132" s="3"/>
      <c r="L132" s="3"/>
      <c r="M132" s="3"/>
      <c r="N132" s="3"/>
      <c r="O132" s="3"/>
      <c r="P132" s="3"/>
      <c r="Q132" s="3"/>
      <c r="R132" s="3"/>
      <c r="S132" s="3"/>
      <c r="T132" s="3"/>
      <c r="U132" s="3"/>
      <c r="V132" s="3"/>
      <c r="W132" s="3"/>
      <c r="X132" s="3"/>
      <c r="Y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row>
    <row r="133" spans="2:54" x14ac:dyDescent="0.25">
      <c r="B133" s="3"/>
      <c r="C133" s="3"/>
      <c r="D133" s="3"/>
      <c r="E133" s="3"/>
      <c r="F133" s="3"/>
      <c r="G133" s="3"/>
      <c r="H133" s="3"/>
      <c r="I133" s="3"/>
      <c r="J133" s="3"/>
      <c r="K133" s="3"/>
      <c r="L133" s="3"/>
      <c r="M133" s="3"/>
      <c r="N133" s="3"/>
      <c r="O133" s="3"/>
      <c r="P133" s="3"/>
      <c r="Q133" s="3"/>
      <c r="R133" s="3"/>
      <c r="S133" s="3"/>
      <c r="T133" s="3"/>
      <c r="U133" s="3"/>
      <c r="V133" s="3"/>
      <c r="W133" s="3"/>
      <c r="X133" s="3"/>
      <c r="Y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row>
    <row r="134" spans="2:54" x14ac:dyDescent="0.25">
      <c r="B134" s="3"/>
      <c r="C134" s="3"/>
      <c r="D134" s="3"/>
      <c r="E134" s="3"/>
      <c r="F134" s="3"/>
      <c r="G134" s="3"/>
      <c r="H134" s="3"/>
      <c r="I134" s="3"/>
      <c r="J134" s="3"/>
      <c r="K134" s="3"/>
      <c r="L134" s="3"/>
      <c r="M134" s="3"/>
      <c r="N134" s="3"/>
      <c r="O134" s="3"/>
      <c r="P134" s="3"/>
      <c r="Q134" s="3"/>
      <c r="R134" s="3"/>
      <c r="S134" s="3"/>
      <c r="T134" s="3"/>
      <c r="U134" s="3"/>
      <c r="V134" s="3"/>
      <c r="W134" s="3"/>
      <c r="X134" s="3"/>
      <c r="Y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row>
    <row r="135" spans="2:54" x14ac:dyDescent="0.25">
      <c r="B135" s="3"/>
      <c r="C135" s="3"/>
      <c r="D135" s="3"/>
      <c r="E135" s="3"/>
      <c r="F135" s="3"/>
      <c r="G135" s="3"/>
      <c r="H135" s="3"/>
      <c r="I135" s="3"/>
      <c r="J135" s="3"/>
      <c r="K135" s="3"/>
      <c r="L135" s="3"/>
      <c r="M135" s="3"/>
      <c r="N135" s="3"/>
      <c r="O135" s="3"/>
      <c r="P135" s="3"/>
      <c r="Q135" s="3"/>
      <c r="R135" s="3"/>
      <c r="S135" s="3"/>
      <c r="T135" s="3"/>
      <c r="U135" s="3"/>
      <c r="V135" s="3"/>
      <c r="W135" s="3"/>
      <c r="X135" s="3"/>
      <c r="Y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row>
    <row r="136" spans="2:54" x14ac:dyDescent="0.25">
      <c r="B136" s="3"/>
      <c r="C136" s="3"/>
      <c r="D136" s="3"/>
      <c r="E136" s="3"/>
      <c r="F136" s="3"/>
      <c r="G136" s="3"/>
      <c r="H136" s="3"/>
      <c r="I136" s="3"/>
      <c r="J136" s="3"/>
      <c r="K136" s="3"/>
      <c r="L136" s="3"/>
      <c r="M136" s="3"/>
      <c r="N136" s="3"/>
      <c r="O136" s="3"/>
      <c r="P136" s="3"/>
      <c r="Q136" s="3"/>
      <c r="R136" s="3"/>
      <c r="S136" s="3"/>
      <c r="T136" s="3"/>
      <c r="U136" s="3"/>
      <c r="V136" s="3"/>
      <c r="W136" s="3"/>
      <c r="X136" s="3"/>
      <c r="Y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row>
    <row r="137" spans="2:54" x14ac:dyDescent="0.25">
      <c r="B137" s="3"/>
      <c r="C137" s="3"/>
      <c r="D137" s="3"/>
      <c r="E137" s="3"/>
      <c r="F137" s="3"/>
      <c r="G137" s="3"/>
      <c r="H137" s="3"/>
      <c r="I137" s="3"/>
      <c r="J137" s="3"/>
      <c r="K137" s="3"/>
      <c r="L137" s="3"/>
      <c r="M137" s="3"/>
      <c r="N137" s="3"/>
      <c r="O137" s="3"/>
      <c r="P137" s="3"/>
      <c r="Q137" s="3"/>
      <c r="R137" s="3"/>
      <c r="S137" s="3"/>
      <c r="T137" s="3"/>
      <c r="U137" s="3"/>
      <c r="V137" s="3"/>
      <c r="W137" s="3"/>
      <c r="X137" s="3"/>
      <c r="Y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row>
    <row r="138" spans="2:54" x14ac:dyDescent="0.25">
      <c r="B138" s="3"/>
      <c r="C138" s="3"/>
      <c r="D138" s="3"/>
      <c r="E138" s="3"/>
      <c r="F138" s="3"/>
      <c r="G138" s="3"/>
      <c r="H138" s="3"/>
      <c r="I138" s="3"/>
      <c r="J138" s="3"/>
      <c r="K138" s="3"/>
      <c r="L138" s="3"/>
      <c r="M138" s="3"/>
      <c r="N138" s="3"/>
      <c r="O138" s="3"/>
      <c r="P138" s="3"/>
      <c r="Q138" s="3"/>
      <c r="R138" s="3"/>
      <c r="S138" s="3"/>
      <c r="T138" s="3"/>
      <c r="U138" s="3"/>
      <c r="V138" s="3"/>
      <c r="W138" s="3"/>
      <c r="X138" s="3"/>
      <c r="Y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row>
    <row r="139" spans="2:54" x14ac:dyDescent="0.25">
      <c r="B139" s="3"/>
      <c r="C139" s="3"/>
      <c r="D139" s="3"/>
      <c r="E139" s="3"/>
      <c r="F139" s="3"/>
      <c r="G139" s="3"/>
      <c r="H139" s="3"/>
      <c r="I139" s="3"/>
      <c r="J139" s="3"/>
      <c r="K139" s="3"/>
      <c r="L139" s="3"/>
      <c r="M139" s="3"/>
      <c r="N139" s="3"/>
      <c r="O139" s="3"/>
      <c r="P139" s="3"/>
      <c r="Q139" s="3"/>
      <c r="R139" s="3"/>
      <c r="S139" s="3"/>
      <c r="T139" s="3"/>
      <c r="U139" s="3"/>
      <c r="V139" s="3"/>
      <c r="W139" s="3"/>
      <c r="X139" s="3"/>
      <c r="Y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row>
    <row r="140" spans="2:54" x14ac:dyDescent="0.25">
      <c r="B140" s="3"/>
      <c r="C140" s="3"/>
      <c r="D140" s="3"/>
      <c r="E140" s="3"/>
      <c r="F140" s="3"/>
      <c r="G140" s="3"/>
      <c r="H140" s="3"/>
      <c r="I140" s="3"/>
      <c r="J140" s="3"/>
      <c r="K140" s="3"/>
      <c r="L140" s="3"/>
      <c r="M140" s="3"/>
      <c r="N140" s="3"/>
      <c r="O140" s="3"/>
      <c r="P140" s="3"/>
      <c r="Q140" s="3"/>
      <c r="R140" s="3"/>
      <c r="S140" s="3"/>
      <c r="T140" s="3"/>
      <c r="U140" s="3"/>
      <c r="V140" s="3"/>
      <c r="W140" s="3"/>
      <c r="X140" s="3"/>
      <c r="Y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row>
    <row r="141" spans="2:54" x14ac:dyDescent="0.25">
      <c r="B141" s="3"/>
      <c r="C141" s="3"/>
      <c r="D141" s="3"/>
      <c r="E141" s="3"/>
      <c r="F141" s="3"/>
      <c r="G141" s="3"/>
      <c r="H141" s="3"/>
      <c r="I141" s="3"/>
      <c r="J141" s="3"/>
      <c r="K141" s="3"/>
      <c r="L141" s="3"/>
      <c r="M141" s="3"/>
      <c r="N141" s="3"/>
      <c r="O141" s="3"/>
      <c r="P141" s="3"/>
      <c r="Q141" s="3"/>
      <c r="R141" s="3"/>
      <c r="S141" s="3"/>
      <c r="T141" s="3"/>
      <c r="U141" s="3"/>
      <c r="V141" s="3"/>
      <c r="W141" s="3"/>
      <c r="X141" s="3"/>
      <c r="Y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row>
    <row r="142" spans="2:54" x14ac:dyDescent="0.25">
      <c r="B142" s="3"/>
      <c r="C142" s="3"/>
      <c r="D142" s="3"/>
      <c r="E142" s="3"/>
      <c r="F142" s="3"/>
      <c r="G142" s="3"/>
      <c r="H142" s="3"/>
      <c r="I142" s="3"/>
      <c r="J142" s="3"/>
      <c r="K142" s="3"/>
      <c r="L142" s="3"/>
      <c r="M142" s="3"/>
      <c r="N142" s="3"/>
      <c r="O142" s="3"/>
      <c r="P142" s="3"/>
      <c r="Q142" s="3"/>
      <c r="R142" s="3"/>
      <c r="S142" s="3"/>
      <c r="T142" s="3"/>
      <c r="U142" s="3"/>
      <c r="V142" s="3"/>
      <c r="W142" s="3"/>
      <c r="X142" s="3"/>
      <c r="Y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row>
    <row r="143" spans="2:54" x14ac:dyDescent="0.25">
      <c r="B143" s="3"/>
      <c r="C143" s="3"/>
      <c r="D143" s="3"/>
      <c r="E143" s="3"/>
      <c r="F143" s="3"/>
      <c r="G143" s="3"/>
      <c r="H143" s="3"/>
      <c r="I143" s="3"/>
      <c r="J143" s="3"/>
      <c r="K143" s="3"/>
      <c r="L143" s="3"/>
      <c r="M143" s="3"/>
      <c r="N143" s="3"/>
      <c r="O143" s="3"/>
      <c r="P143" s="3"/>
      <c r="Q143" s="3"/>
      <c r="R143" s="3"/>
      <c r="S143" s="3"/>
      <c r="T143" s="3"/>
      <c r="U143" s="3"/>
      <c r="V143" s="3"/>
      <c r="W143" s="3"/>
      <c r="X143" s="3"/>
      <c r="Y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row>
    <row r="144" spans="2:54" x14ac:dyDescent="0.25">
      <c r="B144" s="3"/>
      <c r="C144" s="3"/>
      <c r="D144" s="3"/>
      <c r="E144" s="3"/>
      <c r="F144" s="3"/>
      <c r="G144" s="3"/>
      <c r="H144" s="3"/>
      <c r="I144" s="3"/>
      <c r="J144" s="3"/>
      <c r="K144" s="3"/>
      <c r="L144" s="3"/>
      <c r="M144" s="3"/>
      <c r="N144" s="3"/>
      <c r="O144" s="3"/>
      <c r="P144" s="3"/>
      <c r="Q144" s="3"/>
      <c r="R144" s="3"/>
      <c r="S144" s="3"/>
      <c r="T144" s="3"/>
      <c r="U144" s="3"/>
      <c r="V144" s="3"/>
      <c r="W144" s="3"/>
      <c r="X144" s="3"/>
      <c r="Y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row>
    <row r="145" spans="2:54" x14ac:dyDescent="0.25">
      <c r="B145" s="3"/>
      <c r="C145" s="3"/>
      <c r="D145" s="3"/>
      <c r="E145" s="3"/>
      <c r="F145" s="3"/>
      <c r="G145" s="3"/>
      <c r="H145" s="3"/>
      <c r="I145" s="3"/>
      <c r="J145" s="3"/>
      <c r="K145" s="3"/>
      <c r="L145" s="3"/>
      <c r="M145" s="3"/>
      <c r="N145" s="3"/>
      <c r="O145" s="3"/>
      <c r="P145" s="3"/>
      <c r="Q145" s="3"/>
      <c r="R145" s="3"/>
      <c r="S145" s="3"/>
      <c r="T145" s="3"/>
      <c r="U145" s="3"/>
      <c r="V145" s="3"/>
      <c r="W145" s="3"/>
      <c r="X145" s="3"/>
      <c r="Y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row>
    <row r="146" spans="2:54" x14ac:dyDescent="0.25">
      <c r="B146" s="3"/>
      <c r="C146" s="3"/>
      <c r="D146" s="3"/>
      <c r="E146" s="3"/>
      <c r="F146" s="3"/>
      <c r="G146" s="3"/>
      <c r="H146" s="3"/>
      <c r="I146" s="3"/>
      <c r="J146" s="3"/>
      <c r="K146" s="3"/>
      <c r="L146" s="3"/>
      <c r="M146" s="3"/>
      <c r="N146" s="3"/>
      <c r="O146" s="3"/>
      <c r="P146" s="3"/>
      <c r="Q146" s="3"/>
      <c r="R146" s="3"/>
      <c r="S146" s="3"/>
      <c r="T146" s="3"/>
      <c r="U146" s="3"/>
      <c r="V146" s="3"/>
      <c r="W146" s="3"/>
      <c r="X146" s="3"/>
      <c r="Y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row>
    <row r="147" spans="2:54" x14ac:dyDescent="0.25">
      <c r="B147" s="3"/>
      <c r="C147" s="3"/>
      <c r="D147" s="3"/>
      <c r="E147" s="3"/>
      <c r="F147" s="3"/>
      <c r="G147" s="3"/>
      <c r="H147" s="3"/>
      <c r="I147" s="3"/>
      <c r="J147" s="3"/>
      <c r="K147" s="3"/>
      <c r="L147" s="3"/>
      <c r="M147" s="3"/>
      <c r="N147" s="3"/>
      <c r="O147" s="3"/>
      <c r="P147" s="3"/>
      <c r="Q147" s="3"/>
      <c r="R147" s="3"/>
      <c r="S147" s="3"/>
      <c r="T147" s="3"/>
      <c r="U147" s="3"/>
      <c r="V147" s="3"/>
      <c r="W147" s="3"/>
      <c r="X147" s="3"/>
      <c r="Y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row>
    <row r="148" spans="2:54" x14ac:dyDescent="0.25">
      <c r="B148" s="3"/>
      <c r="C148" s="3"/>
      <c r="D148" s="3"/>
      <c r="E148" s="3"/>
      <c r="F148" s="3"/>
      <c r="G148" s="3"/>
      <c r="H148" s="3"/>
      <c r="I148" s="3"/>
      <c r="J148" s="3"/>
      <c r="K148" s="3"/>
      <c r="L148" s="3"/>
      <c r="M148" s="3"/>
      <c r="N148" s="3"/>
      <c r="O148" s="3"/>
      <c r="P148" s="3"/>
      <c r="Q148" s="3"/>
      <c r="R148" s="3"/>
      <c r="S148" s="3"/>
      <c r="T148" s="3"/>
      <c r="U148" s="3"/>
      <c r="V148" s="3"/>
      <c r="W148" s="3"/>
      <c r="X148" s="3"/>
      <c r="Y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row>
    <row r="149" spans="2:54" x14ac:dyDescent="0.25">
      <c r="B149" s="3"/>
      <c r="C149" s="3"/>
      <c r="D149" s="3"/>
      <c r="E149" s="3"/>
      <c r="F149" s="3"/>
      <c r="G149" s="3"/>
      <c r="H149" s="3"/>
      <c r="I149" s="3"/>
      <c r="J149" s="3"/>
      <c r="K149" s="3"/>
      <c r="L149" s="3"/>
      <c r="M149" s="3"/>
      <c r="N149" s="3"/>
      <c r="O149" s="3"/>
      <c r="P149" s="3"/>
      <c r="Q149" s="3"/>
      <c r="R149" s="3"/>
      <c r="S149" s="3"/>
      <c r="T149" s="3"/>
      <c r="U149" s="3"/>
      <c r="V149" s="3"/>
      <c r="W149" s="3"/>
      <c r="X149" s="3"/>
      <c r="Y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row>
    <row r="150" spans="2:54" x14ac:dyDescent="0.25">
      <c r="B150" s="3"/>
      <c r="C150" s="3"/>
      <c r="D150" s="3"/>
      <c r="E150" s="3"/>
      <c r="F150" s="3"/>
      <c r="G150" s="3"/>
      <c r="H150" s="3"/>
      <c r="I150" s="3"/>
      <c r="J150" s="3"/>
      <c r="K150" s="3"/>
      <c r="L150" s="3"/>
      <c r="M150" s="3"/>
      <c r="N150" s="3"/>
      <c r="O150" s="3"/>
      <c r="P150" s="3"/>
      <c r="Q150" s="3"/>
      <c r="R150" s="3"/>
      <c r="S150" s="3"/>
      <c r="T150" s="3"/>
      <c r="U150" s="3"/>
      <c r="V150" s="3"/>
      <c r="W150" s="3"/>
      <c r="X150" s="3"/>
      <c r="Y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row>
    <row r="151" spans="2:54" x14ac:dyDescent="0.25">
      <c r="B151" s="3"/>
      <c r="C151" s="3"/>
      <c r="D151" s="3"/>
      <c r="E151" s="3"/>
      <c r="F151" s="3"/>
      <c r="G151" s="3"/>
      <c r="H151" s="3"/>
      <c r="I151" s="3"/>
      <c r="J151" s="3"/>
      <c r="K151" s="3"/>
      <c r="L151" s="3"/>
      <c r="M151" s="3"/>
      <c r="N151" s="3"/>
      <c r="O151" s="3"/>
      <c r="P151" s="3"/>
      <c r="Q151" s="3"/>
      <c r="R151" s="3"/>
      <c r="S151" s="3"/>
      <c r="T151" s="3"/>
      <c r="U151" s="3"/>
      <c r="V151" s="3"/>
      <c r="W151" s="3"/>
      <c r="X151" s="3"/>
      <c r="Y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row>
    <row r="152" spans="2:54" x14ac:dyDescent="0.25">
      <c r="B152" s="3"/>
      <c r="C152" s="3"/>
      <c r="D152" s="3"/>
      <c r="E152" s="3"/>
      <c r="F152" s="3"/>
      <c r="G152" s="3"/>
      <c r="H152" s="3"/>
      <c r="I152" s="3"/>
      <c r="J152" s="3"/>
      <c r="K152" s="3"/>
      <c r="L152" s="3"/>
      <c r="M152" s="3"/>
      <c r="N152" s="3"/>
      <c r="O152" s="3"/>
      <c r="P152" s="3"/>
      <c r="Q152" s="3"/>
      <c r="R152" s="3"/>
      <c r="S152" s="3"/>
      <c r="T152" s="3"/>
      <c r="U152" s="3"/>
      <c r="V152" s="3"/>
      <c r="W152" s="3"/>
      <c r="X152" s="3"/>
      <c r="Y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row>
    <row r="153" spans="2:54" x14ac:dyDescent="0.25">
      <c r="B153" s="3"/>
      <c r="C153" s="3"/>
      <c r="D153" s="3"/>
      <c r="E153" s="3"/>
      <c r="F153" s="3"/>
      <c r="G153" s="3"/>
      <c r="H153" s="3"/>
      <c r="I153" s="3"/>
      <c r="J153" s="3"/>
      <c r="K153" s="3"/>
      <c r="L153" s="3"/>
      <c r="M153" s="3"/>
      <c r="N153" s="3"/>
      <c r="O153" s="3"/>
      <c r="P153" s="3"/>
      <c r="Q153" s="3"/>
      <c r="R153" s="3"/>
      <c r="S153" s="3"/>
      <c r="T153" s="3"/>
      <c r="U153" s="3"/>
      <c r="V153" s="3"/>
      <c r="W153" s="3"/>
      <c r="X153" s="3"/>
      <c r="Y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row>
    <row r="154" spans="2:54" x14ac:dyDescent="0.25">
      <c r="B154" s="3"/>
      <c r="C154" s="3"/>
      <c r="D154" s="3"/>
      <c r="E154" s="3"/>
      <c r="F154" s="3"/>
      <c r="G154" s="3"/>
      <c r="H154" s="3"/>
      <c r="I154" s="3"/>
      <c r="J154" s="3"/>
      <c r="K154" s="3"/>
      <c r="L154" s="3"/>
      <c r="M154" s="3"/>
      <c r="N154" s="3"/>
      <c r="O154" s="3"/>
      <c r="P154" s="3"/>
      <c r="Q154" s="3"/>
      <c r="R154" s="3"/>
      <c r="S154" s="3"/>
      <c r="T154" s="3"/>
      <c r="U154" s="3"/>
      <c r="V154" s="3"/>
      <c r="W154" s="3"/>
      <c r="X154" s="3"/>
      <c r="Y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row>
    <row r="155" spans="2:54" x14ac:dyDescent="0.25">
      <c r="B155" s="3"/>
      <c r="C155" s="3"/>
      <c r="D155" s="3"/>
      <c r="E155" s="3"/>
      <c r="F155" s="3"/>
      <c r="G155" s="3"/>
      <c r="H155" s="3"/>
      <c r="I155" s="3"/>
      <c r="J155" s="3"/>
      <c r="K155" s="3"/>
      <c r="L155" s="3"/>
      <c r="M155" s="3"/>
      <c r="N155" s="3"/>
      <c r="O155" s="3"/>
      <c r="P155" s="3"/>
      <c r="Q155" s="3"/>
      <c r="R155" s="3"/>
      <c r="S155" s="3"/>
      <c r="T155" s="3"/>
      <c r="U155" s="3"/>
      <c r="V155" s="3"/>
      <c r="W155" s="3"/>
      <c r="X155" s="3"/>
      <c r="Y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row>
    <row r="156" spans="2:54" x14ac:dyDescent="0.25">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2:54" x14ac:dyDescent="0.25">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2:54" x14ac:dyDescent="0.25">
      <c r="B158" s="3"/>
      <c r="C158" s="3"/>
      <c r="D158" s="3"/>
      <c r="E158" s="3"/>
      <c r="F158" s="3"/>
      <c r="G158" s="3"/>
      <c r="H158" s="3"/>
      <c r="I158" s="3"/>
      <c r="J158" s="3"/>
      <c r="K158" s="3"/>
      <c r="L158" s="3"/>
      <c r="M158" s="3"/>
      <c r="N158" s="3"/>
      <c r="O158" s="3"/>
      <c r="P158" s="3"/>
      <c r="Q158" s="3"/>
      <c r="R158" s="3"/>
      <c r="S158" s="3"/>
      <c r="T158" s="3"/>
      <c r="U158" s="3"/>
      <c r="V158" s="3"/>
      <c r="W158" s="3"/>
      <c r="X158" s="3"/>
      <c r="Y158" s="3"/>
    </row>
  </sheetData>
  <conditionalFormatting sqref="J41 I42:N42 I45:I47 I49">
    <cfRule type="cellIs" dxfId="125" priority="2" operator="equal">
      <formula>#REF!</formula>
    </cfRule>
  </conditionalFormatting>
  <conditionalFormatting sqref="I48">
    <cfRule type="cellIs" dxfId="124" priority="1" operator="equal">
      <formula>#REF!</formula>
    </cfRule>
  </conditionalFormatting>
  <pageMargins left="0.7" right="0.7" top="0.75" bottom="0.75" header="0.3" footer="0.3"/>
  <pageSetup paperSize="9" orientation="portrait" horizontalDpi="4294967295" verticalDpi="4294967295" r:id="rId1"/>
  <ignoredErrors>
    <ignoredError sqref="X20:X21 X30:X32" formula="1"/>
  </ignoredErrors>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Blad6"/>
  <dimension ref="A1:BC162"/>
  <sheetViews>
    <sheetView zoomScale="85" zoomScaleNormal="85" workbookViewId="0">
      <selection activeCell="B1" sqref="B1"/>
    </sheetView>
  </sheetViews>
  <sheetFormatPr defaultColWidth="9.140625" defaultRowHeight="15" x14ac:dyDescent="0.25"/>
  <cols>
    <col min="1" max="1" width="9.28515625" style="3" customWidth="1"/>
    <col min="2" max="2" width="9.140625" style="7"/>
    <col min="3" max="3" width="25.7109375" style="7" bestFit="1" customWidth="1"/>
    <col min="4" max="4" width="18.85546875" style="7" customWidth="1"/>
    <col min="5" max="5" width="16.140625" style="7" customWidth="1"/>
    <col min="6" max="6" width="16.140625" style="7" bestFit="1" customWidth="1"/>
    <col min="7" max="7" width="23.5703125" style="7" customWidth="1"/>
    <col min="8" max="8" width="20.140625" style="7" customWidth="1"/>
    <col min="9" max="9" width="11.5703125" style="7" bestFit="1" customWidth="1"/>
    <col min="10" max="10" width="15" style="7" bestFit="1" customWidth="1"/>
    <col min="11" max="11" width="37.42578125" style="7" bestFit="1" customWidth="1"/>
    <col min="12" max="12" width="18.5703125" style="7" bestFit="1" customWidth="1"/>
    <col min="13" max="13" width="10.85546875" style="7" bestFit="1" customWidth="1"/>
    <col min="14" max="14" width="9.140625" style="7"/>
    <col min="15" max="15" width="12.7109375" style="7" customWidth="1"/>
    <col min="16" max="16" width="13.28515625" style="7" bestFit="1" customWidth="1"/>
    <col min="17" max="17" width="9.140625" style="7"/>
    <col min="18" max="18" width="17.42578125" style="7" bestFit="1" customWidth="1"/>
    <col min="19" max="19" width="25.85546875" style="7" bestFit="1" customWidth="1"/>
    <col min="20" max="20" width="7.85546875" style="7" customWidth="1"/>
    <col min="21" max="22" width="9.140625" style="7"/>
    <col min="23" max="23" width="18.42578125" style="7" customWidth="1"/>
    <col min="24" max="24" width="14.7109375" style="7" bestFit="1" customWidth="1"/>
    <col min="25" max="26" width="9.140625" style="7"/>
    <col min="27" max="27" width="9.140625" style="3"/>
    <col min="28" max="16384" width="9.140625" style="7"/>
  </cols>
  <sheetData>
    <row r="1" spans="1:54" s="3" customFormat="1" ht="54.75" customHeight="1" x14ac:dyDescent="0.65">
      <c r="A1" s="30"/>
      <c r="B1" s="180" t="str">
        <f>"CO2 Transport ("&amp;Parameters!$D$6&amp;")"</f>
        <v>CO2 Transport (P15 Scenario 1)</v>
      </c>
      <c r="C1" s="170"/>
    </row>
    <row r="2" spans="1:54" x14ac:dyDescent="0.25">
      <c r="B2" s="10"/>
      <c r="C2" s="11"/>
      <c r="D2" s="11"/>
      <c r="E2" s="11"/>
      <c r="F2" s="11"/>
      <c r="G2" s="11"/>
      <c r="H2" s="11"/>
      <c r="I2" s="11"/>
      <c r="J2" s="11"/>
      <c r="K2" s="11"/>
      <c r="L2" s="11"/>
      <c r="M2" s="11"/>
      <c r="N2" s="11"/>
      <c r="O2" s="11"/>
      <c r="P2" s="11"/>
      <c r="Q2" s="11"/>
      <c r="R2" s="11"/>
      <c r="S2" s="11"/>
      <c r="T2" s="11"/>
      <c r="U2" s="11"/>
      <c r="V2" s="11"/>
      <c r="W2" s="11"/>
      <c r="X2" s="11"/>
      <c r="Y2" s="11"/>
      <c r="Z2" s="12"/>
      <c r="AB2" s="3"/>
      <c r="AC2" s="3"/>
      <c r="AD2" s="3"/>
      <c r="AE2" s="3"/>
      <c r="AF2" s="3"/>
      <c r="AG2" s="3"/>
      <c r="AH2" s="3"/>
      <c r="AI2" s="3"/>
      <c r="AJ2" s="3"/>
      <c r="AK2" s="3"/>
      <c r="AL2" s="3"/>
      <c r="AM2" s="3"/>
      <c r="AN2" s="3"/>
      <c r="AO2" s="3"/>
      <c r="AP2" s="3"/>
      <c r="AQ2" s="3"/>
      <c r="AR2" s="3"/>
      <c r="AS2" s="3"/>
      <c r="AT2" s="3"/>
      <c r="AU2" s="3"/>
      <c r="AV2" s="3"/>
      <c r="AW2" s="3"/>
      <c r="AX2" s="3"/>
      <c r="AY2" s="3"/>
      <c r="AZ2" s="3"/>
      <c r="BA2" s="3"/>
      <c r="BB2" s="3"/>
    </row>
    <row r="3" spans="1:54" x14ac:dyDescent="0.25">
      <c r="B3" s="13"/>
      <c r="C3" s="39" t="s">
        <v>1</v>
      </c>
      <c r="D3" s="40"/>
      <c r="E3" s="41"/>
      <c r="F3" s="14"/>
      <c r="G3" s="39" t="s">
        <v>2</v>
      </c>
      <c r="H3" s="40"/>
      <c r="I3" s="41"/>
      <c r="J3" s="14"/>
      <c r="K3" s="14"/>
      <c r="L3" s="14"/>
      <c r="M3" s="14"/>
      <c r="N3" s="14"/>
      <c r="O3" s="14"/>
      <c r="P3" s="14"/>
      <c r="Q3" s="14"/>
      <c r="R3" s="14"/>
      <c r="S3" s="14"/>
      <c r="T3" s="14"/>
      <c r="U3" s="14"/>
      <c r="V3" s="14"/>
      <c r="W3" s="14"/>
      <c r="X3" s="14"/>
      <c r="Y3" s="14"/>
      <c r="Z3" s="15"/>
      <c r="AB3" s="3"/>
      <c r="AC3" s="3"/>
      <c r="AD3" s="3"/>
      <c r="AE3" s="3"/>
      <c r="AF3" s="3"/>
      <c r="AG3" s="3"/>
      <c r="AH3" s="3"/>
      <c r="AI3" s="3"/>
      <c r="AJ3" s="3"/>
      <c r="AK3" s="3"/>
      <c r="AL3" s="3"/>
      <c r="AM3" s="3"/>
      <c r="AN3" s="3"/>
      <c r="AO3" s="3"/>
      <c r="AP3" s="3"/>
      <c r="AQ3" s="3"/>
      <c r="AR3" s="3"/>
      <c r="AS3" s="3"/>
      <c r="AT3" s="3"/>
      <c r="AU3" s="3"/>
      <c r="AV3" s="3"/>
      <c r="AW3" s="3"/>
      <c r="AX3" s="3"/>
      <c r="AY3" s="3"/>
      <c r="AZ3" s="3"/>
      <c r="BA3" s="3"/>
      <c r="BB3" s="3"/>
    </row>
    <row r="4" spans="1:54" x14ac:dyDescent="0.25">
      <c r="B4" s="13"/>
      <c r="C4" s="14"/>
      <c r="D4" s="14"/>
      <c r="E4" s="14"/>
      <c r="F4" s="14"/>
      <c r="G4" s="14"/>
      <c r="H4" s="14"/>
      <c r="I4" s="14"/>
      <c r="J4" s="14"/>
      <c r="K4" s="14"/>
      <c r="L4" s="14"/>
      <c r="M4" s="14"/>
      <c r="N4" s="14"/>
      <c r="O4" s="14"/>
      <c r="P4" s="14"/>
      <c r="Q4" s="14"/>
      <c r="R4" s="14"/>
      <c r="S4" s="14"/>
      <c r="T4" s="14"/>
      <c r="U4" s="14"/>
      <c r="V4" s="14"/>
      <c r="W4" s="14"/>
      <c r="X4" s="14"/>
      <c r="Y4" s="14"/>
      <c r="Z4" s="15"/>
      <c r="AB4" s="3"/>
      <c r="AC4" s="3"/>
      <c r="AD4" s="3"/>
      <c r="AE4" s="3"/>
      <c r="AF4" s="3"/>
      <c r="AG4" s="3"/>
      <c r="AH4" s="3"/>
      <c r="AI4" s="3"/>
      <c r="AJ4" s="3"/>
      <c r="AK4" s="3"/>
      <c r="AL4" s="3"/>
      <c r="AM4" s="3"/>
      <c r="AN4" s="3"/>
      <c r="AO4" s="3"/>
      <c r="AP4" s="3"/>
      <c r="AQ4" s="3"/>
      <c r="AR4" s="3"/>
      <c r="AS4" s="3"/>
      <c r="AT4" s="3"/>
      <c r="AU4" s="3"/>
      <c r="AV4" s="3"/>
      <c r="AW4" s="3"/>
      <c r="AX4" s="3"/>
      <c r="AY4" s="3"/>
      <c r="AZ4" s="3"/>
      <c r="BA4" s="3"/>
      <c r="BB4" s="3"/>
    </row>
    <row r="5" spans="1:54" x14ac:dyDescent="0.25">
      <c r="B5" s="13"/>
      <c r="C5" s="32" t="str">
        <f>Parameters!E150</f>
        <v>Pipeline length</v>
      </c>
      <c r="D5" s="163">
        <f>Parameters!G150</f>
        <v>40</v>
      </c>
      <c r="E5" s="34" t="str">
        <f>Parameters!F150</f>
        <v>km</v>
      </c>
      <c r="F5" s="14"/>
      <c r="G5" s="32" t="str">
        <f>Parameters!E175</f>
        <v>Capex pipeline</v>
      </c>
      <c r="H5" s="86">
        <f>IF(D15="new",D64,0)</f>
        <v>34501791.52449213</v>
      </c>
      <c r="I5" s="34" t="str">
        <f>Parameters!F175</f>
        <v>EUR</v>
      </c>
      <c r="J5" s="92"/>
      <c r="K5" s="14"/>
      <c r="L5" s="14"/>
      <c r="M5" s="14"/>
      <c r="N5" s="14"/>
      <c r="O5" s="14"/>
      <c r="P5" s="14"/>
      <c r="Q5" s="14"/>
      <c r="R5" s="14"/>
      <c r="S5" s="14"/>
      <c r="T5" s="14"/>
      <c r="U5" s="14"/>
      <c r="V5" s="14"/>
      <c r="W5" s="14"/>
      <c r="X5" s="14"/>
      <c r="Y5" s="14"/>
      <c r="Z5" s="15"/>
      <c r="AB5" s="3"/>
      <c r="AC5" s="3"/>
      <c r="AD5" s="3"/>
      <c r="AE5" s="3"/>
      <c r="AF5" s="3"/>
      <c r="AG5" s="3"/>
      <c r="AH5" s="3"/>
      <c r="AI5" s="3"/>
      <c r="AJ5" s="3"/>
      <c r="AK5" s="3"/>
      <c r="AL5" s="3"/>
      <c r="AM5" s="3"/>
      <c r="AN5" s="3"/>
      <c r="AO5" s="3"/>
      <c r="AP5" s="3"/>
      <c r="AQ5" s="3"/>
      <c r="AR5" s="3"/>
      <c r="AS5" s="3"/>
      <c r="AT5" s="3"/>
      <c r="AU5" s="3"/>
      <c r="AV5" s="3"/>
      <c r="AW5" s="3"/>
      <c r="AX5" s="3"/>
      <c r="AY5" s="3"/>
      <c r="AZ5" s="3"/>
      <c r="BA5" s="3"/>
      <c r="BB5" s="3"/>
    </row>
    <row r="6" spans="1:54" x14ac:dyDescent="0.25">
      <c r="B6" s="13"/>
      <c r="C6" s="6" t="str">
        <f>Parameters!E168</f>
        <v>Pipeline diameter constant</v>
      </c>
      <c r="D6" s="159">
        <f>Parameters!G168</f>
        <v>0.23200000000000001</v>
      </c>
      <c r="E6" s="35" t="str">
        <f>Parameters!F168</f>
        <v>-</v>
      </c>
      <c r="F6" s="14"/>
      <c r="G6" s="6" t="str">
        <f>Parameters!E176</f>
        <v>Opex pipeline</v>
      </c>
      <c r="H6" s="81">
        <f>H5*H66</f>
        <v>690035.83048984257</v>
      </c>
      <c r="I6" s="35" t="str">
        <f>Parameters!F176</f>
        <v>EUR/a</v>
      </c>
      <c r="J6" s="92" t="s">
        <v>11</v>
      </c>
      <c r="K6" s="75"/>
      <c r="L6" s="14" t="s">
        <v>636</v>
      </c>
      <c r="M6" s="14"/>
      <c r="N6" s="14">
        <v>1.5189999999999999</v>
      </c>
      <c r="O6" s="14" t="s">
        <v>644</v>
      </c>
      <c r="P6" s="14">
        <v>30</v>
      </c>
      <c r="Q6" s="14" t="s">
        <v>52</v>
      </c>
      <c r="R6" s="14"/>
      <c r="S6" s="14"/>
      <c r="T6" s="14"/>
      <c r="U6" s="14"/>
      <c r="V6" s="14"/>
      <c r="W6" s="14"/>
      <c r="X6" s="14"/>
      <c r="Y6" s="14"/>
      <c r="Z6" s="15"/>
      <c r="AB6" s="3"/>
      <c r="AC6" s="3"/>
      <c r="AD6" s="3"/>
      <c r="AE6" s="3"/>
      <c r="AF6" s="3"/>
      <c r="AG6" s="3"/>
      <c r="AH6" s="3"/>
      <c r="AI6" s="3"/>
      <c r="AJ6" s="3"/>
      <c r="AK6" s="3"/>
      <c r="AL6" s="3"/>
      <c r="AM6" s="3"/>
      <c r="AN6" s="3"/>
      <c r="AO6" s="3"/>
      <c r="AP6" s="3"/>
      <c r="AQ6" s="3"/>
      <c r="AR6" s="3"/>
      <c r="AS6" s="3"/>
      <c r="AT6" s="3"/>
      <c r="AU6" s="3"/>
      <c r="AV6" s="3"/>
      <c r="AW6" s="3"/>
      <c r="AX6" s="3"/>
      <c r="AY6" s="3"/>
      <c r="AZ6" s="3"/>
      <c r="BA6" s="3"/>
      <c r="BB6" s="3"/>
    </row>
    <row r="7" spans="1:54" x14ac:dyDescent="0.25">
      <c r="B7" s="13"/>
      <c r="C7" s="6" t="str">
        <f>Parameters!E169</f>
        <v>Pipeline diameter exponent</v>
      </c>
      <c r="D7" s="159">
        <f>Parameters!G169</f>
        <v>0.3886</v>
      </c>
      <c r="E7" s="35" t="str">
        <f>Parameters!F169</f>
        <v>-</v>
      </c>
      <c r="F7" s="91"/>
      <c r="G7" s="1" t="str">
        <f>Parameters!E177</f>
        <v>Capex crossings &amp; landing</v>
      </c>
      <c r="H7" s="348">
        <f>IF(D15="new",SUM(H71:H77),0)</f>
        <v>35000000</v>
      </c>
      <c r="I7" s="35" t="str">
        <f>Parameters!F177</f>
        <v>EUR</v>
      </c>
      <c r="J7" s="75">
        <v>1</v>
      </c>
      <c r="K7" s="14"/>
      <c r="L7" s="14" t="s">
        <v>637</v>
      </c>
      <c r="M7" s="14"/>
      <c r="N7" s="78">
        <f>'CO2 COMPRESSION'!N45</f>
        <v>0.59809999999999997</v>
      </c>
      <c r="O7" s="14"/>
      <c r="P7" s="14"/>
      <c r="Q7" s="14"/>
      <c r="R7" s="14"/>
      <c r="S7" s="14"/>
      <c r="T7" s="14"/>
      <c r="U7" s="14"/>
      <c r="V7" s="14"/>
      <c r="W7" s="14"/>
      <c r="X7" s="14"/>
      <c r="Y7" s="14"/>
      <c r="Z7" s="15"/>
      <c r="AB7" s="3"/>
      <c r="AC7" s="3"/>
      <c r="AD7" s="3"/>
      <c r="AE7" s="3"/>
      <c r="AF7" s="3"/>
      <c r="AG7" s="3"/>
      <c r="AH7" s="3"/>
      <c r="AI7" s="3"/>
      <c r="AJ7" s="3"/>
      <c r="AK7" s="3"/>
      <c r="AL7" s="3"/>
      <c r="AM7" s="3"/>
      <c r="AN7" s="3"/>
      <c r="AO7" s="3"/>
      <c r="AP7" s="3"/>
      <c r="AQ7" s="3"/>
      <c r="AR7" s="3"/>
      <c r="AS7" s="3"/>
      <c r="AT7" s="3"/>
      <c r="AU7" s="3"/>
      <c r="AV7" s="3"/>
      <c r="AW7" s="3"/>
      <c r="AX7" s="3"/>
      <c r="AY7" s="3"/>
      <c r="AZ7" s="3"/>
      <c r="BA7" s="3"/>
      <c r="BB7" s="3"/>
    </row>
    <row r="8" spans="1:54" x14ac:dyDescent="0.25">
      <c r="B8" s="13"/>
      <c r="C8" s="6" t="str">
        <f>Parameters!E174</f>
        <v>Pipeline diameter</v>
      </c>
      <c r="D8" s="294">
        <f>D6*D32^D7</f>
        <v>0.43361842592551059</v>
      </c>
      <c r="E8" s="35" t="s">
        <v>52</v>
      </c>
      <c r="F8" s="91"/>
      <c r="G8" s="1"/>
      <c r="H8" s="348"/>
      <c r="I8" s="35"/>
      <c r="J8" s="14"/>
      <c r="K8" s="14"/>
      <c r="L8" s="14" t="s">
        <v>638</v>
      </c>
      <c r="M8" s="14"/>
      <c r="N8" s="92">
        <f>L33</f>
        <v>277.39999999999998</v>
      </c>
      <c r="O8" s="14"/>
      <c r="P8" s="14"/>
      <c r="Q8" s="14"/>
      <c r="R8" s="14"/>
      <c r="S8" s="14"/>
      <c r="T8" s="14"/>
      <c r="U8" s="14"/>
      <c r="V8" s="14"/>
      <c r="W8" s="14"/>
      <c r="X8" s="14"/>
      <c r="Y8" s="14"/>
      <c r="Z8" s="15"/>
      <c r="AB8" s="3"/>
      <c r="AC8" s="3"/>
      <c r="AD8" s="3"/>
      <c r="AE8" s="3"/>
      <c r="AF8" s="3"/>
      <c r="AG8" s="3"/>
      <c r="AH8" s="3"/>
      <c r="AI8" s="3"/>
      <c r="AJ8" s="3"/>
      <c r="AK8" s="3"/>
      <c r="AL8" s="3"/>
      <c r="AM8" s="3"/>
      <c r="AN8" s="3"/>
      <c r="AO8" s="3"/>
      <c r="AP8" s="3"/>
      <c r="AQ8" s="3"/>
      <c r="AR8" s="3"/>
      <c r="AS8" s="3"/>
      <c r="AT8" s="3"/>
      <c r="AU8" s="3"/>
      <c r="AV8" s="3"/>
      <c r="AW8" s="3"/>
      <c r="AX8" s="3"/>
      <c r="AY8" s="3"/>
      <c r="AZ8" s="3"/>
      <c r="BA8" s="3"/>
      <c r="BB8" s="3"/>
    </row>
    <row r="9" spans="1:54" x14ac:dyDescent="0.25">
      <c r="B9" s="13"/>
      <c r="C9" s="6" t="str">
        <f>Parameters!E152</f>
        <v>Pressure drop liquid</v>
      </c>
      <c r="D9" s="101">
        <f>Parameters!G152</f>
        <v>0.03</v>
      </c>
      <c r="E9" s="35" t="str">
        <f>Parameters!F152</f>
        <v>MPa/km</v>
      </c>
      <c r="F9" s="14"/>
      <c r="G9" s="6" t="str">
        <f>Parameters!E178</f>
        <v>Capex pump</v>
      </c>
      <c r="H9" s="81">
        <f>D84</f>
        <v>0</v>
      </c>
      <c r="I9" s="35" t="str">
        <f>Parameters!F178</f>
        <v>EUR</v>
      </c>
      <c r="J9" s="14"/>
      <c r="K9" s="14"/>
      <c r="L9" s="14" t="s">
        <v>639</v>
      </c>
      <c r="M9" s="14"/>
      <c r="N9" s="14">
        <f>Parameters!G470/4</f>
        <v>3.5000000000000001E-3</v>
      </c>
      <c r="O9" s="14"/>
      <c r="P9" s="14"/>
      <c r="Q9" s="14"/>
      <c r="R9" s="14"/>
      <c r="S9" s="14"/>
      <c r="T9" s="14"/>
      <c r="U9" s="14"/>
      <c r="V9" s="14"/>
      <c r="W9" s="14"/>
      <c r="X9" s="14"/>
      <c r="Y9" s="14"/>
      <c r="Z9" s="15"/>
      <c r="AB9" s="3"/>
      <c r="AC9" s="3"/>
      <c r="AD9" s="3"/>
      <c r="AE9" s="3"/>
      <c r="AF9" s="3"/>
      <c r="AG9" s="3"/>
      <c r="AH9" s="3"/>
      <c r="AI9" s="3"/>
      <c r="AJ9" s="3"/>
      <c r="AK9" s="3"/>
      <c r="AL9" s="3"/>
      <c r="AM9" s="3"/>
      <c r="AN9" s="3"/>
      <c r="AO9" s="3"/>
      <c r="AP9" s="3"/>
      <c r="AQ9" s="3"/>
      <c r="AR9" s="3"/>
      <c r="AS9" s="3"/>
      <c r="AT9" s="3"/>
      <c r="AU9" s="3"/>
      <c r="AV9" s="3"/>
      <c r="AW9" s="3"/>
      <c r="AX9" s="3"/>
      <c r="AY9" s="3"/>
      <c r="AZ9" s="3"/>
      <c r="BA9" s="3"/>
      <c r="BB9" s="3"/>
    </row>
    <row r="10" spans="1:54" x14ac:dyDescent="0.25">
      <c r="B10" s="13"/>
      <c r="C10" s="6" t="str">
        <f>Parameters!E151</f>
        <v>Minimum pipeline operating pressure</v>
      </c>
      <c r="D10" s="14">
        <f>Parameters!G151</f>
        <v>8.5</v>
      </c>
      <c r="E10" s="35" t="s">
        <v>29</v>
      </c>
      <c r="F10" s="14"/>
      <c r="G10" s="6" t="str">
        <f>Parameters!E179</f>
        <v>OPEX pump</v>
      </c>
      <c r="H10" s="81">
        <f>H84</f>
        <v>0</v>
      </c>
      <c r="I10" s="35" t="str">
        <f>Parameters!F179</f>
        <v>EUR/a</v>
      </c>
      <c r="J10" s="14"/>
      <c r="K10" s="14"/>
      <c r="L10" s="14" t="s">
        <v>640</v>
      </c>
      <c r="M10" s="14"/>
      <c r="N10" s="14">
        <v>1</v>
      </c>
      <c r="O10" s="14"/>
      <c r="P10" s="14"/>
      <c r="Q10" s="14"/>
      <c r="R10" s="14"/>
      <c r="S10" s="14"/>
      <c r="T10" s="14"/>
      <c r="U10" s="14"/>
      <c r="V10" s="14"/>
      <c r="W10" s="14"/>
      <c r="X10" s="14"/>
      <c r="Y10" s="14"/>
      <c r="Z10" s="15"/>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row>
    <row r="11" spans="1:54" x14ac:dyDescent="0.25">
      <c r="B11" s="13"/>
      <c r="C11" s="6" t="str">
        <f>Parameters!E170</f>
        <v>Pipeline operating pressure</v>
      </c>
      <c r="D11" s="14">
        <f>Parameters!G170</f>
        <v>10</v>
      </c>
      <c r="E11" s="35" t="s">
        <v>29</v>
      </c>
      <c r="F11" s="14"/>
      <c r="G11" s="6" t="str">
        <f>Parameters!E180</f>
        <v>Energy requirement pump</v>
      </c>
      <c r="H11" s="81">
        <f>IF($D$5=0,0,H51*D14)</f>
        <v>0</v>
      </c>
      <c r="I11" s="35" t="str">
        <f>Parameters!F180</f>
        <v>MWh/a</v>
      </c>
      <c r="J11" s="14"/>
      <c r="K11" s="14"/>
      <c r="L11" s="14" t="s">
        <v>641</v>
      </c>
      <c r="M11" s="14"/>
      <c r="N11" s="14">
        <v>73.06</v>
      </c>
      <c r="O11" s="14"/>
      <c r="P11" s="14"/>
      <c r="Q11" s="14"/>
      <c r="R11" s="14"/>
      <c r="S11" s="14"/>
      <c r="T11" s="14"/>
      <c r="U11" s="14"/>
      <c r="V11" s="14"/>
      <c r="W11" s="14"/>
      <c r="X11" s="14"/>
      <c r="Y11" s="14"/>
      <c r="Z11" s="15"/>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row>
    <row r="12" spans="1:54" x14ac:dyDescent="0.25">
      <c r="B12" s="13"/>
      <c r="C12" s="6" t="str">
        <f>Parameters!E149</f>
        <v>Pipeline opex</v>
      </c>
      <c r="D12" s="79">
        <f>Parameters!G149</f>
        <v>0.02</v>
      </c>
      <c r="E12" s="35"/>
      <c r="F12" s="14"/>
      <c r="G12" s="36"/>
      <c r="H12" s="37"/>
      <c r="I12" s="38"/>
      <c r="J12" s="14"/>
      <c r="K12" s="14"/>
      <c r="L12" s="14" t="s">
        <v>642</v>
      </c>
      <c r="M12" s="14"/>
      <c r="N12" s="14">
        <v>6.8360000000000004E-2</v>
      </c>
      <c r="O12" s="14"/>
      <c r="P12" s="14"/>
      <c r="Q12" s="14"/>
      <c r="R12" s="14"/>
      <c r="S12" s="14"/>
      <c r="T12" s="14"/>
      <c r="U12" s="14"/>
      <c r="V12" s="14"/>
      <c r="W12" s="14"/>
      <c r="X12" s="14"/>
      <c r="Y12" s="14"/>
      <c r="Z12" s="15"/>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row>
    <row r="13" spans="1:54" x14ac:dyDescent="0.25">
      <c r="B13" s="13"/>
      <c r="C13" s="6" t="str">
        <f>Parameters!E173</f>
        <v>Pump efficiency</v>
      </c>
      <c r="D13" s="75">
        <f>Parameters!G173</f>
        <v>0.75</v>
      </c>
      <c r="E13" s="35"/>
      <c r="F13" s="83"/>
      <c r="G13" s="14"/>
      <c r="H13" s="14"/>
      <c r="I13" s="14"/>
      <c r="J13" s="14"/>
      <c r="K13" s="14"/>
      <c r="L13" s="14" t="s">
        <v>643</v>
      </c>
      <c r="M13" s="14"/>
      <c r="N13" s="14">
        <f>2/3*(D10+D11-((D10*D11)/(D10+D11)))*1000</f>
        <v>9270.27027027027</v>
      </c>
      <c r="O13" s="14"/>
      <c r="P13" s="14"/>
      <c r="Q13" s="14"/>
      <c r="R13" s="14"/>
      <c r="S13" s="14"/>
      <c r="T13" s="14"/>
      <c r="U13" s="14"/>
      <c r="V13" s="14"/>
      <c r="W13" s="14"/>
      <c r="X13" s="14"/>
      <c r="Y13" s="14"/>
      <c r="Z13" s="15"/>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row>
    <row r="14" spans="1:54" x14ac:dyDescent="0.25">
      <c r="B14" s="13"/>
      <c r="C14" s="6" t="str">
        <f>Parameters!E171</f>
        <v>Pumping stations required</v>
      </c>
      <c r="D14" s="83">
        <f>Parameters!G171</f>
        <v>0</v>
      </c>
      <c r="E14" s="35"/>
      <c r="F14" s="14"/>
      <c r="G14" s="14"/>
      <c r="H14" s="14"/>
      <c r="I14" s="14"/>
      <c r="J14" s="14"/>
      <c r="K14" s="14"/>
      <c r="L14" s="14" t="s">
        <v>645</v>
      </c>
      <c r="M14" s="83">
        <f>((N6*N7*N8*(D31^2)*N9*D5*1000*(N10^2))/(N11*(((D11*1000)^2)-((D10*1000)^2)-N12*N6*N13*N7*L33*P6)))^(1/5)</f>
        <v>0.88034559617816521</v>
      </c>
      <c r="N14" s="14" t="s">
        <v>52</v>
      </c>
      <c r="O14" s="14"/>
      <c r="P14" s="14"/>
      <c r="Q14" s="14"/>
      <c r="R14" s="14"/>
      <c r="S14" s="14"/>
      <c r="T14" s="14"/>
      <c r="U14" s="14"/>
      <c r="V14" s="14"/>
      <c r="W14" s="14"/>
      <c r="X14" s="14"/>
      <c r="Y14" s="14"/>
      <c r="Z14" s="15"/>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row>
    <row r="15" spans="1:54" x14ac:dyDescent="0.25">
      <c r="B15" s="13"/>
      <c r="C15" s="686" t="str">
        <f>Parameters!E147</f>
        <v>CO2 transport pipeline - re-use or new</v>
      </c>
      <c r="D15" s="102" t="str">
        <f>Parameters!G147</f>
        <v>new</v>
      </c>
      <c r="E15" s="35"/>
      <c r="F15" s="14"/>
      <c r="G15" s="14"/>
      <c r="H15" s="14"/>
      <c r="I15" s="14"/>
      <c r="J15" s="14"/>
      <c r="K15" s="14"/>
      <c r="L15" s="14" t="s">
        <v>646</v>
      </c>
      <c r="M15" s="101">
        <f>(32*N9*D31^2*D5*1000/(PI()^2*'P-D-T TABLES DATABASE'!E10*('CO2 PIPELINE'!D11-'CO2 PIPELINE'!D10)*10^6))^(1/5)</f>
        <v>0.3809373977786803</v>
      </c>
      <c r="N15" s="14" t="s">
        <v>52</v>
      </c>
      <c r="O15" s="14"/>
      <c r="P15" s="14"/>
      <c r="Q15" s="14"/>
      <c r="R15" s="14"/>
      <c r="S15" s="14"/>
      <c r="T15" s="14"/>
      <c r="U15" s="14"/>
      <c r="V15" s="14"/>
      <c r="W15" s="14"/>
      <c r="X15" s="14"/>
      <c r="Y15" s="14"/>
      <c r="Z15" s="15"/>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row>
    <row r="16" spans="1:54" x14ac:dyDescent="0.25">
      <c r="B16" s="13"/>
      <c r="C16" s="6" t="str">
        <f>Parameters!E148</f>
        <v>CO2 leakages</v>
      </c>
      <c r="D16" s="189">
        <f>Parameters!G148</f>
        <v>0</v>
      </c>
      <c r="E16" s="35"/>
      <c r="F16" s="14"/>
      <c r="G16" s="14"/>
      <c r="H16" s="14"/>
      <c r="I16" s="14"/>
      <c r="J16" s="14"/>
      <c r="K16" s="14"/>
      <c r="L16" s="14"/>
      <c r="M16" s="92"/>
      <c r="N16" s="14"/>
      <c r="O16" s="14"/>
      <c r="P16" s="14"/>
      <c r="Q16" s="14"/>
      <c r="R16" s="14"/>
      <c r="S16" s="14"/>
      <c r="T16" s="14"/>
      <c r="U16" s="14"/>
      <c r="V16" s="14"/>
      <c r="W16" s="14"/>
      <c r="X16" s="14"/>
      <c r="Y16" s="14"/>
      <c r="Z16" s="15"/>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row>
    <row r="17" spans="2:54" x14ac:dyDescent="0.25">
      <c r="B17" s="13"/>
      <c r="C17" s="6" t="s">
        <v>93</v>
      </c>
      <c r="D17" s="160">
        <f>Parameters!G153</f>
        <v>1</v>
      </c>
      <c r="E17" s="35"/>
      <c r="F17" s="14"/>
      <c r="G17" s="14"/>
      <c r="H17" s="14"/>
      <c r="I17" s="14"/>
      <c r="J17" s="14"/>
      <c r="K17" s="14"/>
      <c r="L17" s="14"/>
      <c r="M17" s="14"/>
      <c r="N17" s="14"/>
      <c r="O17" s="14"/>
      <c r="P17" s="14"/>
      <c r="Q17" s="14"/>
      <c r="R17" s="14"/>
      <c r="S17" s="14"/>
      <c r="T17" s="14"/>
      <c r="U17" s="14"/>
      <c r="V17" s="14"/>
      <c r="W17" s="14"/>
      <c r="X17" s="14"/>
      <c r="Y17" s="14"/>
      <c r="Z17" s="15"/>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row>
    <row r="18" spans="2:54" x14ac:dyDescent="0.25">
      <c r="B18" s="13"/>
      <c r="C18" s="6" t="str">
        <f>Parameters!E154</f>
        <v>Onshore - Road</v>
      </c>
      <c r="D18" s="160">
        <f>Parameters!G154</f>
        <v>0</v>
      </c>
      <c r="E18" s="35"/>
      <c r="F18" s="14"/>
      <c r="G18" s="14"/>
      <c r="H18" s="14"/>
      <c r="I18" s="14"/>
      <c r="J18" s="14"/>
      <c r="K18" s="14"/>
      <c r="L18" s="14"/>
      <c r="M18" s="14"/>
      <c r="N18" s="14"/>
      <c r="O18" s="14"/>
      <c r="P18" s="14"/>
      <c r="Q18" s="14"/>
      <c r="R18" s="14"/>
      <c r="S18" s="14"/>
      <c r="T18" s="14"/>
      <c r="U18" s="14"/>
      <c r="V18" s="14"/>
      <c r="W18" s="14"/>
      <c r="X18" s="14"/>
      <c r="Y18" s="14"/>
      <c r="Z18" s="15"/>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row>
    <row r="19" spans="2:54" x14ac:dyDescent="0.25">
      <c r="B19" s="13"/>
      <c r="C19" s="6" t="str">
        <f>Parameters!E155</f>
        <v>Onshore - Pipeline</v>
      </c>
      <c r="D19" s="160">
        <f>Parameters!G155</f>
        <v>0</v>
      </c>
      <c r="E19" s="35"/>
      <c r="F19" s="14"/>
      <c r="G19" s="14"/>
      <c r="H19" s="14"/>
      <c r="I19" s="14"/>
      <c r="J19" s="14"/>
      <c r="K19" s="14"/>
      <c r="L19" s="14"/>
      <c r="M19" s="14"/>
      <c r="N19" s="14"/>
      <c r="O19" s="14"/>
      <c r="P19" s="14"/>
      <c r="Q19" s="14"/>
      <c r="R19" s="14"/>
      <c r="S19" s="14"/>
      <c r="T19" s="14"/>
      <c r="U19" s="14"/>
      <c r="V19" s="14"/>
      <c r="W19" s="14"/>
      <c r="X19" s="14"/>
      <c r="Y19" s="14"/>
      <c r="Z19" s="15"/>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row>
    <row r="20" spans="2:54" x14ac:dyDescent="0.25">
      <c r="B20" s="13"/>
      <c r="C20" s="6" t="str">
        <f>Parameters!E156</f>
        <v>Onshore - Other</v>
      </c>
      <c r="D20" s="160">
        <f>Parameters!G156</f>
        <v>0</v>
      </c>
      <c r="E20" s="35"/>
      <c r="F20" s="14"/>
      <c r="G20" s="14"/>
      <c r="H20" s="14"/>
      <c r="I20" s="14"/>
      <c r="J20" s="14"/>
      <c r="K20" s="14"/>
      <c r="L20" s="14"/>
      <c r="M20" s="14"/>
      <c r="N20" s="14"/>
      <c r="O20" s="14"/>
      <c r="P20" s="14"/>
      <c r="Q20" s="14"/>
      <c r="R20" s="14"/>
      <c r="S20" s="14"/>
      <c r="T20" s="14"/>
      <c r="U20" s="14"/>
      <c r="V20" s="14"/>
      <c r="W20" s="14"/>
      <c r="X20" s="14"/>
      <c r="Y20" s="14"/>
      <c r="Z20" s="15"/>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row>
    <row r="21" spans="2:54" x14ac:dyDescent="0.25">
      <c r="B21" s="13"/>
      <c r="C21" s="6" t="str">
        <f>Parameters!E157</f>
        <v>Offshore - Pipeline</v>
      </c>
      <c r="D21" s="160">
        <f>Parameters!G157</f>
        <v>1</v>
      </c>
      <c r="E21" s="35"/>
      <c r="F21" s="14"/>
      <c r="G21" s="14"/>
      <c r="H21" s="14"/>
      <c r="I21" s="14"/>
      <c r="J21" s="14"/>
      <c r="K21" s="14"/>
      <c r="L21" s="14"/>
      <c r="M21" s="14"/>
      <c r="N21" s="14"/>
      <c r="O21" s="14"/>
      <c r="P21" s="14"/>
      <c r="Q21" s="14"/>
      <c r="R21" s="14"/>
      <c r="S21" s="14"/>
      <c r="T21" s="14"/>
      <c r="U21" s="14"/>
      <c r="V21" s="14"/>
      <c r="W21" s="14"/>
      <c r="X21" s="14"/>
      <c r="Y21" s="14"/>
      <c r="Z21" s="15"/>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row>
    <row r="22" spans="2:54" x14ac:dyDescent="0.25">
      <c r="B22" s="13"/>
      <c r="C22" s="6" t="str">
        <f>Parameters!E158</f>
        <v>Submarine cables</v>
      </c>
      <c r="D22" s="160">
        <f>Parameters!G158</f>
        <v>3</v>
      </c>
      <c r="E22" s="35"/>
      <c r="F22" s="14"/>
      <c r="G22" s="14"/>
      <c r="H22" s="14"/>
      <c r="I22" s="14"/>
      <c r="J22" s="14"/>
      <c r="K22" s="14"/>
      <c r="L22" s="14"/>
      <c r="M22" s="14"/>
      <c r="N22" s="14"/>
      <c r="O22" s="14"/>
      <c r="P22" s="14"/>
      <c r="Q22" s="14"/>
      <c r="R22" s="14"/>
      <c r="S22" s="14"/>
      <c r="T22" s="14"/>
      <c r="U22" s="14"/>
      <c r="V22" s="14"/>
      <c r="W22" s="14"/>
      <c r="X22" s="14"/>
      <c r="Y22" s="14"/>
      <c r="Z22" s="15"/>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row>
    <row r="23" spans="2:54" x14ac:dyDescent="0.25">
      <c r="B23" s="13"/>
      <c r="C23" s="6" t="str">
        <f>Parameters!E159</f>
        <v>Offshore – shipping lane</v>
      </c>
      <c r="D23" s="160">
        <f>Parameters!G159</f>
        <v>1</v>
      </c>
      <c r="E23" s="35"/>
      <c r="F23" s="14"/>
      <c r="G23" s="14"/>
      <c r="H23" s="14"/>
      <c r="I23" s="14"/>
      <c r="J23" s="14"/>
      <c r="K23" s="14"/>
      <c r="L23" s="14"/>
      <c r="M23" s="14"/>
      <c r="N23" s="14"/>
      <c r="O23" s="14"/>
      <c r="P23" s="14"/>
      <c r="Q23" s="14"/>
      <c r="R23" s="14"/>
      <c r="S23" s="14"/>
      <c r="T23" s="14"/>
      <c r="U23" s="14"/>
      <c r="V23" s="14"/>
      <c r="W23" s="14"/>
      <c r="X23" s="14"/>
      <c r="Y23" s="14"/>
      <c r="Z23" s="15"/>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row>
    <row r="24" spans="2:54" x14ac:dyDescent="0.25">
      <c r="B24" s="13"/>
      <c r="C24" s="36" t="str">
        <f>Parameters!E167</f>
        <v>Gas mean temperature (seawater)</v>
      </c>
      <c r="D24" s="162">
        <f>Parameters!G167</f>
        <v>277.39999999999998</v>
      </c>
      <c r="E24" s="38" t="str">
        <f>Parameters!F167</f>
        <v>K</v>
      </c>
      <c r="F24" s="14"/>
      <c r="G24" s="14"/>
      <c r="H24" s="14"/>
      <c r="I24" s="14"/>
      <c r="J24" s="14"/>
      <c r="K24" s="14"/>
      <c r="L24" s="14"/>
      <c r="M24" s="14"/>
      <c r="N24" s="14"/>
      <c r="O24" s="14"/>
      <c r="P24" s="14"/>
      <c r="Q24" s="14"/>
      <c r="R24" s="14"/>
      <c r="S24" s="14"/>
      <c r="T24" s="14"/>
      <c r="U24" s="14"/>
      <c r="V24" s="14"/>
      <c r="W24" s="14"/>
      <c r="X24" s="14"/>
      <c r="Y24" s="14"/>
      <c r="Z24" s="15"/>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row>
    <row r="25" spans="2:54" x14ac:dyDescent="0.25">
      <c r="B25" s="13"/>
      <c r="C25" s="14"/>
      <c r="D25" s="14"/>
      <c r="E25" s="14"/>
      <c r="F25" s="14"/>
      <c r="G25" s="14"/>
      <c r="H25" s="14"/>
      <c r="I25" s="14"/>
      <c r="J25" s="14"/>
      <c r="K25" s="14"/>
      <c r="L25" s="14"/>
      <c r="M25" s="14"/>
      <c r="N25" s="14"/>
      <c r="O25" s="14"/>
      <c r="P25" s="14"/>
      <c r="Q25" s="14"/>
      <c r="R25" s="14"/>
      <c r="S25" s="14"/>
      <c r="T25" s="14"/>
      <c r="U25" s="14"/>
      <c r="V25" s="14"/>
      <c r="W25" s="14"/>
      <c r="X25" s="14"/>
      <c r="Y25" s="14"/>
      <c r="Z25" s="15"/>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row>
    <row r="26" spans="2:54" x14ac:dyDescent="0.25">
      <c r="B26" s="13"/>
      <c r="C26" s="42" t="s">
        <v>5</v>
      </c>
      <c r="D26" s="14"/>
      <c r="E26" s="14"/>
      <c r="F26" s="14"/>
      <c r="G26" s="14"/>
      <c r="H26" s="14"/>
      <c r="I26" s="14"/>
      <c r="J26" s="14"/>
      <c r="K26" s="14"/>
      <c r="L26" s="14"/>
      <c r="M26" s="14"/>
      <c r="N26" s="14"/>
      <c r="O26" s="14"/>
      <c r="P26" s="14"/>
      <c r="Q26" s="14"/>
      <c r="R26" s="14"/>
      <c r="S26" s="14"/>
      <c r="T26" s="14"/>
      <c r="U26" s="14"/>
      <c r="V26" s="14"/>
      <c r="W26" s="14"/>
      <c r="X26" s="14"/>
      <c r="Y26" s="14"/>
      <c r="Z26" s="15"/>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row>
    <row r="27" spans="2:54" x14ac:dyDescent="0.25">
      <c r="B27" s="13"/>
      <c r="C27" s="39" t="s">
        <v>6</v>
      </c>
      <c r="D27" s="40"/>
      <c r="E27" s="41"/>
      <c r="F27" s="14"/>
      <c r="G27" s="39" t="s">
        <v>7</v>
      </c>
      <c r="H27" s="40"/>
      <c r="I27" s="41"/>
      <c r="J27" s="14"/>
      <c r="K27" s="39" t="s">
        <v>9</v>
      </c>
      <c r="L27" s="40"/>
      <c r="M27" s="41"/>
      <c r="N27" s="14"/>
      <c r="O27" s="39" t="s">
        <v>127</v>
      </c>
      <c r="P27" s="40"/>
      <c r="Q27" s="41"/>
      <c r="R27" s="14"/>
      <c r="S27" s="39" t="s">
        <v>35</v>
      </c>
      <c r="T27" s="40"/>
      <c r="U27" s="41"/>
      <c r="V27" s="14"/>
      <c r="W27" s="39" t="s">
        <v>9</v>
      </c>
      <c r="X27" s="40"/>
      <c r="Y27" s="41"/>
      <c r="Z27" s="15"/>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row>
    <row r="28" spans="2:54" x14ac:dyDescent="0.25">
      <c r="B28" s="13"/>
      <c r="C28" s="14"/>
      <c r="D28" s="14"/>
      <c r="E28" s="14"/>
      <c r="F28" s="14"/>
      <c r="G28" s="14"/>
      <c r="H28" s="14"/>
      <c r="I28" s="14"/>
      <c r="J28" s="14"/>
      <c r="K28" s="14"/>
      <c r="L28" s="14"/>
      <c r="M28" s="14"/>
      <c r="N28" s="14"/>
      <c r="O28" s="14"/>
      <c r="P28" s="14"/>
      <c r="Q28" s="14"/>
      <c r="R28" s="14"/>
      <c r="S28" s="14"/>
      <c r="T28" s="14"/>
      <c r="U28" s="14"/>
      <c r="V28" s="14"/>
      <c r="W28" s="14"/>
      <c r="X28" s="14"/>
      <c r="Y28" s="14"/>
      <c r="Z28" s="15"/>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2:54" x14ac:dyDescent="0.25">
      <c r="B29" s="13"/>
      <c r="C29" s="32"/>
      <c r="D29" s="33"/>
      <c r="E29" s="34"/>
      <c r="F29" s="14"/>
      <c r="G29" s="32"/>
      <c r="H29" s="33"/>
      <c r="I29" s="34"/>
      <c r="J29" s="14"/>
      <c r="K29" s="32"/>
      <c r="L29" s="33"/>
      <c r="M29" s="34"/>
      <c r="N29" s="14"/>
      <c r="O29" s="32"/>
      <c r="P29" s="33"/>
      <c r="Q29" s="34"/>
      <c r="R29" s="14"/>
      <c r="S29" s="32"/>
      <c r="T29" s="33"/>
      <c r="U29" s="34"/>
      <c r="V29" s="14"/>
      <c r="W29" s="32"/>
      <c r="X29" s="86"/>
      <c r="Y29" s="34"/>
      <c r="Z29" s="15"/>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row>
    <row r="30" spans="2:54" x14ac:dyDescent="0.25">
      <c r="B30" s="13"/>
      <c r="C30" s="108" t="str">
        <f>'CO2 COMPRESSION'!W20</f>
        <v>CO2 compressed hour</v>
      </c>
      <c r="D30" s="85">
        <f>'CO2 COMPRESSION'!X20</f>
        <v>570776.25570776255</v>
      </c>
      <c r="E30" s="96" t="str">
        <f>'CO2 COMPRESSION'!Y20</f>
        <v>kg/hour</v>
      </c>
      <c r="F30" s="14"/>
      <c r="G30" s="6"/>
      <c r="H30" s="85"/>
      <c r="I30" s="35"/>
      <c r="J30" s="14"/>
      <c r="K30" s="108" t="s">
        <v>79</v>
      </c>
      <c r="L30" s="85">
        <f>D30*(100%-H33)</f>
        <v>570776.25570776255</v>
      </c>
      <c r="M30" s="96" t="str">
        <f>E30</f>
        <v>kg/hour</v>
      </c>
      <c r="N30" s="14"/>
      <c r="O30" s="108" t="str">
        <f>K30</f>
        <v>CO2 tranported hour</v>
      </c>
      <c r="P30" s="81">
        <f t="shared" ref="O30:Q34" si="0">L30</f>
        <v>570776.25570776255</v>
      </c>
      <c r="Q30" s="35" t="str">
        <f t="shared" si="0"/>
        <v>kg/hour</v>
      </c>
      <c r="R30" s="14"/>
      <c r="S30" s="6" t="s">
        <v>32</v>
      </c>
      <c r="T30" s="98">
        <v>0</v>
      </c>
      <c r="U30" s="35"/>
      <c r="V30" s="14"/>
      <c r="W30" s="6" t="str">
        <f>O30</f>
        <v>CO2 tranported hour</v>
      </c>
      <c r="X30" s="81">
        <f>P30*(100%-$T$30)</f>
        <v>570776.25570776255</v>
      </c>
      <c r="Y30" s="35" t="str">
        <f>Q30</f>
        <v>kg/hour</v>
      </c>
      <c r="Z30" s="15"/>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row>
    <row r="31" spans="2:54" x14ac:dyDescent="0.25">
      <c r="B31" s="13"/>
      <c r="C31" s="108" t="str">
        <f>'CO2 COMPRESSION'!W21</f>
        <v>CO2 compressed sec</v>
      </c>
      <c r="D31" s="85">
        <f>'CO2 COMPRESSION'!X21</f>
        <v>158.54895991882293</v>
      </c>
      <c r="E31" s="96" t="str">
        <f>'CO2 COMPRESSION'!Y21</f>
        <v>kg/s</v>
      </c>
      <c r="F31" s="89"/>
      <c r="G31" s="6" t="str">
        <f>C9</f>
        <v>Pressure drop liquid</v>
      </c>
      <c r="H31" s="347">
        <f>$D$5*D9</f>
        <v>1.2</v>
      </c>
      <c r="I31" s="35" t="s">
        <v>29</v>
      </c>
      <c r="J31" s="89"/>
      <c r="K31" s="108" t="s">
        <v>80</v>
      </c>
      <c r="L31" s="85">
        <f>D31</f>
        <v>158.54895991882293</v>
      </c>
      <c r="M31" s="96" t="str">
        <f>E31</f>
        <v>kg/s</v>
      </c>
      <c r="N31" s="14"/>
      <c r="O31" s="6" t="str">
        <f t="shared" si="0"/>
        <v>CO2 tranported sec</v>
      </c>
      <c r="P31" s="81">
        <f t="shared" si="0"/>
        <v>158.54895991882293</v>
      </c>
      <c r="Q31" s="35" t="str">
        <f t="shared" si="0"/>
        <v>kg/s</v>
      </c>
      <c r="R31" s="14"/>
      <c r="S31" s="6" t="s">
        <v>36</v>
      </c>
      <c r="T31" s="90">
        <f>0</f>
        <v>0</v>
      </c>
      <c r="U31" s="35" t="s">
        <v>17</v>
      </c>
      <c r="V31" s="14"/>
      <c r="W31" s="6" t="str">
        <f>O31</f>
        <v>CO2 tranported sec</v>
      </c>
      <c r="X31" s="81">
        <f>P31*(100%-$T$30)</f>
        <v>158.54895991882293</v>
      </c>
      <c r="Y31" s="35" t="str">
        <f>Q31</f>
        <v>kg/s</v>
      </c>
      <c r="Z31" s="15"/>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row>
    <row r="32" spans="2:54" x14ac:dyDescent="0.25">
      <c r="B32" s="13"/>
      <c r="C32" s="108" t="str">
        <f>'CO2 COMPRESSION'!W22</f>
        <v>CO2 compressed year</v>
      </c>
      <c r="D32" s="85">
        <f>'CO2 COMPRESSION'!X22</f>
        <v>5</v>
      </c>
      <c r="E32" s="96" t="str">
        <f>'CO2 COMPRESSION'!Y22</f>
        <v>Mt/y</v>
      </c>
      <c r="F32" s="14"/>
      <c r="G32" s="6"/>
      <c r="H32" s="81"/>
      <c r="I32" s="35"/>
      <c r="J32" s="14"/>
      <c r="K32" s="108" t="s">
        <v>81</v>
      </c>
      <c r="L32" s="85">
        <f>D32</f>
        <v>5</v>
      </c>
      <c r="M32" s="96" t="str">
        <f>E32</f>
        <v>Mt/y</v>
      </c>
      <c r="N32" s="117"/>
      <c r="O32" s="6" t="str">
        <f t="shared" si="0"/>
        <v>CO2 tranported year</v>
      </c>
      <c r="P32" s="81">
        <f t="shared" si="0"/>
        <v>5</v>
      </c>
      <c r="Q32" s="35" t="str">
        <f t="shared" si="0"/>
        <v>Mt/y</v>
      </c>
      <c r="R32" s="117"/>
      <c r="S32" s="6" t="s">
        <v>37</v>
      </c>
      <c r="T32" s="90">
        <f>IF(P34&lt;D10,IF(D11-P34&gt;=0,D11-P34,0),0)</f>
        <v>0</v>
      </c>
      <c r="U32" s="35" t="s">
        <v>29</v>
      </c>
      <c r="V32" s="117"/>
      <c r="W32" s="6" t="str">
        <f>O32</f>
        <v>CO2 tranported year</v>
      </c>
      <c r="X32" s="81">
        <f>P32*(100%-$T$30)</f>
        <v>5</v>
      </c>
      <c r="Y32" s="35" t="str">
        <f>Q32</f>
        <v>Mt/y</v>
      </c>
      <c r="Z32" s="15"/>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row>
    <row r="33" spans="2:54" x14ac:dyDescent="0.25">
      <c r="B33" s="13"/>
      <c r="C33" s="108" t="str">
        <f>'CO2 COMPRESSION'!W23</f>
        <v>Temperature</v>
      </c>
      <c r="D33" s="85">
        <f>'CO2 COMPRESSION'!X23</f>
        <v>303.14999999999998</v>
      </c>
      <c r="E33" s="96" t="str">
        <f>'CO2 COMPRESSION'!Y23</f>
        <v>K</v>
      </c>
      <c r="F33" s="14"/>
      <c r="G33" s="6" t="str">
        <f>C16</f>
        <v>CO2 leakages</v>
      </c>
      <c r="H33" s="190">
        <f>D16</f>
        <v>0</v>
      </c>
      <c r="I33" s="35"/>
      <c r="J33" s="14"/>
      <c r="K33" s="108" t="str">
        <f>C33</f>
        <v>Temperature</v>
      </c>
      <c r="L33" s="85">
        <f>D24</f>
        <v>277.39999999999998</v>
      </c>
      <c r="M33" s="96" t="str">
        <f>E33</f>
        <v>K</v>
      </c>
      <c r="N33" s="14"/>
      <c r="O33" s="6" t="str">
        <f t="shared" si="0"/>
        <v>Temperature</v>
      </c>
      <c r="P33" s="81">
        <f>L33</f>
        <v>277.39999999999998</v>
      </c>
      <c r="Q33" s="35" t="str">
        <f t="shared" si="0"/>
        <v>K</v>
      </c>
      <c r="R33" s="14"/>
      <c r="S33" s="6"/>
      <c r="T33" s="2"/>
      <c r="U33" s="35"/>
      <c r="V33" s="14"/>
      <c r="W33" s="6" t="s">
        <v>13</v>
      </c>
      <c r="X33" s="85">
        <f>P33-T31</f>
        <v>277.39999999999998</v>
      </c>
      <c r="Y33" s="35" t="s">
        <v>17</v>
      </c>
      <c r="Z33" s="15"/>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row>
    <row r="34" spans="2:54" x14ac:dyDescent="0.25">
      <c r="B34" s="13"/>
      <c r="C34" s="108" t="str">
        <f>'CO2 COMPRESSION'!W24</f>
        <v>Pressure</v>
      </c>
      <c r="D34" s="85">
        <f>'CO2 COMPRESSION'!X24</f>
        <v>10</v>
      </c>
      <c r="E34" s="96" t="str">
        <f>'CO2 COMPRESSION'!Y24</f>
        <v>Mpa</v>
      </c>
      <c r="F34" s="14"/>
      <c r="G34" s="6" t="s">
        <v>538</v>
      </c>
      <c r="H34" s="81">
        <f>D33-L33</f>
        <v>25.75</v>
      </c>
      <c r="I34" s="96" t="str">
        <f>E33</f>
        <v>K</v>
      </c>
      <c r="J34" s="14"/>
      <c r="K34" s="108" t="str">
        <f>C34</f>
        <v>Pressure</v>
      </c>
      <c r="L34" s="81">
        <f>D34-H31</f>
        <v>8.8000000000000007</v>
      </c>
      <c r="M34" s="96" t="str">
        <f>E34</f>
        <v>Mpa</v>
      </c>
      <c r="N34" s="14"/>
      <c r="O34" s="6" t="str">
        <f t="shared" si="0"/>
        <v>Pressure</v>
      </c>
      <c r="P34" s="81">
        <f>L34</f>
        <v>8.8000000000000007</v>
      </c>
      <c r="Q34" s="76" t="str">
        <f>M34</f>
        <v>Mpa</v>
      </c>
      <c r="R34" s="14"/>
      <c r="S34" s="6"/>
      <c r="T34" s="2"/>
      <c r="U34" s="35"/>
      <c r="V34" s="14"/>
      <c r="W34" s="6" t="str">
        <f>O34</f>
        <v>Pressure</v>
      </c>
      <c r="X34" s="85">
        <f>P34+T32</f>
        <v>8.8000000000000007</v>
      </c>
      <c r="Y34" s="35" t="s">
        <v>29</v>
      </c>
      <c r="Z34" s="15"/>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row>
    <row r="35" spans="2:54" x14ac:dyDescent="0.25">
      <c r="B35" s="13"/>
      <c r="C35" s="36"/>
      <c r="D35" s="82"/>
      <c r="E35" s="38"/>
      <c r="F35" s="14"/>
      <c r="G35" s="36"/>
      <c r="H35" s="37"/>
      <c r="I35" s="38"/>
      <c r="J35" s="14"/>
      <c r="K35" s="36"/>
      <c r="L35" s="37"/>
      <c r="M35" s="38"/>
      <c r="N35" s="14"/>
      <c r="O35" s="36"/>
      <c r="P35" s="37"/>
      <c r="Q35" s="38"/>
      <c r="R35" s="14"/>
      <c r="S35" s="36"/>
      <c r="T35" s="37"/>
      <c r="U35" s="38"/>
      <c r="V35" s="14"/>
      <c r="W35" s="36"/>
      <c r="X35" s="37"/>
      <c r="Y35" s="38"/>
      <c r="Z35" s="15"/>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row>
    <row r="36" spans="2:54" x14ac:dyDescent="0.25">
      <c r="B36" s="13"/>
      <c r="C36" s="14"/>
      <c r="D36" s="14"/>
      <c r="E36" s="14"/>
      <c r="F36" s="14"/>
      <c r="G36" s="14"/>
      <c r="H36" s="13"/>
      <c r="I36" s="14"/>
      <c r="J36" s="14"/>
      <c r="K36" s="14"/>
      <c r="L36" s="14"/>
      <c r="M36" s="14"/>
      <c r="N36" s="14"/>
      <c r="O36" s="14"/>
      <c r="P36" s="14"/>
      <c r="Q36" s="14"/>
      <c r="R36" s="14"/>
      <c r="S36" s="12"/>
      <c r="T36" s="14"/>
      <c r="U36" s="14"/>
      <c r="V36" s="14"/>
      <c r="W36" s="14"/>
      <c r="X36" s="14"/>
      <c r="Y36" s="14"/>
      <c r="Z36" s="15"/>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row>
    <row r="37" spans="2:54" x14ac:dyDescent="0.25">
      <c r="B37" s="13"/>
      <c r="C37" s="5"/>
      <c r="D37" s="5"/>
      <c r="E37" s="5"/>
      <c r="F37" s="14"/>
      <c r="G37" s="14"/>
      <c r="H37" s="13"/>
      <c r="I37" s="14"/>
      <c r="J37" s="14"/>
      <c r="K37" s="32"/>
      <c r="L37" s="33"/>
      <c r="M37" s="34"/>
      <c r="N37" s="14"/>
      <c r="O37" s="14"/>
      <c r="P37" s="14"/>
      <c r="Q37" s="14"/>
      <c r="R37" s="14"/>
      <c r="S37" s="15"/>
      <c r="T37" s="14"/>
      <c r="U37" s="14"/>
      <c r="V37" s="14"/>
      <c r="W37" s="32"/>
      <c r="X37" s="33"/>
      <c r="Y37" s="34"/>
      <c r="Z37" s="15"/>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row>
    <row r="38" spans="2:54" x14ac:dyDescent="0.25">
      <c r="B38" s="13"/>
      <c r="C38" s="5"/>
      <c r="D38" s="5"/>
      <c r="E38" s="5"/>
      <c r="F38" s="14"/>
      <c r="G38" s="14"/>
      <c r="H38" s="13"/>
      <c r="I38" s="14"/>
      <c r="J38" s="14"/>
      <c r="K38" s="108"/>
      <c r="L38" s="85"/>
      <c r="M38" s="96"/>
      <c r="N38" s="14"/>
      <c r="O38" s="14"/>
      <c r="P38" s="14"/>
      <c r="Q38" s="14"/>
      <c r="R38" s="14"/>
      <c r="S38" s="15"/>
      <c r="T38" s="14"/>
      <c r="U38" s="14"/>
      <c r="V38" s="14"/>
      <c r="W38" s="6"/>
      <c r="X38" s="2"/>
      <c r="Y38" s="35"/>
      <c r="Z38" s="15"/>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row>
    <row r="39" spans="2:54" x14ac:dyDescent="0.25">
      <c r="B39" s="13"/>
      <c r="C39" s="5"/>
      <c r="D39" s="5"/>
      <c r="E39" s="5"/>
      <c r="F39" s="14"/>
      <c r="G39" s="14"/>
      <c r="H39" s="13"/>
      <c r="I39" s="14"/>
      <c r="J39" s="14"/>
      <c r="K39" s="108" t="s">
        <v>78</v>
      </c>
      <c r="L39" s="85">
        <f>H33*D32</f>
        <v>0</v>
      </c>
      <c r="M39" s="96" t="s">
        <v>39</v>
      </c>
      <c r="N39" s="14"/>
      <c r="O39" s="14"/>
      <c r="P39" s="14"/>
      <c r="Q39" s="14"/>
      <c r="R39" s="14"/>
      <c r="S39" s="15"/>
      <c r="T39" s="14"/>
      <c r="U39" s="14"/>
      <c r="V39" s="14"/>
      <c r="W39" s="6" t="s">
        <v>546</v>
      </c>
      <c r="X39" s="2">
        <f>T30*P32</f>
        <v>0</v>
      </c>
      <c r="Y39" s="35" t="s">
        <v>541</v>
      </c>
      <c r="Z39" s="15"/>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row>
    <row r="40" spans="2:54" x14ac:dyDescent="0.25">
      <c r="B40" s="13"/>
      <c r="C40" s="5"/>
      <c r="D40" s="5"/>
      <c r="E40" s="5"/>
      <c r="F40" s="14"/>
      <c r="G40" s="14"/>
      <c r="H40" s="18"/>
      <c r="I40" s="19"/>
      <c r="J40" s="19"/>
      <c r="K40" s="108"/>
      <c r="L40" s="85"/>
      <c r="M40" s="96"/>
      <c r="N40" s="14"/>
      <c r="O40" s="14"/>
      <c r="P40" s="14"/>
      <c r="Q40" s="14"/>
      <c r="R40" s="14"/>
      <c r="S40" s="20"/>
      <c r="T40" s="14"/>
      <c r="U40" s="14"/>
      <c r="V40" s="14"/>
      <c r="W40" s="6" t="s">
        <v>544</v>
      </c>
      <c r="X40" s="85">
        <f>L39</f>
        <v>0</v>
      </c>
      <c r="Y40" s="35" t="s">
        <v>541</v>
      </c>
      <c r="Z40" s="15"/>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row>
    <row r="41" spans="2:54" x14ac:dyDescent="0.25">
      <c r="B41" s="13"/>
      <c r="C41" s="5"/>
      <c r="D41" s="5"/>
      <c r="E41" s="5"/>
      <c r="F41" s="14"/>
      <c r="G41" s="14"/>
      <c r="H41" s="14"/>
      <c r="I41" s="14"/>
      <c r="J41" s="14"/>
      <c r="K41" s="108"/>
      <c r="L41" s="85"/>
      <c r="M41" s="96"/>
      <c r="N41" s="10"/>
      <c r="O41" s="11"/>
      <c r="P41" s="11"/>
      <c r="Q41" s="11"/>
      <c r="R41" s="11"/>
      <c r="S41" s="11"/>
      <c r="T41" s="11"/>
      <c r="U41" s="11"/>
      <c r="V41" s="12"/>
      <c r="W41" s="6" t="s">
        <v>545</v>
      </c>
      <c r="X41" s="188">
        <f>SUM(X39:X40)</f>
        <v>0</v>
      </c>
      <c r="Y41" s="35" t="s">
        <v>541</v>
      </c>
      <c r="Z41" s="15"/>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row>
    <row r="42" spans="2:54" x14ac:dyDescent="0.25">
      <c r="B42" s="13"/>
      <c r="C42" s="5"/>
      <c r="D42" s="5"/>
      <c r="E42" s="5"/>
      <c r="F42" s="14"/>
      <c r="G42" s="14"/>
      <c r="H42" s="14"/>
      <c r="I42" s="14"/>
      <c r="J42" s="14"/>
      <c r="K42" s="108"/>
      <c r="L42" s="85"/>
      <c r="M42" s="96"/>
      <c r="N42" s="14"/>
      <c r="O42" s="14"/>
      <c r="P42" s="14"/>
      <c r="Q42" s="14"/>
      <c r="R42" s="14"/>
      <c r="S42" s="14"/>
      <c r="T42" s="14"/>
      <c r="U42" s="14"/>
      <c r="V42" s="14"/>
      <c r="W42" s="6"/>
      <c r="X42" s="2"/>
      <c r="Y42" s="35"/>
      <c r="Z42" s="15"/>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row>
    <row r="43" spans="2:54" x14ac:dyDescent="0.25">
      <c r="B43" s="13"/>
      <c r="C43" s="5"/>
      <c r="D43" s="5"/>
      <c r="E43" s="5"/>
      <c r="F43" s="14"/>
      <c r="G43" s="14"/>
      <c r="H43" s="14"/>
      <c r="I43" s="14"/>
      <c r="J43" s="14"/>
      <c r="K43" s="36"/>
      <c r="L43" s="82"/>
      <c r="M43" s="38"/>
      <c r="N43" s="14"/>
      <c r="O43" s="14"/>
      <c r="P43" s="14"/>
      <c r="Q43" s="14"/>
      <c r="R43" s="14"/>
      <c r="S43" s="14"/>
      <c r="T43" s="14"/>
      <c r="U43" s="14"/>
      <c r="V43" s="14"/>
      <c r="W43" s="36"/>
      <c r="X43" s="37"/>
      <c r="Y43" s="38"/>
      <c r="Z43" s="15"/>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row>
    <row r="44" spans="2:54" x14ac:dyDescent="0.25">
      <c r="B44" s="13"/>
      <c r="C44" s="14"/>
      <c r="D44" s="14"/>
      <c r="E44" s="14"/>
      <c r="F44" s="14"/>
      <c r="G44" s="14"/>
      <c r="H44" s="14"/>
      <c r="I44" s="14"/>
      <c r="J44" s="14"/>
      <c r="K44" s="14"/>
      <c r="L44" s="14"/>
      <c r="M44" s="14"/>
      <c r="N44" s="14"/>
      <c r="O44" s="14"/>
      <c r="P44" s="14"/>
      <c r="Q44" s="14"/>
      <c r="R44" s="14"/>
      <c r="S44" s="14"/>
      <c r="T44" s="14"/>
      <c r="U44" s="14"/>
      <c r="V44" s="14"/>
      <c r="W44" s="14"/>
      <c r="X44" s="14"/>
      <c r="Y44" s="14"/>
      <c r="Z44" s="15"/>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row>
    <row r="45" spans="2:54" x14ac:dyDescent="0.25">
      <c r="B45" s="13"/>
      <c r="C45" s="42" t="s">
        <v>71</v>
      </c>
      <c r="D45" s="14"/>
      <c r="E45" s="14"/>
      <c r="F45" s="14"/>
      <c r="G45" s="14"/>
      <c r="H45" s="14"/>
      <c r="I45" s="14"/>
      <c r="J45" s="14"/>
      <c r="K45" s="14"/>
      <c r="L45" s="14"/>
      <c r="M45" s="14"/>
      <c r="N45" s="14"/>
      <c r="O45" s="14"/>
      <c r="P45" s="14"/>
      <c r="Q45" s="14"/>
      <c r="R45" s="14"/>
      <c r="S45" s="14"/>
      <c r="T45" s="14"/>
      <c r="U45" s="14"/>
      <c r="V45" s="14"/>
      <c r="W45" s="14"/>
      <c r="X45" s="14"/>
      <c r="Y45" s="14"/>
      <c r="Z45" s="15"/>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row>
    <row r="46" spans="2:54" x14ac:dyDescent="0.25">
      <c r="B46" s="13"/>
      <c r="C46" s="39" t="s">
        <v>535</v>
      </c>
      <c r="D46" s="40"/>
      <c r="E46" s="41"/>
      <c r="F46" s="14"/>
      <c r="G46" s="39"/>
      <c r="H46" s="40"/>
      <c r="I46" s="41"/>
      <c r="J46" s="5"/>
      <c r="K46" s="5"/>
      <c r="L46" s="5"/>
      <c r="M46" s="5"/>
      <c r="N46" s="14"/>
      <c r="O46" s="14"/>
      <c r="P46" s="14"/>
      <c r="Q46" s="14"/>
      <c r="R46" s="14"/>
      <c r="S46" s="14"/>
      <c r="T46" s="14"/>
      <c r="U46" s="14"/>
      <c r="V46" s="14"/>
      <c r="W46" s="14"/>
      <c r="X46" s="14"/>
      <c r="Y46" s="14"/>
      <c r="Z46" s="15"/>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row>
    <row r="47" spans="2:54" x14ac:dyDescent="0.25">
      <c r="B47" s="13"/>
      <c r="C47" s="14"/>
      <c r="D47" s="14"/>
      <c r="E47" s="14"/>
      <c r="F47" s="14"/>
      <c r="G47" s="14"/>
      <c r="H47" s="14"/>
      <c r="I47" s="14"/>
      <c r="J47" s="5"/>
      <c r="K47" s="5"/>
      <c r="L47" s="5"/>
      <c r="M47" s="5"/>
      <c r="N47" s="14"/>
      <c r="O47" s="14"/>
      <c r="P47" s="14"/>
      <c r="Q47" s="14"/>
      <c r="R47" s="14"/>
      <c r="S47" s="14"/>
      <c r="T47" s="14"/>
      <c r="U47" s="14"/>
      <c r="V47" s="14"/>
      <c r="W47" s="14"/>
      <c r="X47" s="14"/>
      <c r="Y47" s="31"/>
      <c r="Z47" s="15"/>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row>
    <row r="48" spans="2:54" x14ac:dyDescent="0.25">
      <c r="B48" s="13"/>
      <c r="C48" s="32"/>
      <c r="D48" s="33"/>
      <c r="E48" s="34"/>
      <c r="F48" s="14"/>
      <c r="G48" s="32"/>
      <c r="H48" s="33"/>
      <c r="I48" s="99"/>
      <c r="J48" s="5"/>
      <c r="K48" s="5"/>
      <c r="L48" s="5"/>
      <c r="M48" s="5"/>
      <c r="N48" s="14"/>
      <c r="O48" s="14"/>
      <c r="P48" s="14"/>
      <c r="Q48" s="14"/>
      <c r="R48" s="14"/>
      <c r="S48" s="14"/>
      <c r="T48" s="14"/>
      <c r="U48" s="14"/>
      <c r="V48" s="14"/>
      <c r="W48" s="14"/>
      <c r="X48" s="14"/>
      <c r="Y48" s="31"/>
      <c r="Z48" s="15"/>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row>
    <row r="49" spans="2:54" x14ac:dyDescent="0.25">
      <c r="B49" s="13"/>
      <c r="C49" s="103"/>
      <c r="D49" s="93"/>
      <c r="E49" s="35"/>
      <c r="F49" s="14"/>
      <c r="G49" s="6"/>
      <c r="H49" s="2"/>
      <c r="I49" s="84"/>
      <c r="J49" s="5"/>
      <c r="K49" s="5"/>
      <c r="L49" s="5"/>
      <c r="M49" s="5"/>
      <c r="N49" s="14"/>
      <c r="O49" s="14"/>
      <c r="P49" s="14"/>
      <c r="Q49" s="14"/>
      <c r="R49" s="14"/>
      <c r="S49" s="14"/>
      <c r="T49" s="14"/>
      <c r="U49" s="14"/>
      <c r="V49" s="14"/>
      <c r="W49" s="14"/>
      <c r="X49" s="14"/>
      <c r="Y49" s="31"/>
      <c r="Z49" s="15"/>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row>
    <row r="50" spans="2:54" x14ac:dyDescent="0.25">
      <c r="B50" s="13"/>
      <c r="C50" s="6"/>
      <c r="D50" s="85"/>
      <c r="E50" s="35"/>
      <c r="F50" s="14"/>
      <c r="G50" s="6"/>
      <c r="H50" s="2"/>
      <c r="I50" s="35"/>
      <c r="J50" s="5"/>
      <c r="K50" s="5"/>
      <c r="L50" s="5"/>
      <c r="M50" s="5"/>
      <c r="N50" s="14"/>
      <c r="O50" s="14"/>
      <c r="P50" s="14"/>
      <c r="Q50" s="14"/>
      <c r="R50" s="14"/>
      <c r="S50" s="14"/>
      <c r="T50" s="14"/>
      <c r="U50" s="14"/>
      <c r="V50" s="14"/>
      <c r="W50" s="14"/>
      <c r="X50" s="14"/>
      <c r="Y50" s="31"/>
      <c r="Z50" s="15"/>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spans="2:54" x14ac:dyDescent="0.25">
      <c r="B51" s="13"/>
      <c r="C51" s="6" t="s">
        <v>50</v>
      </c>
      <c r="D51" s="339">
        <f>(X34-L34)/(D13*'P-D-T TABLES DATABASE'!E8)*D31</f>
        <v>0</v>
      </c>
      <c r="E51" s="35" t="s">
        <v>46</v>
      </c>
      <c r="F51" s="14"/>
      <c r="G51" s="6" t="s">
        <v>69</v>
      </c>
      <c r="H51" s="81">
        <f>D51*Parameters!$G$14</f>
        <v>0</v>
      </c>
      <c r="I51" s="35" t="s">
        <v>68</v>
      </c>
      <c r="J51" s="5"/>
      <c r="K51" s="5"/>
      <c r="L51" s="5"/>
      <c r="M51" s="5"/>
      <c r="N51" s="14"/>
      <c r="O51" s="14"/>
      <c r="P51" s="14"/>
      <c r="Q51" s="14"/>
      <c r="R51" s="14"/>
      <c r="S51" s="14"/>
      <c r="T51" s="14"/>
      <c r="U51" s="14"/>
      <c r="V51" s="14"/>
      <c r="W51" s="14"/>
      <c r="X51" s="14"/>
      <c r="Y51" s="14"/>
      <c r="Z51" s="15"/>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row>
    <row r="52" spans="2:54" x14ac:dyDescent="0.25">
      <c r="B52" s="13"/>
      <c r="C52" s="103"/>
      <c r="D52" s="94"/>
      <c r="E52" s="35"/>
      <c r="F52" s="14"/>
      <c r="G52" s="6"/>
      <c r="H52" s="85"/>
      <c r="I52" s="35"/>
      <c r="J52" s="5"/>
      <c r="K52" s="5"/>
      <c r="L52" s="5"/>
      <c r="M52" s="5"/>
      <c r="N52" s="14"/>
      <c r="O52" s="14"/>
      <c r="P52" s="14"/>
      <c r="Q52" s="14"/>
      <c r="R52" s="14"/>
      <c r="S52" s="14"/>
      <c r="T52" s="14"/>
      <c r="U52" s="14"/>
      <c r="V52" s="14"/>
      <c r="W52" s="14"/>
      <c r="X52" s="14"/>
      <c r="Y52" s="14"/>
      <c r="Z52" s="15"/>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row>
    <row r="53" spans="2:54" x14ac:dyDescent="0.25">
      <c r="B53" s="13"/>
      <c r="C53" s="103"/>
      <c r="D53" s="98"/>
      <c r="E53" s="104"/>
      <c r="F53" s="102"/>
      <c r="G53" s="6"/>
      <c r="H53" s="2"/>
      <c r="I53" s="35"/>
      <c r="J53" s="5"/>
      <c r="K53" s="5"/>
      <c r="L53" s="5"/>
      <c r="M53" s="5"/>
      <c r="N53" s="14"/>
      <c r="O53" s="14"/>
      <c r="P53" s="14"/>
      <c r="Q53" s="14"/>
      <c r="R53" s="14"/>
      <c r="S53" s="14"/>
      <c r="T53" s="14"/>
      <c r="U53" s="14"/>
      <c r="V53" s="14"/>
      <c r="W53" s="14"/>
      <c r="X53" s="14"/>
      <c r="Y53" s="14"/>
      <c r="Z53" s="15"/>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row>
    <row r="54" spans="2:54" x14ac:dyDescent="0.25">
      <c r="B54" s="13"/>
      <c r="C54" s="105"/>
      <c r="D54" s="106"/>
      <c r="E54" s="107"/>
      <c r="F54" s="102"/>
      <c r="G54" s="36"/>
      <c r="H54" s="37"/>
      <c r="I54" s="38"/>
      <c r="J54" s="5"/>
      <c r="K54" s="5"/>
      <c r="L54" s="5"/>
      <c r="M54" s="5"/>
      <c r="N54" s="14"/>
      <c r="O54" s="14"/>
      <c r="P54" s="14"/>
      <c r="Q54" s="14"/>
      <c r="R54" s="14"/>
      <c r="S54" s="14"/>
      <c r="T54" s="14"/>
      <c r="U54" s="14"/>
      <c r="V54" s="14"/>
      <c r="W54" s="14"/>
      <c r="X54" s="14"/>
      <c r="Y54" s="14"/>
      <c r="Z54" s="15"/>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row>
    <row r="55" spans="2:54" x14ac:dyDescent="0.25">
      <c r="B55" s="13"/>
      <c r="C55" s="5"/>
      <c r="D55" s="5"/>
      <c r="E55" s="5"/>
      <c r="F55" s="5"/>
      <c r="G55" s="5"/>
      <c r="H55" s="5"/>
      <c r="I55" s="5"/>
      <c r="J55" s="5"/>
      <c r="K55" s="5"/>
      <c r="L55" s="5"/>
      <c r="M55" s="5"/>
      <c r="N55" s="14"/>
      <c r="O55" s="14"/>
      <c r="P55" s="14"/>
      <c r="Q55" s="14"/>
      <c r="R55" s="14"/>
      <c r="S55" s="14"/>
      <c r="T55" s="14"/>
      <c r="U55" s="14"/>
      <c r="V55" s="14"/>
      <c r="W55" s="14"/>
      <c r="X55" s="14"/>
      <c r="Y55" s="14"/>
      <c r="Z55" s="15"/>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row>
    <row r="56" spans="2:54" x14ac:dyDescent="0.25">
      <c r="B56" s="13"/>
      <c r="C56" s="42" t="s">
        <v>47</v>
      </c>
      <c r="D56" s="14"/>
      <c r="E56" s="14"/>
      <c r="F56" s="14"/>
      <c r="G56" s="14"/>
      <c r="H56" s="14"/>
      <c r="I56" s="14"/>
      <c r="J56" s="14"/>
      <c r="K56" s="14"/>
      <c r="L56" s="14"/>
      <c r="M56" s="14"/>
      <c r="N56" s="14"/>
      <c r="O56" s="14"/>
      <c r="P56" s="14"/>
      <c r="Q56" s="14"/>
      <c r="R56" s="14"/>
      <c r="S56" s="14"/>
      <c r="T56" s="14"/>
      <c r="U56" s="14"/>
      <c r="V56" s="14"/>
      <c r="W56" s="14"/>
      <c r="X56" s="14"/>
      <c r="Y56" s="14"/>
      <c r="Z56" s="15"/>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row>
    <row r="57" spans="2:54" x14ac:dyDescent="0.25">
      <c r="B57" s="13"/>
      <c r="C57" s="39" t="s">
        <v>72</v>
      </c>
      <c r="D57" s="40"/>
      <c r="E57" s="41"/>
      <c r="F57" s="14"/>
      <c r="G57" s="39" t="s">
        <v>73</v>
      </c>
      <c r="H57" s="40"/>
      <c r="I57" s="41"/>
      <c r="J57" s="14"/>
      <c r="K57" s="39" t="s">
        <v>75</v>
      </c>
      <c r="L57" s="40"/>
      <c r="M57" s="41"/>
      <c r="N57" s="14"/>
      <c r="O57" s="14"/>
      <c r="P57" s="14"/>
      <c r="Q57" s="14"/>
      <c r="R57" s="14"/>
      <c r="S57" s="14"/>
      <c r="T57" s="14"/>
      <c r="U57" s="14"/>
      <c r="V57" s="14"/>
      <c r="W57" s="14"/>
      <c r="X57" s="14"/>
      <c r="Y57" s="14"/>
      <c r="Z57" s="15"/>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row>
    <row r="58" spans="2:54" x14ac:dyDescent="0.25">
      <c r="B58" s="13"/>
      <c r="C58" s="14"/>
      <c r="D58" s="14"/>
      <c r="E58" s="14"/>
      <c r="F58" s="14"/>
      <c r="G58" s="14"/>
      <c r="H58" s="14"/>
      <c r="I58" s="14"/>
      <c r="J58" s="14"/>
      <c r="K58" s="14"/>
      <c r="L58" s="14"/>
      <c r="M58" s="14"/>
      <c r="N58" s="14"/>
      <c r="O58" s="14"/>
      <c r="P58" s="14"/>
      <c r="Q58" s="14"/>
      <c r="R58" s="14"/>
      <c r="S58" s="14"/>
      <c r="T58" s="14"/>
      <c r="U58" s="14"/>
      <c r="V58" s="14"/>
      <c r="W58" s="14"/>
      <c r="X58" s="14"/>
      <c r="Y58" s="14"/>
      <c r="Z58" s="15"/>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2:54" x14ac:dyDescent="0.25">
      <c r="B59" s="13"/>
      <c r="C59" s="109" t="str">
        <f>C15</f>
        <v>CO2 transport pipeline - re-use or new</v>
      </c>
      <c r="D59" s="95" t="str">
        <f>D15</f>
        <v>new</v>
      </c>
      <c r="E59" s="110"/>
      <c r="F59" s="14"/>
      <c r="G59" s="32"/>
      <c r="H59" s="33"/>
      <c r="I59" s="34"/>
      <c r="J59" s="14"/>
      <c r="K59" s="32" t="s">
        <v>53</v>
      </c>
      <c r="L59" s="33" t="s">
        <v>3</v>
      </c>
      <c r="M59" s="34"/>
      <c r="N59" s="5"/>
      <c r="O59" s="14"/>
      <c r="P59" s="14"/>
      <c r="Q59" s="5"/>
      <c r="R59" s="5"/>
      <c r="S59" s="5"/>
      <c r="T59" s="14"/>
      <c r="U59" s="14"/>
      <c r="V59" s="14"/>
      <c r="W59" s="14"/>
      <c r="X59" s="14"/>
      <c r="Y59" s="14"/>
      <c r="Z59" s="15"/>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row>
    <row r="60" spans="2:54" ht="18" x14ac:dyDescent="0.35">
      <c r="B60" s="13"/>
      <c r="C60" s="111" t="s">
        <v>25</v>
      </c>
      <c r="D60" s="81">
        <f>(1788*D8*D5*1000*0.9*1*1)</f>
        <v>27911150.839973267</v>
      </c>
      <c r="E60" s="35"/>
      <c r="F60" s="14"/>
      <c r="G60" s="111" t="s">
        <v>25</v>
      </c>
      <c r="H60" s="81">
        <f>D60*3.5%</f>
        <v>976890.27939906449</v>
      </c>
      <c r="I60" s="35"/>
      <c r="J60" s="14"/>
      <c r="K60" s="6" t="s">
        <v>54</v>
      </c>
      <c r="L60" s="81">
        <f>(0.017*PI()*D8*D5*1000*7900*1.51)</f>
        <v>11050210.535771916</v>
      </c>
      <c r="M60" s="96" t="s">
        <v>625</v>
      </c>
      <c r="N60" s="5"/>
      <c r="O60" s="14"/>
      <c r="P60" s="14"/>
      <c r="Q60" s="5"/>
      <c r="R60" s="5"/>
      <c r="S60" s="5"/>
      <c r="T60" s="14"/>
      <c r="U60" s="14"/>
      <c r="V60" s="14"/>
      <c r="W60" s="14"/>
      <c r="X60" s="14"/>
      <c r="Y60" s="14"/>
      <c r="Z60" s="15"/>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row>
    <row r="61" spans="2:54" x14ac:dyDescent="0.25">
      <c r="B61" s="13"/>
      <c r="C61" s="111" t="s">
        <v>26</v>
      </c>
      <c r="D61" s="81">
        <f>(1605*D8*D5*1000*1.6*1*1)</f>
        <v>44541284.711068451</v>
      </c>
      <c r="E61" s="35"/>
      <c r="F61" s="14"/>
      <c r="G61" s="111" t="s">
        <v>26</v>
      </c>
      <c r="H61" s="81">
        <f>D61*3%</f>
        <v>1336238.5413320535</v>
      </c>
      <c r="I61" s="35"/>
      <c r="J61" s="14"/>
      <c r="K61" s="6" t="s">
        <v>76</v>
      </c>
      <c r="L61" s="81">
        <f>(850*D5*1000*D8*PI())</f>
        <v>46316583.685857639</v>
      </c>
      <c r="M61" s="96" t="s">
        <v>626</v>
      </c>
      <c r="N61" s="14"/>
      <c r="O61" s="14"/>
      <c r="P61" s="14"/>
      <c r="Q61" s="5"/>
      <c r="R61" s="5"/>
      <c r="S61" s="5"/>
      <c r="T61" s="14"/>
      <c r="U61" s="14"/>
      <c r="V61" s="14"/>
      <c r="W61" s="14"/>
      <c r="X61" s="14"/>
      <c r="Y61" s="14"/>
      <c r="Z61" s="15"/>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row>
    <row r="62" spans="2:54" x14ac:dyDescent="0.25">
      <c r="B62" s="13"/>
      <c r="C62" s="111" t="s">
        <v>27</v>
      </c>
      <c r="D62" s="81">
        <f>(1000000*(0.00062*D5*1000+7.21+(-0.000093*D5*1000+-0.68)*(D8))+(0.0012*D5*1000+0.49)*(D8)^2*1*1)</f>
        <v>30102088.043257061</v>
      </c>
      <c r="E62" s="35"/>
      <c r="F62" s="14"/>
      <c r="G62" s="111" t="s">
        <v>27</v>
      </c>
      <c r="H62" s="81">
        <f>(154+19.8*D5*1000)</f>
        <v>792154</v>
      </c>
      <c r="I62" s="35"/>
      <c r="J62" s="14"/>
      <c r="K62" s="6" t="s">
        <v>55</v>
      </c>
      <c r="L62" s="81">
        <f>SUM(L60:L61)*0.25</f>
        <v>14341698.555407388</v>
      </c>
      <c r="M62" s="96" t="s">
        <v>626</v>
      </c>
      <c r="N62" s="14"/>
      <c r="O62" s="14"/>
      <c r="P62" s="14"/>
      <c r="Q62" s="5"/>
      <c r="R62" s="5"/>
      <c r="S62" s="5"/>
      <c r="T62" s="14"/>
      <c r="U62" s="14"/>
      <c r="V62" s="14"/>
      <c r="W62" s="14"/>
      <c r="X62" s="14"/>
      <c r="Y62" s="14"/>
      <c r="Z62" s="15"/>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row>
    <row r="63" spans="2:54" x14ac:dyDescent="0.25">
      <c r="B63" s="13"/>
      <c r="C63" s="111" t="s">
        <v>28</v>
      </c>
      <c r="D63" s="81">
        <f>(2044*D8*D5*1000*1*1*1)</f>
        <v>35452642.503669746</v>
      </c>
      <c r="E63" s="35"/>
      <c r="F63" s="14"/>
      <c r="G63" s="111" t="s">
        <v>28</v>
      </c>
      <c r="H63" s="81">
        <f>4503*D5</f>
        <v>180120</v>
      </c>
      <c r="I63" s="35"/>
      <c r="J63" s="14"/>
      <c r="K63" s="6" t="s">
        <v>77</v>
      </c>
      <c r="L63" s="81">
        <f>35*10^6</f>
        <v>35000000</v>
      </c>
      <c r="M63" s="96" t="s">
        <v>626</v>
      </c>
      <c r="N63" s="14"/>
      <c r="O63" s="14"/>
      <c r="P63" s="14"/>
      <c r="Q63" s="5"/>
      <c r="R63" s="5"/>
      <c r="S63" s="5"/>
      <c r="T63" s="14"/>
      <c r="U63" s="14"/>
      <c r="V63" s="14"/>
      <c r="W63" s="14"/>
      <c r="X63" s="14"/>
      <c r="Y63" s="14"/>
      <c r="Z63" s="15"/>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row>
    <row r="64" spans="2:54" x14ac:dyDescent="0.25">
      <c r="B64" s="13"/>
      <c r="C64" s="111" t="s">
        <v>51</v>
      </c>
      <c r="D64" s="81">
        <f>AVERAGE(D60:D63)</f>
        <v>34501791.52449213</v>
      </c>
      <c r="E64" s="35"/>
      <c r="F64" s="14"/>
      <c r="G64" s="111" t="s">
        <v>51</v>
      </c>
      <c r="H64" s="81">
        <f>AVERAGE(H60:H63)</f>
        <v>821350.70518277946</v>
      </c>
      <c r="I64" s="35"/>
      <c r="J64" s="14"/>
      <c r="K64" s="6" t="s">
        <v>74</v>
      </c>
      <c r="L64" s="81">
        <f>SUM(L60:L63)</f>
        <v>106708492.77703694</v>
      </c>
      <c r="M64" s="96" t="s">
        <v>626</v>
      </c>
      <c r="N64" s="14"/>
      <c r="O64" s="14"/>
      <c r="P64" s="14"/>
      <c r="Q64" s="5"/>
      <c r="R64" s="5"/>
      <c r="S64" s="5"/>
      <c r="T64" s="14"/>
      <c r="U64" s="14"/>
      <c r="V64" s="14"/>
      <c r="W64" s="14"/>
      <c r="X64" s="14"/>
      <c r="Y64" s="14"/>
      <c r="Z64" s="15"/>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row>
    <row r="65" spans="2:54" x14ac:dyDescent="0.25">
      <c r="B65" s="13"/>
      <c r="C65" s="111"/>
      <c r="D65" s="81"/>
      <c r="E65" s="35"/>
      <c r="F65" s="14"/>
      <c r="G65" s="111" t="s">
        <v>24</v>
      </c>
      <c r="H65" s="43">
        <f>H64/D64</f>
        <v>2.3806030611474741E-2</v>
      </c>
      <c r="I65" s="35"/>
      <c r="J65" s="14"/>
      <c r="K65" s="6"/>
      <c r="L65" s="81"/>
      <c r="M65" s="35"/>
      <c r="N65" s="14"/>
      <c r="O65" s="14"/>
      <c r="P65" s="14"/>
      <c r="Q65" s="5"/>
      <c r="R65" s="5"/>
      <c r="S65" s="5"/>
      <c r="T65" s="14"/>
      <c r="U65" s="14"/>
      <c r="V65" s="14"/>
      <c r="W65" s="14"/>
      <c r="X65" s="14"/>
      <c r="Y65" s="14"/>
      <c r="Z65" s="15"/>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row>
    <row r="66" spans="2:54" x14ac:dyDescent="0.25">
      <c r="B66" s="13"/>
      <c r="C66" s="113"/>
      <c r="D66" s="97"/>
      <c r="E66" s="38"/>
      <c r="F66" s="14"/>
      <c r="G66" s="113" t="s">
        <v>1608</v>
      </c>
      <c r="H66" s="1106">
        <f>D12</f>
        <v>0.02</v>
      </c>
      <c r="I66" s="38"/>
      <c r="J66" s="14"/>
      <c r="K66" s="6"/>
      <c r="L66" s="81"/>
      <c r="M66" s="35"/>
      <c r="N66" s="14"/>
      <c r="O66" s="14"/>
      <c r="P66" s="14"/>
      <c r="Q66" s="5"/>
      <c r="R66" s="5"/>
      <c r="S66" s="5"/>
      <c r="T66" s="14"/>
      <c r="U66" s="14"/>
      <c r="V66" s="14"/>
      <c r="W66" s="14"/>
      <c r="X66" s="14"/>
      <c r="Y66" s="14"/>
      <c r="Z66" s="15"/>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row>
    <row r="67" spans="2:54" x14ac:dyDescent="0.25">
      <c r="B67" s="13"/>
      <c r="C67" s="5"/>
      <c r="D67" s="5"/>
      <c r="E67" s="5"/>
      <c r="F67" s="14"/>
      <c r="G67" s="14"/>
      <c r="H67" s="14"/>
      <c r="I67" s="14"/>
      <c r="J67" s="14"/>
      <c r="K67" s="36"/>
      <c r="L67" s="82"/>
      <c r="M67" s="38"/>
      <c r="N67" s="14"/>
      <c r="O67" s="14"/>
      <c r="P67" s="14"/>
      <c r="Q67" s="14"/>
      <c r="R67" s="14"/>
      <c r="S67" s="14"/>
      <c r="T67" s="14"/>
      <c r="U67" s="14"/>
      <c r="V67" s="14"/>
      <c r="W67" s="14"/>
      <c r="X67" s="14"/>
      <c r="Y67" s="14"/>
      <c r="Z67" s="15"/>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row>
    <row r="68" spans="2:54" x14ac:dyDescent="0.25">
      <c r="B68" s="13"/>
      <c r="C68" s="39" t="s">
        <v>99</v>
      </c>
      <c r="D68" s="40"/>
      <c r="E68" s="41"/>
      <c r="F68" s="14"/>
      <c r="G68" s="39"/>
      <c r="H68" s="40"/>
      <c r="I68" s="41"/>
      <c r="J68" s="14"/>
      <c r="K68" s="14"/>
      <c r="L68" s="14"/>
      <c r="M68" s="14"/>
      <c r="N68" s="14"/>
      <c r="O68" s="14"/>
      <c r="P68" s="14"/>
      <c r="Q68" s="14"/>
      <c r="R68" s="14"/>
      <c r="S68" s="14"/>
      <c r="T68" s="14"/>
      <c r="U68" s="14"/>
      <c r="V68" s="14"/>
      <c r="W68" s="14"/>
      <c r="X68" s="14"/>
      <c r="Y68" s="14"/>
      <c r="Z68" s="15"/>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row>
    <row r="69" spans="2:54" x14ac:dyDescent="0.25">
      <c r="B69" s="13"/>
      <c r="C69" s="14"/>
      <c r="D69" s="14"/>
      <c r="E69" s="14"/>
      <c r="F69" s="14"/>
      <c r="G69" s="14"/>
      <c r="H69" s="14"/>
      <c r="I69" s="14"/>
      <c r="J69" s="14"/>
      <c r="K69" s="14"/>
      <c r="L69" s="14"/>
      <c r="M69" s="14"/>
      <c r="N69" s="14"/>
      <c r="O69" s="14"/>
      <c r="P69" s="14"/>
      <c r="Q69" s="14"/>
      <c r="R69" s="14"/>
      <c r="S69" s="14"/>
      <c r="T69" s="14"/>
      <c r="U69" s="14"/>
      <c r="V69" s="14"/>
      <c r="W69" s="14"/>
      <c r="X69" s="14"/>
      <c r="Y69" s="14"/>
      <c r="Z69" s="15"/>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row>
    <row r="70" spans="2:54" x14ac:dyDescent="0.25">
      <c r="B70" s="13"/>
      <c r="C70" s="32"/>
      <c r="D70" s="86"/>
      <c r="E70" s="99"/>
      <c r="F70" s="14"/>
      <c r="G70" s="32"/>
      <c r="H70" s="33"/>
      <c r="I70" s="34"/>
      <c r="J70" s="14"/>
      <c r="K70" s="14"/>
      <c r="L70" s="14"/>
      <c r="M70" s="78"/>
      <c r="N70" s="14"/>
      <c r="O70" s="14"/>
      <c r="P70" s="14"/>
      <c r="Q70" s="14"/>
      <c r="R70" s="14"/>
      <c r="S70" s="14"/>
      <c r="T70" s="14"/>
      <c r="U70" s="14"/>
      <c r="V70" s="14"/>
      <c r="W70" s="14"/>
      <c r="X70" s="14"/>
      <c r="Y70" s="14"/>
      <c r="Z70" s="15"/>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row>
    <row r="71" spans="2:54" x14ac:dyDescent="0.25">
      <c r="B71" s="13"/>
      <c r="C71" s="6" t="str">
        <f>Parameters!E160</f>
        <v>Costs trenching to beach</v>
      </c>
      <c r="D71" s="272">
        <f>Parameters!G160</f>
        <v>7000000</v>
      </c>
      <c r="E71" s="104" t="str">
        <f>Parameters!F160</f>
        <v>EUR / crossing</v>
      </c>
      <c r="F71" s="14"/>
      <c r="G71" s="6" t="str">
        <f>C71</f>
        <v>Costs trenching to beach</v>
      </c>
      <c r="H71" s="81">
        <f>IF(L63&gt;0,D71*(1-D17),D71*D17)</f>
        <v>0</v>
      </c>
      <c r="I71" s="35" t="s">
        <v>562</v>
      </c>
      <c r="J71" s="14"/>
      <c r="K71" s="14"/>
      <c r="L71" s="14"/>
      <c r="M71" s="78"/>
      <c r="N71" s="14"/>
      <c r="O71" s="14"/>
      <c r="P71" s="14"/>
      <c r="Q71" s="14"/>
      <c r="R71" s="14"/>
      <c r="S71" s="14"/>
      <c r="T71" s="14"/>
      <c r="U71" s="14"/>
      <c r="V71" s="14"/>
      <c r="W71" s="14"/>
      <c r="X71" s="14"/>
      <c r="Y71" s="14"/>
      <c r="Z71" s="15"/>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row>
    <row r="72" spans="2:54" x14ac:dyDescent="0.25">
      <c r="B72" s="13"/>
      <c r="C72" s="6" t="str">
        <f>Parameters!E161</f>
        <v>Costs onshore - road</v>
      </c>
      <c r="D72" s="81">
        <f>Parameters!G161</f>
        <v>4000000</v>
      </c>
      <c r="E72" s="104" t="str">
        <f>Parameters!F161</f>
        <v>EUR / crossing</v>
      </c>
      <c r="F72" s="14"/>
      <c r="G72" s="6" t="str">
        <f t="shared" ref="G72:G77" si="1">C72</f>
        <v>Costs onshore - road</v>
      </c>
      <c r="H72" s="81">
        <f t="shared" ref="H72:H77" si="2">D72*D18</f>
        <v>0</v>
      </c>
      <c r="I72" s="35" t="s">
        <v>562</v>
      </c>
      <c r="J72" s="14"/>
      <c r="K72" s="14"/>
      <c r="L72" s="14"/>
      <c r="M72" s="78"/>
      <c r="N72" s="14"/>
      <c r="O72" s="14"/>
      <c r="P72" s="14"/>
      <c r="Q72" s="14"/>
      <c r="R72" s="14"/>
      <c r="S72" s="14"/>
      <c r="T72" s="14"/>
      <c r="U72" s="14"/>
      <c r="V72" s="14"/>
      <c r="W72" s="14"/>
      <c r="X72" s="14"/>
      <c r="Y72" s="14"/>
      <c r="Z72" s="15"/>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row>
    <row r="73" spans="2:54" x14ac:dyDescent="0.25">
      <c r="B73" s="13"/>
      <c r="C73" s="6" t="str">
        <f>Parameters!E162</f>
        <v>Costs onshore - pipeline</v>
      </c>
      <c r="D73" s="81">
        <f>Parameters!G162</f>
        <v>4000000</v>
      </c>
      <c r="E73" s="104" t="str">
        <f>Parameters!F162</f>
        <v>EUR / crossing</v>
      </c>
      <c r="F73" s="14"/>
      <c r="G73" s="6" t="str">
        <f t="shared" si="1"/>
        <v>Costs onshore - pipeline</v>
      </c>
      <c r="H73" s="81">
        <f t="shared" si="2"/>
        <v>0</v>
      </c>
      <c r="I73" s="35" t="s">
        <v>562</v>
      </c>
      <c r="J73" s="14"/>
      <c r="K73" s="14"/>
      <c r="L73" s="92"/>
      <c r="M73" s="14"/>
      <c r="N73" s="14"/>
      <c r="O73" s="14"/>
      <c r="P73" s="14"/>
      <c r="Q73" s="14"/>
      <c r="R73" s="14"/>
      <c r="S73" s="14"/>
      <c r="T73" s="14"/>
      <c r="U73" s="14"/>
      <c r="V73" s="14"/>
      <c r="W73" s="14"/>
      <c r="X73" s="14"/>
      <c r="Y73" s="14"/>
      <c r="Z73" s="15"/>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row>
    <row r="74" spans="2:54" x14ac:dyDescent="0.25">
      <c r="B74" s="13"/>
      <c r="C74" s="6" t="str">
        <f>Parameters!E163</f>
        <v>Costs onshore - other</v>
      </c>
      <c r="D74" s="81">
        <f>Parameters!G163</f>
        <v>4000000</v>
      </c>
      <c r="E74" s="104" t="str">
        <f>Parameters!F163</f>
        <v>EUR / crossing</v>
      </c>
      <c r="F74" s="14"/>
      <c r="G74" s="6" t="str">
        <f t="shared" si="1"/>
        <v>Costs onshore - other</v>
      </c>
      <c r="H74" s="81">
        <f t="shared" si="2"/>
        <v>0</v>
      </c>
      <c r="I74" s="35" t="s">
        <v>562</v>
      </c>
      <c r="J74" s="14"/>
      <c r="K74" s="14"/>
      <c r="L74" s="92"/>
      <c r="M74" s="14"/>
      <c r="N74" s="14"/>
      <c r="O74" s="14"/>
      <c r="P74" s="14"/>
      <c r="Q74" s="14"/>
      <c r="R74" s="14"/>
      <c r="S74" s="14"/>
      <c r="T74" s="14"/>
      <c r="U74" s="14"/>
      <c r="V74" s="14"/>
      <c r="W74" s="14"/>
      <c r="X74" s="14"/>
      <c r="Y74" s="14"/>
      <c r="Z74" s="15"/>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row>
    <row r="75" spans="2:54" x14ac:dyDescent="0.25">
      <c r="B75" s="13"/>
      <c r="C75" s="6" t="str">
        <f>Parameters!E164</f>
        <v>Costs offshore - pipeline</v>
      </c>
      <c r="D75" s="81">
        <f>Parameters!G164</f>
        <v>6000000</v>
      </c>
      <c r="E75" s="104" t="str">
        <f>Parameters!F164</f>
        <v>EUR / crossing</v>
      </c>
      <c r="F75" s="14"/>
      <c r="G75" s="6" t="str">
        <f t="shared" si="1"/>
        <v>Costs offshore - pipeline</v>
      </c>
      <c r="H75" s="81">
        <f t="shared" si="2"/>
        <v>6000000</v>
      </c>
      <c r="I75" s="35" t="s">
        <v>562</v>
      </c>
      <c r="J75" s="14"/>
      <c r="K75" s="14"/>
      <c r="L75" s="14"/>
      <c r="M75" s="14"/>
      <c r="N75" s="14"/>
      <c r="O75" s="14"/>
      <c r="P75" s="14"/>
      <c r="Q75" s="14"/>
      <c r="R75" s="14"/>
      <c r="S75" s="14"/>
      <c r="T75" s="14"/>
      <c r="U75" s="14"/>
      <c r="V75" s="14"/>
      <c r="W75" s="14"/>
      <c r="X75" s="14"/>
      <c r="Y75" s="14"/>
      <c r="Z75" s="15"/>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row>
    <row r="76" spans="2:54" x14ac:dyDescent="0.25">
      <c r="B76" s="13"/>
      <c r="C76" s="6" t="str">
        <f>Parameters!E165</f>
        <v>Costs submarine cables</v>
      </c>
      <c r="D76" s="81">
        <f>Parameters!G165</f>
        <v>6000000</v>
      </c>
      <c r="E76" s="104" t="str">
        <f>Parameters!F165</f>
        <v>EUR / crossing</v>
      </c>
      <c r="F76" s="14"/>
      <c r="G76" s="6" t="str">
        <f>C76</f>
        <v>Costs submarine cables</v>
      </c>
      <c r="H76" s="81">
        <f t="shared" si="2"/>
        <v>18000000</v>
      </c>
      <c r="I76" s="35" t="s">
        <v>562</v>
      </c>
      <c r="J76" s="14"/>
      <c r="K76" s="14"/>
      <c r="L76" s="14"/>
      <c r="M76" s="14"/>
      <c r="N76" s="14"/>
      <c r="O76" s="14"/>
      <c r="P76" s="14"/>
      <c r="Q76" s="14"/>
      <c r="R76" s="14"/>
      <c r="S76" s="14"/>
      <c r="T76" s="14"/>
      <c r="U76" s="14"/>
      <c r="V76" s="14"/>
      <c r="W76" s="14"/>
      <c r="X76" s="14"/>
      <c r="Y76" s="14"/>
      <c r="Z76" s="15"/>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row>
    <row r="77" spans="2:54" x14ac:dyDescent="0.25">
      <c r="B77" s="13"/>
      <c r="C77" s="36" t="str">
        <f>Parameters!E166</f>
        <v>Costs offshore – shipping lane</v>
      </c>
      <c r="D77" s="82">
        <f>Parameters!G166</f>
        <v>11000000</v>
      </c>
      <c r="E77" s="107" t="str">
        <f>Parameters!F166</f>
        <v>EUR / crossing</v>
      </c>
      <c r="F77" s="14"/>
      <c r="G77" s="36" t="str">
        <f t="shared" si="1"/>
        <v>Costs offshore – shipping lane</v>
      </c>
      <c r="H77" s="82">
        <f t="shared" si="2"/>
        <v>11000000</v>
      </c>
      <c r="I77" s="38" t="s">
        <v>562</v>
      </c>
      <c r="J77" s="14"/>
      <c r="K77" s="14"/>
      <c r="L77" s="14"/>
      <c r="M77" s="14"/>
      <c r="N77" s="14"/>
      <c r="O77" s="14"/>
      <c r="P77" s="14"/>
      <c r="Q77" s="14"/>
      <c r="R77" s="14"/>
      <c r="S77" s="14"/>
      <c r="T77" s="14"/>
      <c r="U77" s="14"/>
      <c r="V77" s="14"/>
      <c r="W77" s="14"/>
      <c r="X77" s="14"/>
      <c r="Y77" s="14"/>
      <c r="Z77" s="15"/>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row>
    <row r="78" spans="2:54" x14ac:dyDescent="0.25">
      <c r="B78" s="13"/>
      <c r="C78" s="5"/>
      <c r="D78" s="5"/>
      <c r="E78" s="5"/>
      <c r="F78" s="5"/>
      <c r="G78" s="5"/>
      <c r="H78" s="5"/>
      <c r="I78" s="5"/>
      <c r="J78" s="5"/>
      <c r="K78" s="5"/>
      <c r="L78" s="5"/>
      <c r="M78" s="5"/>
      <c r="N78" s="14"/>
      <c r="O78" s="14"/>
      <c r="P78" s="14"/>
      <c r="Q78" s="14"/>
      <c r="R78" s="14"/>
      <c r="S78" s="14"/>
      <c r="T78" s="14"/>
      <c r="U78" s="14"/>
      <c r="V78" s="14"/>
      <c r="W78" s="14"/>
      <c r="X78" s="14"/>
      <c r="Y78" s="14"/>
      <c r="Z78" s="15"/>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row>
    <row r="79" spans="2:54" x14ac:dyDescent="0.25">
      <c r="B79" s="13"/>
      <c r="C79" s="39" t="s">
        <v>48</v>
      </c>
      <c r="D79" s="40"/>
      <c r="E79" s="41"/>
      <c r="F79" s="14"/>
      <c r="G79" s="39" t="s">
        <v>70</v>
      </c>
      <c r="H79" s="40"/>
      <c r="I79" s="41"/>
      <c r="J79" s="5"/>
      <c r="K79" s="5"/>
      <c r="L79" s="5"/>
      <c r="M79" s="5"/>
      <c r="N79" s="14"/>
      <c r="O79" s="14"/>
      <c r="P79" s="14"/>
      <c r="Q79" s="14"/>
      <c r="R79" s="14"/>
      <c r="S79" s="14"/>
      <c r="T79" s="14"/>
      <c r="U79" s="14"/>
      <c r="V79" s="14"/>
      <c r="W79" s="14"/>
      <c r="X79" s="14"/>
      <c r="Y79" s="14"/>
      <c r="Z79" s="15"/>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row>
    <row r="80" spans="2:54" x14ac:dyDescent="0.25">
      <c r="B80" s="13"/>
      <c r="C80" s="14"/>
      <c r="D80" s="14"/>
      <c r="E80" s="14"/>
      <c r="F80" s="14"/>
      <c r="G80" s="14"/>
      <c r="H80" s="14"/>
      <c r="I80" s="14"/>
      <c r="J80" s="5"/>
      <c r="K80" s="5"/>
      <c r="L80" s="5"/>
      <c r="M80" s="5"/>
      <c r="N80" s="14"/>
      <c r="O80" s="14"/>
      <c r="P80" s="14"/>
      <c r="Q80" s="14"/>
      <c r="R80" s="14"/>
      <c r="S80" s="14"/>
      <c r="T80" s="14"/>
      <c r="U80" s="14"/>
      <c r="V80" s="14"/>
      <c r="W80" s="14"/>
      <c r="X80" s="14"/>
      <c r="Y80" s="14"/>
      <c r="Z80" s="15"/>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row>
    <row r="81" spans="2:54" x14ac:dyDescent="0.25">
      <c r="B81" s="13"/>
      <c r="C81" s="32"/>
      <c r="D81" s="86" t="s">
        <v>3</v>
      </c>
      <c r="E81" s="99"/>
      <c r="F81" s="14"/>
      <c r="G81" s="32"/>
      <c r="H81" s="33" t="s">
        <v>4</v>
      </c>
      <c r="I81" s="34"/>
      <c r="J81" s="5"/>
      <c r="K81" s="5"/>
      <c r="L81" s="5"/>
      <c r="M81" s="5"/>
      <c r="N81" s="14"/>
      <c r="O81" s="14"/>
      <c r="P81" s="14"/>
      <c r="Q81" s="14"/>
      <c r="R81" s="14"/>
      <c r="S81" s="14"/>
      <c r="T81" s="14"/>
      <c r="U81" s="14"/>
      <c r="V81" s="14"/>
      <c r="W81" s="14"/>
      <c r="X81" s="14"/>
      <c r="Y81" s="14"/>
      <c r="Z81" s="15"/>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row>
    <row r="82" spans="2:54" x14ac:dyDescent="0.25">
      <c r="B82" s="13"/>
      <c r="C82" s="6"/>
      <c r="D82" s="2"/>
      <c r="E82" s="104"/>
      <c r="F82" s="14"/>
      <c r="G82" s="6"/>
      <c r="H82" s="93"/>
      <c r="I82" s="35"/>
      <c r="J82" s="5"/>
      <c r="K82" s="5"/>
      <c r="L82" s="5"/>
      <c r="M82" s="5"/>
      <c r="N82" s="14"/>
      <c r="O82" s="14"/>
      <c r="P82" s="14"/>
      <c r="Q82" s="14"/>
      <c r="R82" s="14"/>
      <c r="S82" s="14"/>
      <c r="T82" s="14"/>
      <c r="U82" s="14"/>
      <c r="V82" s="14"/>
      <c r="W82" s="14"/>
      <c r="X82" s="14"/>
      <c r="Y82" s="14"/>
      <c r="Z82" s="15"/>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row>
    <row r="83" spans="2:54" x14ac:dyDescent="0.25">
      <c r="B83" s="13"/>
      <c r="C83" s="6"/>
      <c r="D83" s="2"/>
      <c r="E83" s="104"/>
      <c r="F83" s="14"/>
      <c r="G83" s="6"/>
      <c r="H83" s="94"/>
      <c r="I83" s="35"/>
      <c r="J83" s="5"/>
      <c r="K83" s="5"/>
      <c r="L83" s="5"/>
      <c r="M83" s="5"/>
      <c r="N83" s="14"/>
      <c r="O83" s="14"/>
      <c r="P83" s="14"/>
      <c r="Q83" s="14"/>
      <c r="R83" s="14"/>
      <c r="S83" s="14"/>
      <c r="T83" s="14"/>
      <c r="U83" s="14"/>
      <c r="V83" s="14"/>
      <c r="W83" s="14"/>
      <c r="X83" s="14"/>
      <c r="Y83" s="14"/>
      <c r="Z83" s="15"/>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row>
    <row r="84" spans="2:54" x14ac:dyDescent="0.25">
      <c r="B84" s="13"/>
      <c r="C84" s="6" t="s">
        <v>53</v>
      </c>
      <c r="D84" s="93">
        <f>74.3*(D51*1000)^0.58*1000</f>
        <v>0</v>
      </c>
      <c r="E84" s="112"/>
      <c r="F84" s="14"/>
      <c r="G84" s="6" t="s">
        <v>53</v>
      </c>
      <c r="H84" s="94">
        <f>D84*Parameters!G172</f>
        <v>0</v>
      </c>
      <c r="I84" s="35"/>
      <c r="J84" s="5"/>
      <c r="K84" s="5"/>
      <c r="L84" s="5"/>
      <c r="M84" s="5"/>
      <c r="N84" s="14"/>
      <c r="O84" s="14"/>
      <c r="P84" s="14"/>
      <c r="Q84" s="14"/>
      <c r="R84" s="14"/>
      <c r="S84" s="14"/>
      <c r="T84" s="14"/>
      <c r="U84" s="14"/>
      <c r="V84" s="14"/>
      <c r="W84" s="14"/>
      <c r="X84" s="14"/>
      <c r="Y84" s="14"/>
      <c r="Z84" s="15"/>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row>
    <row r="85" spans="2:54" x14ac:dyDescent="0.25">
      <c r="B85" s="13"/>
      <c r="C85" s="6"/>
      <c r="D85" s="2"/>
      <c r="E85" s="112"/>
      <c r="F85" s="14"/>
      <c r="G85" s="6"/>
      <c r="H85" s="94"/>
      <c r="I85" s="35"/>
      <c r="J85" s="5"/>
      <c r="K85" s="5"/>
      <c r="L85" s="5"/>
      <c r="M85" s="5"/>
      <c r="N85" s="14"/>
      <c r="O85" s="14"/>
      <c r="P85" s="14"/>
      <c r="Q85" s="14"/>
      <c r="R85" s="14"/>
      <c r="S85" s="14"/>
      <c r="T85" s="14"/>
      <c r="U85" s="14"/>
      <c r="V85" s="14"/>
      <c r="W85" s="14"/>
      <c r="X85" s="14"/>
      <c r="Y85" s="14"/>
      <c r="Z85" s="15"/>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row>
    <row r="86" spans="2:54" x14ac:dyDescent="0.25">
      <c r="B86" s="13"/>
      <c r="C86" s="6"/>
      <c r="D86" s="2"/>
      <c r="E86" s="112"/>
      <c r="F86" s="14"/>
      <c r="G86" s="6"/>
      <c r="H86" s="98"/>
      <c r="I86" s="35"/>
      <c r="J86" s="5"/>
      <c r="K86" s="5"/>
      <c r="L86" s="5"/>
      <c r="M86" s="5"/>
      <c r="N86" s="14"/>
      <c r="O86" s="14"/>
      <c r="P86" s="14"/>
      <c r="Q86" s="14"/>
      <c r="R86" s="14"/>
      <c r="S86" s="14"/>
      <c r="T86" s="14"/>
      <c r="U86" s="14"/>
      <c r="V86" s="14"/>
      <c r="W86" s="14"/>
      <c r="X86" s="14"/>
      <c r="Y86" s="14"/>
      <c r="Z86" s="15"/>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row>
    <row r="87" spans="2:54" x14ac:dyDescent="0.25">
      <c r="B87" s="13"/>
      <c r="C87" s="36"/>
      <c r="D87" s="37"/>
      <c r="E87" s="38"/>
      <c r="F87" s="14"/>
      <c r="G87" s="36"/>
      <c r="H87" s="37"/>
      <c r="I87" s="38"/>
      <c r="J87" s="14"/>
      <c r="K87" s="14"/>
      <c r="L87" s="14"/>
      <c r="M87" s="14"/>
      <c r="N87" s="14"/>
      <c r="O87" s="14"/>
      <c r="P87" s="14"/>
      <c r="Q87" s="14"/>
      <c r="R87" s="14"/>
      <c r="S87" s="14"/>
      <c r="T87" s="14"/>
      <c r="U87" s="14"/>
      <c r="V87" s="14"/>
      <c r="W87" s="14"/>
      <c r="X87" s="14"/>
      <c r="Y87" s="14"/>
      <c r="Z87" s="15"/>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row>
    <row r="88" spans="2:54" x14ac:dyDescent="0.25">
      <c r="B88" s="13"/>
      <c r="C88" s="14"/>
      <c r="D88" s="14"/>
      <c r="E88" s="14"/>
      <c r="F88" s="14"/>
      <c r="G88" s="14"/>
      <c r="H88" s="14"/>
      <c r="I88" s="14"/>
      <c r="J88" s="14"/>
      <c r="K88" s="14"/>
      <c r="L88" s="14"/>
      <c r="M88" s="14"/>
      <c r="N88" s="14"/>
      <c r="O88" s="14"/>
      <c r="P88" s="14"/>
      <c r="Q88" s="14"/>
      <c r="R88" s="14"/>
      <c r="S88" s="14"/>
      <c r="T88" s="14"/>
      <c r="U88" s="14"/>
      <c r="V88" s="14"/>
      <c r="W88" s="14"/>
      <c r="X88" s="14"/>
      <c r="Y88" s="14"/>
      <c r="Z88" s="15"/>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row>
    <row r="89" spans="2:54" x14ac:dyDescent="0.25">
      <c r="B89" s="13"/>
      <c r="C89" s="14"/>
      <c r="D89" s="14"/>
      <c r="E89" s="14"/>
      <c r="F89" s="14"/>
      <c r="G89" s="14"/>
      <c r="H89" s="14"/>
      <c r="I89" s="14"/>
      <c r="J89" s="14"/>
      <c r="K89" s="14"/>
      <c r="L89" s="14"/>
      <c r="M89" s="14"/>
      <c r="N89" s="14"/>
      <c r="O89" s="14"/>
      <c r="P89" s="14"/>
      <c r="Q89" s="14"/>
      <c r="R89" s="14"/>
      <c r="S89" s="14"/>
      <c r="T89" s="14"/>
      <c r="U89" s="14"/>
      <c r="V89" s="14"/>
      <c r="W89" s="14"/>
      <c r="X89" s="14"/>
      <c r="Y89" s="14"/>
      <c r="Z89" s="15"/>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row>
    <row r="90" spans="2:54" x14ac:dyDescent="0.25">
      <c r="B90" s="13"/>
      <c r="C90" s="14"/>
      <c r="D90" s="14"/>
      <c r="E90" s="14"/>
      <c r="F90" s="14"/>
      <c r="G90" s="14"/>
      <c r="H90" s="14"/>
      <c r="I90" s="14"/>
      <c r="J90" s="14"/>
      <c r="K90" s="14"/>
      <c r="L90" s="14"/>
      <c r="M90" s="14"/>
      <c r="N90" s="14"/>
      <c r="O90" s="14"/>
      <c r="P90" s="14"/>
      <c r="Q90" s="14"/>
      <c r="R90" s="14"/>
      <c r="S90" s="14"/>
      <c r="T90" s="14"/>
      <c r="U90" s="14"/>
      <c r="V90" s="14"/>
      <c r="W90" s="14"/>
      <c r="X90" s="14"/>
      <c r="Y90" s="14"/>
      <c r="Z90" s="15"/>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row>
    <row r="91" spans="2:54" x14ac:dyDescent="0.25">
      <c r="B91" s="13"/>
      <c r="C91" s="14"/>
      <c r="D91" s="14"/>
      <c r="E91" s="14"/>
      <c r="F91" s="14"/>
      <c r="G91" s="14"/>
      <c r="H91" s="14"/>
      <c r="I91" s="14"/>
      <c r="J91" s="14"/>
      <c r="K91" s="14"/>
      <c r="L91" s="14"/>
      <c r="M91" s="14"/>
      <c r="N91" s="14"/>
      <c r="O91" s="14"/>
      <c r="P91" s="14"/>
      <c r="Q91" s="14"/>
      <c r="R91" s="14"/>
      <c r="S91" s="14"/>
      <c r="T91" s="14"/>
      <c r="U91" s="14"/>
      <c r="V91" s="14"/>
      <c r="W91" s="14"/>
      <c r="X91" s="14"/>
      <c r="Y91" s="14"/>
      <c r="Z91" s="15"/>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row>
    <row r="92" spans="2:54" x14ac:dyDescent="0.25">
      <c r="B92" s="13"/>
      <c r="C92" s="14"/>
      <c r="D92" s="14"/>
      <c r="E92" s="14"/>
      <c r="F92" s="14"/>
      <c r="G92" s="14"/>
      <c r="H92" s="14"/>
      <c r="I92" s="14"/>
      <c r="J92" s="14"/>
      <c r="K92" s="14"/>
      <c r="L92" s="14"/>
      <c r="M92" s="14"/>
      <c r="N92" s="14"/>
      <c r="O92" s="14"/>
      <c r="P92" s="14"/>
      <c r="Q92" s="14"/>
      <c r="R92" s="14"/>
      <c r="S92" s="14"/>
      <c r="T92" s="14"/>
      <c r="U92" s="14"/>
      <c r="V92" s="14"/>
      <c r="W92" s="14"/>
      <c r="X92" s="14"/>
      <c r="Y92" s="14"/>
      <c r="Z92" s="15"/>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row>
    <row r="93" spans="2:54" x14ac:dyDescent="0.25">
      <c r="B93" s="18"/>
      <c r="C93" s="19"/>
      <c r="D93" s="19"/>
      <c r="E93" s="19"/>
      <c r="F93" s="19"/>
      <c r="G93" s="19"/>
      <c r="H93" s="19"/>
      <c r="I93" s="19"/>
      <c r="J93" s="19"/>
      <c r="K93" s="19"/>
      <c r="L93" s="19"/>
      <c r="M93" s="19"/>
      <c r="N93" s="19"/>
      <c r="O93" s="19"/>
      <c r="P93" s="19"/>
      <c r="Q93" s="19"/>
      <c r="R93" s="19"/>
      <c r="S93" s="19"/>
      <c r="T93" s="19"/>
      <c r="U93" s="19"/>
      <c r="V93" s="19"/>
      <c r="W93" s="19"/>
      <c r="X93" s="19"/>
      <c r="Y93" s="19"/>
      <c r="Z93" s="20"/>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row>
    <row r="94" spans="2:54" x14ac:dyDescent="0.25">
      <c r="B94" s="3"/>
      <c r="C94" s="3"/>
      <c r="D94" s="3"/>
      <c r="E94" s="3"/>
      <c r="F94" s="3"/>
      <c r="G94" s="3"/>
      <c r="H94" s="3"/>
      <c r="I94" s="3"/>
      <c r="J94" s="3"/>
      <c r="K94" s="3"/>
      <c r="L94" s="3"/>
      <c r="M94" s="3"/>
      <c r="N94" s="3"/>
      <c r="O94" s="3"/>
      <c r="P94" s="3"/>
      <c r="Q94" s="3"/>
      <c r="R94" s="3"/>
      <c r="S94" s="3"/>
      <c r="T94" s="3"/>
      <c r="U94" s="3"/>
      <c r="V94" s="3"/>
      <c r="W94" s="3"/>
      <c r="X94" s="3"/>
      <c r="Y94" s="3"/>
      <c r="Z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row>
    <row r="95" spans="2:54" x14ac:dyDescent="0.25">
      <c r="B95" s="3"/>
      <c r="C95" s="3"/>
      <c r="D95" s="3"/>
      <c r="E95" s="3"/>
      <c r="F95" s="3"/>
      <c r="G95" s="3"/>
      <c r="H95" s="3"/>
      <c r="I95" s="3"/>
      <c r="J95" s="3"/>
      <c r="K95" s="3"/>
      <c r="L95" s="3"/>
      <c r="M95" s="3"/>
      <c r="N95" s="3"/>
      <c r="O95" s="3"/>
      <c r="P95" s="3"/>
      <c r="Q95" s="3"/>
      <c r="R95" s="3"/>
      <c r="S95" s="3"/>
      <c r="T95" s="3"/>
      <c r="U95" s="3"/>
      <c r="V95" s="3"/>
      <c r="W95" s="3"/>
      <c r="X95" s="3"/>
      <c r="Y95" s="3"/>
      <c r="Z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row>
    <row r="96" spans="2:54" x14ac:dyDescent="0.25">
      <c r="B96" s="3"/>
      <c r="C96" s="3"/>
      <c r="D96" s="3"/>
      <c r="E96" s="3"/>
      <c r="F96" s="3"/>
      <c r="G96" s="3"/>
      <c r="H96" s="3"/>
      <c r="I96" s="3"/>
      <c r="J96" s="3"/>
      <c r="K96" s="3"/>
      <c r="L96" s="3"/>
      <c r="M96" s="3"/>
      <c r="N96" s="3"/>
      <c r="O96" s="3"/>
      <c r="P96" s="3"/>
      <c r="Q96" s="3"/>
      <c r="R96" s="3"/>
      <c r="S96" s="3"/>
      <c r="T96" s="3"/>
      <c r="U96" s="3"/>
      <c r="V96" s="3"/>
      <c r="W96" s="3"/>
      <c r="X96" s="3"/>
      <c r="Y96" s="3"/>
      <c r="Z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row>
    <row r="97" spans="2:54" x14ac:dyDescent="0.25">
      <c r="B97" s="3"/>
      <c r="C97" s="3"/>
      <c r="D97" s="3"/>
      <c r="E97" s="3"/>
      <c r="F97" s="3"/>
      <c r="G97" s="3"/>
      <c r="H97" s="3"/>
      <c r="I97" s="3"/>
      <c r="J97" s="3"/>
      <c r="K97" s="3"/>
      <c r="L97" s="3"/>
      <c r="M97" s="3"/>
      <c r="N97" s="3"/>
      <c r="O97" s="3"/>
      <c r="P97" s="3"/>
      <c r="Q97" s="3"/>
      <c r="R97" s="3"/>
      <c r="S97" s="3"/>
      <c r="T97" s="3"/>
      <c r="U97" s="3"/>
      <c r="V97" s="3"/>
      <c r="W97" s="3"/>
      <c r="X97" s="3"/>
      <c r="Y97" s="3"/>
      <c r="Z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row>
    <row r="98" spans="2:54" x14ac:dyDescent="0.25">
      <c r="B98" s="3"/>
      <c r="C98" s="3"/>
      <c r="D98" s="3"/>
      <c r="E98" s="3"/>
      <c r="F98" s="3"/>
      <c r="G98" s="3"/>
      <c r="H98" s="3"/>
      <c r="I98" s="3"/>
      <c r="J98" s="3"/>
      <c r="K98" s="3"/>
      <c r="L98" s="3"/>
      <c r="M98" s="3"/>
      <c r="N98" s="3"/>
      <c r="O98" s="3"/>
      <c r="P98" s="3"/>
      <c r="Q98" s="3"/>
      <c r="R98" s="3"/>
      <c r="S98" s="3"/>
      <c r="T98" s="3"/>
      <c r="U98" s="3"/>
      <c r="V98" s="3"/>
      <c r="W98" s="3"/>
      <c r="X98" s="3"/>
      <c r="Y98" s="3"/>
      <c r="Z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row>
    <row r="99" spans="2:54" x14ac:dyDescent="0.25">
      <c r="B99" s="3"/>
      <c r="C99" s="3"/>
      <c r="D99" s="3"/>
      <c r="E99" s="3"/>
      <c r="F99" s="3"/>
      <c r="G99" s="3"/>
      <c r="H99" s="3"/>
      <c r="I99" s="3"/>
      <c r="J99" s="3"/>
      <c r="K99" s="3"/>
      <c r="L99" s="3"/>
      <c r="M99" s="3"/>
      <c r="N99" s="3"/>
      <c r="O99" s="3"/>
      <c r="P99" s="3"/>
      <c r="Q99" s="3"/>
      <c r="R99" s="3"/>
      <c r="S99" s="3"/>
      <c r="T99" s="3"/>
      <c r="U99" s="3"/>
      <c r="V99" s="3"/>
      <c r="W99" s="3"/>
      <c r="X99" s="3"/>
      <c r="Y99" s="3"/>
      <c r="Z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row>
    <row r="100" spans="2:54" x14ac:dyDescent="0.25">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row>
    <row r="101" spans="2:54" x14ac:dyDescent="0.25">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row>
    <row r="102" spans="2:54" x14ac:dyDescent="0.25">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row>
    <row r="103" spans="2:54" x14ac:dyDescent="0.25">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row>
    <row r="104" spans="2:54" x14ac:dyDescent="0.25">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row>
    <row r="105" spans="2:54" x14ac:dyDescent="0.25">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row>
    <row r="106" spans="2:54" x14ac:dyDescent="0.25">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row>
    <row r="107" spans="2:54" x14ac:dyDescent="0.25">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row>
    <row r="108" spans="2:54" x14ac:dyDescent="0.25">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row>
    <row r="109" spans="2:54" x14ac:dyDescent="0.25">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row>
    <row r="110" spans="2:54" x14ac:dyDescent="0.25">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row>
    <row r="111" spans="2:54" x14ac:dyDescent="0.25">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row>
    <row r="112" spans="2:54" x14ac:dyDescent="0.25">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row>
    <row r="113" spans="2:54" x14ac:dyDescent="0.25">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row>
    <row r="114" spans="2:54" x14ac:dyDescent="0.25">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row>
    <row r="115" spans="2:54" x14ac:dyDescent="0.25">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row>
    <row r="116" spans="2:54" x14ac:dyDescent="0.25">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row>
    <row r="117" spans="2:54" x14ac:dyDescent="0.25">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row>
    <row r="118" spans="2:54" x14ac:dyDescent="0.25">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row>
    <row r="119" spans="2:54" x14ac:dyDescent="0.25">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row>
    <row r="120" spans="2:54" x14ac:dyDescent="0.25">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row>
    <row r="121" spans="2:54" x14ac:dyDescent="0.25">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row>
    <row r="122" spans="2:54" x14ac:dyDescent="0.25">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row>
    <row r="123" spans="2:54" x14ac:dyDescent="0.25">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row>
    <row r="124" spans="2:54" x14ac:dyDescent="0.25">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row>
    <row r="125" spans="2:54" x14ac:dyDescent="0.25">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row>
    <row r="126" spans="2:54" x14ac:dyDescent="0.25">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row>
    <row r="127" spans="2:54" x14ac:dyDescent="0.25">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row>
    <row r="128" spans="2:54" x14ac:dyDescent="0.25">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row>
    <row r="129" spans="2:55" x14ac:dyDescent="0.25">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row>
    <row r="130" spans="2:55" x14ac:dyDescent="0.25">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row>
    <row r="131" spans="2:55" x14ac:dyDescent="0.25">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row>
    <row r="132" spans="2:55" x14ac:dyDescent="0.25">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row>
    <row r="133" spans="2:55" x14ac:dyDescent="0.25">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row>
    <row r="134" spans="2:55" x14ac:dyDescent="0.25">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row>
    <row r="135" spans="2:55" x14ac:dyDescent="0.25">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row>
    <row r="136" spans="2:55" x14ac:dyDescent="0.25">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row>
    <row r="137" spans="2:55" x14ac:dyDescent="0.25">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row>
    <row r="138" spans="2:55" x14ac:dyDescent="0.25">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row>
    <row r="139" spans="2:55" x14ac:dyDescent="0.25">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row>
    <row r="140" spans="2:55" x14ac:dyDescent="0.25">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row>
    <row r="141" spans="2:55" x14ac:dyDescent="0.25">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row>
    <row r="142" spans="2:55" x14ac:dyDescent="0.25">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row>
    <row r="143" spans="2:55" x14ac:dyDescent="0.25">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row>
    <row r="144" spans="2:55" x14ac:dyDescent="0.25">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row>
    <row r="145" spans="2:55" x14ac:dyDescent="0.25">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row>
    <row r="146" spans="2:55" x14ac:dyDescent="0.25">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row>
    <row r="147" spans="2:55" x14ac:dyDescent="0.25">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row>
    <row r="148" spans="2:55" x14ac:dyDescent="0.25">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row>
    <row r="149" spans="2:55" x14ac:dyDescent="0.25">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row>
    <row r="150" spans="2:55" x14ac:dyDescent="0.25">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row>
    <row r="151" spans="2:55" x14ac:dyDescent="0.25">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row>
    <row r="152" spans="2:55" x14ac:dyDescent="0.25">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row>
    <row r="153" spans="2:55" x14ac:dyDescent="0.25">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row>
    <row r="154" spans="2:55" x14ac:dyDescent="0.25">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row>
    <row r="155" spans="2:55" x14ac:dyDescent="0.25">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row>
    <row r="156" spans="2:55" x14ac:dyDescent="0.25">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row>
    <row r="157" spans="2:55" x14ac:dyDescent="0.25">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row>
    <row r="158" spans="2:55" x14ac:dyDescent="0.25">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row>
    <row r="159" spans="2:55" x14ac:dyDescent="0.25">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row>
    <row r="160" spans="2:55" x14ac:dyDescent="0.25">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row>
    <row r="161" spans="2:55" x14ac:dyDescent="0.25">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row>
    <row r="162" spans="2:55" x14ac:dyDescent="0.25">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row>
  </sheetData>
  <pageMargins left="0.7" right="0.7" top="0.75" bottom="0.75" header="0.3" footer="0.3"/>
  <pageSetup paperSize="9" orientation="portrait" horizontalDpi="1200" verticalDpi="1200"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8"/>
  <dimension ref="A1:BP174"/>
  <sheetViews>
    <sheetView zoomScale="80" zoomScaleNormal="80" workbookViewId="0">
      <selection activeCell="F30" sqref="F30"/>
    </sheetView>
  </sheetViews>
  <sheetFormatPr defaultColWidth="9.140625" defaultRowHeight="15" x14ac:dyDescent="0.25"/>
  <cols>
    <col min="1" max="1" width="9.28515625" style="3" customWidth="1"/>
    <col min="2" max="2" width="17.28515625" style="7" customWidth="1"/>
    <col min="3" max="3" width="47" style="7" customWidth="1"/>
    <col min="4" max="4" width="21.7109375" style="7" bestFit="1" customWidth="1"/>
    <col min="5" max="6" width="14.85546875" style="7" bestFit="1" customWidth="1"/>
    <col min="7" max="7" width="27.42578125" style="7" bestFit="1" customWidth="1"/>
    <col min="8" max="8" width="28" style="7" bestFit="1" customWidth="1"/>
    <col min="9" max="9" width="13.7109375" style="7" bestFit="1" customWidth="1"/>
    <col min="10" max="10" width="10.42578125" style="7" bestFit="1" customWidth="1"/>
    <col min="11" max="11" width="24.85546875" style="7" customWidth="1"/>
    <col min="12" max="12" width="17.42578125" style="7" bestFit="1" customWidth="1"/>
    <col min="13" max="13" width="16.7109375" style="7" customWidth="1"/>
    <col min="14" max="14" width="12.42578125" style="7" customWidth="1"/>
    <col min="15" max="15" width="24.28515625" style="7" customWidth="1"/>
    <col min="16" max="16" width="13.85546875" style="7" bestFit="1" customWidth="1"/>
    <col min="17" max="17" width="11.5703125" style="7" bestFit="1" customWidth="1"/>
    <col min="18" max="18" width="12.28515625" style="7" customWidth="1"/>
    <col min="19" max="19" width="15.28515625" style="7" bestFit="1" customWidth="1"/>
    <col min="20" max="20" width="13.140625" style="7" bestFit="1" customWidth="1"/>
    <col min="21" max="21" width="11.5703125" style="7" bestFit="1" customWidth="1"/>
    <col min="22" max="22" width="10.140625" style="7" customWidth="1"/>
    <col min="23" max="23" width="12.5703125" style="7" bestFit="1" customWidth="1"/>
    <col min="24" max="24" width="12.28515625" style="7" bestFit="1" customWidth="1"/>
    <col min="25" max="26" width="11.5703125" style="7" bestFit="1" customWidth="1"/>
    <col min="27" max="27" width="11.5703125" style="3" bestFit="1" customWidth="1"/>
    <col min="28" max="67" width="11.5703125" style="7" bestFit="1" customWidth="1"/>
    <col min="68" max="16384" width="9.140625" style="7"/>
  </cols>
  <sheetData>
    <row r="1" spans="1:54" s="3" customFormat="1" ht="55.5" customHeight="1" x14ac:dyDescent="0.65">
      <c r="A1" s="30"/>
      <c r="B1" s="181" t="str">
        <f>"CO2 Storage ("&amp;Parameters!$D$6&amp;")"</f>
        <v>CO2 Storage (P15 Scenario 1)</v>
      </c>
    </row>
    <row r="2" spans="1:54" x14ac:dyDescent="0.25">
      <c r="B2" s="10"/>
      <c r="C2" s="11"/>
      <c r="D2" s="11"/>
      <c r="E2" s="11"/>
      <c r="F2" s="11"/>
      <c r="G2" s="11"/>
      <c r="H2" s="11"/>
      <c r="I2" s="11"/>
      <c r="J2" s="11"/>
      <c r="K2" s="11"/>
      <c r="L2" s="11"/>
      <c r="M2" s="11"/>
      <c r="N2" s="11"/>
      <c r="O2" s="11"/>
      <c r="P2" s="11"/>
      <c r="Q2" s="11"/>
      <c r="R2" s="11"/>
      <c r="S2" s="11"/>
      <c r="T2" s="11"/>
      <c r="U2" s="11"/>
      <c r="V2" s="11"/>
      <c r="W2" s="11"/>
      <c r="X2" s="11"/>
      <c r="Y2" s="11"/>
      <c r="Z2" s="12"/>
      <c r="AB2" s="3"/>
      <c r="AC2" s="3"/>
      <c r="AD2" s="3"/>
      <c r="AE2" s="3"/>
      <c r="AF2" s="3"/>
      <c r="AG2" s="3"/>
      <c r="AH2" s="3"/>
      <c r="AI2" s="3"/>
      <c r="AJ2" s="3"/>
      <c r="AK2" s="3"/>
      <c r="AL2" s="3"/>
      <c r="AM2" s="3"/>
      <c r="AN2" s="3"/>
      <c r="AO2" s="3"/>
      <c r="AP2" s="3"/>
      <c r="AQ2" s="3"/>
      <c r="AR2" s="3"/>
      <c r="AS2" s="3"/>
      <c r="AT2" s="3"/>
      <c r="AU2" s="3"/>
      <c r="AV2" s="3"/>
      <c r="AW2" s="3"/>
      <c r="AX2" s="3"/>
      <c r="AY2" s="3"/>
      <c r="AZ2" s="3"/>
      <c r="BA2" s="3"/>
      <c r="BB2" s="3"/>
    </row>
    <row r="3" spans="1:54" x14ac:dyDescent="0.25">
      <c r="B3" s="13"/>
      <c r="C3" s="39" t="s">
        <v>1</v>
      </c>
      <c r="D3" s="40"/>
      <c r="E3" s="41"/>
      <c r="F3" s="14"/>
      <c r="G3" s="39" t="s">
        <v>2</v>
      </c>
      <c r="H3" s="40"/>
      <c r="I3" s="41"/>
      <c r="J3" s="14"/>
      <c r="K3" s="39" t="s">
        <v>83</v>
      </c>
      <c r="L3" s="40"/>
      <c r="M3" s="41"/>
      <c r="N3" s="5"/>
      <c r="O3" s="14"/>
      <c r="P3" s="14"/>
      <c r="Q3" s="14"/>
      <c r="R3" s="14"/>
      <c r="S3" s="14"/>
      <c r="T3" s="14"/>
      <c r="U3" s="14"/>
      <c r="V3" s="14"/>
      <c r="W3" s="14"/>
      <c r="X3" s="14"/>
      <c r="Y3" s="14"/>
      <c r="Z3" s="15"/>
      <c r="AB3" s="3"/>
      <c r="AC3" s="3"/>
      <c r="AD3" s="3"/>
      <c r="AE3" s="3"/>
      <c r="AF3" s="3"/>
      <c r="AG3" s="3"/>
      <c r="AH3" s="3"/>
      <c r="AI3" s="3"/>
      <c r="AJ3" s="3"/>
      <c r="AK3" s="3"/>
      <c r="AL3" s="3"/>
      <c r="AM3" s="3"/>
      <c r="AN3" s="3"/>
      <c r="AO3" s="3"/>
      <c r="AP3" s="3"/>
      <c r="AQ3" s="3"/>
      <c r="AR3" s="3"/>
      <c r="AS3" s="3"/>
      <c r="AT3" s="3"/>
      <c r="AU3" s="3"/>
      <c r="AV3" s="3"/>
      <c r="AW3" s="3"/>
      <c r="AX3" s="3"/>
      <c r="AY3" s="3"/>
      <c r="AZ3" s="3"/>
      <c r="BA3" s="3"/>
      <c r="BB3" s="3"/>
    </row>
    <row r="4" spans="1:54" x14ac:dyDescent="0.25">
      <c r="B4" s="13"/>
      <c r="C4" s="14"/>
      <c r="D4" s="14"/>
      <c r="E4" s="14"/>
      <c r="F4" s="357"/>
      <c r="G4" s="14"/>
      <c r="H4" s="14"/>
      <c r="I4" s="14"/>
      <c r="J4" s="14"/>
      <c r="K4" s="14"/>
      <c r="L4" s="14"/>
      <c r="M4" s="14"/>
      <c r="N4" s="5"/>
      <c r="O4" s="14"/>
      <c r="P4" s="14"/>
      <c r="Q4" s="14"/>
      <c r="R4" s="14"/>
      <c r="S4" s="14"/>
      <c r="T4" s="14"/>
      <c r="U4" s="14"/>
      <c r="V4" s="14"/>
      <c r="W4" s="14"/>
      <c r="X4" s="14"/>
      <c r="Y4" s="14"/>
      <c r="Z4" s="15"/>
      <c r="AB4" s="3"/>
      <c r="AC4" s="3"/>
      <c r="AD4" s="3"/>
      <c r="AE4" s="3"/>
      <c r="AF4" s="3"/>
      <c r="AG4" s="3"/>
      <c r="AH4" s="3"/>
      <c r="AI4" s="3"/>
      <c r="AJ4" s="3"/>
      <c r="AK4" s="3"/>
      <c r="AL4" s="3"/>
      <c r="AM4" s="3"/>
      <c r="AN4" s="3"/>
      <c r="AO4" s="3"/>
      <c r="AP4" s="3"/>
      <c r="AQ4" s="3"/>
      <c r="AR4" s="3"/>
      <c r="AS4" s="3"/>
      <c r="AT4" s="3"/>
      <c r="AU4" s="3"/>
      <c r="AV4" s="3"/>
      <c r="AW4" s="3"/>
      <c r="AX4" s="3"/>
      <c r="AY4" s="3"/>
      <c r="AZ4" s="3"/>
      <c r="BA4" s="3"/>
      <c r="BB4" s="3"/>
    </row>
    <row r="5" spans="1:54" x14ac:dyDescent="0.25">
      <c r="B5" s="13"/>
      <c r="C5" s="32" t="str">
        <f>Parameters!E219</f>
        <v>Platform selection</v>
      </c>
      <c r="D5" s="161" t="str">
        <f>Parameters!G219</f>
        <v>P15-D</v>
      </c>
      <c r="E5" s="34"/>
      <c r="F5" s="14"/>
      <c r="G5" s="32" t="s">
        <v>48</v>
      </c>
      <c r="H5" s="86">
        <f>IF(D16&gt;D18,0,1)*D78</f>
        <v>0</v>
      </c>
      <c r="I5" s="34"/>
      <c r="J5" s="14"/>
      <c r="K5" s="32"/>
      <c r="L5" s="116"/>
      <c r="M5" s="34"/>
      <c r="N5" s="5"/>
      <c r="O5" s="14"/>
      <c r="P5" s="14"/>
      <c r="Q5" s="14"/>
      <c r="R5" s="14"/>
      <c r="S5" s="14"/>
      <c r="T5" s="14"/>
      <c r="U5" s="14"/>
      <c r="V5" s="14"/>
      <c r="W5" s="14"/>
      <c r="X5" s="14"/>
      <c r="Y5" s="14"/>
      <c r="Z5" s="15"/>
      <c r="AB5" s="3"/>
      <c r="AC5" s="3"/>
      <c r="AD5" s="3"/>
      <c r="AE5" s="3"/>
      <c r="AF5" s="3"/>
      <c r="AG5" s="3"/>
      <c r="AH5" s="3"/>
      <c r="AI5" s="3"/>
      <c r="AJ5" s="3"/>
      <c r="AK5" s="3"/>
      <c r="AL5" s="3"/>
      <c r="AM5" s="3"/>
      <c r="AN5" s="3"/>
      <c r="AO5" s="3"/>
      <c r="AP5" s="3"/>
      <c r="AQ5" s="3"/>
      <c r="AR5" s="3"/>
      <c r="AS5" s="3"/>
      <c r="AT5" s="3"/>
      <c r="AU5" s="3"/>
      <c r="AV5" s="3"/>
      <c r="AW5" s="3"/>
      <c r="AX5" s="3"/>
      <c r="AY5" s="3"/>
      <c r="AZ5" s="3"/>
      <c r="BA5" s="3"/>
      <c r="BB5" s="3"/>
    </row>
    <row r="6" spans="1:54" x14ac:dyDescent="0.25">
      <c r="B6" s="13"/>
      <c r="C6" s="6" t="str">
        <f>Parameters!E196</f>
        <v>Storage field</v>
      </c>
      <c r="D6" s="14" t="str">
        <f>Parameters!G196</f>
        <v>Surrounding fields P15</v>
      </c>
      <c r="E6" s="35"/>
      <c r="F6" s="14"/>
      <c r="G6" s="6" t="s">
        <v>49</v>
      </c>
      <c r="H6" s="81">
        <f>H78</f>
        <v>0</v>
      </c>
      <c r="I6" s="35"/>
      <c r="J6" s="14"/>
      <c r="K6" s="884" t="str">
        <f>K79</f>
        <v>Total pump area</v>
      </c>
      <c r="L6" s="347">
        <f t="shared" ref="L6:M6" si="0">L79</f>
        <v>0</v>
      </c>
      <c r="M6" s="703" t="str">
        <f t="shared" si="0"/>
        <v>m²</v>
      </c>
      <c r="N6" s="5"/>
      <c r="O6" s="14"/>
      <c r="P6" s="14"/>
      <c r="Q6" s="14"/>
      <c r="R6" s="14"/>
      <c r="S6" s="14"/>
      <c r="T6" s="14"/>
      <c r="U6" s="14"/>
      <c r="V6" s="14"/>
      <c r="W6" s="14"/>
      <c r="X6" s="14"/>
      <c r="Y6" s="14"/>
      <c r="Z6" s="15"/>
      <c r="AB6" s="3"/>
      <c r="AC6" s="3"/>
      <c r="AD6" s="3"/>
      <c r="AE6" s="3"/>
      <c r="AF6" s="3"/>
      <c r="AG6" s="3"/>
      <c r="AH6" s="3"/>
      <c r="AI6" s="3"/>
      <c r="AJ6" s="3"/>
      <c r="AK6" s="3"/>
      <c r="AL6" s="3"/>
      <c r="AM6" s="3"/>
      <c r="AN6" s="3"/>
      <c r="AO6" s="3"/>
      <c r="AP6" s="3"/>
      <c r="AQ6" s="3"/>
      <c r="AR6" s="3"/>
      <c r="AS6" s="3"/>
      <c r="AT6" s="3"/>
      <c r="AU6" s="3"/>
      <c r="AV6" s="3"/>
      <c r="AW6" s="3"/>
      <c r="AX6" s="3"/>
      <c r="AY6" s="3"/>
      <c r="AZ6" s="3"/>
      <c r="BA6" s="3"/>
      <c r="BB6" s="3"/>
    </row>
    <row r="7" spans="1:54" x14ac:dyDescent="0.25">
      <c r="A7" s="354"/>
      <c r="B7" s="13"/>
      <c r="C7" s="6" t="s">
        <v>1598</v>
      </c>
      <c r="D7" s="145">
        <f>VLOOKUP(Parameters!$G$219,'DATABASE CO2 STORAGE'!C4:O6,6,FALSE)*D26</f>
        <v>120</v>
      </c>
      <c r="E7" s="35" t="str">
        <f>Parameters!F197</f>
        <v>Mton CO2</v>
      </c>
      <c r="F7" s="14"/>
      <c r="G7" s="6" t="s">
        <v>535</v>
      </c>
      <c r="H7" s="81">
        <f>IF(D16&gt;D18,0,1)*H56</f>
        <v>0</v>
      </c>
      <c r="I7" s="35" t="s">
        <v>68</v>
      </c>
      <c r="J7" s="14"/>
      <c r="K7" s="884" t="str">
        <f t="shared" ref="K7:M7" si="1">K80</f>
        <v>Total pump weight</v>
      </c>
      <c r="L7" s="347">
        <f t="shared" si="1"/>
        <v>0</v>
      </c>
      <c r="M7" s="703" t="str">
        <f t="shared" si="1"/>
        <v>t</v>
      </c>
      <c r="N7" s="5"/>
      <c r="O7" s="14"/>
      <c r="P7" s="14"/>
      <c r="Q7" s="14"/>
      <c r="R7" s="14"/>
      <c r="S7" s="14"/>
      <c r="T7" s="14"/>
      <c r="U7" s="14"/>
      <c r="V7" s="14"/>
      <c r="W7" s="14"/>
      <c r="X7" s="14"/>
      <c r="Y7" s="14"/>
      <c r="Z7" s="15"/>
      <c r="AB7" s="3"/>
      <c r="AC7" s="3"/>
      <c r="AD7" s="3"/>
      <c r="AE7" s="3"/>
      <c r="AF7" s="3"/>
      <c r="AG7" s="3"/>
      <c r="AH7" s="3"/>
      <c r="AI7" s="3"/>
      <c r="AJ7" s="3"/>
      <c r="AK7" s="3"/>
      <c r="AL7" s="3"/>
      <c r="AM7" s="3"/>
      <c r="AN7" s="3"/>
      <c r="AO7" s="3"/>
      <c r="AP7" s="3"/>
      <c r="AQ7" s="3"/>
      <c r="AR7" s="3"/>
      <c r="AS7" s="3"/>
      <c r="AT7" s="3"/>
      <c r="AU7" s="3"/>
      <c r="AV7" s="3"/>
      <c r="AW7" s="3"/>
      <c r="AX7" s="3"/>
      <c r="AY7" s="3"/>
      <c r="AZ7" s="3"/>
      <c r="BA7" s="3"/>
      <c r="BB7" s="3"/>
    </row>
    <row r="8" spans="1:54" x14ac:dyDescent="0.25">
      <c r="B8" s="13"/>
      <c r="C8" s="6" t="str">
        <f>Parameters!E198</f>
        <v>Number of available wells at start of business case</v>
      </c>
      <c r="D8" s="145">
        <f>INDEX('DATABASE CO2 STORAGE'!$D$3:$U$6,MATCH(D6,'DATABASE CO2 STORAGE'!$D$3:$D$6,0),MATCH(C8,'DATABASE CO2 STORAGE'!$D$3:$U$3,0))</f>
        <v>10</v>
      </c>
      <c r="E8" s="35"/>
      <c r="F8" s="14"/>
      <c r="G8" s="108" t="str">
        <f>C56</f>
        <v>Pump capacity required at project end</v>
      </c>
      <c r="H8" s="81">
        <f>D56</f>
        <v>0</v>
      </c>
      <c r="I8" s="35" t="str">
        <f>E56</f>
        <v>MW</v>
      </c>
      <c r="J8" s="14"/>
      <c r="K8" s="884"/>
      <c r="L8" s="347"/>
      <c r="M8" s="703"/>
      <c r="N8" s="5"/>
      <c r="O8" s="14"/>
      <c r="P8" s="14"/>
      <c r="Q8" s="14"/>
      <c r="R8" s="14"/>
      <c r="S8" s="14"/>
      <c r="T8" s="14"/>
      <c r="U8" s="14"/>
      <c r="V8" s="14"/>
      <c r="W8" s="14"/>
      <c r="X8" s="14"/>
      <c r="Y8" s="14"/>
      <c r="Z8" s="15"/>
      <c r="AB8" s="3"/>
      <c r="AC8" s="3"/>
      <c r="AD8" s="3"/>
      <c r="AE8" s="3"/>
      <c r="AF8" s="3"/>
      <c r="AG8" s="3"/>
      <c r="AH8" s="3"/>
      <c r="AI8" s="3"/>
      <c r="AJ8" s="3"/>
      <c r="AK8" s="3"/>
      <c r="AL8" s="3"/>
      <c r="AM8" s="3"/>
      <c r="AN8" s="3"/>
      <c r="AO8" s="3"/>
      <c r="AP8" s="3"/>
      <c r="AQ8" s="3"/>
      <c r="AR8" s="3"/>
      <c r="AS8" s="3"/>
      <c r="AT8" s="3"/>
      <c r="AU8" s="3"/>
      <c r="AV8" s="3"/>
      <c r="AW8" s="3"/>
      <c r="AX8" s="3"/>
      <c r="AY8" s="3"/>
      <c r="AZ8" s="3"/>
      <c r="BA8" s="3"/>
      <c r="BB8" s="3"/>
    </row>
    <row r="9" spans="1:54" x14ac:dyDescent="0.25">
      <c r="B9" s="13"/>
      <c r="C9" s="6" t="str">
        <f>Parameters!E199</f>
        <v>Available wells for workover (CCS)</v>
      </c>
      <c r="D9" s="145">
        <f>Parameters!G199</f>
        <v>10</v>
      </c>
      <c r="E9" s="35"/>
      <c r="F9" s="14"/>
      <c r="G9" s="686" t="str">
        <f>G88</f>
        <v>Capex workover wells</v>
      </c>
      <c r="H9" s="81">
        <f>H88</f>
        <v>35000000</v>
      </c>
      <c r="I9" s="35" t="str">
        <f>I88</f>
        <v>EUR</v>
      </c>
      <c r="J9" s="14"/>
      <c r="K9" s="884"/>
      <c r="L9" s="347"/>
      <c r="M9" s="703"/>
      <c r="N9" s="5"/>
      <c r="O9" s="14"/>
      <c r="P9" s="14"/>
      <c r="Q9" s="14"/>
      <c r="R9" s="14"/>
      <c r="S9" s="14"/>
      <c r="T9" s="14"/>
      <c r="U9" s="14"/>
      <c r="V9" s="14"/>
      <c r="W9" s="14"/>
      <c r="X9" s="14"/>
      <c r="Y9" s="14"/>
      <c r="Z9" s="15"/>
      <c r="AB9" s="3"/>
      <c r="AC9" s="3"/>
      <c r="AD9" s="3"/>
      <c r="AE9" s="3"/>
      <c r="AF9" s="3"/>
      <c r="AG9" s="3"/>
      <c r="AH9" s="3"/>
      <c r="AI9" s="3"/>
      <c r="AJ9" s="3"/>
      <c r="AK9" s="3"/>
      <c r="AL9" s="3"/>
      <c r="AM9" s="3"/>
      <c r="AN9" s="3"/>
      <c r="AO9" s="3"/>
      <c r="AP9" s="3"/>
      <c r="AQ9" s="3"/>
      <c r="AR9" s="3"/>
      <c r="AS9" s="3"/>
      <c r="AT9" s="3"/>
      <c r="AU9" s="3"/>
      <c r="AV9" s="3"/>
      <c r="AW9" s="3"/>
      <c r="AX9" s="3"/>
      <c r="AY9" s="3"/>
      <c r="AZ9" s="3"/>
      <c r="BA9" s="3"/>
      <c r="BB9" s="3"/>
    </row>
    <row r="10" spans="1:54" x14ac:dyDescent="0.25">
      <c r="B10" s="13"/>
      <c r="C10" s="6" t="str">
        <f>Parameters!E200</f>
        <v>Avg. Injectivity per well [Mton CO2/a]</v>
      </c>
      <c r="D10" s="145">
        <f>Parameters!G200</f>
        <v>1</v>
      </c>
      <c r="E10" s="35" t="str">
        <f>Parameters!F200</f>
        <v>Mton CO2/a</v>
      </c>
      <c r="F10" s="14"/>
      <c r="G10" s="686" t="str">
        <f>G90</f>
        <v>Decommissioning (P&amp;A) natural gas wells</v>
      </c>
      <c r="H10" s="81">
        <f>H90</f>
        <v>22222222.222222224</v>
      </c>
      <c r="I10" s="35" t="str">
        <f>I90</f>
        <v>EUR 2016</v>
      </c>
      <c r="J10" s="14"/>
      <c r="K10" s="114"/>
      <c r="L10" s="287"/>
      <c r="M10" s="154"/>
      <c r="N10" s="5"/>
      <c r="O10" s="14"/>
      <c r="P10" s="14"/>
      <c r="Q10" s="14"/>
      <c r="R10" s="14"/>
      <c r="S10" s="14"/>
      <c r="T10" s="14"/>
      <c r="U10" s="14"/>
      <c r="V10" s="14"/>
      <c r="W10" s="14"/>
      <c r="X10" s="14"/>
      <c r="Y10" s="14"/>
      <c r="Z10" s="15"/>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row>
    <row r="11" spans="1:54" x14ac:dyDescent="0.25">
      <c r="B11" s="13"/>
      <c r="C11" s="6" t="str">
        <f>Parameters!E115</f>
        <v>CO2 import</v>
      </c>
      <c r="D11" s="145">
        <f>Parameters!G115</f>
        <v>5</v>
      </c>
      <c r="E11" s="35" t="str">
        <f>Parameters!F115</f>
        <v>Mton / a</v>
      </c>
      <c r="F11" s="14"/>
      <c r="G11" s="686" t="str">
        <f>G92</f>
        <v>Decommissioning (P&amp;A) CO2 wells</v>
      </c>
      <c r="H11" s="81">
        <f>H92</f>
        <v>22222222.222222224</v>
      </c>
      <c r="I11" s="35" t="str">
        <f>I92</f>
        <v>EUR 2016</v>
      </c>
      <c r="J11" s="14"/>
      <c r="K11" s="114"/>
      <c r="L11" s="271"/>
      <c r="M11" s="154"/>
      <c r="N11" s="5"/>
      <c r="O11" s="14"/>
      <c r="P11" s="14"/>
      <c r="Q11" s="14"/>
      <c r="R11" s="14"/>
      <c r="S11" s="14"/>
      <c r="T11" s="14"/>
      <c r="U11" s="14"/>
      <c r="V11" s="14"/>
      <c r="W11" s="14"/>
      <c r="X11" s="14"/>
      <c r="Y11" s="14"/>
      <c r="Z11" s="15"/>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row>
    <row r="12" spans="1:54" x14ac:dyDescent="0.25">
      <c r="B12" s="13"/>
      <c r="C12" s="6" t="str">
        <f>Parameters!E201</f>
        <v>Initial well pressure [MPa]</v>
      </c>
      <c r="D12" s="145">
        <f>INDEX('DATABASE CO2 STORAGE'!$D$3:$U$6,MATCH(D6,'DATABASE CO2 STORAGE'!$D$3:$D$6,0),MATCH(C12,'DATABASE CO2 STORAGE'!$D$3:$U$3,0))</f>
        <v>2.5</v>
      </c>
      <c r="E12" s="35" t="str">
        <f>Parameters!F201</f>
        <v>MPa</v>
      </c>
      <c r="F12" s="14"/>
      <c r="G12" s="686" t="str">
        <f>G91</f>
        <v>Capex new offshore wells</v>
      </c>
      <c r="H12" s="81">
        <f>H91</f>
        <v>0</v>
      </c>
      <c r="I12" s="35" t="str">
        <f>I91</f>
        <v>EUR</v>
      </c>
      <c r="J12" s="14"/>
      <c r="K12" s="114"/>
      <c r="L12" s="271"/>
      <c r="M12" s="154"/>
      <c r="N12" s="5"/>
      <c r="O12" s="14"/>
      <c r="P12" s="14"/>
      <c r="Q12" s="14"/>
      <c r="R12" s="14"/>
      <c r="S12" s="14"/>
      <c r="T12" s="14"/>
      <c r="U12" s="14" t="s">
        <v>0</v>
      </c>
      <c r="V12" s="14"/>
      <c r="W12" s="14"/>
      <c r="X12" s="14"/>
      <c r="Y12" s="14"/>
      <c r="Z12" s="15"/>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row>
    <row r="13" spans="1:54" x14ac:dyDescent="0.25">
      <c r="B13" s="13"/>
      <c r="C13" s="6" t="str">
        <f>Parameters!E202</f>
        <v>Technical maximum reservoir end state [MPa]</v>
      </c>
      <c r="D13" s="145">
        <f>INDEX('DATABASE CO2 STORAGE'!$D$3:$U$6,MATCH(D6,'DATABASE CO2 STORAGE'!$D$3:$D$6,0),MATCH(C13,'DATABASE CO2 STORAGE'!$D$3:$U$3,0))</f>
        <v>40</v>
      </c>
      <c r="E13" s="35" t="str">
        <f>Parameters!F202</f>
        <v>MPa</v>
      </c>
      <c r="F13" s="14"/>
      <c r="G13" s="1170" t="str">
        <f>G95</f>
        <v>Total Opex wells</v>
      </c>
      <c r="H13" s="81">
        <f>H95</f>
        <v>700000</v>
      </c>
      <c r="I13" s="35" t="str">
        <f>I95</f>
        <v>EUR/a</v>
      </c>
      <c r="J13" s="14"/>
      <c r="K13" s="6"/>
      <c r="L13" s="2"/>
      <c r="M13" s="35"/>
      <c r="N13" s="5"/>
      <c r="O13" s="14"/>
      <c r="P13" s="14"/>
      <c r="Q13" s="14"/>
      <c r="R13" s="14"/>
      <c r="S13" s="14"/>
      <c r="T13" s="14"/>
      <c r="U13" s="14"/>
      <c r="V13" s="14"/>
      <c r="W13" s="14"/>
      <c r="X13" s="14"/>
      <c r="Y13" s="14"/>
      <c r="Z13" s="15"/>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row>
    <row r="14" spans="1:54" x14ac:dyDescent="0.25">
      <c r="B14" s="13"/>
      <c r="C14" s="884" t="str">
        <f>Parameters!E203</f>
        <v>Static pressure added by collum [MPa]</v>
      </c>
      <c r="D14" s="1099">
        <f>INDEX('DATABASE CO2 STORAGE'!$D$3:$U$6,MATCH(D6,'DATABASE CO2 STORAGE'!$D$3:$D$6,0),MATCH(C14,'DATABASE CO2 STORAGE'!$D$3:$U$3,0))</f>
        <v>33.103448275862071</v>
      </c>
      <c r="E14" s="703" t="str">
        <f>Parameters!F203</f>
        <v>MPa</v>
      </c>
      <c r="F14" s="14"/>
      <c r="G14" s="686" t="str">
        <f>G93</f>
        <v>Opex monitoring abandoned CO2 wells</v>
      </c>
      <c r="H14" s="81">
        <f>H93</f>
        <v>833333.33333333326</v>
      </c>
      <c r="I14" s="35" t="str">
        <f>I93</f>
        <v>EUR/a</v>
      </c>
      <c r="J14" s="14"/>
      <c r="K14" s="36"/>
      <c r="L14" s="37"/>
      <c r="M14" s="38"/>
      <c r="N14" s="5"/>
      <c r="O14" s="14"/>
      <c r="P14" s="14"/>
      <c r="Q14" s="14"/>
      <c r="R14" s="14"/>
      <c r="S14" s="14"/>
      <c r="T14" s="14"/>
      <c r="U14" s="14"/>
      <c r="V14" s="14"/>
      <c r="W14" s="14"/>
      <c r="X14" s="14"/>
      <c r="Y14" s="14"/>
      <c r="Z14" s="15"/>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row>
    <row r="15" spans="1:54" x14ac:dyDescent="0.25">
      <c r="B15" s="13"/>
      <c r="C15" s="6" t="str">
        <f>Parameters!E183</f>
        <v>Minimum injection pressure</v>
      </c>
      <c r="D15" s="145">
        <f>Parameters!G183</f>
        <v>8.3000000000000007</v>
      </c>
      <c r="E15" s="35" t="str">
        <f>Parameters!F183</f>
        <v>Mpa</v>
      </c>
      <c r="F15" s="14"/>
      <c r="G15" s="6" t="str">
        <f>Parameters!E217</f>
        <v>Energy for CO2 heating</v>
      </c>
      <c r="H15" s="81">
        <f>H68</f>
        <v>0</v>
      </c>
      <c r="I15" s="35" t="str">
        <f>I67</f>
        <v>MWh/a</v>
      </c>
      <c r="J15" s="14"/>
      <c r="K15" s="14"/>
      <c r="L15" s="14"/>
      <c r="M15" s="14"/>
      <c r="N15" s="5"/>
      <c r="O15" s="14"/>
      <c r="P15" s="14"/>
      <c r="Q15" s="14"/>
      <c r="R15" s="14"/>
      <c r="S15" s="14"/>
      <c r="T15" s="14"/>
      <c r="U15" s="14"/>
      <c r="V15" s="14"/>
      <c r="W15" s="14"/>
      <c r="X15" s="14"/>
      <c r="Y15" s="14"/>
      <c r="Z15" s="15"/>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row>
    <row r="16" spans="1:54" x14ac:dyDescent="0.25">
      <c r="B16" s="13"/>
      <c r="C16" s="6" t="str">
        <f>Parameters!E204</f>
        <v>Year booster required</v>
      </c>
      <c r="D16" s="31">
        <f>IFERROR(INDEX($D$43:$BO$45,MATCH($C$45,$C$43:$C$48,0),MATCH(1,$D$43:$BO$43,0))+D42-1,0)</f>
        <v>0</v>
      </c>
      <c r="E16" s="35"/>
      <c r="F16" s="14"/>
      <c r="G16" s="6" t="str">
        <f>Parameters!E195</f>
        <v>Heating and power generator</v>
      </c>
      <c r="H16" s="81">
        <f>D104</f>
        <v>0</v>
      </c>
      <c r="I16" s="35" t="str">
        <f>E104</f>
        <v>EUR 2008</v>
      </c>
      <c r="J16" s="14"/>
      <c r="K16" s="14"/>
      <c r="L16" s="14"/>
      <c r="M16" s="14"/>
      <c r="N16" s="14"/>
      <c r="O16" s="14"/>
      <c r="P16" s="14"/>
      <c r="Q16" s="14"/>
      <c r="R16" s="14"/>
      <c r="S16" s="14"/>
      <c r="T16" s="14"/>
      <c r="U16" s="14"/>
      <c r="V16" s="14"/>
      <c r="W16" s="14"/>
      <c r="X16" s="14"/>
      <c r="Y16" s="14"/>
      <c r="Z16" s="15"/>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row>
    <row r="17" spans="2:54" x14ac:dyDescent="0.25">
      <c r="B17" s="13"/>
      <c r="C17" s="6" t="str">
        <f>Parameters!$E$109</f>
        <v>Start operations</v>
      </c>
      <c r="D17" s="31">
        <f>Parameters!$G$109</f>
        <v>2033</v>
      </c>
      <c r="E17" s="35"/>
      <c r="F17" s="14"/>
      <c r="G17" s="36"/>
      <c r="H17" s="82"/>
      <c r="I17" s="38"/>
      <c r="J17" s="14"/>
      <c r="K17" s="14"/>
      <c r="L17" s="14"/>
      <c r="M17" s="14"/>
      <c r="N17" s="14"/>
      <c r="O17" s="14"/>
      <c r="P17" s="14"/>
      <c r="Q17" s="14"/>
      <c r="R17" s="14"/>
      <c r="S17" s="14"/>
      <c r="T17" s="14"/>
      <c r="U17" s="14"/>
      <c r="V17" s="14"/>
      <c r="W17" s="14"/>
      <c r="X17" s="14"/>
      <c r="Y17" s="14"/>
      <c r="Z17" s="15"/>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row>
    <row r="18" spans="2:54" x14ac:dyDescent="0.25">
      <c r="B18" s="13"/>
      <c r="C18" s="6" t="str">
        <f>Parameters!E110</f>
        <v>Stop operation</v>
      </c>
      <c r="D18" s="14">
        <f>Parameters!G110</f>
        <v>2048</v>
      </c>
      <c r="E18" s="35"/>
      <c r="F18" s="14"/>
      <c r="G18" s="14"/>
      <c r="H18" s="14"/>
      <c r="I18" s="14"/>
      <c r="J18" s="14"/>
      <c r="K18" s="14"/>
      <c r="L18" s="14"/>
      <c r="M18" s="14"/>
      <c r="N18" s="14"/>
      <c r="O18" s="14"/>
      <c r="P18" s="14"/>
      <c r="Q18" s="14"/>
      <c r="R18" s="14"/>
      <c r="S18" s="14"/>
      <c r="T18" s="14"/>
      <c r="U18" s="14"/>
      <c r="V18" s="14"/>
      <c r="W18" s="14"/>
      <c r="X18" s="14"/>
      <c r="Y18" s="14"/>
      <c r="Z18" s="15"/>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row>
    <row r="19" spans="2:54" x14ac:dyDescent="0.25">
      <c r="B19" s="13"/>
      <c r="C19" s="6" t="str">
        <f>Parameters!E206</f>
        <v>Yearly pressure increase</v>
      </c>
      <c r="D19" s="92">
        <f>(D13-D12)/P39</f>
        <v>1.5625</v>
      </c>
      <c r="E19" s="35" t="str">
        <f>Parameters!F206</f>
        <v>Mpa/a</v>
      </c>
      <c r="F19" s="14"/>
      <c r="G19" s="14"/>
      <c r="H19" s="14"/>
      <c r="I19" s="14"/>
      <c r="J19" s="14"/>
      <c r="K19" s="14"/>
      <c r="L19" s="14"/>
      <c r="M19" s="14"/>
      <c r="N19" s="14"/>
      <c r="O19" s="14"/>
      <c r="P19" s="14"/>
      <c r="Q19" s="14"/>
      <c r="R19" s="14"/>
      <c r="S19" s="14"/>
      <c r="T19" s="14"/>
      <c r="U19" s="14"/>
      <c r="V19" s="14"/>
      <c r="W19" s="14"/>
      <c r="X19" s="14"/>
      <c r="Y19" s="14"/>
      <c r="Z19" s="15"/>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row>
    <row r="20" spans="2:54" x14ac:dyDescent="0.25">
      <c r="B20" s="13"/>
      <c r="C20" s="6" t="str">
        <f>Parameters!E173</f>
        <v>Pump efficiency</v>
      </c>
      <c r="D20" s="75">
        <f>Parameters!G173</f>
        <v>0.75</v>
      </c>
      <c r="E20" s="35"/>
      <c r="F20" s="14"/>
      <c r="G20" s="14"/>
      <c r="H20" s="14"/>
      <c r="I20" s="14"/>
      <c r="J20" s="14"/>
      <c r="K20" s="14"/>
      <c r="L20" s="14"/>
      <c r="M20" s="14"/>
      <c r="N20" s="14"/>
      <c r="O20" s="14"/>
      <c r="P20" s="14"/>
      <c r="Q20" s="14"/>
      <c r="R20" s="14"/>
      <c r="S20" s="14"/>
      <c r="T20" s="14"/>
      <c r="U20" s="14"/>
      <c r="V20" s="14"/>
      <c r="W20" s="14"/>
      <c r="X20" s="14"/>
      <c r="Y20" s="14"/>
      <c r="Z20" s="15"/>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row>
    <row r="21" spans="2:54" x14ac:dyDescent="0.25">
      <c r="B21" s="13"/>
      <c r="C21" s="6" t="str">
        <f>Parameters!E111</f>
        <v>LHV</v>
      </c>
      <c r="D21" s="83">
        <f>Parameters!G111</f>
        <v>50</v>
      </c>
      <c r="E21" s="35" t="str">
        <f>Parameters!F111</f>
        <v>MJ / kg</v>
      </c>
      <c r="F21" s="14"/>
      <c r="G21" s="14"/>
      <c r="H21" s="14"/>
      <c r="I21" s="14"/>
      <c r="J21" s="14"/>
      <c r="K21" s="14"/>
      <c r="L21" s="14"/>
      <c r="M21" s="14"/>
      <c r="N21" s="14"/>
      <c r="O21" s="14"/>
      <c r="P21" s="14"/>
      <c r="Q21" s="14"/>
      <c r="R21" s="14"/>
      <c r="S21" s="14"/>
      <c r="T21" s="14"/>
      <c r="U21" s="14"/>
      <c r="V21" s="14"/>
      <c r="W21" s="14"/>
      <c r="X21" s="14"/>
      <c r="Y21" s="14"/>
      <c r="Z21" s="15"/>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row>
    <row r="22" spans="2:54" x14ac:dyDescent="0.25">
      <c r="B22" s="13"/>
      <c r="C22" s="6" t="str">
        <f>Parameters!E113</f>
        <v>Molair mass</v>
      </c>
      <c r="D22" s="83">
        <f>Parameters!G113</f>
        <v>16.042000000000002</v>
      </c>
      <c r="E22" s="35" t="str">
        <f>Parameters!F113</f>
        <v>g / mol</v>
      </c>
      <c r="F22" s="14"/>
      <c r="G22" s="14"/>
      <c r="H22" s="14"/>
      <c r="I22" s="14"/>
      <c r="J22" s="14"/>
      <c r="K22" s="14"/>
      <c r="L22" s="14"/>
      <c r="M22" s="14"/>
      <c r="N22" s="14"/>
      <c r="O22" s="14"/>
      <c r="P22" s="14"/>
      <c r="Q22" s="14"/>
      <c r="R22" s="14"/>
      <c r="S22" s="14"/>
      <c r="T22" s="14"/>
      <c r="U22" s="14"/>
      <c r="V22" s="14"/>
      <c r="W22" s="14"/>
      <c r="X22" s="14"/>
      <c r="Y22" s="14"/>
      <c r="Z22" s="15"/>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row>
    <row r="23" spans="2:54" x14ac:dyDescent="0.25">
      <c r="B23" s="13"/>
      <c r="C23" s="6" t="str">
        <f>Parameters!E114</f>
        <v>Density CO2</v>
      </c>
      <c r="D23" s="83">
        <f>Parameters!G114</f>
        <v>0.65600000000000003</v>
      </c>
      <c r="E23" s="35" t="str">
        <f>Parameters!F114</f>
        <v>kg / Nm³</v>
      </c>
      <c r="F23" s="14"/>
      <c r="G23" s="14"/>
      <c r="H23" s="14"/>
      <c r="I23" s="14"/>
      <c r="J23" s="14"/>
      <c r="K23" s="14"/>
      <c r="L23" s="14"/>
      <c r="M23" s="14"/>
      <c r="N23" s="14"/>
      <c r="O23" s="14"/>
      <c r="P23" s="14"/>
      <c r="Q23" s="14"/>
      <c r="R23" s="14"/>
      <c r="S23" s="14"/>
      <c r="T23" s="14"/>
      <c r="U23" s="14"/>
      <c r="V23" s="14"/>
      <c r="W23" s="14"/>
      <c r="X23" s="14"/>
      <c r="Y23" s="14"/>
      <c r="Z23" s="15"/>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row>
    <row r="24" spans="2:54" x14ac:dyDescent="0.25">
      <c r="B24" s="13"/>
      <c r="C24" s="6" t="str">
        <f>Parameters!E187</f>
        <v>Workover / new wells</v>
      </c>
      <c r="D24" s="83" t="str">
        <f>Parameters!G187</f>
        <v>workover</v>
      </c>
      <c r="E24" s="35"/>
      <c r="F24" s="14"/>
      <c r="G24" s="14"/>
      <c r="H24" s="14"/>
      <c r="I24" s="14"/>
      <c r="J24" s="14"/>
      <c r="K24" s="14"/>
      <c r="L24" s="14"/>
      <c r="M24" s="14"/>
      <c r="N24" s="14"/>
      <c r="O24" s="14"/>
      <c r="P24" s="14"/>
      <c r="Q24" s="14"/>
      <c r="R24" s="14"/>
      <c r="S24" s="14"/>
      <c r="T24" s="14"/>
      <c r="U24" s="14"/>
      <c r="V24" s="14"/>
      <c r="W24" s="14"/>
      <c r="X24" s="14"/>
      <c r="Y24" s="14"/>
      <c r="Z24" s="15"/>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row>
    <row r="25" spans="2:54" x14ac:dyDescent="0.25">
      <c r="B25" s="13"/>
      <c r="C25" s="6" t="str">
        <f>Parameters!E181</f>
        <v>Heating required CO2</v>
      </c>
      <c r="D25" s="83">
        <f>Parameters!G181</f>
        <v>0</v>
      </c>
      <c r="E25" s="35" t="str">
        <f>Parameters!F181</f>
        <v>kJ/kg</v>
      </c>
      <c r="F25" s="14"/>
      <c r="G25" s="14"/>
      <c r="H25" s="14"/>
      <c r="I25" s="14"/>
      <c r="J25" s="14"/>
      <c r="K25" s="14"/>
      <c r="L25" s="14"/>
      <c r="M25" s="14"/>
      <c r="N25" s="14"/>
      <c r="O25" s="14"/>
      <c r="P25" s="14"/>
      <c r="Q25" s="14"/>
      <c r="R25" s="14"/>
      <c r="S25" s="14"/>
      <c r="T25" s="14"/>
      <c r="U25" s="14"/>
      <c r="V25" s="14"/>
      <c r="W25" s="14"/>
      <c r="X25" s="14"/>
      <c r="Y25" s="14"/>
      <c r="Z25" s="15"/>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row>
    <row r="26" spans="2:54" x14ac:dyDescent="0.25">
      <c r="B26" s="13"/>
      <c r="C26" s="6" t="str">
        <f>Parameters!E184</f>
        <v>Reservoir volume used without pumping</v>
      </c>
      <c r="D26" s="183">
        <f>Parameters!G184</f>
        <v>0.8</v>
      </c>
      <c r="E26" s="35" t="str">
        <f>Parameters!F184</f>
        <v>%</v>
      </c>
      <c r="F26" s="14"/>
      <c r="G26" s="14"/>
      <c r="H26" s="14"/>
      <c r="I26" s="14"/>
      <c r="J26" s="14"/>
      <c r="K26" s="14"/>
      <c r="L26" s="14"/>
      <c r="M26" s="14"/>
      <c r="N26" s="14"/>
      <c r="O26" s="14"/>
      <c r="P26" s="14"/>
      <c r="Q26" s="14"/>
      <c r="R26" s="14"/>
      <c r="S26" s="14"/>
      <c r="T26" s="14"/>
      <c r="U26" s="14"/>
      <c r="V26" s="14"/>
      <c r="W26" s="14"/>
      <c r="X26" s="14"/>
      <c r="Y26" s="14"/>
      <c r="Z26" s="15"/>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row>
    <row r="27" spans="2:54" x14ac:dyDescent="0.25">
      <c r="B27" s="13"/>
      <c r="C27" s="6" t="str">
        <f>Parameters!E104</f>
        <v>Number of required producing wells NG</v>
      </c>
      <c r="D27" s="83">
        <f>Parameters!G104</f>
        <v>10</v>
      </c>
      <c r="E27" s="35" t="str">
        <f>Parameters!F104</f>
        <v>-</v>
      </c>
      <c r="F27" s="14"/>
      <c r="G27" s="14"/>
      <c r="H27" s="14"/>
      <c r="I27" s="14"/>
      <c r="J27" s="14"/>
      <c r="K27" s="14"/>
      <c r="L27" s="14"/>
      <c r="M27" s="14"/>
      <c r="N27" s="14"/>
      <c r="O27" s="14"/>
      <c r="P27" s="14"/>
      <c r="Q27" s="14"/>
      <c r="R27" s="14"/>
      <c r="S27" s="14"/>
      <c r="T27" s="14"/>
      <c r="U27" s="14"/>
      <c r="V27" s="14"/>
      <c r="W27" s="14"/>
      <c r="X27" s="14"/>
      <c r="Y27" s="14"/>
      <c r="Z27" s="15"/>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row>
    <row r="28" spans="2:54" x14ac:dyDescent="0.25">
      <c r="B28" s="13"/>
      <c r="C28" s="36" t="str">
        <f>Parameters!E182</f>
        <v>Max pressure CO2 heating</v>
      </c>
      <c r="D28" s="186">
        <f>Parameters!G182</f>
        <v>3.5</v>
      </c>
      <c r="E28" s="38" t="str">
        <f>Parameters!F182</f>
        <v>Mpa</v>
      </c>
      <c r="F28" s="14"/>
      <c r="G28" s="14"/>
      <c r="H28" s="14"/>
      <c r="I28" s="14"/>
      <c r="J28" s="14"/>
      <c r="K28" s="14"/>
      <c r="L28" s="14"/>
      <c r="M28" s="14"/>
      <c r="N28" s="14"/>
      <c r="O28" s="14"/>
      <c r="P28" s="14"/>
      <c r="Q28" s="14"/>
      <c r="R28" s="14"/>
      <c r="S28" s="14"/>
      <c r="T28" s="14"/>
      <c r="U28" s="14"/>
      <c r="V28" s="14"/>
      <c r="W28" s="14"/>
      <c r="X28" s="14"/>
      <c r="Y28" s="14"/>
      <c r="Z28" s="15"/>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2:54" x14ac:dyDescent="0.25">
      <c r="B29" s="13"/>
      <c r="C29" s="5"/>
      <c r="D29" s="5"/>
      <c r="E29" s="5"/>
      <c r="F29" s="14"/>
      <c r="G29" s="14"/>
      <c r="H29" s="14"/>
      <c r="I29" s="14"/>
      <c r="J29" s="14"/>
      <c r="K29" s="14"/>
      <c r="L29" s="14"/>
      <c r="M29" s="14"/>
      <c r="N29" s="14"/>
      <c r="O29" s="14"/>
      <c r="P29" s="14"/>
      <c r="Q29" s="14"/>
      <c r="R29" s="14"/>
      <c r="S29" s="14"/>
      <c r="T29" s="14"/>
      <c r="U29" s="14"/>
      <c r="V29" s="14"/>
      <c r="W29" s="14"/>
      <c r="X29" s="14"/>
      <c r="Y29" s="14"/>
      <c r="Z29" s="15"/>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row>
    <row r="30" spans="2:54" x14ac:dyDescent="0.25">
      <c r="B30" s="13"/>
      <c r="C30" s="14"/>
      <c r="D30" s="14"/>
      <c r="E30" s="14"/>
      <c r="F30" s="14"/>
      <c r="G30" s="14"/>
      <c r="H30" s="14"/>
      <c r="I30" s="14"/>
      <c r="J30" s="14"/>
      <c r="K30" s="14"/>
      <c r="L30" s="14"/>
      <c r="M30" s="14"/>
      <c r="N30" s="14"/>
      <c r="O30" s="14"/>
      <c r="P30" s="14"/>
      <c r="Q30" s="14"/>
      <c r="R30" s="14"/>
      <c r="S30" s="14"/>
      <c r="T30" s="14"/>
      <c r="U30" s="14"/>
      <c r="V30" s="14"/>
      <c r="W30" s="14"/>
      <c r="X30" s="14"/>
      <c r="Y30" s="14"/>
      <c r="Z30" s="15"/>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row>
    <row r="31" spans="2:54" x14ac:dyDescent="0.25">
      <c r="B31" s="13"/>
      <c r="C31" s="42" t="s">
        <v>5</v>
      </c>
      <c r="D31" s="14"/>
      <c r="E31" s="14"/>
      <c r="F31" s="14"/>
      <c r="G31" s="14"/>
      <c r="H31" s="14"/>
      <c r="I31" s="14"/>
      <c r="J31" s="14"/>
      <c r="K31" s="14"/>
      <c r="L31" s="14"/>
      <c r="M31" s="14"/>
      <c r="N31" s="14"/>
      <c r="O31" s="14"/>
      <c r="P31" s="14"/>
      <c r="Q31" s="14"/>
      <c r="R31" s="14"/>
      <c r="S31" s="14"/>
      <c r="T31" s="14"/>
      <c r="U31" s="14"/>
      <c r="V31" s="14"/>
      <c r="W31" s="14"/>
      <c r="X31" s="14"/>
      <c r="Y31" s="14"/>
      <c r="Z31" s="15"/>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row>
    <row r="32" spans="2:54" x14ac:dyDescent="0.25">
      <c r="B32" s="13"/>
      <c r="C32" s="39" t="s">
        <v>6</v>
      </c>
      <c r="D32" s="40"/>
      <c r="E32" s="41"/>
      <c r="F32" s="14"/>
      <c r="G32" s="39" t="s">
        <v>569</v>
      </c>
      <c r="H32" s="40"/>
      <c r="I32" s="41"/>
      <c r="J32" s="14"/>
      <c r="K32" s="39" t="s">
        <v>569</v>
      </c>
      <c r="L32" s="40"/>
      <c r="M32" s="41"/>
      <c r="N32" s="14"/>
      <c r="O32" s="39" t="s">
        <v>8</v>
      </c>
      <c r="P32" s="40"/>
      <c r="Q32" s="41"/>
      <c r="R32" s="14"/>
      <c r="S32" s="14"/>
      <c r="T32" s="14"/>
      <c r="U32" s="14"/>
      <c r="V32" s="14"/>
      <c r="W32" s="14"/>
      <c r="X32" s="14"/>
      <c r="Y32" s="14"/>
      <c r="Z32" s="15"/>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row>
    <row r="33" spans="1:68" x14ac:dyDescent="0.25">
      <c r="B33" s="13"/>
      <c r="C33" s="14"/>
      <c r="D33" s="14"/>
      <c r="E33" s="14"/>
      <c r="F33" s="14"/>
      <c r="G33" s="14"/>
      <c r="H33" s="14"/>
      <c r="I33" s="14"/>
      <c r="J33" s="14"/>
      <c r="K33" s="14"/>
      <c r="L33" s="14"/>
      <c r="M33" s="14"/>
      <c r="N33" s="14"/>
      <c r="O33" s="14"/>
      <c r="P33" s="14"/>
      <c r="Q33" s="14"/>
      <c r="R33" s="14"/>
      <c r="S33" s="14"/>
      <c r="T33" s="14"/>
      <c r="U33" s="14"/>
      <c r="V33" s="14"/>
      <c r="W33" s="14"/>
      <c r="X33" s="14"/>
      <c r="Y33" s="14"/>
      <c r="Z33" s="15"/>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row>
    <row r="34" spans="1:68" x14ac:dyDescent="0.25">
      <c r="B34" s="13"/>
      <c r="C34" s="122"/>
      <c r="D34" s="33"/>
      <c r="E34" s="34"/>
      <c r="F34" s="14"/>
      <c r="G34" s="32"/>
      <c r="H34" s="33"/>
      <c r="I34" s="34"/>
      <c r="J34" s="5"/>
      <c r="K34" s="32"/>
      <c r="L34" s="33"/>
      <c r="M34" s="34"/>
      <c r="N34" s="14"/>
      <c r="O34" s="32"/>
      <c r="P34" s="33"/>
      <c r="Q34" s="34"/>
      <c r="R34" s="14"/>
      <c r="S34" s="14"/>
      <c r="T34" s="14"/>
      <c r="U34" s="14"/>
      <c r="V34" s="14"/>
      <c r="W34" s="14"/>
      <c r="X34" s="14"/>
      <c r="Y34" s="14"/>
      <c r="Z34" s="15"/>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row>
    <row r="35" spans="1:68" x14ac:dyDescent="0.25">
      <c r="B35" s="13"/>
      <c r="C35" s="108" t="str">
        <f>'CO2 PIPELINE'!K30</f>
        <v>CO2 tranported hour</v>
      </c>
      <c r="D35" s="81">
        <f>'CO2 PIPELINE'!L30</f>
        <v>570776.25570776255</v>
      </c>
      <c r="E35" s="35" t="str">
        <f>'CO2 PIPELINE'!M30</f>
        <v>kg/hour</v>
      </c>
      <c r="F35" s="14"/>
      <c r="G35" s="108" t="str">
        <f t="shared" ref="G35:I38" si="2">C35</f>
        <v>CO2 tranported hour</v>
      </c>
      <c r="H35" s="81">
        <f t="shared" si="2"/>
        <v>570776.25570776255</v>
      </c>
      <c r="I35" s="35" t="str">
        <f t="shared" si="2"/>
        <v>kg/hour</v>
      </c>
      <c r="J35" s="5"/>
      <c r="K35" s="6" t="str">
        <f t="shared" ref="K35:M35" si="3">C7</f>
        <v>Available field capacity</v>
      </c>
      <c r="L35" s="137">
        <f t="shared" si="3"/>
        <v>120</v>
      </c>
      <c r="M35" s="35" t="str">
        <f t="shared" si="3"/>
        <v>Mton CO2</v>
      </c>
      <c r="N35" s="14"/>
      <c r="O35" s="108" t="s">
        <v>134</v>
      </c>
      <c r="P35" s="81">
        <f>D35</f>
        <v>570776.25570776255</v>
      </c>
      <c r="Q35" s="35" t="str">
        <f>E35</f>
        <v>kg/hour</v>
      </c>
      <c r="R35" s="14"/>
      <c r="S35" s="14"/>
      <c r="T35" s="14"/>
      <c r="U35" s="14"/>
      <c r="V35" s="14"/>
      <c r="W35" s="14"/>
      <c r="X35" s="14"/>
      <c r="Y35" s="14"/>
      <c r="Z35" s="15"/>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row>
    <row r="36" spans="1:68" x14ac:dyDescent="0.25">
      <c r="B36" s="13"/>
      <c r="C36" s="108" t="str">
        <f>'CO2 PIPELINE'!K31</f>
        <v>CO2 tranported sec</v>
      </c>
      <c r="D36" s="77">
        <f>'CO2 PIPELINE'!L31</f>
        <v>158.54895991882293</v>
      </c>
      <c r="E36" s="35" t="str">
        <f>'CO2 PIPELINE'!M31</f>
        <v>kg/s</v>
      </c>
      <c r="F36" s="14"/>
      <c r="G36" s="108" t="str">
        <f t="shared" si="2"/>
        <v>CO2 tranported sec</v>
      </c>
      <c r="H36" s="77">
        <f t="shared" si="2"/>
        <v>158.54895991882293</v>
      </c>
      <c r="I36" s="35" t="str">
        <f t="shared" si="2"/>
        <v>kg/s</v>
      </c>
      <c r="J36" s="5"/>
      <c r="K36" s="6" t="str">
        <f>C11</f>
        <v>CO2 import</v>
      </c>
      <c r="L36" s="80">
        <f>D11</f>
        <v>5</v>
      </c>
      <c r="M36" s="35" t="str">
        <f>E11</f>
        <v>Mton / a</v>
      </c>
      <c r="N36" s="14"/>
      <c r="O36" s="108" t="s">
        <v>134</v>
      </c>
      <c r="P36" s="81">
        <f>D36</f>
        <v>158.54895991882293</v>
      </c>
      <c r="Q36" s="35" t="str">
        <f>E36</f>
        <v>kg/s</v>
      </c>
      <c r="R36" s="14"/>
      <c r="S36" s="14"/>
      <c r="T36" s="14"/>
      <c r="U36" s="14"/>
      <c r="V36" s="14"/>
      <c r="W36" s="14"/>
      <c r="X36" s="14"/>
      <c r="Y36" s="14"/>
      <c r="Z36" s="15"/>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row>
    <row r="37" spans="1:68" x14ac:dyDescent="0.25">
      <c r="B37" s="13"/>
      <c r="C37" s="108" t="str">
        <f>'CO2 PIPELINE'!K32</f>
        <v>CO2 tranported year</v>
      </c>
      <c r="D37" s="77">
        <f>'CO2 PIPELINE'!L32</f>
        <v>5</v>
      </c>
      <c r="E37" s="35" t="str">
        <f>'CO2 PIPELINE'!M32</f>
        <v>Mt/y</v>
      </c>
      <c r="F37" s="14"/>
      <c r="G37" s="108" t="str">
        <f t="shared" si="2"/>
        <v>CO2 tranported year</v>
      </c>
      <c r="H37" s="77">
        <f t="shared" si="2"/>
        <v>5</v>
      </c>
      <c r="I37" s="35" t="str">
        <f t="shared" si="2"/>
        <v>Mt/y</v>
      </c>
      <c r="J37" s="5"/>
      <c r="K37" s="6"/>
      <c r="L37" s="2"/>
      <c r="M37" s="35"/>
      <c r="N37" s="14"/>
      <c r="O37" s="6" t="str">
        <f>Parameters!E118</f>
        <v>Annual CO2 stored</v>
      </c>
      <c r="P37" s="81">
        <f>L36</f>
        <v>5</v>
      </c>
      <c r="Q37" s="35" t="str">
        <f>M36</f>
        <v>Mton / a</v>
      </c>
      <c r="R37" s="14"/>
      <c r="S37" s="14"/>
      <c r="T37" s="14"/>
      <c r="U37" s="14"/>
      <c r="V37" s="14"/>
      <c r="W37" s="14"/>
      <c r="X37" s="14"/>
      <c r="Y37" s="14"/>
      <c r="Z37" s="15"/>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row>
    <row r="38" spans="1:68" x14ac:dyDescent="0.25">
      <c r="B38" s="13"/>
      <c r="C38" s="108" t="str">
        <f>'CO2 PIPELINE'!K33</f>
        <v>Temperature</v>
      </c>
      <c r="D38" s="77">
        <f>'CO2 PIPELINE'!L33</f>
        <v>277.39999999999998</v>
      </c>
      <c r="E38" s="96" t="str">
        <f>'CO2 PIPELINE'!M33</f>
        <v>K</v>
      </c>
      <c r="F38" s="14"/>
      <c r="G38" s="108" t="str">
        <f t="shared" si="2"/>
        <v>Temperature</v>
      </c>
      <c r="H38" s="2">
        <f t="shared" si="2"/>
        <v>277.39999999999998</v>
      </c>
      <c r="I38" s="35" t="str">
        <f t="shared" si="2"/>
        <v>K</v>
      </c>
      <c r="J38" s="5"/>
      <c r="K38" s="6" t="s">
        <v>109</v>
      </c>
      <c r="L38" s="133">
        <f>D12</f>
        <v>2.5</v>
      </c>
      <c r="M38" s="35" t="s">
        <v>29</v>
      </c>
      <c r="N38" s="14"/>
      <c r="O38" s="6" t="str">
        <f>C19</f>
        <v>Yearly pressure increase</v>
      </c>
      <c r="P38" s="85">
        <f>(D13-D12)/P39</f>
        <v>1.5625</v>
      </c>
      <c r="Q38" s="35" t="str">
        <f>Parameters!F206</f>
        <v>Mpa/a</v>
      </c>
      <c r="R38" s="14"/>
      <c r="S38" s="14"/>
      <c r="T38" s="14"/>
      <c r="U38" s="14"/>
      <c r="V38" s="14"/>
      <c r="W38" s="14"/>
      <c r="X38" s="14"/>
      <c r="Y38" s="14"/>
      <c r="Z38" s="15"/>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row>
    <row r="39" spans="1:68" x14ac:dyDescent="0.25">
      <c r="B39" s="13"/>
      <c r="C39" s="108" t="s">
        <v>129</v>
      </c>
      <c r="D39" s="77">
        <f>'CO2 PIPELINE'!L34</f>
        <v>8.8000000000000007</v>
      </c>
      <c r="E39" s="35" t="str">
        <f>'CO2 PIPELINE'!M34</f>
        <v>Mpa</v>
      </c>
      <c r="F39" s="14"/>
      <c r="G39" s="108" t="s">
        <v>130</v>
      </c>
      <c r="H39" s="85">
        <f>D39+D14</f>
        <v>41.903448275862075</v>
      </c>
      <c r="I39" s="35" t="str">
        <f>E39</f>
        <v>Mpa</v>
      </c>
      <c r="J39" s="5"/>
      <c r="K39" s="6"/>
      <c r="L39" s="143"/>
      <c r="M39" s="35"/>
      <c r="N39" s="14"/>
      <c r="O39" s="6" t="s">
        <v>110</v>
      </c>
      <c r="P39" s="143">
        <f>L35/P37</f>
        <v>24</v>
      </c>
      <c r="Q39" s="35" t="s">
        <v>111</v>
      </c>
      <c r="R39" s="14"/>
      <c r="S39" s="14"/>
      <c r="T39" s="14"/>
      <c r="U39" s="14"/>
      <c r="V39" s="14"/>
      <c r="W39" s="14"/>
      <c r="X39" s="14"/>
      <c r="Y39" s="14"/>
      <c r="Z39" s="15"/>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row>
    <row r="40" spans="1:68" x14ac:dyDescent="0.25">
      <c r="B40" s="13"/>
      <c r="C40" s="6"/>
      <c r="D40" s="175"/>
      <c r="E40" s="35"/>
      <c r="F40" s="14"/>
      <c r="G40" s="6"/>
      <c r="H40" s="2"/>
      <c r="I40" s="35"/>
      <c r="J40" s="5"/>
      <c r="K40" s="6"/>
      <c r="L40" s="2"/>
      <c r="M40" s="35"/>
      <c r="N40" s="14"/>
      <c r="O40" s="6"/>
      <c r="P40" s="2"/>
      <c r="Q40" s="35"/>
      <c r="R40" s="14"/>
      <c r="S40" s="14"/>
      <c r="T40" s="14"/>
      <c r="U40" s="14"/>
      <c r="V40" s="14"/>
      <c r="W40" s="14"/>
      <c r="X40" s="14"/>
      <c r="Y40" s="14"/>
      <c r="Z40" s="15"/>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row>
    <row r="41" spans="1:68" s="9" customFormat="1" x14ac:dyDescent="0.25">
      <c r="A41" s="4"/>
      <c r="B41" s="13"/>
      <c r="C41" s="176"/>
      <c r="D41" s="11"/>
      <c r="E41" s="11"/>
      <c r="F41" s="14"/>
      <c r="G41" s="11"/>
      <c r="H41" s="11"/>
      <c r="I41" s="11"/>
      <c r="J41" s="14"/>
      <c r="K41" s="11"/>
      <c r="L41" s="11"/>
      <c r="M41" s="11"/>
      <c r="N41" s="14"/>
      <c r="O41" s="11"/>
      <c r="P41" s="11"/>
      <c r="Q41" s="11"/>
      <c r="R41" s="14"/>
      <c r="S41" s="14"/>
      <c r="T41" s="14"/>
      <c r="U41" s="14"/>
      <c r="V41" s="14"/>
      <c r="W41" s="14"/>
      <c r="X41" s="14"/>
      <c r="Y41" s="14"/>
      <c r="Z41" s="15"/>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7"/>
      <c r="BD41" s="7"/>
      <c r="BE41" s="7"/>
      <c r="BF41" s="7"/>
      <c r="BG41" s="7"/>
      <c r="BH41" s="7"/>
      <c r="BI41" s="7"/>
      <c r="BJ41" s="7"/>
      <c r="BK41" s="7"/>
      <c r="BL41" s="7"/>
    </row>
    <row r="42" spans="1:68" x14ac:dyDescent="0.25">
      <c r="B42" s="13"/>
      <c r="C42" s="89" t="s">
        <v>121</v>
      </c>
      <c r="D42" s="120">
        <f>D17</f>
        <v>2033</v>
      </c>
      <c r="E42" s="120">
        <f>D42+1</f>
        <v>2034</v>
      </c>
      <c r="F42" s="120">
        <f>E42+1</f>
        <v>2035</v>
      </c>
      <c r="G42" s="120">
        <f>F42+1</f>
        <v>2036</v>
      </c>
      <c r="H42" s="120">
        <f>G42+1</f>
        <v>2037</v>
      </c>
      <c r="I42" s="120">
        <f t="shared" ref="I42:BP42" si="4">H42+1</f>
        <v>2038</v>
      </c>
      <c r="J42" s="120">
        <f t="shared" si="4"/>
        <v>2039</v>
      </c>
      <c r="K42" s="120">
        <f t="shared" si="4"/>
        <v>2040</v>
      </c>
      <c r="L42" s="120">
        <f t="shared" si="4"/>
        <v>2041</v>
      </c>
      <c r="M42" s="120">
        <f t="shared" si="4"/>
        <v>2042</v>
      </c>
      <c r="N42" s="120">
        <f t="shared" si="4"/>
        <v>2043</v>
      </c>
      <c r="O42" s="120">
        <f t="shared" si="4"/>
        <v>2044</v>
      </c>
      <c r="P42" s="120">
        <f t="shared" si="4"/>
        <v>2045</v>
      </c>
      <c r="Q42" s="120">
        <f t="shared" si="4"/>
        <v>2046</v>
      </c>
      <c r="R42" s="120">
        <f t="shared" si="4"/>
        <v>2047</v>
      </c>
      <c r="S42" s="120">
        <f t="shared" si="4"/>
        <v>2048</v>
      </c>
      <c r="T42" s="120">
        <f t="shared" si="4"/>
        <v>2049</v>
      </c>
      <c r="U42" s="120">
        <f t="shared" si="4"/>
        <v>2050</v>
      </c>
      <c r="V42" s="120">
        <f t="shared" si="4"/>
        <v>2051</v>
      </c>
      <c r="W42" s="120">
        <f t="shared" si="4"/>
        <v>2052</v>
      </c>
      <c r="X42" s="120">
        <f t="shared" si="4"/>
        <v>2053</v>
      </c>
      <c r="Y42" s="120">
        <f t="shared" si="4"/>
        <v>2054</v>
      </c>
      <c r="Z42" s="120">
        <f t="shared" si="4"/>
        <v>2055</v>
      </c>
      <c r="AA42" s="120">
        <f t="shared" si="4"/>
        <v>2056</v>
      </c>
      <c r="AB42" s="120">
        <f t="shared" si="4"/>
        <v>2057</v>
      </c>
      <c r="AC42" s="120">
        <f t="shared" si="4"/>
        <v>2058</v>
      </c>
      <c r="AD42" s="120">
        <f t="shared" si="4"/>
        <v>2059</v>
      </c>
      <c r="AE42" s="120">
        <f t="shared" si="4"/>
        <v>2060</v>
      </c>
      <c r="AF42" s="120">
        <f t="shared" si="4"/>
        <v>2061</v>
      </c>
      <c r="AG42" s="120">
        <f t="shared" si="4"/>
        <v>2062</v>
      </c>
      <c r="AH42" s="120">
        <f t="shared" si="4"/>
        <v>2063</v>
      </c>
      <c r="AI42" s="120">
        <f t="shared" si="4"/>
        <v>2064</v>
      </c>
      <c r="AJ42" s="120">
        <f t="shared" si="4"/>
        <v>2065</v>
      </c>
      <c r="AK42" s="120">
        <f t="shared" si="4"/>
        <v>2066</v>
      </c>
      <c r="AL42" s="120">
        <f t="shared" si="4"/>
        <v>2067</v>
      </c>
      <c r="AM42" s="120">
        <f t="shared" si="4"/>
        <v>2068</v>
      </c>
      <c r="AN42" s="120">
        <f t="shared" si="4"/>
        <v>2069</v>
      </c>
      <c r="AO42" s="120">
        <f t="shared" si="4"/>
        <v>2070</v>
      </c>
      <c r="AP42" s="120">
        <f t="shared" si="4"/>
        <v>2071</v>
      </c>
      <c r="AQ42" s="120">
        <f t="shared" si="4"/>
        <v>2072</v>
      </c>
      <c r="AR42" s="120">
        <f t="shared" si="4"/>
        <v>2073</v>
      </c>
      <c r="AS42" s="120">
        <f t="shared" si="4"/>
        <v>2074</v>
      </c>
      <c r="AT42" s="120">
        <f t="shared" si="4"/>
        <v>2075</v>
      </c>
      <c r="AU42" s="120">
        <f t="shared" si="4"/>
        <v>2076</v>
      </c>
      <c r="AV42" s="120">
        <f t="shared" si="4"/>
        <v>2077</v>
      </c>
      <c r="AW42" s="120">
        <f t="shared" si="4"/>
        <v>2078</v>
      </c>
      <c r="AX42" s="120">
        <f t="shared" si="4"/>
        <v>2079</v>
      </c>
      <c r="AY42" s="120">
        <f t="shared" si="4"/>
        <v>2080</v>
      </c>
      <c r="AZ42" s="120">
        <f t="shared" si="4"/>
        <v>2081</v>
      </c>
      <c r="BA42" s="120">
        <f t="shared" si="4"/>
        <v>2082</v>
      </c>
      <c r="BB42" s="120">
        <f t="shared" si="4"/>
        <v>2083</v>
      </c>
      <c r="BC42" s="120">
        <f t="shared" si="4"/>
        <v>2084</v>
      </c>
      <c r="BD42" s="120">
        <f t="shared" si="4"/>
        <v>2085</v>
      </c>
      <c r="BE42" s="120">
        <f t="shared" si="4"/>
        <v>2086</v>
      </c>
      <c r="BF42" s="120">
        <f t="shared" si="4"/>
        <v>2087</v>
      </c>
      <c r="BG42" s="120">
        <f t="shared" si="4"/>
        <v>2088</v>
      </c>
      <c r="BH42" s="120">
        <f t="shared" si="4"/>
        <v>2089</v>
      </c>
      <c r="BI42" s="120">
        <f t="shared" si="4"/>
        <v>2090</v>
      </c>
      <c r="BJ42" s="120">
        <f t="shared" si="4"/>
        <v>2091</v>
      </c>
      <c r="BK42" s="120">
        <f t="shared" si="4"/>
        <v>2092</v>
      </c>
      <c r="BL42" s="120">
        <f t="shared" si="4"/>
        <v>2093</v>
      </c>
      <c r="BM42" s="120">
        <f t="shared" si="4"/>
        <v>2094</v>
      </c>
      <c r="BN42" s="120">
        <f t="shared" si="4"/>
        <v>2095</v>
      </c>
      <c r="BO42" s="120">
        <f t="shared" si="4"/>
        <v>2096</v>
      </c>
      <c r="BP42" s="120">
        <f t="shared" si="4"/>
        <v>2097</v>
      </c>
    </row>
    <row r="43" spans="1:68" x14ac:dyDescent="0.25">
      <c r="B43" s="13"/>
      <c r="C43" s="120" t="s">
        <v>846</v>
      </c>
      <c r="D43" s="120">
        <f>IF(D48=0,0,1)</f>
        <v>0</v>
      </c>
      <c r="E43" s="120">
        <f t="shared" ref="E43:BO43" si="5">IF(E48=0,0,1)</f>
        <v>0</v>
      </c>
      <c r="F43" s="120">
        <f t="shared" si="5"/>
        <v>0</v>
      </c>
      <c r="G43" s="120">
        <f t="shared" si="5"/>
        <v>0</v>
      </c>
      <c r="H43" s="120">
        <f t="shared" si="5"/>
        <v>0</v>
      </c>
      <c r="I43" s="120">
        <f t="shared" si="5"/>
        <v>0</v>
      </c>
      <c r="J43" s="120">
        <f t="shared" si="5"/>
        <v>0</v>
      </c>
      <c r="K43" s="120">
        <f t="shared" si="5"/>
        <v>0</v>
      </c>
      <c r="L43" s="120">
        <f t="shared" si="5"/>
        <v>0</v>
      </c>
      <c r="M43" s="120">
        <f t="shared" si="5"/>
        <v>0</v>
      </c>
      <c r="N43" s="120">
        <f t="shared" si="5"/>
        <v>0</v>
      </c>
      <c r="O43" s="120">
        <f t="shared" si="5"/>
        <v>0</v>
      </c>
      <c r="P43" s="120">
        <f t="shared" si="5"/>
        <v>0</v>
      </c>
      <c r="Q43" s="120">
        <f t="shared" si="5"/>
        <v>0</v>
      </c>
      <c r="R43" s="120">
        <f t="shared" si="5"/>
        <v>0</v>
      </c>
      <c r="S43" s="120">
        <f t="shared" si="5"/>
        <v>0</v>
      </c>
      <c r="T43" s="120">
        <f t="shared" si="5"/>
        <v>0</v>
      </c>
      <c r="U43" s="120">
        <f t="shared" si="5"/>
        <v>0</v>
      </c>
      <c r="V43" s="120">
        <f t="shared" si="5"/>
        <v>0</v>
      </c>
      <c r="W43" s="120">
        <f t="shared" si="5"/>
        <v>0</v>
      </c>
      <c r="X43" s="120">
        <f t="shared" si="5"/>
        <v>0</v>
      </c>
      <c r="Y43" s="120">
        <f t="shared" si="5"/>
        <v>0</v>
      </c>
      <c r="Z43" s="120">
        <f t="shared" si="5"/>
        <v>0</v>
      </c>
      <c r="AA43" s="120">
        <f t="shared" si="5"/>
        <v>0</v>
      </c>
      <c r="AB43" s="120">
        <f t="shared" si="5"/>
        <v>0</v>
      </c>
      <c r="AC43" s="120">
        <f t="shared" si="5"/>
        <v>0</v>
      </c>
      <c r="AD43" s="120">
        <f t="shared" si="5"/>
        <v>0</v>
      </c>
      <c r="AE43" s="120">
        <f t="shared" si="5"/>
        <v>0</v>
      </c>
      <c r="AF43" s="120">
        <f t="shared" si="5"/>
        <v>0</v>
      </c>
      <c r="AG43" s="120">
        <f t="shared" si="5"/>
        <v>0</v>
      </c>
      <c r="AH43" s="120">
        <f t="shared" si="5"/>
        <v>0</v>
      </c>
      <c r="AI43" s="120">
        <f t="shared" si="5"/>
        <v>0</v>
      </c>
      <c r="AJ43" s="120">
        <f t="shared" si="5"/>
        <v>0</v>
      </c>
      <c r="AK43" s="120">
        <f t="shared" si="5"/>
        <v>0</v>
      </c>
      <c r="AL43" s="120">
        <f t="shared" si="5"/>
        <v>0</v>
      </c>
      <c r="AM43" s="120">
        <f t="shared" si="5"/>
        <v>0</v>
      </c>
      <c r="AN43" s="120">
        <f t="shared" si="5"/>
        <v>0</v>
      </c>
      <c r="AO43" s="120">
        <f t="shared" si="5"/>
        <v>0</v>
      </c>
      <c r="AP43" s="120">
        <f t="shared" si="5"/>
        <v>0</v>
      </c>
      <c r="AQ43" s="120">
        <f t="shared" si="5"/>
        <v>0</v>
      </c>
      <c r="AR43" s="120">
        <f t="shared" si="5"/>
        <v>0</v>
      </c>
      <c r="AS43" s="120">
        <f t="shared" si="5"/>
        <v>0</v>
      </c>
      <c r="AT43" s="120">
        <f t="shared" si="5"/>
        <v>0</v>
      </c>
      <c r="AU43" s="120">
        <f t="shared" si="5"/>
        <v>0</v>
      </c>
      <c r="AV43" s="120">
        <f t="shared" si="5"/>
        <v>0</v>
      </c>
      <c r="AW43" s="120">
        <f t="shared" si="5"/>
        <v>0</v>
      </c>
      <c r="AX43" s="120">
        <f t="shared" si="5"/>
        <v>0</v>
      </c>
      <c r="AY43" s="120">
        <f t="shared" si="5"/>
        <v>0</v>
      </c>
      <c r="AZ43" s="120">
        <f t="shared" si="5"/>
        <v>0</v>
      </c>
      <c r="BA43" s="120">
        <f t="shared" si="5"/>
        <v>0</v>
      </c>
      <c r="BB43" s="120">
        <f t="shared" si="5"/>
        <v>0</v>
      </c>
      <c r="BC43" s="120">
        <f t="shared" si="5"/>
        <v>0</v>
      </c>
      <c r="BD43" s="120">
        <f t="shared" si="5"/>
        <v>0</v>
      </c>
      <c r="BE43" s="120">
        <f t="shared" si="5"/>
        <v>0</v>
      </c>
      <c r="BF43" s="120">
        <f t="shared" si="5"/>
        <v>0</v>
      </c>
      <c r="BG43" s="120">
        <f t="shared" si="5"/>
        <v>0</v>
      </c>
      <c r="BH43" s="120">
        <f t="shared" si="5"/>
        <v>0</v>
      </c>
      <c r="BI43" s="120">
        <f t="shared" si="5"/>
        <v>0</v>
      </c>
      <c r="BJ43" s="120">
        <f t="shared" si="5"/>
        <v>0</v>
      </c>
      <c r="BK43" s="120">
        <f t="shared" si="5"/>
        <v>0</v>
      </c>
      <c r="BL43" s="120">
        <f t="shared" si="5"/>
        <v>0</v>
      </c>
      <c r="BM43" s="120">
        <f t="shared" si="5"/>
        <v>0</v>
      </c>
      <c r="BN43" s="120">
        <f t="shared" si="5"/>
        <v>0</v>
      </c>
      <c r="BO43" s="120">
        <f t="shared" si="5"/>
        <v>0</v>
      </c>
    </row>
    <row r="44" spans="1:68" x14ac:dyDescent="0.25">
      <c r="B44" s="13"/>
      <c r="C44" s="120" t="s">
        <v>125</v>
      </c>
      <c r="D44" s="120" t="str">
        <f>IF($D$26&gt;0%,"UIT",IF($D$39&lt;8,0,IF(AND(D42&lt;=$D$18,D46&gt;$H$39,MAX($C$49:C49)&lt;$D$7),"AAN","UIT")))</f>
        <v>UIT</v>
      </c>
      <c r="E44" s="120" t="str">
        <f>IF($D$26&gt;0%,"UIT",IF($D$39&lt;8,0,IF(AND(E42&lt;=$D$18,E46&gt;$H$39,MAX($C$49:D49)&lt;$D$7),"AAN","UIT")))</f>
        <v>UIT</v>
      </c>
      <c r="F44" s="120" t="str">
        <f>IF($D$26&gt;0%,"UIT",IF($D$39&lt;8,0,IF(AND(F42&lt;=$D$18,F46&gt;$H$39,MAX($C$49:E49)&lt;$D$7),"AAN","UIT")))</f>
        <v>UIT</v>
      </c>
      <c r="G44" s="120" t="str">
        <f>IF($D$26&gt;0%,"UIT",IF($D$39&lt;8,0,IF(AND(G42&lt;=$D$18,G46&gt;$H$39,MAX($C$49:F49)&lt;$D$7),"AAN","UIT")))</f>
        <v>UIT</v>
      </c>
      <c r="H44" s="120" t="str">
        <f>IF($D$26&gt;0%,"UIT",IF($D$39&lt;8,0,IF(AND(H42&lt;=$D$18,H46&gt;$H$39,MAX($C$49:G49)&lt;$D$7),"AAN","UIT")))</f>
        <v>UIT</v>
      </c>
      <c r="I44" s="120" t="str">
        <f>IF($D$26&gt;0%,"UIT",IF($D$39&lt;8,0,IF(AND(I42&lt;=$D$18,I46&gt;$H$39,MAX($C$49:H49)&lt;$D$7),"AAN","UIT")))</f>
        <v>UIT</v>
      </c>
      <c r="J44" s="120" t="str">
        <f>IF($D$26&gt;0%,"UIT",IF($D$39&lt;8,0,IF(AND(J42&lt;=$D$18,J46&gt;$H$39,MAX($C$49:I49)&lt;$D$7),"AAN","UIT")))</f>
        <v>UIT</v>
      </c>
      <c r="K44" s="120" t="str">
        <f>IF($D$26&gt;0%,"UIT",IF($D$39&lt;8,0,IF(AND(K42&lt;=$D$18,K46&gt;$H$39,MAX($C$49:J49)&lt;$D$7),"AAN","UIT")))</f>
        <v>UIT</v>
      </c>
      <c r="L44" s="120" t="str">
        <f>IF($D$26&gt;0%,"UIT",IF($D$39&lt;8,0,IF(AND(L42&lt;=$D$18,L46&gt;$H$39,MAX($C$49:K49)&lt;$D$7),"AAN","UIT")))</f>
        <v>UIT</v>
      </c>
      <c r="M44" s="120" t="str">
        <f>IF($D$26&gt;0%,"UIT",IF($D$39&lt;8,0,IF(AND(M42&lt;=$D$18,M46&gt;$H$39,MAX($C$49:L49)&lt;$D$7),"AAN","UIT")))</f>
        <v>UIT</v>
      </c>
      <c r="N44" s="120" t="str">
        <f>IF($D$26&gt;0%,"UIT",IF($D$39&lt;8,0,IF(AND(N42&lt;=$D$18,N46&gt;$H$39,MAX($C$49:M49)&lt;$D$7),"AAN","UIT")))</f>
        <v>UIT</v>
      </c>
      <c r="O44" s="120" t="str">
        <f>IF($D$26&gt;0%,"UIT",IF($D$39&lt;8,0,IF(AND(O42&lt;=$D$18,O46&gt;$H$39,MAX($C$49:N49)&lt;$D$7),"AAN","UIT")))</f>
        <v>UIT</v>
      </c>
      <c r="P44" s="120" t="str">
        <f>IF($D$26&gt;0%,"UIT",IF($D$39&lt;8,0,IF(AND(P42&lt;=$D$18,P46&gt;$H$39,MAX($C$49:O49)&lt;$D$7),"AAN","UIT")))</f>
        <v>UIT</v>
      </c>
      <c r="Q44" s="120" t="str">
        <f>IF($D$26&gt;0%,"UIT",IF($D$39&lt;8,0,IF(AND(Q42&lt;=$D$18,Q46&gt;$H$39,MAX($C$49:P49)&lt;$D$7),"AAN","UIT")))</f>
        <v>UIT</v>
      </c>
      <c r="R44" s="120" t="str">
        <f>IF($D$26&gt;0%,"UIT",IF($D$39&lt;8,0,IF(AND(R42&lt;=$D$18,R46&gt;$H$39,MAX($C$49:Q49)&lt;$D$7),"AAN","UIT")))</f>
        <v>UIT</v>
      </c>
      <c r="S44" s="120" t="str">
        <f>IF($D$26&gt;0%,"UIT",IF($D$39&lt;8,0,IF(AND(S42&lt;=$D$18,S46&gt;$H$39,MAX($C$49:R49)&lt;$D$7),"AAN","UIT")))</f>
        <v>UIT</v>
      </c>
      <c r="T44" s="120" t="str">
        <f>IF($D$26&gt;0%,"UIT",IF($D$39&lt;8,0,IF(AND(T42&lt;=$D$18,T46&gt;$H$39,MAX($C$49:S49)&lt;$D$7),"AAN","UIT")))</f>
        <v>UIT</v>
      </c>
      <c r="U44" s="120" t="str">
        <f>IF($D$26&gt;0%,"UIT",IF($D$39&lt;8,0,IF(AND(U42&lt;=$D$18,U46&gt;$H$39,MAX($C$49:T49)&lt;$D$7),"AAN","UIT")))</f>
        <v>UIT</v>
      </c>
      <c r="V44" s="120" t="str">
        <f>IF($D$26&gt;0%,"UIT",IF($D$39&lt;8,0,IF(AND(V42&lt;=$D$18,V46&gt;$H$39,MAX($C$49:U49)&lt;$D$7),"AAN","UIT")))</f>
        <v>UIT</v>
      </c>
      <c r="W44" s="120" t="str">
        <f>IF($D$26&gt;0%,"UIT",IF($D$39&lt;8,0,IF(AND(W42&lt;=$D$18,W46&gt;$H$39,MAX($C$49:V49)&lt;$D$7),"AAN","UIT")))</f>
        <v>UIT</v>
      </c>
      <c r="X44" s="120" t="str">
        <f>IF($D$26&gt;0%,"UIT",IF($D$39&lt;8,0,IF(AND(X42&lt;=$D$18,X46&gt;$H$39,MAX($C$49:W49)&lt;$D$7),"AAN","UIT")))</f>
        <v>UIT</v>
      </c>
      <c r="Y44" s="120" t="str">
        <f>IF($D$26&gt;0%,"UIT",IF($D$39&lt;8,0,IF(AND(Y42&lt;=$D$18,Y46&gt;$H$39,MAX($C$49:X49)&lt;$D$7),"AAN","UIT")))</f>
        <v>UIT</v>
      </c>
      <c r="Z44" s="120" t="str">
        <f>IF($D$26&gt;0%,"UIT",IF($D$39&lt;8,0,IF(AND(Z42&lt;=$D$18,Z46&gt;$H$39,MAX($C$49:Y49)&lt;$D$7),"AAN","UIT")))</f>
        <v>UIT</v>
      </c>
      <c r="AA44" s="120" t="str">
        <f>IF($D$26&gt;0%,"UIT",IF($D$39&lt;8,0,IF(AND(AA42&lt;=$D$18,AA46&gt;$H$39,MAX($C$49:Z49)&lt;$D$7),"AAN","UIT")))</f>
        <v>UIT</v>
      </c>
      <c r="AB44" s="120" t="str">
        <f>IF($D$26&gt;0%,"UIT",IF($D$39&lt;8,0,IF(AND(AB42&lt;=$D$18,AB46&gt;$H$39,MAX($C$49:AA49)&lt;$D$7),"AAN","UIT")))</f>
        <v>UIT</v>
      </c>
      <c r="AC44" s="120" t="str">
        <f>IF($D$26&gt;0%,"UIT",IF($D$39&lt;8,0,IF(AND(AC42&lt;=$D$18,AC46&gt;$H$39,MAX($C$49:AB49)&lt;$D$7),"AAN","UIT")))</f>
        <v>UIT</v>
      </c>
      <c r="AD44" s="120" t="str">
        <f>IF($D$26&gt;0%,"UIT",IF($D$39&lt;8,0,IF(AND(AD42&lt;=$D$18,AD46&gt;$H$39,MAX($C$49:AC49)&lt;$D$7),"AAN","UIT")))</f>
        <v>UIT</v>
      </c>
      <c r="AE44" s="120" t="str">
        <f>IF($D$26&gt;0%,"UIT",IF($D$39&lt;8,0,IF(AND(AE42&lt;=$D$18,AE46&gt;$H$39,MAX($C$49:AD49)&lt;$D$7),"AAN","UIT")))</f>
        <v>UIT</v>
      </c>
      <c r="AF44" s="120" t="str">
        <f>IF($D$26&gt;0%,"UIT",IF($D$39&lt;8,0,IF(AND(AF42&lt;=$D$18,AF46&gt;$H$39,MAX($C$49:AE49)&lt;$D$7),"AAN","UIT")))</f>
        <v>UIT</v>
      </c>
      <c r="AG44" s="120" t="str">
        <f>IF($D$26&gt;0%,"UIT",IF($D$39&lt;8,0,IF(AND(AG42&lt;=$D$18,AG46&gt;$H$39,MAX($C$49:AF49)&lt;$D$7),"AAN","UIT")))</f>
        <v>UIT</v>
      </c>
      <c r="AH44" s="120" t="str">
        <f>IF($D$26&gt;0%,"UIT",IF($D$39&lt;8,0,IF(AND(AH42&lt;=$D$18,AH46&gt;$H$39,MAX($C$49:AG49)&lt;$D$7),"AAN","UIT")))</f>
        <v>UIT</v>
      </c>
      <c r="AI44" s="120" t="str">
        <f>IF($D$26&gt;0%,"UIT",IF($D$39&lt;8,0,IF(AND(AI42&lt;=$D$18,AI46&gt;$H$39,MAX($C$49:AH49)&lt;$D$7),"AAN","UIT")))</f>
        <v>UIT</v>
      </c>
      <c r="AJ44" s="120" t="str">
        <f>IF($D$26&gt;0%,"UIT",IF($D$39&lt;8,0,IF(AND(AJ42&lt;=$D$18,AJ46&gt;$H$39,MAX($C$49:AI49)&lt;$D$7),"AAN","UIT")))</f>
        <v>UIT</v>
      </c>
      <c r="AK44" s="120" t="str">
        <f>IF($D$26&gt;0%,"UIT",IF($D$39&lt;8,0,IF(AND(AK42&lt;=$D$18,AK46&gt;$H$39,MAX($C$49:AJ49)&lt;$D$7),"AAN","UIT")))</f>
        <v>UIT</v>
      </c>
      <c r="AL44" s="120" t="str">
        <f>IF($D$26&gt;0%,"UIT",IF($D$39&lt;8,0,IF(AND(AL42&lt;=$D$18,AL46&gt;$H$39,MAX($C$49:AK49)&lt;$D$7),"AAN","UIT")))</f>
        <v>UIT</v>
      </c>
      <c r="AM44" s="120" t="str">
        <f>IF($D$26&gt;0%,"UIT",IF($D$39&lt;8,0,IF(AND(AM42&lt;=$D$18,AM46&gt;$H$39,MAX($C$49:AL49)&lt;$D$7),"AAN","UIT")))</f>
        <v>UIT</v>
      </c>
      <c r="AN44" s="120" t="str">
        <f>IF($D$26&gt;0%,"UIT",IF($D$39&lt;8,0,IF(AND(AN42&lt;=$D$18,AN46&gt;$H$39,MAX($C$49:AM49)&lt;$D$7),"AAN","UIT")))</f>
        <v>UIT</v>
      </c>
      <c r="AO44" s="120" t="str">
        <f>IF($D$26&gt;0%,"UIT",IF($D$39&lt;8,0,IF(AND(AO42&lt;=$D$18,AO46&gt;$H$39,MAX($C$49:AN49)&lt;$D$7),"AAN","UIT")))</f>
        <v>UIT</v>
      </c>
      <c r="AP44" s="120" t="str">
        <f>IF($D$26&gt;0%,"UIT",IF($D$39&lt;8,0,IF(AND(AP42&lt;=$D$18,AP46&gt;$H$39,MAX($C$49:AO49)&lt;$D$7),"AAN","UIT")))</f>
        <v>UIT</v>
      </c>
      <c r="AQ44" s="120" t="str">
        <f>IF($D$26&gt;0%,"UIT",IF($D$39&lt;8,0,IF(AND(AQ42&lt;=$D$18,AQ46&gt;$H$39,MAX($C$49:AP49)&lt;$D$7),"AAN","UIT")))</f>
        <v>UIT</v>
      </c>
      <c r="AR44" s="120" t="str">
        <f>IF($D$26&gt;0%,"UIT",IF($D$39&lt;8,0,IF(AND(AR42&lt;=$D$18,AR46&gt;$H$39,MAX($C$49:AQ49)&lt;$D$7),"AAN","UIT")))</f>
        <v>UIT</v>
      </c>
      <c r="AS44" s="120" t="str">
        <f>IF($D$26&gt;0%,"UIT",IF($D$39&lt;8,0,IF(AND(AS42&lt;=$D$18,AS46&gt;$H$39,MAX($C$49:AR49)&lt;$D$7),"AAN","UIT")))</f>
        <v>UIT</v>
      </c>
      <c r="AT44" s="120" t="str">
        <f>IF($D$26&gt;0%,"UIT",IF($D$39&lt;8,0,IF(AND(AT42&lt;=$D$18,AT46&gt;$H$39,MAX($C$49:AS49)&lt;$D$7),"AAN","UIT")))</f>
        <v>UIT</v>
      </c>
      <c r="AU44" s="120" t="str">
        <f>IF($D$26&gt;0%,"UIT",IF($D$39&lt;8,0,IF(AND(AU42&lt;=$D$18,AU46&gt;$H$39,MAX($C$49:AT49)&lt;$D$7),"AAN","UIT")))</f>
        <v>UIT</v>
      </c>
      <c r="AV44" s="120" t="str">
        <f>IF($D$26&gt;0%,"UIT",IF($D$39&lt;8,0,IF(AND(AV42&lt;=$D$18,AV46&gt;$H$39,MAX($C$49:AU49)&lt;$D$7),"AAN","UIT")))</f>
        <v>UIT</v>
      </c>
      <c r="AW44" s="120" t="str">
        <f>IF($D$26&gt;0%,"UIT",IF($D$39&lt;8,0,IF(AND(AW42&lt;=$D$18,AW46&gt;$H$39,MAX($C$49:AV49)&lt;$D$7),"AAN","UIT")))</f>
        <v>UIT</v>
      </c>
      <c r="AX44" s="120" t="str">
        <f>IF($D$26&gt;0%,"UIT",IF($D$39&lt;8,0,IF(AND(AX42&lt;=$D$18,AX46&gt;$H$39,MAX($C$49:AW49)&lt;$D$7),"AAN","UIT")))</f>
        <v>UIT</v>
      </c>
      <c r="AY44" s="120" t="str">
        <f>IF($D$26&gt;0%,"UIT",IF($D$39&lt;8,0,IF(AND(AY42&lt;=$D$18,AY46&gt;$H$39,MAX($C$49:AX49)&lt;$D$7),"AAN","UIT")))</f>
        <v>UIT</v>
      </c>
      <c r="AZ44" s="120" t="str">
        <f>IF($D$26&gt;0%,"UIT",IF($D$39&lt;8,0,IF(AND(AZ42&lt;=$D$18,AZ46&gt;$H$39,MAX($C$49:AY49)&lt;$D$7),"AAN","UIT")))</f>
        <v>UIT</v>
      </c>
      <c r="BA44" s="120" t="str">
        <f>IF($D$26&gt;0%,"UIT",IF($D$39&lt;8,0,IF(AND(BA42&lt;=$D$18,BA46&gt;$H$39,MAX($C$49:AZ49)&lt;$D$7),"AAN","UIT")))</f>
        <v>UIT</v>
      </c>
      <c r="BB44" s="120" t="str">
        <f>IF($D$26&gt;0%,"UIT",IF($D$39&lt;8,0,IF(AND(BB42&lt;=$D$18,BB46&gt;$H$39,MAX($C$49:BA49)&lt;$D$7),"AAN","UIT")))</f>
        <v>UIT</v>
      </c>
      <c r="BC44" s="120" t="str">
        <f>IF($D$26&gt;0%,"UIT",IF($D$39&lt;8,0,IF(AND(BC42&lt;=$D$18,BC46&gt;$H$39,MAX($C$49:BB49)&lt;$D$7),"AAN","UIT")))</f>
        <v>UIT</v>
      </c>
      <c r="BD44" s="120" t="str">
        <f>IF($D$26&gt;0%,"UIT",IF($D$39&lt;8,0,IF(AND(BD42&lt;=$D$18,BD46&gt;$H$39,MAX($C$49:BC49)&lt;$D$7),"AAN","UIT")))</f>
        <v>UIT</v>
      </c>
      <c r="BE44" s="120" t="str">
        <f>IF($D$26&gt;0%,"UIT",IF($D$39&lt;8,0,IF(AND(BE42&lt;=$D$18,BE46&gt;$H$39,MAX($C$49:BD49)&lt;$D$7),"AAN","UIT")))</f>
        <v>UIT</v>
      </c>
      <c r="BF44" s="120" t="str">
        <f>IF($D$26&gt;0%,"UIT",IF($D$39&lt;8,0,IF(AND(BF42&lt;=$D$18,BF46&gt;$H$39,MAX($C$49:BE49)&lt;$D$7),"AAN","UIT")))</f>
        <v>UIT</v>
      </c>
      <c r="BG44" s="120" t="str">
        <f>IF($D$26&gt;0%,"UIT",IF($D$39&lt;8,0,IF(AND(BG42&lt;=$D$18,BG46&gt;$H$39,MAX($C$49:BF49)&lt;$D$7),"AAN","UIT")))</f>
        <v>UIT</v>
      </c>
      <c r="BH44" s="120" t="str">
        <f>IF($D$26&gt;0%,"UIT",IF($D$39&lt;8,0,IF(AND(BH42&lt;=$D$18,BH46&gt;$H$39,MAX($C$49:BG49)&lt;$D$7),"AAN","UIT")))</f>
        <v>UIT</v>
      </c>
      <c r="BI44" s="120" t="str">
        <f>IF($D$26&gt;0%,"UIT",IF($D$39&lt;8,0,IF(AND(BI42&lt;=$D$18,BI46&gt;$H$39,MAX($C$49:BH49)&lt;$D$7),"AAN","UIT")))</f>
        <v>UIT</v>
      </c>
      <c r="BJ44" s="120" t="str">
        <f>IF($D$26&gt;0%,"UIT",IF($D$39&lt;8,0,IF(AND(BJ42&lt;=$D$18,BJ46&gt;$H$39,MAX($C$49:BI49)&lt;$D$7),"AAN","UIT")))</f>
        <v>UIT</v>
      </c>
      <c r="BK44" s="120" t="str">
        <f>IF($D$26&gt;0%,"UIT",IF($D$39&lt;8,0,IF(AND(BK42&lt;=$D$18,BK46&gt;$H$39,MAX($C$49:BJ49)&lt;$D$7),"AAN","UIT")))</f>
        <v>UIT</v>
      </c>
      <c r="BL44" s="120" t="str">
        <f>IF($D$26&gt;0%,"UIT",IF($D$39&lt;8,0,IF(AND(BL42&lt;=$D$18,BL46&gt;$H$39,MAX($C$49:BK49)&lt;$D$7),"AAN","UIT")))</f>
        <v>UIT</v>
      </c>
      <c r="BM44" s="120" t="str">
        <f>IF($D$26&gt;0%,"UIT",IF($D$39&lt;8,0,IF(AND(BM42&lt;=$D$18,BM46&gt;$H$39,MAX($C$49:BL49)&lt;$D$7),"AAN","UIT")))</f>
        <v>UIT</v>
      </c>
      <c r="BN44" s="120" t="str">
        <f>IF($D$26&gt;0%,"UIT",IF($D$39&lt;8,0,IF(AND(BN42&lt;=$D$18,BN46&gt;$H$39,MAX($C$49:BM49)&lt;$D$7),"AAN","UIT")))</f>
        <v>UIT</v>
      </c>
      <c r="BO44" s="120" t="str">
        <f>IF($D$26&gt;0%,"UIT",IF($D$39&lt;8,0,IF(AND(BO42&lt;=$D$18,BO46&gt;$H$39,MAX($C$49:BN49)&lt;$D$7),"AAN","UIT")))</f>
        <v>UIT</v>
      </c>
      <c r="BP44" s="120" t="str">
        <f>IF($D$26&gt;0%,"UIT",IF($D$39&lt;8,0,IF(AND(BP42&lt;=$D$18,BP46&gt;$H$39,MAX($C$49:BO49)&lt;$D$7),"AAN","UIT")))</f>
        <v>UIT</v>
      </c>
    </row>
    <row r="45" spans="1:68" x14ac:dyDescent="0.25">
      <c r="B45" s="13"/>
      <c r="C45" s="120" t="s">
        <v>121</v>
      </c>
      <c r="D45" s="120">
        <f>D42-Parameters!$G$109+1</f>
        <v>1</v>
      </c>
      <c r="E45" s="120">
        <f>E42-Parameters!$G$109+1</f>
        <v>2</v>
      </c>
      <c r="F45" s="120">
        <f>F42-Parameters!$G$109+1</f>
        <v>3</v>
      </c>
      <c r="G45" s="120">
        <f>G42-Parameters!$G$109+1</f>
        <v>4</v>
      </c>
      <c r="H45" s="120">
        <f>H42-Parameters!$G$109+1</f>
        <v>5</v>
      </c>
      <c r="I45" s="120">
        <f>I42-Parameters!$G$109+1</f>
        <v>6</v>
      </c>
      <c r="J45" s="120">
        <f>J42-Parameters!$G$109+1</f>
        <v>7</v>
      </c>
      <c r="K45" s="120">
        <f>K42-Parameters!$G$109+1</f>
        <v>8</v>
      </c>
      <c r="L45" s="120">
        <f>L42-Parameters!$G$109+1</f>
        <v>9</v>
      </c>
      <c r="M45" s="120">
        <f>M42-Parameters!$G$109+1</f>
        <v>10</v>
      </c>
      <c r="N45" s="120">
        <f>N42-Parameters!$G$109+1</f>
        <v>11</v>
      </c>
      <c r="O45" s="120">
        <f>O42-Parameters!$G$109+1</f>
        <v>12</v>
      </c>
      <c r="P45" s="120">
        <f>P42-Parameters!$G$109+1</f>
        <v>13</v>
      </c>
      <c r="Q45" s="120">
        <f>Q42-Parameters!$G$109+1</f>
        <v>14</v>
      </c>
      <c r="R45" s="120">
        <f>R42-Parameters!$G$109+1</f>
        <v>15</v>
      </c>
      <c r="S45" s="120">
        <f>S42-Parameters!$G$109+1</f>
        <v>16</v>
      </c>
      <c r="T45" s="120">
        <f>T42-Parameters!$G$109+1</f>
        <v>17</v>
      </c>
      <c r="U45" s="120">
        <f>U42-Parameters!$G$109+1</f>
        <v>18</v>
      </c>
      <c r="V45" s="120">
        <f>V42-Parameters!$G$109+1</f>
        <v>19</v>
      </c>
      <c r="W45" s="120">
        <f>W42-Parameters!$G$109+1</f>
        <v>20</v>
      </c>
      <c r="X45" s="120">
        <f>X42-Parameters!$G$109+1</f>
        <v>21</v>
      </c>
      <c r="Y45" s="120">
        <f>Y42-Parameters!$G$109+1</f>
        <v>22</v>
      </c>
      <c r="Z45" s="120">
        <f>Z42-Parameters!$G$109+1</f>
        <v>23</v>
      </c>
      <c r="AA45" s="120">
        <f>AA42-Parameters!$G$109+1</f>
        <v>24</v>
      </c>
      <c r="AB45" s="120">
        <f>AB42-Parameters!$G$109+1</f>
        <v>25</v>
      </c>
      <c r="AC45" s="120">
        <f>AC42-Parameters!$G$109+1</f>
        <v>26</v>
      </c>
      <c r="AD45" s="120">
        <f>AD42-Parameters!$G$109+1</f>
        <v>27</v>
      </c>
      <c r="AE45" s="120">
        <f>AE42-Parameters!$G$109+1</f>
        <v>28</v>
      </c>
      <c r="AF45" s="120">
        <f>AF42-Parameters!$G$109+1</f>
        <v>29</v>
      </c>
      <c r="AG45" s="120">
        <f>AG42-Parameters!$G$109+1</f>
        <v>30</v>
      </c>
      <c r="AH45" s="120">
        <f>AH42-Parameters!$G$109+1</f>
        <v>31</v>
      </c>
      <c r="AI45" s="120">
        <f>AI42-Parameters!$G$109+1</f>
        <v>32</v>
      </c>
      <c r="AJ45" s="120">
        <f>AJ42-Parameters!$G$109+1</f>
        <v>33</v>
      </c>
      <c r="AK45" s="120">
        <f>AK42-Parameters!$G$109+1</f>
        <v>34</v>
      </c>
      <c r="AL45" s="120">
        <f>AL42-Parameters!$G$109+1</f>
        <v>35</v>
      </c>
      <c r="AM45" s="120">
        <f>AM42-Parameters!$G$109+1</f>
        <v>36</v>
      </c>
      <c r="AN45" s="120">
        <f>AN42-Parameters!$G$109+1</f>
        <v>37</v>
      </c>
      <c r="AO45" s="120">
        <f>AO42-Parameters!$G$109+1</f>
        <v>38</v>
      </c>
      <c r="AP45" s="120">
        <f>AP42-Parameters!$G$109+1</f>
        <v>39</v>
      </c>
      <c r="AQ45" s="120">
        <f>AQ42-Parameters!$G$109+1</f>
        <v>40</v>
      </c>
      <c r="AR45" s="120">
        <f>AR42-Parameters!$G$109+1</f>
        <v>41</v>
      </c>
      <c r="AS45" s="120">
        <f>AS42-Parameters!$G$109+1</f>
        <v>42</v>
      </c>
      <c r="AT45" s="120">
        <f>AT42-Parameters!$G$109+1</f>
        <v>43</v>
      </c>
      <c r="AU45" s="120">
        <f>AU42-Parameters!$G$109+1</f>
        <v>44</v>
      </c>
      <c r="AV45" s="120">
        <f>AV42-Parameters!$G$109+1</f>
        <v>45</v>
      </c>
      <c r="AW45" s="120">
        <f>AW42-Parameters!$G$109+1</f>
        <v>46</v>
      </c>
      <c r="AX45" s="120">
        <f>AX42-Parameters!$G$109+1</f>
        <v>47</v>
      </c>
      <c r="AY45" s="120">
        <f>AY42-Parameters!$G$109+1</f>
        <v>48</v>
      </c>
      <c r="AZ45" s="120">
        <f>AZ42-Parameters!$G$109+1</f>
        <v>49</v>
      </c>
      <c r="BA45" s="120">
        <f>BA42-Parameters!$G$109+1</f>
        <v>50</v>
      </c>
      <c r="BB45" s="120">
        <f>BB42-Parameters!$G$109+1</f>
        <v>51</v>
      </c>
      <c r="BC45" s="120">
        <f>BC42-Parameters!$G$109+1</f>
        <v>52</v>
      </c>
      <c r="BD45" s="120">
        <f>BD42-Parameters!$G$109+1</f>
        <v>53</v>
      </c>
      <c r="BE45" s="120">
        <f>BE42-Parameters!$G$109+1</f>
        <v>54</v>
      </c>
      <c r="BF45" s="120">
        <f>BF42-Parameters!$G$109+1</f>
        <v>55</v>
      </c>
      <c r="BG45" s="120">
        <f>BG42-Parameters!$G$109+1</f>
        <v>56</v>
      </c>
      <c r="BH45" s="120">
        <f>BH42-Parameters!$G$109+1</f>
        <v>57</v>
      </c>
      <c r="BI45" s="120">
        <f>BI42-Parameters!$G$109+1</f>
        <v>58</v>
      </c>
      <c r="BJ45" s="120">
        <f>BJ42-Parameters!$G$109+1</f>
        <v>59</v>
      </c>
      <c r="BK45" s="120">
        <f>BK42-Parameters!$G$109+1</f>
        <v>60</v>
      </c>
      <c r="BL45" s="120">
        <f>BL42-Parameters!$G$109+1</f>
        <v>61</v>
      </c>
      <c r="BM45" s="120">
        <f>BM42-Parameters!$G$109+1</f>
        <v>62</v>
      </c>
      <c r="BN45" s="120">
        <f>BN42-Parameters!$G$109+1</f>
        <v>63</v>
      </c>
      <c r="BO45" s="120">
        <f>BO42-Parameters!$G$109+1</f>
        <v>64</v>
      </c>
      <c r="BP45" s="7">
        <f>BP42-Parameters!$G$109+1</f>
        <v>65</v>
      </c>
    </row>
    <row r="46" spans="1:68" x14ac:dyDescent="0.25">
      <c r="B46" s="13"/>
      <c r="C46" s="120" t="s">
        <v>1595</v>
      </c>
      <c r="D46" s="146">
        <f>IF(D42=$D$17,$D$12+$D$19,IF(C49&lt;$D$7,IF(D45=1,$D$12,C46+$D$19),C46))</f>
        <v>4.0625</v>
      </c>
      <c r="E46" s="146">
        <f t="shared" ref="E46:BO46" si="6">IF(E42=$D$17,$D$12+$D$19,IF(D49&lt;$D$7,IF(E45=1,$D$12,D46+$D$19),D46))</f>
        <v>5.625</v>
      </c>
      <c r="F46" s="146">
        <f t="shared" si="6"/>
        <v>7.1875</v>
      </c>
      <c r="G46" s="146">
        <f t="shared" si="6"/>
        <v>8.75</v>
      </c>
      <c r="H46" s="146">
        <f t="shared" si="6"/>
        <v>10.3125</v>
      </c>
      <c r="I46" s="146">
        <f t="shared" si="6"/>
        <v>11.875</v>
      </c>
      <c r="J46" s="146">
        <f t="shared" si="6"/>
        <v>13.4375</v>
      </c>
      <c r="K46" s="146">
        <f t="shared" si="6"/>
        <v>15</v>
      </c>
      <c r="L46" s="146">
        <f t="shared" si="6"/>
        <v>16.5625</v>
      </c>
      <c r="M46" s="146">
        <f t="shared" si="6"/>
        <v>18.125</v>
      </c>
      <c r="N46" s="146">
        <f t="shared" si="6"/>
        <v>19.6875</v>
      </c>
      <c r="O46" s="146">
        <f t="shared" si="6"/>
        <v>21.25</v>
      </c>
      <c r="P46" s="146">
        <f t="shared" si="6"/>
        <v>22.8125</v>
      </c>
      <c r="Q46" s="146">
        <f t="shared" si="6"/>
        <v>24.375</v>
      </c>
      <c r="R46" s="146">
        <f t="shared" si="6"/>
        <v>25.9375</v>
      </c>
      <c r="S46" s="146">
        <f t="shared" si="6"/>
        <v>27.5</v>
      </c>
      <c r="T46" s="146">
        <f t="shared" si="6"/>
        <v>29.0625</v>
      </c>
      <c r="U46" s="146">
        <f t="shared" si="6"/>
        <v>30.625</v>
      </c>
      <c r="V46" s="146">
        <f t="shared" si="6"/>
        <v>32.1875</v>
      </c>
      <c r="W46" s="146">
        <f t="shared" si="6"/>
        <v>33.75</v>
      </c>
      <c r="X46" s="146">
        <f t="shared" si="6"/>
        <v>35.3125</v>
      </c>
      <c r="Y46" s="146">
        <f t="shared" si="6"/>
        <v>36.875</v>
      </c>
      <c r="Z46" s="146">
        <f t="shared" si="6"/>
        <v>38.4375</v>
      </c>
      <c r="AA46" s="146">
        <f t="shared" si="6"/>
        <v>40</v>
      </c>
      <c r="AB46" s="146">
        <f t="shared" si="6"/>
        <v>40</v>
      </c>
      <c r="AC46" s="146">
        <f t="shared" si="6"/>
        <v>40</v>
      </c>
      <c r="AD46" s="146">
        <f t="shared" si="6"/>
        <v>40</v>
      </c>
      <c r="AE46" s="146">
        <f t="shared" si="6"/>
        <v>40</v>
      </c>
      <c r="AF46" s="146">
        <f t="shared" si="6"/>
        <v>40</v>
      </c>
      <c r="AG46" s="146">
        <f t="shared" si="6"/>
        <v>40</v>
      </c>
      <c r="AH46" s="146">
        <f t="shared" si="6"/>
        <v>40</v>
      </c>
      <c r="AI46" s="146">
        <f t="shared" si="6"/>
        <v>40</v>
      </c>
      <c r="AJ46" s="146">
        <f t="shared" si="6"/>
        <v>40</v>
      </c>
      <c r="AK46" s="146">
        <f t="shared" si="6"/>
        <v>40</v>
      </c>
      <c r="AL46" s="146">
        <f t="shared" si="6"/>
        <v>40</v>
      </c>
      <c r="AM46" s="146">
        <f t="shared" si="6"/>
        <v>40</v>
      </c>
      <c r="AN46" s="146">
        <f t="shared" si="6"/>
        <v>40</v>
      </c>
      <c r="AO46" s="146">
        <f t="shared" si="6"/>
        <v>40</v>
      </c>
      <c r="AP46" s="146">
        <f t="shared" si="6"/>
        <v>40</v>
      </c>
      <c r="AQ46" s="146">
        <f t="shared" si="6"/>
        <v>40</v>
      </c>
      <c r="AR46" s="146">
        <f t="shared" si="6"/>
        <v>40</v>
      </c>
      <c r="AS46" s="146">
        <f t="shared" si="6"/>
        <v>40</v>
      </c>
      <c r="AT46" s="146">
        <f t="shared" si="6"/>
        <v>40</v>
      </c>
      <c r="AU46" s="146">
        <f t="shared" si="6"/>
        <v>40</v>
      </c>
      <c r="AV46" s="146">
        <f t="shared" si="6"/>
        <v>40</v>
      </c>
      <c r="AW46" s="146">
        <f t="shared" si="6"/>
        <v>40</v>
      </c>
      <c r="AX46" s="146">
        <f t="shared" si="6"/>
        <v>40</v>
      </c>
      <c r="AY46" s="146">
        <f t="shared" si="6"/>
        <v>40</v>
      </c>
      <c r="AZ46" s="146">
        <f t="shared" si="6"/>
        <v>40</v>
      </c>
      <c r="BA46" s="146">
        <f t="shared" si="6"/>
        <v>40</v>
      </c>
      <c r="BB46" s="146">
        <f t="shared" si="6"/>
        <v>40</v>
      </c>
      <c r="BC46" s="146">
        <f t="shared" si="6"/>
        <v>40</v>
      </c>
      <c r="BD46" s="146">
        <f t="shared" si="6"/>
        <v>40</v>
      </c>
      <c r="BE46" s="146">
        <f t="shared" si="6"/>
        <v>40</v>
      </c>
      <c r="BF46" s="146">
        <f t="shared" si="6"/>
        <v>40</v>
      </c>
      <c r="BG46" s="146">
        <f t="shared" si="6"/>
        <v>40</v>
      </c>
      <c r="BH46" s="146">
        <f t="shared" si="6"/>
        <v>40</v>
      </c>
      <c r="BI46" s="146">
        <f t="shared" si="6"/>
        <v>40</v>
      </c>
      <c r="BJ46" s="146">
        <f t="shared" si="6"/>
        <v>40</v>
      </c>
      <c r="BK46" s="146">
        <f t="shared" si="6"/>
        <v>40</v>
      </c>
      <c r="BL46" s="146">
        <f t="shared" si="6"/>
        <v>40</v>
      </c>
      <c r="BM46" s="146">
        <f t="shared" si="6"/>
        <v>40</v>
      </c>
      <c r="BN46" s="146">
        <f t="shared" si="6"/>
        <v>40</v>
      </c>
      <c r="BO46" s="146">
        <f t="shared" si="6"/>
        <v>40</v>
      </c>
    </row>
    <row r="47" spans="1:68" x14ac:dyDescent="0.25">
      <c r="B47" s="13"/>
      <c r="C47" s="120" t="s">
        <v>1254</v>
      </c>
      <c r="D47" s="156">
        <f>IF(D46&lt;$D$28,IF($D$38&lt;(12+273),$D$25,0),0)*$D$37*10^9/3600/1000</f>
        <v>0</v>
      </c>
      <c r="E47" s="156">
        <f t="shared" ref="E47:BO47" si="7">IF(E46&lt;$D$28,IF($D$38&lt;(12+273),$D$25,0),0)*$D$37*10^9/1000</f>
        <v>0</v>
      </c>
      <c r="F47" s="156">
        <f t="shared" si="7"/>
        <v>0</v>
      </c>
      <c r="G47" s="156">
        <f t="shared" si="7"/>
        <v>0</v>
      </c>
      <c r="H47" s="156">
        <f t="shared" si="7"/>
        <v>0</v>
      </c>
      <c r="I47" s="156">
        <f t="shared" si="7"/>
        <v>0</v>
      </c>
      <c r="J47" s="156">
        <f t="shared" si="7"/>
        <v>0</v>
      </c>
      <c r="K47" s="156">
        <f t="shared" si="7"/>
        <v>0</v>
      </c>
      <c r="L47" s="156">
        <f t="shared" si="7"/>
        <v>0</v>
      </c>
      <c r="M47" s="156">
        <f t="shared" si="7"/>
        <v>0</v>
      </c>
      <c r="N47" s="156">
        <f t="shared" si="7"/>
        <v>0</v>
      </c>
      <c r="O47" s="156">
        <f t="shared" si="7"/>
        <v>0</v>
      </c>
      <c r="P47" s="156">
        <f t="shared" si="7"/>
        <v>0</v>
      </c>
      <c r="Q47" s="156">
        <f t="shared" si="7"/>
        <v>0</v>
      </c>
      <c r="R47" s="156">
        <f t="shared" si="7"/>
        <v>0</v>
      </c>
      <c r="S47" s="156">
        <f t="shared" si="7"/>
        <v>0</v>
      </c>
      <c r="T47" s="156">
        <f t="shared" si="7"/>
        <v>0</v>
      </c>
      <c r="U47" s="156">
        <f t="shared" si="7"/>
        <v>0</v>
      </c>
      <c r="V47" s="156">
        <f t="shared" si="7"/>
        <v>0</v>
      </c>
      <c r="W47" s="156">
        <f t="shared" si="7"/>
        <v>0</v>
      </c>
      <c r="X47" s="156">
        <f t="shared" si="7"/>
        <v>0</v>
      </c>
      <c r="Y47" s="156">
        <f t="shared" si="7"/>
        <v>0</v>
      </c>
      <c r="Z47" s="156">
        <f t="shared" si="7"/>
        <v>0</v>
      </c>
      <c r="AA47" s="156">
        <f t="shared" si="7"/>
        <v>0</v>
      </c>
      <c r="AB47" s="156">
        <f t="shared" si="7"/>
        <v>0</v>
      </c>
      <c r="AC47" s="156">
        <f t="shared" si="7"/>
        <v>0</v>
      </c>
      <c r="AD47" s="156">
        <f t="shared" si="7"/>
        <v>0</v>
      </c>
      <c r="AE47" s="156">
        <f t="shared" si="7"/>
        <v>0</v>
      </c>
      <c r="AF47" s="156">
        <f t="shared" si="7"/>
        <v>0</v>
      </c>
      <c r="AG47" s="156">
        <f t="shared" si="7"/>
        <v>0</v>
      </c>
      <c r="AH47" s="156">
        <f t="shared" si="7"/>
        <v>0</v>
      </c>
      <c r="AI47" s="156">
        <f t="shared" si="7"/>
        <v>0</v>
      </c>
      <c r="AJ47" s="156">
        <f t="shared" si="7"/>
        <v>0</v>
      </c>
      <c r="AK47" s="156">
        <f t="shared" si="7"/>
        <v>0</v>
      </c>
      <c r="AL47" s="156">
        <f t="shared" si="7"/>
        <v>0</v>
      </c>
      <c r="AM47" s="156">
        <f t="shared" si="7"/>
        <v>0</v>
      </c>
      <c r="AN47" s="156">
        <f t="shared" si="7"/>
        <v>0</v>
      </c>
      <c r="AO47" s="156">
        <f t="shared" si="7"/>
        <v>0</v>
      </c>
      <c r="AP47" s="156">
        <f t="shared" si="7"/>
        <v>0</v>
      </c>
      <c r="AQ47" s="156">
        <f t="shared" si="7"/>
        <v>0</v>
      </c>
      <c r="AR47" s="156">
        <f t="shared" si="7"/>
        <v>0</v>
      </c>
      <c r="AS47" s="156">
        <f t="shared" si="7"/>
        <v>0</v>
      </c>
      <c r="AT47" s="156">
        <f t="shared" si="7"/>
        <v>0</v>
      </c>
      <c r="AU47" s="156">
        <f t="shared" si="7"/>
        <v>0</v>
      </c>
      <c r="AV47" s="156">
        <f t="shared" si="7"/>
        <v>0</v>
      </c>
      <c r="AW47" s="156">
        <f t="shared" si="7"/>
        <v>0</v>
      </c>
      <c r="AX47" s="156">
        <f t="shared" si="7"/>
        <v>0</v>
      </c>
      <c r="AY47" s="156">
        <f t="shared" si="7"/>
        <v>0</v>
      </c>
      <c r="AZ47" s="156">
        <f t="shared" si="7"/>
        <v>0</v>
      </c>
      <c r="BA47" s="156">
        <f t="shared" si="7"/>
        <v>0</v>
      </c>
      <c r="BB47" s="156">
        <f t="shared" si="7"/>
        <v>0</v>
      </c>
      <c r="BC47" s="156">
        <f t="shared" si="7"/>
        <v>0</v>
      </c>
      <c r="BD47" s="156">
        <f t="shared" si="7"/>
        <v>0</v>
      </c>
      <c r="BE47" s="156">
        <f t="shared" si="7"/>
        <v>0</v>
      </c>
      <c r="BF47" s="156">
        <f t="shared" si="7"/>
        <v>0</v>
      </c>
      <c r="BG47" s="156">
        <f t="shared" si="7"/>
        <v>0</v>
      </c>
      <c r="BH47" s="156">
        <f t="shared" si="7"/>
        <v>0</v>
      </c>
      <c r="BI47" s="156">
        <f t="shared" si="7"/>
        <v>0</v>
      </c>
      <c r="BJ47" s="156">
        <f t="shared" si="7"/>
        <v>0</v>
      </c>
      <c r="BK47" s="156">
        <f t="shared" si="7"/>
        <v>0</v>
      </c>
      <c r="BL47" s="156">
        <f t="shared" si="7"/>
        <v>0</v>
      </c>
      <c r="BM47" s="156">
        <f t="shared" si="7"/>
        <v>0</v>
      </c>
      <c r="BN47" s="156">
        <f t="shared" si="7"/>
        <v>0</v>
      </c>
      <c r="BO47" s="156">
        <f t="shared" si="7"/>
        <v>0</v>
      </c>
    </row>
    <row r="48" spans="1:68" x14ac:dyDescent="0.25">
      <c r="B48" s="13"/>
      <c r="C48" s="120" t="s">
        <v>845</v>
      </c>
      <c r="D48" s="156">
        <f>IF(D44="UIT",0,IF(0&lt;$P$36/'P-D-T TABLES DATABASE'!$E$8*(D46-$H$39)/$D$20,$P$36/'P-D-T TABLES DATABASE'!$E$8*(D46-$H$39)/$D$20,0))*Parameters!$G$14</f>
        <v>0</v>
      </c>
      <c r="E48" s="156">
        <f>IF(E44="UIT",0,IF(0&lt;$P$36/'P-D-T TABLES DATABASE'!$E$8*(E46-$H$39)/$D$20,$P$36/'P-D-T TABLES DATABASE'!$E$8*(E46-$H$39)/$D$20,0))*Parameters!$G$14</f>
        <v>0</v>
      </c>
      <c r="F48" s="156">
        <f>IF(F44="UIT",0,IF(0&lt;$P$36/'P-D-T TABLES DATABASE'!$E$8*(F46-$H$39)/$D$20,$P$36/'P-D-T TABLES DATABASE'!$E$8*(F46-$H$39)/$D$20,0))*Parameters!$G$14</f>
        <v>0</v>
      </c>
      <c r="G48" s="156">
        <f>IF(G44="UIT",0,IF(0&lt;$P$36/'P-D-T TABLES DATABASE'!$E$8*(G46-$H$39)/$D$20,$P$36/'P-D-T TABLES DATABASE'!$E$8*(G46-$H$39)/$D$20,0))*Parameters!$G$14</f>
        <v>0</v>
      </c>
      <c r="H48" s="156">
        <f>IF(H44="UIT",0,IF(0&lt;$P$36/'P-D-T TABLES DATABASE'!$E$8*(H46-$H$39)/$D$20,$P$36/'P-D-T TABLES DATABASE'!$E$8*(H46-$H$39)/$D$20,0))*Parameters!$G$14</f>
        <v>0</v>
      </c>
      <c r="I48" s="156">
        <f>IF(I44="UIT",0,IF(0&lt;$P$36/'P-D-T TABLES DATABASE'!$E$8*(I46-$H$39)/$D$20,$P$36/'P-D-T TABLES DATABASE'!$E$8*(I46-$H$39)/$D$20,0))*Parameters!$G$14</f>
        <v>0</v>
      </c>
      <c r="J48" s="156">
        <f>IF(J44="UIT",0,IF(0&lt;$P$36/'P-D-T TABLES DATABASE'!$E$8*(J46-$H$39)/$D$20,$P$36/'P-D-T TABLES DATABASE'!$E$8*(J46-$H$39)/$D$20,0))*Parameters!$G$14</f>
        <v>0</v>
      </c>
      <c r="K48" s="156">
        <f>IF(K44="UIT",0,IF(0&lt;$P$36/'P-D-T TABLES DATABASE'!$E$8*(K46-$H$39)/$D$20,$P$36/'P-D-T TABLES DATABASE'!$E$8*(K46-$H$39)/$D$20,0))*Parameters!$G$14</f>
        <v>0</v>
      </c>
      <c r="L48" s="156">
        <f>IF(L44="UIT",0,IF(0&lt;$P$36/'P-D-T TABLES DATABASE'!$E$8*(L46-$H$39)/$D$20,$P$36/'P-D-T TABLES DATABASE'!$E$8*(L46-$H$39)/$D$20,0))*Parameters!$G$14</f>
        <v>0</v>
      </c>
      <c r="M48" s="156">
        <f>IF(M44="UIT",0,IF(0&lt;$P$36/'P-D-T TABLES DATABASE'!$E$8*(M46-$H$39)/$D$20,$P$36/'P-D-T TABLES DATABASE'!$E$8*(M46-$H$39)/$D$20,0))*Parameters!$G$14</f>
        <v>0</v>
      </c>
      <c r="N48" s="156">
        <f>IF(N44="UIT",0,IF(0&lt;$P$36/'P-D-T TABLES DATABASE'!$E$8*(N46-$H$39)/$D$20,$P$36/'P-D-T TABLES DATABASE'!$E$8*(N46-$H$39)/$D$20,0))*Parameters!$G$14</f>
        <v>0</v>
      </c>
      <c r="O48" s="156">
        <f>IF(O44="UIT",0,IF(0&lt;$P$36/'P-D-T TABLES DATABASE'!$E$8*(O46-$H$39)/$D$20,$P$36/'P-D-T TABLES DATABASE'!$E$8*(O46-$H$39)/$D$20,0))*Parameters!$G$14</f>
        <v>0</v>
      </c>
      <c r="P48" s="156">
        <f>IF(P44="UIT",0,IF(0&lt;$P$36/'P-D-T TABLES DATABASE'!$E$8*(P46-$H$39)/$D$20,$P$36/'P-D-T TABLES DATABASE'!$E$8*(P46-$H$39)/$D$20,0))*Parameters!$G$14</f>
        <v>0</v>
      </c>
      <c r="Q48" s="156">
        <f>IF(Q44="UIT",0,IF(0&lt;$P$36/'P-D-T TABLES DATABASE'!$E$8*(Q46-$H$39)/$D$20,$P$36/'P-D-T TABLES DATABASE'!$E$8*(Q46-$H$39)/$D$20,0))*Parameters!$G$14</f>
        <v>0</v>
      </c>
      <c r="R48" s="156">
        <f>IF(R44="UIT",0,IF(0&lt;$P$36/'P-D-T TABLES DATABASE'!$E$8*(R46-$H$39)/$D$20,$P$36/'P-D-T TABLES DATABASE'!$E$8*(R46-$H$39)/$D$20,0))*Parameters!$G$14</f>
        <v>0</v>
      </c>
      <c r="S48" s="156">
        <f>IF(S44="UIT",0,IF(0&lt;$P$36/'P-D-T TABLES DATABASE'!$E$8*(S46-$H$39)/$D$20,$P$36/'P-D-T TABLES DATABASE'!$E$8*(S46-$H$39)/$D$20,0))*Parameters!$G$14</f>
        <v>0</v>
      </c>
      <c r="T48" s="156">
        <f>IF(T44="UIT",0,IF(0&lt;$P$36/'P-D-T TABLES DATABASE'!$E$8*(T46-$H$39)/$D$20,$P$36/'P-D-T TABLES DATABASE'!$E$8*(T46-$H$39)/$D$20,0))*Parameters!$G$14</f>
        <v>0</v>
      </c>
      <c r="U48" s="156">
        <f>IF(U44="UIT",0,IF(0&lt;$P$36/'P-D-T TABLES DATABASE'!$E$8*(U46-$H$39)/$D$20,$P$36/'P-D-T TABLES DATABASE'!$E$8*(U46-$H$39)/$D$20,0))*Parameters!$G$14</f>
        <v>0</v>
      </c>
      <c r="V48" s="156">
        <f>IF(V44="UIT",0,IF(0&lt;$P$36/'P-D-T TABLES DATABASE'!$E$8*(V46-$H$39)/$D$20,$P$36/'P-D-T TABLES DATABASE'!$E$8*(V46-$H$39)/$D$20,0))*Parameters!$G$14</f>
        <v>0</v>
      </c>
      <c r="W48" s="156">
        <f>IF(W44="UIT",0,IF(0&lt;$P$36/'P-D-T TABLES DATABASE'!$E$8*(W46-$H$39)/$D$20,$P$36/'P-D-T TABLES DATABASE'!$E$8*(W46-$H$39)/$D$20,0))*Parameters!$G$14</f>
        <v>0</v>
      </c>
      <c r="X48" s="156">
        <f>IF(X44="UIT",0,IF(0&lt;$P$36/'P-D-T TABLES DATABASE'!$E$8*(X46-$H$39)/$D$20,$P$36/'P-D-T TABLES DATABASE'!$E$8*(X46-$H$39)/$D$20,0))*Parameters!$G$14</f>
        <v>0</v>
      </c>
      <c r="Y48" s="156">
        <f>IF(Y44="UIT",0,IF(0&lt;$P$36/'P-D-T TABLES DATABASE'!$E$8*(Y46-$H$39)/$D$20,$P$36/'P-D-T TABLES DATABASE'!$E$8*(Y46-$H$39)/$D$20,0))*Parameters!$G$14</f>
        <v>0</v>
      </c>
      <c r="Z48" s="156">
        <f>IF(Z44="UIT",0,IF(0&lt;$P$36/'P-D-T TABLES DATABASE'!$E$8*(Z46-$H$39)/$D$20,$P$36/'P-D-T TABLES DATABASE'!$E$8*(Z46-$H$39)/$D$20,0))*Parameters!$G$14</f>
        <v>0</v>
      </c>
      <c r="AA48" s="156">
        <f>IF(AA44="UIT",0,IF(0&lt;$P$36/'P-D-T TABLES DATABASE'!$E$8*(AA46-$H$39)/$D$20,$P$36/'P-D-T TABLES DATABASE'!$E$8*(AA46-$H$39)/$D$20,0))*Parameters!$G$14</f>
        <v>0</v>
      </c>
      <c r="AB48" s="156">
        <f>IF(AB44="UIT",0,IF(0&lt;$P$36/'P-D-T TABLES DATABASE'!$E$8*(AB46-$H$39)/$D$20,$P$36/'P-D-T TABLES DATABASE'!$E$8*(AB46-$H$39)/$D$20,0))*Parameters!$G$14</f>
        <v>0</v>
      </c>
      <c r="AC48" s="156">
        <f>IF(AC44="UIT",0,IF(0&lt;$P$36/'P-D-T TABLES DATABASE'!$E$8*(AC46-$H$39)/$D$20,$P$36/'P-D-T TABLES DATABASE'!$E$8*(AC46-$H$39)/$D$20,0))*Parameters!$G$14</f>
        <v>0</v>
      </c>
      <c r="AD48" s="156">
        <f>IF(AD44="UIT",0,IF(0&lt;$P$36/'P-D-T TABLES DATABASE'!$E$8*(AD46-$H$39)/$D$20,$P$36/'P-D-T TABLES DATABASE'!$E$8*(AD46-$H$39)/$D$20,0))*Parameters!$G$14</f>
        <v>0</v>
      </c>
      <c r="AE48" s="156">
        <f>IF(AE44="UIT",0,IF(0&lt;$P$36/'P-D-T TABLES DATABASE'!$E$8*(AE46-$H$39)/$D$20,$P$36/'P-D-T TABLES DATABASE'!$E$8*(AE46-$H$39)/$D$20,0))*Parameters!$G$14</f>
        <v>0</v>
      </c>
      <c r="AF48" s="156">
        <f>IF(AF44="UIT",0,IF(0&lt;$P$36/'P-D-T TABLES DATABASE'!$E$8*(AF46-$H$39)/$D$20,$P$36/'P-D-T TABLES DATABASE'!$E$8*(AF46-$H$39)/$D$20,0))*Parameters!$G$14</f>
        <v>0</v>
      </c>
      <c r="AG48" s="156">
        <f>IF(AG44="UIT",0,IF(0&lt;$P$36/'P-D-T TABLES DATABASE'!$E$8*(AG46-$H$39)/$D$20,$P$36/'P-D-T TABLES DATABASE'!$E$8*(AG46-$H$39)/$D$20,0))*Parameters!$G$14</f>
        <v>0</v>
      </c>
      <c r="AH48" s="156">
        <f>IF(AH44="UIT",0,IF(0&lt;$P$36/'P-D-T TABLES DATABASE'!$E$8*(AH46-$H$39)/$D$20,$P$36/'P-D-T TABLES DATABASE'!$E$8*(AH46-$H$39)/$D$20,0))*Parameters!$G$14</f>
        <v>0</v>
      </c>
      <c r="AI48" s="156">
        <f>IF(AI44="UIT",0,IF(0&lt;$P$36/'P-D-T TABLES DATABASE'!$E$8*(AI46-$H$39)/$D$20,$P$36/'P-D-T TABLES DATABASE'!$E$8*(AI46-$H$39)/$D$20,0))*Parameters!$G$14</f>
        <v>0</v>
      </c>
      <c r="AJ48" s="156">
        <f>IF(AJ44="UIT",0,IF(0&lt;$P$36/'P-D-T TABLES DATABASE'!$E$8*(AJ46-$H$39)/$D$20,$P$36/'P-D-T TABLES DATABASE'!$E$8*(AJ46-$H$39)/$D$20,0))*Parameters!$G$14</f>
        <v>0</v>
      </c>
      <c r="AK48" s="156">
        <f>IF(AK44="UIT",0,IF(0&lt;$P$36/'P-D-T TABLES DATABASE'!$E$8*(AK46-$H$39)/$D$20,$P$36/'P-D-T TABLES DATABASE'!$E$8*(AK46-$H$39)/$D$20,0))*Parameters!$G$14</f>
        <v>0</v>
      </c>
      <c r="AL48" s="156">
        <f>IF(AL44="UIT",0,IF(0&lt;$P$36/'P-D-T TABLES DATABASE'!$E$8*(AL46-$H$39)/$D$20,$P$36/'P-D-T TABLES DATABASE'!$E$8*(AL46-$H$39)/$D$20,0))*Parameters!$G$14</f>
        <v>0</v>
      </c>
      <c r="AM48" s="156">
        <f>IF(AM44="UIT",0,IF(0&lt;$P$36/'P-D-T TABLES DATABASE'!$E$8*(AM46-$H$39)/$D$20,$P$36/'P-D-T TABLES DATABASE'!$E$8*(AM46-$H$39)/$D$20,0))*Parameters!$G$14</f>
        <v>0</v>
      </c>
      <c r="AN48" s="156">
        <f>IF(AN44="UIT",0,IF(0&lt;$P$36/'P-D-T TABLES DATABASE'!$E$8*(AN46-$H$39)/$D$20,$P$36/'P-D-T TABLES DATABASE'!$E$8*(AN46-$H$39)/$D$20,0))*Parameters!$G$14</f>
        <v>0</v>
      </c>
      <c r="AO48" s="156">
        <f>IF(AO44="UIT",0,IF(0&lt;$P$36/'P-D-T TABLES DATABASE'!$E$8*(AO46-$H$39)/$D$20,$P$36/'P-D-T TABLES DATABASE'!$E$8*(AO46-$H$39)/$D$20,0))*Parameters!$G$14</f>
        <v>0</v>
      </c>
      <c r="AP48" s="156">
        <f>IF(AP44="UIT",0,IF(0&lt;$P$36/'P-D-T TABLES DATABASE'!$E$8*(AP46-$H$39)/$D$20,$P$36/'P-D-T TABLES DATABASE'!$E$8*(AP46-$H$39)/$D$20,0))*Parameters!$G$14</f>
        <v>0</v>
      </c>
      <c r="AQ48" s="156">
        <f>IF(AQ44="UIT",0,IF(0&lt;$P$36/'P-D-T TABLES DATABASE'!$E$8*(AQ46-$H$39)/$D$20,$P$36/'P-D-T TABLES DATABASE'!$E$8*(AQ46-$H$39)/$D$20,0))*Parameters!$G$14</f>
        <v>0</v>
      </c>
      <c r="AR48" s="156">
        <f>IF(AR44="UIT",0,IF(0&lt;$P$36/'P-D-T TABLES DATABASE'!$E$8*(AR46-$H$39)/$D$20,$P$36/'P-D-T TABLES DATABASE'!$E$8*(AR46-$H$39)/$D$20,0))*Parameters!$G$14</f>
        <v>0</v>
      </c>
      <c r="AS48" s="156">
        <f>IF(AS44="UIT",0,IF(0&lt;$P$36/'P-D-T TABLES DATABASE'!$E$8*(AS46-$H$39)/$D$20,$P$36/'P-D-T TABLES DATABASE'!$E$8*(AS46-$H$39)/$D$20,0))*Parameters!$G$14</f>
        <v>0</v>
      </c>
      <c r="AT48" s="156">
        <f>IF(AT44="UIT",0,IF(0&lt;$P$36/'P-D-T TABLES DATABASE'!$E$8*(AT46-$H$39)/$D$20,$P$36/'P-D-T TABLES DATABASE'!$E$8*(AT46-$H$39)/$D$20,0))*Parameters!$G$14</f>
        <v>0</v>
      </c>
      <c r="AU48" s="156">
        <f>IF(AU44="UIT",0,IF(0&lt;$P$36/'P-D-T TABLES DATABASE'!$E$8*(AU46-$H$39)/$D$20,$P$36/'P-D-T TABLES DATABASE'!$E$8*(AU46-$H$39)/$D$20,0))*Parameters!$G$14</f>
        <v>0</v>
      </c>
      <c r="AV48" s="156">
        <f>IF(AV44="UIT",0,IF(0&lt;$P$36/'P-D-T TABLES DATABASE'!$E$8*(AV46-$H$39)/$D$20,$P$36/'P-D-T TABLES DATABASE'!$E$8*(AV46-$H$39)/$D$20,0))*Parameters!$G$14</f>
        <v>0</v>
      </c>
      <c r="AW48" s="156">
        <f>IF(AW44="UIT",0,IF(0&lt;$P$36/'P-D-T TABLES DATABASE'!$E$8*(AW46-$H$39)/$D$20,$P$36/'P-D-T TABLES DATABASE'!$E$8*(AW46-$H$39)/$D$20,0))*Parameters!$G$14</f>
        <v>0</v>
      </c>
      <c r="AX48" s="156">
        <f>IF(AX44="UIT",0,IF(0&lt;$P$36/'P-D-T TABLES DATABASE'!$E$8*(AX46-$H$39)/$D$20,$P$36/'P-D-T TABLES DATABASE'!$E$8*(AX46-$H$39)/$D$20,0))*Parameters!$G$14</f>
        <v>0</v>
      </c>
      <c r="AY48" s="156">
        <f>IF(AY44="UIT",0,IF(0&lt;$P$36/'P-D-T TABLES DATABASE'!$E$8*(AY46-$H$39)/$D$20,$P$36/'P-D-T TABLES DATABASE'!$E$8*(AY46-$H$39)/$D$20,0))*Parameters!$G$14</f>
        <v>0</v>
      </c>
      <c r="AZ48" s="156">
        <f>IF(AZ44="UIT",0,IF(0&lt;$P$36/'P-D-T TABLES DATABASE'!$E$8*(AZ46-$H$39)/$D$20,$P$36/'P-D-T TABLES DATABASE'!$E$8*(AZ46-$H$39)/$D$20,0))*Parameters!$G$14</f>
        <v>0</v>
      </c>
      <c r="BA48" s="156">
        <f>IF(BA44="UIT",0,IF(0&lt;$P$36/'P-D-T TABLES DATABASE'!$E$8*(BA46-$H$39)/$D$20,$P$36/'P-D-T TABLES DATABASE'!$E$8*(BA46-$H$39)/$D$20,0))*Parameters!$G$14</f>
        <v>0</v>
      </c>
      <c r="BB48" s="156">
        <f>IF(BB44="UIT",0,IF(0&lt;$P$36/'P-D-T TABLES DATABASE'!$E$8*(BB46-$H$39)/$D$20,$P$36/'P-D-T TABLES DATABASE'!$E$8*(BB46-$H$39)/$D$20,0))*Parameters!$G$14</f>
        <v>0</v>
      </c>
      <c r="BC48" s="156">
        <f>IF(BC44="UIT",0,IF(0&lt;$P$36/'P-D-T TABLES DATABASE'!$E$8*(BC46-$H$39)/$D$20,$P$36/'P-D-T TABLES DATABASE'!$E$8*(BC46-$H$39)/$D$20,0))*Parameters!$G$14</f>
        <v>0</v>
      </c>
      <c r="BD48" s="156">
        <f>IF(BD44="UIT",0,IF(0&lt;$P$36/'P-D-T TABLES DATABASE'!$E$8*(BD46-$H$39)/$D$20,$P$36/'P-D-T TABLES DATABASE'!$E$8*(BD46-$H$39)/$D$20,0))*Parameters!$G$14</f>
        <v>0</v>
      </c>
      <c r="BE48" s="156">
        <f>IF(BE44="UIT",0,IF(0&lt;$P$36/'P-D-T TABLES DATABASE'!$E$8*(BE46-$H$39)/$D$20,$P$36/'P-D-T TABLES DATABASE'!$E$8*(BE46-$H$39)/$D$20,0))*Parameters!$G$14</f>
        <v>0</v>
      </c>
      <c r="BF48" s="156">
        <f>IF(BF44="UIT",0,IF(0&lt;$P$36/'P-D-T TABLES DATABASE'!$E$8*(BF46-$H$39)/$D$20,$P$36/'P-D-T TABLES DATABASE'!$E$8*(BF46-$H$39)/$D$20,0))*Parameters!$G$14</f>
        <v>0</v>
      </c>
      <c r="BG48" s="156">
        <f>IF(BG44="UIT",0,IF(0&lt;$P$36/'P-D-T TABLES DATABASE'!$E$8*(BG46-$H$39)/$D$20,$P$36/'P-D-T TABLES DATABASE'!$E$8*(BG46-$H$39)/$D$20,0))*Parameters!$G$14</f>
        <v>0</v>
      </c>
      <c r="BH48" s="156">
        <f>IF(BH44="UIT",0,IF(0&lt;$P$36/'P-D-T TABLES DATABASE'!$E$8*(BH46-$H$39)/$D$20,$P$36/'P-D-T TABLES DATABASE'!$E$8*(BH46-$H$39)/$D$20,0))*Parameters!$G$14</f>
        <v>0</v>
      </c>
      <c r="BI48" s="156">
        <f>IF(BI44="UIT",0,IF(0&lt;$P$36/'P-D-T TABLES DATABASE'!$E$8*(BI46-$H$39)/$D$20,$P$36/'P-D-T TABLES DATABASE'!$E$8*(BI46-$H$39)/$D$20,0))*Parameters!$G$14</f>
        <v>0</v>
      </c>
      <c r="BJ48" s="156">
        <f>IF(BJ44="UIT",0,IF(0&lt;$P$36/'P-D-T TABLES DATABASE'!$E$8*(BJ46-$H$39)/$D$20,$P$36/'P-D-T TABLES DATABASE'!$E$8*(BJ46-$H$39)/$D$20,0))*Parameters!$G$14</f>
        <v>0</v>
      </c>
      <c r="BK48" s="156">
        <f>IF(BK44="UIT",0,IF(0&lt;$P$36/'P-D-T TABLES DATABASE'!$E$8*(BK46-$H$39)/$D$20,$P$36/'P-D-T TABLES DATABASE'!$E$8*(BK46-$H$39)/$D$20,0))*Parameters!$G$14</f>
        <v>0</v>
      </c>
      <c r="BL48" s="156">
        <f>IF(BL44="UIT",0,IF(0&lt;$P$36/'P-D-T TABLES DATABASE'!$E$8*(BL46-$H$39)/$D$20,$P$36/'P-D-T TABLES DATABASE'!$E$8*(BL46-$H$39)/$D$20,0))*Parameters!$G$14</f>
        <v>0</v>
      </c>
      <c r="BM48" s="156">
        <f>IF(BM44="UIT",0,IF(0&lt;$P$36/'P-D-T TABLES DATABASE'!$E$8*(BM46-$H$39)/$D$20,$P$36/'P-D-T TABLES DATABASE'!$E$8*(BM46-$H$39)/$D$20,0))*Parameters!$G$14</f>
        <v>0</v>
      </c>
      <c r="BN48" s="156">
        <f>IF(BN44="UIT",0,IF(0&lt;$P$36/'P-D-T TABLES DATABASE'!$E$8*(BN46-$H$39)/$D$20,$P$36/'P-D-T TABLES DATABASE'!$E$8*(BN46-$H$39)/$D$20,0))*Parameters!$G$14</f>
        <v>0</v>
      </c>
      <c r="BO48" s="156">
        <f>IF(BO44="UIT",0,IF(0&lt;$P$36/'P-D-T TABLES DATABASE'!$E$8*(BO46-$H$39)/$D$20,$P$36/'P-D-T TABLES DATABASE'!$E$8*(BO46-$H$39)/$D$20,0))*Parameters!$G$14</f>
        <v>0</v>
      </c>
    </row>
    <row r="49" spans="2:67" x14ac:dyDescent="0.25">
      <c r="B49" s="13"/>
      <c r="C49" s="120" t="s">
        <v>1596</v>
      </c>
      <c r="D49" s="156">
        <f>MIN(IF(D42=$D$17,$P$37,$P$37+C49),$D$7)</f>
        <v>5</v>
      </c>
      <c r="E49" s="156">
        <f t="shared" ref="E49:BO49" si="8">MIN(IF(E42=$D$17,$P$37,$P$37+D49),$D$7)</f>
        <v>10</v>
      </c>
      <c r="F49" s="156">
        <f t="shared" si="8"/>
        <v>15</v>
      </c>
      <c r="G49" s="156">
        <f t="shared" si="8"/>
        <v>20</v>
      </c>
      <c r="H49" s="156">
        <f t="shared" si="8"/>
        <v>25</v>
      </c>
      <c r="I49" s="156">
        <f t="shared" si="8"/>
        <v>30</v>
      </c>
      <c r="J49" s="156">
        <f t="shared" si="8"/>
        <v>35</v>
      </c>
      <c r="K49" s="156">
        <f t="shared" si="8"/>
        <v>40</v>
      </c>
      <c r="L49" s="156">
        <f>MIN(IF(L42=$D$17,$P$37,$P$37+K49),$D$7)</f>
        <v>45</v>
      </c>
      <c r="M49" s="156">
        <f t="shared" si="8"/>
        <v>50</v>
      </c>
      <c r="N49" s="156">
        <f t="shared" si="8"/>
        <v>55</v>
      </c>
      <c r="O49" s="156">
        <f t="shared" si="8"/>
        <v>60</v>
      </c>
      <c r="P49" s="156">
        <f t="shared" si="8"/>
        <v>65</v>
      </c>
      <c r="Q49" s="156">
        <f t="shared" si="8"/>
        <v>70</v>
      </c>
      <c r="R49" s="156">
        <f t="shared" si="8"/>
        <v>75</v>
      </c>
      <c r="S49" s="156">
        <f t="shared" si="8"/>
        <v>80</v>
      </c>
      <c r="T49" s="156">
        <f t="shared" si="8"/>
        <v>85</v>
      </c>
      <c r="U49" s="156">
        <f t="shared" si="8"/>
        <v>90</v>
      </c>
      <c r="V49" s="156">
        <f t="shared" si="8"/>
        <v>95</v>
      </c>
      <c r="W49" s="156">
        <f t="shared" si="8"/>
        <v>100</v>
      </c>
      <c r="X49" s="156">
        <f t="shared" si="8"/>
        <v>105</v>
      </c>
      <c r="Y49" s="156">
        <f t="shared" si="8"/>
        <v>110</v>
      </c>
      <c r="Z49" s="156">
        <f t="shared" si="8"/>
        <v>115</v>
      </c>
      <c r="AA49" s="156">
        <f t="shared" si="8"/>
        <v>120</v>
      </c>
      <c r="AB49" s="156">
        <f t="shared" si="8"/>
        <v>120</v>
      </c>
      <c r="AC49" s="156">
        <f t="shared" si="8"/>
        <v>120</v>
      </c>
      <c r="AD49" s="156">
        <f t="shared" si="8"/>
        <v>120</v>
      </c>
      <c r="AE49" s="156">
        <f t="shared" si="8"/>
        <v>120</v>
      </c>
      <c r="AF49" s="156">
        <f t="shared" si="8"/>
        <v>120</v>
      </c>
      <c r="AG49" s="156">
        <f t="shared" si="8"/>
        <v>120</v>
      </c>
      <c r="AH49" s="156">
        <f t="shared" si="8"/>
        <v>120</v>
      </c>
      <c r="AI49" s="156">
        <f t="shared" si="8"/>
        <v>120</v>
      </c>
      <c r="AJ49" s="156">
        <f t="shared" si="8"/>
        <v>120</v>
      </c>
      <c r="AK49" s="156">
        <f t="shared" si="8"/>
        <v>120</v>
      </c>
      <c r="AL49" s="156">
        <f t="shared" si="8"/>
        <v>120</v>
      </c>
      <c r="AM49" s="156">
        <f t="shared" si="8"/>
        <v>120</v>
      </c>
      <c r="AN49" s="156">
        <f t="shared" si="8"/>
        <v>120</v>
      </c>
      <c r="AO49" s="156">
        <f t="shared" si="8"/>
        <v>120</v>
      </c>
      <c r="AP49" s="156">
        <f t="shared" si="8"/>
        <v>120</v>
      </c>
      <c r="AQ49" s="156">
        <f t="shared" si="8"/>
        <v>120</v>
      </c>
      <c r="AR49" s="156">
        <f t="shared" si="8"/>
        <v>120</v>
      </c>
      <c r="AS49" s="156">
        <f t="shared" si="8"/>
        <v>120</v>
      </c>
      <c r="AT49" s="156">
        <f t="shared" si="8"/>
        <v>120</v>
      </c>
      <c r="AU49" s="156">
        <f t="shared" si="8"/>
        <v>120</v>
      </c>
      <c r="AV49" s="156">
        <f t="shared" si="8"/>
        <v>120</v>
      </c>
      <c r="AW49" s="156">
        <f t="shared" si="8"/>
        <v>120</v>
      </c>
      <c r="AX49" s="156">
        <f t="shared" si="8"/>
        <v>120</v>
      </c>
      <c r="AY49" s="156">
        <f t="shared" si="8"/>
        <v>120</v>
      </c>
      <c r="AZ49" s="156">
        <f t="shared" si="8"/>
        <v>120</v>
      </c>
      <c r="BA49" s="156">
        <f t="shared" si="8"/>
        <v>120</v>
      </c>
      <c r="BB49" s="156">
        <f t="shared" si="8"/>
        <v>120</v>
      </c>
      <c r="BC49" s="156">
        <f t="shared" si="8"/>
        <v>120</v>
      </c>
      <c r="BD49" s="156">
        <f t="shared" si="8"/>
        <v>120</v>
      </c>
      <c r="BE49" s="156">
        <f t="shared" si="8"/>
        <v>120</v>
      </c>
      <c r="BF49" s="156">
        <f t="shared" si="8"/>
        <v>120</v>
      </c>
      <c r="BG49" s="156">
        <f t="shared" si="8"/>
        <v>120</v>
      </c>
      <c r="BH49" s="156">
        <f t="shared" si="8"/>
        <v>120</v>
      </c>
      <c r="BI49" s="156">
        <f t="shared" si="8"/>
        <v>120</v>
      </c>
      <c r="BJ49" s="156">
        <f t="shared" si="8"/>
        <v>120</v>
      </c>
      <c r="BK49" s="156">
        <f t="shared" si="8"/>
        <v>120</v>
      </c>
      <c r="BL49" s="156">
        <f t="shared" si="8"/>
        <v>120</v>
      </c>
      <c r="BM49" s="156">
        <f t="shared" si="8"/>
        <v>120</v>
      </c>
      <c r="BN49" s="156">
        <f t="shared" si="8"/>
        <v>120</v>
      </c>
      <c r="BO49" s="156">
        <f t="shared" si="8"/>
        <v>120</v>
      </c>
    </row>
    <row r="50" spans="2:67" x14ac:dyDescent="0.25">
      <c r="B50" s="13"/>
      <c r="C50" s="14"/>
      <c r="D50" s="351"/>
      <c r="E50" s="351"/>
      <c r="F50" s="351"/>
      <c r="G50" s="351"/>
      <c r="H50" s="351"/>
      <c r="I50" s="351"/>
      <c r="J50" s="351"/>
      <c r="K50" s="351"/>
      <c r="L50" s="351"/>
      <c r="M50" s="351"/>
      <c r="N50" s="351"/>
      <c r="O50" s="351"/>
      <c r="P50" s="351"/>
      <c r="Q50" s="351"/>
      <c r="R50" s="351"/>
      <c r="S50" s="351"/>
      <c r="T50" s="351"/>
      <c r="U50" s="351"/>
      <c r="V50" s="351"/>
      <c r="W50" s="351"/>
      <c r="X50" s="351"/>
      <c r="Y50" s="351"/>
      <c r="Z50" s="352"/>
      <c r="AA50" s="351"/>
      <c r="AB50" s="351"/>
      <c r="AC50" s="351"/>
      <c r="AD50" s="351"/>
      <c r="AE50" s="351"/>
      <c r="AF50" s="351"/>
      <c r="AG50" s="351"/>
      <c r="AH50" s="351"/>
      <c r="AI50" s="351"/>
      <c r="AJ50" s="351"/>
      <c r="AK50" s="351"/>
      <c r="AL50" s="351"/>
      <c r="AM50" s="351"/>
      <c r="AN50" s="351"/>
      <c r="AO50" s="351"/>
      <c r="AP50" s="351"/>
      <c r="AQ50" s="351"/>
      <c r="AR50" s="351"/>
      <c r="AS50" s="351"/>
      <c r="AT50" s="351"/>
      <c r="AU50" s="351"/>
      <c r="AV50" s="351"/>
      <c r="AW50" s="351"/>
      <c r="AX50" s="351"/>
      <c r="AY50" s="351"/>
      <c r="AZ50" s="351"/>
      <c r="BA50" s="351"/>
      <c r="BB50" s="351"/>
      <c r="BC50" s="351"/>
      <c r="BD50" s="351"/>
      <c r="BE50" s="351"/>
      <c r="BF50" s="351"/>
      <c r="BG50" s="351"/>
      <c r="BH50" s="351"/>
      <c r="BI50" s="351"/>
      <c r="BJ50" s="351"/>
      <c r="BK50" s="351"/>
      <c r="BL50" s="351"/>
      <c r="BM50" s="351"/>
      <c r="BN50" s="351"/>
      <c r="BO50" s="351"/>
    </row>
    <row r="51" spans="2:67" x14ac:dyDescent="0.25">
      <c r="B51" s="13"/>
      <c r="C51" s="42" t="s">
        <v>71</v>
      </c>
      <c r="D51" s="92"/>
      <c r="E51" s="14"/>
      <c r="F51" s="14"/>
      <c r="G51" s="14"/>
      <c r="H51" s="14"/>
      <c r="I51" s="14"/>
      <c r="J51" s="14"/>
      <c r="K51" s="14"/>
      <c r="L51" s="14"/>
      <c r="M51" s="92"/>
      <c r="N51" s="14"/>
      <c r="O51" s="14"/>
      <c r="P51" s="14"/>
      <c r="Q51" s="14"/>
      <c r="R51" s="14"/>
      <c r="S51" s="14"/>
      <c r="T51" s="14"/>
      <c r="U51" s="14"/>
      <c r="V51" s="14"/>
      <c r="W51" s="14"/>
      <c r="X51" s="14"/>
      <c r="Y51" s="31"/>
      <c r="Z51" s="15"/>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row>
    <row r="52" spans="2:67" x14ac:dyDescent="0.25">
      <c r="B52" s="13"/>
      <c r="C52" s="39" t="s">
        <v>128</v>
      </c>
      <c r="D52" s="40"/>
      <c r="E52" s="41"/>
      <c r="F52" s="14"/>
      <c r="G52" s="39"/>
      <c r="H52" s="40"/>
      <c r="I52" s="41"/>
      <c r="J52" s="14"/>
      <c r="K52" s="14"/>
      <c r="L52" s="14"/>
      <c r="M52" s="14"/>
      <c r="N52" s="14"/>
      <c r="O52" s="14"/>
      <c r="P52" s="14"/>
      <c r="Q52" s="14"/>
      <c r="R52" s="14"/>
      <c r="S52" s="14"/>
      <c r="T52" s="14"/>
      <c r="U52" s="14"/>
      <c r="V52" s="14"/>
      <c r="W52" s="14"/>
      <c r="X52" s="14"/>
      <c r="Y52" s="31"/>
      <c r="Z52" s="15"/>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row>
    <row r="53" spans="2:67" x14ac:dyDescent="0.25">
      <c r="B53" s="13"/>
      <c r="C53" s="14"/>
      <c r="D53" s="14"/>
      <c r="E53" s="14"/>
      <c r="F53" s="14"/>
      <c r="G53" s="14"/>
      <c r="H53" s="14"/>
      <c r="I53" s="14"/>
      <c r="J53" s="14"/>
      <c r="K53" s="14"/>
      <c r="L53" s="14"/>
      <c r="M53" s="14"/>
      <c r="N53" s="14"/>
      <c r="O53" s="14"/>
      <c r="P53" s="14"/>
      <c r="Q53" s="14"/>
      <c r="R53" s="14"/>
      <c r="S53" s="14"/>
      <c r="T53" s="14"/>
      <c r="U53" s="14"/>
      <c r="V53" s="14"/>
      <c r="W53" s="14"/>
      <c r="X53" s="14"/>
      <c r="Y53" s="31"/>
      <c r="Z53" s="15"/>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row>
    <row r="54" spans="2:67" x14ac:dyDescent="0.25">
      <c r="B54" s="13"/>
      <c r="C54" s="122"/>
      <c r="D54" s="123"/>
      <c r="E54" s="34"/>
      <c r="F54" s="14"/>
      <c r="G54" s="32"/>
      <c r="H54" s="33"/>
      <c r="I54" s="34"/>
      <c r="J54" s="14"/>
      <c r="K54" s="14"/>
      <c r="L54" s="14"/>
      <c r="M54" s="14"/>
      <c r="N54" s="14"/>
      <c r="O54" s="14"/>
      <c r="P54" s="14"/>
      <c r="Q54" s="14"/>
      <c r="R54" s="14"/>
      <c r="S54" s="14"/>
      <c r="T54" s="14"/>
      <c r="U54" s="14"/>
      <c r="V54" s="14"/>
      <c r="W54" s="14"/>
      <c r="X54" s="14"/>
      <c r="Y54" s="31"/>
      <c r="Z54" s="15"/>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row>
    <row r="55" spans="2:67" x14ac:dyDescent="0.25">
      <c r="B55" s="13"/>
      <c r="C55" s="108" t="s">
        <v>128</v>
      </c>
      <c r="D55" s="85"/>
      <c r="E55" s="35"/>
      <c r="F55" s="14"/>
      <c r="G55" s="6"/>
      <c r="H55" s="85"/>
      <c r="I55" s="35"/>
      <c r="J55" s="14"/>
      <c r="K55" s="14"/>
      <c r="L55" s="14"/>
      <c r="M55" s="14"/>
      <c r="N55" s="14"/>
      <c r="O55" s="14"/>
      <c r="P55" s="14"/>
      <c r="Q55" s="14"/>
      <c r="R55" s="14"/>
      <c r="S55" s="14"/>
      <c r="T55" s="14"/>
      <c r="U55" s="14"/>
      <c r="V55" s="14"/>
      <c r="W55" s="14"/>
      <c r="X55" s="14"/>
      <c r="Y55" s="31"/>
      <c r="Z55" s="15"/>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row>
    <row r="56" spans="2:67" x14ac:dyDescent="0.25">
      <c r="B56" s="13"/>
      <c r="C56" s="108" t="str">
        <f>Parameters!E205</f>
        <v>Pump capacity required at project end</v>
      </c>
      <c r="D56" s="81">
        <f>MAX(D48:BO48,0)/8760</f>
        <v>0</v>
      </c>
      <c r="E56" s="35" t="str">
        <f>Parameters!F205</f>
        <v>MW</v>
      </c>
      <c r="F56" s="14"/>
      <c r="G56" s="6" t="s">
        <v>131</v>
      </c>
      <c r="H56" s="347">
        <f>D56*Parameters!$G$14</f>
        <v>0</v>
      </c>
      <c r="I56" s="35" t="s">
        <v>86</v>
      </c>
      <c r="J56" s="14"/>
      <c r="K56" s="14"/>
      <c r="L56" s="14"/>
      <c r="M56" s="14"/>
      <c r="N56" s="14"/>
      <c r="O56" s="14"/>
      <c r="P56" s="14"/>
      <c r="Q56" s="14"/>
      <c r="R56" s="14"/>
      <c r="S56" s="14"/>
      <c r="T56" s="14"/>
      <c r="U56" s="14"/>
      <c r="V56" s="14"/>
      <c r="W56" s="14"/>
      <c r="X56" s="14"/>
      <c r="Y56" s="31"/>
      <c r="Z56" s="15"/>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row>
    <row r="57" spans="2:67" x14ac:dyDescent="0.25">
      <c r="B57" s="13"/>
      <c r="C57" s="108" t="s">
        <v>847</v>
      </c>
      <c r="D57" s="77">
        <f>INDEX($D$42:$BP$48,MATCH($C$46,$C$42:$C$48,0),MATCH($D$18,$D$42:$BP$42,0))</f>
        <v>27.5</v>
      </c>
      <c r="E57" s="35" t="s">
        <v>29</v>
      </c>
      <c r="F57" s="14"/>
      <c r="G57" s="6"/>
      <c r="H57" s="143" t="s">
        <v>540</v>
      </c>
      <c r="I57" s="35"/>
      <c r="J57" s="14"/>
      <c r="K57" s="14"/>
      <c r="L57" s="14"/>
      <c r="M57" s="14"/>
      <c r="N57" s="14"/>
      <c r="O57" s="14"/>
      <c r="P57" s="14"/>
      <c r="Q57" s="14"/>
      <c r="R57" s="14"/>
      <c r="S57" s="14"/>
      <c r="T57" s="14"/>
      <c r="U57" s="14"/>
      <c r="V57" s="14"/>
      <c r="W57" s="14"/>
      <c r="X57" s="14"/>
      <c r="Y57" s="31"/>
      <c r="Z57" s="15"/>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row>
    <row r="58" spans="2:67" x14ac:dyDescent="0.25">
      <c r="B58" s="13"/>
      <c r="C58" s="108"/>
      <c r="D58" s="85"/>
      <c r="E58" s="35"/>
      <c r="F58" s="14"/>
      <c r="G58" s="6"/>
      <c r="H58" s="72"/>
      <c r="I58" s="35"/>
      <c r="J58" s="14"/>
      <c r="K58" s="14"/>
      <c r="L58" s="14"/>
      <c r="M58" s="14"/>
      <c r="N58" s="14"/>
      <c r="O58" s="14"/>
      <c r="P58" s="14"/>
      <c r="Q58" s="14"/>
      <c r="R58" s="14"/>
      <c r="S58" s="14"/>
      <c r="T58" s="14"/>
      <c r="U58" s="14"/>
      <c r="V58" s="14"/>
      <c r="W58" s="14"/>
      <c r="X58" s="14"/>
      <c r="Y58" s="31"/>
      <c r="Z58" s="15"/>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2:67" x14ac:dyDescent="0.25">
      <c r="B59" s="13"/>
      <c r="C59" s="108"/>
      <c r="D59" s="2"/>
      <c r="E59" s="35"/>
      <c r="F59" s="14"/>
      <c r="G59" s="6"/>
      <c r="H59" s="43"/>
      <c r="I59" s="35"/>
      <c r="J59" s="14"/>
      <c r="K59" s="14"/>
      <c r="L59" s="14"/>
      <c r="M59" s="14"/>
      <c r="N59" s="14"/>
      <c r="O59" s="14"/>
      <c r="P59" s="14"/>
      <c r="Q59" s="14"/>
      <c r="R59" s="14"/>
      <c r="S59" s="14"/>
      <c r="T59" s="14"/>
      <c r="U59" s="14"/>
      <c r="V59" s="14"/>
      <c r="W59" s="14"/>
      <c r="X59" s="14"/>
      <c r="Y59" s="31"/>
      <c r="Z59" s="15"/>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row>
    <row r="60" spans="2:67" x14ac:dyDescent="0.25">
      <c r="B60" s="13"/>
      <c r="C60" s="36"/>
      <c r="D60" s="37"/>
      <c r="E60" s="38"/>
      <c r="F60" s="14"/>
      <c r="G60" s="36"/>
      <c r="H60" s="37"/>
      <c r="I60" s="38"/>
      <c r="J60" s="14"/>
      <c r="K60" s="14"/>
      <c r="L60" s="14"/>
      <c r="M60" s="14"/>
      <c r="N60" s="14"/>
      <c r="O60" s="14"/>
      <c r="P60" s="14"/>
      <c r="Q60" s="14"/>
      <c r="R60" s="14"/>
      <c r="S60" s="14"/>
      <c r="T60" s="14"/>
      <c r="U60" s="14"/>
      <c r="V60" s="14"/>
      <c r="W60" s="14"/>
      <c r="X60" s="14"/>
      <c r="Y60" s="31"/>
      <c r="Z60" s="15"/>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row>
    <row r="61" spans="2:67" x14ac:dyDescent="0.25">
      <c r="B61" s="13"/>
      <c r="C61" s="42"/>
      <c r="D61" s="14"/>
      <c r="E61" s="14"/>
      <c r="F61" s="14"/>
      <c r="G61" s="14"/>
      <c r="H61" s="14"/>
      <c r="I61" s="14"/>
      <c r="J61" s="14"/>
      <c r="K61" s="14"/>
      <c r="L61" s="14"/>
      <c r="M61" s="14"/>
      <c r="N61" s="14"/>
      <c r="O61" s="14"/>
      <c r="P61" s="14"/>
      <c r="Q61" s="14"/>
      <c r="R61" s="14"/>
      <c r="S61" s="14"/>
      <c r="T61" s="14"/>
      <c r="U61" s="14"/>
      <c r="V61" s="14"/>
      <c r="W61" s="14"/>
      <c r="X61" s="14"/>
      <c r="Y61" s="14"/>
      <c r="Z61" s="15"/>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row>
    <row r="62" spans="2:67" x14ac:dyDescent="0.25">
      <c r="B62" s="13"/>
      <c r="C62" s="39" t="s">
        <v>537</v>
      </c>
      <c r="D62" s="40"/>
      <c r="E62" s="41"/>
      <c r="F62" s="14"/>
      <c r="G62" s="39"/>
      <c r="H62" s="40"/>
      <c r="I62" s="41"/>
      <c r="J62" s="14"/>
      <c r="K62" s="290"/>
      <c r="L62" s="40"/>
      <c r="M62" s="41"/>
      <c r="N62" s="14"/>
      <c r="O62" s="14"/>
      <c r="P62" s="14"/>
      <c r="Q62" s="14"/>
      <c r="R62" s="14"/>
      <c r="S62" s="14"/>
      <c r="T62" s="14"/>
      <c r="U62" s="14"/>
      <c r="V62" s="14"/>
      <c r="W62" s="14"/>
      <c r="X62" s="14"/>
      <c r="Y62" s="14"/>
      <c r="Z62" s="15"/>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row>
    <row r="63" spans="2:67" x14ac:dyDescent="0.25">
      <c r="B63" s="13"/>
      <c r="C63" s="14" t="s">
        <v>556</v>
      </c>
      <c r="D63" s="14"/>
      <c r="E63" s="14"/>
      <c r="F63" s="14"/>
      <c r="G63" s="14"/>
      <c r="H63" s="14"/>
      <c r="I63" s="14"/>
      <c r="J63" s="14"/>
      <c r="K63" s="14"/>
      <c r="L63" s="14"/>
      <c r="M63" s="14"/>
      <c r="N63" s="14"/>
      <c r="O63" s="14"/>
      <c r="P63" s="14"/>
      <c r="Q63" s="14"/>
      <c r="R63" s="14"/>
      <c r="S63" s="14"/>
      <c r="T63" s="14"/>
      <c r="U63" s="14"/>
      <c r="V63" s="14"/>
      <c r="W63" s="14"/>
      <c r="X63" s="14"/>
      <c r="Y63" s="14"/>
      <c r="Z63" s="15"/>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row>
    <row r="64" spans="2:67" x14ac:dyDescent="0.25">
      <c r="B64" s="13"/>
      <c r="C64" s="122"/>
      <c r="D64" s="123"/>
      <c r="E64" s="34"/>
      <c r="F64" s="14"/>
      <c r="G64" s="32"/>
      <c r="H64" s="33"/>
      <c r="I64" s="34"/>
      <c r="J64" s="14"/>
      <c r="K64" s="32"/>
      <c r="L64" s="33"/>
      <c r="M64" s="34"/>
      <c r="N64" s="14"/>
      <c r="O64" s="32"/>
      <c r="P64" s="34"/>
      <c r="Q64" s="14"/>
      <c r="R64" s="32"/>
      <c r="S64" s="33"/>
      <c r="T64" s="34"/>
      <c r="U64" s="14"/>
      <c r="V64" s="32"/>
      <c r="W64" s="33"/>
      <c r="X64" s="34"/>
      <c r="Y64" s="14"/>
      <c r="Z64" s="15"/>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row>
    <row r="65" spans="2:54" x14ac:dyDescent="0.25">
      <c r="B65" s="13"/>
      <c r="C65" s="6"/>
      <c r="D65" s="2"/>
      <c r="E65" s="35"/>
      <c r="F65" s="14"/>
      <c r="G65" s="6"/>
      <c r="H65" s="85"/>
      <c r="I65" s="35"/>
      <c r="J65" s="14"/>
      <c r="K65" s="6"/>
      <c r="L65" s="85"/>
      <c r="M65" s="35"/>
      <c r="N65" s="155"/>
      <c r="O65" s="6"/>
      <c r="P65" s="35"/>
      <c r="Q65" s="14"/>
      <c r="R65" s="6"/>
      <c r="S65" s="2"/>
      <c r="T65" s="35"/>
      <c r="U65" s="14"/>
      <c r="V65" s="6"/>
      <c r="W65" s="2"/>
      <c r="X65" s="35"/>
      <c r="Y65" s="14"/>
      <c r="Z65" s="15"/>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row>
    <row r="66" spans="2:54" x14ac:dyDescent="0.25">
      <c r="B66" s="13"/>
      <c r="C66" s="108" t="s">
        <v>1256</v>
      </c>
      <c r="D66" s="85">
        <f>IF(D12&lt;$D$28,IF(D38&lt;(12+273),$D$25,0),0)*D36/1000</f>
        <v>0</v>
      </c>
      <c r="E66" s="35" t="s">
        <v>628</v>
      </c>
      <c r="F66" s="14"/>
      <c r="G66" s="6" t="s">
        <v>539</v>
      </c>
      <c r="H66" s="88">
        <f>D66*3600*Parameters!$G$14</f>
        <v>0</v>
      </c>
      <c r="I66" s="35" t="s">
        <v>848</v>
      </c>
      <c r="J66" s="14"/>
      <c r="K66" s="6"/>
      <c r="L66" s="88"/>
      <c r="M66" s="35"/>
      <c r="N66" s="155"/>
      <c r="O66" s="6"/>
      <c r="P66" s="35"/>
      <c r="Q66" s="31"/>
      <c r="R66" s="6"/>
      <c r="S66" s="81"/>
      <c r="T66" s="35"/>
      <c r="U66" s="14"/>
      <c r="V66" s="6"/>
      <c r="W66" s="77"/>
      <c r="X66" s="35"/>
      <c r="Y66" s="14"/>
      <c r="Z66" s="15"/>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row>
    <row r="67" spans="2:54" x14ac:dyDescent="0.25">
      <c r="B67" s="13"/>
      <c r="C67" s="108"/>
      <c r="D67" s="85"/>
      <c r="E67" s="35"/>
      <c r="F67" s="14"/>
      <c r="G67" s="6" t="s">
        <v>539</v>
      </c>
      <c r="H67" s="88">
        <f>D66*Parameters!G14</f>
        <v>0</v>
      </c>
      <c r="I67" s="35" t="s">
        <v>836</v>
      </c>
      <c r="J67" s="14"/>
      <c r="K67" s="6"/>
      <c r="L67" s="143"/>
      <c r="M67" s="35"/>
      <c r="N67" s="155"/>
      <c r="O67" s="6"/>
      <c r="P67" s="35"/>
      <c r="Q67" s="31"/>
      <c r="R67" s="6"/>
      <c r="S67" s="80"/>
      <c r="T67" s="35"/>
      <c r="U67" s="14"/>
      <c r="V67" s="6"/>
      <c r="W67" s="77"/>
      <c r="X67" s="35"/>
      <c r="Y67" s="14"/>
      <c r="Z67" s="15"/>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row>
    <row r="68" spans="2:54" x14ac:dyDescent="0.25">
      <c r="B68" s="13"/>
      <c r="C68" s="108"/>
      <c r="D68" s="85"/>
      <c r="E68" s="35"/>
      <c r="F68" s="14"/>
      <c r="G68" s="6"/>
      <c r="H68" s="143"/>
      <c r="I68" s="35"/>
      <c r="J68" s="14"/>
      <c r="K68" s="6"/>
      <c r="L68" s="72"/>
      <c r="M68" s="35"/>
      <c r="N68" s="155"/>
      <c r="O68" s="6"/>
      <c r="P68" s="35"/>
      <c r="Q68" s="31"/>
      <c r="R68" s="6"/>
      <c r="S68" s="80"/>
      <c r="T68" s="35"/>
      <c r="U68" s="14"/>
      <c r="V68" s="6"/>
      <c r="W68" s="77"/>
      <c r="X68" s="35"/>
      <c r="Y68" s="14"/>
      <c r="Z68" s="15"/>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row>
    <row r="69" spans="2:54" x14ac:dyDescent="0.25">
      <c r="B69" s="13"/>
      <c r="C69" s="108"/>
      <c r="D69" s="2"/>
      <c r="E69" s="35"/>
      <c r="F69" s="14"/>
      <c r="G69" s="6"/>
      <c r="H69" s="43"/>
      <c r="I69" s="35"/>
      <c r="J69" s="14"/>
      <c r="K69" s="6"/>
      <c r="L69" s="43"/>
      <c r="M69" s="35"/>
      <c r="N69" s="155"/>
      <c r="O69" s="6"/>
      <c r="P69" s="35"/>
      <c r="Q69" s="31"/>
      <c r="R69" s="6"/>
      <c r="S69" s="157"/>
      <c r="T69" s="35"/>
      <c r="U69" s="14"/>
      <c r="V69" s="6"/>
      <c r="W69" s="2"/>
      <c r="X69" s="35"/>
      <c r="Y69" s="14"/>
      <c r="Z69" s="15"/>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row>
    <row r="70" spans="2:54" x14ac:dyDescent="0.25">
      <c r="B70" s="13"/>
      <c r="C70" s="36"/>
      <c r="D70" s="37"/>
      <c r="E70" s="38"/>
      <c r="F70" s="14"/>
      <c r="G70" s="36"/>
      <c r="H70" s="37"/>
      <c r="I70" s="38"/>
      <c r="J70" s="14"/>
      <c r="K70" s="36"/>
      <c r="L70" s="37"/>
      <c r="M70" s="38"/>
      <c r="N70" s="14"/>
      <c r="O70" s="36"/>
      <c r="P70" s="38"/>
      <c r="Q70" s="14"/>
      <c r="R70" s="36"/>
      <c r="S70" s="37"/>
      <c r="T70" s="38"/>
      <c r="U70" s="14"/>
      <c r="V70" s="36"/>
      <c r="W70" s="37"/>
      <c r="X70" s="38"/>
      <c r="Y70" s="14"/>
      <c r="Z70" s="15"/>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row>
    <row r="71" spans="2:54" x14ac:dyDescent="0.25">
      <c r="B71" s="13"/>
      <c r="C71" s="5"/>
      <c r="D71" s="5"/>
      <c r="E71" s="5"/>
      <c r="F71" s="5"/>
      <c r="G71" s="5"/>
      <c r="H71" s="5"/>
      <c r="I71" s="5"/>
      <c r="J71" s="14"/>
      <c r="K71" s="14"/>
      <c r="L71" s="14"/>
      <c r="M71" s="14"/>
      <c r="N71" s="14"/>
      <c r="O71" s="14"/>
      <c r="P71" s="14"/>
      <c r="Q71" s="14"/>
      <c r="R71" s="14"/>
      <c r="S71" s="14"/>
      <c r="T71" s="14"/>
      <c r="U71" s="14"/>
      <c r="V71" s="14"/>
      <c r="W71" s="14"/>
      <c r="X71" s="14"/>
      <c r="Y71" s="14"/>
      <c r="Z71" s="15"/>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row>
    <row r="72" spans="2:54" x14ac:dyDescent="0.25">
      <c r="B72" s="13"/>
      <c r="C72" s="42" t="s">
        <v>47</v>
      </c>
      <c r="D72" s="14"/>
      <c r="E72" s="14"/>
      <c r="F72" s="14"/>
      <c r="G72" s="14"/>
      <c r="H72" s="14"/>
      <c r="I72" s="14"/>
      <c r="J72" s="14"/>
      <c r="K72" s="14"/>
      <c r="L72" s="14"/>
      <c r="M72" s="14"/>
      <c r="N72" s="14"/>
      <c r="O72" s="14"/>
      <c r="P72" s="14"/>
      <c r="Q72" s="14"/>
      <c r="R72" s="14"/>
      <c r="S72" s="14"/>
      <c r="T72" s="14"/>
      <c r="U72" s="14"/>
      <c r="V72" s="14"/>
      <c r="W72" s="14"/>
      <c r="X72" s="14"/>
      <c r="Y72" s="14"/>
      <c r="Z72" s="15"/>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row>
    <row r="73" spans="2:54" x14ac:dyDescent="0.25">
      <c r="B73" s="13"/>
      <c r="C73" s="39" t="s">
        <v>132</v>
      </c>
      <c r="D73" s="40"/>
      <c r="E73" s="41"/>
      <c r="F73" s="14"/>
      <c r="G73" s="39" t="s">
        <v>133</v>
      </c>
      <c r="H73" s="40"/>
      <c r="I73" s="41"/>
      <c r="J73" s="14"/>
      <c r="K73" s="39" t="s">
        <v>1530</v>
      </c>
      <c r="L73" s="40"/>
      <c r="M73" s="41"/>
      <c r="N73" s="14"/>
      <c r="O73" s="14"/>
      <c r="P73" s="14"/>
      <c r="Q73" s="14"/>
      <c r="R73" s="14"/>
      <c r="S73" s="14"/>
      <c r="T73" s="14"/>
      <c r="U73" s="14"/>
      <c r="V73" s="14"/>
      <c r="W73" s="14"/>
      <c r="X73" s="14"/>
      <c r="Y73" s="14"/>
      <c r="Z73" s="15"/>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row>
    <row r="74" spans="2:54" x14ac:dyDescent="0.25">
      <c r="B74" s="13"/>
      <c r="C74" s="14"/>
      <c r="D74" s="14"/>
      <c r="E74" s="14"/>
      <c r="F74" s="14"/>
      <c r="G74" s="14"/>
      <c r="H74" s="14"/>
      <c r="I74" s="14"/>
      <c r="J74" s="14"/>
      <c r="K74" s="14"/>
      <c r="L74" s="14"/>
      <c r="M74" s="14"/>
      <c r="N74" s="14"/>
      <c r="O74" s="14"/>
      <c r="P74" s="14"/>
      <c r="Q74" s="14"/>
      <c r="R74" s="14"/>
      <c r="S74" s="14"/>
      <c r="T74" s="14"/>
      <c r="U74" s="14"/>
      <c r="V74" s="14"/>
      <c r="W74" s="14"/>
      <c r="X74" s="14"/>
      <c r="Y74" s="14"/>
      <c r="Z74" s="15"/>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row>
    <row r="75" spans="2:54" x14ac:dyDescent="0.25">
      <c r="B75" s="13"/>
      <c r="C75" s="32"/>
      <c r="D75" s="86" t="s">
        <v>3</v>
      </c>
      <c r="E75" s="99"/>
      <c r="F75" s="14"/>
      <c r="G75" s="32"/>
      <c r="H75" s="33" t="s">
        <v>4</v>
      </c>
      <c r="I75" s="34"/>
      <c r="J75" s="14"/>
      <c r="K75" s="32" t="s">
        <v>1531</v>
      </c>
      <c r="L75" s="33"/>
      <c r="M75" s="34"/>
      <c r="N75" s="14"/>
      <c r="O75" s="14"/>
      <c r="P75" s="14"/>
      <c r="Q75" s="14"/>
      <c r="R75" s="14"/>
      <c r="S75" s="14"/>
      <c r="T75" s="14"/>
      <c r="U75" s="14"/>
      <c r="V75" s="14"/>
      <c r="W75" s="14"/>
      <c r="X75" s="14"/>
      <c r="Y75" s="14"/>
      <c r="Z75" s="15"/>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row>
    <row r="76" spans="2:54" x14ac:dyDescent="0.25">
      <c r="B76" s="13"/>
      <c r="C76" s="6"/>
      <c r="D76" s="2"/>
      <c r="E76" s="104"/>
      <c r="F76" s="14"/>
      <c r="G76" s="6"/>
      <c r="H76" s="93"/>
      <c r="I76" s="35"/>
      <c r="J76" s="14"/>
      <c r="K76" s="108" t="str">
        <f>C56</f>
        <v>Pump capacity required at project end</v>
      </c>
      <c r="L76" s="81">
        <f t="shared" ref="L76:M76" si="9">D56</f>
        <v>0</v>
      </c>
      <c r="M76" s="35" t="str">
        <f t="shared" si="9"/>
        <v>MW</v>
      </c>
      <c r="N76" s="14"/>
      <c r="O76" s="14"/>
      <c r="P76" s="14"/>
      <c r="Q76" s="14"/>
      <c r="R76" s="14"/>
      <c r="S76" s="14"/>
      <c r="T76" s="14"/>
      <c r="U76" s="14"/>
      <c r="V76" s="14"/>
      <c r="W76" s="14"/>
      <c r="X76" s="14"/>
      <c r="Y76" s="14"/>
      <c r="Z76" s="15"/>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row>
    <row r="77" spans="2:54" x14ac:dyDescent="0.25">
      <c r="B77" s="13"/>
      <c r="C77" s="6"/>
      <c r="D77" s="2"/>
      <c r="E77" s="104"/>
      <c r="F77" s="14"/>
      <c r="G77" s="6"/>
      <c r="H77" s="94"/>
      <c r="I77" s="35"/>
      <c r="J77" s="14"/>
      <c r="K77" s="6" t="str">
        <f>Parameters!E185</f>
        <v>Specific pump area</v>
      </c>
      <c r="L77" s="81">
        <f>Parameters!G185</f>
        <v>8.2710833333333316</v>
      </c>
      <c r="M77" s="35" t="str">
        <f>Parameters!F185</f>
        <v>m²/MW</v>
      </c>
      <c r="N77" s="14"/>
      <c r="O77" s="14"/>
      <c r="P77" s="14"/>
      <c r="Q77" s="31"/>
      <c r="R77" s="14"/>
      <c r="S77" s="14"/>
      <c r="T77" s="79"/>
      <c r="U77" s="14"/>
      <c r="V77" s="14"/>
      <c r="W77" s="14"/>
      <c r="X77" s="14"/>
      <c r="Y77" s="14"/>
      <c r="Z77" s="15"/>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row>
    <row r="78" spans="2:54" x14ac:dyDescent="0.25">
      <c r="B78" s="13"/>
      <c r="C78" s="6" t="s">
        <v>53</v>
      </c>
      <c r="D78" s="81">
        <f>74.3*(D56*1000)^0.58*1000</f>
        <v>0</v>
      </c>
      <c r="E78" s="112"/>
      <c r="F78" s="14"/>
      <c r="G78" s="6" t="s">
        <v>53</v>
      </c>
      <c r="H78" s="81">
        <f>D78*3.5%</f>
        <v>0</v>
      </c>
      <c r="I78" s="35"/>
      <c r="J78" s="14"/>
      <c r="K78" s="6" t="str">
        <f>Parameters!E186</f>
        <v>Specific pump weight</v>
      </c>
      <c r="L78" s="81">
        <f>Parameters!G186</f>
        <v>2.7666666666666666</v>
      </c>
      <c r="M78" s="35" t="str">
        <f>Parameters!F186</f>
        <v>ton / MW</v>
      </c>
      <c r="N78" s="14"/>
      <c r="O78" s="14"/>
      <c r="P78" s="14"/>
      <c r="Q78" s="31"/>
      <c r="R78" s="14"/>
      <c r="S78" s="14"/>
      <c r="T78" s="79"/>
      <c r="U78" s="14"/>
      <c r="V78" s="14"/>
      <c r="W78" s="14"/>
      <c r="X78" s="14"/>
      <c r="Y78" s="14"/>
      <c r="Z78" s="15"/>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row>
    <row r="79" spans="2:54" x14ac:dyDescent="0.25">
      <c r="B79" s="13"/>
      <c r="C79" s="6"/>
      <c r="D79" s="2"/>
      <c r="E79" s="112"/>
      <c r="F79" s="14"/>
      <c r="G79" s="6"/>
      <c r="H79" s="94"/>
      <c r="I79" s="35"/>
      <c r="J79" s="14"/>
      <c r="K79" s="6" t="s">
        <v>1534</v>
      </c>
      <c r="L79" s="81">
        <f>L77*L76</f>
        <v>0</v>
      </c>
      <c r="M79" s="35" t="s">
        <v>810</v>
      </c>
      <c r="N79" s="14"/>
      <c r="O79" s="14"/>
      <c r="P79" s="14"/>
      <c r="Q79" s="31"/>
      <c r="R79" s="14"/>
      <c r="S79" s="14"/>
      <c r="T79" s="14"/>
      <c r="U79" s="14"/>
      <c r="V79" s="14"/>
      <c r="W79" s="14"/>
      <c r="X79" s="14"/>
      <c r="Y79" s="14"/>
      <c r="Z79" s="15"/>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row>
    <row r="80" spans="2:54" x14ac:dyDescent="0.25">
      <c r="B80" s="13"/>
      <c r="C80" s="6"/>
      <c r="D80" s="2"/>
      <c r="E80" s="112"/>
      <c r="F80" s="14"/>
      <c r="G80" s="6"/>
      <c r="H80" s="98"/>
      <c r="I80" s="35"/>
      <c r="J80" s="14"/>
      <c r="K80" s="6" t="s">
        <v>1535</v>
      </c>
      <c r="L80" s="81">
        <f>L78*L76</f>
        <v>0</v>
      </c>
      <c r="M80" s="35" t="s">
        <v>1540</v>
      </c>
      <c r="N80" s="14"/>
      <c r="O80" s="14"/>
      <c r="P80" s="14"/>
      <c r="Q80" s="31"/>
      <c r="R80" s="14"/>
      <c r="S80" s="14"/>
      <c r="T80" s="14"/>
      <c r="U80" s="14"/>
      <c r="V80" s="14"/>
      <c r="W80" s="14"/>
      <c r="X80" s="14"/>
      <c r="Y80" s="14"/>
      <c r="Z80" s="15"/>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row>
    <row r="81" spans="2:54" x14ac:dyDescent="0.25">
      <c r="B81" s="13"/>
      <c r="C81" s="36"/>
      <c r="D81" s="37"/>
      <c r="E81" s="38"/>
      <c r="F81" s="14"/>
      <c r="G81" s="36"/>
      <c r="H81" s="37"/>
      <c r="I81" s="38"/>
      <c r="J81" s="14"/>
      <c r="K81" s="36"/>
      <c r="L81" s="87"/>
      <c r="M81" s="38"/>
      <c r="N81" s="14"/>
      <c r="O81" s="14"/>
      <c r="P81" s="14"/>
      <c r="Q81" s="14"/>
      <c r="R81" s="14"/>
      <c r="S81" s="14"/>
      <c r="T81" s="14"/>
      <c r="U81" s="14"/>
      <c r="V81" s="14"/>
      <c r="W81" s="14"/>
      <c r="X81" s="14"/>
      <c r="Y81" s="14"/>
      <c r="Z81" s="15"/>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row>
    <row r="82" spans="2:54" x14ac:dyDescent="0.25">
      <c r="B82" s="13"/>
      <c r="C82" s="5"/>
      <c r="D82" s="5"/>
      <c r="E82" s="5"/>
      <c r="F82" s="5"/>
      <c r="G82" s="5"/>
      <c r="H82" s="5"/>
      <c r="I82" s="5"/>
      <c r="J82" s="14"/>
      <c r="K82" s="14"/>
      <c r="L82" s="14"/>
      <c r="M82" s="14"/>
      <c r="N82" s="14"/>
      <c r="O82" s="14"/>
      <c r="P82" s="14"/>
      <c r="Q82" s="14"/>
      <c r="R82" s="14"/>
      <c r="S82" s="14"/>
      <c r="T82" s="14"/>
      <c r="U82" s="14"/>
      <c r="V82" s="14"/>
      <c r="W82" s="14"/>
      <c r="X82" s="14"/>
      <c r="Y82" s="14"/>
      <c r="Z82" s="15"/>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row>
    <row r="83" spans="2:54" x14ac:dyDescent="0.25">
      <c r="B83" s="13"/>
      <c r="C83" s="42"/>
      <c r="D83" s="14"/>
      <c r="E83" s="14"/>
      <c r="F83" s="14"/>
      <c r="G83" s="14"/>
      <c r="H83" s="14"/>
      <c r="I83" s="14"/>
      <c r="J83" s="14"/>
      <c r="K83" s="14"/>
      <c r="L83" s="14"/>
      <c r="M83" s="14"/>
      <c r="N83" s="14"/>
      <c r="O83" s="14"/>
      <c r="P83" s="14"/>
      <c r="Q83" s="14"/>
      <c r="R83" s="14"/>
      <c r="S83" s="14"/>
      <c r="T83" s="14"/>
      <c r="U83" s="14"/>
      <c r="V83" s="14"/>
      <c r="W83" s="14"/>
      <c r="X83" s="14"/>
      <c r="Y83" s="14"/>
      <c r="Z83" s="15"/>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row>
    <row r="84" spans="2:54" x14ac:dyDescent="0.25">
      <c r="B84" s="13"/>
      <c r="C84" s="39" t="s">
        <v>1109</v>
      </c>
      <c r="D84" s="40"/>
      <c r="E84" s="41"/>
      <c r="F84" s="14"/>
      <c r="G84" s="39" t="s">
        <v>1099</v>
      </c>
      <c r="H84" s="40"/>
      <c r="I84" s="41"/>
      <c r="J84" s="14"/>
      <c r="K84" s="14"/>
      <c r="L84" s="14"/>
      <c r="M84" s="14"/>
      <c r="N84" s="14"/>
      <c r="O84" s="14"/>
      <c r="P84" s="14"/>
      <c r="Q84" s="14"/>
      <c r="R84" s="14"/>
      <c r="S84" s="14"/>
      <c r="T84" s="14"/>
      <c r="U84" s="14"/>
      <c r="V84" s="14"/>
      <c r="W84" s="14"/>
      <c r="X84" s="14"/>
      <c r="Y84" s="14"/>
      <c r="Z84" s="15"/>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row>
    <row r="85" spans="2:54" x14ac:dyDescent="0.25">
      <c r="B85" s="13"/>
      <c r="C85" s="14"/>
      <c r="D85" s="14"/>
      <c r="E85" s="14"/>
      <c r="F85" s="14"/>
      <c r="G85" s="14"/>
      <c r="H85" s="14"/>
      <c r="I85" s="14"/>
      <c r="J85" s="14"/>
      <c r="K85" s="14"/>
      <c r="L85" s="14"/>
      <c r="M85" s="14"/>
      <c r="N85" s="14"/>
      <c r="O85" s="14"/>
      <c r="P85" s="14"/>
      <c r="Q85" s="14"/>
      <c r="R85" s="14"/>
      <c r="S85" s="14"/>
      <c r="T85" s="14"/>
      <c r="U85" s="14"/>
      <c r="V85" s="14"/>
      <c r="W85" s="14"/>
      <c r="X85" s="14"/>
      <c r="Y85" s="14"/>
      <c r="Z85" s="15"/>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row>
    <row r="86" spans="2:54" x14ac:dyDescent="0.25">
      <c r="B86" s="13"/>
      <c r="C86" s="122" t="str">
        <f>C8</f>
        <v>Number of available wells at start of business case</v>
      </c>
      <c r="D86" s="697">
        <f>D8</f>
        <v>10</v>
      </c>
      <c r="E86" s="34"/>
      <c r="F86" s="14"/>
      <c r="G86" s="32"/>
      <c r="H86" s="33"/>
      <c r="I86" s="34"/>
      <c r="J86" s="14"/>
      <c r="K86" s="14"/>
      <c r="L86" s="14"/>
      <c r="M86" s="14"/>
      <c r="N86" s="14"/>
      <c r="O86" s="14"/>
      <c r="P86" s="14"/>
      <c r="Q86" s="14"/>
      <c r="R86" s="14"/>
      <c r="S86" s="14"/>
      <c r="T86" s="14"/>
      <c r="U86" s="14"/>
      <c r="V86" s="14"/>
      <c r="W86" s="14"/>
      <c r="X86" s="14"/>
      <c r="Y86" s="14"/>
      <c r="Z86" s="15"/>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row>
    <row r="87" spans="2:54" x14ac:dyDescent="0.25">
      <c r="B87" s="13"/>
      <c r="C87" s="108" t="str">
        <f>C9</f>
        <v>Available wells for workover (CCS)</v>
      </c>
      <c r="D87" s="175">
        <f>D9</f>
        <v>10</v>
      </c>
      <c r="E87" s="35"/>
      <c r="F87" s="14"/>
      <c r="G87" s="6"/>
      <c r="H87" s="2"/>
      <c r="I87" s="35"/>
      <c r="J87" s="14"/>
      <c r="K87" s="14"/>
      <c r="L87" s="14"/>
      <c r="M87" s="14"/>
      <c r="N87" s="14"/>
      <c r="O87" s="14"/>
      <c r="P87" s="14"/>
      <c r="Q87" s="14"/>
      <c r="R87" s="14"/>
      <c r="S87" s="14"/>
      <c r="T87" s="14"/>
      <c r="U87" s="14"/>
      <c r="V87" s="14"/>
      <c r="W87" s="14"/>
      <c r="X87" s="14"/>
      <c r="Y87" s="14"/>
      <c r="Z87" s="15"/>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row>
    <row r="88" spans="2:54" x14ac:dyDescent="0.25">
      <c r="B88" s="13"/>
      <c r="C88" s="6" t="str">
        <f>Parameters!E207</f>
        <v>Required wells for CO2 injection</v>
      </c>
      <c r="D88" s="175">
        <f>CEILING(D37/D10,1)</f>
        <v>5</v>
      </c>
      <c r="E88" s="35"/>
      <c r="F88" s="14"/>
      <c r="G88" s="103" t="str">
        <f>Parameters!E210</f>
        <v>Capex workover wells</v>
      </c>
      <c r="H88" s="81">
        <f>IF(D24="workover",MIN(D87,D88)*D91,0)</f>
        <v>35000000</v>
      </c>
      <c r="I88" s="35" t="str">
        <f>Parameters!F210</f>
        <v>EUR</v>
      </c>
      <c r="J88" s="14"/>
      <c r="K88" s="14"/>
      <c r="L88" s="14"/>
      <c r="M88" s="14"/>
      <c r="N88" s="14"/>
      <c r="O88" s="14"/>
      <c r="P88" s="14"/>
      <c r="Q88" s="14"/>
      <c r="R88" s="14"/>
      <c r="S88" s="14"/>
      <c r="T88" s="14"/>
      <c r="U88" s="14"/>
      <c r="V88" s="14"/>
      <c r="W88" s="14"/>
      <c r="X88" s="14"/>
      <c r="Y88" s="14"/>
      <c r="Z88" s="15"/>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row>
    <row r="89" spans="2:54" x14ac:dyDescent="0.25">
      <c r="B89" s="13"/>
      <c r="C89" s="6" t="s">
        <v>1443</v>
      </c>
      <c r="D89" s="175">
        <f>IF($D$24="workover",D88-D87,D88)</f>
        <v>-5</v>
      </c>
      <c r="E89" s="35"/>
      <c r="F89" s="14"/>
      <c r="G89" s="103"/>
      <c r="H89" s="81"/>
      <c r="I89" s="35"/>
      <c r="J89" s="14"/>
      <c r="K89" s="14"/>
      <c r="L89" s="14"/>
      <c r="M89" s="14"/>
      <c r="N89" s="14"/>
      <c r="O89" s="14"/>
      <c r="P89" s="14"/>
      <c r="Q89" s="14"/>
      <c r="R89" s="14"/>
      <c r="S89" s="14"/>
      <c r="T89" s="14"/>
      <c r="U89" s="14"/>
      <c r="V89" s="14"/>
      <c r="W89" s="14"/>
      <c r="X89" s="14"/>
      <c r="Y89" s="14"/>
      <c r="Z89" s="15"/>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row>
    <row r="90" spans="2:54" x14ac:dyDescent="0.25">
      <c r="B90" s="13"/>
      <c r="C90" s="6" t="s">
        <v>1500</v>
      </c>
      <c r="D90" s="81">
        <f>D86-D87+MAX(0,D87-D88)</f>
        <v>5</v>
      </c>
      <c r="E90" s="35"/>
      <c r="F90" s="14"/>
      <c r="G90" s="103" t="str">
        <f>Parameters!E213</f>
        <v>Decommissioning (P&amp;A) natural gas wells</v>
      </c>
      <c r="H90" s="81">
        <f>IF($D$24="workover",D90*D93,D93*D86)</f>
        <v>22222222.222222224</v>
      </c>
      <c r="I90" s="35" t="str">
        <f>Parameters!F213</f>
        <v>EUR 2016</v>
      </c>
      <c r="J90" s="14"/>
      <c r="K90" s="14"/>
      <c r="L90" s="14"/>
      <c r="M90" s="14"/>
      <c r="N90" s="14"/>
      <c r="O90" s="14"/>
      <c r="P90" s="14"/>
      <c r="Q90" s="14"/>
      <c r="R90" s="14"/>
      <c r="S90" s="14"/>
      <c r="T90" s="14"/>
      <c r="U90" s="14"/>
      <c r="V90" s="14"/>
      <c r="W90" s="14"/>
      <c r="X90" s="14"/>
      <c r="Y90" s="14"/>
      <c r="Z90" s="15"/>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row>
    <row r="91" spans="2:54" x14ac:dyDescent="0.25">
      <c r="B91" s="13"/>
      <c r="C91" s="6" t="str">
        <f>Parameters!E189</f>
        <v>Relative capex workover wells</v>
      </c>
      <c r="D91" s="81">
        <f>Parameters!G189</f>
        <v>7000000</v>
      </c>
      <c r="E91" s="35" t="str">
        <f>Parameters!F189</f>
        <v>EUR 2011/ well</v>
      </c>
      <c r="F91" s="14"/>
      <c r="G91" s="103" t="str">
        <f>Parameters!E209</f>
        <v>Capex new offshore wells</v>
      </c>
      <c r="H91" s="81">
        <f>IF(D24="new",D89*D92,MAX(D88-D87,0)*D92)</f>
        <v>0</v>
      </c>
      <c r="I91" s="35" t="str">
        <f>Parameters!F209</f>
        <v>EUR</v>
      </c>
      <c r="J91" s="14"/>
      <c r="K91" s="14"/>
      <c r="L91" s="14"/>
      <c r="M91" s="14"/>
      <c r="N91" s="14"/>
      <c r="O91" s="14"/>
      <c r="P91" s="14"/>
      <c r="Q91" s="14"/>
      <c r="R91" s="14"/>
      <c r="S91" s="14"/>
      <c r="T91" s="14"/>
      <c r="U91" s="14"/>
      <c r="V91" s="14"/>
      <c r="W91" s="14"/>
      <c r="X91" s="14"/>
      <c r="Y91" s="14"/>
      <c r="Z91" s="15"/>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row>
    <row r="92" spans="2:54" x14ac:dyDescent="0.25">
      <c r="B92" s="13"/>
      <c r="C92" s="6" t="str">
        <f>Parameters!E188</f>
        <v>Relative capex new offshore well</v>
      </c>
      <c r="D92" s="81">
        <f>Parameters!G188</f>
        <v>30000000</v>
      </c>
      <c r="E92" s="35" t="str">
        <f>Parameters!F188</f>
        <v>EUR 2011/ well</v>
      </c>
      <c r="F92" s="14"/>
      <c r="G92" s="103" t="str">
        <f>Parameters!E214</f>
        <v>Decommissioning (P&amp;A) CO2 wells</v>
      </c>
      <c r="H92" s="81">
        <f>D88*D94</f>
        <v>22222222.222222224</v>
      </c>
      <c r="I92" s="35" t="str">
        <f>Parameters!F214</f>
        <v>EUR 2016</v>
      </c>
      <c r="J92" s="14"/>
      <c r="K92" s="14"/>
      <c r="L92" s="14"/>
      <c r="M92" s="14"/>
      <c r="N92" s="14"/>
      <c r="O92" s="14"/>
      <c r="P92" s="14"/>
      <c r="Q92" s="14"/>
      <c r="R92" s="14"/>
      <c r="S92" s="14"/>
      <c r="T92" s="14"/>
      <c r="U92" s="14"/>
      <c r="V92" s="14"/>
      <c r="W92" s="14"/>
      <c r="X92" s="14"/>
      <c r="Y92" s="14"/>
      <c r="Z92" s="15"/>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row>
    <row r="93" spans="2:54" x14ac:dyDescent="0.25">
      <c r="B93" s="13"/>
      <c r="C93" s="6" t="str">
        <f>Parameters!E193</f>
        <v>P&amp;A costs per natural gas well</v>
      </c>
      <c r="D93" s="81">
        <f>Parameters!G193</f>
        <v>4444444.444444445</v>
      </c>
      <c r="E93" s="35" t="str">
        <f>Parameters!F193</f>
        <v>EUR 2016</v>
      </c>
      <c r="F93" s="14"/>
      <c r="G93" s="103" t="str">
        <f>Parameters!E212</f>
        <v>Opex monitoring abandoned CO2 wells</v>
      </c>
      <c r="H93" s="81">
        <f>D95*D88</f>
        <v>833333.33333333326</v>
      </c>
      <c r="I93" s="35" t="str">
        <f>Parameters!F212</f>
        <v>EUR/a</v>
      </c>
      <c r="J93" s="14"/>
      <c r="K93" s="14"/>
      <c r="L93" s="14"/>
      <c r="M93" s="14"/>
      <c r="N93" s="14"/>
      <c r="O93" s="14"/>
      <c r="P93" s="14"/>
      <c r="Q93" s="14"/>
      <c r="R93" s="14"/>
      <c r="S93" s="14"/>
      <c r="T93" s="14"/>
      <c r="U93" s="14"/>
      <c r="V93" s="14"/>
      <c r="W93" s="14"/>
      <c r="X93" s="14"/>
      <c r="Y93" s="14"/>
      <c r="Z93" s="15"/>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row>
    <row r="94" spans="2:54" x14ac:dyDescent="0.25">
      <c r="B94" s="13"/>
      <c r="C94" s="6" t="str">
        <f>Parameters!E194</f>
        <v>P&amp;A costs per CO2 well</v>
      </c>
      <c r="D94" s="81">
        <f>Parameters!G194</f>
        <v>4444444.444444445</v>
      </c>
      <c r="E94" s="35" t="str">
        <f>Parameters!F194</f>
        <v>EUR 2016</v>
      </c>
      <c r="F94" s="14"/>
      <c r="G94" s="103" t="str">
        <f>C96</f>
        <v>Duration monitoring</v>
      </c>
      <c r="H94" s="81">
        <f>D96</f>
        <v>10</v>
      </c>
      <c r="I94" s="35" t="str">
        <f>E96</f>
        <v>years</v>
      </c>
      <c r="J94" s="14"/>
      <c r="K94" s="14"/>
      <c r="L94" s="14"/>
      <c r="M94" s="14"/>
      <c r="N94" s="14"/>
      <c r="O94" s="14"/>
      <c r="P94" s="14"/>
      <c r="Q94" s="14"/>
      <c r="R94" s="14"/>
      <c r="S94" s="14"/>
      <c r="T94" s="14"/>
      <c r="U94" s="14"/>
      <c r="V94" s="14"/>
      <c r="W94" s="14"/>
      <c r="X94" s="14"/>
      <c r="Y94" s="14"/>
      <c r="Z94" s="15"/>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row>
    <row r="95" spans="2:54" x14ac:dyDescent="0.25">
      <c r="B95" s="13"/>
      <c r="C95" s="6" t="str">
        <f>Parameters!E190</f>
        <v>Opex monitoring CO2 wells per well</v>
      </c>
      <c r="D95" s="81">
        <f>Parameters!G190</f>
        <v>166666.66666666666</v>
      </c>
      <c r="E95" s="35" t="str">
        <f>Parameters!F190</f>
        <v>EUR/a</v>
      </c>
      <c r="F95" s="14"/>
      <c r="G95" s="103" t="s">
        <v>1666</v>
      </c>
      <c r="H95" s="81">
        <f>D97*(H88+H91)</f>
        <v>700000</v>
      </c>
      <c r="I95" s="35" t="s">
        <v>914</v>
      </c>
      <c r="J95" s="14"/>
      <c r="K95" s="14"/>
      <c r="L95" s="14"/>
      <c r="M95" s="14"/>
      <c r="N95" s="14"/>
      <c r="O95" s="14"/>
      <c r="P95" s="14"/>
      <c r="Q95" s="14"/>
      <c r="R95" s="14"/>
      <c r="S95" s="14"/>
      <c r="T95" s="14"/>
      <c r="U95" s="14"/>
      <c r="V95" s="14"/>
      <c r="W95" s="14"/>
      <c r="X95" s="14"/>
      <c r="Y95" s="14"/>
      <c r="Z95" s="15"/>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row>
    <row r="96" spans="2:54" x14ac:dyDescent="0.25">
      <c r="B96" s="13"/>
      <c r="C96" s="6" t="str">
        <f>Parameters!E191</f>
        <v>Duration monitoring</v>
      </c>
      <c r="D96" s="81">
        <f>Parameters!G191</f>
        <v>10</v>
      </c>
      <c r="E96" s="35" t="str">
        <f>Parameters!F191</f>
        <v>years</v>
      </c>
      <c r="F96" s="14"/>
      <c r="G96" s="103"/>
      <c r="H96" s="98"/>
      <c r="I96" s="35"/>
      <c r="J96" s="14"/>
      <c r="K96" s="14"/>
      <c r="L96" s="14"/>
      <c r="M96" s="14"/>
      <c r="N96" s="14"/>
      <c r="O96" s="14"/>
      <c r="P96" s="14"/>
      <c r="Q96" s="14"/>
      <c r="R96" s="14"/>
      <c r="S96" s="14"/>
      <c r="T96" s="14"/>
      <c r="U96" s="14"/>
      <c r="V96" s="14"/>
      <c r="W96" s="14"/>
      <c r="X96" s="14"/>
      <c r="Y96" s="14"/>
      <c r="Z96" s="15"/>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row>
    <row r="97" spans="2:54" x14ac:dyDescent="0.25">
      <c r="B97" s="13"/>
      <c r="C97" s="6" t="str">
        <f>Parameters!E192</f>
        <v>Relative Opex wells</v>
      </c>
      <c r="D97" s="43">
        <f>Parameters!G192</f>
        <v>0.02</v>
      </c>
      <c r="E97" s="35"/>
      <c r="F97" s="14"/>
      <c r="G97" s="103"/>
      <c r="H97" s="98"/>
      <c r="I97" s="35"/>
      <c r="J97" s="14"/>
      <c r="K97" s="14"/>
      <c r="L97" s="14"/>
      <c r="M97" s="14"/>
      <c r="N97" s="14"/>
      <c r="O97" s="14"/>
      <c r="P97" s="14"/>
      <c r="Q97" s="14"/>
      <c r="R97" s="14"/>
      <c r="S97" s="14"/>
      <c r="T97" s="14"/>
      <c r="U97" s="14"/>
      <c r="V97" s="14"/>
      <c r="W97" s="14"/>
      <c r="X97" s="14"/>
      <c r="Y97" s="14"/>
      <c r="Z97" s="15"/>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row>
    <row r="98" spans="2:54" x14ac:dyDescent="0.25">
      <c r="B98" s="13"/>
      <c r="C98" s="36"/>
      <c r="D98" s="37"/>
      <c r="E98" s="38"/>
      <c r="F98" s="14"/>
      <c r="G98" s="36"/>
      <c r="H98" s="37"/>
      <c r="I98" s="38"/>
      <c r="J98" s="14"/>
      <c r="K98" s="14"/>
      <c r="L98" s="14"/>
      <c r="M98" s="14"/>
      <c r="N98" s="14"/>
      <c r="O98" s="14"/>
      <c r="P98" s="14"/>
      <c r="Q98" s="14"/>
      <c r="R98" s="14"/>
      <c r="S98" s="14"/>
      <c r="T98" s="14"/>
      <c r="U98" s="14"/>
      <c r="V98" s="14"/>
      <c r="W98" s="14"/>
      <c r="X98" s="14"/>
      <c r="Y98" s="14"/>
      <c r="Z98" s="15"/>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row>
    <row r="99" spans="2:54" x14ac:dyDescent="0.25">
      <c r="B99" s="13"/>
      <c r="C99" s="14"/>
      <c r="D99" s="14"/>
      <c r="E99" s="14"/>
      <c r="F99" s="14"/>
      <c r="G99" s="14"/>
      <c r="H99" s="14"/>
      <c r="I99" s="14"/>
      <c r="J99" s="14"/>
      <c r="K99" s="14"/>
      <c r="L99" s="14"/>
      <c r="M99" s="14"/>
      <c r="N99" s="14"/>
      <c r="O99" s="14"/>
      <c r="P99" s="14"/>
      <c r="Q99" s="14"/>
      <c r="R99" s="14"/>
      <c r="S99" s="14"/>
      <c r="T99" s="14"/>
      <c r="U99" s="14"/>
      <c r="V99" s="14"/>
      <c r="W99" s="14"/>
      <c r="X99" s="14"/>
      <c r="Y99" s="14"/>
      <c r="Z99" s="15"/>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row>
    <row r="100" spans="2:54" x14ac:dyDescent="0.25">
      <c r="B100" s="13"/>
      <c r="C100" s="39" t="s">
        <v>551</v>
      </c>
      <c r="D100" s="40"/>
      <c r="E100" s="41"/>
      <c r="F100" s="14"/>
      <c r="G100" s="39" t="s">
        <v>1255</v>
      </c>
      <c r="H100" s="40"/>
      <c r="I100" s="41"/>
      <c r="J100" s="14"/>
      <c r="K100" s="14"/>
      <c r="L100" s="14"/>
      <c r="M100" s="14"/>
      <c r="N100" s="14"/>
      <c r="O100" s="14"/>
      <c r="P100" s="14"/>
      <c r="Q100" s="14"/>
      <c r="R100" s="14"/>
      <c r="S100" s="14"/>
      <c r="T100" s="14"/>
      <c r="U100" s="14"/>
      <c r="V100" s="14"/>
      <c r="W100" s="14"/>
      <c r="X100" s="14"/>
      <c r="Y100" s="14"/>
      <c r="Z100" s="15"/>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row>
    <row r="101" spans="2:54" x14ac:dyDescent="0.25">
      <c r="B101" s="13"/>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5"/>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row>
    <row r="102" spans="2:54" x14ac:dyDescent="0.25">
      <c r="B102" s="13"/>
      <c r="C102" s="122"/>
      <c r="D102" s="123"/>
      <c r="E102" s="34"/>
      <c r="F102" s="14"/>
      <c r="G102" s="32" t="s">
        <v>1228</v>
      </c>
      <c r="H102" s="33"/>
      <c r="I102" s="34"/>
      <c r="J102" s="14"/>
      <c r="K102" s="14"/>
      <c r="L102" s="14"/>
      <c r="M102" s="14"/>
      <c r="N102" s="14"/>
      <c r="O102" s="14"/>
      <c r="P102" s="14"/>
      <c r="Q102" s="14"/>
      <c r="R102" s="14"/>
      <c r="S102" s="14"/>
      <c r="T102" s="14"/>
      <c r="U102" s="14"/>
      <c r="V102" s="14"/>
      <c r="W102" s="14"/>
      <c r="X102" s="14"/>
      <c r="Y102" s="14"/>
      <c r="Z102" s="15"/>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row>
    <row r="103" spans="2:54" x14ac:dyDescent="0.25">
      <c r="B103" s="13"/>
      <c r="C103" s="6"/>
      <c r="D103" s="2"/>
      <c r="E103" s="35"/>
      <c r="F103" s="14"/>
      <c r="G103" s="902" t="str">
        <f>C66</f>
        <v>Heater capacity</v>
      </c>
      <c r="H103" s="81">
        <f>D66</f>
        <v>0</v>
      </c>
      <c r="I103" s="35" t="str">
        <f>E66</f>
        <v>MW(th)</v>
      </c>
      <c r="J103" s="14"/>
      <c r="K103" s="14"/>
      <c r="L103" s="14"/>
      <c r="M103" s="14"/>
      <c r="N103" s="14"/>
      <c r="O103" s="14"/>
      <c r="P103" s="14"/>
      <c r="Q103" s="14"/>
      <c r="R103" s="14"/>
      <c r="S103" s="14"/>
      <c r="T103" s="14"/>
      <c r="U103" s="14"/>
      <c r="V103" s="14"/>
      <c r="W103" s="14"/>
      <c r="X103" s="14"/>
      <c r="Y103" s="14"/>
      <c r="Z103" s="15"/>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row>
    <row r="104" spans="2:54" x14ac:dyDescent="0.25">
      <c r="B104" s="13"/>
      <c r="C104" s="6" t="s">
        <v>550</v>
      </c>
      <c r="D104" s="81">
        <f>IF($D$66=0,0,Parameters!G195)</f>
        <v>0</v>
      </c>
      <c r="E104" s="35" t="s">
        <v>850</v>
      </c>
      <c r="F104" s="14"/>
      <c r="G104" s="6" t="s">
        <v>1227</v>
      </c>
      <c r="H104" s="81">
        <f>H108*H103</f>
        <v>0</v>
      </c>
      <c r="I104" s="35" t="s">
        <v>112</v>
      </c>
      <c r="J104" s="14"/>
      <c r="K104" s="14"/>
      <c r="L104" s="14"/>
      <c r="M104" s="14"/>
      <c r="N104" s="14"/>
      <c r="O104" s="14"/>
      <c r="P104" s="14"/>
      <c r="Q104" s="14"/>
      <c r="R104" s="14"/>
      <c r="S104" s="14"/>
      <c r="T104" s="14"/>
      <c r="U104" s="14"/>
      <c r="V104" s="14"/>
      <c r="W104" s="14"/>
      <c r="X104" s="14"/>
      <c r="Y104" s="14"/>
      <c r="Z104" s="15"/>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row>
    <row r="105" spans="2:54" x14ac:dyDescent="0.25">
      <c r="B105" s="13"/>
      <c r="C105" s="6"/>
      <c r="D105" s="81"/>
      <c r="E105" s="35"/>
      <c r="F105" s="14"/>
      <c r="G105" s="6" t="s">
        <v>1224</v>
      </c>
      <c r="H105" s="81">
        <f>IF($H$104=0,0,IF($H$104&lt;'CO2 COMPRESSION'!D$77,"n.a.",IF(AND($H$104&gt;='CO2 COMPRESSION'!D$77,$H$104&lt;'CO2 COMPRESSION'!E$77),(('CO2 COMPRESSION'!E74-'CO2 COMPRESSION'!D74)/('CO2 COMPRESSION'!E$77-'CO2 COMPRESSION'!D$77))*$H$104+'CO2 COMPRESSION'!D74,IF(AND($H$104&gt;='CO2 COMPRESSION'!E$77,$H$104&lt;'CO2 COMPRESSION'!F$77),(('CO2 COMPRESSION'!F74-'CO2 COMPRESSION'!E74)/('CO2 COMPRESSION'!F$77-'CO2 COMPRESSION'!E$77))*$H$104+'CO2 COMPRESSION'!E74,IF(AND($H$104&gt;='CO2 COMPRESSION'!F$77,$H$104&lt;'CO2 COMPRESSION'!G$77),((AVERAGE('CO2 COMPRESSION'!G74:I74)-'CO2 COMPRESSION'!F74)/('CO2 COMPRESSION'!G$77-'CO2 COMPRESSION'!F$77))*$H$104+'CO2 COMPRESSION'!F74,IF(AND($H$104&gt;='CO2 COMPRESSION'!G$77,$H$104&lt;'CO2 COMPRESSION'!J$77),(('CO2 COMPRESSION'!J74-AVERAGE('CO2 COMPRESSION'!G74:I74))/('CO2 COMPRESSION'!J$77-'CO2 COMPRESSION'!G$77))*$H$104+AVERAGE('CO2 COMPRESSION'!G74:I74),IF(AND($H$104&gt;='CO2 COMPRESSION'!J$77,$H$104&lt;'CO2 COMPRESSION'!K$77),(('CO2 COMPRESSION'!K74-'CO2 COMPRESSION'!J74)/('CO2 COMPRESSION'!K$77-'CO2 COMPRESSION'!J$77))*$H$104+'CO2 COMPRESSION'!J74,IF(AND($H$104&gt;='CO2 COMPRESSION'!K$77,$H$104&lt;'CO2 COMPRESSION'!L$77),(('CO2 COMPRESSION'!L74-'CO2 COMPRESSION'!K74)/('CO2 COMPRESSION'!L$77-'CO2 COMPRESSION'!K$77))*$H$104+'CO2 COMPRESSION'!K74,IF($H$104&gt;'CO2 COMPRESSION'!L$77,"n.a.",)))))))))</f>
        <v>0</v>
      </c>
      <c r="I105" s="35" t="s">
        <v>52</v>
      </c>
      <c r="J105" s="14"/>
      <c r="K105" s="14"/>
      <c r="L105" s="14"/>
      <c r="M105" s="14"/>
      <c r="N105" s="14"/>
      <c r="O105" s="14"/>
      <c r="P105" s="14"/>
      <c r="Q105" s="14"/>
      <c r="R105" s="14"/>
      <c r="S105" s="14"/>
      <c r="T105" s="14"/>
      <c r="U105" s="14"/>
      <c r="V105" s="14"/>
      <c r="W105" s="14"/>
      <c r="X105" s="14"/>
      <c r="Y105" s="14"/>
      <c r="Z105" s="15"/>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row>
    <row r="106" spans="2:54" x14ac:dyDescent="0.25">
      <c r="B106" s="13"/>
      <c r="C106" s="6"/>
      <c r="D106" s="93"/>
      <c r="E106" s="35"/>
      <c r="F106" s="14"/>
      <c r="G106" s="6" t="s">
        <v>1225</v>
      </c>
      <c r="H106" s="81">
        <f>IF($H$104=0,0,IF($H$104&lt;'CO2 COMPRESSION'!D$77,"n.a.",IF(AND($H$104&gt;='CO2 COMPRESSION'!D$77,$H$104&lt;'CO2 COMPRESSION'!E$77),(('CO2 COMPRESSION'!E75-'CO2 COMPRESSION'!D75)/('CO2 COMPRESSION'!E$77-'CO2 COMPRESSION'!D$77))*$H$104+'CO2 COMPRESSION'!D75,IF(AND($H$104&gt;='CO2 COMPRESSION'!E$77,$H$104&lt;'CO2 COMPRESSION'!F$77),(('CO2 COMPRESSION'!F75-'CO2 COMPRESSION'!E75)/('CO2 COMPRESSION'!F$77-'CO2 COMPRESSION'!E$77))*$H$104+'CO2 COMPRESSION'!E75,IF(AND($H$104&gt;='CO2 COMPRESSION'!F$77,$H$104&lt;'CO2 COMPRESSION'!G$77),((AVERAGE('CO2 COMPRESSION'!G75:I75)-'CO2 COMPRESSION'!F75)/('CO2 COMPRESSION'!G$77-'CO2 COMPRESSION'!F$77))*$H$104+'CO2 COMPRESSION'!F75,IF(AND($H$104&gt;='CO2 COMPRESSION'!G$77,$H$104&lt;'CO2 COMPRESSION'!J$77),(('CO2 COMPRESSION'!J75-AVERAGE('CO2 COMPRESSION'!G75:I75))/('CO2 COMPRESSION'!J$77-'CO2 COMPRESSION'!G$77))*$H$104+AVERAGE('CO2 COMPRESSION'!G75:I75),IF(AND($H$104&gt;='CO2 COMPRESSION'!J$77,$H$104&lt;'CO2 COMPRESSION'!K$77),(('CO2 COMPRESSION'!K75-'CO2 COMPRESSION'!J75)/('CO2 COMPRESSION'!K$77-'CO2 COMPRESSION'!J$77))*$H$104+'CO2 COMPRESSION'!J75,IF(AND($H$104&gt;='CO2 COMPRESSION'!K$77,$H$104&lt;'CO2 COMPRESSION'!L$77),(('CO2 COMPRESSION'!L75-'CO2 COMPRESSION'!K75)/('CO2 COMPRESSION'!L$77-'CO2 COMPRESSION'!K$77))*$H$104+'CO2 COMPRESSION'!K75,IF($H$104&gt;'CO2 COMPRESSION'!L$77,"n.a.",)))))))))</f>
        <v>0</v>
      </c>
      <c r="I106" s="35" t="s">
        <v>52</v>
      </c>
      <c r="J106" s="14"/>
      <c r="K106" s="14"/>
      <c r="L106" s="14"/>
      <c r="M106" s="14"/>
      <c r="N106" s="14"/>
      <c r="O106" s="14"/>
      <c r="P106" s="14"/>
      <c r="Q106" s="14"/>
      <c r="R106" s="14"/>
      <c r="S106" s="14"/>
      <c r="T106" s="14"/>
      <c r="U106" s="14"/>
      <c r="V106" s="14"/>
      <c r="W106" s="14"/>
      <c r="X106" s="14"/>
      <c r="Y106" s="14"/>
      <c r="Z106" s="15"/>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row>
    <row r="107" spans="2:54" x14ac:dyDescent="0.25">
      <c r="B107" s="13"/>
      <c r="C107" s="6"/>
      <c r="D107" s="94"/>
      <c r="E107" s="35"/>
      <c r="F107" s="14"/>
      <c r="G107" s="6" t="s">
        <v>1226</v>
      </c>
      <c r="H107" s="81">
        <f>IF($H$104=0,0,IF($H$104&lt;'CO2 COMPRESSION'!D$77,"n.a.",IF(AND($H$104&gt;='CO2 COMPRESSION'!D$77,$H$104&lt;'CO2 COMPRESSION'!E$77),(('CO2 COMPRESSION'!E76-'CO2 COMPRESSION'!D76)/('CO2 COMPRESSION'!E$77-'CO2 COMPRESSION'!D$77))*$H$104+'CO2 COMPRESSION'!D76,IF(AND($H$104&gt;='CO2 COMPRESSION'!E$77,$H$104&lt;'CO2 COMPRESSION'!F$77),(('CO2 COMPRESSION'!F76-'CO2 COMPRESSION'!E76)/('CO2 COMPRESSION'!F$77-'CO2 COMPRESSION'!E$77))*$H$104+'CO2 COMPRESSION'!E76,IF(AND($H$104&gt;='CO2 COMPRESSION'!F$77,$H$104&lt;'CO2 COMPRESSION'!G$77),((AVERAGE('CO2 COMPRESSION'!G76:I76)-'CO2 COMPRESSION'!F76)/('CO2 COMPRESSION'!G$77-'CO2 COMPRESSION'!F$77))*$H$104+'CO2 COMPRESSION'!F76,IF(AND($H$104&gt;='CO2 COMPRESSION'!G$77,$H$104&lt;'CO2 COMPRESSION'!J$77),(('CO2 COMPRESSION'!J76-AVERAGE('CO2 COMPRESSION'!G76:I76))/('CO2 COMPRESSION'!J$77-'CO2 COMPRESSION'!G$77))*$H$104+AVERAGE('CO2 COMPRESSION'!G76:I76),IF(AND($H$104&gt;='CO2 COMPRESSION'!J$77,$H$104&lt;'CO2 COMPRESSION'!K$77),(('CO2 COMPRESSION'!K76-'CO2 COMPRESSION'!J76)/('CO2 COMPRESSION'!K$77-'CO2 COMPRESSION'!J$77))*$H$104+'CO2 COMPRESSION'!J76,IF(AND($H$104&gt;='CO2 COMPRESSION'!K$77,$H$104&lt;'CO2 COMPRESSION'!L$77),(('CO2 COMPRESSION'!L76-'CO2 COMPRESSION'!K76)/('CO2 COMPRESSION'!L$77-'CO2 COMPRESSION'!K$77))*$H$104+'CO2 COMPRESSION'!K76,IF($H$104&gt;'CO2 COMPRESSION'!L$77,"n.a.",)))))))))</f>
        <v>0</v>
      </c>
      <c r="I107" s="35" t="s">
        <v>52</v>
      </c>
      <c r="J107" s="14"/>
      <c r="K107" s="14"/>
      <c r="L107" s="14"/>
      <c r="M107" s="14"/>
      <c r="N107" s="14"/>
      <c r="O107" s="14"/>
      <c r="P107" s="14"/>
      <c r="Q107" s="14"/>
      <c r="R107" s="14"/>
      <c r="S107" s="14"/>
      <c r="T107" s="14"/>
      <c r="U107" s="14"/>
      <c r="V107" s="14"/>
      <c r="W107" s="14"/>
      <c r="X107" s="14"/>
      <c r="Y107" s="14"/>
      <c r="Z107" s="15"/>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row>
    <row r="108" spans="2:54" x14ac:dyDescent="0.25">
      <c r="B108" s="13"/>
      <c r="C108" s="36"/>
      <c r="D108" s="37"/>
      <c r="E108" s="38"/>
      <c r="F108" s="14"/>
      <c r="G108" s="36" t="str">
        <f>Parameters!E128</f>
        <v>Specific weight compressor</v>
      </c>
      <c r="H108" s="87">
        <f>Parameters!G128</f>
        <v>22.275000000000002</v>
      </c>
      <c r="I108" s="38" t="str">
        <f>Parameters!F128</f>
        <v>ton / MW</v>
      </c>
      <c r="J108" s="14"/>
      <c r="K108" s="14"/>
      <c r="L108" s="14"/>
      <c r="M108" s="14"/>
      <c r="N108" s="14"/>
      <c r="O108" s="14"/>
      <c r="P108" s="14"/>
      <c r="Q108" s="14"/>
      <c r="R108" s="14"/>
      <c r="S108" s="14"/>
      <c r="T108" s="14"/>
      <c r="U108" s="14"/>
      <c r="V108" s="14"/>
      <c r="W108" s="14"/>
      <c r="X108" s="14"/>
      <c r="Y108" s="14"/>
      <c r="Z108" s="15"/>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row>
    <row r="109" spans="2:54" x14ac:dyDescent="0.25">
      <c r="B109" s="13"/>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5"/>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row>
    <row r="110" spans="2:54" x14ac:dyDescent="0.25">
      <c r="B110" s="18"/>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20"/>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row>
    <row r="111" spans="2:54" x14ac:dyDescent="0.25">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row>
    <row r="112" spans="2:54" x14ac:dyDescent="0.25">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row>
    <row r="113" spans="2:54" x14ac:dyDescent="0.25">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row>
    <row r="114" spans="2:54" x14ac:dyDescent="0.25">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row>
    <row r="115" spans="2:54" x14ac:dyDescent="0.25">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row>
    <row r="116" spans="2:54" ht="15.75" customHeight="1" x14ac:dyDescent="0.25">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row>
    <row r="117" spans="2:54" x14ac:dyDescent="0.25">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row>
    <row r="118" spans="2:54" x14ac:dyDescent="0.25">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row>
    <row r="119" spans="2:54" x14ac:dyDescent="0.25">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row>
    <row r="120" spans="2:54" x14ac:dyDescent="0.25">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row>
    <row r="121" spans="2:54" x14ac:dyDescent="0.25">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row>
    <row r="122" spans="2:54" x14ac:dyDescent="0.25">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row>
    <row r="123" spans="2:54" x14ac:dyDescent="0.25">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row>
    <row r="124" spans="2:54" x14ac:dyDescent="0.25">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row>
    <row r="125" spans="2:54" x14ac:dyDescent="0.25">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row>
    <row r="126" spans="2:54" ht="15.75" customHeight="1" x14ac:dyDescent="0.25">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row>
    <row r="127" spans="2:54" x14ac:dyDescent="0.25">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row>
    <row r="128" spans="2:54" x14ac:dyDescent="0.25">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row>
    <row r="129" spans="2:54" x14ac:dyDescent="0.25">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row>
    <row r="130" spans="2:54" x14ac:dyDescent="0.25">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row>
    <row r="131" spans="2:54" x14ac:dyDescent="0.25">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row>
    <row r="132" spans="2:54" x14ac:dyDescent="0.25">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row>
    <row r="133" spans="2:54" x14ac:dyDescent="0.25">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row>
    <row r="134" spans="2:54" x14ac:dyDescent="0.25">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row>
    <row r="135" spans="2:54" x14ac:dyDescent="0.25">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row>
    <row r="136" spans="2:54" x14ac:dyDescent="0.25">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row>
    <row r="137" spans="2:54" x14ac:dyDescent="0.25">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row>
    <row r="138" spans="2:54" x14ac:dyDescent="0.25">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row>
    <row r="139" spans="2:54" x14ac:dyDescent="0.25">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row>
    <row r="140" spans="2:54" x14ac:dyDescent="0.25">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row>
    <row r="141" spans="2:54" x14ac:dyDescent="0.25">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row>
    <row r="142" spans="2:54" x14ac:dyDescent="0.25">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row>
    <row r="143" spans="2:54" x14ac:dyDescent="0.25">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row>
    <row r="144" spans="2:54" x14ac:dyDescent="0.25">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row>
    <row r="145" spans="2:54" x14ac:dyDescent="0.25">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row>
    <row r="146" spans="2:54" x14ac:dyDescent="0.25">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row>
    <row r="147" spans="2:54" x14ac:dyDescent="0.25">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row>
    <row r="148" spans="2:54" x14ac:dyDescent="0.25">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row>
    <row r="149" spans="2:54" x14ac:dyDescent="0.25">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row>
    <row r="150" spans="2:54" x14ac:dyDescent="0.25">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row>
    <row r="151" spans="2:54" x14ac:dyDescent="0.25">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row>
    <row r="152" spans="2:54" x14ac:dyDescent="0.25">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row>
    <row r="153" spans="2:54" x14ac:dyDescent="0.25">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row>
    <row r="154" spans="2:54" x14ac:dyDescent="0.25">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row>
    <row r="155" spans="2:54" x14ac:dyDescent="0.25">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row>
    <row r="156" spans="2:54" x14ac:dyDescent="0.25">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row>
    <row r="157" spans="2:54" x14ac:dyDescent="0.25">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row>
    <row r="158" spans="2:54" x14ac:dyDescent="0.25">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row>
    <row r="159" spans="2:54" x14ac:dyDescent="0.25">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row>
    <row r="160" spans="2:54" x14ac:dyDescent="0.25">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row>
    <row r="161" spans="2:54" x14ac:dyDescent="0.25">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row>
    <row r="162" spans="2:54" x14ac:dyDescent="0.25">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row>
    <row r="163" spans="2:54" x14ac:dyDescent="0.25">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row>
    <row r="164" spans="2:54" x14ac:dyDescent="0.25">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row>
    <row r="165" spans="2:54" x14ac:dyDescent="0.25">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row>
    <row r="166" spans="2:54" x14ac:dyDescent="0.25">
      <c r="B166" s="3"/>
      <c r="C166" s="3"/>
      <c r="D166" s="3"/>
      <c r="E166" s="3"/>
      <c r="F166" s="3"/>
      <c r="G166" s="3"/>
      <c r="H166" s="3"/>
      <c r="I166" s="3"/>
      <c r="J166" s="3"/>
      <c r="K166" s="3"/>
      <c r="L166" s="3"/>
      <c r="M166" s="3"/>
      <c r="N166" s="3"/>
      <c r="O166" s="3"/>
      <c r="P166" s="3"/>
      <c r="Q166" s="3"/>
      <c r="R166" s="3"/>
      <c r="S166" s="3"/>
      <c r="T166" s="3"/>
      <c r="U166" s="3"/>
      <c r="V166" s="3"/>
      <c r="W166" s="3"/>
      <c r="X166" s="3"/>
      <c r="Y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row>
    <row r="167" spans="2:54" x14ac:dyDescent="0.25">
      <c r="B167" s="3"/>
      <c r="C167" s="3"/>
      <c r="D167" s="3"/>
      <c r="E167" s="3"/>
      <c r="F167" s="3"/>
      <c r="G167" s="3"/>
      <c r="H167" s="3"/>
      <c r="I167" s="3"/>
      <c r="J167" s="3"/>
      <c r="K167" s="3"/>
      <c r="L167" s="3"/>
      <c r="M167" s="3"/>
      <c r="N167" s="3"/>
      <c r="O167" s="3"/>
      <c r="P167" s="3"/>
      <c r="Q167" s="3"/>
      <c r="R167" s="3"/>
      <c r="S167" s="3"/>
      <c r="T167" s="3"/>
      <c r="U167" s="3"/>
      <c r="V167" s="3"/>
      <c r="W167" s="3"/>
      <c r="X167" s="3"/>
      <c r="Y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row>
    <row r="168" spans="2:54" x14ac:dyDescent="0.25">
      <c r="B168" s="3"/>
      <c r="C168" s="3"/>
      <c r="D168" s="3"/>
      <c r="E168" s="3"/>
      <c r="F168" s="3"/>
      <c r="G168" s="3"/>
      <c r="H168" s="3"/>
      <c r="I168" s="3"/>
      <c r="J168" s="3"/>
      <c r="K168" s="3"/>
      <c r="L168" s="3"/>
      <c r="M168" s="3"/>
      <c r="N168" s="3"/>
      <c r="O168" s="3"/>
      <c r="P168" s="3"/>
      <c r="Q168" s="3"/>
      <c r="R168" s="3"/>
      <c r="S168" s="3"/>
      <c r="T168" s="3"/>
      <c r="U168" s="3"/>
      <c r="V168" s="3"/>
      <c r="W168" s="3"/>
      <c r="X168" s="3"/>
      <c r="Y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row>
    <row r="169" spans="2:54" x14ac:dyDescent="0.25">
      <c r="B169" s="3"/>
      <c r="C169" s="3"/>
      <c r="D169" s="3"/>
      <c r="E169" s="3"/>
      <c r="F169" s="3"/>
      <c r="G169" s="3"/>
      <c r="H169" s="3"/>
      <c r="I169" s="3"/>
      <c r="J169" s="3"/>
      <c r="K169" s="3"/>
      <c r="L169" s="3"/>
      <c r="M169" s="3"/>
      <c r="N169" s="3"/>
      <c r="O169" s="3"/>
      <c r="P169" s="3"/>
      <c r="Q169" s="3"/>
      <c r="R169" s="3"/>
      <c r="S169" s="3"/>
      <c r="T169" s="3"/>
      <c r="U169" s="3"/>
      <c r="V169" s="3"/>
      <c r="W169" s="3"/>
      <c r="X169" s="3"/>
      <c r="Y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row>
    <row r="170" spans="2:54" x14ac:dyDescent="0.25">
      <c r="B170" s="3"/>
      <c r="C170" s="3"/>
      <c r="D170" s="3"/>
      <c r="E170" s="3"/>
      <c r="F170" s="3"/>
      <c r="G170" s="3"/>
      <c r="H170" s="3"/>
      <c r="I170" s="3"/>
      <c r="J170" s="3"/>
      <c r="K170" s="3"/>
      <c r="L170" s="3"/>
      <c r="M170" s="3"/>
      <c r="N170" s="3"/>
      <c r="O170" s="3"/>
      <c r="P170" s="3"/>
      <c r="Q170" s="3"/>
      <c r="R170" s="3"/>
      <c r="S170" s="3"/>
      <c r="T170" s="3"/>
      <c r="U170" s="3"/>
      <c r="V170" s="3"/>
      <c r="W170" s="3"/>
      <c r="X170" s="3"/>
      <c r="Y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row>
    <row r="171" spans="2:54" x14ac:dyDescent="0.25">
      <c r="B171" s="3"/>
      <c r="C171" s="3"/>
      <c r="D171" s="3"/>
      <c r="E171" s="3"/>
      <c r="F171" s="3"/>
      <c r="G171" s="3"/>
      <c r="H171" s="3"/>
      <c r="I171" s="3"/>
      <c r="J171" s="3"/>
      <c r="K171" s="3"/>
      <c r="L171" s="3"/>
      <c r="M171" s="3"/>
      <c r="N171" s="3"/>
      <c r="O171" s="3"/>
      <c r="P171" s="3"/>
      <c r="Q171" s="3"/>
      <c r="R171" s="3"/>
      <c r="S171" s="3"/>
      <c r="T171" s="3"/>
      <c r="U171" s="3"/>
      <c r="V171" s="3"/>
      <c r="W171" s="3"/>
      <c r="X171" s="3"/>
      <c r="Y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row>
    <row r="172" spans="2:54" x14ac:dyDescent="0.25">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2:54" x14ac:dyDescent="0.25">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2:54" x14ac:dyDescent="0.25">
      <c r="B174" s="3"/>
      <c r="C174" s="3"/>
      <c r="D174" s="3"/>
      <c r="E174" s="3"/>
      <c r="F174" s="3"/>
      <c r="G174" s="3"/>
      <c r="H174" s="3"/>
      <c r="I174" s="3"/>
      <c r="J174" s="3"/>
      <c r="K174" s="3"/>
      <c r="L174" s="3"/>
      <c r="M174" s="3"/>
      <c r="N174" s="3"/>
      <c r="O174" s="3"/>
      <c r="P174" s="3"/>
      <c r="Q174" s="3"/>
      <c r="R174" s="3"/>
      <c r="S174" s="3"/>
      <c r="T174" s="3"/>
      <c r="U174" s="3"/>
      <c r="V174" s="3"/>
      <c r="W174" s="3"/>
      <c r="X174" s="3"/>
      <c r="Y174" s="3"/>
    </row>
  </sheetData>
  <pageMargins left="0.7" right="0.7" top="0.75" bottom="0.75" header="0.3" footer="0.3"/>
  <pageSetup paperSize="9" orientation="portrait" horizontalDpi="1200" verticalDpi="1200" r:id="rId1"/>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7"/>
  <dimension ref="A1:AO612"/>
  <sheetViews>
    <sheetView zoomScale="80" zoomScaleNormal="80" workbookViewId="0">
      <selection activeCell="B2" sqref="B2"/>
    </sheetView>
  </sheetViews>
  <sheetFormatPr defaultColWidth="8.85546875" defaultRowHeight="15" x14ac:dyDescent="0.25"/>
  <cols>
    <col min="1" max="1" width="9.28515625" style="3" customWidth="1"/>
    <col min="2" max="2" width="8.85546875" style="171"/>
    <col min="3" max="3" width="55.42578125" style="171" customWidth="1"/>
    <col min="4" max="4" width="20.5703125" style="171" customWidth="1"/>
    <col min="5" max="5" width="21.85546875" style="171" customWidth="1"/>
    <col min="6" max="6" width="17.85546875" style="171" customWidth="1"/>
    <col min="7" max="7" width="29.7109375" style="171" customWidth="1"/>
    <col min="8" max="8" width="22" style="171" bestFit="1" customWidth="1"/>
    <col min="9" max="9" width="12.7109375" style="171" bestFit="1" customWidth="1"/>
    <col min="10" max="10" width="11.42578125" style="171" customWidth="1"/>
    <col min="11" max="11" width="24.85546875" style="171" bestFit="1" customWidth="1"/>
    <col min="12" max="12" width="15.28515625" style="171" bestFit="1" customWidth="1"/>
    <col min="13" max="14" width="13" style="171" customWidth="1"/>
    <col min="15" max="15" width="20.85546875" style="171" customWidth="1"/>
    <col min="16" max="16" width="14" style="171" bestFit="1" customWidth="1"/>
    <col min="17" max="17" width="34.140625" style="171" customWidth="1"/>
    <col min="18" max="18" width="16.28515625" style="171" customWidth="1"/>
    <col min="19" max="19" width="25" style="171" customWidth="1"/>
    <col min="20" max="20" width="33.7109375" style="171" bestFit="1" customWidth="1"/>
    <col min="21" max="21" width="10" style="171" customWidth="1"/>
    <col min="22" max="22" width="31.28515625" style="171" bestFit="1" customWidth="1"/>
    <col min="23" max="16384" width="8.85546875" style="171"/>
  </cols>
  <sheetData>
    <row r="1" spans="1:41" s="3" customFormat="1" ht="54" customHeight="1" x14ac:dyDescent="0.65">
      <c r="A1" s="30"/>
      <c r="B1" s="179" t="str">
        <f>"PLATFORM ("&amp;Parameters!$D$6&amp;")"</f>
        <v>PLATFORM (P15 Scenario 1)</v>
      </c>
    </row>
    <row r="2" spans="1:41" s="165" customFormat="1" x14ac:dyDescent="0.25">
      <c r="A2" s="164"/>
      <c r="B2" s="172"/>
      <c r="C2" s="173"/>
      <c r="D2" s="173"/>
      <c r="E2" s="173"/>
      <c r="F2" s="173"/>
      <c r="G2" s="173"/>
      <c r="H2" s="151"/>
      <c r="I2" s="151"/>
      <c r="J2" s="151"/>
      <c r="K2" s="58"/>
      <c r="L2" s="58"/>
      <c r="M2" s="58"/>
      <c r="N2" s="58"/>
      <c r="O2" s="58"/>
      <c r="P2" s="58"/>
      <c r="Q2" s="58"/>
      <c r="R2" s="58"/>
      <c r="S2" s="58"/>
      <c r="T2" s="58"/>
      <c r="U2" s="58"/>
      <c r="V2" s="58"/>
      <c r="W2" s="58"/>
      <c r="X2" s="58"/>
      <c r="Y2" s="58"/>
      <c r="Z2" s="58"/>
      <c r="AA2" s="59"/>
      <c r="AB2" s="164"/>
      <c r="AC2" s="164"/>
      <c r="AD2" s="164"/>
      <c r="AE2" s="164"/>
      <c r="AF2" s="164"/>
      <c r="AG2" s="164"/>
      <c r="AH2" s="164"/>
      <c r="AI2" s="164"/>
      <c r="AJ2" s="164"/>
      <c r="AK2" s="164"/>
      <c r="AL2" s="164"/>
      <c r="AM2" s="164"/>
      <c r="AN2" s="164"/>
      <c r="AO2" s="164"/>
    </row>
    <row r="3" spans="1:41" x14ac:dyDescent="0.25">
      <c r="B3" s="13"/>
      <c r="C3" s="39" t="s">
        <v>1</v>
      </c>
      <c r="D3" s="40"/>
      <c r="E3" s="41"/>
      <c r="F3" s="57"/>
      <c r="G3" s="39" t="s">
        <v>2</v>
      </c>
      <c r="H3" s="40"/>
      <c r="I3" s="41"/>
      <c r="J3" s="14"/>
      <c r="K3" s="14"/>
      <c r="L3" s="14"/>
      <c r="M3" s="14"/>
      <c r="N3" s="14"/>
      <c r="O3" s="14"/>
      <c r="P3" s="14"/>
      <c r="Q3" s="14"/>
      <c r="R3" s="14"/>
      <c r="S3" s="14"/>
      <c r="T3" s="14"/>
      <c r="U3" s="14"/>
      <c r="V3" s="14"/>
      <c r="W3" s="14"/>
      <c r="X3" s="14"/>
      <c r="Y3" s="14"/>
      <c r="Z3" s="14"/>
      <c r="AA3" s="15"/>
      <c r="AB3" s="3"/>
      <c r="AC3" s="3"/>
      <c r="AD3" s="3"/>
      <c r="AE3" s="3"/>
      <c r="AF3" s="3"/>
      <c r="AG3" s="3"/>
      <c r="AH3" s="3"/>
      <c r="AI3" s="3"/>
      <c r="AJ3" s="3"/>
      <c r="AK3" s="3"/>
      <c r="AL3" s="3"/>
      <c r="AM3" s="3"/>
      <c r="AN3" s="3"/>
      <c r="AO3" s="3"/>
    </row>
    <row r="4" spans="1:41" x14ac:dyDescent="0.25">
      <c r="B4" s="13"/>
      <c r="C4" s="14"/>
      <c r="D4" s="14"/>
      <c r="E4" s="14"/>
      <c r="F4" s="56"/>
      <c r="G4" s="14"/>
      <c r="H4" s="14"/>
      <c r="I4" s="14"/>
      <c r="J4" s="56"/>
      <c r="K4" s="14"/>
      <c r="L4" s="14"/>
      <c r="M4" s="14"/>
      <c r="N4" s="14"/>
      <c r="O4" s="16"/>
      <c r="P4" s="14"/>
      <c r="Q4" s="16"/>
      <c r="R4" s="16"/>
      <c r="S4" s="16"/>
      <c r="T4" s="16"/>
      <c r="U4" s="14"/>
      <c r="V4" s="14"/>
      <c r="W4" s="14"/>
      <c r="X4" s="14"/>
      <c r="Y4" s="14"/>
      <c r="Z4" s="14"/>
      <c r="AA4" s="15"/>
      <c r="AB4" s="3"/>
      <c r="AC4" s="3"/>
      <c r="AD4" s="3"/>
      <c r="AE4" s="3"/>
      <c r="AF4" s="129">
        <v>3</v>
      </c>
      <c r="AG4" s="120">
        <v>6</v>
      </c>
      <c r="AH4" s="120">
        <v>9</v>
      </c>
      <c r="AI4" s="3"/>
      <c r="AJ4" s="3"/>
      <c r="AK4" s="3"/>
      <c r="AL4" s="3"/>
      <c r="AM4" s="3"/>
      <c r="AN4" s="3"/>
      <c r="AO4" s="3"/>
    </row>
    <row r="5" spans="1:41" s="141" customFormat="1" x14ac:dyDescent="0.25">
      <c r="A5" s="138"/>
      <c r="B5" s="139"/>
      <c r="C5" s="32" t="str">
        <f>Parameters!E219</f>
        <v>Platform selection</v>
      </c>
      <c r="D5" s="699" t="str">
        <f>Parameters!G219</f>
        <v>P15-D</v>
      </c>
      <c r="E5" s="34"/>
      <c r="F5" s="144"/>
      <c r="G5" s="122" t="str">
        <f>G57</f>
        <v>Capex adjustments CCS on platform</v>
      </c>
      <c r="H5" s="86">
        <f>H57</f>
        <v>0</v>
      </c>
      <c r="I5" s="34" t="str">
        <f>I57</f>
        <v>EUR</v>
      </c>
      <c r="J5" s="56"/>
      <c r="K5" s="144"/>
      <c r="L5" s="144"/>
      <c r="M5" s="144"/>
      <c r="N5" s="144"/>
      <c r="O5" s="144"/>
      <c r="P5" s="16"/>
      <c r="Q5" s="16"/>
      <c r="R5" s="16"/>
      <c r="S5" s="73"/>
      <c r="T5" s="73"/>
      <c r="U5" s="16"/>
      <c r="V5" s="73"/>
      <c r="W5" s="14"/>
      <c r="X5" s="16"/>
      <c r="Y5" s="16"/>
      <c r="Z5" s="16"/>
      <c r="AA5" s="140"/>
      <c r="AB5" s="138"/>
      <c r="AC5" s="138"/>
      <c r="AD5" s="138"/>
      <c r="AE5" s="138"/>
      <c r="AF5" s="142">
        <v>2</v>
      </c>
      <c r="AG5" s="142">
        <v>3</v>
      </c>
      <c r="AH5" s="142">
        <v>5</v>
      </c>
      <c r="AI5" s="138"/>
      <c r="AJ5" s="138"/>
      <c r="AK5" s="138"/>
      <c r="AL5" s="138"/>
      <c r="AM5" s="138"/>
      <c r="AN5" s="138"/>
      <c r="AO5" s="138"/>
    </row>
    <row r="6" spans="1:41" x14ac:dyDescent="0.25">
      <c r="B6" s="13"/>
      <c r="C6" s="168" t="str">
        <f>Parameters!E196</f>
        <v>Storage field</v>
      </c>
      <c r="D6" s="92" t="str">
        <f>Parameters!G196</f>
        <v>Surrounding fields P15</v>
      </c>
      <c r="E6" s="169"/>
      <c r="F6" s="56"/>
      <c r="G6" s="108" t="str">
        <f>G56</f>
        <v>Total capex new platforms (CCS)</v>
      </c>
      <c r="H6" s="81">
        <f t="shared" ref="H6:I6" si="0">H56</f>
        <v>0</v>
      </c>
      <c r="I6" s="35" t="str">
        <f t="shared" si="0"/>
        <v>EUR</v>
      </c>
      <c r="J6" s="56"/>
      <c r="K6" s="14"/>
      <c r="L6" s="14"/>
      <c r="M6" s="14"/>
      <c r="N6" s="14"/>
      <c r="O6" s="16"/>
      <c r="P6" s="14"/>
      <c r="Q6" s="16"/>
      <c r="R6" s="16"/>
      <c r="S6" s="16"/>
      <c r="T6" s="16"/>
      <c r="U6" s="14"/>
      <c r="V6" s="16"/>
      <c r="W6" s="14"/>
      <c r="X6" s="14"/>
      <c r="Y6" s="14"/>
      <c r="Z6" s="14"/>
      <c r="AA6" s="15"/>
      <c r="AB6" s="3"/>
      <c r="AC6" s="3"/>
      <c r="AD6" s="3"/>
      <c r="AE6" s="3"/>
      <c r="AF6" s="120">
        <v>6</v>
      </c>
      <c r="AG6" s="120">
        <v>9</v>
      </c>
      <c r="AH6" s="120">
        <v>12</v>
      </c>
      <c r="AI6" s="3"/>
      <c r="AJ6" s="3"/>
      <c r="AK6" s="3"/>
      <c r="AL6" s="3"/>
      <c r="AM6" s="3"/>
      <c r="AN6" s="3"/>
      <c r="AO6" s="3"/>
    </row>
    <row r="7" spans="1:41" x14ac:dyDescent="0.25">
      <c r="B7" s="13"/>
      <c r="C7" s="6" t="str">
        <f>Parameters!E222</f>
        <v>CO2 boosting</v>
      </c>
      <c r="D7" s="92">
        <f>Parameters!G222</f>
        <v>0</v>
      </c>
      <c r="E7" s="35" t="str">
        <f>Parameters!F222</f>
        <v>Mpa</v>
      </c>
      <c r="F7" s="14"/>
      <c r="G7" s="108"/>
      <c r="H7" s="81"/>
      <c r="I7" s="35"/>
      <c r="J7" s="56"/>
      <c r="K7" s="56"/>
      <c r="L7" s="56"/>
      <c r="M7" s="56"/>
      <c r="N7" s="56"/>
      <c r="O7" s="56"/>
      <c r="P7" s="14"/>
      <c r="Q7" s="14"/>
      <c r="R7" s="14"/>
      <c r="S7" s="14"/>
      <c r="T7" s="14"/>
      <c r="U7" s="14"/>
      <c r="V7" s="14"/>
      <c r="W7" s="14"/>
      <c r="X7" s="14"/>
      <c r="Y7" s="14"/>
      <c r="Z7" s="14"/>
      <c r="AA7" s="15"/>
      <c r="AB7" s="3"/>
      <c r="AC7" s="3"/>
      <c r="AD7" s="3"/>
      <c r="AE7" s="3"/>
      <c r="AF7" s="129">
        <v>1.1000000000000001</v>
      </c>
      <c r="AG7" s="3"/>
      <c r="AH7" s="3"/>
      <c r="AI7" s="3"/>
      <c r="AJ7" s="3"/>
      <c r="AK7" s="3"/>
      <c r="AL7" s="3"/>
      <c r="AM7" s="3"/>
      <c r="AN7" s="3"/>
      <c r="AO7" s="3"/>
    </row>
    <row r="8" spans="1:41" ht="15" customHeight="1" x14ac:dyDescent="0.25">
      <c r="B8" s="13"/>
      <c r="C8" s="6" t="str">
        <f>Parameters!E131</f>
        <v>Pump efficiency</v>
      </c>
      <c r="D8" s="75">
        <f>Parameters!G131</f>
        <v>0.75</v>
      </c>
      <c r="E8" s="35"/>
      <c r="F8" s="56"/>
      <c r="G8" s="6" t="str">
        <f>G58</f>
        <v>Opex platform</v>
      </c>
      <c r="H8" s="81">
        <f>H58</f>
        <v>7936805.8527467251</v>
      </c>
      <c r="I8" s="112" t="str">
        <f>I58</f>
        <v>EUR / a</v>
      </c>
      <c r="J8" s="56"/>
      <c r="K8" s="56"/>
      <c r="L8" s="56"/>
      <c r="M8" s="56"/>
      <c r="N8" s="56"/>
      <c r="O8" s="56"/>
      <c r="P8" s="14"/>
      <c r="Q8" s="14"/>
      <c r="R8" s="14"/>
      <c r="S8" s="14"/>
      <c r="T8" s="14"/>
      <c r="U8" s="14"/>
      <c r="V8" s="14"/>
      <c r="W8" s="14"/>
      <c r="X8" s="14"/>
      <c r="Y8" s="14"/>
      <c r="Z8" s="14"/>
      <c r="AA8" s="15"/>
      <c r="AB8" s="3"/>
      <c r="AC8" s="3"/>
      <c r="AD8" s="3"/>
      <c r="AE8" s="3"/>
      <c r="AF8" s="3"/>
      <c r="AG8" s="3"/>
      <c r="AH8" s="3"/>
      <c r="AI8" s="3"/>
      <c r="AJ8" s="3"/>
      <c r="AK8" s="3"/>
      <c r="AL8" s="3"/>
      <c r="AM8" s="3"/>
      <c r="AN8" s="3"/>
      <c r="AO8" s="3"/>
    </row>
    <row r="9" spans="1:41" s="1186" customFormat="1" ht="15" customHeight="1" x14ac:dyDescent="0.25">
      <c r="A9" s="3"/>
      <c r="B9" s="13"/>
      <c r="C9" s="6" t="str">
        <f>Parameters!E220</f>
        <v>Additional platforms required</v>
      </c>
      <c r="D9" s="92">
        <f>Parameters!G220</f>
        <v>0</v>
      </c>
      <c r="E9" s="35"/>
      <c r="F9" s="56"/>
      <c r="G9" s="108" t="str">
        <f t="shared" ref="G9:I10" si="1">G53</f>
        <v>Capex booster</v>
      </c>
      <c r="H9" s="81">
        <f t="shared" si="1"/>
        <v>0</v>
      </c>
      <c r="I9" s="35" t="str">
        <f t="shared" si="1"/>
        <v>EUR</v>
      </c>
      <c r="J9" s="56"/>
      <c r="K9" s="56"/>
      <c r="L9" s="56"/>
      <c r="M9" s="56"/>
      <c r="N9" s="56"/>
      <c r="O9" s="56"/>
      <c r="P9" s="14"/>
      <c r="Q9" s="14"/>
      <c r="R9" s="14"/>
      <c r="S9" s="14"/>
      <c r="T9" s="14"/>
      <c r="U9" s="14"/>
      <c r="V9" s="14"/>
      <c r="W9" s="14"/>
      <c r="X9" s="14"/>
      <c r="Y9" s="14"/>
      <c r="Z9" s="14"/>
      <c r="AA9" s="15"/>
      <c r="AB9" s="3"/>
      <c r="AC9" s="3"/>
      <c r="AD9" s="3"/>
      <c r="AE9" s="3"/>
      <c r="AF9" s="3"/>
      <c r="AG9" s="3"/>
      <c r="AH9" s="3"/>
      <c r="AI9" s="3"/>
      <c r="AJ9" s="3"/>
      <c r="AK9" s="3"/>
      <c r="AL9" s="3"/>
      <c r="AM9" s="3"/>
      <c r="AN9" s="3"/>
      <c r="AO9" s="3"/>
    </row>
    <row r="10" spans="1:41" s="1186" customFormat="1" ht="15" customHeight="1" x14ac:dyDescent="0.25">
      <c r="A10" s="3"/>
      <c r="B10" s="13"/>
      <c r="C10" s="6"/>
      <c r="D10" s="75"/>
      <c r="E10" s="35"/>
      <c r="F10" s="56"/>
      <c r="G10" s="6" t="str">
        <f t="shared" si="1"/>
        <v>Opex booster</v>
      </c>
      <c r="H10" s="81">
        <f t="shared" si="1"/>
        <v>0</v>
      </c>
      <c r="I10" s="112" t="str">
        <f t="shared" si="1"/>
        <v>EUR/a</v>
      </c>
      <c r="J10" s="56"/>
      <c r="K10" s="56"/>
      <c r="L10" s="56"/>
      <c r="M10" s="56"/>
      <c r="N10" s="56"/>
      <c r="O10" s="56"/>
      <c r="P10" s="14"/>
      <c r="Q10" s="14"/>
      <c r="R10" s="14"/>
      <c r="S10" s="14"/>
      <c r="T10" s="14"/>
      <c r="U10" s="14"/>
      <c r="V10" s="14"/>
      <c r="W10" s="14"/>
      <c r="X10" s="14"/>
      <c r="Y10" s="14"/>
      <c r="Z10" s="14"/>
      <c r="AA10" s="15"/>
      <c r="AB10" s="3"/>
      <c r="AC10" s="3"/>
      <c r="AD10" s="3"/>
      <c r="AE10" s="3"/>
      <c r="AF10" s="3"/>
      <c r="AG10" s="3"/>
      <c r="AH10" s="3"/>
      <c r="AI10" s="3"/>
      <c r="AJ10" s="3"/>
      <c r="AK10" s="3"/>
      <c r="AL10" s="3"/>
      <c r="AM10" s="3"/>
      <c r="AN10" s="3"/>
      <c r="AO10" s="3"/>
    </row>
    <row r="11" spans="1:41" x14ac:dyDescent="0.25">
      <c r="B11" s="13"/>
      <c r="C11" s="6"/>
      <c r="D11" s="92"/>
      <c r="E11" s="35"/>
      <c r="F11" s="56"/>
      <c r="G11" s="6" t="str">
        <f t="shared" ref="G11:I12" si="2">G50</f>
        <v>Capex cable (CCS)</v>
      </c>
      <c r="H11" s="81">
        <f t="shared" si="2"/>
        <v>0</v>
      </c>
      <c r="I11" s="112" t="str">
        <f t="shared" si="2"/>
        <v>EUR</v>
      </c>
      <c r="J11" s="56"/>
      <c r="K11" s="56"/>
      <c r="L11" s="56"/>
      <c r="M11" s="56"/>
      <c r="N11" s="56"/>
      <c r="O11" s="56"/>
      <c r="P11" s="14"/>
      <c r="Q11" s="14"/>
      <c r="R11" s="14"/>
      <c r="S11" s="14"/>
      <c r="T11" s="14"/>
      <c r="U11" s="14"/>
      <c r="V11" s="14"/>
      <c r="W11" s="14"/>
      <c r="X11" s="14"/>
      <c r="Y11" s="14"/>
      <c r="Z11" s="14"/>
      <c r="AA11" s="15"/>
      <c r="AB11" s="3"/>
      <c r="AC11" s="3"/>
      <c r="AD11" s="3"/>
      <c r="AE11" s="3"/>
      <c r="AF11" s="3"/>
      <c r="AG11" s="3"/>
      <c r="AH11" s="3"/>
      <c r="AI11" s="3"/>
      <c r="AJ11" s="3"/>
      <c r="AK11" s="3"/>
      <c r="AL11" s="3"/>
      <c r="AM11" s="3"/>
      <c r="AN11" s="3"/>
      <c r="AO11" s="3"/>
    </row>
    <row r="12" spans="1:41" x14ac:dyDescent="0.25">
      <c r="B12" s="13"/>
      <c r="C12" s="6" t="str">
        <f>Parameters!E42</f>
        <v>Cable length</v>
      </c>
      <c r="D12" s="145">
        <f>Parameters!G42</f>
        <v>37.799999999999997</v>
      </c>
      <c r="E12" s="35" t="str">
        <f>Parameters!F42</f>
        <v>km</v>
      </c>
      <c r="F12" s="56"/>
      <c r="G12" s="6" t="str">
        <f t="shared" si="2"/>
        <v>Opex cable (CCS)</v>
      </c>
      <c r="H12" s="81">
        <f t="shared" si="2"/>
        <v>0</v>
      </c>
      <c r="I12" s="112" t="str">
        <f t="shared" si="2"/>
        <v>EUR/a</v>
      </c>
      <c r="J12" s="56"/>
      <c r="K12" s="56"/>
      <c r="L12" s="56"/>
      <c r="M12" s="56"/>
      <c r="N12" s="56"/>
      <c r="O12" s="56"/>
      <c r="P12" s="14"/>
      <c r="Q12" s="14"/>
      <c r="R12" s="14"/>
      <c r="S12" s="14"/>
      <c r="T12" s="14"/>
      <c r="U12" s="14"/>
      <c r="V12" s="14"/>
      <c r="W12" s="14"/>
      <c r="X12" s="14"/>
      <c r="Y12" s="14"/>
      <c r="Z12" s="14"/>
      <c r="AA12" s="15"/>
      <c r="AB12" s="3"/>
      <c r="AC12" s="3"/>
      <c r="AD12" s="3"/>
      <c r="AE12" s="3"/>
      <c r="AF12" s="3"/>
      <c r="AG12" s="3"/>
      <c r="AH12" s="3"/>
      <c r="AI12" s="3"/>
      <c r="AJ12" s="3"/>
      <c r="AK12" s="3"/>
      <c r="AL12" s="3"/>
      <c r="AM12" s="3"/>
      <c r="AN12" s="3"/>
      <c r="AO12" s="3"/>
    </row>
    <row r="13" spans="1:41" x14ac:dyDescent="0.25">
      <c r="B13" s="13"/>
      <c r="C13" s="6" t="str">
        <f>Parameters!E225</f>
        <v>Relative opex booster</v>
      </c>
      <c r="D13" s="75">
        <f>Parameters!G225</f>
        <v>0.02</v>
      </c>
      <c r="E13" s="35"/>
      <c r="F13" s="56"/>
      <c r="G13" s="6"/>
      <c r="H13" s="81"/>
      <c r="I13" s="35"/>
      <c r="J13" s="56"/>
      <c r="K13" s="56"/>
      <c r="L13" s="56"/>
      <c r="M13" s="56"/>
      <c r="N13" s="56"/>
      <c r="O13" s="56"/>
      <c r="P13" s="14"/>
      <c r="Q13" s="14"/>
      <c r="R13" s="14"/>
      <c r="S13" s="14"/>
      <c r="T13" s="14"/>
      <c r="U13" s="14"/>
      <c r="V13" s="14"/>
      <c r="W13" s="14"/>
      <c r="X13" s="14"/>
      <c r="Y13" s="14"/>
      <c r="Z13" s="14"/>
      <c r="AA13" s="15"/>
      <c r="AB13" s="3"/>
      <c r="AC13" s="3"/>
      <c r="AD13" s="3"/>
      <c r="AE13" s="3"/>
      <c r="AF13" s="3"/>
      <c r="AG13" s="3"/>
      <c r="AH13" s="3"/>
      <c r="AI13" s="3"/>
      <c r="AJ13" s="3"/>
      <c r="AK13" s="3"/>
      <c r="AL13" s="3"/>
      <c r="AM13" s="3"/>
      <c r="AN13" s="3"/>
      <c r="AO13" s="3"/>
    </row>
    <row r="14" spans="1:41" x14ac:dyDescent="0.25">
      <c r="B14" s="13"/>
      <c r="C14" s="6" t="str">
        <f>Parameters!E226</f>
        <v>Existing electric connection</v>
      </c>
      <c r="D14" s="83">
        <f>Parameters!G226</f>
        <v>121.25807521071114</v>
      </c>
      <c r="E14" s="35" t="str">
        <f>Parameters!F226</f>
        <v>MW</v>
      </c>
      <c r="F14" s="56"/>
      <c r="G14" s="6" t="str">
        <f>G39</f>
        <v>Energy consumption booster</v>
      </c>
      <c r="H14" s="81">
        <f>H39</f>
        <v>0</v>
      </c>
      <c r="I14" s="35" t="str">
        <f>I39</f>
        <v>MWh/a</v>
      </c>
      <c r="J14" s="56"/>
      <c r="K14" s="56"/>
      <c r="L14" s="56"/>
      <c r="M14" s="56"/>
      <c r="N14" s="56"/>
      <c r="O14" s="56"/>
      <c r="P14" s="14"/>
      <c r="Q14" s="14"/>
      <c r="R14" s="14"/>
      <c r="S14" s="14"/>
      <c r="T14" s="14"/>
      <c r="U14" s="14"/>
      <c r="V14" s="14"/>
      <c r="W14" s="14"/>
      <c r="X14" s="14"/>
      <c r="Y14" s="14"/>
      <c r="Z14" s="14"/>
      <c r="AA14" s="15"/>
      <c r="AB14" s="3"/>
      <c r="AC14" s="3"/>
      <c r="AD14" s="3"/>
      <c r="AE14" s="3"/>
      <c r="AF14" s="3"/>
      <c r="AG14" s="3"/>
      <c r="AH14" s="3"/>
      <c r="AI14" s="3"/>
      <c r="AJ14" s="3"/>
      <c r="AK14" s="3"/>
      <c r="AL14" s="3"/>
      <c r="AM14" s="3"/>
      <c r="AN14" s="3"/>
      <c r="AO14" s="3"/>
    </row>
    <row r="15" spans="1:41" x14ac:dyDescent="0.25">
      <c r="B15" s="13"/>
      <c r="C15" s="6" t="str">
        <f>Parameters!E227</f>
        <v>Additional electric connection</v>
      </c>
      <c r="D15" s="83">
        <f>Parameters!G227</f>
        <v>0</v>
      </c>
      <c r="E15" s="35" t="str">
        <f>Parameters!F227</f>
        <v>MW</v>
      </c>
      <c r="F15" s="56"/>
      <c r="G15" s="6" t="str">
        <f t="shared" ref="G15:I16" si="3">K52</f>
        <v>Total area electrical equipment</v>
      </c>
      <c r="H15" s="81">
        <f t="shared" si="3"/>
        <v>0</v>
      </c>
      <c r="I15" s="35" t="str">
        <f t="shared" si="3"/>
        <v>m²</v>
      </c>
      <c r="J15" s="56"/>
      <c r="K15" s="56"/>
      <c r="L15" s="56"/>
      <c r="M15" s="56"/>
      <c r="N15" s="56"/>
      <c r="O15" s="56"/>
      <c r="P15" s="14"/>
      <c r="Q15" s="14"/>
      <c r="R15" s="14"/>
      <c r="S15" s="14"/>
      <c r="T15" s="14"/>
      <c r="U15" s="14"/>
      <c r="V15" s="14"/>
      <c r="W15" s="14"/>
      <c r="X15" s="14"/>
      <c r="Y15" s="14"/>
      <c r="Z15" s="14"/>
      <c r="AA15" s="15"/>
      <c r="AB15" s="3"/>
      <c r="AC15" s="3"/>
      <c r="AD15" s="3"/>
      <c r="AE15" s="3"/>
      <c r="AF15" s="3"/>
      <c r="AG15" s="3"/>
      <c r="AH15" s="3"/>
      <c r="AI15" s="3"/>
      <c r="AJ15" s="3"/>
      <c r="AK15" s="3"/>
      <c r="AL15" s="3"/>
      <c r="AM15" s="3"/>
      <c r="AN15" s="3"/>
      <c r="AO15" s="3"/>
    </row>
    <row r="16" spans="1:41" x14ac:dyDescent="0.25">
      <c r="B16" s="13"/>
      <c r="C16" s="6"/>
      <c r="D16" s="167"/>
      <c r="E16" s="35"/>
      <c r="F16" s="56"/>
      <c r="G16" s="6" t="str">
        <f t="shared" si="3"/>
        <v>Total weight electrical equipment</v>
      </c>
      <c r="H16" s="81">
        <f t="shared" si="3"/>
        <v>0</v>
      </c>
      <c r="I16" s="35" t="str">
        <f t="shared" si="3"/>
        <v>t</v>
      </c>
      <c r="J16" s="56"/>
      <c r="K16" s="56"/>
      <c r="L16" s="56"/>
      <c r="M16" s="56"/>
      <c r="N16" s="56"/>
      <c r="O16" s="56"/>
      <c r="P16" s="14"/>
      <c r="Q16" s="14"/>
      <c r="R16" s="14"/>
      <c r="S16" s="14"/>
      <c r="T16" s="14"/>
      <c r="U16" s="14"/>
      <c r="V16" s="14"/>
      <c r="W16" s="14"/>
      <c r="X16" s="14"/>
      <c r="Y16" s="14"/>
      <c r="Z16" s="14"/>
      <c r="AA16" s="15"/>
      <c r="AB16" s="3"/>
      <c r="AC16" s="3"/>
      <c r="AD16" s="3"/>
      <c r="AE16" s="3"/>
      <c r="AF16" s="3"/>
      <c r="AG16" s="3"/>
      <c r="AH16" s="3"/>
      <c r="AI16" s="3"/>
      <c r="AJ16" s="3"/>
      <c r="AK16" s="3"/>
      <c r="AL16" s="3"/>
      <c r="AM16" s="3"/>
      <c r="AN16" s="3"/>
      <c r="AO16" s="3"/>
    </row>
    <row r="17" spans="1:41" x14ac:dyDescent="0.25">
      <c r="B17" s="13"/>
      <c r="C17" s="6"/>
      <c r="D17" s="167"/>
      <c r="E17" s="35"/>
      <c r="F17" s="56"/>
      <c r="G17" s="6" t="str">
        <f t="shared" ref="G17:I18" si="4">K60</f>
        <v>Total area booster</v>
      </c>
      <c r="H17" s="81">
        <f t="shared" si="4"/>
        <v>0</v>
      </c>
      <c r="I17" s="35" t="str">
        <f t="shared" si="4"/>
        <v>m²</v>
      </c>
      <c r="J17" s="56"/>
      <c r="K17" s="56"/>
      <c r="L17" s="56"/>
      <c r="M17" s="56"/>
      <c r="N17" s="56"/>
      <c r="O17" s="56"/>
      <c r="P17" s="14"/>
      <c r="Q17" s="14"/>
      <c r="R17" s="14"/>
      <c r="S17" s="14"/>
      <c r="T17" s="14"/>
      <c r="U17" s="14"/>
      <c r="V17" s="14"/>
      <c r="W17" s="14"/>
      <c r="X17" s="14"/>
      <c r="Y17" s="14"/>
      <c r="Z17" s="14"/>
      <c r="AA17" s="15"/>
      <c r="AB17" s="3"/>
      <c r="AC17" s="3"/>
      <c r="AD17" s="3"/>
      <c r="AE17" s="3"/>
      <c r="AF17" s="3"/>
      <c r="AG17" s="3"/>
      <c r="AH17" s="3"/>
      <c r="AI17" s="3"/>
      <c r="AJ17" s="3"/>
      <c r="AK17" s="3"/>
      <c r="AL17" s="3"/>
      <c r="AM17" s="3"/>
      <c r="AN17" s="3"/>
      <c r="AO17" s="3"/>
    </row>
    <row r="18" spans="1:41" x14ac:dyDescent="0.25">
      <c r="B18" s="13"/>
      <c r="C18" s="108" t="str">
        <f>Parameters!E43</f>
        <v>Cable CAPEX: One-off, demand-driven or lease contracat</v>
      </c>
      <c r="D18" s="167" t="str">
        <f>Parameters!G43</f>
        <v>Demand driven</v>
      </c>
      <c r="E18" s="149"/>
      <c r="F18" s="5"/>
      <c r="G18" s="6" t="str">
        <f t="shared" si="4"/>
        <v>Total weight booster</v>
      </c>
      <c r="H18" s="81">
        <f t="shared" si="4"/>
        <v>0</v>
      </c>
      <c r="I18" s="35" t="str">
        <f t="shared" si="4"/>
        <v>t</v>
      </c>
      <c r="J18" s="5"/>
      <c r="K18" s="5"/>
      <c r="L18" s="5"/>
      <c r="M18" s="5"/>
      <c r="N18" s="14"/>
      <c r="O18" s="14"/>
      <c r="P18" s="14"/>
      <c r="Q18" s="14"/>
      <c r="R18" s="14"/>
      <c r="S18" s="14"/>
      <c r="T18" s="14"/>
      <c r="U18" s="14"/>
      <c r="V18" s="14"/>
      <c r="W18" s="14"/>
      <c r="X18" s="14"/>
      <c r="Y18" s="14"/>
      <c r="Z18" s="14"/>
      <c r="AA18" s="15"/>
      <c r="AB18" s="3"/>
      <c r="AC18" s="3"/>
      <c r="AD18" s="3"/>
      <c r="AE18" s="3"/>
      <c r="AF18" s="3"/>
      <c r="AG18" s="3"/>
      <c r="AH18" s="3"/>
      <c r="AI18" s="3"/>
      <c r="AJ18" s="3"/>
      <c r="AK18" s="3"/>
      <c r="AL18" s="3"/>
      <c r="AM18" s="3"/>
      <c r="AN18" s="3"/>
      <c r="AO18" s="3"/>
    </row>
    <row r="19" spans="1:41" x14ac:dyDescent="0.25">
      <c r="B19" s="13"/>
      <c r="C19" s="153"/>
      <c r="D19" s="177"/>
      <c r="E19" s="150"/>
      <c r="F19" s="5"/>
      <c r="G19" s="36"/>
      <c r="H19" s="97"/>
      <c r="I19" s="38"/>
      <c r="J19" s="5"/>
      <c r="K19" s="5"/>
      <c r="L19" s="5"/>
      <c r="M19" s="5"/>
      <c r="N19" s="14"/>
      <c r="O19" s="14"/>
      <c r="P19" s="14"/>
      <c r="Q19" s="14"/>
      <c r="R19" s="14"/>
      <c r="S19" s="14"/>
      <c r="T19" s="14"/>
      <c r="U19" s="14"/>
      <c r="V19" s="14"/>
      <c r="W19" s="14"/>
      <c r="X19" s="14"/>
      <c r="Y19" s="14"/>
      <c r="Z19" s="14"/>
      <c r="AA19" s="15"/>
      <c r="AB19" s="3"/>
      <c r="AC19" s="3"/>
      <c r="AD19" s="3"/>
      <c r="AE19" s="3"/>
      <c r="AF19" s="3"/>
      <c r="AG19" s="3"/>
      <c r="AH19" s="3"/>
      <c r="AI19" s="3"/>
      <c r="AJ19" s="3"/>
      <c r="AK19" s="3"/>
      <c r="AL19" s="3"/>
      <c r="AM19" s="3"/>
      <c r="AN19" s="3"/>
      <c r="AO19" s="3"/>
    </row>
    <row r="20" spans="1:41" x14ac:dyDescent="0.25">
      <c r="B20" s="13"/>
      <c r="C20" s="5"/>
      <c r="D20" s="5"/>
      <c r="E20" s="5"/>
      <c r="F20" s="14"/>
      <c r="G20" s="5"/>
      <c r="H20" s="5"/>
      <c r="I20" s="5"/>
      <c r="J20" s="5"/>
      <c r="K20" s="5"/>
      <c r="L20" s="5"/>
      <c r="M20" s="5"/>
      <c r="N20" s="14"/>
      <c r="O20" s="14"/>
      <c r="P20" s="14"/>
      <c r="Q20" s="14"/>
      <c r="R20" s="14"/>
      <c r="S20" s="14"/>
      <c r="T20" s="14"/>
      <c r="U20" s="14"/>
      <c r="V20" s="14"/>
      <c r="W20" s="14"/>
      <c r="X20" s="14"/>
      <c r="Y20" s="14"/>
      <c r="Z20" s="14"/>
      <c r="AA20" s="15"/>
      <c r="AB20" s="3"/>
      <c r="AC20" s="3"/>
      <c r="AD20" s="3"/>
      <c r="AE20" s="3"/>
      <c r="AF20" s="3"/>
      <c r="AG20" s="3"/>
      <c r="AH20" s="3"/>
      <c r="AI20" s="3"/>
      <c r="AJ20" s="3"/>
      <c r="AK20" s="3"/>
      <c r="AL20" s="3"/>
      <c r="AM20" s="3"/>
      <c r="AN20" s="3"/>
      <c r="AO20" s="3"/>
    </row>
    <row r="21" spans="1:41" x14ac:dyDescent="0.25">
      <c r="B21" s="13"/>
      <c r="C21" s="42" t="s">
        <v>5</v>
      </c>
      <c r="D21" s="14"/>
      <c r="E21" s="14"/>
      <c r="F21" s="14"/>
      <c r="G21" s="14"/>
      <c r="H21" s="14"/>
      <c r="I21" s="14"/>
      <c r="J21" s="14"/>
      <c r="K21" s="14"/>
      <c r="L21" s="14"/>
      <c r="M21" s="14"/>
      <c r="N21" s="14"/>
      <c r="O21" s="14"/>
      <c r="P21" s="14"/>
      <c r="Q21" s="14"/>
      <c r="R21" s="14"/>
      <c r="S21" s="14"/>
      <c r="T21" s="5"/>
      <c r="U21" s="14"/>
      <c r="V21" s="5"/>
      <c r="W21" s="5"/>
      <c r="X21" s="14"/>
      <c r="Y21" s="14"/>
      <c r="Z21" s="14"/>
      <c r="AA21" s="15"/>
      <c r="AB21" s="3"/>
      <c r="AC21" s="3"/>
      <c r="AD21" s="3"/>
      <c r="AE21" s="3"/>
      <c r="AF21" s="3"/>
      <c r="AG21" s="3"/>
      <c r="AH21" s="3"/>
      <c r="AI21" s="3"/>
      <c r="AJ21" s="3"/>
      <c r="AK21" s="3"/>
      <c r="AL21" s="3"/>
      <c r="AM21" s="3"/>
      <c r="AN21" s="3"/>
      <c r="AO21" s="3"/>
    </row>
    <row r="22" spans="1:41" x14ac:dyDescent="0.25">
      <c r="B22" s="13"/>
      <c r="C22" s="39" t="s">
        <v>6</v>
      </c>
      <c r="D22" s="40"/>
      <c r="E22" s="41"/>
      <c r="F22" s="14"/>
      <c r="G22" s="39" t="s">
        <v>569</v>
      </c>
      <c r="H22" s="40"/>
      <c r="I22" s="41"/>
      <c r="J22" s="14"/>
      <c r="K22" s="39" t="s">
        <v>569</v>
      </c>
      <c r="L22" s="40"/>
      <c r="M22" s="41"/>
      <c r="N22" s="14"/>
      <c r="O22" s="39" t="s">
        <v>9</v>
      </c>
      <c r="P22" s="40"/>
      <c r="Q22" s="41"/>
      <c r="R22" s="14"/>
      <c r="S22" s="14"/>
      <c r="T22" s="5"/>
      <c r="U22" s="14"/>
      <c r="V22" s="5"/>
      <c r="W22" s="5"/>
      <c r="X22" s="14"/>
      <c r="Y22" s="14"/>
      <c r="Z22" s="14"/>
      <c r="AA22" s="15"/>
      <c r="AB22" s="3"/>
      <c r="AC22" s="3"/>
      <c r="AD22" s="3"/>
      <c r="AE22" s="3"/>
      <c r="AF22" s="3"/>
      <c r="AG22" s="3"/>
      <c r="AH22" s="3"/>
      <c r="AI22" s="3"/>
      <c r="AJ22" s="3"/>
      <c r="AK22" s="3"/>
      <c r="AL22" s="3"/>
      <c r="AM22" s="3"/>
      <c r="AN22" s="3"/>
      <c r="AO22" s="3"/>
    </row>
    <row r="23" spans="1:41" x14ac:dyDescent="0.25">
      <c r="B23" s="13"/>
      <c r="C23" s="14"/>
      <c r="D23" s="14"/>
      <c r="E23" s="14"/>
      <c r="F23" s="14"/>
      <c r="G23" s="14"/>
      <c r="H23" s="14"/>
      <c r="I23" s="14"/>
      <c r="J23" s="14"/>
      <c r="K23" s="14"/>
      <c r="L23" s="14"/>
      <c r="M23" s="14"/>
      <c r="N23" s="14"/>
      <c r="O23" s="14"/>
      <c r="P23" s="14"/>
      <c r="Q23" s="14"/>
      <c r="R23" s="14"/>
      <c r="S23" s="14"/>
      <c r="T23" s="5"/>
      <c r="U23" s="14"/>
      <c r="V23" s="5"/>
      <c r="W23" s="5"/>
      <c r="X23" s="14"/>
      <c r="Y23" s="14"/>
      <c r="Z23" s="14"/>
      <c r="AA23" s="15"/>
      <c r="AB23" s="3"/>
      <c r="AC23" s="3"/>
      <c r="AD23" s="3"/>
      <c r="AE23" s="3"/>
      <c r="AF23" s="3"/>
      <c r="AG23" s="3"/>
      <c r="AH23" s="3"/>
      <c r="AI23" s="3"/>
      <c r="AJ23" s="3"/>
      <c r="AK23" s="3"/>
      <c r="AL23" s="3"/>
      <c r="AM23" s="3"/>
      <c r="AN23" s="3"/>
      <c r="AO23" s="3"/>
    </row>
    <row r="24" spans="1:41" x14ac:dyDescent="0.25">
      <c r="B24" s="91"/>
      <c r="C24" s="122"/>
      <c r="D24" s="33"/>
      <c r="E24" s="34"/>
      <c r="F24" s="14"/>
      <c r="G24" s="32" t="s">
        <v>1636</v>
      </c>
      <c r="H24" s="33"/>
      <c r="I24" s="34"/>
      <c r="J24" s="5"/>
      <c r="K24" s="32"/>
      <c r="L24" s="33"/>
      <c r="M24" s="34"/>
      <c r="N24" s="14"/>
      <c r="O24" s="32"/>
      <c r="P24" s="33"/>
      <c r="Q24" s="34"/>
      <c r="R24" s="14"/>
      <c r="S24" s="14"/>
      <c r="T24" s="5"/>
      <c r="U24" s="14"/>
      <c r="V24" s="5"/>
      <c r="W24" s="5"/>
      <c r="X24" s="14"/>
      <c r="Y24" s="14"/>
      <c r="Z24" s="14"/>
      <c r="AA24" s="15"/>
      <c r="AB24" s="3"/>
      <c r="AC24" s="3"/>
      <c r="AD24" s="3"/>
      <c r="AE24" s="3"/>
      <c r="AF24" s="3"/>
      <c r="AG24" s="3"/>
      <c r="AH24" s="3"/>
      <c r="AI24" s="3"/>
      <c r="AJ24" s="3"/>
      <c r="AK24" s="3"/>
      <c r="AL24" s="3"/>
      <c r="AM24" s="3"/>
      <c r="AN24" s="3"/>
      <c r="AO24" s="3"/>
    </row>
    <row r="25" spans="1:41" x14ac:dyDescent="0.25">
      <c r="B25" s="13"/>
      <c r="C25" s="108" t="str">
        <f>'CO2 PIPELINE'!W30</f>
        <v>CO2 tranported hour</v>
      </c>
      <c r="D25" s="81">
        <f>'CO2 PIPELINE'!X30</f>
        <v>570776.25570776255</v>
      </c>
      <c r="E25" s="35" t="str">
        <f>'CO2 PIPELINE'!Y30</f>
        <v>kg/hour</v>
      </c>
      <c r="F25" s="14"/>
      <c r="G25" s="108" t="str">
        <f>C7</f>
        <v>CO2 boosting</v>
      </c>
      <c r="H25" s="81">
        <f t="shared" ref="H25:I25" si="5">D7</f>
        <v>0</v>
      </c>
      <c r="I25" s="35" t="str">
        <f t="shared" si="5"/>
        <v>Mpa</v>
      </c>
      <c r="J25" s="5"/>
      <c r="K25" s="108" t="s">
        <v>1640</v>
      </c>
      <c r="L25" s="85">
        <f>MAX(H26,0)/(H27*'P-D-T TABLES DATABASE'!E8)*D26</f>
        <v>0</v>
      </c>
      <c r="M25" s="35" t="s">
        <v>46</v>
      </c>
      <c r="N25" s="14"/>
      <c r="O25" s="108" t="str">
        <f t="array" ref="O25:Q28">C25:E28</f>
        <v>CO2 tranported hour</v>
      </c>
      <c r="P25" s="81">
        <v>570776.25570776255</v>
      </c>
      <c r="Q25" s="35" t="str">
        <v>kg/hour</v>
      </c>
      <c r="R25" s="14"/>
      <c r="S25" s="14"/>
      <c r="T25" s="14"/>
      <c r="U25" s="14"/>
      <c r="V25" s="14"/>
      <c r="W25" s="14"/>
      <c r="X25" s="14"/>
      <c r="Y25" s="14"/>
      <c r="Z25" s="14"/>
      <c r="AA25" s="15"/>
      <c r="AB25" s="3"/>
      <c r="AC25" s="3"/>
      <c r="AD25" s="3"/>
      <c r="AE25" s="3"/>
      <c r="AF25" s="3"/>
      <c r="AG25" s="3"/>
      <c r="AH25" s="3"/>
      <c r="AI25" s="3"/>
      <c r="AJ25" s="3"/>
      <c r="AK25" s="3"/>
      <c r="AL25" s="3"/>
      <c r="AM25" s="3"/>
      <c r="AN25" s="3"/>
      <c r="AO25" s="3"/>
    </row>
    <row r="26" spans="1:41" x14ac:dyDescent="0.25">
      <c r="B26" s="13"/>
      <c r="C26" s="108" t="str">
        <f>'CO2 PIPELINE'!W31</f>
        <v>CO2 tranported sec</v>
      </c>
      <c r="D26" s="77">
        <f>'CO2 PIPELINE'!X31</f>
        <v>158.54895991882293</v>
      </c>
      <c r="E26" s="35" t="str">
        <f>'CO2 PIPELINE'!Y31</f>
        <v>kg/s</v>
      </c>
      <c r="F26" s="14"/>
      <c r="G26" s="108" t="s">
        <v>1639</v>
      </c>
      <c r="H26" s="77">
        <f>MAX(0,H25-D29)</f>
        <v>0</v>
      </c>
      <c r="I26" s="35" t="str">
        <f>I25</f>
        <v>Mpa</v>
      </c>
      <c r="J26" s="5"/>
      <c r="K26" s="6"/>
      <c r="L26" s="80"/>
      <c r="M26" s="35"/>
      <c r="N26" s="14"/>
      <c r="O26" s="108" t="str">
        <v>CO2 tranported sec</v>
      </c>
      <c r="P26" s="81">
        <v>158.54895991882293</v>
      </c>
      <c r="Q26" s="35" t="str">
        <v>kg/s</v>
      </c>
      <c r="R26" s="14"/>
      <c r="S26" s="14"/>
      <c r="T26" s="14"/>
      <c r="U26" s="14"/>
      <c r="V26" s="14"/>
      <c r="W26" s="14"/>
      <c r="X26" s="14"/>
      <c r="Y26" s="14"/>
      <c r="Z26" s="14"/>
      <c r="AA26" s="15"/>
      <c r="AB26" s="3"/>
      <c r="AC26" s="3"/>
      <c r="AD26" s="3"/>
      <c r="AE26" s="3"/>
      <c r="AF26" s="3"/>
      <c r="AG26" s="3"/>
      <c r="AH26" s="3"/>
      <c r="AI26" s="3"/>
      <c r="AJ26" s="3"/>
      <c r="AK26" s="3"/>
      <c r="AL26" s="3"/>
      <c r="AM26" s="3"/>
      <c r="AN26" s="3"/>
      <c r="AO26" s="3"/>
    </row>
    <row r="27" spans="1:41" x14ac:dyDescent="0.25">
      <c r="B27" s="13"/>
      <c r="C27" s="108" t="str">
        <f>'CO2 PIPELINE'!W32</f>
        <v>CO2 tranported year</v>
      </c>
      <c r="D27" s="77">
        <f>'CO2 PIPELINE'!X32</f>
        <v>5</v>
      </c>
      <c r="E27" s="35" t="str">
        <f>'CO2 PIPELINE'!Y32</f>
        <v>Mt/y</v>
      </c>
      <c r="F27" s="14"/>
      <c r="G27" s="108" t="str">
        <f>C8</f>
        <v>Pump efficiency</v>
      </c>
      <c r="H27" s="43">
        <f>D8</f>
        <v>0.75</v>
      </c>
      <c r="I27" s="35"/>
      <c r="J27" s="5"/>
      <c r="K27" s="6"/>
      <c r="L27" s="2"/>
      <c r="M27" s="35"/>
      <c r="N27" s="14"/>
      <c r="O27" s="6" t="str">
        <v>CO2 tranported year</v>
      </c>
      <c r="P27" s="81">
        <v>5</v>
      </c>
      <c r="Q27" s="35" t="str">
        <v>Mt/y</v>
      </c>
      <c r="R27" s="14"/>
      <c r="S27" s="14"/>
      <c r="T27" s="14"/>
      <c r="U27" s="14"/>
      <c r="V27" s="14"/>
      <c r="W27" s="14"/>
      <c r="X27" s="14"/>
      <c r="Y27" s="14"/>
      <c r="Z27" s="14"/>
      <c r="AA27" s="15"/>
      <c r="AB27" s="3"/>
      <c r="AC27" s="3"/>
      <c r="AD27" s="3"/>
      <c r="AE27" s="3"/>
      <c r="AF27" s="3"/>
      <c r="AG27" s="3"/>
      <c r="AH27" s="3"/>
      <c r="AI27" s="3"/>
      <c r="AJ27" s="3"/>
      <c r="AK27" s="3"/>
      <c r="AL27" s="3"/>
      <c r="AM27" s="3"/>
      <c r="AN27" s="3"/>
      <c r="AO27" s="3"/>
    </row>
    <row r="28" spans="1:41" x14ac:dyDescent="0.25">
      <c r="B28" s="13"/>
      <c r="C28" s="108" t="str">
        <f>'CO2 PIPELINE'!W33</f>
        <v>Temperature</v>
      </c>
      <c r="D28" s="77">
        <f>'CO2 PIPELINE'!X33</f>
        <v>277.39999999999998</v>
      </c>
      <c r="E28" s="96" t="str">
        <f>'CO2 PIPELINE'!Y33</f>
        <v>Celcius</v>
      </c>
      <c r="F28" s="14"/>
      <c r="G28" s="108"/>
      <c r="H28" s="85"/>
      <c r="I28" s="35"/>
      <c r="J28" s="5"/>
      <c r="K28" s="6"/>
      <c r="L28" s="133"/>
      <c r="M28" s="35"/>
      <c r="N28" s="14"/>
      <c r="O28" s="6" t="str">
        <v>Temperature</v>
      </c>
      <c r="P28" s="85">
        <v>277.39999999999998</v>
      </c>
      <c r="Q28" s="35" t="str">
        <v>Celcius</v>
      </c>
      <c r="R28" s="14"/>
      <c r="S28" s="14"/>
      <c r="T28" s="14"/>
      <c r="U28" s="14"/>
      <c r="V28" s="14"/>
      <c r="W28" s="14"/>
      <c r="X28" s="14"/>
      <c r="Y28" s="14"/>
      <c r="Z28" s="14"/>
      <c r="AA28" s="15"/>
      <c r="AB28" s="3"/>
      <c r="AC28" s="3"/>
      <c r="AD28" s="3"/>
      <c r="AE28" s="3"/>
      <c r="AF28" s="3"/>
      <c r="AG28" s="3"/>
      <c r="AH28" s="3"/>
      <c r="AI28" s="3"/>
      <c r="AJ28" s="3"/>
      <c r="AK28" s="3"/>
      <c r="AL28" s="3"/>
      <c r="AM28" s="3"/>
      <c r="AN28" s="3"/>
      <c r="AO28" s="3"/>
    </row>
    <row r="29" spans="1:41" x14ac:dyDescent="0.25">
      <c r="B29" s="13"/>
      <c r="C29" s="108" t="str">
        <f>'CO2 PIPELINE'!W34</f>
        <v>Pressure</v>
      </c>
      <c r="D29" s="77">
        <f>'CO2 PIPELINE'!X34</f>
        <v>8.8000000000000007</v>
      </c>
      <c r="E29" s="35" t="str">
        <f>'CO2 PIPELINE'!Y34</f>
        <v>Mpa</v>
      </c>
      <c r="F29" s="14"/>
      <c r="G29" s="108"/>
      <c r="H29" s="85"/>
      <c r="I29" s="35"/>
      <c r="J29" s="5"/>
      <c r="K29" s="6"/>
      <c r="L29" s="143"/>
      <c r="M29" s="35"/>
      <c r="N29" s="14"/>
      <c r="O29" s="6" t="s">
        <v>14</v>
      </c>
      <c r="P29" s="143">
        <f>H25</f>
        <v>0</v>
      </c>
      <c r="Q29" s="35" t="str">
        <f>I25</f>
        <v>Mpa</v>
      </c>
      <c r="R29" s="14"/>
      <c r="S29" s="14"/>
      <c r="T29" s="14"/>
      <c r="U29" s="14"/>
      <c r="V29" s="14"/>
      <c r="W29" s="14"/>
      <c r="X29" s="14"/>
      <c r="Y29" s="14"/>
      <c r="Z29" s="14"/>
      <c r="AA29" s="15"/>
      <c r="AB29" s="3"/>
      <c r="AC29" s="3"/>
      <c r="AD29" s="3"/>
      <c r="AE29" s="3"/>
      <c r="AF29" s="3"/>
      <c r="AG29" s="3"/>
      <c r="AH29" s="3"/>
      <c r="AI29" s="3"/>
      <c r="AJ29" s="3"/>
      <c r="AK29" s="3"/>
      <c r="AL29" s="3"/>
      <c r="AM29" s="3"/>
      <c r="AN29" s="3"/>
      <c r="AO29" s="3"/>
    </row>
    <row r="30" spans="1:41" x14ac:dyDescent="0.25">
      <c r="B30" s="13"/>
      <c r="C30" s="6"/>
      <c r="D30" s="93"/>
      <c r="E30" s="96"/>
      <c r="F30" s="14"/>
      <c r="G30" s="6"/>
      <c r="H30" s="93"/>
      <c r="I30" s="96"/>
      <c r="J30" s="14"/>
      <c r="K30" s="6"/>
      <c r="L30" s="93"/>
      <c r="M30" s="96"/>
      <c r="N30" s="14"/>
      <c r="O30" s="6"/>
      <c r="P30" s="93"/>
      <c r="Q30" s="96"/>
      <c r="R30" s="14"/>
      <c r="S30" s="14"/>
      <c r="T30" s="14"/>
      <c r="U30" s="14"/>
      <c r="V30" s="14"/>
      <c r="W30" s="14"/>
      <c r="X30" s="14"/>
      <c r="Y30" s="14"/>
      <c r="Z30" s="14"/>
      <c r="AA30" s="15"/>
      <c r="AB30" s="3"/>
      <c r="AC30" s="3"/>
      <c r="AD30" s="3"/>
      <c r="AE30" s="3"/>
      <c r="AF30" s="3"/>
      <c r="AG30" s="3"/>
      <c r="AH30" s="3"/>
      <c r="AI30" s="3"/>
      <c r="AJ30" s="3"/>
      <c r="AK30" s="3"/>
      <c r="AL30" s="3"/>
      <c r="AM30" s="3"/>
      <c r="AN30" s="3"/>
      <c r="AO30" s="3"/>
    </row>
    <row r="31" spans="1:41" x14ac:dyDescent="0.25">
      <c r="B31" s="13"/>
      <c r="C31" s="36"/>
      <c r="D31" s="106"/>
      <c r="E31" s="174"/>
      <c r="F31" s="14"/>
      <c r="G31" s="36"/>
      <c r="H31" s="106"/>
      <c r="I31" s="174"/>
      <c r="J31" s="14"/>
      <c r="K31" s="36"/>
      <c r="L31" s="106"/>
      <c r="M31" s="174"/>
      <c r="N31" s="14"/>
      <c r="O31" s="36"/>
      <c r="P31" s="106"/>
      <c r="Q31" s="174"/>
      <c r="R31" s="14"/>
      <c r="S31" s="14"/>
      <c r="T31" s="14"/>
      <c r="U31" s="14"/>
      <c r="V31" s="14"/>
      <c r="W31" s="14"/>
      <c r="X31" s="14"/>
      <c r="Y31" s="14"/>
      <c r="Z31" s="14"/>
      <c r="AA31" s="15"/>
      <c r="AB31" s="3"/>
      <c r="AC31" s="3"/>
      <c r="AD31" s="3"/>
      <c r="AE31" s="3"/>
      <c r="AF31" s="3"/>
      <c r="AG31" s="3"/>
      <c r="AH31" s="3"/>
      <c r="AI31" s="3"/>
      <c r="AJ31" s="3"/>
      <c r="AK31" s="3"/>
      <c r="AL31" s="3"/>
      <c r="AM31" s="3"/>
      <c r="AN31" s="3"/>
      <c r="AO31" s="3"/>
    </row>
    <row r="32" spans="1:41" s="127" customFormat="1" x14ac:dyDescent="0.25">
      <c r="A32" s="125"/>
      <c r="B32" s="126"/>
      <c r="C32" s="5"/>
      <c r="D32" s="5"/>
      <c r="E32" s="5"/>
      <c r="F32" s="158"/>
      <c r="G32" s="158"/>
      <c r="H32" s="158"/>
      <c r="I32" s="158"/>
      <c r="J32" s="17"/>
      <c r="K32" s="17"/>
      <c r="L32" s="17"/>
      <c r="M32" s="17"/>
      <c r="N32" s="17"/>
      <c r="O32" s="17"/>
      <c r="P32" s="17"/>
      <c r="Q32" s="17"/>
      <c r="R32" s="17"/>
      <c r="S32" s="17"/>
      <c r="T32" s="17"/>
      <c r="U32" s="17"/>
      <c r="V32" s="17"/>
      <c r="W32" s="17"/>
      <c r="X32" s="17"/>
      <c r="Y32" s="17"/>
      <c r="Z32" s="17"/>
      <c r="AA32" s="131"/>
      <c r="AB32" s="125"/>
      <c r="AC32" s="125"/>
      <c r="AD32" s="125"/>
      <c r="AE32" s="125"/>
      <c r="AF32" s="125"/>
      <c r="AG32" s="125"/>
      <c r="AH32" s="125"/>
      <c r="AI32" s="125"/>
      <c r="AJ32" s="125"/>
      <c r="AK32" s="125"/>
      <c r="AL32" s="125"/>
      <c r="AM32" s="125"/>
      <c r="AN32" s="125"/>
      <c r="AO32" s="125"/>
    </row>
    <row r="33" spans="1:41" s="127" customFormat="1" x14ac:dyDescent="0.25">
      <c r="A33" s="125"/>
      <c r="B33" s="126"/>
      <c r="C33" s="42" t="s">
        <v>71</v>
      </c>
      <c r="D33" s="14"/>
      <c r="E33" s="14"/>
      <c r="F33" s="14"/>
      <c r="G33" s="14"/>
      <c r="H33" s="14"/>
      <c r="I33" s="14"/>
      <c r="J33" s="17"/>
      <c r="K33" s="17"/>
      <c r="L33" s="17"/>
      <c r="M33" s="17"/>
      <c r="N33" s="17"/>
      <c r="O33" s="17"/>
      <c r="P33" s="17"/>
      <c r="Q33" s="17"/>
      <c r="R33" s="17"/>
      <c r="S33" s="17"/>
      <c r="T33" s="17"/>
      <c r="U33" s="17"/>
      <c r="V33" s="17"/>
      <c r="W33" s="17"/>
      <c r="X33" s="17"/>
      <c r="Y33" s="17"/>
      <c r="Z33" s="17"/>
      <c r="AA33" s="131"/>
      <c r="AB33" s="125"/>
      <c r="AC33" s="125"/>
      <c r="AD33" s="125"/>
      <c r="AE33" s="125"/>
      <c r="AF33" s="125"/>
      <c r="AG33" s="125"/>
      <c r="AH33" s="125"/>
      <c r="AI33" s="125"/>
      <c r="AJ33" s="125"/>
      <c r="AK33" s="125"/>
      <c r="AL33" s="125"/>
      <c r="AM33" s="125"/>
      <c r="AN33" s="125"/>
      <c r="AO33" s="125"/>
    </row>
    <row r="34" spans="1:41" s="127" customFormat="1" x14ac:dyDescent="0.25">
      <c r="A34" s="125"/>
      <c r="B34" s="126"/>
      <c r="C34" s="39" t="s">
        <v>535</v>
      </c>
      <c r="D34" s="40"/>
      <c r="E34" s="41"/>
      <c r="F34" s="14"/>
      <c r="G34" s="39"/>
      <c r="H34" s="40"/>
      <c r="I34" s="41"/>
      <c r="J34" s="17"/>
      <c r="K34" s="17"/>
      <c r="L34" s="17"/>
      <c r="M34" s="17"/>
      <c r="N34" s="17"/>
      <c r="O34" s="17"/>
      <c r="P34" s="17"/>
      <c r="Q34" s="17"/>
      <c r="R34" s="17"/>
      <c r="S34" s="17"/>
      <c r="T34" s="17"/>
      <c r="U34" s="17"/>
      <c r="V34" s="17"/>
      <c r="W34" s="17"/>
      <c r="X34" s="17"/>
      <c r="Y34" s="17"/>
      <c r="Z34" s="17"/>
      <c r="AA34" s="131"/>
      <c r="AB34" s="125"/>
      <c r="AC34" s="125"/>
      <c r="AD34" s="125"/>
      <c r="AE34" s="125"/>
      <c r="AF34" s="125"/>
      <c r="AG34" s="125"/>
      <c r="AH34" s="125"/>
      <c r="AI34" s="125"/>
      <c r="AJ34" s="125"/>
      <c r="AK34" s="125"/>
      <c r="AL34" s="125"/>
      <c r="AM34" s="125"/>
      <c r="AN34" s="125"/>
      <c r="AO34" s="125"/>
    </row>
    <row r="35" spans="1:41" s="127" customFormat="1" x14ac:dyDescent="0.25">
      <c r="A35" s="125"/>
      <c r="B35" s="126"/>
      <c r="C35" s="14"/>
      <c r="D35" s="14"/>
      <c r="E35" s="14"/>
      <c r="F35" s="14"/>
      <c r="G35" s="14"/>
      <c r="H35" s="14"/>
      <c r="I35" s="14"/>
      <c r="J35" s="17"/>
      <c r="K35" s="17"/>
      <c r="L35" s="17"/>
      <c r="M35" s="17"/>
      <c r="N35" s="17"/>
      <c r="O35" s="17"/>
      <c r="P35" s="17"/>
      <c r="Q35" s="17"/>
      <c r="R35" s="17"/>
      <c r="S35" s="17"/>
      <c r="T35" s="17"/>
      <c r="U35" s="17"/>
      <c r="V35" s="17"/>
      <c r="W35" s="17"/>
      <c r="X35" s="17"/>
      <c r="Y35" s="17"/>
      <c r="Z35" s="17"/>
      <c r="AA35" s="131"/>
      <c r="AB35" s="125"/>
      <c r="AC35" s="125"/>
      <c r="AD35" s="125"/>
      <c r="AE35" s="125"/>
      <c r="AF35" s="125"/>
      <c r="AG35" s="125"/>
      <c r="AH35" s="125"/>
      <c r="AI35" s="125"/>
      <c r="AJ35" s="125"/>
      <c r="AK35" s="125"/>
      <c r="AL35" s="125"/>
      <c r="AM35" s="125"/>
      <c r="AN35" s="125"/>
      <c r="AO35" s="125"/>
    </row>
    <row r="36" spans="1:41" s="127" customFormat="1" x14ac:dyDescent="0.25">
      <c r="A36" s="125"/>
      <c r="B36" s="126"/>
      <c r="C36" s="32"/>
      <c r="D36" s="33"/>
      <c r="E36" s="34"/>
      <c r="F36" s="14"/>
      <c r="G36" s="32"/>
      <c r="H36" s="33"/>
      <c r="I36" s="99"/>
      <c r="J36" s="17"/>
      <c r="K36" s="17"/>
      <c r="L36" s="17"/>
      <c r="M36" s="17"/>
      <c r="N36" s="17"/>
      <c r="O36" s="17"/>
      <c r="P36" s="17"/>
      <c r="Q36" s="17"/>
      <c r="R36" s="17"/>
      <c r="S36" s="17"/>
      <c r="T36" s="17"/>
      <c r="U36" s="17"/>
      <c r="V36" s="17"/>
      <c r="W36" s="17"/>
      <c r="X36" s="17"/>
      <c r="Y36" s="17"/>
      <c r="Z36" s="17"/>
      <c r="AA36" s="131"/>
      <c r="AB36" s="125"/>
      <c r="AC36" s="125"/>
      <c r="AD36" s="125"/>
      <c r="AE36" s="125"/>
      <c r="AF36" s="125"/>
      <c r="AG36" s="125"/>
      <c r="AH36" s="125"/>
      <c r="AI36" s="125"/>
      <c r="AJ36" s="125"/>
      <c r="AK36" s="125"/>
      <c r="AL36" s="125"/>
      <c r="AM36" s="125"/>
      <c r="AN36" s="125"/>
      <c r="AO36" s="125"/>
    </row>
    <row r="37" spans="1:41" s="127" customFormat="1" x14ac:dyDescent="0.25">
      <c r="A37" s="125"/>
      <c r="B37" s="126"/>
      <c r="C37" s="103"/>
      <c r="D37" s="93"/>
      <c r="E37" s="35"/>
      <c r="F37" s="14"/>
      <c r="G37" s="6"/>
      <c r="H37" s="2"/>
      <c r="I37" s="84"/>
      <c r="J37" s="17"/>
      <c r="K37" s="17"/>
      <c r="L37" s="17"/>
      <c r="M37" s="17"/>
      <c r="N37" s="17"/>
      <c r="O37" s="17"/>
      <c r="P37" s="17"/>
      <c r="Q37" s="17"/>
      <c r="R37" s="17"/>
      <c r="S37" s="17"/>
      <c r="T37" s="17"/>
      <c r="U37" s="17"/>
      <c r="V37" s="17"/>
      <c r="W37" s="17"/>
      <c r="X37" s="17"/>
      <c r="Y37" s="17"/>
      <c r="Z37" s="17"/>
      <c r="AA37" s="131"/>
      <c r="AB37" s="125"/>
      <c r="AC37" s="125"/>
      <c r="AD37" s="125"/>
      <c r="AE37" s="125"/>
      <c r="AF37" s="125"/>
      <c r="AG37" s="125"/>
      <c r="AH37" s="125"/>
      <c r="AI37" s="125"/>
      <c r="AJ37" s="125"/>
      <c r="AK37" s="125"/>
      <c r="AL37" s="125"/>
      <c r="AM37" s="125"/>
      <c r="AN37" s="125"/>
      <c r="AO37" s="125"/>
    </row>
    <row r="38" spans="1:41" s="127" customFormat="1" x14ac:dyDescent="0.25">
      <c r="A38" s="125"/>
      <c r="B38" s="126"/>
      <c r="C38" s="6"/>
      <c r="D38" s="85"/>
      <c r="E38" s="35"/>
      <c r="F38" s="14"/>
      <c r="G38" s="6"/>
      <c r="H38" s="2"/>
      <c r="I38" s="35"/>
      <c r="J38" s="17"/>
      <c r="K38" s="17"/>
      <c r="L38" s="17"/>
      <c r="M38" s="17"/>
      <c r="N38" s="17"/>
      <c r="O38" s="17"/>
      <c r="P38" s="17"/>
      <c r="Q38" s="17"/>
      <c r="R38" s="17"/>
      <c r="S38" s="17"/>
      <c r="T38" s="17"/>
      <c r="U38" s="17"/>
      <c r="V38" s="17"/>
      <c r="W38" s="17"/>
      <c r="X38" s="17"/>
      <c r="Y38" s="17"/>
      <c r="Z38" s="17"/>
      <c r="AA38" s="131"/>
      <c r="AB38" s="125"/>
      <c r="AC38" s="125"/>
      <c r="AD38" s="125"/>
      <c r="AE38" s="125"/>
      <c r="AF38" s="125"/>
      <c r="AG38" s="125"/>
      <c r="AH38" s="125"/>
      <c r="AI38" s="125"/>
      <c r="AJ38" s="125"/>
      <c r="AK38" s="125"/>
      <c r="AL38" s="125"/>
      <c r="AM38" s="125"/>
      <c r="AN38" s="125"/>
      <c r="AO38" s="125"/>
    </row>
    <row r="39" spans="1:41" s="127" customFormat="1" x14ac:dyDescent="0.25">
      <c r="A39" s="125"/>
      <c r="B39" s="126"/>
      <c r="C39" s="108" t="str">
        <f>K25</f>
        <v>Booster capacity</v>
      </c>
      <c r="D39" s="1157">
        <f>L25</f>
        <v>0</v>
      </c>
      <c r="E39" s="35" t="str">
        <f>M25</f>
        <v>MW</v>
      </c>
      <c r="F39" s="14"/>
      <c r="G39" s="6" t="s">
        <v>1642</v>
      </c>
      <c r="H39" s="81">
        <f>D39*Parameters!$G$14</f>
        <v>0</v>
      </c>
      <c r="I39" s="35" t="s">
        <v>836</v>
      </c>
      <c r="J39" s="17"/>
      <c r="K39" s="17"/>
      <c r="L39" s="17"/>
      <c r="M39" s="17"/>
      <c r="N39" s="17"/>
      <c r="O39" s="17"/>
      <c r="P39" s="17"/>
      <c r="Q39" s="17"/>
      <c r="R39" s="17"/>
      <c r="S39" s="17"/>
      <c r="T39" s="17"/>
      <c r="U39" s="17"/>
      <c r="V39" s="17"/>
      <c r="W39" s="17"/>
      <c r="X39" s="17"/>
      <c r="Y39" s="17"/>
      <c r="Z39" s="17"/>
      <c r="AA39" s="131"/>
      <c r="AB39" s="125"/>
      <c r="AC39" s="125"/>
      <c r="AD39" s="125"/>
      <c r="AE39" s="125"/>
      <c r="AF39" s="125"/>
      <c r="AG39" s="125"/>
      <c r="AH39" s="125"/>
      <c r="AI39" s="125"/>
      <c r="AJ39" s="125"/>
      <c r="AK39" s="125"/>
      <c r="AL39" s="125"/>
      <c r="AM39" s="125"/>
      <c r="AN39" s="125"/>
      <c r="AO39" s="125"/>
    </row>
    <row r="40" spans="1:41" s="127" customFormat="1" x14ac:dyDescent="0.25">
      <c r="A40" s="125"/>
      <c r="B40" s="126"/>
      <c r="C40" s="103"/>
      <c r="D40" s="94"/>
      <c r="E40" s="35"/>
      <c r="F40" s="14"/>
      <c r="G40" s="6"/>
      <c r="H40" s="85"/>
      <c r="I40" s="35"/>
      <c r="J40" s="17"/>
      <c r="K40" s="17"/>
      <c r="L40" s="17"/>
      <c r="M40" s="17"/>
      <c r="N40" s="17"/>
      <c r="O40" s="17"/>
      <c r="P40" s="17"/>
      <c r="Q40" s="17"/>
      <c r="R40" s="17"/>
      <c r="S40" s="17"/>
      <c r="T40" s="17"/>
      <c r="U40" s="17"/>
      <c r="V40" s="17"/>
      <c r="W40" s="17"/>
      <c r="X40" s="17"/>
      <c r="Y40" s="17"/>
      <c r="Z40" s="17"/>
      <c r="AA40" s="131"/>
      <c r="AB40" s="125"/>
      <c r="AC40" s="125"/>
      <c r="AD40" s="125"/>
      <c r="AE40" s="125"/>
      <c r="AF40" s="125"/>
      <c r="AG40" s="125"/>
      <c r="AH40" s="125"/>
      <c r="AI40" s="125"/>
      <c r="AJ40" s="125"/>
      <c r="AK40" s="125"/>
      <c r="AL40" s="125"/>
      <c r="AM40" s="125"/>
      <c r="AN40" s="125"/>
      <c r="AO40" s="125"/>
    </row>
    <row r="41" spans="1:41" s="127" customFormat="1" x14ac:dyDescent="0.25">
      <c r="A41" s="125"/>
      <c r="B41" s="126"/>
      <c r="C41" s="103"/>
      <c r="D41" s="98"/>
      <c r="E41" s="104"/>
      <c r="F41" s="102"/>
      <c r="G41" s="6"/>
      <c r="H41" s="2"/>
      <c r="I41" s="35"/>
      <c r="J41" s="17"/>
      <c r="K41" s="17"/>
      <c r="L41" s="17"/>
      <c r="M41" s="17"/>
      <c r="N41" s="17"/>
      <c r="O41" s="17"/>
      <c r="P41" s="17"/>
      <c r="Q41" s="17"/>
      <c r="R41" s="17"/>
      <c r="S41" s="17"/>
      <c r="T41" s="17"/>
      <c r="U41" s="17"/>
      <c r="V41" s="17"/>
      <c r="W41" s="17"/>
      <c r="X41" s="17"/>
      <c r="Y41" s="17"/>
      <c r="Z41" s="17"/>
      <c r="AA41" s="131"/>
      <c r="AB41" s="125"/>
      <c r="AC41" s="125"/>
      <c r="AD41" s="125"/>
      <c r="AE41" s="125"/>
      <c r="AF41" s="125"/>
      <c r="AG41" s="125"/>
      <c r="AH41" s="125"/>
      <c r="AI41" s="125"/>
      <c r="AJ41" s="125"/>
      <c r="AK41" s="125"/>
      <c r="AL41" s="125"/>
      <c r="AM41" s="125"/>
      <c r="AN41" s="125"/>
      <c r="AO41" s="125"/>
    </row>
    <row r="42" spans="1:41" s="127" customFormat="1" x14ac:dyDescent="0.25">
      <c r="A42" s="125"/>
      <c r="B42" s="126"/>
      <c r="C42" s="105"/>
      <c r="D42" s="106"/>
      <c r="E42" s="107"/>
      <c r="F42" s="102"/>
      <c r="G42" s="36"/>
      <c r="H42" s="37"/>
      <c r="I42" s="38"/>
      <c r="J42" s="17"/>
      <c r="K42" s="17"/>
      <c r="L42" s="17"/>
      <c r="M42" s="17"/>
      <c r="N42" s="17"/>
      <c r="O42" s="17"/>
      <c r="P42" s="17"/>
      <c r="Q42" s="17"/>
      <c r="R42" s="17"/>
      <c r="S42" s="17"/>
      <c r="T42" s="17"/>
      <c r="U42" s="17"/>
      <c r="V42" s="17"/>
      <c r="W42" s="17"/>
      <c r="X42" s="17"/>
      <c r="Y42" s="17"/>
      <c r="Z42" s="17"/>
      <c r="AA42" s="131"/>
      <c r="AB42" s="125"/>
      <c r="AC42" s="125"/>
      <c r="AD42" s="125"/>
      <c r="AE42" s="125"/>
      <c r="AF42" s="125"/>
      <c r="AG42" s="125"/>
      <c r="AH42" s="125"/>
      <c r="AI42" s="125"/>
      <c r="AJ42" s="125"/>
      <c r="AK42" s="125"/>
      <c r="AL42" s="125"/>
      <c r="AM42" s="125"/>
      <c r="AN42" s="125"/>
      <c r="AO42" s="125"/>
    </row>
    <row r="43" spans="1:41" s="127" customFormat="1" x14ac:dyDescent="0.25">
      <c r="A43" s="125"/>
      <c r="B43" s="126"/>
      <c r="C43" s="5"/>
      <c r="D43" s="5"/>
      <c r="E43" s="5"/>
      <c r="F43" s="158"/>
      <c r="G43" s="158"/>
      <c r="H43" s="158"/>
      <c r="I43" s="158"/>
      <c r="J43" s="17"/>
      <c r="K43" s="17"/>
      <c r="L43" s="17"/>
      <c r="M43" s="17"/>
      <c r="N43" s="17"/>
      <c r="O43" s="17"/>
      <c r="P43" s="17"/>
      <c r="Q43" s="17"/>
      <c r="R43" s="17"/>
      <c r="S43" s="17"/>
      <c r="T43" s="17"/>
      <c r="U43" s="17"/>
      <c r="V43" s="17"/>
      <c r="W43" s="17"/>
      <c r="X43" s="17"/>
      <c r="Y43" s="17"/>
      <c r="Z43" s="17"/>
      <c r="AA43" s="131"/>
      <c r="AB43" s="125"/>
      <c r="AC43" s="125"/>
      <c r="AD43" s="125"/>
      <c r="AE43" s="125"/>
      <c r="AF43" s="125"/>
      <c r="AG43" s="125"/>
      <c r="AH43" s="125"/>
      <c r="AI43" s="125"/>
      <c r="AJ43" s="125"/>
      <c r="AK43" s="125"/>
      <c r="AL43" s="125"/>
      <c r="AM43" s="125"/>
      <c r="AN43" s="125"/>
      <c r="AO43" s="125"/>
    </row>
    <row r="44" spans="1:41" s="127" customFormat="1" x14ac:dyDescent="0.25">
      <c r="A44" s="125"/>
      <c r="B44" s="126"/>
      <c r="C44" s="5"/>
      <c r="D44" s="5"/>
      <c r="E44" s="5"/>
      <c r="F44" s="158"/>
      <c r="G44" s="158"/>
      <c r="H44" s="158"/>
      <c r="I44" s="158"/>
      <c r="J44" s="17"/>
      <c r="K44" s="17"/>
      <c r="L44" s="17"/>
      <c r="M44" s="17"/>
      <c r="N44" s="17"/>
      <c r="O44" s="17"/>
      <c r="P44" s="17"/>
      <c r="Q44" s="17"/>
      <c r="R44" s="17"/>
      <c r="S44" s="17"/>
      <c r="T44" s="17"/>
      <c r="U44" s="17"/>
      <c r="V44" s="17"/>
      <c r="W44" s="17"/>
      <c r="X44" s="17"/>
      <c r="Y44" s="17"/>
      <c r="Z44" s="17"/>
      <c r="AA44" s="131"/>
      <c r="AB44" s="125"/>
      <c r="AC44" s="125"/>
      <c r="AD44" s="125"/>
      <c r="AE44" s="125"/>
      <c r="AF44" s="125"/>
      <c r="AG44" s="125"/>
      <c r="AH44" s="125"/>
      <c r="AI44" s="125"/>
      <c r="AJ44" s="125"/>
      <c r="AK44" s="125"/>
      <c r="AL44" s="125"/>
      <c r="AM44" s="125"/>
      <c r="AN44" s="125"/>
      <c r="AO44" s="125"/>
    </row>
    <row r="45" spans="1:41" s="127" customFormat="1" x14ac:dyDescent="0.25">
      <c r="A45" s="125"/>
      <c r="B45" s="126"/>
      <c r="C45" s="5"/>
      <c r="D45" s="5"/>
      <c r="E45" s="5"/>
      <c r="F45" s="158"/>
      <c r="G45" s="158"/>
      <c r="H45" s="158"/>
      <c r="I45" s="158"/>
      <c r="J45" s="17"/>
      <c r="K45" s="17"/>
      <c r="L45" s="17"/>
      <c r="M45" s="17"/>
      <c r="N45" s="17"/>
      <c r="O45" s="17"/>
      <c r="P45" s="17"/>
      <c r="Q45" s="17"/>
      <c r="R45" s="17"/>
      <c r="S45" s="17"/>
      <c r="T45" s="17"/>
      <c r="U45" s="17"/>
      <c r="V45" s="17"/>
      <c r="W45" s="17"/>
      <c r="X45" s="17"/>
      <c r="Y45" s="17"/>
      <c r="Z45" s="17"/>
      <c r="AA45" s="131"/>
      <c r="AB45" s="125"/>
      <c r="AC45" s="125"/>
      <c r="AD45" s="125"/>
      <c r="AE45" s="125"/>
      <c r="AF45" s="125"/>
      <c r="AG45" s="125"/>
      <c r="AH45" s="125"/>
      <c r="AI45" s="125"/>
      <c r="AJ45" s="125"/>
      <c r="AK45" s="125"/>
      <c r="AL45" s="125"/>
      <c r="AM45" s="125"/>
      <c r="AN45" s="125"/>
      <c r="AO45" s="125"/>
    </row>
    <row r="46" spans="1:41" s="127" customFormat="1" x14ac:dyDescent="0.25">
      <c r="A46" s="125"/>
      <c r="B46" s="126"/>
      <c r="C46" s="5"/>
      <c r="D46" s="5"/>
      <c r="E46" s="5"/>
      <c r="F46" s="158"/>
      <c r="G46" s="158"/>
      <c r="H46" s="158"/>
      <c r="I46" s="158"/>
      <c r="J46" s="17"/>
      <c r="K46" s="17"/>
      <c r="L46" s="17"/>
      <c r="M46" s="17"/>
      <c r="N46" s="17"/>
      <c r="O46" s="17"/>
      <c r="P46" s="17"/>
      <c r="Q46" s="17"/>
      <c r="R46" s="17"/>
      <c r="S46" s="17"/>
      <c r="T46" s="17"/>
      <c r="U46" s="17"/>
      <c r="V46" s="17"/>
      <c r="W46" s="17"/>
      <c r="X46" s="17"/>
      <c r="Y46" s="17"/>
      <c r="Z46" s="17"/>
      <c r="AA46" s="131"/>
      <c r="AB46" s="125"/>
      <c r="AC46" s="125"/>
      <c r="AD46" s="125"/>
      <c r="AE46" s="125"/>
      <c r="AF46" s="125"/>
      <c r="AG46" s="125"/>
      <c r="AH46" s="125"/>
      <c r="AI46" s="125"/>
      <c r="AJ46" s="125"/>
      <c r="AK46" s="125"/>
      <c r="AL46" s="125"/>
      <c r="AM46" s="125"/>
      <c r="AN46" s="125"/>
      <c r="AO46" s="125"/>
    </row>
    <row r="47" spans="1:41" x14ac:dyDescent="0.25">
      <c r="B47" s="13"/>
      <c r="C47" s="39" t="s">
        <v>1641</v>
      </c>
      <c r="D47" s="40"/>
      <c r="E47" s="41"/>
      <c r="F47" s="5"/>
      <c r="G47" s="39" t="s">
        <v>1641</v>
      </c>
      <c r="H47" s="40"/>
      <c r="I47" s="41"/>
      <c r="J47" s="14"/>
      <c r="K47" s="39" t="s">
        <v>83</v>
      </c>
      <c r="L47" s="40"/>
      <c r="M47" s="41"/>
      <c r="N47" s="14"/>
      <c r="O47" s="14"/>
      <c r="P47" s="14"/>
      <c r="Q47" s="14"/>
      <c r="R47" s="14"/>
      <c r="S47" s="14"/>
      <c r="T47" s="14"/>
      <c r="U47" s="14"/>
      <c r="V47" s="14"/>
      <c r="W47" s="14"/>
      <c r="X47" s="14"/>
      <c r="Y47" s="14"/>
      <c r="Z47" s="14"/>
      <c r="AA47" s="15"/>
      <c r="AB47" s="3"/>
      <c r="AC47" s="3"/>
      <c r="AD47" s="3"/>
      <c r="AE47" s="3"/>
      <c r="AF47" s="3"/>
      <c r="AG47" s="3"/>
      <c r="AH47" s="3"/>
      <c r="AI47" s="3"/>
      <c r="AJ47" s="3"/>
      <c r="AK47" s="3"/>
      <c r="AL47" s="3"/>
      <c r="AM47" s="3"/>
      <c r="AN47" s="3"/>
      <c r="AO47" s="3"/>
    </row>
    <row r="48" spans="1:41" x14ac:dyDescent="0.25">
      <c r="B48" s="13"/>
      <c r="C48" s="14"/>
      <c r="D48" s="14"/>
      <c r="E48" s="14"/>
      <c r="F48" s="5"/>
      <c r="G48" s="14"/>
      <c r="H48" s="14"/>
      <c r="I48" s="14"/>
      <c r="J48" s="14"/>
      <c r="K48" s="14"/>
      <c r="L48" s="14"/>
      <c r="M48" s="14"/>
      <c r="N48" s="14"/>
      <c r="O48" s="14"/>
      <c r="P48" s="14"/>
      <c r="Q48" s="14"/>
      <c r="R48" s="14"/>
      <c r="S48" s="14"/>
      <c r="T48" s="14"/>
      <c r="U48" s="14"/>
      <c r="V48" s="14"/>
      <c r="W48" s="14"/>
      <c r="X48" s="14"/>
      <c r="Y48" s="14"/>
      <c r="Z48" s="14"/>
      <c r="AA48" s="15"/>
      <c r="AB48" s="3"/>
      <c r="AC48" s="3"/>
      <c r="AD48" s="3"/>
      <c r="AE48" s="3"/>
      <c r="AF48" s="3"/>
      <c r="AG48" s="3"/>
      <c r="AH48" s="3"/>
      <c r="AI48" s="3"/>
      <c r="AJ48" s="3"/>
      <c r="AK48" s="3"/>
      <c r="AL48" s="3"/>
      <c r="AM48" s="3"/>
      <c r="AN48" s="3"/>
      <c r="AO48" s="3"/>
    </row>
    <row r="49" spans="1:41" x14ac:dyDescent="0.25">
      <c r="B49" s="13"/>
      <c r="C49" s="32"/>
      <c r="D49" s="33"/>
      <c r="E49" s="34"/>
      <c r="F49" s="5"/>
      <c r="G49" s="32"/>
      <c r="H49" s="33"/>
      <c r="I49" s="34"/>
      <c r="J49" s="14"/>
      <c r="K49" s="32" t="str">
        <f>C15</f>
        <v>Additional electric connection</v>
      </c>
      <c r="L49" s="86">
        <f t="shared" ref="L49:M49" si="6">D15</f>
        <v>0</v>
      </c>
      <c r="M49" s="34" t="str">
        <f t="shared" si="6"/>
        <v>MW</v>
      </c>
      <c r="N49" s="14"/>
      <c r="O49" s="14"/>
      <c r="P49" s="14"/>
      <c r="Q49" s="14"/>
      <c r="R49" s="14"/>
      <c r="S49" s="14"/>
      <c r="T49" s="14"/>
      <c r="U49" s="14"/>
      <c r="V49" s="14"/>
      <c r="W49" s="14"/>
      <c r="X49" s="14"/>
      <c r="Y49" s="14"/>
      <c r="Z49" s="14"/>
      <c r="AA49" s="15"/>
      <c r="AB49" s="3"/>
      <c r="AC49" s="3"/>
      <c r="AD49" s="3"/>
      <c r="AE49" s="3"/>
      <c r="AF49" s="3"/>
      <c r="AG49" s="3"/>
      <c r="AH49" s="3"/>
      <c r="AI49" s="3"/>
      <c r="AJ49" s="3"/>
      <c r="AK49" s="3"/>
      <c r="AL49" s="3"/>
      <c r="AM49" s="3"/>
      <c r="AN49" s="3"/>
      <c r="AO49" s="3"/>
    </row>
    <row r="50" spans="1:41" x14ac:dyDescent="0.25">
      <c r="B50" s="13"/>
      <c r="C50" s="6" t="str">
        <f>Parameters!$E$38</f>
        <v>Cable cost constant</v>
      </c>
      <c r="D50" s="348">
        <f>Parameters!$G$38*ROUNDUP($D$15/E_cable_costs!$D$163,0)</f>
        <v>0</v>
      </c>
      <c r="E50" s="704" t="str">
        <f>Parameters!$F$38</f>
        <v>EUR</v>
      </c>
      <c r="F50" s="5"/>
      <c r="G50" s="6" t="str">
        <f>Parameters!E239</f>
        <v>Capex cable (CCS)</v>
      </c>
      <c r="H50" s="348">
        <f>IF(OR($D$18="One-off",$D$15=0),0,D50+D53*D12+((D52+D51*D15)*D12))</f>
        <v>0</v>
      </c>
      <c r="I50" s="701" t="str">
        <f>E50</f>
        <v>EUR</v>
      </c>
      <c r="J50" s="14"/>
      <c r="K50" s="6" t="str">
        <f>Parameters!E234</f>
        <v>Specific area electrical equipment</v>
      </c>
      <c r="L50" s="348">
        <f>Parameters!G234</f>
        <v>9.2831095406360422</v>
      </c>
      <c r="M50" s="701" t="str">
        <f>Parameters!F234</f>
        <v>m²/MW</v>
      </c>
      <c r="N50" s="14"/>
      <c r="O50" s="14"/>
      <c r="P50" s="14"/>
      <c r="Q50" s="14"/>
      <c r="R50" s="14"/>
      <c r="S50" s="14"/>
      <c r="T50" s="14"/>
      <c r="U50" s="14"/>
      <c r="V50" s="14"/>
      <c r="W50" s="14"/>
      <c r="X50" s="14"/>
      <c r="Y50" s="14"/>
      <c r="Z50" s="14"/>
      <c r="AA50" s="15"/>
      <c r="AB50" s="3"/>
      <c r="AC50" s="3"/>
      <c r="AD50" s="3"/>
      <c r="AE50" s="3"/>
      <c r="AF50" s="3"/>
      <c r="AG50" s="3"/>
      <c r="AH50" s="3"/>
      <c r="AI50" s="3"/>
      <c r="AJ50" s="3"/>
      <c r="AK50" s="3"/>
      <c r="AL50" s="3"/>
      <c r="AM50" s="3"/>
      <c r="AN50" s="3"/>
      <c r="AO50" s="3"/>
    </row>
    <row r="51" spans="1:41" ht="14.45" customHeight="1" x14ac:dyDescent="0.25">
      <c r="B51" s="13"/>
      <c r="C51" s="6" t="str">
        <f>Parameters!$E$39</f>
        <v>Cable supply coefficient 1</v>
      </c>
      <c r="D51" s="348">
        <f>Parameters!$G$39</f>
        <v>2820</v>
      </c>
      <c r="E51" s="704" t="str">
        <f>Parameters!$F$39</f>
        <v>EUR/(MW*km)</v>
      </c>
      <c r="F51" s="5"/>
      <c r="G51" s="6" t="str">
        <f>Parameters!E240</f>
        <v>Opex cable (CCS)</v>
      </c>
      <c r="H51" s="700">
        <f>IF($D$18="One-off",0,D54*H50)</f>
        <v>0</v>
      </c>
      <c r="I51" s="702" t="str">
        <f>Parameters!F240</f>
        <v>EUR/a</v>
      </c>
      <c r="J51" s="14"/>
      <c r="K51" s="6" t="str">
        <f>Parameters!E235</f>
        <v>Specific weight electrical equipment</v>
      </c>
      <c r="L51" s="348">
        <f>Parameters!G235</f>
        <v>0.65073059234615382</v>
      </c>
      <c r="M51" s="701" t="str">
        <f>Parameters!F235</f>
        <v>ton / MW</v>
      </c>
      <c r="N51" s="14"/>
      <c r="O51" s="14"/>
      <c r="P51" s="14"/>
      <c r="Q51" s="14"/>
      <c r="R51" s="14"/>
      <c r="S51" s="14"/>
      <c r="T51" s="14"/>
      <c r="U51" s="14"/>
      <c r="V51" s="14"/>
      <c r="W51" s="14"/>
      <c r="X51" s="14"/>
      <c r="Y51" s="14"/>
      <c r="Z51" s="14"/>
      <c r="AA51" s="15"/>
      <c r="AB51" s="3"/>
      <c r="AC51" s="3"/>
      <c r="AD51" s="3"/>
      <c r="AE51" s="3"/>
      <c r="AF51" s="3"/>
      <c r="AG51" s="3"/>
      <c r="AH51" s="3"/>
      <c r="AI51" s="3"/>
      <c r="AJ51" s="3"/>
      <c r="AK51" s="3"/>
      <c r="AL51" s="3"/>
      <c r="AM51" s="3"/>
      <c r="AN51" s="3"/>
      <c r="AO51" s="3"/>
    </row>
    <row r="52" spans="1:41" x14ac:dyDescent="0.25">
      <c r="B52" s="13"/>
      <c r="C52" s="6" t="str">
        <f>Parameters!$E$40</f>
        <v>Cable supply coefficient 2</v>
      </c>
      <c r="D52" s="348">
        <f>Parameters!$G$40*ROUNDUP($D$15/E_cable_costs!$D$163,0)</f>
        <v>0</v>
      </c>
      <c r="E52" s="704" t="str">
        <f>Parameters!$F$40</f>
        <v>EUR/(MW*km)</v>
      </c>
      <c r="F52" s="1158"/>
      <c r="G52" s="6"/>
      <c r="H52" s="72"/>
      <c r="I52" s="35"/>
      <c r="J52" s="14"/>
      <c r="K52" s="6" t="s">
        <v>1546</v>
      </c>
      <c r="L52" s="81">
        <f>L50*$L$49</f>
        <v>0</v>
      </c>
      <c r="M52" s="35" t="s">
        <v>810</v>
      </c>
      <c r="N52" s="14"/>
      <c r="O52" s="14"/>
      <c r="P52" s="14"/>
      <c r="Q52" s="14"/>
      <c r="R52" s="14"/>
      <c r="S52" s="14"/>
      <c r="T52" s="14"/>
      <c r="U52" s="14"/>
      <c r="V52" s="14"/>
      <c r="W52" s="14"/>
      <c r="X52" s="14"/>
      <c r="Y52" s="14"/>
      <c r="Z52" s="14"/>
      <c r="AA52" s="15"/>
      <c r="AB52" s="3"/>
      <c r="AC52" s="3"/>
      <c r="AD52" s="3"/>
      <c r="AE52" s="3"/>
      <c r="AF52" s="3"/>
      <c r="AG52" s="3"/>
      <c r="AH52" s="3"/>
      <c r="AI52" s="3"/>
      <c r="AJ52" s="3"/>
      <c r="AK52" s="3"/>
      <c r="AL52" s="3"/>
      <c r="AM52" s="3"/>
      <c r="AN52" s="3"/>
      <c r="AO52" s="3"/>
    </row>
    <row r="53" spans="1:41" x14ac:dyDescent="0.25">
      <c r="B53" s="13"/>
      <c r="C53" s="6" t="str">
        <f>Parameters!$E$41</f>
        <v>Cable cost coefficient 1</v>
      </c>
      <c r="D53" s="348">
        <f>Parameters!$G$41*ROUNDUP($D$15/E_cable_costs!$D$163,0)</f>
        <v>0</v>
      </c>
      <c r="E53" s="704" t="str">
        <f>Parameters!$F$41</f>
        <v>EUR/km</v>
      </c>
      <c r="F53" s="5"/>
      <c r="G53" s="6" t="s">
        <v>1645</v>
      </c>
      <c r="H53" s="347">
        <f>(21900000*(L25/13)^0.67*1^0.9)</f>
        <v>0</v>
      </c>
      <c r="I53" s="703" t="s">
        <v>562</v>
      </c>
      <c r="J53" s="14"/>
      <c r="K53" s="6" t="s">
        <v>1547</v>
      </c>
      <c r="L53" s="81">
        <f>L51*$L$49</f>
        <v>0</v>
      </c>
      <c r="M53" s="703" t="s">
        <v>1540</v>
      </c>
      <c r="N53" s="14"/>
      <c r="O53" s="14"/>
      <c r="P53" s="14"/>
      <c r="Q53" s="14"/>
      <c r="R53" s="14"/>
      <c r="S53" s="14"/>
      <c r="T53" s="14"/>
      <c r="U53" s="14"/>
      <c r="V53" s="14"/>
      <c r="W53" s="14"/>
      <c r="X53" s="14"/>
      <c r="Y53" s="14"/>
      <c r="Z53" s="14"/>
      <c r="AA53" s="15"/>
      <c r="AB53" s="3"/>
      <c r="AC53" s="3"/>
      <c r="AD53" s="3"/>
      <c r="AE53" s="3"/>
      <c r="AF53" s="3"/>
      <c r="AG53" s="3"/>
      <c r="AH53" s="3"/>
      <c r="AI53" s="3"/>
      <c r="AJ53" s="3"/>
      <c r="AK53" s="3"/>
      <c r="AL53" s="3"/>
      <c r="AM53" s="3"/>
      <c r="AN53" s="3"/>
      <c r="AO53" s="3"/>
    </row>
    <row r="54" spans="1:41" x14ac:dyDescent="0.25">
      <c r="B54" s="13"/>
      <c r="C54" s="6" t="str">
        <f>Parameters!E233</f>
        <v>Relative opex cable</v>
      </c>
      <c r="D54" s="291">
        <f>Parameters!G233</f>
        <v>0</v>
      </c>
      <c r="E54" s="35" t="str">
        <f>Parameters!F233</f>
        <v>% of Capex</v>
      </c>
      <c r="F54" s="5"/>
      <c r="G54" s="6" t="s">
        <v>1646</v>
      </c>
      <c r="H54" s="81">
        <f>H53*D13</f>
        <v>0</v>
      </c>
      <c r="I54" s="702" t="s">
        <v>914</v>
      </c>
      <c r="J54" s="14"/>
      <c r="K54" s="6"/>
      <c r="L54" s="43"/>
      <c r="M54" s="35"/>
      <c r="N54" s="14"/>
      <c r="O54" s="14"/>
      <c r="P54" s="14"/>
      <c r="Q54" s="14"/>
      <c r="R54" s="14"/>
      <c r="S54" s="14"/>
      <c r="T54" s="14"/>
      <c r="U54" s="14"/>
      <c r="V54" s="14"/>
      <c r="W54" s="14"/>
      <c r="X54" s="14"/>
      <c r="Y54" s="14"/>
      <c r="Z54" s="14"/>
      <c r="AA54" s="15"/>
      <c r="AB54" s="3"/>
      <c r="AC54" s="3"/>
      <c r="AD54" s="3"/>
      <c r="AE54" s="3"/>
      <c r="AF54" s="3"/>
      <c r="AG54" s="3"/>
      <c r="AH54" s="3"/>
      <c r="AI54" s="3"/>
      <c r="AJ54" s="3"/>
      <c r="AK54" s="3"/>
      <c r="AL54" s="3"/>
      <c r="AM54" s="3"/>
      <c r="AN54" s="3"/>
      <c r="AO54" s="3"/>
    </row>
    <row r="55" spans="1:41" s="1143" customFormat="1" x14ac:dyDescent="0.25">
      <c r="A55" s="3"/>
      <c r="B55" s="13"/>
      <c r="C55" s="6"/>
      <c r="D55" s="291"/>
      <c r="E55" s="35"/>
      <c r="F55" s="5"/>
      <c r="G55" s="6"/>
      <c r="H55" s="43"/>
      <c r="I55" s="35"/>
      <c r="J55" s="14"/>
      <c r="K55" s="6" t="s">
        <v>128</v>
      </c>
      <c r="L55" s="43"/>
      <c r="M55" s="35"/>
      <c r="N55" s="14"/>
      <c r="O55" s="14"/>
      <c r="P55" s="14"/>
      <c r="Q55" s="14"/>
      <c r="R55" s="14"/>
      <c r="S55" s="14"/>
      <c r="T55" s="14"/>
      <c r="U55" s="14"/>
      <c r="V55" s="14"/>
      <c r="W55" s="14"/>
      <c r="X55" s="14"/>
      <c r="Y55" s="14"/>
      <c r="Z55" s="14"/>
      <c r="AA55" s="15"/>
      <c r="AB55" s="3"/>
      <c r="AC55" s="3"/>
      <c r="AD55" s="3"/>
      <c r="AE55" s="3"/>
      <c r="AF55" s="3"/>
      <c r="AG55" s="3"/>
      <c r="AH55" s="3"/>
      <c r="AI55" s="3"/>
      <c r="AJ55" s="3"/>
      <c r="AK55" s="3"/>
      <c r="AL55" s="3"/>
      <c r="AM55" s="3"/>
      <c r="AN55" s="3"/>
      <c r="AO55" s="3"/>
    </row>
    <row r="56" spans="1:41" x14ac:dyDescent="0.25">
      <c r="B56" s="13"/>
      <c r="C56" s="686" t="str">
        <f>Parameters!E221</f>
        <v>Relative capex platforms</v>
      </c>
      <c r="D56" s="81">
        <f>Parameters!G221</f>
        <v>40000000</v>
      </c>
      <c r="E56" s="76" t="str">
        <f>Parameters!F221</f>
        <v>EUR/platform</v>
      </c>
      <c r="F56" s="5"/>
      <c r="G56" s="6" t="s">
        <v>1694</v>
      </c>
      <c r="H56" s="81">
        <f>D56*D9</f>
        <v>0</v>
      </c>
      <c r="I56" s="35" t="s">
        <v>562</v>
      </c>
      <c r="J56" s="14"/>
      <c r="K56" s="108" t="str">
        <f>K25</f>
        <v>Booster capacity</v>
      </c>
      <c r="L56" s="81">
        <f>L25</f>
        <v>0</v>
      </c>
      <c r="M56" s="35" t="str">
        <f>M25</f>
        <v>MW</v>
      </c>
      <c r="N56" s="14"/>
      <c r="O56" s="14"/>
      <c r="P56" s="14"/>
      <c r="Q56" s="14"/>
      <c r="R56" s="14"/>
      <c r="S56" s="14"/>
      <c r="T56" s="14"/>
      <c r="U56" s="14"/>
      <c r="V56" s="14"/>
      <c r="W56" s="14"/>
      <c r="X56" s="14"/>
      <c r="Y56" s="14"/>
      <c r="Z56" s="14"/>
      <c r="AA56" s="15"/>
      <c r="AB56" s="3"/>
      <c r="AC56" s="3"/>
      <c r="AD56" s="3"/>
      <c r="AE56" s="3"/>
      <c r="AF56" s="3"/>
      <c r="AG56" s="3"/>
      <c r="AH56" s="3"/>
      <c r="AI56" s="3"/>
      <c r="AJ56" s="3"/>
      <c r="AK56" s="3"/>
      <c r="AL56" s="3"/>
      <c r="AM56" s="3"/>
      <c r="AN56" s="3"/>
      <c r="AO56" s="3"/>
    </row>
    <row r="57" spans="1:41" s="1186" customFormat="1" x14ac:dyDescent="0.25">
      <c r="A57" s="3"/>
      <c r="B57" s="13"/>
      <c r="C57" s="6"/>
      <c r="D57" s="43"/>
      <c r="E57" s="35"/>
      <c r="F57" s="5"/>
      <c r="G57" s="686" t="str">
        <f>Parameters!E236</f>
        <v>Capex adjustments CCS on platform</v>
      </c>
      <c r="H57" s="81">
        <f>Parameters!$G$236</f>
        <v>0</v>
      </c>
      <c r="I57" s="76" t="str">
        <f>Parameters!F236</f>
        <v>EUR</v>
      </c>
      <c r="J57" s="14"/>
      <c r="K57" s="108"/>
      <c r="L57" s="81"/>
      <c r="M57" s="35"/>
      <c r="N57" s="14"/>
      <c r="O57" s="14"/>
      <c r="P57" s="14"/>
      <c r="Q57" s="14"/>
      <c r="R57" s="14"/>
      <c r="S57" s="14"/>
      <c r="T57" s="14"/>
      <c r="U57" s="14"/>
      <c r="V57" s="14"/>
      <c r="W57" s="14"/>
      <c r="X57" s="14"/>
      <c r="Y57" s="14"/>
      <c r="Z57" s="14"/>
      <c r="AA57" s="15"/>
      <c r="AB57" s="3"/>
      <c r="AC57" s="3"/>
      <c r="AD57" s="3"/>
      <c r="AE57" s="3"/>
      <c r="AF57" s="3"/>
      <c r="AG57" s="3"/>
      <c r="AH57" s="3"/>
      <c r="AI57" s="3"/>
      <c r="AJ57" s="3"/>
      <c r="AK57" s="3"/>
      <c r="AL57" s="3"/>
      <c r="AM57" s="3"/>
      <c r="AN57" s="3"/>
      <c r="AO57" s="3"/>
    </row>
    <row r="58" spans="1:41" ht="18.75" x14ac:dyDescent="0.3">
      <c r="B58" s="67"/>
      <c r="C58" s="6"/>
      <c r="D58" s="43"/>
      <c r="E58" s="35"/>
      <c r="F58" s="5"/>
      <c r="G58" s="686" t="str">
        <f>Parameters!E238</f>
        <v>Opex platform</v>
      </c>
      <c r="H58" s="81">
        <f>Parameters!G238</f>
        <v>7936805.8527467251</v>
      </c>
      <c r="I58" s="35" t="str">
        <f>Parameters!F238</f>
        <v>EUR / a</v>
      </c>
      <c r="J58" s="14"/>
      <c r="K58" s="6" t="str">
        <f>Parameters!E185</f>
        <v>Specific pump area</v>
      </c>
      <c r="L58" s="143">
        <f>Parameters!G134</f>
        <v>8.2710833333333316</v>
      </c>
      <c r="M58" s="35" t="str">
        <f>Parameters!F134</f>
        <v>m²/MW</v>
      </c>
      <c r="N58" s="14"/>
      <c r="O58" s="14"/>
      <c r="P58" s="14"/>
      <c r="Q58" s="14"/>
      <c r="R58" s="14"/>
      <c r="S58" s="14"/>
      <c r="T58" s="14"/>
      <c r="U58" s="14"/>
      <c r="V58" s="14"/>
      <c r="W58" s="14"/>
      <c r="X58" s="14"/>
      <c r="Y58" s="14"/>
      <c r="Z58" s="14"/>
      <c r="AA58" s="15"/>
      <c r="AB58" s="3"/>
      <c r="AC58" s="3"/>
      <c r="AD58" s="3"/>
      <c r="AE58" s="3"/>
      <c r="AF58" s="3"/>
      <c r="AG58" s="3"/>
      <c r="AH58" s="3"/>
      <c r="AI58" s="3"/>
      <c r="AJ58" s="3"/>
      <c r="AK58" s="3"/>
      <c r="AL58" s="3"/>
      <c r="AM58" s="3"/>
      <c r="AN58" s="3"/>
      <c r="AO58" s="3"/>
    </row>
    <row r="59" spans="1:41" x14ac:dyDescent="0.25">
      <c r="B59" s="13"/>
      <c r="C59" s="36"/>
      <c r="D59" s="37"/>
      <c r="E59" s="38"/>
      <c r="F59" s="5"/>
      <c r="G59" s="36"/>
      <c r="H59" s="37"/>
      <c r="I59" s="38"/>
      <c r="J59" s="14"/>
      <c r="K59" s="6" t="str">
        <f>Parameters!E186</f>
        <v>Specific pump weight</v>
      </c>
      <c r="L59" s="143">
        <f>Parameters!G135</f>
        <v>2.7666666666666666</v>
      </c>
      <c r="M59" s="35" t="str">
        <f>Parameters!F135</f>
        <v>ton / MW</v>
      </c>
      <c r="N59" s="14"/>
      <c r="O59" s="14"/>
      <c r="P59" s="14"/>
      <c r="Q59" s="14"/>
      <c r="R59" s="14"/>
      <c r="S59" s="14"/>
      <c r="T59" s="14"/>
      <c r="U59" s="14"/>
      <c r="V59" s="14"/>
      <c r="W59" s="14"/>
      <c r="X59" s="14"/>
      <c r="Y59" s="14"/>
      <c r="Z59" s="14"/>
      <c r="AA59" s="15"/>
      <c r="AB59" s="3"/>
      <c r="AC59" s="3"/>
      <c r="AD59" s="3"/>
      <c r="AE59" s="3"/>
      <c r="AF59" s="3"/>
      <c r="AG59" s="3"/>
      <c r="AH59" s="3"/>
      <c r="AI59" s="3"/>
      <c r="AJ59" s="3"/>
      <c r="AK59" s="3"/>
      <c r="AL59" s="3"/>
      <c r="AM59" s="3"/>
      <c r="AN59" s="3"/>
      <c r="AO59" s="3"/>
    </row>
    <row r="60" spans="1:41" x14ac:dyDescent="0.25">
      <c r="B60" s="13"/>
      <c r="C60" s="14"/>
      <c r="D60" s="14"/>
      <c r="E60" s="14"/>
      <c r="F60" s="158"/>
      <c r="G60" s="14"/>
      <c r="H60" s="14"/>
      <c r="I60" s="14"/>
      <c r="J60" s="14"/>
      <c r="K60" s="6" t="s">
        <v>1643</v>
      </c>
      <c r="L60" s="81">
        <f>L58*L56</f>
        <v>0</v>
      </c>
      <c r="M60" s="35" t="s">
        <v>810</v>
      </c>
      <c r="N60" s="14"/>
      <c r="O60" s="14"/>
      <c r="P60" s="14"/>
      <c r="Q60" s="14"/>
      <c r="R60" s="14"/>
      <c r="S60" s="14"/>
      <c r="T60" s="14"/>
      <c r="U60" s="14"/>
      <c r="V60" s="14"/>
      <c r="W60" s="14"/>
      <c r="X60" s="14"/>
      <c r="Y60" s="14"/>
      <c r="Z60" s="14"/>
      <c r="AA60" s="15"/>
      <c r="AB60" s="3"/>
      <c r="AC60" s="3"/>
      <c r="AD60" s="3"/>
      <c r="AE60" s="3"/>
      <c r="AF60" s="3"/>
      <c r="AG60" s="3"/>
      <c r="AH60" s="3"/>
      <c r="AI60" s="3"/>
      <c r="AJ60" s="3"/>
      <c r="AK60" s="3"/>
      <c r="AL60" s="3"/>
      <c r="AM60" s="3"/>
      <c r="AN60" s="3"/>
      <c r="AO60" s="3"/>
    </row>
    <row r="61" spans="1:41" x14ac:dyDescent="0.25">
      <c r="B61" s="13"/>
      <c r="C61" s="14"/>
      <c r="D61" s="14"/>
      <c r="E61" s="14"/>
      <c r="F61" s="158"/>
      <c r="G61" s="14"/>
      <c r="H61" s="14"/>
      <c r="I61" s="14"/>
      <c r="J61" s="14"/>
      <c r="K61" s="36" t="s">
        <v>1644</v>
      </c>
      <c r="L61" s="82">
        <f>L59*L56</f>
        <v>0</v>
      </c>
      <c r="M61" s="38" t="s">
        <v>1540</v>
      </c>
      <c r="N61" s="14"/>
      <c r="O61" s="14"/>
      <c r="P61" s="14"/>
      <c r="Q61" s="14"/>
      <c r="R61" s="14"/>
      <c r="S61" s="14"/>
      <c r="T61" s="14"/>
      <c r="U61" s="14"/>
      <c r="V61" s="14"/>
      <c r="W61" s="14"/>
      <c r="X61" s="14"/>
      <c r="Y61" s="14"/>
      <c r="Z61" s="14"/>
      <c r="AA61" s="15"/>
      <c r="AB61" s="3"/>
      <c r="AC61" s="3"/>
      <c r="AD61" s="3"/>
      <c r="AE61" s="3"/>
      <c r="AF61" s="3"/>
      <c r="AG61" s="3"/>
      <c r="AH61" s="3"/>
      <c r="AI61" s="3"/>
      <c r="AJ61" s="3"/>
      <c r="AK61" s="3"/>
      <c r="AL61" s="3"/>
      <c r="AM61" s="3"/>
      <c r="AN61" s="3"/>
      <c r="AO61" s="3"/>
    </row>
    <row r="62" spans="1:41" x14ac:dyDescent="0.25">
      <c r="B62" s="13"/>
      <c r="C62" s="14"/>
      <c r="D62" s="14"/>
      <c r="E62" s="14"/>
      <c r="F62" s="5"/>
      <c r="G62" s="14"/>
      <c r="H62" s="14"/>
      <c r="I62" s="14"/>
      <c r="J62" s="14"/>
      <c r="K62" s="14"/>
      <c r="L62" s="14"/>
      <c r="M62" s="14"/>
      <c r="N62" s="14"/>
      <c r="O62" s="14"/>
      <c r="P62" s="14"/>
      <c r="Q62" s="14"/>
      <c r="R62" s="14"/>
      <c r="S62" s="14"/>
      <c r="T62" s="14"/>
      <c r="U62" s="14"/>
      <c r="V62" s="14"/>
      <c r="W62" s="14"/>
      <c r="X62" s="14"/>
      <c r="Y62" s="14"/>
      <c r="Z62" s="14"/>
      <c r="AA62" s="15"/>
      <c r="AB62" s="3"/>
      <c r="AC62" s="3"/>
      <c r="AD62" s="3"/>
      <c r="AE62" s="3"/>
      <c r="AF62" s="3"/>
      <c r="AG62" s="3"/>
      <c r="AH62" s="3"/>
      <c r="AI62" s="3"/>
      <c r="AJ62" s="3"/>
      <c r="AK62" s="3"/>
      <c r="AL62" s="3"/>
      <c r="AM62" s="3"/>
      <c r="AN62" s="3"/>
      <c r="AO62" s="3"/>
    </row>
    <row r="63" spans="1:41" x14ac:dyDescent="0.25">
      <c r="B63" s="13"/>
      <c r="C63" s="14"/>
      <c r="D63" s="14"/>
      <c r="E63" s="14"/>
      <c r="F63" s="185"/>
      <c r="G63" s="14"/>
      <c r="H63" s="14"/>
      <c r="I63" s="14"/>
      <c r="J63" s="14"/>
      <c r="K63" s="14"/>
      <c r="L63" s="14"/>
      <c r="M63" s="14"/>
      <c r="N63" s="14"/>
      <c r="O63" s="14"/>
      <c r="P63" s="14"/>
      <c r="Q63" s="14"/>
      <c r="R63" s="14"/>
      <c r="S63" s="14"/>
      <c r="T63" s="14"/>
      <c r="U63" s="14"/>
      <c r="V63" s="14"/>
      <c r="W63" s="14"/>
      <c r="X63" s="14"/>
      <c r="Y63" s="14"/>
      <c r="Z63" s="14"/>
      <c r="AA63" s="15"/>
      <c r="AB63" s="3"/>
      <c r="AC63" s="3"/>
      <c r="AD63" s="3"/>
      <c r="AE63" s="3"/>
      <c r="AF63" s="3"/>
      <c r="AG63" s="3"/>
      <c r="AH63" s="3"/>
      <c r="AI63" s="3"/>
      <c r="AJ63" s="3"/>
      <c r="AK63" s="3"/>
      <c r="AL63" s="3"/>
      <c r="AM63" s="3"/>
      <c r="AN63" s="3"/>
      <c r="AO63" s="3"/>
    </row>
    <row r="64" spans="1:41" x14ac:dyDescent="0.25">
      <c r="B64" s="13"/>
      <c r="C64" s="14"/>
      <c r="D64" s="14"/>
      <c r="E64" s="14"/>
      <c r="F64" s="134"/>
      <c r="G64" s="14"/>
      <c r="H64" s="14"/>
      <c r="I64" s="14"/>
      <c r="J64" s="14"/>
      <c r="K64" s="14"/>
      <c r="L64" s="14"/>
      <c r="M64" s="14"/>
      <c r="N64" s="14"/>
      <c r="O64" s="14"/>
      <c r="P64" s="14"/>
      <c r="Q64" s="14"/>
      <c r="R64" s="14"/>
      <c r="S64" s="14"/>
      <c r="T64" s="14"/>
      <c r="U64" s="14"/>
      <c r="V64" s="14"/>
      <c r="W64" s="14"/>
      <c r="X64" s="14"/>
      <c r="Y64" s="14"/>
      <c r="Z64" s="14"/>
      <c r="AA64" s="15"/>
      <c r="AB64" s="3"/>
      <c r="AC64" s="3"/>
      <c r="AD64" s="3"/>
      <c r="AE64" s="3"/>
      <c r="AF64" s="3"/>
      <c r="AG64" s="3"/>
      <c r="AH64" s="3"/>
      <c r="AI64" s="3"/>
      <c r="AJ64" s="3"/>
      <c r="AK64" s="3"/>
      <c r="AL64" s="3"/>
      <c r="AM64" s="3"/>
      <c r="AN64" s="3"/>
      <c r="AO64" s="3"/>
    </row>
    <row r="65" spans="2:41" ht="18.75" x14ac:dyDescent="0.3">
      <c r="B65" s="67"/>
      <c r="C65" s="14"/>
      <c r="D65" s="14"/>
      <c r="E65" s="14"/>
      <c r="F65" s="134"/>
      <c r="G65" s="14"/>
      <c r="H65" s="14"/>
      <c r="I65" s="14"/>
      <c r="J65" s="14"/>
      <c r="K65" s="14"/>
      <c r="L65" s="14"/>
      <c r="M65" s="14"/>
      <c r="N65" s="14"/>
      <c r="O65" s="14"/>
      <c r="P65" s="14"/>
      <c r="Q65" s="14"/>
      <c r="R65" s="14"/>
      <c r="S65" s="14"/>
      <c r="T65" s="14"/>
      <c r="U65" s="14"/>
      <c r="V65" s="14"/>
      <c r="W65" s="14"/>
      <c r="X65" s="14"/>
      <c r="Y65" s="14"/>
      <c r="Z65" s="14"/>
      <c r="AA65" s="15"/>
      <c r="AB65" s="3"/>
      <c r="AC65" s="3"/>
      <c r="AD65" s="3"/>
      <c r="AE65" s="3"/>
      <c r="AF65" s="3"/>
      <c r="AG65" s="3"/>
      <c r="AH65" s="3"/>
      <c r="AI65" s="3"/>
      <c r="AJ65" s="3"/>
      <c r="AK65" s="3"/>
      <c r="AL65" s="3"/>
      <c r="AM65" s="3"/>
      <c r="AN65" s="3"/>
      <c r="AO65" s="3"/>
    </row>
    <row r="66" spans="2:41" x14ac:dyDescent="0.25">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5"/>
      <c r="AB66" s="3"/>
      <c r="AC66" s="3"/>
      <c r="AD66" s="3"/>
      <c r="AE66" s="3"/>
      <c r="AF66" s="3"/>
      <c r="AG66" s="3"/>
      <c r="AH66" s="3"/>
      <c r="AI66" s="3"/>
      <c r="AJ66" s="3"/>
      <c r="AK66" s="3"/>
      <c r="AL66" s="3"/>
      <c r="AM66" s="3"/>
      <c r="AN66" s="3"/>
      <c r="AO66" s="3"/>
    </row>
    <row r="67" spans="2:41" x14ac:dyDescent="0.25">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5"/>
      <c r="AB67" s="3"/>
      <c r="AC67" s="3"/>
      <c r="AD67" s="3"/>
      <c r="AE67" s="3"/>
      <c r="AF67" s="3"/>
      <c r="AG67" s="3"/>
      <c r="AH67" s="3"/>
      <c r="AI67" s="3"/>
      <c r="AJ67" s="3"/>
      <c r="AK67" s="3"/>
      <c r="AL67" s="3"/>
      <c r="AM67" s="3"/>
      <c r="AN67" s="3"/>
      <c r="AO67" s="3"/>
    </row>
    <row r="68" spans="2:41" x14ac:dyDescent="0.25">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5"/>
      <c r="AB68" s="3"/>
      <c r="AC68" s="3"/>
      <c r="AD68" s="3"/>
      <c r="AE68" s="3"/>
      <c r="AF68" s="3"/>
      <c r="AG68" s="3"/>
      <c r="AH68" s="3"/>
      <c r="AI68" s="3"/>
      <c r="AJ68" s="3"/>
      <c r="AK68" s="3"/>
      <c r="AL68" s="3"/>
      <c r="AM68" s="3"/>
      <c r="AN68" s="3"/>
      <c r="AO68" s="3"/>
    </row>
    <row r="69" spans="2:41" x14ac:dyDescent="0.25">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5"/>
      <c r="AB69" s="3"/>
      <c r="AC69" s="3"/>
      <c r="AD69" s="3"/>
      <c r="AE69" s="3"/>
      <c r="AF69" s="3"/>
      <c r="AG69" s="3"/>
      <c r="AH69" s="3"/>
      <c r="AI69" s="3"/>
      <c r="AJ69" s="3"/>
      <c r="AK69" s="3"/>
      <c r="AL69" s="3"/>
      <c r="AM69" s="3"/>
      <c r="AN69" s="3"/>
      <c r="AO69" s="3"/>
    </row>
    <row r="70" spans="2:41" x14ac:dyDescent="0.25">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5"/>
      <c r="AB70" s="3"/>
      <c r="AC70" s="3"/>
      <c r="AD70" s="3"/>
      <c r="AE70" s="3"/>
      <c r="AF70" s="3"/>
      <c r="AG70" s="3"/>
      <c r="AH70" s="3"/>
      <c r="AI70" s="3"/>
      <c r="AJ70" s="3"/>
      <c r="AK70" s="3"/>
      <c r="AL70" s="3"/>
      <c r="AM70" s="3"/>
      <c r="AN70" s="3"/>
      <c r="AO70" s="3"/>
    </row>
    <row r="71" spans="2:41" x14ac:dyDescent="0.25">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5"/>
      <c r="AB71" s="3"/>
      <c r="AC71" s="3"/>
      <c r="AD71" s="3"/>
      <c r="AE71" s="3"/>
      <c r="AF71" s="3"/>
      <c r="AG71" s="3"/>
      <c r="AH71" s="3"/>
      <c r="AI71" s="3"/>
      <c r="AJ71" s="3"/>
      <c r="AK71" s="3"/>
      <c r="AL71" s="3"/>
      <c r="AM71" s="3"/>
      <c r="AN71" s="3"/>
      <c r="AO71" s="3"/>
    </row>
    <row r="72" spans="2:41" x14ac:dyDescent="0.25">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5"/>
      <c r="AB72" s="3"/>
      <c r="AC72" s="3"/>
      <c r="AD72" s="3"/>
      <c r="AE72" s="3"/>
      <c r="AF72" s="3"/>
      <c r="AG72" s="3"/>
      <c r="AH72" s="3"/>
      <c r="AI72" s="3"/>
      <c r="AJ72" s="3"/>
      <c r="AK72" s="3"/>
      <c r="AL72" s="3"/>
      <c r="AM72" s="3"/>
      <c r="AN72" s="3"/>
      <c r="AO72" s="3"/>
    </row>
    <row r="73" spans="2:41" x14ac:dyDescent="0.25">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5"/>
      <c r="AB73" s="3"/>
      <c r="AC73" s="3"/>
      <c r="AD73" s="3"/>
      <c r="AE73" s="3"/>
      <c r="AF73" s="3"/>
      <c r="AG73" s="3"/>
      <c r="AH73" s="3"/>
      <c r="AI73" s="3"/>
      <c r="AJ73" s="3"/>
      <c r="AK73" s="3"/>
      <c r="AL73" s="3"/>
      <c r="AM73" s="3"/>
      <c r="AN73" s="3"/>
      <c r="AO73" s="3"/>
    </row>
    <row r="74" spans="2:41" x14ac:dyDescent="0.25">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5"/>
      <c r="AB74" s="3"/>
      <c r="AC74" s="3"/>
      <c r="AD74" s="3"/>
      <c r="AE74" s="3"/>
      <c r="AF74" s="3"/>
      <c r="AG74" s="3"/>
      <c r="AH74" s="3"/>
      <c r="AI74" s="3"/>
      <c r="AJ74" s="3"/>
      <c r="AK74" s="3"/>
      <c r="AL74" s="3"/>
      <c r="AM74" s="3"/>
      <c r="AN74" s="3"/>
      <c r="AO74" s="3"/>
    </row>
    <row r="75" spans="2:41" x14ac:dyDescent="0.25">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5"/>
      <c r="AB75" s="3"/>
      <c r="AC75" s="3"/>
      <c r="AD75" s="3"/>
      <c r="AE75" s="3"/>
      <c r="AF75" s="3"/>
      <c r="AG75" s="3"/>
      <c r="AH75" s="3"/>
      <c r="AI75" s="3"/>
      <c r="AJ75" s="3"/>
      <c r="AK75" s="3"/>
      <c r="AL75" s="3"/>
      <c r="AM75" s="3"/>
      <c r="AN75" s="3"/>
      <c r="AO75" s="3"/>
    </row>
    <row r="76" spans="2:41" x14ac:dyDescent="0.25">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5"/>
      <c r="AB76" s="3"/>
      <c r="AC76" s="3"/>
      <c r="AD76" s="3"/>
      <c r="AE76" s="3"/>
      <c r="AF76" s="3"/>
      <c r="AG76" s="3"/>
      <c r="AH76" s="3"/>
      <c r="AI76" s="3"/>
      <c r="AJ76" s="3"/>
      <c r="AK76" s="3"/>
      <c r="AL76" s="3"/>
      <c r="AM76" s="3"/>
      <c r="AN76" s="3"/>
      <c r="AO76" s="3"/>
    </row>
    <row r="77" spans="2:41" x14ac:dyDescent="0.25">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5"/>
      <c r="AB77" s="3"/>
      <c r="AC77" s="3"/>
      <c r="AD77" s="3"/>
      <c r="AE77" s="3"/>
      <c r="AF77" s="3"/>
      <c r="AG77" s="3"/>
      <c r="AH77" s="3"/>
      <c r="AI77" s="3"/>
      <c r="AJ77" s="3"/>
      <c r="AK77" s="3"/>
      <c r="AL77" s="3"/>
      <c r="AM77" s="3"/>
      <c r="AN77" s="3"/>
      <c r="AO77" s="3"/>
    </row>
    <row r="78" spans="2:41" ht="15" customHeight="1" x14ac:dyDescent="0.3">
      <c r="B78" s="67"/>
      <c r="C78" s="14"/>
      <c r="D78" s="14"/>
      <c r="E78" s="14"/>
      <c r="F78" s="14"/>
      <c r="G78" s="14"/>
      <c r="H78" s="14"/>
      <c r="I78" s="14"/>
      <c r="J78" s="14"/>
      <c r="K78" s="14"/>
      <c r="L78" s="14"/>
      <c r="M78" s="14"/>
      <c r="N78" s="14"/>
      <c r="O78" s="14"/>
      <c r="P78" s="14"/>
      <c r="Q78" s="14"/>
      <c r="R78" s="14"/>
      <c r="S78" s="14"/>
      <c r="T78" s="14"/>
      <c r="U78" s="14"/>
      <c r="V78" s="14"/>
      <c r="W78" s="14"/>
      <c r="X78" s="14"/>
      <c r="Y78" s="14"/>
      <c r="Z78" s="14"/>
      <c r="AA78" s="15"/>
      <c r="AB78" s="3"/>
      <c r="AC78" s="3"/>
      <c r="AD78" s="3"/>
      <c r="AE78" s="3"/>
      <c r="AF78" s="3"/>
      <c r="AG78" s="3"/>
      <c r="AH78" s="3"/>
      <c r="AI78" s="3"/>
      <c r="AJ78" s="3"/>
      <c r="AK78" s="3"/>
      <c r="AL78" s="3"/>
      <c r="AM78" s="3"/>
      <c r="AN78" s="3"/>
      <c r="AO78" s="3"/>
    </row>
    <row r="79" spans="2:41" x14ac:dyDescent="0.25">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5"/>
      <c r="AB79" s="3"/>
      <c r="AC79" s="3"/>
      <c r="AD79" s="3"/>
      <c r="AE79" s="3"/>
      <c r="AF79" s="3"/>
      <c r="AG79" s="3"/>
      <c r="AH79" s="3"/>
      <c r="AI79" s="3"/>
      <c r="AJ79" s="3"/>
      <c r="AK79" s="3"/>
      <c r="AL79" s="3"/>
      <c r="AM79" s="3"/>
      <c r="AN79" s="3"/>
      <c r="AO79" s="3"/>
    </row>
    <row r="80" spans="2:41" x14ac:dyDescent="0.25">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5"/>
      <c r="AB80" s="3"/>
      <c r="AC80" s="3"/>
      <c r="AD80" s="3"/>
      <c r="AE80" s="3"/>
      <c r="AF80" s="3"/>
      <c r="AG80" s="3"/>
      <c r="AH80" s="3"/>
      <c r="AI80" s="3"/>
      <c r="AJ80" s="3"/>
      <c r="AK80" s="3"/>
      <c r="AL80" s="3"/>
      <c r="AM80" s="3"/>
      <c r="AN80" s="3"/>
      <c r="AO80" s="3"/>
    </row>
    <row r="81" spans="2:41" x14ac:dyDescent="0.25">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5"/>
      <c r="AB81" s="3"/>
      <c r="AC81" s="3"/>
      <c r="AD81" s="3"/>
      <c r="AE81" s="3"/>
      <c r="AF81" s="3"/>
      <c r="AG81" s="3"/>
      <c r="AH81" s="3"/>
      <c r="AI81" s="3"/>
      <c r="AJ81" s="3"/>
      <c r="AK81" s="3"/>
      <c r="AL81" s="3"/>
      <c r="AM81" s="3"/>
      <c r="AN81" s="3"/>
      <c r="AO81" s="3"/>
    </row>
    <row r="82" spans="2:41" x14ac:dyDescent="0.25">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5"/>
      <c r="AB82" s="3"/>
      <c r="AC82" s="3"/>
      <c r="AD82" s="3"/>
      <c r="AE82" s="3"/>
      <c r="AF82" s="3"/>
      <c r="AG82" s="3"/>
      <c r="AH82" s="3"/>
      <c r="AI82" s="3"/>
      <c r="AJ82" s="3"/>
      <c r="AK82" s="3"/>
      <c r="AL82" s="3"/>
      <c r="AM82" s="3"/>
      <c r="AN82" s="3"/>
      <c r="AO82" s="3"/>
    </row>
    <row r="83" spans="2:41" x14ac:dyDescent="0.25">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5"/>
      <c r="AB83" s="3"/>
      <c r="AC83" s="3"/>
      <c r="AD83" s="3"/>
      <c r="AE83" s="3"/>
      <c r="AF83" s="3"/>
      <c r="AG83" s="3"/>
      <c r="AH83" s="3"/>
      <c r="AI83" s="3"/>
      <c r="AJ83" s="3"/>
      <c r="AK83" s="3"/>
      <c r="AL83" s="3"/>
      <c r="AM83" s="3"/>
      <c r="AN83" s="3"/>
      <c r="AO83" s="3"/>
    </row>
    <row r="84" spans="2:41" x14ac:dyDescent="0.25">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5"/>
      <c r="AB84" s="3"/>
      <c r="AC84" s="3"/>
      <c r="AD84" s="3"/>
      <c r="AE84" s="3"/>
      <c r="AF84" s="3"/>
      <c r="AG84" s="3"/>
      <c r="AH84" s="3"/>
      <c r="AI84" s="3"/>
      <c r="AJ84" s="3"/>
      <c r="AK84" s="3"/>
      <c r="AL84" s="3"/>
      <c r="AM84" s="3"/>
      <c r="AN84" s="3"/>
      <c r="AO84" s="3"/>
    </row>
    <row r="85" spans="2:41" x14ac:dyDescent="0.25">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5"/>
      <c r="AB85" s="3"/>
      <c r="AC85" s="3"/>
      <c r="AD85" s="3"/>
      <c r="AE85" s="3"/>
      <c r="AF85" s="3"/>
      <c r="AG85" s="3"/>
      <c r="AH85" s="3"/>
      <c r="AI85" s="3"/>
      <c r="AJ85" s="3"/>
      <c r="AK85" s="3"/>
      <c r="AL85" s="3"/>
      <c r="AM85" s="3"/>
      <c r="AN85" s="3"/>
      <c r="AO85" s="3"/>
    </row>
    <row r="86" spans="2:41" x14ac:dyDescent="0.25">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5"/>
      <c r="AB86" s="3"/>
      <c r="AC86" s="3"/>
      <c r="AD86" s="3"/>
      <c r="AE86" s="3"/>
      <c r="AF86" s="3"/>
      <c r="AG86" s="3"/>
      <c r="AH86" s="3"/>
      <c r="AI86" s="3"/>
      <c r="AJ86" s="3"/>
      <c r="AK86" s="3"/>
      <c r="AL86" s="3"/>
      <c r="AM86" s="3"/>
      <c r="AN86" s="3"/>
      <c r="AO86" s="3"/>
    </row>
    <row r="87" spans="2:41" x14ac:dyDescent="0.25">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5"/>
      <c r="AB87" s="3"/>
      <c r="AC87" s="3"/>
      <c r="AD87" s="3"/>
      <c r="AE87" s="3"/>
      <c r="AF87" s="3"/>
      <c r="AG87" s="3"/>
      <c r="AH87" s="3"/>
      <c r="AI87" s="3"/>
      <c r="AJ87" s="3"/>
      <c r="AK87" s="3"/>
      <c r="AL87" s="3"/>
      <c r="AM87" s="3"/>
      <c r="AN87" s="3"/>
      <c r="AO87" s="3"/>
    </row>
    <row r="88" spans="2:41" x14ac:dyDescent="0.25">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5"/>
      <c r="AB88" s="3"/>
      <c r="AC88" s="3"/>
      <c r="AD88" s="3"/>
      <c r="AE88" s="3"/>
      <c r="AF88" s="3"/>
      <c r="AG88" s="3"/>
      <c r="AH88" s="3"/>
      <c r="AI88" s="3"/>
      <c r="AJ88" s="3"/>
      <c r="AK88" s="3"/>
      <c r="AL88" s="3"/>
      <c r="AM88" s="3"/>
      <c r="AN88" s="3"/>
      <c r="AO88" s="3"/>
    </row>
    <row r="89" spans="2:41" x14ac:dyDescent="0.25">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5"/>
      <c r="AB89" s="3"/>
      <c r="AC89" s="3"/>
      <c r="AD89" s="3"/>
      <c r="AE89" s="3"/>
      <c r="AF89" s="3"/>
      <c r="AG89" s="3"/>
      <c r="AH89" s="3"/>
      <c r="AI89" s="3"/>
      <c r="AJ89" s="3"/>
      <c r="AK89" s="3"/>
      <c r="AL89" s="3"/>
      <c r="AM89" s="3"/>
      <c r="AN89" s="3"/>
      <c r="AO89" s="3"/>
    </row>
    <row r="90" spans="2:41" x14ac:dyDescent="0.25">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5"/>
      <c r="AB90" s="3"/>
      <c r="AC90" s="3"/>
      <c r="AD90" s="3"/>
      <c r="AE90" s="3"/>
      <c r="AF90" s="3"/>
      <c r="AG90" s="3"/>
      <c r="AH90" s="3"/>
      <c r="AI90" s="3"/>
      <c r="AJ90" s="3"/>
      <c r="AK90" s="3"/>
      <c r="AL90" s="3"/>
      <c r="AM90" s="3"/>
      <c r="AN90" s="3"/>
      <c r="AO90" s="3"/>
    </row>
    <row r="91" spans="2:41" x14ac:dyDescent="0.25">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5"/>
      <c r="AB91" s="3"/>
      <c r="AC91" s="3"/>
      <c r="AD91" s="3"/>
      <c r="AE91" s="3"/>
      <c r="AF91" s="3"/>
      <c r="AG91" s="3"/>
      <c r="AH91" s="3"/>
      <c r="AI91" s="3"/>
      <c r="AJ91" s="3"/>
      <c r="AK91" s="3"/>
      <c r="AL91" s="3"/>
      <c r="AM91" s="3"/>
      <c r="AN91" s="3"/>
      <c r="AO91" s="3"/>
    </row>
    <row r="92" spans="2:41" x14ac:dyDescent="0.25">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5"/>
      <c r="AB92" s="3"/>
      <c r="AC92" s="3"/>
      <c r="AD92" s="3"/>
      <c r="AE92" s="3"/>
      <c r="AF92" s="3"/>
      <c r="AG92" s="3"/>
      <c r="AH92" s="3"/>
      <c r="AI92" s="3"/>
      <c r="AJ92" s="3"/>
      <c r="AK92" s="3"/>
      <c r="AL92" s="3"/>
      <c r="AM92" s="3"/>
      <c r="AN92" s="3"/>
      <c r="AO92" s="3"/>
    </row>
    <row r="93" spans="2:41" x14ac:dyDescent="0.25">
      <c r="B93" s="13"/>
      <c r="C93" s="14"/>
      <c r="D93" s="14"/>
      <c r="E93" s="14"/>
      <c r="F93" s="14"/>
      <c r="G93" s="14"/>
      <c r="H93" s="14"/>
      <c r="I93" s="14"/>
      <c r="J93" s="14"/>
      <c r="K93" s="14"/>
      <c r="L93" s="14"/>
      <c r="M93" s="14"/>
      <c r="N93" s="14"/>
      <c r="O93" s="14"/>
      <c r="P93" s="14"/>
      <c r="Q93" s="14"/>
      <c r="R93" s="14"/>
      <c r="S93" s="14"/>
      <c r="T93" s="14"/>
      <c r="U93" s="14"/>
      <c r="V93" s="14"/>
      <c r="W93" s="14"/>
      <c r="X93" s="14"/>
      <c r="Y93" s="14"/>
      <c r="Z93" s="14"/>
      <c r="AA93" s="15"/>
      <c r="AB93" s="3"/>
      <c r="AC93" s="3"/>
      <c r="AD93" s="3"/>
      <c r="AE93" s="3"/>
      <c r="AF93" s="3"/>
      <c r="AG93" s="3"/>
      <c r="AH93" s="3"/>
      <c r="AI93" s="3"/>
      <c r="AJ93" s="3"/>
      <c r="AK93" s="3"/>
      <c r="AL93" s="3"/>
      <c r="AM93" s="3"/>
      <c r="AN93" s="3"/>
      <c r="AO93" s="3"/>
    </row>
    <row r="94" spans="2:41" x14ac:dyDescent="0.25">
      <c r="B94" s="13"/>
      <c r="C94" s="14"/>
      <c r="D94" s="14"/>
      <c r="E94" s="14"/>
      <c r="F94" s="14"/>
      <c r="G94" s="14"/>
      <c r="H94" s="14"/>
      <c r="I94" s="14"/>
      <c r="J94" s="14"/>
      <c r="K94" s="14"/>
      <c r="L94" s="14"/>
      <c r="M94" s="14"/>
      <c r="N94" s="14"/>
      <c r="O94" s="14"/>
      <c r="P94" s="14"/>
      <c r="Q94" s="14"/>
      <c r="R94" s="14"/>
      <c r="S94" s="14"/>
      <c r="T94" s="14"/>
      <c r="U94" s="14"/>
      <c r="V94" s="14"/>
      <c r="W94" s="14"/>
      <c r="X94" s="14"/>
      <c r="Y94" s="14"/>
      <c r="Z94" s="14"/>
      <c r="AA94" s="15"/>
      <c r="AB94" s="3"/>
      <c r="AC94" s="3"/>
      <c r="AD94" s="3"/>
      <c r="AE94" s="3"/>
      <c r="AF94" s="3"/>
      <c r="AG94" s="3"/>
      <c r="AH94" s="3"/>
      <c r="AI94" s="3"/>
      <c r="AJ94" s="3"/>
      <c r="AK94" s="3"/>
      <c r="AL94" s="3"/>
      <c r="AM94" s="3"/>
      <c r="AN94" s="3"/>
      <c r="AO94" s="3"/>
    </row>
    <row r="95" spans="2:41" x14ac:dyDescent="0.25">
      <c r="B95" s="13"/>
      <c r="C95" s="135"/>
      <c r="D95" s="14"/>
      <c r="E95" s="14"/>
      <c r="F95" s="14"/>
      <c r="G95" s="14"/>
      <c r="H95" s="14"/>
      <c r="I95" s="14"/>
      <c r="J95" s="14"/>
      <c r="K95" s="14"/>
      <c r="L95" s="14"/>
      <c r="M95" s="14"/>
      <c r="N95" s="14"/>
      <c r="O95" s="14"/>
      <c r="P95" s="14"/>
      <c r="Q95" s="14"/>
      <c r="R95" s="14"/>
      <c r="S95" s="14"/>
      <c r="T95" s="14"/>
      <c r="U95" s="14"/>
      <c r="V95" s="14"/>
      <c r="W95" s="14"/>
      <c r="X95" s="14"/>
      <c r="Y95" s="14"/>
      <c r="Z95" s="14"/>
      <c r="AA95" s="15"/>
      <c r="AB95" s="3"/>
      <c r="AC95" s="3"/>
      <c r="AD95" s="3"/>
      <c r="AE95" s="3"/>
      <c r="AF95" s="3"/>
      <c r="AG95" s="3"/>
      <c r="AH95" s="3"/>
      <c r="AI95" s="3"/>
      <c r="AJ95" s="3"/>
      <c r="AK95" s="3"/>
      <c r="AL95" s="3"/>
      <c r="AM95" s="3"/>
      <c r="AN95" s="3"/>
      <c r="AO95" s="3"/>
    </row>
    <row r="96" spans="2:41" x14ac:dyDescent="0.25">
      <c r="B96" s="13"/>
      <c r="C96" s="14"/>
      <c r="D96" s="14"/>
      <c r="E96" s="14"/>
      <c r="F96" s="14"/>
      <c r="G96" s="14"/>
      <c r="H96" s="14"/>
      <c r="I96" s="14"/>
      <c r="J96" s="14"/>
      <c r="K96" s="14"/>
      <c r="L96" s="14"/>
      <c r="M96" s="14"/>
      <c r="N96" s="14"/>
      <c r="O96" s="14"/>
      <c r="P96" s="14"/>
      <c r="Q96" s="14"/>
      <c r="R96" s="14"/>
      <c r="S96" s="14"/>
      <c r="T96" s="14"/>
      <c r="U96" s="14"/>
      <c r="V96" s="14"/>
      <c r="W96" s="14"/>
      <c r="X96" s="14"/>
      <c r="Y96" s="14"/>
      <c r="Z96" s="14"/>
      <c r="AA96" s="15"/>
      <c r="AB96" s="3"/>
      <c r="AC96" s="3"/>
      <c r="AD96" s="3"/>
      <c r="AE96" s="3"/>
      <c r="AF96" s="3"/>
      <c r="AG96" s="3"/>
      <c r="AH96" s="3"/>
      <c r="AI96" s="3"/>
      <c r="AJ96" s="3"/>
      <c r="AK96" s="3"/>
      <c r="AL96" s="3"/>
      <c r="AM96" s="3"/>
      <c r="AN96" s="3"/>
      <c r="AO96" s="3"/>
    </row>
    <row r="97" spans="2:41" x14ac:dyDescent="0.25">
      <c r="B97" s="13"/>
      <c r="C97" s="14"/>
      <c r="D97" s="14"/>
      <c r="E97" s="14"/>
      <c r="F97" s="14"/>
      <c r="G97" s="14"/>
      <c r="H97" s="14"/>
      <c r="I97" s="14"/>
      <c r="J97" s="14"/>
      <c r="K97" s="14"/>
      <c r="L97" s="14"/>
      <c r="M97" s="14"/>
      <c r="N97" s="14"/>
      <c r="O97" s="14"/>
      <c r="P97" s="14"/>
      <c r="Q97" s="14"/>
      <c r="R97" s="14"/>
      <c r="S97" s="14"/>
      <c r="T97" s="14"/>
      <c r="U97" s="14"/>
      <c r="V97" s="14"/>
      <c r="W97" s="14"/>
      <c r="X97" s="14"/>
      <c r="Y97" s="14"/>
      <c r="Z97" s="14"/>
      <c r="AA97" s="15"/>
      <c r="AB97" s="3"/>
      <c r="AC97" s="3"/>
      <c r="AD97" s="3"/>
      <c r="AE97" s="3"/>
      <c r="AF97" s="3"/>
      <c r="AG97" s="3"/>
      <c r="AH97" s="3"/>
      <c r="AI97" s="3"/>
      <c r="AJ97" s="3"/>
      <c r="AK97" s="3"/>
      <c r="AL97" s="3"/>
      <c r="AM97" s="3"/>
      <c r="AN97" s="3"/>
      <c r="AO97" s="3"/>
    </row>
    <row r="98" spans="2:41" x14ac:dyDescent="0.25">
      <c r="B98" s="13"/>
      <c r="C98" s="135"/>
      <c r="D98" s="14"/>
      <c r="E98" s="14"/>
      <c r="F98" s="14"/>
      <c r="G98" s="14"/>
      <c r="H98" s="14"/>
      <c r="I98" s="14"/>
      <c r="J98" s="14"/>
      <c r="K98" s="14"/>
      <c r="L98" s="14"/>
      <c r="M98" s="14"/>
      <c r="N98" s="14"/>
      <c r="O98" s="14"/>
      <c r="P98" s="14"/>
      <c r="Q98" s="14"/>
      <c r="R98" s="14"/>
      <c r="S98" s="14"/>
      <c r="T98" s="14"/>
      <c r="U98" s="14"/>
      <c r="V98" s="14"/>
      <c r="W98" s="14"/>
      <c r="X98" s="14"/>
      <c r="Y98" s="14"/>
      <c r="Z98" s="14"/>
      <c r="AA98" s="15"/>
      <c r="AB98" s="3"/>
      <c r="AC98" s="3"/>
      <c r="AD98" s="3"/>
      <c r="AE98" s="3"/>
      <c r="AF98" s="3"/>
      <c r="AG98" s="3"/>
      <c r="AH98" s="3"/>
      <c r="AI98" s="3"/>
      <c r="AJ98" s="3"/>
      <c r="AK98" s="3"/>
      <c r="AL98" s="3"/>
      <c r="AM98" s="3"/>
      <c r="AN98" s="3"/>
      <c r="AO98" s="3"/>
    </row>
    <row r="99" spans="2:41" ht="18.75" x14ac:dyDescent="0.3">
      <c r="B99" s="67"/>
      <c r="C99" s="14"/>
      <c r="D99" s="60"/>
      <c r="E99" s="56"/>
      <c r="F99" s="56"/>
      <c r="G99" s="14"/>
      <c r="H99" s="56"/>
      <c r="I99" s="74"/>
      <c r="J99" s="14"/>
      <c r="K99" s="14"/>
      <c r="L99" s="14"/>
      <c r="M99" s="14"/>
      <c r="N99" s="14"/>
      <c r="O99" s="14"/>
      <c r="P99" s="14"/>
      <c r="Q99" s="14"/>
      <c r="R99" s="14"/>
      <c r="S99" s="14"/>
      <c r="T99" s="14"/>
      <c r="U99" s="14"/>
      <c r="V99" s="14"/>
      <c r="W99" s="14"/>
      <c r="X99" s="14"/>
      <c r="Y99" s="14"/>
      <c r="Z99" s="14"/>
      <c r="AA99" s="15"/>
      <c r="AB99" s="3"/>
      <c r="AC99" s="3"/>
      <c r="AD99" s="3"/>
      <c r="AE99" s="3"/>
      <c r="AF99" s="3"/>
      <c r="AG99" s="3"/>
      <c r="AH99" s="3"/>
      <c r="AI99" s="3"/>
      <c r="AJ99" s="3"/>
      <c r="AK99" s="3"/>
      <c r="AL99" s="3"/>
      <c r="AM99" s="3"/>
      <c r="AN99" s="3"/>
      <c r="AO99" s="3"/>
    </row>
    <row r="100" spans="2:41" x14ac:dyDescent="0.25">
      <c r="B100" s="13"/>
      <c r="C100" s="14"/>
      <c r="D100" s="14"/>
      <c r="E100" s="56"/>
      <c r="F100" s="56"/>
      <c r="G100" s="14"/>
      <c r="H100" s="56"/>
      <c r="I100" s="14"/>
      <c r="J100" s="14"/>
      <c r="K100" s="14"/>
      <c r="L100" s="14"/>
      <c r="M100" s="14"/>
      <c r="N100" s="14"/>
      <c r="O100" s="14"/>
      <c r="P100" s="14"/>
      <c r="Q100" s="14"/>
      <c r="R100" s="14"/>
      <c r="S100" s="14"/>
      <c r="T100" s="14"/>
      <c r="U100" s="14"/>
      <c r="V100" s="14"/>
      <c r="W100" s="14"/>
      <c r="X100" s="14"/>
      <c r="Y100" s="14"/>
      <c r="Z100" s="14"/>
      <c r="AA100" s="15"/>
      <c r="AB100" s="3"/>
      <c r="AC100" s="3"/>
      <c r="AD100" s="3"/>
      <c r="AE100" s="3"/>
      <c r="AF100" s="3"/>
      <c r="AG100" s="3"/>
      <c r="AH100" s="3"/>
      <c r="AI100" s="3"/>
      <c r="AJ100" s="3"/>
      <c r="AK100" s="3"/>
      <c r="AL100" s="3"/>
      <c r="AM100" s="3"/>
      <c r="AN100" s="3"/>
      <c r="AO100" s="3"/>
    </row>
    <row r="101" spans="2:41" x14ac:dyDescent="0.25">
      <c r="B101" s="13"/>
      <c r="C101" s="136"/>
      <c r="D101" s="60"/>
      <c r="E101" s="56"/>
      <c r="F101" s="56"/>
      <c r="G101" s="57"/>
      <c r="H101" s="14"/>
      <c r="I101" s="14"/>
      <c r="J101" s="14"/>
      <c r="K101" s="14"/>
      <c r="L101" s="14"/>
      <c r="M101" s="14"/>
      <c r="N101" s="14"/>
      <c r="O101" s="14"/>
      <c r="P101" s="14"/>
      <c r="Q101" s="14"/>
      <c r="R101" s="14"/>
      <c r="S101" s="14"/>
      <c r="T101" s="14"/>
      <c r="U101" s="14"/>
      <c r="V101" s="14"/>
      <c r="W101" s="14"/>
      <c r="X101" s="14"/>
      <c r="Y101" s="14"/>
      <c r="Z101" s="14"/>
      <c r="AA101" s="15"/>
      <c r="AB101" s="3"/>
      <c r="AC101" s="3"/>
      <c r="AD101" s="3"/>
      <c r="AE101" s="3"/>
      <c r="AF101" s="3"/>
      <c r="AG101" s="3"/>
      <c r="AH101" s="3"/>
      <c r="AI101" s="3"/>
      <c r="AJ101" s="3"/>
      <c r="AK101" s="3"/>
      <c r="AL101" s="3"/>
      <c r="AM101" s="3"/>
      <c r="AN101" s="3"/>
      <c r="AO101" s="3"/>
    </row>
    <row r="102" spans="2:41" x14ac:dyDescent="0.25">
      <c r="B102" s="13"/>
      <c r="C102" s="14"/>
      <c r="D102" s="60"/>
      <c r="E102" s="56"/>
      <c r="F102" s="56"/>
      <c r="G102" s="128"/>
      <c r="H102" s="56"/>
      <c r="I102" s="14"/>
      <c r="J102" s="14"/>
      <c r="K102" s="14"/>
      <c r="L102" s="14"/>
      <c r="M102" s="14"/>
      <c r="N102" s="14"/>
      <c r="O102" s="14"/>
      <c r="P102" s="14"/>
      <c r="Q102" s="14"/>
      <c r="R102" s="14"/>
      <c r="S102" s="14"/>
      <c r="T102" s="14"/>
      <c r="U102" s="14"/>
      <c r="V102" s="14"/>
      <c r="W102" s="14"/>
      <c r="X102" s="14"/>
      <c r="Y102" s="14"/>
      <c r="Z102" s="14"/>
      <c r="AA102" s="15"/>
      <c r="AB102" s="3"/>
      <c r="AC102" s="3"/>
      <c r="AD102" s="3"/>
      <c r="AE102" s="3"/>
      <c r="AF102" s="3"/>
      <c r="AG102" s="3"/>
      <c r="AH102" s="3"/>
      <c r="AI102" s="3"/>
      <c r="AJ102" s="3"/>
      <c r="AK102" s="3"/>
      <c r="AL102" s="3"/>
      <c r="AM102" s="3"/>
      <c r="AN102" s="3"/>
      <c r="AO102" s="3"/>
    </row>
    <row r="103" spans="2:41" x14ac:dyDescent="0.25">
      <c r="B103" s="13"/>
      <c r="C103" s="14"/>
      <c r="D103" s="60"/>
      <c r="E103" s="56"/>
      <c r="F103" s="56"/>
      <c r="G103" s="14"/>
      <c r="H103" s="56"/>
      <c r="I103" s="14"/>
      <c r="J103" s="14"/>
      <c r="K103" s="14"/>
      <c r="L103" s="14"/>
      <c r="M103" s="14"/>
      <c r="N103" s="14"/>
      <c r="O103" s="14"/>
      <c r="P103" s="14"/>
      <c r="Q103" s="14"/>
      <c r="R103" s="14"/>
      <c r="S103" s="14"/>
      <c r="T103" s="14"/>
      <c r="U103" s="14"/>
      <c r="V103" s="14"/>
      <c r="W103" s="14"/>
      <c r="X103" s="14"/>
      <c r="Y103" s="14"/>
      <c r="Z103" s="14"/>
      <c r="AA103" s="15"/>
      <c r="AB103" s="3"/>
      <c r="AC103" s="3"/>
      <c r="AD103" s="3"/>
      <c r="AE103" s="3"/>
      <c r="AF103" s="3"/>
      <c r="AG103" s="3"/>
      <c r="AH103" s="3"/>
      <c r="AI103" s="3"/>
      <c r="AJ103" s="3"/>
      <c r="AK103" s="3"/>
      <c r="AL103" s="3"/>
      <c r="AM103" s="3"/>
      <c r="AN103" s="3"/>
      <c r="AO103" s="3"/>
    </row>
    <row r="104" spans="2:41" x14ac:dyDescent="0.25">
      <c r="B104" s="13"/>
      <c r="C104" s="14"/>
      <c r="D104" s="60"/>
      <c r="E104" s="56"/>
      <c r="F104" s="56"/>
      <c r="G104" s="14"/>
      <c r="H104" s="56"/>
      <c r="I104" s="14"/>
      <c r="J104" s="14"/>
      <c r="K104" s="14"/>
      <c r="L104" s="14"/>
      <c r="M104" s="14"/>
      <c r="N104" s="14"/>
      <c r="O104" s="14"/>
      <c r="P104" s="14"/>
      <c r="Q104" s="14"/>
      <c r="R104" s="14"/>
      <c r="S104" s="14"/>
      <c r="T104" s="14"/>
      <c r="U104" s="14"/>
      <c r="V104" s="14"/>
      <c r="W104" s="14"/>
      <c r="X104" s="14"/>
      <c r="Y104" s="14"/>
      <c r="Z104" s="14"/>
      <c r="AA104" s="15"/>
      <c r="AB104" s="3"/>
      <c r="AC104" s="3"/>
      <c r="AD104" s="3"/>
      <c r="AE104" s="3"/>
      <c r="AF104" s="3"/>
      <c r="AG104" s="3"/>
      <c r="AH104" s="3"/>
      <c r="AI104" s="3"/>
      <c r="AJ104" s="3"/>
      <c r="AK104" s="3"/>
      <c r="AL104" s="3"/>
      <c r="AM104" s="3"/>
      <c r="AN104" s="3"/>
      <c r="AO104" s="3"/>
    </row>
    <row r="105" spans="2:41" x14ac:dyDescent="0.25">
      <c r="B105" s="13"/>
      <c r="C105" s="56"/>
      <c r="D105" s="60"/>
      <c r="E105" s="56"/>
      <c r="F105" s="56"/>
      <c r="G105" s="56"/>
      <c r="H105" s="56"/>
      <c r="I105" s="14"/>
      <c r="J105" s="14"/>
      <c r="K105" s="14"/>
      <c r="L105" s="14"/>
      <c r="M105" s="14"/>
      <c r="N105" s="14"/>
      <c r="O105" s="14"/>
      <c r="P105" s="14"/>
      <c r="Q105" s="14"/>
      <c r="R105" s="14"/>
      <c r="S105" s="14"/>
      <c r="T105" s="14"/>
      <c r="U105" s="14"/>
      <c r="V105" s="14"/>
      <c r="W105" s="14"/>
      <c r="X105" s="14"/>
      <c r="Y105" s="14"/>
      <c r="Z105" s="14"/>
      <c r="AA105" s="15"/>
      <c r="AB105" s="3"/>
      <c r="AC105" s="3"/>
      <c r="AD105" s="3"/>
      <c r="AE105" s="3"/>
      <c r="AF105" s="3"/>
      <c r="AG105" s="3"/>
      <c r="AH105" s="3"/>
      <c r="AI105" s="3"/>
      <c r="AJ105" s="3"/>
      <c r="AK105" s="3"/>
      <c r="AL105" s="3"/>
      <c r="AM105" s="3"/>
      <c r="AN105" s="3"/>
      <c r="AO105" s="3"/>
    </row>
    <row r="106" spans="2:41" x14ac:dyDescent="0.25">
      <c r="B106" s="13"/>
      <c r="C106" s="14"/>
      <c r="D106" s="60"/>
      <c r="E106" s="56"/>
      <c r="F106" s="56"/>
      <c r="G106" s="14"/>
      <c r="H106" s="56"/>
      <c r="I106" s="14"/>
      <c r="J106" s="14"/>
      <c r="K106" s="14"/>
      <c r="L106" s="14"/>
      <c r="M106" s="14"/>
      <c r="N106" s="14"/>
      <c r="O106" s="14"/>
      <c r="P106" s="14"/>
      <c r="Q106" s="14"/>
      <c r="R106" s="14"/>
      <c r="S106" s="14"/>
      <c r="T106" s="14"/>
      <c r="U106" s="14"/>
      <c r="V106" s="14"/>
      <c r="W106" s="14"/>
      <c r="X106" s="14"/>
      <c r="Y106" s="14"/>
      <c r="Z106" s="14"/>
      <c r="AA106" s="15"/>
      <c r="AB106" s="3"/>
      <c r="AC106" s="3"/>
      <c r="AD106" s="3"/>
      <c r="AE106" s="3"/>
      <c r="AF106" s="3"/>
      <c r="AG106" s="3"/>
      <c r="AH106" s="3"/>
      <c r="AI106" s="3"/>
      <c r="AJ106" s="3"/>
      <c r="AK106" s="3"/>
      <c r="AL106" s="3"/>
      <c r="AM106" s="3"/>
      <c r="AN106" s="3"/>
      <c r="AO106" s="3"/>
    </row>
    <row r="107" spans="2:41" x14ac:dyDescent="0.25">
      <c r="B107" s="13"/>
      <c r="C107" s="14"/>
      <c r="D107" s="14"/>
      <c r="E107" s="56"/>
      <c r="F107" s="56"/>
      <c r="G107" s="14"/>
      <c r="H107" s="56"/>
      <c r="I107" s="14"/>
      <c r="J107" s="14"/>
      <c r="K107" s="14"/>
      <c r="L107" s="14"/>
      <c r="M107" s="14"/>
      <c r="N107" s="14"/>
      <c r="O107" s="14"/>
      <c r="P107" s="14"/>
      <c r="Q107" s="14"/>
      <c r="R107" s="14"/>
      <c r="S107" s="14"/>
      <c r="T107" s="14"/>
      <c r="U107" s="14"/>
      <c r="V107" s="14"/>
      <c r="W107" s="14"/>
      <c r="X107" s="14"/>
      <c r="Y107" s="14"/>
      <c r="Z107" s="14"/>
      <c r="AA107" s="15"/>
      <c r="AB107" s="3"/>
      <c r="AC107" s="3"/>
      <c r="AD107" s="3"/>
      <c r="AE107" s="3"/>
      <c r="AF107" s="3"/>
      <c r="AG107" s="3"/>
      <c r="AH107" s="3"/>
      <c r="AI107" s="3"/>
      <c r="AJ107" s="3"/>
      <c r="AK107" s="3"/>
      <c r="AL107" s="3"/>
      <c r="AM107" s="3"/>
      <c r="AN107" s="3"/>
      <c r="AO107" s="3"/>
    </row>
    <row r="108" spans="2:41" x14ac:dyDescent="0.25">
      <c r="B108" s="13"/>
      <c r="C108" s="14"/>
      <c r="D108" s="60"/>
      <c r="E108" s="56"/>
      <c r="F108" s="56"/>
      <c r="G108" s="57"/>
      <c r="H108" s="14"/>
      <c r="I108" s="14"/>
      <c r="J108" s="14"/>
      <c r="K108" s="14"/>
      <c r="L108" s="14"/>
      <c r="M108" s="14"/>
      <c r="N108" s="14"/>
      <c r="O108" s="14"/>
      <c r="P108" s="14"/>
      <c r="Q108" s="14"/>
      <c r="R108" s="14"/>
      <c r="S108" s="14"/>
      <c r="T108" s="14"/>
      <c r="U108" s="14"/>
      <c r="V108" s="14"/>
      <c r="W108" s="14"/>
      <c r="X108" s="14"/>
      <c r="Y108" s="14"/>
      <c r="Z108" s="14"/>
      <c r="AA108" s="15"/>
      <c r="AB108" s="3"/>
      <c r="AC108" s="3"/>
      <c r="AD108" s="3"/>
      <c r="AE108" s="3"/>
      <c r="AF108" s="3"/>
      <c r="AG108" s="3"/>
      <c r="AH108" s="3"/>
      <c r="AI108" s="3"/>
      <c r="AJ108" s="3"/>
      <c r="AK108" s="3"/>
      <c r="AL108" s="3"/>
      <c r="AM108" s="3"/>
      <c r="AN108" s="3"/>
      <c r="AO108" s="3"/>
    </row>
    <row r="109" spans="2:41" x14ac:dyDescent="0.25">
      <c r="B109" s="13"/>
      <c r="C109" s="14"/>
      <c r="D109" s="60"/>
      <c r="E109" s="56"/>
      <c r="F109" s="56"/>
      <c r="G109" s="128"/>
      <c r="H109" s="56"/>
      <c r="I109" s="14"/>
      <c r="J109" s="14"/>
      <c r="K109" s="14"/>
      <c r="L109" s="14"/>
      <c r="M109" s="14"/>
      <c r="N109" s="14"/>
      <c r="O109" s="14"/>
      <c r="P109" s="14"/>
      <c r="Q109" s="14"/>
      <c r="R109" s="14"/>
      <c r="S109" s="14"/>
      <c r="T109" s="14"/>
      <c r="U109" s="14"/>
      <c r="V109" s="14"/>
      <c r="W109" s="14"/>
      <c r="X109" s="14"/>
      <c r="Y109" s="14"/>
      <c r="Z109" s="14"/>
      <c r="AA109" s="15"/>
      <c r="AB109" s="3"/>
      <c r="AC109" s="3"/>
      <c r="AD109" s="3"/>
      <c r="AE109" s="3"/>
      <c r="AF109" s="3"/>
      <c r="AG109" s="3"/>
      <c r="AH109" s="3"/>
      <c r="AI109" s="3"/>
      <c r="AJ109" s="3"/>
      <c r="AK109" s="3"/>
      <c r="AL109" s="3"/>
      <c r="AM109" s="3"/>
      <c r="AN109" s="3"/>
      <c r="AO109" s="3"/>
    </row>
    <row r="110" spans="2:41" x14ac:dyDescent="0.25">
      <c r="B110" s="13"/>
      <c r="C110" s="14"/>
      <c r="D110" s="60"/>
      <c r="E110" s="56"/>
      <c r="F110" s="56"/>
      <c r="G110" s="14"/>
      <c r="H110" s="56"/>
      <c r="I110" s="14"/>
      <c r="J110" s="14"/>
      <c r="K110" s="14"/>
      <c r="L110" s="14"/>
      <c r="M110" s="14"/>
      <c r="N110" s="14"/>
      <c r="O110" s="14"/>
      <c r="P110" s="14"/>
      <c r="Q110" s="14"/>
      <c r="R110" s="14"/>
      <c r="S110" s="14"/>
      <c r="T110" s="14"/>
      <c r="U110" s="14"/>
      <c r="V110" s="14"/>
      <c r="W110" s="14"/>
      <c r="X110" s="14"/>
      <c r="Y110" s="14"/>
      <c r="Z110" s="14"/>
      <c r="AA110" s="15"/>
      <c r="AB110" s="3"/>
      <c r="AC110" s="3"/>
      <c r="AD110" s="3"/>
      <c r="AE110" s="3"/>
      <c r="AF110" s="3"/>
      <c r="AG110" s="3"/>
      <c r="AH110" s="3"/>
      <c r="AI110" s="3"/>
      <c r="AJ110" s="3"/>
      <c r="AK110" s="3"/>
      <c r="AL110" s="3"/>
      <c r="AM110" s="3"/>
      <c r="AN110" s="3"/>
      <c r="AO110" s="3"/>
    </row>
    <row r="111" spans="2:41" x14ac:dyDescent="0.25">
      <c r="B111" s="13"/>
      <c r="C111" s="14"/>
      <c r="D111" s="60"/>
      <c r="E111" s="56"/>
      <c r="F111" s="56"/>
      <c r="G111" s="14"/>
      <c r="H111" s="56"/>
      <c r="I111" s="14"/>
      <c r="J111" s="14"/>
      <c r="K111" s="14"/>
      <c r="L111" s="14"/>
      <c r="M111" s="14"/>
      <c r="N111" s="14"/>
      <c r="O111" s="14"/>
      <c r="P111" s="14"/>
      <c r="Q111" s="14"/>
      <c r="R111" s="14"/>
      <c r="S111" s="14"/>
      <c r="T111" s="14"/>
      <c r="U111" s="14"/>
      <c r="V111" s="14"/>
      <c r="W111" s="14"/>
      <c r="X111" s="14"/>
      <c r="Y111" s="14"/>
      <c r="Z111" s="14"/>
      <c r="AA111" s="15"/>
      <c r="AB111" s="3"/>
      <c r="AC111" s="3"/>
      <c r="AD111" s="3"/>
      <c r="AE111" s="3"/>
      <c r="AF111" s="3"/>
      <c r="AG111" s="3"/>
      <c r="AH111" s="3"/>
      <c r="AI111" s="3"/>
      <c r="AJ111" s="3"/>
      <c r="AK111" s="3"/>
      <c r="AL111" s="3"/>
      <c r="AM111" s="3"/>
      <c r="AN111" s="3"/>
      <c r="AO111" s="3"/>
    </row>
    <row r="112" spans="2:41" x14ac:dyDescent="0.25">
      <c r="B112" s="13"/>
      <c r="C112" s="56"/>
      <c r="D112" s="60"/>
      <c r="E112" s="56"/>
      <c r="F112" s="56"/>
      <c r="G112" s="56"/>
      <c r="H112" s="56"/>
      <c r="I112" s="14"/>
      <c r="J112" s="14"/>
      <c r="K112" s="14"/>
      <c r="L112" s="14"/>
      <c r="M112" s="14"/>
      <c r="N112" s="14"/>
      <c r="O112" s="14"/>
      <c r="P112" s="14"/>
      <c r="Q112" s="14"/>
      <c r="R112" s="14"/>
      <c r="S112" s="14"/>
      <c r="T112" s="14"/>
      <c r="U112" s="14"/>
      <c r="V112" s="14"/>
      <c r="W112" s="14"/>
      <c r="X112" s="14"/>
      <c r="Y112" s="14"/>
      <c r="Z112" s="14"/>
      <c r="AA112" s="15"/>
      <c r="AB112" s="3"/>
      <c r="AC112" s="3"/>
      <c r="AD112" s="3"/>
      <c r="AE112" s="3"/>
      <c r="AF112" s="3"/>
      <c r="AG112" s="3"/>
      <c r="AH112" s="3"/>
      <c r="AI112" s="3"/>
      <c r="AJ112" s="3"/>
      <c r="AK112" s="3"/>
      <c r="AL112" s="3"/>
      <c r="AM112" s="3"/>
      <c r="AN112" s="3"/>
      <c r="AO112" s="3"/>
    </row>
    <row r="113" spans="2:41" ht="18.75" x14ac:dyDescent="0.3">
      <c r="B113" s="67"/>
      <c r="C113" s="14"/>
      <c r="D113" s="60"/>
      <c r="E113" s="56"/>
      <c r="F113" s="56"/>
      <c r="G113" s="14"/>
      <c r="H113" s="56"/>
      <c r="I113" s="74"/>
      <c r="J113" s="14"/>
      <c r="K113" s="14"/>
      <c r="L113" s="14"/>
      <c r="M113" s="14"/>
      <c r="N113" s="14"/>
      <c r="O113" s="14"/>
      <c r="P113" s="14"/>
      <c r="Q113" s="14"/>
      <c r="R113" s="14"/>
      <c r="S113" s="14"/>
      <c r="T113" s="14"/>
      <c r="U113" s="14"/>
      <c r="V113" s="14"/>
      <c r="W113" s="14"/>
      <c r="X113" s="14"/>
      <c r="Y113" s="14"/>
      <c r="Z113" s="14"/>
      <c r="AA113" s="15"/>
      <c r="AB113" s="3"/>
      <c r="AC113" s="3"/>
      <c r="AD113" s="3"/>
      <c r="AE113" s="3"/>
      <c r="AF113" s="3"/>
      <c r="AG113" s="3"/>
      <c r="AH113" s="3"/>
      <c r="AI113" s="3"/>
      <c r="AJ113" s="3"/>
      <c r="AK113" s="3"/>
      <c r="AL113" s="3"/>
      <c r="AM113" s="3"/>
      <c r="AN113" s="3"/>
      <c r="AO113" s="3"/>
    </row>
    <row r="114" spans="2:41" x14ac:dyDescent="0.25">
      <c r="B114" s="13"/>
      <c r="C114" s="14"/>
      <c r="D114" s="14"/>
      <c r="E114" s="56"/>
      <c r="F114" s="56"/>
      <c r="G114" s="14"/>
      <c r="H114" s="56"/>
      <c r="I114" s="14"/>
      <c r="J114" s="14"/>
      <c r="K114" s="14"/>
      <c r="L114" s="14"/>
      <c r="M114" s="14"/>
      <c r="N114" s="14"/>
      <c r="O114" s="14"/>
      <c r="P114" s="14"/>
      <c r="Q114" s="14"/>
      <c r="R114" s="14"/>
      <c r="S114" s="14"/>
      <c r="T114" s="14"/>
      <c r="U114" s="14"/>
      <c r="V114" s="14"/>
      <c r="W114" s="14"/>
      <c r="X114" s="14"/>
      <c r="Y114" s="14"/>
      <c r="Z114" s="14"/>
      <c r="AA114" s="15"/>
      <c r="AB114" s="3"/>
      <c r="AC114" s="3"/>
      <c r="AD114" s="3"/>
      <c r="AE114" s="3"/>
      <c r="AF114" s="3"/>
      <c r="AG114" s="3"/>
      <c r="AH114" s="3"/>
      <c r="AI114" s="3"/>
      <c r="AJ114" s="3"/>
      <c r="AK114" s="3"/>
      <c r="AL114" s="3"/>
      <c r="AM114" s="3"/>
      <c r="AN114" s="3"/>
      <c r="AO114" s="3"/>
    </row>
    <row r="115" spans="2:41" x14ac:dyDescent="0.25">
      <c r="B115" s="13"/>
      <c r="C115" s="14"/>
      <c r="D115" s="60"/>
      <c r="E115" s="56"/>
      <c r="F115" s="56"/>
      <c r="G115" s="57"/>
      <c r="H115" s="14"/>
      <c r="I115" s="14"/>
      <c r="J115" s="14"/>
      <c r="K115" s="14"/>
      <c r="L115" s="14"/>
      <c r="M115" s="14"/>
      <c r="N115" s="14"/>
      <c r="O115" s="14"/>
      <c r="P115" s="14"/>
      <c r="Q115" s="14"/>
      <c r="R115" s="14"/>
      <c r="S115" s="14"/>
      <c r="T115" s="14"/>
      <c r="U115" s="14"/>
      <c r="V115" s="14"/>
      <c r="W115" s="14"/>
      <c r="X115" s="14"/>
      <c r="Y115" s="14"/>
      <c r="Z115" s="14"/>
      <c r="AA115" s="15"/>
      <c r="AB115" s="3"/>
      <c r="AC115" s="3"/>
      <c r="AD115" s="3"/>
      <c r="AE115" s="3"/>
      <c r="AF115" s="3"/>
      <c r="AG115" s="3"/>
      <c r="AH115" s="3"/>
      <c r="AI115" s="3"/>
      <c r="AJ115" s="3"/>
      <c r="AK115" s="3"/>
      <c r="AL115" s="3"/>
      <c r="AM115" s="3"/>
      <c r="AN115" s="3"/>
      <c r="AO115" s="3"/>
    </row>
    <row r="116" spans="2:41" x14ac:dyDescent="0.25">
      <c r="B116" s="13"/>
      <c r="C116" s="14"/>
      <c r="D116" s="60"/>
      <c r="E116" s="56"/>
      <c r="F116" s="56"/>
      <c r="G116" s="128"/>
      <c r="H116" s="56"/>
      <c r="I116" s="14"/>
      <c r="J116" s="14"/>
      <c r="K116" s="14"/>
      <c r="L116" s="14"/>
      <c r="M116" s="14"/>
      <c r="N116" s="14"/>
      <c r="O116" s="14"/>
      <c r="P116" s="14"/>
      <c r="Q116" s="14"/>
      <c r="R116" s="14"/>
      <c r="S116" s="14"/>
      <c r="T116" s="14"/>
      <c r="U116" s="14"/>
      <c r="V116" s="14"/>
      <c r="W116" s="14"/>
      <c r="X116" s="14"/>
      <c r="Y116" s="14"/>
      <c r="Z116" s="14"/>
      <c r="AA116" s="15"/>
      <c r="AB116" s="3"/>
      <c r="AC116" s="3"/>
      <c r="AD116" s="3"/>
      <c r="AE116" s="3"/>
      <c r="AF116" s="3"/>
      <c r="AG116" s="3"/>
      <c r="AH116" s="3"/>
      <c r="AI116" s="3"/>
      <c r="AJ116" s="3"/>
      <c r="AK116" s="3"/>
      <c r="AL116" s="3"/>
      <c r="AM116" s="3"/>
      <c r="AN116" s="3"/>
      <c r="AO116" s="3"/>
    </row>
    <row r="117" spans="2:41" x14ac:dyDescent="0.25">
      <c r="B117" s="13"/>
      <c r="C117" s="14"/>
      <c r="D117" s="60"/>
      <c r="E117" s="56"/>
      <c r="F117" s="56"/>
      <c r="G117" s="14"/>
      <c r="H117" s="56"/>
      <c r="I117" s="14"/>
      <c r="J117" s="14"/>
      <c r="K117" s="14"/>
      <c r="L117" s="14"/>
      <c r="M117" s="14"/>
      <c r="N117" s="14"/>
      <c r="O117" s="14"/>
      <c r="P117" s="14"/>
      <c r="Q117" s="14"/>
      <c r="R117" s="14"/>
      <c r="S117" s="14"/>
      <c r="T117" s="14"/>
      <c r="U117" s="14"/>
      <c r="V117" s="14"/>
      <c r="W117" s="14"/>
      <c r="X117" s="14"/>
      <c r="Y117" s="14"/>
      <c r="Z117" s="14"/>
      <c r="AA117" s="15"/>
      <c r="AB117" s="3"/>
      <c r="AC117" s="3"/>
      <c r="AD117" s="3"/>
      <c r="AE117" s="3"/>
      <c r="AF117" s="3"/>
      <c r="AG117" s="3"/>
      <c r="AH117" s="3"/>
      <c r="AI117" s="3"/>
      <c r="AJ117" s="3"/>
      <c r="AK117" s="3"/>
      <c r="AL117" s="3"/>
      <c r="AM117" s="3"/>
      <c r="AN117" s="3"/>
      <c r="AO117" s="3"/>
    </row>
    <row r="118" spans="2:41" x14ac:dyDescent="0.25">
      <c r="B118" s="13"/>
      <c r="C118" s="14"/>
      <c r="D118" s="60"/>
      <c r="E118" s="56"/>
      <c r="F118" s="56"/>
      <c r="G118" s="14"/>
      <c r="H118" s="56"/>
      <c r="I118" s="14"/>
      <c r="J118" s="14"/>
      <c r="K118" s="14"/>
      <c r="L118" s="14"/>
      <c r="M118" s="14"/>
      <c r="N118" s="14"/>
      <c r="O118" s="14"/>
      <c r="P118" s="14"/>
      <c r="Q118" s="14"/>
      <c r="R118" s="14"/>
      <c r="S118" s="14"/>
      <c r="T118" s="14"/>
      <c r="U118" s="14"/>
      <c r="V118" s="14"/>
      <c r="W118" s="14"/>
      <c r="X118" s="14"/>
      <c r="Y118" s="14"/>
      <c r="Z118" s="14"/>
      <c r="AA118" s="15"/>
      <c r="AB118" s="3"/>
      <c r="AC118" s="3"/>
      <c r="AD118" s="3"/>
      <c r="AE118" s="3"/>
      <c r="AF118" s="3"/>
      <c r="AG118" s="3"/>
      <c r="AH118" s="3"/>
      <c r="AI118" s="3"/>
      <c r="AJ118" s="3"/>
      <c r="AK118" s="3"/>
      <c r="AL118" s="3"/>
      <c r="AM118" s="3"/>
      <c r="AN118" s="3"/>
      <c r="AO118" s="3"/>
    </row>
    <row r="119" spans="2:41" x14ac:dyDescent="0.25">
      <c r="B119" s="13"/>
      <c r="C119" s="56"/>
      <c r="D119" s="60"/>
      <c r="E119" s="56"/>
      <c r="F119" s="56"/>
      <c r="G119" s="56"/>
      <c r="H119" s="56"/>
      <c r="I119" s="14"/>
      <c r="J119" s="14"/>
      <c r="K119" s="14"/>
      <c r="L119" s="14"/>
      <c r="M119" s="14"/>
      <c r="N119" s="14"/>
      <c r="O119" s="14"/>
      <c r="P119" s="14"/>
      <c r="Q119" s="14"/>
      <c r="R119" s="14"/>
      <c r="S119" s="14"/>
      <c r="T119" s="14"/>
      <c r="U119" s="14"/>
      <c r="V119" s="14"/>
      <c r="W119" s="14"/>
      <c r="X119" s="14"/>
      <c r="Y119" s="14"/>
      <c r="Z119" s="14"/>
      <c r="AA119" s="15"/>
      <c r="AB119" s="3"/>
      <c r="AC119" s="3"/>
      <c r="AD119" s="3"/>
      <c r="AE119" s="3"/>
      <c r="AF119" s="3"/>
      <c r="AG119" s="3"/>
      <c r="AH119" s="3"/>
      <c r="AI119" s="3"/>
      <c r="AJ119" s="3"/>
      <c r="AK119" s="3"/>
      <c r="AL119" s="3"/>
      <c r="AM119" s="3"/>
      <c r="AN119" s="3"/>
      <c r="AO119" s="3"/>
    </row>
    <row r="120" spans="2:41" x14ac:dyDescent="0.25">
      <c r="B120" s="13"/>
      <c r="C120" s="14"/>
      <c r="D120" s="60"/>
      <c r="E120" s="56"/>
      <c r="F120" s="56"/>
      <c r="G120" s="14"/>
      <c r="H120" s="56"/>
      <c r="I120" s="14"/>
      <c r="J120" s="14"/>
      <c r="K120" s="14"/>
      <c r="L120" s="14"/>
      <c r="M120" s="14"/>
      <c r="N120" s="14"/>
      <c r="O120" s="14"/>
      <c r="P120" s="14"/>
      <c r="Q120" s="14"/>
      <c r="R120" s="14"/>
      <c r="S120" s="14"/>
      <c r="T120" s="14"/>
      <c r="U120" s="14"/>
      <c r="V120" s="14"/>
      <c r="W120" s="14"/>
      <c r="X120" s="14"/>
      <c r="Y120" s="14"/>
      <c r="Z120" s="14"/>
      <c r="AA120" s="15"/>
      <c r="AB120" s="3"/>
      <c r="AC120" s="3"/>
      <c r="AD120" s="3"/>
      <c r="AE120" s="3"/>
      <c r="AF120" s="3"/>
      <c r="AG120" s="3"/>
      <c r="AH120" s="3"/>
      <c r="AI120" s="3"/>
      <c r="AJ120" s="3"/>
      <c r="AK120" s="3"/>
      <c r="AL120" s="3"/>
      <c r="AM120" s="3"/>
      <c r="AN120" s="3"/>
      <c r="AO120" s="3"/>
    </row>
    <row r="121" spans="2:41" x14ac:dyDescent="0.25">
      <c r="B121" s="13"/>
      <c r="C121" s="14"/>
      <c r="D121" s="14"/>
      <c r="E121" s="56"/>
      <c r="F121" s="56"/>
      <c r="G121" s="14"/>
      <c r="H121" s="56"/>
      <c r="I121" s="14"/>
      <c r="J121" s="14"/>
      <c r="K121" s="14"/>
      <c r="L121" s="14"/>
      <c r="M121" s="14"/>
      <c r="N121" s="14"/>
      <c r="O121" s="14"/>
      <c r="P121" s="14"/>
      <c r="Q121" s="14"/>
      <c r="R121" s="14"/>
      <c r="S121" s="14"/>
      <c r="T121" s="14"/>
      <c r="U121" s="14"/>
      <c r="V121" s="14"/>
      <c r="W121" s="14"/>
      <c r="X121" s="14"/>
      <c r="Y121" s="14"/>
      <c r="Z121" s="14"/>
      <c r="AA121" s="15"/>
      <c r="AB121" s="3"/>
      <c r="AC121" s="3"/>
      <c r="AD121" s="3"/>
      <c r="AE121" s="3"/>
      <c r="AF121" s="3"/>
      <c r="AG121" s="3"/>
      <c r="AH121" s="3"/>
      <c r="AI121" s="3"/>
      <c r="AJ121" s="3"/>
      <c r="AK121" s="3"/>
      <c r="AL121" s="3"/>
      <c r="AM121" s="3"/>
      <c r="AN121" s="3"/>
      <c r="AO121" s="3"/>
    </row>
    <row r="122" spans="2:41" x14ac:dyDescent="0.25">
      <c r="B122" s="13"/>
      <c r="C122" s="14"/>
      <c r="D122" s="60"/>
      <c r="E122" s="56"/>
      <c r="F122" s="56"/>
      <c r="G122" s="57"/>
      <c r="H122" s="14"/>
      <c r="I122" s="14"/>
      <c r="J122" s="14"/>
      <c r="K122" s="14"/>
      <c r="L122" s="14"/>
      <c r="M122" s="14"/>
      <c r="N122" s="14"/>
      <c r="O122" s="14"/>
      <c r="P122" s="14"/>
      <c r="Q122" s="14"/>
      <c r="R122" s="14"/>
      <c r="S122" s="14"/>
      <c r="T122" s="14"/>
      <c r="U122" s="14"/>
      <c r="V122" s="14"/>
      <c r="W122" s="14"/>
      <c r="X122" s="14"/>
      <c r="Y122" s="14"/>
      <c r="Z122" s="14"/>
      <c r="AA122" s="15"/>
      <c r="AB122" s="3"/>
      <c r="AC122" s="3"/>
      <c r="AD122" s="3"/>
      <c r="AE122" s="3"/>
      <c r="AF122" s="3"/>
      <c r="AG122" s="3"/>
      <c r="AH122" s="3"/>
      <c r="AI122" s="3"/>
      <c r="AJ122" s="3"/>
      <c r="AK122" s="3"/>
      <c r="AL122" s="3"/>
      <c r="AM122" s="3"/>
      <c r="AN122" s="3"/>
      <c r="AO122" s="3"/>
    </row>
    <row r="123" spans="2:41" x14ac:dyDescent="0.25">
      <c r="B123" s="13"/>
      <c r="C123" s="14"/>
      <c r="D123" s="60"/>
      <c r="E123" s="56"/>
      <c r="F123" s="56"/>
      <c r="G123" s="128"/>
      <c r="H123" s="56"/>
      <c r="I123" s="14"/>
      <c r="J123" s="14"/>
      <c r="K123" s="14"/>
      <c r="L123" s="14"/>
      <c r="M123" s="14"/>
      <c r="N123" s="14"/>
      <c r="O123" s="14"/>
      <c r="P123" s="14"/>
      <c r="Q123" s="14"/>
      <c r="R123" s="14"/>
      <c r="S123" s="14"/>
      <c r="T123" s="14"/>
      <c r="U123" s="14"/>
      <c r="V123" s="14"/>
      <c r="W123" s="14"/>
      <c r="X123" s="14"/>
      <c r="Y123" s="14"/>
      <c r="Z123" s="14"/>
      <c r="AA123" s="15"/>
      <c r="AB123" s="3"/>
      <c r="AC123" s="3"/>
      <c r="AD123" s="3"/>
      <c r="AE123" s="3"/>
      <c r="AF123" s="3"/>
      <c r="AG123" s="3"/>
      <c r="AH123" s="3"/>
      <c r="AI123" s="3"/>
      <c r="AJ123" s="3"/>
      <c r="AK123" s="3"/>
      <c r="AL123" s="3"/>
      <c r="AM123" s="3"/>
      <c r="AN123" s="3"/>
      <c r="AO123" s="3"/>
    </row>
    <row r="124" spans="2:41" x14ac:dyDescent="0.25">
      <c r="B124" s="13"/>
      <c r="C124" s="14"/>
      <c r="D124" s="60"/>
      <c r="E124" s="56"/>
      <c r="F124" s="56"/>
      <c r="G124" s="14"/>
      <c r="H124" s="56"/>
      <c r="I124" s="14"/>
      <c r="J124" s="14"/>
      <c r="K124" s="14"/>
      <c r="L124" s="14"/>
      <c r="M124" s="14"/>
      <c r="N124" s="14"/>
      <c r="O124" s="14"/>
      <c r="P124" s="14"/>
      <c r="Q124" s="14"/>
      <c r="R124" s="14"/>
      <c r="S124" s="14"/>
      <c r="T124" s="14"/>
      <c r="U124" s="14"/>
      <c r="V124" s="14"/>
      <c r="W124" s="14"/>
      <c r="X124" s="14"/>
      <c r="Y124" s="14"/>
      <c r="Z124" s="14"/>
      <c r="AA124" s="15"/>
      <c r="AB124" s="3"/>
      <c r="AC124" s="3"/>
      <c r="AD124" s="3"/>
      <c r="AE124" s="3"/>
      <c r="AF124" s="3"/>
      <c r="AG124" s="3"/>
      <c r="AH124" s="3"/>
      <c r="AI124" s="3"/>
      <c r="AJ124" s="3"/>
      <c r="AK124" s="3"/>
      <c r="AL124" s="3"/>
      <c r="AM124" s="3"/>
      <c r="AN124" s="3"/>
      <c r="AO124" s="3"/>
    </row>
    <row r="125" spans="2:41" x14ac:dyDescent="0.25">
      <c r="B125" s="13"/>
      <c r="C125" s="14"/>
      <c r="D125" s="60"/>
      <c r="E125" s="56"/>
      <c r="F125" s="56"/>
      <c r="G125" s="14"/>
      <c r="H125" s="56"/>
      <c r="I125" s="14"/>
      <c r="J125" s="14"/>
      <c r="K125" s="14"/>
      <c r="L125" s="14"/>
      <c r="M125" s="14"/>
      <c r="N125" s="14"/>
      <c r="O125" s="14"/>
      <c r="P125" s="14"/>
      <c r="Q125" s="14"/>
      <c r="R125" s="14"/>
      <c r="S125" s="14"/>
      <c r="T125" s="14"/>
      <c r="U125" s="14"/>
      <c r="V125" s="14"/>
      <c r="W125" s="14"/>
      <c r="X125" s="14"/>
      <c r="Y125" s="14"/>
      <c r="Z125" s="14"/>
      <c r="AA125" s="15"/>
      <c r="AB125" s="3"/>
      <c r="AC125" s="3"/>
      <c r="AD125" s="3"/>
      <c r="AE125" s="3"/>
      <c r="AF125" s="3"/>
      <c r="AG125" s="3"/>
      <c r="AH125" s="3"/>
      <c r="AI125" s="3"/>
      <c r="AJ125" s="3"/>
      <c r="AK125" s="3"/>
      <c r="AL125" s="3"/>
      <c r="AM125" s="3"/>
      <c r="AN125" s="3"/>
      <c r="AO125" s="3"/>
    </row>
    <row r="126" spans="2:41" x14ac:dyDescent="0.25">
      <c r="B126" s="13"/>
      <c r="C126" s="56"/>
      <c r="D126" s="60"/>
      <c r="E126" s="56"/>
      <c r="F126" s="56"/>
      <c r="G126" s="56"/>
      <c r="H126" s="56"/>
      <c r="I126" s="14"/>
      <c r="J126" s="14"/>
      <c r="K126" s="14"/>
      <c r="L126" s="14"/>
      <c r="M126" s="14"/>
      <c r="N126" s="14"/>
      <c r="O126" s="14"/>
      <c r="P126" s="14"/>
      <c r="Q126" s="14"/>
      <c r="R126" s="14"/>
      <c r="S126" s="14"/>
      <c r="T126" s="14"/>
      <c r="U126" s="14"/>
      <c r="V126" s="14"/>
      <c r="W126" s="14"/>
      <c r="X126" s="14"/>
      <c r="Y126" s="14"/>
      <c r="Z126" s="14"/>
      <c r="AA126" s="15"/>
      <c r="AB126" s="3"/>
      <c r="AC126" s="3"/>
      <c r="AD126" s="3"/>
      <c r="AE126" s="3"/>
      <c r="AF126" s="3"/>
      <c r="AG126" s="3"/>
      <c r="AH126" s="3"/>
      <c r="AI126" s="3"/>
      <c r="AJ126" s="3"/>
      <c r="AK126" s="3"/>
      <c r="AL126" s="3"/>
      <c r="AM126" s="3"/>
      <c r="AN126" s="3"/>
      <c r="AO126" s="3"/>
    </row>
    <row r="127" spans="2:41" ht="18.75" x14ac:dyDescent="0.3">
      <c r="B127" s="67"/>
      <c r="C127" s="14"/>
      <c r="D127" s="60"/>
      <c r="E127" s="56"/>
      <c r="F127" s="56"/>
      <c r="G127" s="14"/>
      <c r="H127" s="56"/>
      <c r="I127" s="74"/>
      <c r="J127" s="14"/>
      <c r="K127" s="14"/>
      <c r="L127" s="14"/>
      <c r="M127" s="14"/>
      <c r="N127" s="14"/>
      <c r="O127" s="14"/>
      <c r="P127" s="14"/>
      <c r="Q127" s="14"/>
      <c r="R127" s="14"/>
      <c r="S127" s="14"/>
      <c r="T127" s="14"/>
      <c r="U127" s="14"/>
      <c r="V127" s="14"/>
      <c r="W127" s="14"/>
      <c r="X127" s="14"/>
      <c r="Y127" s="14"/>
      <c r="Z127" s="14"/>
      <c r="AA127" s="15"/>
      <c r="AB127" s="3"/>
      <c r="AC127" s="3"/>
      <c r="AD127" s="3"/>
      <c r="AE127" s="3"/>
      <c r="AF127" s="3"/>
      <c r="AG127" s="3"/>
      <c r="AH127" s="3"/>
      <c r="AI127" s="3"/>
      <c r="AJ127" s="3"/>
      <c r="AK127" s="3"/>
      <c r="AL127" s="3"/>
      <c r="AM127" s="3"/>
      <c r="AN127" s="3"/>
      <c r="AO127" s="3"/>
    </row>
    <row r="128" spans="2:41" x14ac:dyDescent="0.25">
      <c r="B128" s="13"/>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5"/>
      <c r="AB128" s="3"/>
      <c r="AC128" s="3"/>
      <c r="AD128" s="3"/>
      <c r="AE128" s="3"/>
      <c r="AF128" s="3"/>
      <c r="AG128" s="3"/>
      <c r="AH128" s="3"/>
      <c r="AI128" s="3"/>
      <c r="AJ128" s="3"/>
      <c r="AK128" s="3"/>
      <c r="AL128" s="3"/>
      <c r="AM128" s="3"/>
      <c r="AN128" s="3"/>
      <c r="AO128" s="3"/>
    </row>
    <row r="129" spans="2:41" x14ac:dyDescent="0.25">
      <c r="B129" s="13"/>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5"/>
      <c r="AB129" s="3"/>
      <c r="AC129" s="3"/>
      <c r="AD129" s="3"/>
      <c r="AE129" s="3"/>
      <c r="AF129" s="3"/>
      <c r="AG129" s="3"/>
      <c r="AH129" s="3"/>
      <c r="AI129" s="3"/>
      <c r="AJ129" s="3"/>
      <c r="AK129" s="3"/>
      <c r="AL129" s="3"/>
      <c r="AM129" s="3"/>
      <c r="AN129" s="3"/>
      <c r="AO129" s="3"/>
    </row>
    <row r="130" spans="2:41" x14ac:dyDescent="0.25">
      <c r="B130" s="13"/>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5"/>
      <c r="AB130" s="3"/>
      <c r="AC130" s="3"/>
      <c r="AD130" s="3"/>
      <c r="AE130" s="3"/>
      <c r="AF130" s="3"/>
      <c r="AG130" s="3"/>
      <c r="AH130" s="3"/>
      <c r="AI130" s="3"/>
      <c r="AJ130" s="3"/>
      <c r="AK130" s="3"/>
      <c r="AL130" s="3"/>
      <c r="AM130" s="3"/>
      <c r="AN130" s="3"/>
      <c r="AO130" s="3"/>
    </row>
    <row r="131" spans="2:41" x14ac:dyDescent="0.25">
      <c r="B131" s="13"/>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5"/>
      <c r="AB131" s="3"/>
      <c r="AC131" s="3"/>
      <c r="AD131" s="3"/>
      <c r="AE131" s="3"/>
      <c r="AF131" s="3"/>
      <c r="AG131" s="3"/>
      <c r="AH131" s="3"/>
      <c r="AI131" s="3"/>
      <c r="AJ131" s="3"/>
      <c r="AK131" s="3"/>
      <c r="AL131" s="3"/>
      <c r="AM131" s="3"/>
      <c r="AN131" s="3"/>
      <c r="AO131" s="3"/>
    </row>
    <row r="132" spans="2:41" x14ac:dyDescent="0.25">
      <c r="B132" s="13"/>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5"/>
      <c r="AB132" s="3"/>
      <c r="AC132" s="3"/>
      <c r="AD132" s="3"/>
      <c r="AE132" s="3"/>
      <c r="AF132" s="3"/>
      <c r="AG132" s="3"/>
      <c r="AH132" s="3"/>
      <c r="AI132" s="3"/>
      <c r="AJ132" s="3"/>
      <c r="AK132" s="3"/>
      <c r="AL132" s="3"/>
      <c r="AM132" s="3"/>
      <c r="AN132" s="3"/>
      <c r="AO132" s="3"/>
    </row>
    <row r="133" spans="2:41" x14ac:dyDescent="0.25">
      <c r="B133" s="13"/>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5"/>
      <c r="AB133" s="3"/>
      <c r="AC133" s="3"/>
      <c r="AD133" s="3"/>
      <c r="AE133" s="3"/>
      <c r="AF133" s="3"/>
      <c r="AG133" s="3"/>
      <c r="AH133" s="3"/>
      <c r="AI133" s="3"/>
      <c r="AJ133" s="3"/>
      <c r="AK133" s="3"/>
      <c r="AL133" s="3"/>
      <c r="AM133" s="3"/>
      <c r="AN133" s="3"/>
      <c r="AO133" s="3"/>
    </row>
    <row r="134" spans="2:41" x14ac:dyDescent="0.25">
      <c r="B134" s="13"/>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5"/>
      <c r="AB134" s="3"/>
      <c r="AC134" s="3"/>
      <c r="AD134" s="3"/>
      <c r="AE134" s="3"/>
      <c r="AF134" s="3"/>
      <c r="AG134" s="3"/>
      <c r="AH134" s="3"/>
      <c r="AI134" s="3"/>
      <c r="AJ134" s="3"/>
      <c r="AK134" s="3"/>
      <c r="AL134" s="3"/>
      <c r="AM134" s="3"/>
      <c r="AN134" s="3"/>
      <c r="AO134" s="3"/>
    </row>
    <row r="135" spans="2:41" x14ac:dyDescent="0.25">
      <c r="B135" s="13"/>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5"/>
      <c r="AB135" s="3"/>
      <c r="AC135" s="3"/>
      <c r="AD135" s="3"/>
      <c r="AE135" s="3"/>
      <c r="AF135" s="3"/>
      <c r="AG135" s="3"/>
      <c r="AH135" s="3"/>
      <c r="AI135" s="3"/>
      <c r="AJ135" s="3"/>
      <c r="AK135" s="3"/>
      <c r="AL135" s="3"/>
      <c r="AM135" s="3"/>
      <c r="AN135" s="3"/>
      <c r="AO135" s="3"/>
    </row>
    <row r="136" spans="2:41" ht="15.4" customHeight="1" x14ac:dyDescent="0.25">
      <c r="B136" s="13"/>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5"/>
      <c r="AB136" s="3"/>
      <c r="AC136" s="3"/>
      <c r="AD136" s="3"/>
      <c r="AE136" s="3"/>
      <c r="AF136" s="3"/>
      <c r="AG136" s="3"/>
      <c r="AH136" s="3"/>
      <c r="AI136" s="3"/>
      <c r="AJ136" s="3"/>
      <c r="AK136" s="3"/>
      <c r="AL136" s="3"/>
      <c r="AM136" s="3"/>
      <c r="AN136" s="3"/>
      <c r="AO136" s="3"/>
    </row>
    <row r="137" spans="2:41" x14ac:dyDescent="0.25">
      <c r="B137" s="13"/>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5"/>
      <c r="AB137" s="3"/>
      <c r="AC137" s="3"/>
      <c r="AD137" s="3"/>
      <c r="AE137" s="3"/>
      <c r="AF137" s="3"/>
      <c r="AG137" s="3"/>
      <c r="AH137" s="3"/>
      <c r="AI137" s="3"/>
      <c r="AJ137" s="3"/>
      <c r="AK137" s="3"/>
      <c r="AL137" s="3"/>
      <c r="AM137" s="3"/>
      <c r="AN137" s="3"/>
      <c r="AO137" s="3"/>
    </row>
    <row r="138" spans="2:41" x14ac:dyDescent="0.25">
      <c r="B138" s="13"/>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5"/>
      <c r="AB138" s="3"/>
      <c r="AC138" s="3"/>
      <c r="AD138" s="3"/>
      <c r="AE138" s="3"/>
      <c r="AF138" s="3"/>
      <c r="AG138" s="3"/>
      <c r="AH138" s="3"/>
      <c r="AI138" s="3"/>
      <c r="AJ138" s="3"/>
      <c r="AK138" s="3"/>
      <c r="AL138" s="3"/>
      <c r="AM138" s="3"/>
      <c r="AN138" s="3"/>
      <c r="AO138" s="3"/>
    </row>
    <row r="139" spans="2:41" x14ac:dyDescent="0.25">
      <c r="B139" s="13"/>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5"/>
      <c r="AB139" s="3"/>
      <c r="AC139" s="3"/>
      <c r="AD139" s="3"/>
      <c r="AE139" s="3"/>
      <c r="AF139" s="3"/>
      <c r="AG139" s="3"/>
      <c r="AH139" s="3"/>
      <c r="AI139" s="3"/>
      <c r="AJ139" s="3"/>
      <c r="AK139" s="3"/>
      <c r="AL139" s="3"/>
      <c r="AM139" s="3"/>
      <c r="AN139" s="3"/>
      <c r="AO139" s="3"/>
    </row>
    <row r="140" spans="2:41" x14ac:dyDescent="0.25">
      <c r="B140" s="13"/>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5"/>
      <c r="AB140" s="3"/>
      <c r="AC140" s="3"/>
      <c r="AD140" s="3"/>
      <c r="AE140" s="3"/>
      <c r="AF140" s="3"/>
      <c r="AG140" s="3"/>
      <c r="AH140" s="3"/>
      <c r="AI140" s="3"/>
      <c r="AJ140" s="3"/>
      <c r="AK140" s="3"/>
      <c r="AL140" s="3"/>
      <c r="AM140" s="3"/>
      <c r="AN140" s="3"/>
      <c r="AO140" s="3"/>
    </row>
    <row r="141" spans="2:41" ht="18.75" x14ac:dyDescent="0.3">
      <c r="B141" s="67"/>
      <c r="C141" s="14"/>
      <c r="D141" s="60"/>
      <c r="E141" s="56"/>
      <c r="F141" s="56"/>
      <c r="G141" s="14"/>
      <c r="H141" s="56"/>
      <c r="I141" s="74"/>
      <c r="J141" s="14"/>
      <c r="K141" s="14"/>
      <c r="L141" s="14"/>
      <c r="M141" s="14"/>
      <c r="N141" s="14"/>
      <c r="O141" s="14"/>
      <c r="P141" s="14"/>
      <c r="Q141" s="14"/>
      <c r="R141" s="14"/>
      <c r="S141" s="14"/>
      <c r="T141" s="14"/>
      <c r="U141" s="14"/>
      <c r="V141" s="14"/>
      <c r="W141" s="14"/>
      <c r="X141" s="14"/>
      <c r="Y141" s="14"/>
      <c r="Z141" s="14"/>
      <c r="AA141" s="15"/>
      <c r="AB141" s="3"/>
      <c r="AC141" s="3"/>
      <c r="AD141" s="3"/>
      <c r="AE141" s="3"/>
      <c r="AF141" s="3"/>
      <c r="AG141" s="3"/>
      <c r="AH141" s="3"/>
      <c r="AI141" s="3"/>
      <c r="AJ141" s="3"/>
      <c r="AK141" s="3"/>
      <c r="AL141" s="3"/>
      <c r="AM141" s="3"/>
      <c r="AN141" s="3"/>
      <c r="AO141" s="3"/>
    </row>
    <row r="142" spans="2:41" x14ac:dyDescent="0.25">
      <c r="B142" s="13"/>
      <c r="C142" s="14"/>
      <c r="D142" s="14"/>
      <c r="E142" s="56"/>
      <c r="F142" s="56"/>
      <c r="G142" s="14"/>
      <c r="H142" s="56"/>
      <c r="I142" s="14"/>
      <c r="J142" s="14"/>
      <c r="K142" s="14"/>
      <c r="L142" s="14"/>
      <c r="M142" s="14"/>
      <c r="N142" s="14"/>
      <c r="O142" s="14"/>
      <c r="P142" s="14"/>
      <c r="Q142" s="14"/>
      <c r="R142" s="14"/>
      <c r="S142" s="14"/>
      <c r="T142" s="14"/>
      <c r="U142" s="14"/>
      <c r="V142" s="14"/>
      <c r="W142" s="14"/>
      <c r="X142" s="14"/>
      <c r="Y142" s="14"/>
      <c r="Z142" s="14"/>
      <c r="AA142" s="15"/>
      <c r="AB142" s="3"/>
      <c r="AC142" s="3"/>
      <c r="AD142" s="3"/>
      <c r="AE142" s="3"/>
      <c r="AF142" s="3"/>
      <c r="AG142" s="3"/>
      <c r="AH142" s="3"/>
      <c r="AI142" s="3"/>
      <c r="AJ142" s="3"/>
      <c r="AK142" s="3"/>
      <c r="AL142" s="3"/>
      <c r="AM142" s="3"/>
      <c r="AN142" s="3"/>
      <c r="AO142" s="3"/>
    </row>
    <row r="143" spans="2:41" x14ac:dyDescent="0.25">
      <c r="B143" s="13"/>
      <c r="C143" s="14"/>
      <c r="D143" s="60"/>
      <c r="E143" s="56"/>
      <c r="F143" s="56"/>
      <c r="G143" s="57"/>
      <c r="H143" s="14"/>
      <c r="I143" s="14"/>
      <c r="J143" s="14"/>
      <c r="K143" s="14"/>
      <c r="L143" s="14"/>
      <c r="M143" s="14"/>
      <c r="N143" s="14"/>
      <c r="O143" s="14"/>
      <c r="P143" s="14"/>
      <c r="Q143" s="14"/>
      <c r="R143" s="14"/>
      <c r="S143" s="14"/>
      <c r="T143" s="14"/>
      <c r="U143" s="14"/>
      <c r="V143" s="14"/>
      <c r="W143" s="14"/>
      <c r="X143" s="14"/>
      <c r="Y143" s="14"/>
      <c r="Z143" s="14"/>
      <c r="AA143" s="15"/>
      <c r="AB143" s="3"/>
      <c r="AC143" s="3"/>
      <c r="AD143" s="3"/>
      <c r="AE143" s="3"/>
      <c r="AF143" s="3"/>
      <c r="AG143" s="3"/>
      <c r="AH143" s="3"/>
      <c r="AI143" s="3"/>
      <c r="AJ143" s="3"/>
      <c r="AK143" s="3"/>
      <c r="AL143" s="3"/>
      <c r="AM143" s="3"/>
      <c r="AN143" s="3"/>
      <c r="AO143" s="3"/>
    </row>
    <row r="144" spans="2:41" x14ac:dyDescent="0.25">
      <c r="B144" s="13"/>
      <c r="C144" s="14"/>
      <c r="D144" s="60"/>
      <c r="E144" s="56"/>
      <c r="F144" s="56"/>
      <c r="G144" s="128"/>
      <c r="H144" s="56"/>
      <c r="I144" s="14"/>
      <c r="J144" s="14"/>
      <c r="K144" s="14"/>
      <c r="L144" s="14"/>
      <c r="M144" s="14"/>
      <c r="N144" s="14"/>
      <c r="O144" s="14"/>
      <c r="P144" s="14"/>
      <c r="Q144" s="14"/>
      <c r="R144" s="14"/>
      <c r="S144" s="14"/>
      <c r="T144" s="14"/>
      <c r="U144" s="14"/>
      <c r="V144" s="14"/>
      <c r="W144" s="14"/>
      <c r="X144" s="14"/>
      <c r="Y144" s="14"/>
      <c r="Z144" s="14"/>
      <c r="AA144" s="15"/>
      <c r="AB144" s="3"/>
      <c r="AC144" s="3"/>
      <c r="AD144" s="3"/>
      <c r="AE144" s="3"/>
      <c r="AF144" s="3"/>
      <c r="AG144" s="3"/>
      <c r="AH144" s="3"/>
      <c r="AI144" s="3"/>
      <c r="AJ144" s="3"/>
      <c r="AK144" s="3"/>
      <c r="AL144" s="3"/>
      <c r="AM144" s="3"/>
      <c r="AN144" s="3"/>
      <c r="AO144" s="3"/>
    </row>
    <row r="145" spans="2:41" x14ac:dyDescent="0.25">
      <c r="B145" s="13"/>
      <c r="C145" s="14"/>
      <c r="D145" s="60"/>
      <c r="E145" s="56"/>
      <c r="F145" s="56"/>
      <c r="G145" s="14"/>
      <c r="H145" s="56"/>
      <c r="I145" s="14"/>
      <c r="J145" s="14"/>
      <c r="K145" s="14"/>
      <c r="L145" s="14"/>
      <c r="M145" s="14"/>
      <c r="N145" s="14"/>
      <c r="O145" s="14"/>
      <c r="P145" s="14"/>
      <c r="Q145" s="14"/>
      <c r="R145" s="14"/>
      <c r="S145" s="14"/>
      <c r="T145" s="14"/>
      <c r="U145" s="14"/>
      <c r="V145" s="14"/>
      <c r="W145" s="14"/>
      <c r="X145" s="14"/>
      <c r="Y145" s="14"/>
      <c r="Z145" s="14"/>
      <c r="AA145" s="15"/>
      <c r="AB145" s="3"/>
      <c r="AC145" s="3"/>
      <c r="AD145" s="3"/>
      <c r="AE145" s="3"/>
      <c r="AF145" s="3"/>
      <c r="AG145" s="3"/>
      <c r="AH145" s="3"/>
      <c r="AI145" s="3"/>
      <c r="AJ145" s="3"/>
      <c r="AK145" s="3"/>
      <c r="AL145" s="3"/>
      <c r="AM145" s="3"/>
      <c r="AN145" s="3"/>
      <c r="AO145" s="3"/>
    </row>
    <row r="146" spans="2:41" x14ac:dyDescent="0.25">
      <c r="B146" s="13"/>
      <c r="C146" s="14"/>
      <c r="D146" s="60"/>
      <c r="E146" s="56"/>
      <c r="F146" s="56"/>
      <c r="G146" s="14"/>
      <c r="H146" s="56"/>
      <c r="I146" s="14"/>
      <c r="J146" s="14"/>
      <c r="K146" s="14"/>
      <c r="L146" s="14"/>
      <c r="M146" s="14"/>
      <c r="N146" s="14"/>
      <c r="O146" s="14"/>
      <c r="P146" s="14"/>
      <c r="Q146" s="14"/>
      <c r="R146" s="14"/>
      <c r="S146" s="14"/>
      <c r="T146" s="14"/>
      <c r="U146" s="14"/>
      <c r="V146" s="14"/>
      <c r="W146" s="14"/>
      <c r="X146" s="14"/>
      <c r="Y146" s="14"/>
      <c r="Z146" s="14"/>
      <c r="AA146" s="15"/>
      <c r="AB146" s="3"/>
      <c r="AC146" s="3"/>
      <c r="AD146" s="3"/>
      <c r="AE146" s="3"/>
      <c r="AF146" s="3"/>
      <c r="AG146" s="3"/>
      <c r="AH146" s="3"/>
      <c r="AI146" s="3"/>
      <c r="AJ146" s="3"/>
      <c r="AK146" s="3"/>
      <c r="AL146" s="3"/>
      <c r="AM146" s="3"/>
      <c r="AN146" s="3"/>
      <c r="AO146" s="3"/>
    </row>
    <row r="147" spans="2:41" x14ac:dyDescent="0.25">
      <c r="B147" s="13"/>
      <c r="C147" s="56"/>
      <c r="D147" s="60"/>
      <c r="E147" s="56"/>
      <c r="F147" s="56"/>
      <c r="G147" s="56"/>
      <c r="H147" s="56"/>
      <c r="I147" s="14"/>
      <c r="J147" s="14"/>
      <c r="K147" s="14"/>
      <c r="L147" s="14"/>
      <c r="M147" s="14"/>
      <c r="N147" s="14"/>
      <c r="O147" s="14"/>
      <c r="P147" s="14"/>
      <c r="Q147" s="14"/>
      <c r="R147" s="14"/>
      <c r="S147" s="14"/>
      <c r="T147" s="14"/>
      <c r="U147" s="14"/>
      <c r="V147" s="14"/>
      <c r="W147" s="14"/>
      <c r="X147" s="14"/>
      <c r="Y147" s="14"/>
      <c r="Z147" s="14"/>
      <c r="AA147" s="15"/>
      <c r="AB147" s="3"/>
      <c r="AC147" s="3"/>
      <c r="AD147" s="3"/>
      <c r="AE147" s="3"/>
      <c r="AF147" s="3"/>
      <c r="AG147" s="3"/>
      <c r="AH147" s="3"/>
      <c r="AI147" s="3"/>
      <c r="AJ147" s="3"/>
      <c r="AK147" s="3"/>
      <c r="AL147" s="3"/>
      <c r="AM147" s="3"/>
      <c r="AN147" s="3"/>
      <c r="AO147" s="3"/>
    </row>
    <row r="148" spans="2:41" x14ac:dyDescent="0.25">
      <c r="B148" s="13"/>
      <c r="C148" s="14"/>
      <c r="D148" s="60"/>
      <c r="E148" s="56"/>
      <c r="F148" s="56"/>
      <c r="G148" s="14"/>
      <c r="H148" s="56"/>
      <c r="I148" s="14"/>
      <c r="J148" s="14"/>
      <c r="K148" s="14"/>
      <c r="L148" s="14"/>
      <c r="M148" s="14"/>
      <c r="N148" s="14"/>
      <c r="O148" s="14"/>
      <c r="P148" s="14"/>
      <c r="Q148" s="14"/>
      <c r="R148" s="14"/>
      <c r="S148" s="14"/>
      <c r="T148" s="14"/>
      <c r="U148" s="14"/>
      <c r="V148" s="14"/>
      <c r="W148" s="14"/>
      <c r="X148" s="14"/>
      <c r="Y148" s="14"/>
      <c r="Z148" s="14"/>
      <c r="AA148" s="15"/>
      <c r="AB148" s="3"/>
      <c r="AC148" s="3"/>
      <c r="AD148" s="3"/>
      <c r="AE148" s="3"/>
      <c r="AF148" s="3"/>
      <c r="AG148" s="3"/>
      <c r="AH148" s="3"/>
      <c r="AI148" s="3"/>
      <c r="AJ148" s="3"/>
      <c r="AK148" s="3"/>
      <c r="AL148" s="3"/>
      <c r="AM148" s="3"/>
      <c r="AN148" s="3"/>
      <c r="AO148" s="3"/>
    </row>
    <row r="149" spans="2:41" x14ac:dyDescent="0.25">
      <c r="B149" s="13"/>
      <c r="C149" s="14"/>
      <c r="D149" s="14"/>
      <c r="E149" s="56"/>
      <c r="F149" s="56"/>
      <c r="G149" s="14"/>
      <c r="H149" s="56"/>
      <c r="I149" s="14"/>
      <c r="J149" s="14"/>
      <c r="K149" s="14"/>
      <c r="L149" s="14"/>
      <c r="M149" s="14"/>
      <c r="N149" s="14"/>
      <c r="O149" s="14"/>
      <c r="P149" s="14"/>
      <c r="Q149" s="14"/>
      <c r="R149" s="14"/>
      <c r="S149" s="14"/>
      <c r="T149" s="14"/>
      <c r="U149" s="14"/>
      <c r="V149" s="14"/>
      <c r="W149" s="14"/>
      <c r="X149" s="14"/>
      <c r="Y149" s="14"/>
      <c r="Z149" s="14"/>
      <c r="AA149" s="15"/>
      <c r="AB149" s="3"/>
      <c r="AC149" s="3"/>
      <c r="AD149" s="3"/>
      <c r="AE149" s="3"/>
      <c r="AF149" s="3"/>
      <c r="AG149" s="3"/>
      <c r="AH149" s="3"/>
      <c r="AI149" s="3"/>
      <c r="AJ149" s="3"/>
      <c r="AK149" s="3"/>
      <c r="AL149" s="3"/>
      <c r="AM149" s="3"/>
      <c r="AN149" s="3"/>
      <c r="AO149" s="3"/>
    </row>
    <row r="150" spans="2:41" x14ac:dyDescent="0.25">
      <c r="B150" s="13"/>
      <c r="C150" s="14"/>
      <c r="D150" s="60"/>
      <c r="E150" s="56"/>
      <c r="F150" s="56"/>
      <c r="G150" s="57"/>
      <c r="H150" s="14"/>
      <c r="I150" s="14"/>
      <c r="J150" s="14"/>
      <c r="K150" s="14"/>
      <c r="L150" s="14"/>
      <c r="M150" s="14"/>
      <c r="N150" s="14"/>
      <c r="O150" s="14"/>
      <c r="P150" s="14"/>
      <c r="Q150" s="14"/>
      <c r="R150" s="14"/>
      <c r="S150" s="14"/>
      <c r="T150" s="14"/>
      <c r="U150" s="14"/>
      <c r="V150" s="14"/>
      <c r="W150" s="14"/>
      <c r="X150" s="14"/>
      <c r="Y150" s="14"/>
      <c r="Z150" s="14"/>
      <c r="AA150" s="15"/>
      <c r="AB150" s="3"/>
      <c r="AC150" s="3"/>
      <c r="AD150" s="3"/>
      <c r="AE150" s="3"/>
      <c r="AF150" s="3"/>
      <c r="AG150" s="3"/>
      <c r="AH150" s="3"/>
      <c r="AI150" s="3"/>
      <c r="AJ150" s="3"/>
      <c r="AK150" s="3"/>
      <c r="AL150" s="3"/>
      <c r="AM150" s="3"/>
      <c r="AN150" s="3"/>
      <c r="AO150" s="3"/>
    </row>
    <row r="151" spans="2:41" x14ac:dyDescent="0.25">
      <c r="B151" s="13"/>
      <c r="C151" s="14"/>
      <c r="D151" s="60"/>
      <c r="E151" s="56"/>
      <c r="F151" s="56"/>
      <c r="G151" s="128"/>
      <c r="H151" s="56"/>
      <c r="I151" s="14"/>
      <c r="J151" s="14"/>
      <c r="K151" s="14"/>
      <c r="L151" s="14"/>
      <c r="M151" s="14"/>
      <c r="N151" s="14"/>
      <c r="O151" s="14"/>
      <c r="P151" s="14"/>
      <c r="Q151" s="14"/>
      <c r="R151" s="14"/>
      <c r="S151" s="14"/>
      <c r="T151" s="14"/>
      <c r="U151" s="14"/>
      <c r="V151" s="14"/>
      <c r="W151" s="14"/>
      <c r="X151" s="14"/>
      <c r="Y151" s="14"/>
      <c r="Z151" s="14"/>
      <c r="AA151" s="15"/>
      <c r="AB151" s="3"/>
      <c r="AC151" s="3"/>
      <c r="AD151" s="3"/>
      <c r="AE151" s="3"/>
      <c r="AF151" s="3"/>
      <c r="AG151" s="3"/>
      <c r="AH151" s="3"/>
      <c r="AI151" s="3"/>
      <c r="AJ151" s="3"/>
      <c r="AK151" s="3"/>
      <c r="AL151" s="3"/>
      <c r="AM151" s="3"/>
      <c r="AN151" s="3"/>
      <c r="AO151" s="3"/>
    </row>
    <row r="152" spans="2:41" x14ac:dyDescent="0.25">
      <c r="B152" s="13"/>
      <c r="C152" s="14"/>
      <c r="D152" s="60"/>
      <c r="E152" s="56"/>
      <c r="F152" s="56"/>
      <c r="G152" s="14"/>
      <c r="H152" s="56"/>
      <c r="I152" s="14"/>
      <c r="J152" s="14"/>
      <c r="K152" s="14"/>
      <c r="L152" s="14"/>
      <c r="M152" s="14"/>
      <c r="N152" s="14"/>
      <c r="O152" s="14"/>
      <c r="P152" s="14"/>
      <c r="Q152" s="14"/>
      <c r="R152" s="14"/>
      <c r="S152" s="14"/>
      <c r="T152" s="14"/>
      <c r="U152" s="14"/>
      <c r="V152" s="14"/>
      <c r="W152" s="14"/>
      <c r="X152" s="14"/>
      <c r="Y152" s="14"/>
      <c r="Z152" s="14"/>
      <c r="AA152" s="15"/>
      <c r="AB152" s="3"/>
      <c r="AC152" s="3"/>
      <c r="AD152" s="3"/>
      <c r="AE152" s="3"/>
      <c r="AF152" s="3"/>
      <c r="AG152" s="3"/>
      <c r="AH152" s="3"/>
      <c r="AI152" s="3"/>
      <c r="AJ152" s="3"/>
      <c r="AK152" s="3"/>
      <c r="AL152" s="3"/>
      <c r="AM152" s="3"/>
      <c r="AN152" s="3"/>
      <c r="AO152" s="3"/>
    </row>
    <row r="153" spans="2:41" x14ac:dyDescent="0.25">
      <c r="B153" s="13"/>
      <c r="C153" s="14"/>
      <c r="D153" s="60"/>
      <c r="E153" s="56"/>
      <c r="F153" s="56"/>
      <c r="G153" s="14"/>
      <c r="H153" s="56"/>
      <c r="I153" s="14"/>
      <c r="J153" s="14"/>
      <c r="K153" s="14"/>
      <c r="L153" s="14"/>
      <c r="M153" s="14"/>
      <c r="N153" s="14"/>
      <c r="O153" s="14"/>
      <c r="P153" s="14"/>
      <c r="Q153" s="14"/>
      <c r="R153" s="14"/>
      <c r="S153" s="14"/>
      <c r="T153" s="14"/>
      <c r="U153" s="14"/>
      <c r="V153" s="14"/>
      <c r="W153" s="14"/>
      <c r="X153" s="14"/>
      <c r="Y153" s="14"/>
      <c r="Z153" s="14"/>
      <c r="AA153" s="15"/>
      <c r="AB153" s="3"/>
      <c r="AC153" s="3"/>
      <c r="AD153" s="3"/>
      <c r="AE153" s="3"/>
      <c r="AF153" s="3"/>
      <c r="AG153" s="3"/>
      <c r="AH153" s="3"/>
      <c r="AI153" s="3"/>
      <c r="AJ153" s="3"/>
      <c r="AK153" s="3"/>
      <c r="AL153" s="3"/>
      <c r="AM153" s="3"/>
      <c r="AN153" s="3"/>
      <c r="AO153" s="3"/>
    </row>
    <row r="154" spans="2:41" x14ac:dyDescent="0.25">
      <c r="B154" s="13"/>
      <c r="C154" s="56"/>
      <c r="D154" s="60"/>
      <c r="E154" s="56"/>
      <c r="F154" s="56"/>
      <c r="G154" s="56"/>
      <c r="H154" s="56"/>
      <c r="I154" s="14"/>
      <c r="J154" s="14"/>
      <c r="K154" s="14"/>
      <c r="L154" s="14"/>
      <c r="M154" s="14"/>
      <c r="N154" s="14"/>
      <c r="O154" s="14"/>
      <c r="P154" s="14"/>
      <c r="Q154" s="14"/>
      <c r="R154" s="14"/>
      <c r="S154" s="14"/>
      <c r="T154" s="14"/>
      <c r="U154" s="14"/>
      <c r="V154" s="14"/>
      <c r="W154" s="14"/>
      <c r="X154" s="14"/>
      <c r="Y154" s="14"/>
      <c r="Z154" s="14"/>
      <c r="AA154" s="15"/>
      <c r="AB154" s="3"/>
      <c r="AC154" s="3"/>
      <c r="AD154" s="3"/>
      <c r="AE154" s="3"/>
      <c r="AF154" s="3"/>
      <c r="AG154" s="3"/>
      <c r="AH154" s="3"/>
      <c r="AI154" s="3"/>
      <c r="AJ154" s="3"/>
      <c r="AK154" s="3"/>
      <c r="AL154" s="3"/>
      <c r="AM154" s="3"/>
      <c r="AN154" s="3"/>
      <c r="AO154" s="3"/>
    </row>
    <row r="155" spans="2:41" ht="18.75" x14ac:dyDescent="0.3">
      <c r="B155" s="67"/>
      <c r="C155" s="14"/>
      <c r="D155" s="60"/>
      <c r="E155" s="56"/>
      <c r="F155" s="56"/>
      <c r="G155" s="14"/>
      <c r="H155" s="56"/>
      <c r="I155" s="74"/>
      <c r="J155" s="14"/>
      <c r="K155" s="14"/>
      <c r="L155" s="14"/>
      <c r="M155" s="14"/>
      <c r="N155" s="14"/>
      <c r="O155" s="14"/>
      <c r="P155" s="14"/>
      <c r="Q155" s="14"/>
      <c r="R155" s="14"/>
      <c r="S155" s="14"/>
      <c r="T155" s="14"/>
      <c r="U155" s="14"/>
      <c r="V155" s="14"/>
      <c r="W155" s="14"/>
      <c r="X155" s="14"/>
      <c r="Y155" s="14"/>
      <c r="Z155" s="14"/>
      <c r="AA155" s="15"/>
      <c r="AB155" s="3"/>
      <c r="AC155" s="3"/>
      <c r="AD155" s="3"/>
      <c r="AE155" s="3"/>
      <c r="AF155" s="3"/>
      <c r="AG155" s="3"/>
      <c r="AH155" s="3"/>
      <c r="AI155" s="3"/>
      <c r="AJ155" s="3"/>
      <c r="AK155" s="3"/>
      <c r="AL155" s="3"/>
      <c r="AM155" s="3"/>
      <c r="AN155" s="3"/>
      <c r="AO155" s="3"/>
    </row>
    <row r="156" spans="2:41" x14ac:dyDescent="0.25">
      <c r="B156" s="13"/>
      <c r="C156" s="14"/>
      <c r="D156" s="14"/>
      <c r="E156" s="56"/>
      <c r="F156" s="56"/>
      <c r="G156" s="14"/>
      <c r="H156" s="56"/>
      <c r="I156" s="14"/>
      <c r="J156" s="14"/>
      <c r="K156" s="14"/>
      <c r="L156" s="14"/>
      <c r="M156" s="14"/>
      <c r="N156" s="14"/>
      <c r="O156" s="14"/>
      <c r="P156" s="14"/>
      <c r="Q156" s="14"/>
      <c r="R156" s="14"/>
      <c r="S156" s="14"/>
      <c r="T156" s="14"/>
      <c r="U156" s="14"/>
      <c r="V156" s="14"/>
      <c r="W156" s="14"/>
      <c r="X156" s="14"/>
      <c r="Y156" s="14"/>
      <c r="Z156" s="14"/>
      <c r="AA156" s="15"/>
      <c r="AB156" s="3"/>
      <c r="AC156" s="3"/>
      <c r="AD156" s="3"/>
      <c r="AE156" s="3"/>
      <c r="AF156" s="3"/>
      <c r="AG156" s="3"/>
      <c r="AH156" s="3"/>
      <c r="AI156" s="3"/>
      <c r="AJ156" s="3"/>
      <c r="AK156" s="3"/>
      <c r="AL156" s="3"/>
      <c r="AM156" s="3"/>
      <c r="AN156" s="3"/>
      <c r="AO156" s="3"/>
    </row>
    <row r="157" spans="2:41" x14ac:dyDescent="0.25">
      <c r="B157" s="13"/>
      <c r="C157" s="14"/>
      <c r="D157" s="60"/>
      <c r="E157" s="56"/>
      <c r="F157" s="56"/>
      <c r="G157" s="57"/>
      <c r="H157" s="14"/>
      <c r="I157" s="14"/>
      <c r="J157" s="14"/>
      <c r="K157" s="14"/>
      <c r="L157" s="14"/>
      <c r="M157" s="14"/>
      <c r="N157" s="14"/>
      <c r="O157" s="14"/>
      <c r="P157" s="14"/>
      <c r="Q157" s="14"/>
      <c r="R157" s="14"/>
      <c r="S157" s="14"/>
      <c r="T157" s="14"/>
      <c r="U157" s="14"/>
      <c r="V157" s="14"/>
      <c r="W157" s="14"/>
      <c r="X157" s="14"/>
      <c r="Y157" s="14"/>
      <c r="Z157" s="14"/>
      <c r="AA157" s="15"/>
      <c r="AB157" s="3"/>
      <c r="AC157" s="3"/>
      <c r="AD157" s="3"/>
      <c r="AE157" s="3"/>
      <c r="AF157" s="3"/>
      <c r="AG157" s="3"/>
      <c r="AH157" s="3"/>
      <c r="AI157" s="3"/>
      <c r="AJ157" s="3"/>
      <c r="AK157" s="3"/>
      <c r="AL157" s="3"/>
      <c r="AM157" s="3"/>
      <c r="AN157" s="3"/>
      <c r="AO157" s="3"/>
    </row>
    <row r="158" spans="2:41" x14ac:dyDescent="0.25">
      <c r="B158" s="13"/>
      <c r="C158" s="14"/>
      <c r="D158" s="60"/>
      <c r="E158" s="56"/>
      <c r="F158" s="56"/>
      <c r="G158" s="128"/>
      <c r="H158" s="56"/>
      <c r="I158" s="14"/>
      <c r="J158" s="14"/>
      <c r="K158" s="14"/>
      <c r="L158" s="14"/>
      <c r="M158" s="14"/>
      <c r="N158" s="14"/>
      <c r="O158" s="14"/>
      <c r="P158" s="14"/>
      <c r="Q158" s="14"/>
      <c r="R158" s="14"/>
      <c r="S158" s="14"/>
      <c r="T158" s="14"/>
      <c r="U158" s="14"/>
      <c r="V158" s="14"/>
      <c r="W158" s="14"/>
      <c r="X158" s="14"/>
      <c r="Y158" s="14"/>
      <c r="Z158" s="14"/>
      <c r="AA158" s="15"/>
      <c r="AB158" s="3"/>
      <c r="AC158" s="3"/>
      <c r="AD158" s="3"/>
      <c r="AE158" s="3"/>
      <c r="AF158" s="3"/>
      <c r="AG158" s="3"/>
      <c r="AH158" s="3"/>
      <c r="AI158" s="3"/>
      <c r="AJ158" s="3"/>
      <c r="AK158" s="3"/>
      <c r="AL158" s="3"/>
      <c r="AM158" s="3"/>
      <c r="AN158" s="3"/>
      <c r="AO158" s="3"/>
    </row>
    <row r="159" spans="2:41" x14ac:dyDescent="0.25">
      <c r="B159" s="13"/>
      <c r="C159" s="14"/>
      <c r="D159" s="60"/>
      <c r="E159" s="56"/>
      <c r="F159" s="56"/>
      <c r="G159" s="14"/>
      <c r="H159" s="56"/>
      <c r="I159" s="14"/>
      <c r="J159" s="14"/>
      <c r="K159" s="14"/>
      <c r="L159" s="14"/>
      <c r="M159" s="14"/>
      <c r="N159" s="14"/>
      <c r="O159" s="14"/>
      <c r="P159" s="14"/>
      <c r="Q159" s="14"/>
      <c r="R159" s="14"/>
      <c r="S159" s="14"/>
      <c r="T159" s="14"/>
      <c r="U159" s="14"/>
      <c r="V159" s="14"/>
      <c r="W159" s="14"/>
      <c r="X159" s="14"/>
      <c r="Y159" s="14"/>
      <c r="Z159" s="14"/>
      <c r="AA159" s="15"/>
      <c r="AB159" s="3"/>
      <c r="AC159" s="3"/>
      <c r="AD159" s="3"/>
      <c r="AE159" s="3"/>
      <c r="AF159" s="3"/>
      <c r="AG159" s="3"/>
      <c r="AH159" s="3"/>
      <c r="AI159" s="3"/>
      <c r="AJ159" s="3"/>
      <c r="AK159" s="3"/>
      <c r="AL159" s="3"/>
      <c r="AM159" s="3"/>
      <c r="AN159" s="3"/>
      <c r="AO159" s="3"/>
    </row>
    <row r="160" spans="2:41" x14ac:dyDescent="0.25">
      <c r="B160" s="13"/>
      <c r="C160" s="14"/>
      <c r="D160" s="60"/>
      <c r="E160" s="56"/>
      <c r="F160" s="56"/>
      <c r="G160" s="14"/>
      <c r="H160" s="56"/>
      <c r="I160" s="14"/>
      <c r="J160" s="14"/>
      <c r="K160" s="14"/>
      <c r="L160" s="14"/>
      <c r="M160" s="14"/>
      <c r="N160" s="14"/>
      <c r="O160" s="14"/>
      <c r="P160" s="14"/>
      <c r="Q160" s="14"/>
      <c r="R160" s="14"/>
      <c r="S160" s="14"/>
      <c r="T160" s="14"/>
      <c r="U160" s="14"/>
      <c r="V160" s="14"/>
      <c r="W160" s="14"/>
      <c r="X160" s="14"/>
      <c r="Y160" s="14"/>
      <c r="Z160" s="14"/>
      <c r="AA160" s="15"/>
      <c r="AB160" s="3"/>
      <c r="AC160" s="3"/>
      <c r="AD160" s="3"/>
      <c r="AE160" s="3"/>
      <c r="AF160" s="3"/>
      <c r="AG160" s="3"/>
      <c r="AH160" s="3"/>
      <c r="AI160" s="3"/>
      <c r="AJ160" s="3"/>
      <c r="AK160" s="3"/>
      <c r="AL160" s="3"/>
      <c r="AM160" s="3"/>
      <c r="AN160" s="3"/>
      <c r="AO160" s="3"/>
    </row>
    <row r="161" spans="2:41" x14ac:dyDescent="0.25">
      <c r="B161" s="13"/>
      <c r="C161" s="56"/>
      <c r="D161" s="60"/>
      <c r="E161" s="56"/>
      <c r="F161" s="56"/>
      <c r="G161" s="56"/>
      <c r="H161" s="56"/>
      <c r="I161" s="14"/>
      <c r="J161" s="14"/>
      <c r="K161" s="14"/>
      <c r="L161" s="14"/>
      <c r="M161" s="14"/>
      <c r="N161" s="14"/>
      <c r="O161" s="14"/>
      <c r="P161" s="14"/>
      <c r="Q161" s="14"/>
      <c r="R161" s="14"/>
      <c r="S161" s="14"/>
      <c r="T161" s="14"/>
      <c r="U161" s="14"/>
      <c r="V161" s="14"/>
      <c r="W161" s="14"/>
      <c r="X161" s="14"/>
      <c r="Y161" s="14"/>
      <c r="Z161" s="14"/>
      <c r="AA161" s="15"/>
      <c r="AB161" s="3"/>
      <c r="AC161" s="3"/>
      <c r="AD161" s="3"/>
      <c r="AE161" s="3"/>
      <c r="AF161" s="3"/>
      <c r="AG161" s="3"/>
      <c r="AH161" s="3"/>
      <c r="AI161" s="3"/>
      <c r="AJ161" s="3"/>
      <c r="AK161" s="3"/>
      <c r="AL161" s="3"/>
      <c r="AM161" s="3"/>
      <c r="AN161" s="3"/>
      <c r="AO161" s="3"/>
    </row>
    <row r="162" spans="2:41" x14ac:dyDescent="0.25">
      <c r="B162" s="13"/>
      <c r="C162" s="14"/>
      <c r="D162" s="60"/>
      <c r="E162" s="56"/>
      <c r="F162" s="56"/>
      <c r="G162" s="14"/>
      <c r="H162" s="56"/>
      <c r="I162" s="14"/>
      <c r="J162" s="14"/>
      <c r="K162" s="14"/>
      <c r="L162" s="14"/>
      <c r="M162" s="14"/>
      <c r="N162" s="14"/>
      <c r="O162" s="14"/>
      <c r="P162" s="14"/>
      <c r="Q162" s="14"/>
      <c r="R162" s="14"/>
      <c r="S162" s="14"/>
      <c r="T162" s="14"/>
      <c r="U162" s="14"/>
      <c r="V162" s="14"/>
      <c r="W162" s="14"/>
      <c r="X162" s="14"/>
      <c r="Y162" s="14"/>
      <c r="Z162" s="14"/>
      <c r="AA162" s="15"/>
      <c r="AB162" s="3"/>
      <c r="AC162" s="3"/>
      <c r="AD162" s="3"/>
      <c r="AE162" s="3"/>
      <c r="AF162" s="3"/>
      <c r="AG162" s="3"/>
      <c r="AH162" s="3"/>
      <c r="AI162" s="3"/>
      <c r="AJ162" s="3"/>
      <c r="AK162" s="3"/>
      <c r="AL162" s="3"/>
      <c r="AM162" s="3"/>
      <c r="AN162" s="3"/>
      <c r="AO162" s="3"/>
    </row>
    <row r="163" spans="2:41" x14ac:dyDescent="0.25">
      <c r="B163" s="13"/>
      <c r="C163" s="14"/>
      <c r="D163" s="14"/>
      <c r="E163" s="56"/>
      <c r="F163" s="56"/>
      <c r="G163" s="14"/>
      <c r="H163" s="56"/>
      <c r="I163" s="14"/>
      <c r="J163" s="14"/>
      <c r="K163" s="14"/>
      <c r="L163" s="14"/>
      <c r="M163" s="14"/>
      <c r="N163" s="14"/>
      <c r="O163" s="14"/>
      <c r="P163" s="14"/>
      <c r="Q163" s="14"/>
      <c r="R163" s="14"/>
      <c r="S163" s="14"/>
      <c r="T163" s="14"/>
      <c r="U163" s="14"/>
      <c r="V163" s="14"/>
      <c r="W163" s="14"/>
      <c r="X163" s="14"/>
      <c r="Y163" s="14"/>
      <c r="Z163" s="14"/>
      <c r="AA163" s="15"/>
      <c r="AB163" s="3"/>
      <c r="AC163" s="3"/>
      <c r="AD163" s="3"/>
      <c r="AE163" s="3"/>
      <c r="AF163" s="3"/>
      <c r="AG163" s="3"/>
      <c r="AH163" s="3"/>
      <c r="AI163" s="3"/>
      <c r="AJ163" s="3"/>
      <c r="AK163" s="3"/>
      <c r="AL163" s="3"/>
      <c r="AM163" s="3"/>
      <c r="AN163" s="3"/>
      <c r="AO163" s="3"/>
    </row>
    <row r="164" spans="2:41" x14ac:dyDescent="0.25">
      <c r="B164" s="13"/>
      <c r="C164" s="14"/>
      <c r="D164" s="60"/>
      <c r="E164" s="56"/>
      <c r="F164" s="56"/>
      <c r="G164" s="14"/>
      <c r="H164" s="14"/>
      <c r="I164" s="14"/>
      <c r="J164" s="14"/>
      <c r="K164" s="14"/>
      <c r="L164" s="14"/>
      <c r="M164" s="14"/>
      <c r="N164" s="14"/>
      <c r="O164" s="14"/>
      <c r="P164" s="14"/>
      <c r="Q164" s="14"/>
      <c r="R164" s="14"/>
      <c r="S164" s="14"/>
      <c r="T164" s="14"/>
      <c r="U164" s="14"/>
      <c r="V164" s="14"/>
      <c r="W164" s="14"/>
      <c r="X164" s="14"/>
      <c r="Y164" s="14"/>
      <c r="Z164" s="14"/>
      <c r="AA164" s="15"/>
      <c r="AB164" s="3"/>
      <c r="AC164" s="3"/>
      <c r="AD164" s="3"/>
      <c r="AE164" s="3"/>
      <c r="AF164" s="3"/>
      <c r="AG164" s="3"/>
      <c r="AH164" s="3"/>
      <c r="AI164" s="3"/>
      <c r="AJ164" s="3"/>
      <c r="AK164" s="3"/>
      <c r="AL164" s="3"/>
      <c r="AM164" s="3"/>
      <c r="AN164" s="3"/>
      <c r="AO164" s="3"/>
    </row>
    <row r="165" spans="2:41" x14ac:dyDescent="0.25">
      <c r="B165" s="13"/>
      <c r="C165" s="14"/>
      <c r="D165" s="60"/>
      <c r="E165" s="56"/>
      <c r="F165" s="56"/>
      <c r="G165" s="14"/>
      <c r="H165" s="56"/>
      <c r="I165" s="14"/>
      <c r="J165" s="14"/>
      <c r="K165" s="14"/>
      <c r="L165" s="14"/>
      <c r="M165" s="14"/>
      <c r="N165" s="14"/>
      <c r="O165" s="14"/>
      <c r="P165" s="14"/>
      <c r="Q165" s="14"/>
      <c r="R165" s="14"/>
      <c r="S165" s="14"/>
      <c r="T165" s="14"/>
      <c r="U165" s="14"/>
      <c r="V165" s="14"/>
      <c r="W165" s="14"/>
      <c r="X165" s="14"/>
      <c r="Y165" s="14"/>
      <c r="Z165" s="14"/>
      <c r="AA165" s="15"/>
      <c r="AB165" s="3"/>
      <c r="AC165" s="3"/>
      <c r="AD165" s="3"/>
      <c r="AE165" s="3"/>
      <c r="AF165" s="3"/>
      <c r="AG165" s="3"/>
      <c r="AH165" s="3"/>
      <c r="AI165" s="3"/>
      <c r="AJ165" s="3"/>
      <c r="AK165" s="3"/>
      <c r="AL165" s="3"/>
      <c r="AM165" s="3"/>
      <c r="AN165" s="3"/>
      <c r="AO165" s="3"/>
    </row>
    <row r="166" spans="2:41" x14ac:dyDescent="0.25">
      <c r="B166" s="13"/>
      <c r="C166" s="14"/>
      <c r="D166" s="60"/>
      <c r="E166" s="56"/>
      <c r="F166" s="56"/>
      <c r="G166" s="14"/>
      <c r="H166" s="56"/>
      <c r="I166" s="14"/>
      <c r="J166" s="14"/>
      <c r="K166" s="14"/>
      <c r="L166" s="14"/>
      <c r="M166" s="14"/>
      <c r="N166" s="14"/>
      <c r="O166" s="14"/>
      <c r="P166" s="14"/>
      <c r="Q166" s="14"/>
      <c r="R166" s="14"/>
      <c r="S166" s="14"/>
      <c r="T166" s="14"/>
      <c r="U166" s="14"/>
      <c r="V166" s="14"/>
      <c r="W166" s="14"/>
      <c r="X166" s="14"/>
      <c r="Y166" s="14"/>
      <c r="Z166" s="14"/>
      <c r="AA166" s="15"/>
      <c r="AB166" s="3"/>
      <c r="AC166" s="3"/>
      <c r="AD166" s="3"/>
      <c r="AE166" s="3"/>
      <c r="AF166" s="3"/>
      <c r="AG166" s="3"/>
      <c r="AH166" s="3"/>
      <c r="AI166" s="3"/>
      <c r="AJ166" s="3"/>
      <c r="AK166" s="3"/>
      <c r="AL166" s="3"/>
      <c r="AM166" s="3"/>
      <c r="AN166" s="3"/>
      <c r="AO166" s="3"/>
    </row>
    <row r="167" spans="2:41" x14ac:dyDescent="0.25">
      <c r="B167" s="13"/>
      <c r="C167" s="14"/>
      <c r="D167" s="60"/>
      <c r="E167" s="56"/>
      <c r="F167" s="56"/>
      <c r="G167" s="14"/>
      <c r="H167" s="56"/>
      <c r="I167" s="14"/>
      <c r="J167" s="14"/>
      <c r="K167" s="14"/>
      <c r="L167" s="14"/>
      <c r="M167" s="14"/>
      <c r="N167" s="14"/>
      <c r="O167" s="14"/>
      <c r="P167" s="14"/>
      <c r="Q167" s="14"/>
      <c r="R167" s="14"/>
      <c r="S167" s="14"/>
      <c r="T167" s="14"/>
      <c r="U167" s="14"/>
      <c r="V167" s="14"/>
      <c r="W167" s="14"/>
      <c r="X167" s="14"/>
      <c r="Y167" s="14"/>
      <c r="Z167" s="14"/>
      <c r="AA167" s="15"/>
      <c r="AB167" s="3"/>
      <c r="AC167" s="3"/>
      <c r="AD167" s="3"/>
      <c r="AE167" s="3"/>
      <c r="AF167" s="3"/>
      <c r="AG167" s="3"/>
      <c r="AH167" s="3"/>
      <c r="AI167" s="3"/>
      <c r="AJ167" s="3"/>
      <c r="AK167" s="3"/>
      <c r="AL167" s="3"/>
      <c r="AM167" s="3"/>
      <c r="AN167" s="3"/>
      <c r="AO167" s="3"/>
    </row>
    <row r="168" spans="2:41" x14ac:dyDescent="0.25">
      <c r="B168" s="13"/>
      <c r="C168" s="56"/>
      <c r="D168" s="60"/>
      <c r="E168" s="56"/>
      <c r="F168" s="56"/>
      <c r="G168" s="56"/>
      <c r="H168" s="56"/>
      <c r="I168" s="14"/>
      <c r="J168" s="14"/>
      <c r="K168" s="14"/>
      <c r="L168" s="14"/>
      <c r="M168" s="14"/>
      <c r="N168" s="14"/>
      <c r="O168" s="14"/>
      <c r="P168" s="14"/>
      <c r="Q168" s="14"/>
      <c r="R168" s="14"/>
      <c r="S168" s="14"/>
      <c r="T168" s="14"/>
      <c r="U168" s="14"/>
      <c r="V168" s="14"/>
      <c r="W168" s="14"/>
      <c r="X168" s="14"/>
      <c r="Y168" s="14"/>
      <c r="Z168" s="14"/>
      <c r="AA168" s="15"/>
      <c r="AB168" s="3"/>
      <c r="AC168" s="3"/>
      <c r="AD168" s="3"/>
      <c r="AE168" s="3"/>
      <c r="AF168" s="3"/>
      <c r="AG168" s="3"/>
      <c r="AH168" s="3"/>
      <c r="AI168" s="3"/>
      <c r="AJ168" s="3"/>
      <c r="AK168" s="3"/>
      <c r="AL168" s="3"/>
      <c r="AM168" s="3"/>
      <c r="AN168" s="3"/>
      <c r="AO168" s="3"/>
    </row>
    <row r="169" spans="2:41" ht="18.75" x14ac:dyDescent="0.3">
      <c r="B169" s="67"/>
      <c r="C169" s="14"/>
      <c r="D169" s="60"/>
      <c r="E169" s="56"/>
      <c r="F169" s="56"/>
      <c r="G169" s="14"/>
      <c r="H169" s="56"/>
      <c r="I169" s="74"/>
      <c r="J169" s="14"/>
      <c r="K169" s="14"/>
      <c r="L169" s="14"/>
      <c r="M169" s="14"/>
      <c r="N169" s="14"/>
      <c r="O169" s="14"/>
      <c r="P169" s="14"/>
      <c r="Q169" s="14"/>
      <c r="R169" s="14"/>
      <c r="S169" s="14"/>
      <c r="T169" s="14"/>
      <c r="U169" s="14"/>
      <c r="V169" s="14"/>
      <c r="W169" s="14"/>
      <c r="X169" s="14"/>
      <c r="Y169" s="14"/>
      <c r="Z169" s="14"/>
      <c r="AA169" s="15"/>
      <c r="AB169" s="3"/>
      <c r="AC169" s="3"/>
      <c r="AD169" s="3"/>
      <c r="AE169" s="3"/>
      <c r="AF169" s="3"/>
      <c r="AG169" s="3"/>
      <c r="AH169" s="3"/>
      <c r="AI169" s="3"/>
      <c r="AJ169" s="3"/>
      <c r="AK169" s="3"/>
      <c r="AL169" s="3"/>
      <c r="AM169" s="3"/>
      <c r="AN169" s="3"/>
      <c r="AO169" s="3"/>
    </row>
    <row r="170" spans="2:41" x14ac:dyDescent="0.25">
      <c r="B170" s="13"/>
      <c r="C170" s="14"/>
      <c r="D170" s="14"/>
      <c r="E170" s="56"/>
      <c r="F170" s="56"/>
      <c r="G170" s="14"/>
      <c r="H170" s="56"/>
      <c r="I170" s="14"/>
      <c r="J170" s="14"/>
      <c r="K170" s="14"/>
      <c r="L170" s="14"/>
      <c r="M170" s="14"/>
      <c r="N170" s="14"/>
      <c r="O170" s="14"/>
      <c r="P170" s="14"/>
      <c r="Q170" s="14"/>
      <c r="R170" s="14"/>
      <c r="S170" s="14"/>
      <c r="T170" s="14"/>
      <c r="U170" s="14"/>
      <c r="V170" s="14"/>
      <c r="W170" s="14"/>
      <c r="X170" s="14"/>
      <c r="Y170" s="14"/>
      <c r="Z170" s="14"/>
      <c r="AA170" s="15"/>
      <c r="AB170" s="3"/>
      <c r="AC170" s="3"/>
      <c r="AD170" s="3"/>
      <c r="AE170" s="3"/>
      <c r="AF170" s="3"/>
      <c r="AG170" s="3"/>
      <c r="AH170" s="3"/>
      <c r="AI170" s="3"/>
      <c r="AJ170" s="3"/>
      <c r="AK170" s="3"/>
      <c r="AL170" s="3"/>
      <c r="AM170" s="3"/>
      <c r="AN170" s="3"/>
      <c r="AO170" s="3"/>
    </row>
    <row r="171" spans="2:41" x14ac:dyDescent="0.25">
      <c r="B171" s="13"/>
      <c r="C171" s="14"/>
      <c r="D171" s="60"/>
      <c r="E171" s="56"/>
      <c r="F171" s="56"/>
      <c r="G171" s="14"/>
      <c r="H171" s="14"/>
      <c r="I171" s="14"/>
      <c r="J171" s="14"/>
      <c r="K171" s="14"/>
      <c r="L171" s="14"/>
      <c r="M171" s="14"/>
      <c r="N171" s="14"/>
      <c r="O171" s="14"/>
      <c r="P171" s="14"/>
      <c r="Q171" s="14"/>
      <c r="R171" s="14"/>
      <c r="S171" s="14"/>
      <c r="T171" s="14"/>
      <c r="U171" s="14"/>
      <c r="V171" s="14"/>
      <c r="W171" s="14"/>
      <c r="X171" s="14"/>
      <c r="Y171" s="14"/>
      <c r="Z171" s="14"/>
      <c r="AA171" s="15"/>
      <c r="AB171" s="3"/>
      <c r="AC171" s="3"/>
      <c r="AD171" s="3"/>
      <c r="AE171" s="3"/>
      <c r="AF171" s="3"/>
      <c r="AG171" s="3"/>
      <c r="AH171" s="3"/>
      <c r="AI171" s="3"/>
      <c r="AJ171" s="3"/>
      <c r="AK171" s="3"/>
      <c r="AL171" s="3"/>
      <c r="AM171" s="3"/>
      <c r="AN171" s="3"/>
      <c r="AO171" s="3"/>
    </row>
    <row r="172" spans="2:41" x14ac:dyDescent="0.25">
      <c r="B172" s="13"/>
      <c r="C172" s="14"/>
      <c r="D172" s="60"/>
      <c r="E172" s="56"/>
      <c r="F172" s="56"/>
      <c r="G172" s="14"/>
      <c r="H172" s="56"/>
      <c r="I172" s="14"/>
      <c r="J172" s="14"/>
      <c r="K172" s="14"/>
      <c r="L172" s="14"/>
      <c r="M172" s="14"/>
      <c r="N172" s="14"/>
      <c r="O172" s="14"/>
      <c r="P172" s="14"/>
      <c r="Q172" s="14"/>
      <c r="R172" s="14"/>
      <c r="S172" s="14"/>
      <c r="T172" s="14"/>
      <c r="U172" s="14"/>
      <c r="V172" s="14"/>
      <c r="W172" s="14"/>
      <c r="X172" s="14"/>
      <c r="Y172" s="14"/>
      <c r="Z172" s="14"/>
      <c r="AA172" s="15"/>
      <c r="AB172" s="3"/>
      <c r="AC172" s="3"/>
      <c r="AD172" s="3"/>
      <c r="AE172" s="3"/>
      <c r="AF172" s="3"/>
      <c r="AG172" s="3"/>
      <c r="AH172" s="3"/>
      <c r="AI172" s="3"/>
      <c r="AJ172" s="3"/>
      <c r="AK172" s="3"/>
      <c r="AL172" s="3"/>
      <c r="AM172" s="3"/>
      <c r="AN172" s="3"/>
      <c r="AO172" s="3"/>
    </row>
    <row r="173" spans="2:41" x14ac:dyDescent="0.25">
      <c r="B173" s="13"/>
      <c r="C173" s="14"/>
      <c r="D173" s="60"/>
      <c r="E173" s="56"/>
      <c r="F173" s="56"/>
      <c r="G173" s="14"/>
      <c r="H173" s="56"/>
      <c r="I173" s="14"/>
      <c r="J173" s="14"/>
      <c r="K173" s="14"/>
      <c r="L173" s="14"/>
      <c r="M173" s="14"/>
      <c r="N173" s="14"/>
      <c r="O173" s="14"/>
      <c r="P173" s="14"/>
      <c r="Q173" s="14"/>
      <c r="R173" s="14"/>
      <c r="S173" s="14"/>
      <c r="T173" s="14"/>
      <c r="U173" s="14"/>
      <c r="V173" s="14"/>
      <c r="W173" s="14"/>
      <c r="X173" s="14"/>
      <c r="Y173" s="14"/>
      <c r="Z173" s="14"/>
      <c r="AA173" s="15"/>
      <c r="AB173" s="3"/>
      <c r="AC173" s="3"/>
      <c r="AD173" s="3"/>
      <c r="AE173" s="3"/>
      <c r="AF173" s="3"/>
      <c r="AG173" s="3"/>
      <c r="AH173" s="3"/>
      <c r="AI173" s="3"/>
      <c r="AJ173" s="3"/>
      <c r="AK173" s="3"/>
      <c r="AL173" s="3"/>
      <c r="AM173" s="3"/>
      <c r="AN173" s="3"/>
      <c r="AO173" s="3"/>
    </row>
    <row r="174" spans="2:41" x14ac:dyDescent="0.25">
      <c r="B174" s="13"/>
      <c r="C174" s="14"/>
      <c r="D174" s="60"/>
      <c r="E174" s="56"/>
      <c r="F174" s="56"/>
      <c r="G174" s="14"/>
      <c r="H174" s="56"/>
      <c r="I174" s="14"/>
      <c r="J174" s="14"/>
      <c r="K174" s="14"/>
      <c r="L174" s="14"/>
      <c r="M174" s="14"/>
      <c r="N174" s="14"/>
      <c r="O174" s="14"/>
      <c r="P174" s="14"/>
      <c r="Q174" s="14"/>
      <c r="R174" s="14"/>
      <c r="S174" s="14"/>
      <c r="T174" s="14"/>
      <c r="U174" s="14"/>
      <c r="V174" s="14"/>
      <c r="W174" s="14"/>
      <c r="X174" s="14"/>
      <c r="Y174" s="14"/>
      <c r="Z174" s="14"/>
      <c r="AA174" s="15"/>
      <c r="AB174" s="3"/>
      <c r="AC174" s="3"/>
      <c r="AD174" s="3"/>
      <c r="AE174" s="3"/>
      <c r="AF174" s="3"/>
      <c r="AG174" s="3"/>
      <c r="AH174" s="3"/>
      <c r="AI174" s="3"/>
      <c r="AJ174" s="3"/>
      <c r="AK174" s="3"/>
      <c r="AL174" s="3"/>
      <c r="AM174" s="3"/>
      <c r="AN174" s="3"/>
      <c r="AO174" s="3"/>
    </row>
    <row r="175" spans="2:41" x14ac:dyDescent="0.25">
      <c r="B175" s="13"/>
      <c r="C175" s="56"/>
      <c r="D175" s="60"/>
      <c r="E175" s="56"/>
      <c r="F175" s="56"/>
      <c r="G175" s="56"/>
      <c r="H175" s="56"/>
      <c r="I175" s="14"/>
      <c r="J175" s="14"/>
      <c r="K175" s="14"/>
      <c r="L175" s="14"/>
      <c r="M175" s="14"/>
      <c r="N175" s="14"/>
      <c r="O175" s="14"/>
      <c r="P175" s="14"/>
      <c r="Q175" s="14"/>
      <c r="R175" s="14"/>
      <c r="S175" s="14"/>
      <c r="T175" s="14"/>
      <c r="U175" s="14"/>
      <c r="V175" s="14"/>
      <c r="W175" s="14"/>
      <c r="X175" s="14"/>
      <c r="Y175" s="14"/>
      <c r="Z175" s="14"/>
      <c r="AA175" s="15"/>
      <c r="AB175" s="3"/>
      <c r="AC175" s="3"/>
      <c r="AD175" s="3"/>
      <c r="AE175" s="3"/>
      <c r="AF175" s="3"/>
      <c r="AG175" s="3"/>
      <c r="AH175" s="3"/>
      <c r="AI175" s="3"/>
      <c r="AJ175" s="3"/>
      <c r="AK175" s="3"/>
      <c r="AL175" s="3"/>
      <c r="AM175" s="3"/>
      <c r="AN175" s="3"/>
      <c r="AO175" s="3"/>
    </row>
    <row r="176" spans="2:41" x14ac:dyDescent="0.25">
      <c r="B176" s="13"/>
      <c r="C176" s="14"/>
      <c r="D176" s="60"/>
      <c r="E176" s="56"/>
      <c r="F176" s="56"/>
      <c r="G176" s="14"/>
      <c r="H176" s="56"/>
      <c r="I176" s="14"/>
      <c r="J176" s="14"/>
      <c r="K176" s="14"/>
      <c r="L176" s="14"/>
      <c r="M176" s="14"/>
      <c r="N176" s="14"/>
      <c r="O176" s="14"/>
      <c r="P176" s="14"/>
      <c r="Q176" s="14"/>
      <c r="R176" s="14"/>
      <c r="S176" s="14"/>
      <c r="T176" s="14"/>
      <c r="U176" s="14"/>
      <c r="V176" s="14"/>
      <c r="W176" s="14"/>
      <c r="X176" s="14"/>
      <c r="Y176" s="14"/>
      <c r="Z176" s="14"/>
      <c r="AA176" s="15"/>
      <c r="AB176" s="3"/>
      <c r="AC176" s="3"/>
      <c r="AD176" s="3"/>
      <c r="AE176" s="3"/>
      <c r="AF176" s="3"/>
      <c r="AG176" s="3"/>
      <c r="AH176" s="3"/>
      <c r="AI176" s="3"/>
      <c r="AJ176" s="3"/>
      <c r="AK176" s="3"/>
      <c r="AL176" s="3"/>
      <c r="AM176" s="3"/>
      <c r="AN176" s="3"/>
      <c r="AO176" s="3"/>
    </row>
    <row r="177" spans="2:41" ht="18.75" x14ac:dyDescent="0.3">
      <c r="B177" s="67"/>
      <c r="C177" s="14"/>
      <c r="D177" s="14"/>
      <c r="E177" s="56"/>
      <c r="F177" s="56"/>
      <c r="G177" s="14"/>
      <c r="H177" s="56"/>
      <c r="I177" s="74"/>
      <c r="J177" s="14"/>
      <c r="K177" s="14"/>
      <c r="L177" s="14"/>
      <c r="M177" s="14"/>
      <c r="N177" s="14"/>
      <c r="O177" s="14"/>
      <c r="P177" s="14"/>
      <c r="Q177" s="14"/>
      <c r="R177" s="14"/>
      <c r="S177" s="14"/>
      <c r="T177" s="14"/>
      <c r="U177" s="14"/>
      <c r="V177" s="14"/>
      <c r="W177" s="14"/>
      <c r="X177" s="14"/>
      <c r="Y177" s="14"/>
      <c r="Z177" s="14"/>
      <c r="AA177" s="15"/>
      <c r="AB177" s="3"/>
      <c r="AC177" s="3"/>
      <c r="AD177" s="3"/>
      <c r="AE177" s="3"/>
      <c r="AF177" s="3"/>
      <c r="AG177" s="3"/>
      <c r="AH177" s="3"/>
      <c r="AI177" s="3"/>
      <c r="AJ177" s="3"/>
      <c r="AK177" s="3"/>
      <c r="AL177" s="3"/>
      <c r="AM177" s="3"/>
      <c r="AN177" s="3"/>
      <c r="AO177" s="3"/>
    </row>
    <row r="178" spans="2:41" x14ac:dyDescent="0.25">
      <c r="B178" s="13"/>
      <c r="C178" s="14"/>
      <c r="D178" s="60"/>
      <c r="E178" s="56"/>
      <c r="F178" s="56"/>
      <c r="G178" s="14"/>
      <c r="H178" s="14"/>
      <c r="I178" s="14"/>
      <c r="J178" s="14"/>
      <c r="K178" s="14"/>
      <c r="L178" s="14"/>
      <c r="M178" s="14"/>
      <c r="N178" s="14"/>
      <c r="O178" s="14"/>
      <c r="P178" s="14"/>
      <c r="Q178" s="14"/>
      <c r="R178" s="14"/>
      <c r="S178" s="14"/>
      <c r="T178" s="14"/>
      <c r="U178" s="14"/>
      <c r="V178" s="14"/>
      <c r="W178" s="14"/>
      <c r="X178" s="14"/>
      <c r="Y178" s="14"/>
      <c r="Z178" s="14"/>
      <c r="AA178" s="15"/>
      <c r="AB178" s="3"/>
      <c r="AC178" s="3"/>
      <c r="AD178" s="3"/>
      <c r="AE178" s="3"/>
      <c r="AF178" s="3"/>
      <c r="AG178" s="3"/>
      <c r="AH178" s="3"/>
      <c r="AI178" s="3"/>
      <c r="AJ178" s="3"/>
      <c r="AK178" s="3"/>
      <c r="AL178" s="3"/>
      <c r="AM178" s="3"/>
      <c r="AN178" s="3"/>
      <c r="AO178" s="3"/>
    </row>
    <row r="179" spans="2:41" x14ac:dyDescent="0.25">
      <c r="B179" s="13"/>
      <c r="C179" s="14"/>
      <c r="D179" s="60"/>
      <c r="E179" s="56"/>
      <c r="F179" s="56"/>
      <c r="G179" s="14"/>
      <c r="H179" s="56"/>
      <c r="I179" s="14"/>
      <c r="J179" s="14"/>
      <c r="K179" s="14"/>
      <c r="L179" s="14"/>
      <c r="M179" s="14"/>
      <c r="N179" s="14"/>
      <c r="O179" s="14"/>
      <c r="P179" s="14"/>
      <c r="Q179" s="14"/>
      <c r="R179" s="14"/>
      <c r="S179" s="14"/>
      <c r="T179" s="14"/>
      <c r="U179" s="14"/>
      <c r="V179" s="14"/>
      <c r="W179" s="14"/>
      <c r="X179" s="14"/>
      <c r="Y179" s="14"/>
      <c r="Z179" s="14"/>
      <c r="AA179" s="15"/>
      <c r="AB179" s="3"/>
      <c r="AC179" s="3"/>
      <c r="AD179" s="3"/>
      <c r="AE179" s="3"/>
      <c r="AF179" s="3"/>
      <c r="AG179" s="3"/>
      <c r="AH179" s="3"/>
      <c r="AI179" s="3"/>
      <c r="AJ179" s="3"/>
      <c r="AK179" s="3"/>
      <c r="AL179" s="3"/>
      <c r="AM179" s="3"/>
      <c r="AN179" s="3"/>
      <c r="AO179" s="3"/>
    </row>
    <row r="180" spans="2:41" x14ac:dyDescent="0.25">
      <c r="B180" s="13"/>
      <c r="C180" s="14"/>
      <c r="D180" s="60"/>
      <c r="E180" s="56"/>
      <c r="F180" s="56"/>
      <c r="G180" s="14"/>
      <c r="H180" s="56"/>
      <c r="I180" s="14"/>
      <c r="J180" s="14"/>
      <c r="K180" s="14"/>
      <c r="L180" s="14"/>
      <c r="M180" s="14"/>
      <c r="N180" s="14"/>
      <c r="O180" s="14"/>
      <c r="P180" s="14"/>
      <c r="Q180" s="14"/>
      <c r="R180" s="14"/>
      <c r="S180" s="14"/>
      <c r="T180" s="14"/>
      <c r="U180" s="14"/>
      <c r="V180" s="14"/>
      <c r="W180" s="14"/>
      <c r="X180" s="14"/>
      <c r="Y180" s="14"/>
      <c r="Z180" s="14"/>
      <c r="AA180" s="15"/>
      <c r="AB180" s="3"/>
      <c r="AC180" s="3"/>
      <c r="AD180" s="3"/>
      <c r="AE180" s="3"/>
      <c r="AF180" s="3"/>
      <c r="AG180" s="3"/>
      <c r="AH180" s="3"/>
      <c r="AI180" s="3"/>
      <c r="AJ180" s="3"/>
      <c r="AK180" s="3"/>
      <c r="AL180" s="3"/>
      <c r="AM180" s="3"/>
      <c r="AN180" s="3"/>
      <c r="AO180" s="3"/>
    </row>
    <row r="181" spans="2:41" x14ac:dyDescent="0.25">
      <c r="B181" s="13"/>
      <c r="C181" s="14"/>
      <c r="D181" s="60"/>
      <c r="E181" s="56"/>
      <c r="F181" s="56"/>
      <c r="G181" s="14"/>
      <c r="H181" s="56"/>
      <c r="I181" s="14"/>
      <c r="J181" s="14"/>
      <c r="K181" s="14"/>
      <c r="L181" s="14"/>
      <c r="M181" s="14"/>
      <c r="N181" s="14"/>
      <c r="O181" s="14"/>
      <c r="P181" s="14"/>
      <c r="Q181" s="14"/>
      <c r="R181" s="14"/>
      <c r="S181" s="14"/>
      <c r="T181" s="14"/>
      <c r="U181" s="14"/>
      <c r="V181" s="14"/>
      <c r="W181" s="14"/>
      <c r="X181" s="14"/>
      <c r="Y181" s="14"/>
      <c r="Z181" s="14"/>
      <c r="AA181" s="15"/>
      <c r="AB181" s="3"/>
      <c r="AC181" s="3"/>
      <c r="AD181" s="3"/>
      <c r="AE181" s="3"/>
      <c r="AF181" s="3"/>
      <c r="AG181" s="3"/>
      <c r="AH181" s="3"/>
      <c r="AI181" s="3"/>
      <c r="AJ181" s="3"/>
      <c r="AK181" s="3"/>
      <c r="AL181" s="3"/>
      <c r="AM181" s="3"/>
      <c r="AN181" s="3"/>
      <c r="AO181" s="3"/>
    </row>
    <row r="182" spans="2:41" x14ac:dyDescent="0.25">
      <c r="B182" s="13"/>
      <c r="C182" s="56"/>
      <c r="D182" s="60"/>
      <c r="E182" s="56"/>
      <c r="F182" s="56"/>
      <c r="G182" s="56"/>
      <c r="H182" s="56"/>
      <c r="I182" s="14"/>
      <c r="J182" s="14"/>
      <c r="K182" s="14"/>
      <c r="L182" s="14"/>
      <c r="M182" s="14"/>
      <c r="N182" s="14"/>
      <c r="O182" s="14"/>
      <c r="P182" s="14"/>
      <c r="Q182" s="14"/>
      <c r="R182" s="14"/>
      <c r="S182" s="14"/>
      <c r="T182" s="14"/>
      <c r="U182" s="14"/>
      <c r="V182" s="14"/>
      <c r="W182" s="14"/>
      <c r="X182" s="14"/>
      <c r="Y182" s="14"/>
      <c r="Z182" s="14"/>
      <c r="AA182" s="15"/>
      <c r="AB182" s="3"/>
      <c r="AC182" s="3"/>
      <c r="AD182" s="3"/>
      <c r="AE182" s="3"/>
      <c r="AF182" s="3"/>
      <c r="AG182" s="3"/>
      <c r="AH182" s="3"/>
      <c r="AI182" s="3"/>
      <c r="AJ182" s="3"/>
      <c r="AK182" s="3"/>
      <c r="AL182" s="3"/>
      <c r="AM182" s="3"/>
      <c r="AN182" s="3"/>
      <c r="AO182" s="3"/>
    </row>
    <row r="183" spans="2:41" x14ac:dyDescent="0.25">
      <c r="B183" s="13"/>
      <c r="C183" s="14"/>
      <c r="D183" s="60"/>
      <c r="E183" s="56"/>
      <c r="F183" s="56"/>
      <c r="G183" s="14"/>
      <c r="H183" s="56"/>
      <c r="I183" s="14"/>
      <c r="J183" s="14"/>
      <c r="K183" s="14"/>
      <c r="L183" s="14"/>
      <c r="M183" s="14"/>
      <c r="N183" s="14"/>
      <c r="O183" s="14"/>
      <c r="P183" s="14"/>
      <c r="Q183" s="14"/>
      <c r="R183" s="14"/>
      <c r="S183" s="14"/>
      <c r="T183" s="14"/>
      <c r="U183" s="14"/>
      <c r="V183" s="14"/>
      <c r="W183" s="14"/>
      <c r="X183" s="14"/>
      <c r="Y183" s="14"/>
      <c r="Z183" s="14"/>
      <c r="AA183" s="15"/>
      <c r="AB183" s="3"/>
      <c r="AC183" s="3"/>
      <c r="AD183" s="3"/>
      <c r="AE183" s="3"/>
      <c r="AF183" s="3"/>
      <c r="AG183" s="3"/>
      <c r="AH183" s="3"/>
      <c r="AI183" s="3"/>
      <c r="AJ183" s="3"/>
      <c r="AK183" s="3"/>
      <c r="AL183" s="3"/>
      <c r="AM183" s="3"/>
      <c r="AN183" s="3"/>
      <c r="AO183" s="3"/>
    </row>
    <row r="184" spans="2:41" x14ac:dyDescent="0.25">
      <c r="B184" s="13"/>
      <c r="C184" s="14"/>
      <c r="D184" s="14"/>
      <c r="E184" s="56"/>
      <c r="F184" s="56"/>
      <c r="G184" s="14"/>
      <c r="H184" s="56"/>
      <c r="I184" s="14"/>
      <c r="J184" s="14"/>
      <c r="K184" s="14"/>
      <c r="L184" s="14"/>
      <c r="M184" s="14"/>
      <c r="N184" s="14"/>
      <c r="O184" s="14"/>
      <c r="P184" s="14"/>
      <c r="Q184" s="14"/>
      <c r="R184" s="14"/>
      <c r="S184" s="14"/>
      <c r="T184" s="14"/>
      <c r="U184" s="14"/>
      <c r="V184" s="14"/>
      <c r="W184" s="14"/>
      <c r="X184" s="14"/>
      <c r="Y184" s="14"/>
      <c r="Z184" s="14"/>
      <c r="AA184" s="15"/>
      <c r="AB184" s="3"/>
      <c r="AC184" s="3"/>
      <c r="AD184" s="3"/>
      <c r="AE184" s="3"/>
      <c r="AF184" s="3"/>
      <c r="AG184" s="3"/>
      <c r="AH184" s="3"/>
      <c r="AI184" s="3"/>
      <c r="AJ184" s="3"/>
      <c r="AK184" s="3"/>
      <c r="AL184" s="3"/>
      <c r="AM184" s="3"/>
      <c r="AN184" s="3"/>
      <c r="AO184" s="3"/>
    </row>
    <row r="185" spans="2:41" ht="18.75" x14ac:dyDescent="0.3">
      <c r="B185" s="67"/>
      <c r="C185" s="14"/>
      <c r="D185" s="60"/>
      <c r="E185" s="56"/>
      <c r="F185" s="56"/>
      <c r="G185" s="14"/>
      <c r="H185" s="14"/>
      <c r="I185" s="74"/>
      <c r="J185" s="14"/>
      <c r="K185" s="14"/>
      <c r="L185" s="14"/>
      <c r="M185" s="14"/>
      <c r="N185" s="14"/>
      <c r="O185" s="14"/>
      <c r="P185" s="14"/>
      <c r="Q185" s="14"/>
      <c r="R185" s="14"/>
      <c r="S185" s="14"/>
      <c r="T185" s="14"/>
      <c r="U185" s="14"/>
      <c r="V185" s="14"/>
      <c r="W185" s="14"/>
      <c r="X185" s="14"/>
      <c r="Y185" s="14"/>
      <c r="Z185" s="14"/>
      <c r="AA185" s="15"/>
      <c r="AB185" s="3"/>
      <c r="AC185" s="3"/>
      <c r="AD185" s="3"/>
      <c r="AE185" s="3"/>
      <c r="AF185" s="3"/>
      <c r="AG185" s="3"/>
      <c r="AH185" s="3"/>
      <c r="AI185" s="3"/>
      <c r="AJ185" s="3"/>
      <c r="AK185" s="3"/>
      <c r="AL185" s="3"/>
      <c r="AM185" s="3"/>
      <c r="AN185" s="3"/>
      <c r="AO185" s="3"/>
    </row>
    <row r="186" spans="2:41" x14ac:dyDescent="0.25">
      <c r="B186" s="13"/>
      <c r="C186" s="14"/>
      <c r="D186" s="60"/>
      <c r="E186" s="56"/>
      <c r="F186" s="56"/>
      <c r="G186" s="14"/>
      <c r="H186" s="56"/>
      <c r="I186" s="14"/>
      <c r="J186" s="14"/>
      <c r="K186" s="14"/>
      <c r="L186" s="14"/>
      <c r="M186" s="14"/>
      <c r="N186" s="14"/>
      <c r="O186" s="14"/>
      <c r="P186" s="14"/>
      <c r="Q186" s="14"/>
      <c r="R186" s="14"/>
      <c r="S186" s="14"/>
      <c r="T186" s="14"/>
      <c r="U186" s="14"/>
      <c r="V186" s="14"/>
      <c r="W186" s="14"/>
      <c r="X186" s="14"/>
      <c r="Y186" s="14"/>
      <c r="Z186" s="14"/>
      <c r="AA186" s="15"/>
      <c r="AB186" s="3"/>
      <c r="AC186" s="3"/>
      <c r="AD186" s="3"/>
      <c r="AE186" s="3"/>
      <c r="AF186" s="3"/>
      <c r="AG186" s="3"/>
      <c r="AH186" s="3"/>
      <c r="AI186" s="3"/>
      <c r="AJ186" s="3"/>
      <c r="AK186" s="3"/>
      <c r="AL186" s="3"/>
      <c r="AM186" s="3"/>
      <c r="AN186" s="3"/>
      <c r="AO186" s="3"/>
    </row>
    <row r="187" spans="2:41" x14ac:dyDescent="0.25">
      <c r="B187" s="13"/>
      <c r="C187" s="14"/>
      <c r="D187" s="60"/>
      <c r="E187" s="56"/>
      <c r="F187" s="56"/>
      <c r="G187" s="14"/>
      <c r="H187" s="56"/>
      <c r="I187" s="14"/>
      <c r="J187" s="14"/>
      <c r="K187" s="14"/>
      <c r="L187" s="14"/>
      <c r="M187" s="14"/>
      <c r="N187" s="14"/>
      <c r="O187" s="14"/>
      <c r="P187" s="14"/>
      <c r="Q187" s="14"/>
      <c r="R187" s="14"/>
      <c r="S187" s="14"/>
      <c r="T187" s="14"/>
      <c r="U187" s="14"/>
      <c r="V187" s="14"/>
      <c r="W187" s="14"/>
      <c r="X187" s="14"/>
      <c r="Y187" s="14"/>
      <c r="Z187" s="14"/>
      <c r="AA187" s="15"/>
      <c r="AB187" s="3"/>
      <c r="AC187" s="3"/>
      <c r="AD187" s="3"/>
      <c r="AE187" s="3"/>
      <c r="AF187" s="3"/>
      <c r="AG187" s="3"/>
      <c r="AH187" s="3"/>
      <c r="AI187" s="3"/>
      <c r="AJ187" s="3"/>
      <c r="AK187" s="3"/>
      <c r="AL187" s="3"/>
      <c r="AM187" s="3"/>
      <c r="AN187" s="3"/>
      <c r="AO187" s="3"/>
    </row>
    <row r="188" spans="2:41" x14ac:dyDescent="0.25">
      <c r="B188" s="13"/>
      <c r="C188" s="14"/>
      <c r="D188" s="60"/>
      <c r="E188" s="56"/>
      <c r="F188" s="56"/>
      <c r="G188" s="14"/>
      <c r="H188" s="56"/>
      <c r="I188" s="14"/>
      <c r="J188" s="14"/>
      <c r="K188" s="14"/>
      <c r="L188" s="14"/>
      <c r="M188" s="14"/>
      <c r="N188" s="14"/>
      <c r="O188" s="14"/>
      <c r="P188" s="14"/>
      <c r="Q188" s="14"/>
      <c r="R188" s="14"/>
      <c r="S188" s="14"/>
      <c r="T188" s="14"/>
      <c r="U188" s="14"/>
      <c r="V188" s="14"/>
      <c r="W188" s="14"/>
      <c r="X188" s="14"/>
      <c r="Y188" s="14"/>
      <c r="Z188" s="14"/>
      <c r="AA188" s="15"/>
      <c r="AB188" s="3"/>
      <c r="AC188" s="3"/>
      <c r="AD188" s="3"/>
      <c r="AE188" s="3"/>
      <c r="AF188" s="3"/>
      <c r="AG188" s="3"/>
      <c r="AH188" s="3"/>
      <c r="AI188" s="3"/>
      <c r="AJ188" s="3"/>
      <c r="AK188" s="3"/>
      <c r="AL188" s="3"/>
      <c r="AM188" s="3"/>
      <c r="AN188" s="3"/>
      <c r="AO188" s="3"/>
    </row>
    <row r="189" spans="2:41" x14ac:dyDescent="0.25">
      <c r="B189" s="13"/>
      <c r="C189" s="56"/>
      <c r="D189" s="60"/>
      <c r="E189" s="56"/>
      <c r="F189" s="56"/>
      <c r="G189" s="56"/>
      <c r="H189" s="56"/>
      <c r="I189" s="14"/>
      <c r="J189" s="14"/>
      <c r="K189" s="14"/>
      <c r="L189" s="14"/>
      <c r="M189" s="14"/>
      <c r="N189" s="14"/>
      <c r="O189" s="14"/>
      <c r="P189" s="14"/>
      <c r="Q189" s="14"/>
      <c r="R189" s="14"/>
      <c r="S189" s="14"/>
      <c r="T189" s="14"/>
      <c r="U189" s="14"/>
      <c r="V189" s="14"/>
      <c r="W189" s="14"/>
      <c r="X189" s="14"/>
      <c r="Y189" s="14"/>
      <c r="Z189" s="14"/>
      <c r="AA189" s="15"/>
      <c r="AB189" s="3"/>
      <c r="AC189" s="3"/>
      <c r="AD189" s="3"/>
      <c r="AE189" s="3"/>
      <c r="AF189" s="3"/>
      <c r="AG189" s="3"/>
      <c r="AH189" s="3"/>
      <c r="AI189" s="3"/>
      <c r="AJ189" s="3"/>
      <c r="AK189" s="3"/>
      <c r="AL189" s="3"/>
      <c r="AM189" s="3"/>
      <c r="AN189" s="3"/>
      <c r="AO189" s="3"/>
    </row>
    <row r="190" spans="2:41" x14ac:dyDescent="0.25">
      <c r="B190" s="13"/>
      <c r="C190" s="14"/>
      <c r="D190" s="60"/>
      <c r="E190" s="56"/>
      <c r="F190" s="56"/>
      <c r="G190" s="14"/>
      <c r="H190" s="56"/>
      <c r="I190" s="14"/>
      <c r="J190" s="14"/>
      <c r="K190" s="14"/>
      <c r="L190" s="14"/>
      <c r="M190" s="14"/>
      <c r="N190" s="14"/>
      <c r="O190" s="14"/>
      <c r="P190" s="14"/>
      <c r="Q190" s="14"/>
      <c r="R190" s="14"/>
      <c r="S190" s="14"/>
      <c r="T190" s="14"/>
      <c r="U190" s="14"/>
      <c r="V190" s="14"/>
      <c r="W190" s="14"/>
      <c r="X190" s="14"/>
      <c r="Y190" s="14"/>
      <c r="Z190" s="14"/>
      <c r="AA190" s="15"/>
      <c r="AB190" s="3"/>
      <c r="AC190" s="3"/>
      <c r="AD190" s="3"/>
      <c r="AE190" s="3"/>
      <c r="AF190" s="3"/>
      <c r="AG190" s="3"/>
      <c r="AH190" s="3"/>
      <c r="AI190" s="3"/>
      <c r="AJ190" s="3"/>
      <c r="AK190" s="3"/>
      <c r="AL190" s="3"/>
      <c r="AM190" s="3"/>
      <c r="AN190" s="3"/>
      <c r="AO190" s="3"/>
    </row>
    <row r="191" spans="2:41" x14ac:dyDescent="0.25">
      <c r="B191" s="13"/>
      <c r="C191" s="14"/>
      <c r="D191" s="14"/>
      <c r="E191" s="56"/>
      <c r="F191" s="56"/>
      <c r="G191" s="14"/>
      <c r="H191" s="56"/>
      <c r="I191" s="14"/>
      <c r="J191" s="14"/>
      <c r="K191" s="14"/>
      <c r="L191" s="14"/>
      <c r="M191" s="14"/>
      <c r="N191" s="14"/>
      <c r="O191" s="14"/>
      <c r="P191" s="14"/>
      <c r="Q191" s="14"/>
      <c r="R191" s="14"/>
      <c r="S191" s="14"/>
      <c r="T191" s="14"/>
      <c r="U191" s="14"/>
      <c r="V191" s="14"/>
      <c r="W191" s="14"/>
      <c r="X191" s="14"/>
      <c r="Y191" s="14"/>
      <c r="Z191" s="14"/>
      <c r="AA191" s="15"/>
      <c r="AB191" s="3"/>
      <c r="AC191" s="3"/>
      <c r="AD191" s="3"/>
      <c r="AE191" s="3"/>
      <c r="AF191" s="3"/>
      <c r="AG191" s="3"/>
      <c r="AH191" s="3"/>
      <c r="AI191" s="3"/>
      <c r="AJ191" s="3"/>
      <c r="AK191" s="3"/>
      <c r="AL191" s="3"/>
      <c r="AM191" s="3"/>
      <c r="AN191" s="3"/>
      <c r="AO191" s="3"/>
    </row>
    <row r="192" spans="2:41" x14ac:dyDescent="0.25">
      <c r="B192" s="13"/>
      <c r="C192" s="14"/>
      <c r="D192" s="60"/>
      <c r="E192" s="56"/>
      <c r="F192" s="56"/>
      <c r="G192" s="14"/>
      <c r="H192" s="14"/>
      <c r="I192" s="14"/>
      <c r="J192" s="14"/>
      <c r="K192" s="14"/>
      <c r="L192" s="14"/>
      <c r="M192" s="14"/>
      <c r="N192" s="14"/>
      <c r="O192" s="14"/>
      <c r="P192" s="14"/>
      <c r="Q192" s="14"/>
      <c r="R192" s="14"/>
      <c r="S192" s="14"/>
      <c r="T192" s="14"/>
      <c r="U192" s="14"/>
      <c r="V192" s="14"/>
      <c r="W192" s="14"/>
      <c r="X192" s="14"/>
      <c r="Y192" s="14"/>
      <c r="Z192" s="14"/>
      <c r="AA192" s="15"/>
      <c r="AB192" s="3"/>
      <c r="AC192" s="3"/>
      <c r="AD192" s="3"/>
      <c r="AE192" s="3"/>
      <c r="AF192" s="3"/>
      <c r="AG192" s="3"/>
      <c r="AH192" s="3"/>
      <c r="AI192" s="3"/>
      <c r="AJ192" s="3"/>
      <c r="AK192" s="3"/>
      <c r="AL192" s="3"/>
      <c r="AM192" s="3"/>
      <c r="AN192" s="3"/>
      <c r="AO192" s="3"/>
    </row>
    <row r="193" spans="2:41" ht="18.75" x14ac:dyDescent="0.3">
      <c r="B193" s="67"/>
      <c r="C193" s="14"/>
      <c r="D193" s="60"/>
      <c r="E193" s="56"/>
      <c r="F193" s="56"/>
      <c r="G193" s="14"/>
      <c r="H193" s="56"/>
      <c r="I193" s="74"/>
      <c r="J193" s="14"/>
      <c r="K193" s="14"/>
      <c r="L193" s="14"/>
      <c r="M193" s="14"/>
      <c r="N193" s="14"/>
      <c r="O193" s="14"/>
      <c r="P193" s="14"/>
      <c r="Q193" s="14"/>
      <c r="R193" s="14"/>
      <c r="S193" s="14"/>
      <c r="T193" s="14"/>
      <c r="U193" s="14"/>
      <c r="V193" s="14"/>
      <c r="W193" s="14"/>
      <c r="X193" s="14"/>
      <c r="Y193" s="14"/>
      <c r="Z193" s="14"/>
      <c r="AA193" s="15"/>
      <c r="AB193" s="3"/>
      <c r="AC193" s="3"/>
      <c r="AD193" s="3"/>
      <c r="AE193" s="3"/>
      <c r="AF193" s="3"/>
      <c r="AG193" s="3"/>
      <c r="AH193" s="3"/>
      <c r="AI193" s="3"/>
      <c r="AJ193" s="3"/>
      <c r="AK193" s="3"/>
      <c r="AL193" s="3"/>
      <c r="AM193" s="3"/>
      <c r="AN193" s="3"/>
      <c r="AO193" s="3"/>
    </row>
    <row r="194" spans="2:41" x14ac:dyDescent="0.25">
      <c r="B194" s="13"/>
      <c r="C194" s="14"/>
      <c r="D194" s="60"/>
      <c r="E194" s="56"/>
      <c r="F194" s="56"/>
      <c r="G194" s="14"/>
      <c r="H194" s="56"/>
      <c r="I194" s="14"/>
      <c r="J194" s="14"/>
      <c r="K194" s="14"/>
      <c r="L194" s="14"/>
      <c r="M194" s="14"/>
      <c r="N194" s="14"/>
      <c r="O194" s="14"/>
      <c r="P194" s="14"/>
      <c r="Q194" s="14"/>
      <c r="R194" s="14"/>
      <c r="S194" s="14"/>
      <c r="T194" s="14"/>
      <c r="U194" s="14"/>
      <c r="V194" s="14"/>
      <c r="W194" s="14"/>
      <c r="X194" s="14"/>
      <c r="Y194" s="14"/>
      <c r="Z194" s="14"/>
      <c r="AA194" s="15"/>
      <c r="AB194" s="3"/>
      <c r="AC194" s="3"/>
      <c r="AD194" s="3"/>
      <c r="AE194" s="3"/>
      <c r="AF194" s="3"/>
      <c r="AG194" s="3"/>
      <c r="AH194" s="3"/>
      <c r="AI194" s="3"/>
      <c r="AJ194" s="3"/>
      <c r="AK194" s="3"/>
      <c r="AL194" s="3"/>
      <c r="AM194" s="3"/>
      <c r="AN194" s="3"/>
      <c r="AO194" s="3"/>
    </row>
    <row r="195" spans="2:41" x14ac:dyDescent="0.25">
      <c r="B195" s="13"/>
      <c r="C195" s="14"/>
      <c r="D195" s="60"/>
      <c r="E195" s="56"/>
      <c r="F195" s="56"/>
      <c r="G195" s="14"/>
      <c r="H195" s="56"/>
      <c r="I195" s="14"/>
      <c r="J195" s="14"/>
      <c r="K195" s="14"/>
      <c r="L195" s="14"/>
      <c r="M195" s="14"/>
      <c r="N195" s="14"/>
      <c r="O195" s="14"/>
      <c r="P195" s="14"/>
      <c r="Q195" s="14"/>
      <c r="R195" s="14"/>
      <c r="S195" s="14"/>
      <c r="T195" s="14"/>
      <c r="U195" s="14"/>
      <c r="V195" s="14"/>
      <c r="W195" s="14"/>
      <c r="X195" s="14"/>
      <c r="Y195" s="14"/>
      <c r="Z195" s="14"/>
      <c r="AA195" s="15"/>
      <c r="AB195" s="3"/>
      <c r="AC195" s="3"/>
      <c r="AD195" s="3"/>
      <c r="AE195" s="3"/>
      <c r="AF195" s="3"/>
      <c r="AG195" s="3"/>
      <c r="AH195" s="3"/>
      <c r="AI195" s="3"/>
      <c r="AJ195" s="3"/>
      <c r="AK195" s="3"/>
      <c r="AL195" s="3"/>
      <c r="AM195" s="3"/>
      <c r="AN195" s="3"/>
      <c r="AO195" s="3"/>
    </row>
    <row r="196" spans="2:41" x14ac:dyDescent="0.25">
      <c r="B196" s="13"/>
      <c r="C196" s="56"/>
      <c r="D196" s="60"/>
      <c r="E196" s="56"/>
      <c r="F196" s="56"/>
      <c r="G196" s="56"/>
      <c r="H196" s="56"/>
      <c r="I196" s="14"/>
      <c r="J196" s="14"/>
      <c r="K196" s="14"/>
      <c r="L196" s="14"/>
      <c r="M196" s="14"/>
      <c r="N196" s="14"/>
      <c r="O196" s="14"/>
      <c r="P196" s="14"/>
      <c r="Q196" s="14"/>
      <c r="R196" s="14"/>
      <c r="S196" s="14"/>
      <c r="T196" s="14"/>
      <c r="U196" s="14"/>
      <c r="V196" s="14"/>
      <c r="W196" s="14"/>
      <c r="X196" s="14"/>
      <c r="Y196" s="14"/>
      <c r="Z196" s="14"/>
      <c r="AA196" s="15"/>
      <c r="AB196" s="3"/>
      <c r="AC196" s="3"/>
      <c r="AD196" s="3"/>
      <c r="AE196" s="3"/>
      <c r="AF196" s="3"/>
      <c r="AG196" s="3"/>
      <c r="AH196" s="3"/>
      <c r="AI196" s="3"/>
      <c r="AJ196" s="3"/>
      <c r="AK196" s="3"/>
      <c r="AL196" s="3"/>
      <c r="AM196" s="3"/>
      <c r="AN196" s="3"/>
      <c r="AO196" s="3"/>
    </row>
    <row r="197" spans="2:41" x14ac:dyDescent="0.25">
      <c r="B197" s="13"/>
      <c r="C197" s="14"/>
      <c r="D197" s="60"/>
      <c r="E197" s="56"/>
      <c r="F197" s="56"/>
      <c r="G197" s="14"/>
      <c r="H197" s="56"/>
      <c r="I197" s="14"/>
      <c r="J197" s="14"/>
      <c r="K197" s="14"/>
      <c r="L197" s="14"/>
      <c r="M197" s="14"/>
      <c r="N197" s="14"/>
      <c r="O197" s="14"/>
      <c r="P197" s="14"/>
      <c r="Q197" s="14"/>
      <c r="R197" s="14"/>
      <c r="S197" s="14"/>
      <c r="T197" s="14"/>
      <c r="U197" s="14"/>
      <c r="V197" s="14"/>
      <c r="W197" s="14"/>
      <c r="X197" s="14"/>
      <c r="Y197" s="14"/>
      <c r="Z197" s="14"/>
      <c r="AA197" s="15"/>
      <c r="AB197" s="3"/>
      <c r="AC197" s="3"/>
      <c r="AD197" s="3"/>
      <c r="AE197" s="3"/>
      <c r="AF197" s="3"/>
      <c r="AG197" s="3"/>
      <c r="AH197" s="3"/>
      <c r="AI197" s="3"/>
      <c r="AJ197" s="3"/>
      <c r="AK197" s="3"/>
      <c r="AL197" s="3"/>
      <c r="AM197" s="3"/>
      <c r="AN197" s="3"/>
      <c r="AO197" s="3"/>
    </row>
    <row r="198" spans="2:41" x14ac:dyDescent="0.25">
      <c r="B198" s="13"/>
      <c r="C198" s="14"/>
      <c r="D198" s="14"/>
      <c r="E198" s="56"/>
      <c r="F198" s="56"/>
      <c r="G198" s="14"/>
      <c r="H198" s="56"/>
      <c r="I198" s="14"/>
      <c r="J198" s="14"/>
      <c r="K198" s="14"/>
      <c r="L198" s="14"/>
      <c r="M198" s="14"/>
      <c r="N198" s="14"/>
      <c r="O198" s="14"/>
      <c r="P198" s="14"/>
      <c r="Q198" s="14"/>
      <c r="R198" s="14"/>
      <c r="S198" s="14"/>
      <c r="T198" s="14"/>
      <c r="U198" s="14"/>
      <c r="V198" s="14"/>
      <c r="W198" s="14"/>
      <c r="X198" s="14"/>
      <c r="Y198" s="14"/>
      <c r="Z198" s="14"/>
      <c r="AA198" s="15"/>
      <c r="AB198" s="3"/>
      <c r="AC198" s="3"/>
      <c r="AD198" s="3"/>
      <c r="AE198" s="3"/>
      <c r="AF198" s="3"/>
      <c r="AG198" s="3"/>
      <c r="AH198" s="3"/>
      <c r="AI198" s="3"/>
      <c r="AJ198" s="3"/>
      <c r="AK198" s="3"/>
      <c r="AL198" s="3"/>
      <c r="AM198" s="3"/>
      <c r="AN198" s="3"/>
      <c r="AO198" s="3"/>
    </row>
    <row r="199" spans="2:41" x14ac:dyDescent="0.25">
      <c r="B199" s="13"/>
      <c r="C199" s="14"/>
      <c r="D199" s="60"/>
      <c r="E199" s="56"/>
      <c r="F199" s="56"/>
      <c r="G199" s="14"/>
      <c r="H199" s="14"/>
      <c r="I199" s="14"/>
      <c r="J199" s="14"/>
      <c r="K199" s="14"/>
      <c r="L199" s="14"/>
      <c r="M199" s="14"/>
      <c r="N199" s="14"/>
      <c r="O199" s="14"/>
      <c r="P199" s="14"/>
      <c r="Q199" s="14"/>
      <c r="R199" s="14"/>
      <c r="S199" s="14"/>
      <c r="T199" s="14"/>
      <c r="U199" s="14"/>
      <c r="V199" s="14"/>
      <c r="W199" s="14"/>
      <c r="X199" s="14"/>
      <c r="Y199" s="14"/>
      <c r="Z199" s="14"/>
      <c r="AA199" s="15"/>
      <c r="AB199" s="3"/>
      <c r="AC199" s="3"/>
      <c r="AD199" s="3"/>
      <c r="AE199" s="3"/>
      <c r="AF199" s="3"/>
      <c r="AG199" s="3"/>
      <c r="AH199" s="3"/>
      <c r="AI199" s="3"/>
      <c r="AJ199" s="3"/>
      <c r="AK199" s="3"/>
      <c r="AL199" s="3"/>
      <c r="AM199" s="3"/>
      <c r="AN199" s="3"/>
      <c r="AO199" s="3"/>
    </row>
    <row r="200" spans="2:41" x14ac:dyDescent="0.25">
      <c r="B200" s="13"/>
      <c r="C200" s="14"/>
      <c r="D200" s="60"/>
      <c r="E200" s="56"/>
      <c r="F200" s="56"/>
      <c r="G200" s="14"/>
      <c r="H200" s="56"/>
      <c r="I200" s="14"/>
      <c r="J200" s="14"/>
      <c r="K200" s="14"/>
      <c r="L200" s="14"/>
      <c r="M200" s="14"/>
      <c r="N200" s="14"/>
      <c r="O200" s="14"/>
      <c r="P200" s="14"/>
      <c r="Q200" s="14"/>
      <c r="R200" s="14"/>
      <c r="S200" s="14"/>
      <c r="T200" s="14"/>
      <c r="U200" s="14"/>
      <c r="V200" s="14"/>
      <c r="W200" s="14"/>
      <c r="X200" s="14"/>
      <c r="Y200" s="14"/>
      <c r="Z200" s="14"/>
      <c r="AA200" s="15"/>
      <c r="AB200" s="3"/>
      <c r="AC200" s="3"/>
      <c r="AD200" s="3"/>
      <c r="AE200" s="3"/>
      <c r="AF200" s="3"/>
      <c r="AG200" s="3"/>
      <c r="AH200" s="3"/>
      <c r="AI200" s="3"/>
      <c r="AJ200" s="3"/>
      <c r="AK200" s="3"/>
      <c r="AL200" s="3"/>
      <c r="AM200" s="3"/>
      <c r="AN200" s="3"/>
      <c r="AO200" s="3"/>
    </row>
    <row r="201" spans="2:41" ht="18.75" x14ac:dyDescent="0.3">
      <c r="B201" s="67"/>
      <c r="C201" s="14"/>
      <c r="D201" s="60"/>
      <c r="E201" s="56"/>
      <c r="F201" s="56"/>
      <c r="G201" s="14"/>
      <c r="H201" s="56"/>
      <c r="I201" s="74"/>
      <c r="J201" s="14"/>
      <c r="K201" s="14"/>
      <c r="L201" s="14"/>
      <c r="M201" s="14"/>
      <c r="N201" s="14"/>
      <c r="O201" s="14"/>
      <c r="P201" s="14"/>
      <c r="Q201" s="14"/>
      <c r="R201" s="14"/>
      <c r="S201" s="14"/>
      <c r="T201" s="14"/>
      <c r="U201" s="14"/>
      <c r="V201" s="14"/>
      <c r="W201" s="14"/>
      <c r="X201" s="14"/>
      <c r="Y201" s="14"/>
      <c r="Z201" s="14"/>
      <c r="AA201" s="15"/>
      <c r="AB201" s="3"/>
      <c r="AC201" s="3"/>
      <c r="AD201" s="3"/>
      <c r="AE201" s="3"/>
      <c r="AF201" s="3"/>
      <c r="AG201" s="3"/>
      <c r="AH201" s="3"/>
      <c r="AI201" s="3"/>
      <c r="AJ201" s="3"/>
      <c r="AK201" s="3"/>
      <c r="AL201" s="3"/>
      <c r="AM201" s="3"/>
      <c r="AN201" s="3"/>
      <c r="AO201" s="3"/>
    </row>
    <row r="202" spans="2:41" x14ac:dyDescent="0.25">
      <c r="B202" s="13"/>
      <c r="C202" s="14"/>
      <c r="D202" s="60"/>
      <c r="E202" s="56"/>
      <c r="F202" s="56"/>
      <c r="G202" s="14"/>
      <c r="H202" s="56"/>
      <c r="I202" s="14"/>
      <c r="J202" s="14"/>
      <c r="K202" s="14"/>
      <c r="L202" s="14"/>
      <c r="M202" s="14"/>
      <c r="N202" s="14"/>
      <c r="O202" s="14"/>
      <c r="P202" s="14"/>
      <c r="Q202" s="14"/>
      <c r="R202" s="14"/>
      <c r="S202" s="14"/>
      <c r="T202" s="14"/>
      <c r="U202" s="14"/>
      <c r="V202" s="14"/>
      <c r="W202" s="14"/>
      <c r="X202" s="14"/>
      <c r="Y202" s="14"/>
      <c r="Z202" s="14"/>
      <c r="AA202" s="15"/>
      <c r="AB202" s="3"/>
      <c r="AC202" s="3"/>
      <c r="AD202" s="3"/>
      <c r="AE202" s="3"/>
      <c r="AF202" s="3"/>
      <c r="AG202" s="3"/>
      <c r="AH202" s="3"/>
      <c r="AI202" s="3"/>
      <c r="AJ202" s="3"/>
      <c r="AK202" s="3"/>
      <c r="AL202" s="3"/>
      <c r="AM202" s="3"/>
      <c r="AN202" s="3"/>
      <c r="AO202" s="3"/>
    </row>
    <row r="203" spans="2:41" x14ac:dyDescent="0.25">
      <c r="B203" s="13"/>
      <c r="C203" s="56"/>
      <c r="D203" s="60"/>
      <c r="E203" s="56"/>
      <c r="F203" s="56"/>
      <c r="G203" s="56"/>
      <c r="H203" s="56"/>
      <c r="I203" s="14"/>
      <c r="J203" s="14"/>
      <c r="K203" s="14"/>
      <c r="L203" s="14"/>
      <c r="M203" s="14"/>
      <c r="N203" s="14"/>
      <c r="O203" s="14"/>
      <c r="P203" s="14"/>
      <c r="Q203" s="14"/>
      <c r="R203" s="14"/>
      <c r="S203" s="14"/>
      <c r="T203" s="14"/>
      <c r="U203" s="14"/>
      <c r="V203" s="14"/>
      <c r="W203" s="14"/>
      <c r="X203" s="14"/>
      <c r="Y203" s="14"/>
      <c r="Z203" s="14"/>
      <c r="AA203" s="15"/>
      <c r="AB203" s="3"/>
      <c r="AC203" s="3"/>
      <c r="AD203" s="3"/>
      <c r="AE203" s="3"/>
      <c r="AF203" s="3"/>
      <c r="AG203" s="3"/>
      <c r="AH203" s="3"/>
      <c r="AI203" s="3"/>
      <c r="AJ203" s="3"/>
      <c r="AK203" s="3"/>
      <c r="AL203" s="3"/>
      <c r="AM203" s="3"/>
      <c r="AN203" s="3"/>
      <c r="AO203" s="3"/>
    </row>
    <row r="204" spans="2:41" x14ac:dyDescent="0.25">
      <c r="B204" s="13"/>
      <c r="C204" s="14"/>
      <c r="D204" s="60"/>
      <c r="E204" s="56"/>
      <c r="F204" s="56"/>
      <c r="G204" s="14"/>
      <c r="H204" s="56"/>
      <c r="I204" s="14"/>
      <c r="J204" s="14"/>
      <c r="K204" s="14"/>
      <c r="L204" s="14"/>
      <c r="M204" s="14"/>
      <c r="N204" s="14"/>
      <c r="O204" s="14"/>
      <c r="P204" s="14"/>
      <c r="Q204" s="14"/>
      <c r="R204" s="14"/>
      <c r="S204" s="14"/>
      <c r="T204" s="14"/>
      <c r="U204" s="14"/>
      <c r="V204" s="14"/>
      <c r="W204" s="14"/>
      <c r="X204" s="14"/>
      <c r="Y204" s="14"/>
      <c r="Z204" s="14"/>
      <c r="AA204" s="15"/>
      <c r="AB204" s="3"/>
      <c r="AC204" s="3"/>
      <c r="AD204" s="3"/>
      <c r="AE204" s="3"/>
      <c r="AF204" s="3"/>
      <c r="AG204" s="3"/>
      <c r="AH204" s="3"/>
      <c r="AI204" s="3"/>
      <c r="AJ204" s="3"/>
      <c r="AK204" s="3"/>
      <c r="AL204" s="3"/>
      <c r="AM204" s="3"/>
      <c r="AN204" s="3"/>
      <c r="AO204" s="3"/>
    </row>
    <row r="205" spans="2:41" x14ac:dyDescent="0.25">
      <c r="B205" s="13"/>
      <c r="C205" s="14"/>
      <c r="D205" s="14"/>
      <c r="E205" s="56"/>
      <c r="F205" s="56"/>
      <c r="G205" s="14"/>
      <c r="H205" s="56"/>
      <c r="I205" s="14"/>
      <c r="J205" s="14"/>
      <c r="K205" s="14"/>
      <c r="L205" s="14"/>
      <c r="M205" s="14"/>
      <c r="N205" s="14"/>
      <c r="O205" s="14"/>
      <c r="P205" s="14"/>
      <c r="Q205" s="14"/>
      <c r="R205" s="14"/>
      <c r="S205" s="14"/>
      <c r="T205" s="14"/>
      <c r="U205" s="14"/>
      <c r="V205" s="14"/>
      <c r="W205" s="14"/>
      <c r="X205" s="14"/>
      <c r="Y205" s="14"/>
      <c r="Z205" s="14"/>
      <c r="AA205" s="15"/>
      <c r="AB205" s="3"/>
      <c r="AC205" s="3"/>
      <c r="AD205" s="3"/>
      <c r="AE205" s="3"/>
      <c r="AF205" s="3"/>
      <c r="AG205" s="3"/>
      <c r="AH205" s="3"/>
      <c r="AI205" s="3"/>
      <c r="AJ205" s="3"/>
      <c r="AK205" s="3"/>
      <c r="AL205" s="3"/>
      <c r="AM205" s="3"/>
      <c r="AN205" s="3"/>
      <c r="AO205" s="3"/>
    </row>
    <row r="206" spans="2:41" x14ac:dyDescent="0.25">
      <c r="B206" s="13"/>
      <c r="C206" s="14"/>
      <c r="D206" s="60"/>
      <c r="E206" s="56"/>
      <c r="F206" s="56"/>
      <c r="G206" s="14"/>
      <c r="H206" s="14"/>
      <c r="I206" s="14"/>
      <c r="J206" s="14"/>
      <c r="K206" s="14"/>
      <c r="L206" s="14"/>
      <c r="M206" s="14"/>
      <c r="N206" s="14"/>
      <c r="O206" s="14"/>
      <c r="P206" s="14"/>
      <c r="Q206" s="14"/>
      <c r="R206" s="14"/>
      <c r="S206" s="14"/>
      <c r="T206" s="14"/>
      <c r="U206" s="14"/>
      <c r="V206" s="14"/>
      <c r="W206" s="14"/>
      <c r="X206" s="14"/>
      <c r="Y206" s="14"/>
      <c r="Z206" s="14"/>
      <c r="AA206" s="15"/>
      <c r="AB206" s="3"/>
      <c r="AC206" s="3"/>
      <c r="AD206" s="3"/>
      <c r="AE206" s="3"/>
      <c r="AF206" s="3"/>
      <c r="AG206" s="3"/>
      <c r="AH206" s="3"/>
      <c r="AI206" s="3"/>
      <c r="AJ206" s="3"/>
      <c r="AK206" s="3"/>
      <c r="AL206" s="3"/>
      <c r="AM206" s="3"/>
      <c r="AN206" s="3"/>
      <c r="AO206" s="3"/>
    </row>
    <row r="207" spans="2:41" x14ac:dyDescent="0.25">
      <c r="B207" s="13"/>
      <c r="C207" s="14"/>
      <c r="D207" s="60"/>
      <c r="E207" s="56"/>
      <c r="F207" s="56"/>
      <c r="G207" s="14"/>
      <c r="H207" s="56"/>
      <c r="I207" s="14"/>
      <c r="J207" s="14"/>
      <c r="K207" s="14"/>
      <c r="L207" s="14"/>
      <c r="M207" s="14"/>
      <c r="N207" s="14"/>
      <c r="O207" s="14"/>
      <c r="P207" s="14"/>
      <c r="Q207" s="14"/>
      <c r="R207" s="14"/>
      <c r="S207" s="14"/>
      <c r="T207" s="14"/>
      <c r="U207" s="14"/>
      <c r="V207" s="14"/>
      <c r="W207" s="14"/>
      <c r="X207" s="14"/>
      <c r="Y207" s="14"/>
      <c r="Z207" s="14"/>
      <c r="AA207" s="15"/>
      <c r="AB207" s="3"/>
      <c r="AC207" s="3"/>
      <c r="AD207" s="3"/>
      <c r="AE207" s="3"/>
      <c r="AF207" s="3"/>
      <c r="AG207" s="3"/>
      <c r="AH207" s="3"/>
      <c r="AI207" s="3"/>
      <c r="AJ207" s="3"/>
      <c r="AK207" s="3"/>
      <c r="AL207" s="3"/>
      <c r="AM207" s="3"/>
      <c r="AN207" s="3"/>
      <c r="AO207" s="3"/>
    </row>
    <row r="208" spans="2:41" x14ac:dyDescent="0.25">
      <c r="B208" s="13"/>
      <c r="C208" s="14"/>
      <c r="D208" s="60"/>
      <c r="E208" s="56"/>
      <c r="F208" s="56"/>
      <c r="G208" s="14"/>
      <c r="H208" s="56"/>
      <c r="I208" s="14"/>
      <c r="J208" s="14"/>
      <c r="K208" s="14"/>
      <c r="L208" s="14"/>
      <c r="M208" s="14"/>
      <c r="N208" s="14"/>
      <c r="O208" s="14"/>
      <c r="P208" s="14"/>
      <c r="Q208" s="14"/>
      <c r="R208" s="14"/>
      <c r="S208" s="14"/>
      <c r="T208" s="14"/>
      <c r="U208" s="14"/>
      <c r="V208" s="14"/>
      <c r="W208" s="14"/>
      <c r="X208" s="14"/>
      <c r="Y208" s="14"/>
      <c r="Z208" s="14"/>
      <c r="AA208" s="15"/>
      <c r="AB208" s="3"/>
      <c r="AC208" s="3"/>
      <c r="AD208" s="3"/>
      <c r="AE208" s="3"/>
      <c r="AF208" s="3"/>
      <c r="AG208" s="3"/>
      <c r="AH208" s="3"/>
      <c r="AI208" s="3"/>
      <c r="AJ208" s="3"/>
      <c r="AK208" s="3"/>
      <c r="AL208" s="3"/>
      <c r="AM208" s="3"/>
      <c r="AN208" s="3"/>
      <c r="AO208" s="3"/>
    </row>
    <row r="209" spans="2:41" ht="18.75" x14ac:dyDescent="0.3">
      <c r="B209" s="67"/>
      <c r="C209" s="14"/>
      <c r="D209" s="60"/>
      <c r="E209" s="56"/>
      <c r="F209" s="56"/>
      <c r="G209" s="14"/>
      <c r="H209" s="56"/>
      <c r="I209" s="74"/>
      <c r="J209" s="14"/>
      <c r="K209" s="14"/>
      <c r="L209" s="14"/>
      <c r="M209" s="14"/>
      <c r="N209" s="14"/>
      <c r="O209" s="14"/>
      <c r="P209" s="14"/>
      <c r="Q209" s="14"/>
      <c r="R209" s="14"/>
      <c r="S209" s="14"/>
      <c r="T209" s="14"/>
      <c r="U209" s="14"/>
      <c r="V209" s="14"/>
      <c r="W209" s="14"/>
      <c r="X209" s="14"/>
      <c r="Y209" s="14"/>
      <c r="Z209" s="14"/>
      <c r="AA209" s="15"/>
      <c r="AB209" s="3"/>
      <c r="AC209" s="3"/>
      <c r="AD209" s="3"/>
      <c r="AE209" s="3"/>
      <c r="AF209" s="3"/>
      <c r="AG209" s="3"/>
      <c r="AH209" s="3"/>
      <c r="AI209" s="3"/>
      <c r="AJ209" s="3"/>
      <c r="AK209" s="3"/>
      <c r="AL209" s="3"/>
      <c r="AM209" s="3"/>
      <c r="AN209" s="3"/>
      <c r="AO209" s="3"/>
    </row>
    <row r="210" spans="2:41" x14ac:dyDescent="0.25">
      <c r="B210" s="13"/>
      <c r="C210" s="56"/>
      <c r="D210" s="60"/>
      <c r="E210" s="56"/>
      <c r="F210" s="56"/>
      <c r="G210" s="56"/>
      <c r="H210" s="56"/>
      <c r="I210" s="14"/>
      <c r="J210" s="14"/>
      <c r="K210" s="14"/>
      <c r="L210" s="14"/>
      <c r="M210" s="14"/>
      <c r="N210" s="14"/>
      <c r="O210" s="14"/>
      <c r="P210" s="14"/>
      <c r="Q210" s="14"/>
      <c r="R210" s="14"/>
      <c r="S210" s="14"/>
      <c r="T210" s="14"/>
      <c r="U210" s="14"/>
      <c r="V210" s="14"/>
      <c r="W210" s="14"/>
      <c r="X210" s="14"/>
      <c r="Y210" s="14"/>
      <c r="Z210" s="14"/>
      <c r="AA210" s="15"/>
      <c r="AB210" s="3"/>
      <c r="AC210" s="3"/>
      <c r="AD210" s="3"/>
      <c r="AE210" s="3"/>
      <c r="AF210" s="3"/>
      <c r="AG210" s="3"/>
      <c r="AH210" s="3"/>
      <c r="AI210" s="3"/>
      <c r="AJ210" s="3"/>
      <c r="AK210" s="3"/>
      <c r="AL210" s="3"/>
      <c r="AM210" s="3"/>
      <c r="AN210" s="3"/>
      <c r="AO210" s="3"/>
    </row>
    <row r="211" spans="2:41" x14ac:dyDescent="0.25">
      <c r="B211" s="13"/>
      <c r="C211" s="14"/>
      <c r="D211" s="60"/>
      <c r="E211" s="56"/>
      <c r="F211" s="56"/>
      <c r="G211" s="14"/>
      <c r="H211" s="56"/>
      <c r="I211" s="14"/>
      <c r="J211" s="14"/>
      <c r="K211" s="14"/>
      <c r="L211" s="14"/>
      <c r="M211" s="14"/>
      <c r="N211" s="14"/>
      <c r="O211" s="14"/>
      <c r="P211" s="14"/>
      <c r="Q211" s="14"/>
      <c r="R211" s="14"/>
      <c r="S211" s="14"/>
      <c r="T211" s="14"/>
      <c r="U211" s="14"/>
      <c r="V211" s="14"/>
      <c r="W211" s="14"/>
      <c r="X211" s="14"/>
      <c r="Y211" s="14"/>
      <c r="Z211" s="14"/>
      <c r="AA211" s="15"/>
      <c r="AB211" s="3"/>
      <c r="AC211" s="3"/>
      <c r="AD211" s="3"/>
      <c r="AE211" s="3"/>
      <c r="AF211" s="3"/>
      <c r="AG211" s="3"/>
      <c r="AH211" s="3"/>
      <c r="AI211" s="3"/>
      <c r="AJ211" s="3"/>
      <c r="AK211" s="3"/>
      <c r="AL211" s="3"/>
      <c r="AM211" s="3"/>
      <c r="AN211" s="3"/>
      <c r="AO211" s="3"/>
    </row>
    <row r="212" spans="2:41" x14ac:dyDescent="0.25">
      <c r="B212" s="13"/>
      <c r="C212" s="14"/>
      <c r="D212" s="14"/>
      <c r="E212" s="14"/>
      <c r="F212" s="14"/>
      <c r="G212" s="14"/>
      <c r="H212" s="56"/>
      <c r="I212" s="14"/>
      <c r="J212" s="14"/>
      <c r="K212" s="14"/>
      <c r="L212" s="14"/>
      <c r="M212" s="14"/>
      <c r="N212" s="14"/>
      <c r="O212" s="14"/>
      <c r="P212" s="14"/>
      <c r="Q212" s="14"/>
      <c r="R212" s="14"/>
      <c r="S212" s="14"/>
      <c r="T212" s="14"/>
      <c r="U212" s="14"/>
      <c r="V212" s="14"/>
      <c r="W212" s="14"/>
      <c r="X212" s="14"/>
      <c r="Y212" s="14"/>
      <c r="Z212" s="14"/>
      <c r="AA212" s="15"/>
      <c r="AB212" s="3"/>
      <c r="AC212" s="3"/>
      <c r="AD212" s="3"/>
      <c r="AE212" s="3"/>
      <c r="AF212" s="3"/>
      <c r="AG212" s="3"/>
      <c r="AH212" s="3"/>
      <c r="AI212" s="3"/>
      <c r="AJ212" s="3"/>
      <c r="AK212" s="3"/>
      <c r="AL212" s="3"/>
      <c r="AM212" s="3"/>
      <c r="AN212" s="3"/>
      <c r="AO212" s="3"/>
    </row>
    <row r="213" spans="2:41" x14ac:dyDescent="0.25">
      <c r="B213" s="13"/>
      <c r="C213" s="14"/>
      <c r="D213" s="60"/>
      <c r="E213" s="56"/>
      <c r="F213" s="56"/>
      <c r="G213" s="14"/>
      <c r="H213" s="14"/>
      <c r="I213" s="14"/>
      <c r="J213" s="14"/>
      <c r="K213" s="14"/>
      <c r="L213" s="14"/>
      <c r="M213" s="14"/>
      <c r="N213" s="14"/>
      <c r="O213" s="14"/>
      <c r="P213" s="14"/>
      <c r="Q213" s="14"/>
      <c r="R213" s="14"/>
      <c r="S213" s="14"/>
      <c r="T213" s="14"/>
      <c r="U213" s="14"/>
      <c r="V213" s="14"/>
      <c r="W213" s="14"/>
      <c r="X213" s="14"/>
      <c r="Y213" s="14"/>
      <c r="Z213" s="14"/>
      <c r="AA213" s="15"/>
      <c r="AB213" s="3"/>
      <c r="AC213" s="3"/>
      <c r="AD213" s="3"/>
      <c r="AE213" s="3"/>
      <c r="AF213" s="3"/>
      <c r="AG213" s="3"/>
      <c r="AH213" s="3"/>
      <c r="AI213" s="3"/>
      <c r="AJ213" s="3"/>
      <c r="AK213" s="3"/>
      <c r="AL213" s="3"/>
      <c r="AM213" s="3"/>
      <c r="AN213" s="3"/>
      <c r="AO213" s="3"/>
    </row>
    <row r="214" spans="2:41" x14ac:dyDescent="0.25">
      <c r="B214" s="13"/>
      <c r="C214" s="14"/>
      <c r="D214" s="60"/>
      <c r="E214" s="56"/>
      <c r="F214" s="56"/>
      <c r="G214" s="14"/>
      <c r="H214" s="56"/>
      <c r="I214" s="14"/>
      <c r="J214" s="14"/>
      <c r="K214" s="14"/>
      <c r="L214" s="14"/>
      <c r="M214" s="14"/>
      <c r="N214" s="14"/>
      <c r="O214" s="14"/>
      <c r="P214" s="14"/>
      <c r="Q214" s="14"/>
      <c r="R214" s="14"/>
      <c r="S214" s="14"/>
      <c r="T214" s="14"/>
      <c r="U214" s="14"/>
      <c r="V214" s="14"/>
      <c r="W214" s="14"/>
      <c r="X214" s="14"/>
      <c r="Y214" s="14"/>
      <c r="Z214" s="14"/>
      <c r="AA214" s="15"/>
      <c r="AB214" s="3"/>
      <c r="AC214" s="3"/>
      <c r="AD214" s="3"/>
      <c r="AE214" s="3"/>
      <c r="AF214" s="3"/>
      <c r="AG214" s="3"/>
      <c r="AH214" s="3"/>
      <c r="AI214" s="3"/>
      <c r="AJ214" s="3"/>
      <c r="AK214" s="3"/>
      <c r="AL214" s="3"/>
      <c r="AM214" s="3"/>
      <c r="AN214" s="3"/>
      <c r="AO214" s="3"/>
    </row>
    <row r="215" spans="2:41" x14ac:dyDescent="0.25">
      <c r="B215" s="13"/>
      <c r="C215" s="14"/>
      <c r="D215" s="60"/>
      <c r="E215" s="56"/>
      <c r="F215" s="56"/>
      <c r="G215" s="14"/>
      <c r="H215" s="56"/>
      <c r="I215" s="14"/>
      <c r="J215" s="14"/>
      <c r="K215" s="14"/>
      <c r="L215" s="14"/>
      <c r="M215" s="14"/>
      <c r="N215" s="14"/>
      <c r="O215" s="14"/>
      <c r="P215" s="14"/>
      <c r="Q215" s="14"/>
      <c r="R215" s="14"/>
      <c r="S215" s="14"/>
      <c r="T215" s="14"/>
      <c r="U215" s="14"/>
      <c r="V215" s="14"/>
      <c r="W215" s="14"/>
      <c r="X215" s="14"/>
      <c r="Y215" s="14"/>
      <c r="Z215" s="14"/>
      <c r="AA215" s="15"/>
      <c r="AB215" s="3"/>
      <c r="AC215" s="3"/>
      <c r="AD215" s="3"/>
      <c r="AE215" s="3"/>
      <c r="AF215" s="3"/>
      <c r="AG215" s="3"/>
      <c r="AH215" s="3"/>
      <c r="AI215" s="3"/>
      <c r="AJ215" s="3"/>
      <c r="AK215" s="3"/>
      <c r="AL215" s="3"/>
      <c r="AM215" s="3"/>
      <c r="AN215" s="3"/>
      <c r="AO215" s="3"/>
    </row>
    <row r="216" spans="2:41" x14ac:dyDescent="0.25">
      <c r="B216" s="13"/>
      <c r="C216" s="14"/>
      <c r="D216" s="60"/>
      <c r="E216" s="56"/>
      <c r="F216" s="56"/>
      <c r="G216" s="14"/>
      <c r="H216" s="56"/>
      <c r="I216" s="14"/>
      <c r="J216" s="14"/>
      <c r="K216" s="14"/>
      <c r="L216" s="14"/>
      <c r="M216" s="14"/>
      <c r="N216" s="14"/>
      <c r="O216" s="14"/>
      <c r="P216" s="14"/>
      <c r="Q216" s="14"/>
      <c r="R216" s="14"/>
      <c r="S216" s="14"/>
      <c r="T216" s="14"/>
      <c r="U216" s="14"/>
      <c r="V216" s="14"/>
      <c r="W216" s="14"/>
      <c r="X216" s="14"/>
      <c r="Y216" s="14"/>
      <c r="Z216" s="14"/>
      <c r="AA216" s="15"/>
      <c r="AB216" s="3"/>
      <c r="AC216" s="3"/>
      <c r="AD216" s="3"/>
      <c r="AE216" s="3"/>
      <c r="AF216" s="3"/>
      <c r="AG216" s="3"/>
      <c r="AH216" s="3"/>
      <c r="AI216" s="3"/>
      <c r="AJ216" s="3"/>
      <c r="AK216" s="3"/>
      <c r="AL216" s="3"/>
      <c r="AM216" s="3"/>
      <c r="AN216" s="3"/>
      <c r="AO216" s="3"/>
    </row>
    <row r="217" spans="2:41" x14ac:dyDescent="0.25">
      <c r="B217" s="13"/>
      <c r="C217" s="14"/>
      <c r="D217" s="60"/>
      <c r="E217" s="56"/>
      <c r="F217" s="56"/>
      <c r="G217" s="14"/>
      <c r="H217" s="56"/>
      <c r="I217" s="14"/>
      <c r="J217" s="14"/>
      <c r="K217" s="14"/>
      <c r="L217" s="14"/>
      <c r="M217" s="14"/>
      <c r="N217" s="14"/>
      <c r="O217" s="14"/>
      <c r="P217" s="14"/>
      <c r="Q217" s="14"/>
      <c r="R217" s="14"/>
      <c r="S217" s="14"/>
      <c r="T217" s="14"/>
      <c r="U217" s="14"/>
      <c r="V217" s="14"/>
      <c r="W217" s="14"/>
      <c r="X217" s="14"/>
      <c r="Y217" s="14"/>
      <c r="Z217" s="14"/>
      <c r="AA217" s="15"/>
      <c r="AB217" s="3"/>
      <c r="AC217" s="3"/>
      <c r="AD217" s="3"/>
      <c r="AE217" s="3"/>
      <c r="AF217" s="3"/>
      <c r="AG217" s="3"/>
      <c r="AH217" s="3"/>
      <c r="AI217" s="3"/>
      <c r="AJ217" s="3"/>
      <c r="AK217" s="3"/>
      <c r="AL217" s="3"/>
      <c r="AM217" s="3"/>
      <c r="AN217" s="3"/>
      <c r="AO217" s="3"/>
    </row>
    <row r="218" spans="2:41" x14ac:dyDescent="0.25">
      <c r="B218" s="13"/>
      <c r="C218" s="14"/>
      <c r="D218" s="60"/>
      <c r="E218" s="56"/>
      <c r="F218" s="56"/>
      <c r="G218" s="14"/>
      <c r="H218" s="56"/>
      <c r="I218" s="14"/>
      <c r="J218" s="14"/>
      <c r="K218" s="14"/>
      <c r="L218" s="14"/>
      <c r="M218" s="14"/>
      <c r="N218" s="14"/>
      <c r="O218" s="14"/>
      <c r="P218" s="14"/>
      <c r="Q218" s="14"/>
      <c r="R218" s="14"/>
      <c r="S218" s="14"/>
      <c r="T218" s="14"/>
      <c r="U218" s="14"/>
      <c r="V218" s="14"/>
      <c r="W218" s="14"/>
      <c r="X218" s="14"/>
      <c r="Y218" s="14"/>
      <c r="Z218" s="14"/>
      <c r="AA218" s="15"/>
      <c r="AB218" s="3"/>
      <c r="AC218" s="3"/>
      <c r="AD218" s="3"/>
      <c r="AE218" s="3"/>
      <c r="AF218" s="3"/>
      <c r="AG218" s="3"/>
      <c r="AH218" s="3"/>
      <c r="AI218" s="3"/>
      <c r="AJ218" s="3"/>
      <c r="AK218" s="3"/>
      <c r="AL218" s="3"/>
      <c r="AM218" s="3"/>
      <c r="AN218" s="3"/>
      <c r="AO218" s="3"/>
    </row>
    <row r="219" spans="2:41" x14ac:dyDescent="0.25">
      <c r="B219" s="13"/>
      <c r="C219" s="14"/>
      <c r="D219" s="14"/>
      <c r="E219" s="56"/>
      <c r="F219" s="56"/>
      <c r="G219" s="14"/>
      <c r="H219" s="56"/>
      <c r="I219" s="14"/>
      <c r="J219" s="14"/>
      <c r="K219" s="14"/>
      <c r="L219" s="14"/>
      <c r="M219" s="14"/>
      <c r="N219" s="14"/>
      <c r="O219" s="14"/>
      <c r="P219" s="14"/>
      <c r="Q219" s="14"/>
      <c r="R219" s="14"/>
      <c r="S219" s="14"/>
      <c r="T219" s="14"/>
      <c r="U219" s="14"/>
      <c r="V219" s="14"/>
      <c r="W219" s="14"/>
      <c r="X219" s="14"/>
      <c r="Y219" s="14"/>
      <c r="Z219" s="14"/>
      <c r="AA219" s="15"/>
      <c r="AB219" s="3"/>
      <c r="AC219" s="3"/>
      <c r="AD219" s="3"/>
      <c r="AE219" s="3"/>
      <c r="AF219" s="3"/>
      <c r="AG219" s="3"/>
      <c r="AH219" s="3"/>
      <c r="AI219" s="3"/>
      <c r="AJ219" s="3"/>
      <c r="AK219" s="3"/>
      <c r="AL219" s="3"/>
      <c r="AM219" s="3"/>
      <c r="AN219" s="3"/>
      <c r="AO219" s="3"/>
    </row>
    <row r="220" spans="2:41" x14ac:dyDescent="0.25">
      <c r="B220" s="13"/>
      <c r="C220" s="14"/>
      <c r="D220" s="60"/>
      <c r="E220" s="56"/>
      <c r="F220" s="56"/>
      <c r="G220" s="14"/>
      <c r="H220" s="14"/>
      <c r="I220" s="14"/>
      <c r="J220" s="14"/>
      <c r="K220" s="14"/>
      <c r="L220" s="14"/>
      <c r="M220" s="14"/>
      <c r="N220" s="14"/>
      <c r="O220" s="14"/>
      <c r="P220" s="14"/>
      <c r="Q220" s="14"/>
      <c r="R220" s="14"/>
      <c r="S220" s="14"/>
      <c r="T220" s="14"/>
      <c r="U220" s="14"/>
      <c r="V220" s="14"/>
      <c r="W220" s="14"/>
      <c r="X220" s="14"/>
      <c r="Y220" s="14"/>
      <c r="Z220" s="14"/>
      <c r="AA220" s="15"/>
      <c r="AB220" s="3"/>
      <c r="AC220" s="3"/>
      <c r="AD220" s="3"/>
      <c r="AE220" s="3"/>
      <c r="AF220" s="3"/>
      <c r="AG220" s="3"/>
      <c r="AH220" s="3"/>
      <c r="AI220" s="3"/>
      <c r="AJ220" s="3"/>
      <c r="AK220" s="3"/>
      <c r="AL220" s="3"/>
      <c r="AM220" s="3"/>
      <c r="AN220" s="3"/>
      <c r="AO220" s="3"/>
    </row>
    <row r="221" spans="2:41" x14ac:dyDescent="0.25">
      <c r="B221" s="13"/>
      <c r="C221" s="14"/>
      <c r="D221" s="60"/>
      <c r="E221" s="56"/>
      <c r="F221" s="56"/>
      <c r="G221" s="14"/>
      <c r="H221" s="56"/>
      <c r="I221" s="14"/>
      <c r="J221" s="14"/>
      <c r="K221" s="14"/>
      <c r="L221" s="14"/>
      <c r="M221" s="14"/>
      <c r="N221" s="14"/>
      <c r="O221" s="14"/>
      <c r="P221" s="14"/>
      <c r="Q221" s="14"/>
      <c r="R221" s="14"/>
      <c r="S221" s="14"/>
      <c r="T221" s="14"/>
      <c r="U221" s="14"/>
      <c r="V221" s="14"/>
      <c r="W221" s="14"/>
      <c r="X221" s="14"/>
      <c r="Y221" s="14"/>
      <c r="Z221" s="14"/>
      <c r="AA221" s="15"/>
      <c r="AB221" s="3"/>
      <c r="AC221" s="3"/>
      <c r="AD221" s="3"/>
      <c r="AE221" s="3"/>
      <c r="AF221" s="3"/>
      <c r="AG221" s="3"/>
      <c r="AH221" s="3"/>
      <c r="AI221" s="3"/>
      <c r="AJ221" s="3"/>
      <c r="AK221" s="3"/>
      <c r="AL221" s="3"/>
      <c r="AM221" s="3"/>
      <c r="AN221" s="3"/>
      <c r="AO221" s="3"/>
    </row>
    <row r="222" spans="2:41" x14ac:dyDescent="0.25">
      <c r="B222" s="13"/>
      <c r="C222" s="14"/>
      <c r="D222" s="60"/>
      <c r="E222" s="56"/>
      <c r="F222" s="56"/>
      <c r="G222" s="14"/>
      <c r="H222" s="56"/>
      <c r="I222" s="14"/>
      <c r="J222" s="14"/>
      <c r="K222" s="14"/>
      <c r="L222" s="14"/>
      <c r="M222" s="14"/>
      <c r="N222" s="14"/>
      <c r="O222" s="14"/>
      <c r="P222" s="14"/>
      <c r="Q222" s="14"/>
      <c r="R222" s="14"/>
      <c r="S222" s="14"/>
      <c r="T222" s="14"/>
      <c r="U222" s="14"/>
      <c r="V222" s="14"/>
      <c r="W222" s="14"/>
      <c r="X222" s="14"/>
      <c r="Y222" s="14"/>
      <c r="Z222" s="14"/>
      <c r="AA222" s="15"/>
      <c r="AB222" s="3"/>
      <c r="AC222" s="3"/>
      <c r="AD222" s="3"/>
      <c r="AE222" s="3"/>
      <c r="AF222" s="3"/>
      <c r="AG222" s="3"/>
      <c r="AH222" s="3"/>
      <c r="AI222" s="3"/>
      <c r="AJ222" s="3"/>
      <c r="AK222" s="3"/>
      <c r="AL222" s="3"/>
      <c r="AM222" s="3"/>
      <c r="AN222" s="3"/>
      <c r="AO222" s="3"/>
    </row>
    <row r="223" spans="2:41" x14ac:dyDescent="0.25">
      <c r="B223" s="13"/>
      <c r="C223" s="14"/>
      <c r="D223" s="60"/>
      <c r="E223" s="56"/>
      <c r="F223" s="56"/>
      <c r="G223" s="14"/>
      <c r="H223" s="56"/>
      <c r="I223" s="14"/>
      <c r="J223" s="14"/>
      <c r="K223" s="14"/>
      <c r="L223" s="14"/>
      <c r="M223" s="14"/>
      <c r="N223" s="14"/>
      <c r="O223" s="14"/>
      <c r="P223" s="14"/>
      <c r="Q223" s="14"/>
      <c r="R223" s="14"/>
      <c r="S223" s="14"/>
      <c r="T223" s="14"/>
      <c r="U223" s="14"/>
      <c r="V223" s="14"/>
      <c r="W223" s="14"/>
      <c r="X223" s="14"/>
      <c r="Y223" s="14"/>
      <c r="Z223" s="14"/>
      <c r="AA223" s="15"/>
      <c r="AB223" s="3"/>
      <c r="AC223" s="3"/>
      <c r="AD223" s="3"/>
      <c r="AE223" s="3"/>
      <c r="AF223" s="3"/>
      <c r="AG223" s="3"/>
      <c r="AH223" s="3"/>
      <c r="AI223" s="3"/>
      <c r="AJ223" s="3"/>
      <c r="AK223" s="3"/>
      <c r="AL223" s="3"/>
      <c r="AM223" s="3"/>
      <c r="AN223" s="3"/>
      <c r="AO223" s="3"/>
    </row>
    <row r="224" spans="2:41" x14ac:dyDescent="0.25">
      <c r="B224" s="70"/>
      <c r="C224" s="56"/>
      <c r="D224" s="60"/>
      <c r="E224" s="56"/>
      <c r="F224" s="56"/>
      <c r="G224" s="56"/>
      <c r="H224" s="56"/>
      <c r="I224" s="42"/>
      <c r="J224" s="14"/>
      <c r="K224" s="14"/>
      <c r="L224" s="14"/>
      <c r="M224" s="14"/>
      <c r="N224" s="14"/>
      <c r="O224" s="14"/>
      <c r="P224" s="14"/>
      <c r="Q224" s="14"/>
      <c r="R224" s="14"/>
      <c r="S224" s="14"/>
      <c r="T224" s="14"/>
      <c r="U224" s="14"/>
      <c r="V224" s="14"/>
      <c r="W224" s="14"/>
      <c r="X224" s="14"/>
      <c r="Y224" s="14"/>
      <c r="Z224" s="14"/>
      <c r="AA224" s="15"/>
      <c r="AB224" s="3"/>
      <c r="AC224" s="3"/>
      <c r="AD224" s="3"/>
      <c r="AE224" s="3"/>
      <c r="AF224" s="3"/>
      <c r="AG224" s="3"/>
      <c r="AH224" s="3"/>
      <c r="AI224" s="3"/>
      <c r="AJ224" s="3"/>
      <c r="AK224" s="3"/>
      <c r="AL224" s="3"/>
      <c r="AM224" s="3"/>
      <c r="AN224" s="3"/>
      <c r="AO224" s="3"/>
    </row>
    <row r="225" spans="2:41" ht="18.75" x14ac:dyDescent="0.3">
      <c r="B225" s="67"/>
      <c r="C225" s="14"/>
      <c r="D225" s="60"/>
      <c r="E225" s="56"/>
      <c r="F225" s="56"/>
      <c r="G225" s="14"/>
      <c r="H225" s="56"/>
      <c r="I225" s="74"/>
      <c r="J225" s="14"/>
      <c r="K225" s="14"/>
      <c r="L225" s="14"/>
      <c r="M225" s="14"/>
      <c r="N225" s="14"/>
      <c r="O225" s="14"/>
      <c r="P225" s="14"/>
      <c r="Q225" s="14"/>
      <c r="R225" s="14"/>
      <c r="S225" s="14"/>
      <c r="T225" s="14"/>
      <c r="U225" s="14"/>
      <c r="V225" s="14"/>
      <c r="W225" s="14"/>
      <c r="X225" s="14"/>
      <c r="Y225" s="14"/>
      <c r="Z225" s="14"/>
      <c r="AA225" s="15"/>
      <c r="AB225" s="3"/>
      <c r="AC225" s="3"/>
      <c r="AD225" s="3"/>
      <c r="AE225" s="3"/>
      <c r="AF225" s="3"/>
      <c r="AG225" s="3"/>
      <c r="AH225" s="3"/>
      <c r="AI225" s="3"/>
      <c r="AJ225" s="3"/>
      <c r="AK225" s="3"/>
      <c r="AL225" s="3"/>
      <c r="AM225" s="3"/>
      <c r="AN225" s="3"/>
      <c r="AO225" s="3"/>
    </row>
    <row r="226" spans="2:41" x14ac:dyDescent="0.25">
      <c r="B226" s="13"/>
      <c r="C226" s="14"/>
      <c r="D226" s="14"/>
      <c r="E226" s="56"/>
      <c r="F226" s="56"/>
      <c r="G226" s="14"/>
      <c r="H226" s="56"/>
      <c r="I226" s="14"/>
      <c r="J226" s="14"/>
      <c r="K226" s="14"/>
      <c r="L226" s="14"/>
      <c r="M226" s="14"/>
      <c r="N226" s="14"/>
      <c r="O226" s="14"/>
      <c r="P226" s="14"/>
      <c r="Q226" s="14"/>
      <c r="R226" s="14"/>
      <c r="S226" s="14"/>
      <c r="T226" s="14"/>
      <c r="U226" s="14"/>
      <c r="V226" s="14"/>
      <c r="W226" s="14"/>
      <c r="X226" s="14"/>
      <c r="Y226" s="14"/>
      <c r="Z226" s="14"/>
      <c r="AA226" s="15"/>
      <c r="AB226" s="3"/>
      <c r="AC226" s="3"/>
      <c r="AD226" s="3"/>
      <c r="AE226" s="3"/>
      <c r="AF226" s="3"/>
      <c r="AG226" s="3"/>
      <c r="AH226" s="3"/>
      <c r="AI226" s="3"/>
      <c r="AJ226" s="3"/>
      <c r="AK226" s="3"/>
      <c r="AL226" s="3"/>
      <c r="AM226" s="3"/>
      <c r="AN226" s="3"/>
      <c r="AO226" s="3"/>
    </row>
    <row r="227" spans="2:41" x14ac:dyDescent="0.25">
      <c r="B227" s="13"/>
      <c r="C227" s="14"/>
      <c r="D227" s="60"/>
      <c r="E227" s="56"/>
      <c r="F227" s="56"/>
      <c r="G227" s="14"/>
      <c r="H227" s="14"/>
      <c r="I227" s="14"/>
      <c r="J227" s="14"/>
      <c r="K227" s="14"/>
      <c r="L227" s="14"/>
      <c r="M227" s="14"/>
      <c r="N227" s="14"/>
      <c r="O227" s="14"/>
      <c r="P227" s="14"/>
      <c r="Q227" s="14"/>
      <c r="R227" s="14"/>
      <c r="S227" s="14"/>
      <c r="T227" s="14"/>
      <c r="U227" s="14"/>
      <c r="V227" s="14"/>
      <c r="W227" s="14"/>
      <c r="X227" s="14"/>
      <c r="Y227" s="14"/>
      <c r="Z227" s="14"/>
      <c r="AA227" s="15"/>
      <c r="AB227" s="3"/>
      <c r="AC227" s="3"/>
      <c r="AD227" s="3"/>
      <c r="AE227" s="3"/>
      <c r="AF227" s="3"/>
      <c r="AG227" s="3"/>
      <c r="AH227" s="3"/>
      <c r="AI227" s="3"/>
      <c r="AJ227" s="3"/>
      <c r="AK227" s="3"/>
      <c r="AL227" s="3"/>
      <c r="AM227" s="3"/>
      <c r="AN227" s="3"/>
      <c r="AO227" s="3"/>
    </row>
    <row r="228" spans="2:41" x14ac:dyDescent="0.25">
      <c r="B228" s="13"/>
      <c r="C228" s="14"/>
      <c r="D228" s="60"/>
      <c r="E228" s="56"/>
      <c r="F228" s="56"/>
      <c r="G228" s="14"/>
      <c r="H228" s="56"/>
      <c r="I228" s="14"/>
      <c r="J228" s="14"/>
      <c r="K228" s="14"/>
      <c r="L228" s="14"/>
      <c r="M228" s="14"/>
      <c r="N228" s="14"/>
      <c r="O228" s="14"/>
      <c r="P228" s="14"/>
      <c r="Q228" s="14"/>
      <c r="R228" s="14"/>
      <c r="S228" s="14"/>
      <c r="T228" s="14"/>
      <c r="U228" s="14"/>
      <c r="V228" s="14"/>
      <c r="W228" s="14"/>
      <c r="X228" s="14"/>
      <c r="Y228" s="14"/>
      <c r="Z228" s="14"/>
      <c r="AA228" s="15"/>
      <c r="AB228" s="3"/>
      <c r="AC228" s="3"/>
      <c r="AD228" s="3"/>
      <c r="AE228" s="3"/>
      <c r="AF228" s="3"/>
      <c r="AG228" s="3"/>
      <c r="AH228" s="3"/>
      <c r="AI228" s="3"/>
      <c r="AJ228" s="3"/>
      <c r="AK228" s="3"/>
      <c r="AL228" s="3"/>
      <c r="AM228" s="3"/>
      <c r="AN228" s="3"/>
      <c r="AO228" s="3"/>
    </row>
    <row r="229" spans="2:41" x14ac:dyDescent="0.25">
      <c r="B229" s="13"/>
      <c r="C229" s="14"/>
      <c r="D229" s="60"/>
      <c r="E229" s="56"/>
      <c r="F229" s="56"/>
      <c r="G229" s="14"/>
      <c r="H229" s="56"/>
      <c r="I229" s="14"/>
      <c r="J229" s="14"/>
      <c r="K229" s="14"/>
      <c r="L229" s="14"/>
      <c r="M229" s="14"/>
      <c r="N229" s="14"/>
      <c r="O229" s="14"/>
      <c r="P229" s="14"/>
      <c r="Q229" s="14"/>
      <c r="R229" s="14"/>
      <c r="S229" s="14"/>
      <c r="T229" s="14"/>
      <c r="U229" s="14"/>
      <c r="V229" s="14"/>
      <c r="W229" s="14"/>
      <c r="X229" s="14"/>
      <c r="Y229" s="14"/>
      <c r="Z229" s="14"/>
      <c r="AA229" s="15"/>
      <c r="AB229" s="3"/>
      <c r="AC229" s="3"/>
      <c r="AD229" s="3"/>
      <c r="AE229" s="3"/>
      <c r="AF229" s="3"/>
      <c r="AG229" s="3"/>
      <c r="AH229" s="3"/>
      <c r="AI229" s="3"/>
      <c r="AJ229" s="3"/>
      <c r="AK229" s="3"/>
      <c r="AL229" s="3"/>
      <c r="AM229" s="3"/>
      <c r="AN229" s="3"/>
      <c r="AO229" s="3"/>
    </row>
    <row r="230" spans="2:41" x14ac:dyDescent="0.25">
      <c r="B230" s="13"/>
      <c r="C230" s="14"/>
      <c r="D230" s="60"/>
      <c r="E230" s="56"/>
      <c r="F230" s="56"/>
      <c r="G230" s="14"/>
      <c r="H230" s="56"/>
      <c r="I230" s="14"/>
      <c r="J230" s="14"/>
      <c r="K230" s="14"/>
      <c r="L230" s="14"/>
      <c r="M230" s="14"/>
      <c r="N230" s="14"/>
      <c r="O230" s="14"/>
      <c r="P230" s="14"/>
      <c r="Q230" s="14"/>
      <c r="R230" s="14"/>
      <c r="S230" s="14"/>
      <c r="T230" s="14"/>
      <c r="U230" s="14"/>
      <c r="V230" s="14"/>
      <c r="W230" s="14"/>
      <c r="X230" s="14"/>
      <c r="Y230" s="14"/>
      <c r="Z230" s="14"/>
      <c r="AA230" s="15"/>
      <c r="AB230" s="3"/>
      <c r="AC230" s="3"/>
      <c r="AD230" s="3"/>
      <c r="AE230" s="3"/>
      <c r="AF230" s="3"/>
      <c r="AG230" s="3"/>
      <c r="AH230" s="3"/>
      <c r="AI230" s="3"/>
      <c r="AJ230" s="3"/>
      <c r="AK230" s="3"/>
      <c r="AL230" s="3"/>
      <c r="AM230" s="3"/>
      <c r="AN230" s="3"/>
      <c r="AO230" s="3"/>
    </row>
    <row r="231" spans="2:41" x14ac:dyDescent="0.25">
      <c r="B231" s="13"/>
      <c r="C231" s="14"/>
      <c r="D231" s="60"/>
      <c r="E231" s="56"/>
      <c r="F231" s="56"/>
      <c r="G231" s="14"/>
      <c r="H231" s="56"/>
      <c r="I231" s="14"/>
      <c r="J231" s="14"/>
      <c r="K231" s="14"/>
      <c r="L231" s="14"/>
      <c r="M231" s="14"/>
      <c r="N231" s="14"/>
      <c r="O231" s="14"/>
      <c r="P231" s="14"/>
      <c r="Q231" s="14"/>
      <c r="R231" s="14"/>
      <c r="S231" s="14"/>
      <c r="T231" s="14"/>
      <c r="U231" s="14"/>
      <c r="V231" s="14"/>
      <c r="W231" s="14"/>
      <c r="X231" s="14"/>
      <c r="Y231" s="14"/>
      <c r="Z231" s="14"/>
      <c r="AA231" s="15"/>
      <c r="AB231" s="3"/>
      <c r="AC231" s="3"/>
      <c r="AD231" s="3"/>
      <c r="AE231" s="3"/>
      <c r="AF231" s="3"/>
      <c r="AG231" s="3"/>
      <c r="AH231" s="3"/>
      <c r="AI231" s="3"/>
      <c r="AJ231" s="3"/>
      <c r="AK231" s="3"/>
      <c r="AL231" s="3"/>
      <c r="AM231" s="3"/>
      <c r="AN231" s="3"/>
      <c r="AO231" s="3"/>
    </row>
    <row r="232" spans="2:41" x14ac:dyDescent="0.25">
      <c r="B232" s="13"/>
      <c r="C232" s="14"/>
      <c r="D232" s="60"/>
      <c r="E232" s="56"/>
      <c r="F232" s="56"/>
      <c r="G232" s="14"/>
      <c r="H232" s="56"/>
      <c r="I232" s="14"/>
      <c r="J232" s="14"/>
      <c r="K232" s="14"/>
      <c r="L232" s="14"/>
      <c r="M232" s="14"/>
      <c r="N232" s="14"/>
      <c r="O232" s="14"/>
      <c r="P232" s="14"/>
      <c r="Q232" s="14"/>
      <c r="R232" s="14"/>
      <c r="S232" s="14"/>
      <c r="T232" s="14"/>
      <c r="U232" s="14"/>
      <c r="V232" s="14"/>
      <c r="W232" s="14"/>
      <c r="X232" s="14"/>
      <c r="Y232" s="14"/>
      <c r="Z232" s="14"/>
      <c r="AA232" s="15"/>
      <c r="AB232" s="3"/>
      <c r="AC232" s="3"/>
      <c r="AD232" s="3"/>
      <c r="AE232" s="3"/>
      <c r="AF232" s="3"/>
      <c r="AG232" s="3"/>
      <c r="AH232" s="3"/>
      <c r="AI232" s="3"/>
      <c r="AJ232" s="3"/>
      <c r="AK232" s="3"/>
      <c r="AL232" s="3"/>
      <c r="AM232" s="3"/>
      <c r="AN232" s="3"/>
      <c r="AO232" s="3"/>
    </row>
    <row r="233" spans="2:41" x14ac:dyDescent="0.25">
      <c r="B233" s="13"/>
      <c r="C233" s="14"/>
      <c r="D233" s="14"/>
      <c r="E233" s="56"/>
      <c r="F233" s="56"/>
      <c r="G233" s="14"/>
      <c r="H233" s="56"/>
      <c r="I233" s="14"/>
      <c r="J233" s="14"/>
      <c r="K233" s="14"/>
      <c r="L233" s="14"/>
      <c r="M233" s="14"/>
      <c r="N233" s="14"/>
      <c r="O233" s="14"/>
      <c r="P233" s="14"/>
      <c r="Q233" s="14"/>
      <c r="R233" s="14"/>
      <c r="S233" s="14"/>
      <c r="T233" s="14"/>
      <c r="U233" s="14"/>
      <c r="V233" s="14"/>
      <c r="W233" s="14"/>
      <c r="X233" s="14"/>
      <c r="Y233" s="14"/>
      <c r="Z233" s="14"/>
      <c r="AA233" s="15"/>
      <c r="AB233" s="3"/>
      <c r="AC233" s="3"/>
      <c r="AD233" s="3"/>
      <c r="AE233" s="3"/>
      <c r="AF233" s="3"/>
      <c r="AG233" s="3"/>
      <c r="AH233" s="3"/>
      <c r="AI233" s="3"/>
      <c r="AJ233" s="3"/>
      <c r="AK233" s="3"/>
      <c r="AL233" s="3"/>
      <c r="AM233" s="3"/>
      <c r="AN233" s="3"/>
      <c r="AO233" s="3"/>
    </row>
    <row r="234" spans="2:41" x14ac:dyDescent="0.25">
      <c r="B234" s="13"/>
      <c r="C234" s="14"/>
      <c r="D234" s="60"/>
      <c r="E234" s="56"/>
      <c r="F234" s="56"/>
      <c r="G234" s="14"/>
      <c r="H234" s="14"/>
      <c r="I234" s="14"/>
      <c r="J234" s="14"/>
      <c r="K234" s="14"/>
      <c r="L234" s="14"/>
      <c r="M234" s="14"/>
      <c r="N234" s="14"/>
      <c r="O234" s="14"/>
      <c r="P234" s="14"/>
      <c r="Q234" s="14"/>
      <c r="R234" s="14"/>
      <c r="S234" s="14"/>
      <c r="T234" s="14"/>
      <c r="U234" s="14"/>
      <c r="V234" s="14"/>
      <c r="W234" s="14"/>
      <c r="X234" s="14"/>
      <c r="Y234" s="14"/>
      <c r="Z234" s="14"/>
      <c r="AA234" s="15"/>
      <c r="AB234" s="3"/>
      <c r="AC234" s="3"/>
      <c r="AD234" s="3"/>
      <c r="AE234" s="3"/>
      <c r="AF234" s="3"/>
      <c r="AG234" s="3"/>
      <c r="AH234" s="3"/>
      <c r="AI234" s="3"/>
      <c r="AJ234" s="3"/>
      <c r="AK234" s="3"/>
      <c r="AL234" s="3"/>
      <c r="AM234" s="3"/>
      <c r="AN234" s="3"/>
      <c r="AO234" s="3"/>
    </row>
    <row r="235" spans="2:41" x14ac:dyDescent="0.25">
      <c r="B235" s="13"/>
      <c r="C235" s="14"/>
      <c r="D235" s="60"/>
      <c r="E235" s="56"/>
      <c r="F235" s="56"/>
      <c r="G235" s="14"/>
      <c r="H235" s="56"/>
      <c r="I235" s="14"/>
      <c r="J235" s="14"/>
      <c r="K235" s="14"/>
      <c r="L235" s="14"/>
      <c r="M235" s="14"/>
      <c r="N235" s="14"/>
      <c r="O235" s="14"/>
      <c r="P235" s="14"/>
      <c r="Q235" s="14"/>
      <c r="R235" s="14"/>
      <c r="S235" s="14"/>
      <c r="T235" s="14"/>
      <c r="U235" s="14"/>
      <c r="V235" s="14"/>
      <c r="W235" s="14"/>
      <c r="X235" s="14"/>
      <c r="Y235" s="14"/>
      <c r="Z235" s="14"/>
      <c r="AA235" s="15"/>
      <c r="AB235" s="3"/>
      <c r="AC235" s="3"/>
      <c r="AD235" s="3"/>
      <c r="AE235" s="3"/>
      <c r="AF235" s="3"/>
      <c r="AG235" s="3"/>
      <c r="AH235" s="3"/>
      <c r="AI235" s="3"/>
      <c r="AJ235" s="3"/>
      <c r="AK235" s="3"/>
      <c r="AL235" s="3"/>
      <c r="AM235" s="3"/>
      <c r="AN235" s="3"/>
      <c r="AO235" s="3"/>
    </row>
    <row r="236" spans="2:41" x14ac:dyDescent="0.25">
      <c r="B236" s="13"/>
      <c r="C236" s="14"/>
      <c r="D236" s="60"/>
      <c r="E236" s="56"/>
      <c r="F236" s="56"/>
      <c r="G236" s="14"/>
      <c r="H236" s="56"/>
      <c r="I236" s="14"/>
      <c r="J236" s="14"/>
      <c r="K236" s="14"/>
      <c r="L236" s="14"/>
      <c r="M236" s="14"/>
      <c r="N236" s="14"/>
      <c r="O236" s="14"/>
      <c r="P236" s="14"/>
      <c r="Q236" s="14"/>
      <c r="R236" s="14"/>
      <c r="S236" s="14"/>
      <c r="T236" s="14"/>
      <c r="U236" s="14"/>
      <c r="V236" s="14"/>
      <c r="W236" s="14"/>
      <c r="X236" s="14"/>
      <c r="Y236" s="14"/>
      <c r="Z236" s="14"/>
      <c r="AA236" s="15"/>
      <c r="AB236" s="3"/>
      <c r="AC236" s="3"/>
      <c r="AD236" s="3"/>
      <c r="AE236" s="3"/>
      <c r="AF236" s="3"/>
      <c r="AG236" s="3"/>
      <c r="AH236" s="3"/>
      <c r="AI236" s="3"/>
      <c r="AJ236" s="3"/>
      <c r="AK236" s="3"/>
      <c r="AL236" s="3"/>
      <c r="AM236" s="3"/>
      <c r="AN236" s="3"/>
      <c r="AO236" s="3"/>
    </row>
    <row r="237" spans="2:41" x14ac:dyDescent="0.25">
      <c r="B237" s="13"/>
      <c r="C237" s="14"/>
      <c r="D237" s="60"/>
      <c r="E237" s="56"/>
      <c r="F237" s="56"/>
      <c r="G237" s="14"/>
      <c r="H237" s="56"/>
      <c r="I237" s="14"/>
      <c r="J237" s="14"/>
      <c r="K237" s="14"/>
      <c r="L237" s="14"/>
      <c r="M237" s="14"/>
      <c r="N237" s="14"/>
      <c r="O237" s="14"/>
      <c r="P237" s="14"/>
      <c r="Q237" s="14"/>
      <c r="R237" s="14"/>
      <c r="S237" s="14"/>
      <c r="T237" s="14"/>
      <c r="U237" s="14"/>
      <c r="V237" s="14"/>
      <c r="W237" s="14"/>
      <c r="X237" s="14"/>
      <c r="Y237" s="14"/>
      <c r="Z237" s="14"/>
      <c r="AA237" s="15"/>
      <c r="AB237" s="3"/>
      <c r="AC237" s="3"/>
      <c r="AD237" s="3"/>
      <c r="AE237" s="3"/>
      <c r="AF237" s="3"/>
      <c r="AG237" s="3"/>
      <c r="AH237" s="3"/>
      <c r="AI237" s="3"/>
      <c r="AJ237" s="3"/>
      <c r="AK237" s="3"/>
      <c r="AL237" s="3"/>
      <c r="AM237" s="3"/>
      <c r="AN237" s="3"/>
      <c r="AO237" s="3"/>
    </row>
    <row r="238" spans="2:41" x14ac:dyDescent="0.25">
      <c r="B238" s="70"/>
      <c r="C238" s="56"/>
      <c r="D238" s="60"/>
      <c r="E238" s="56"/>
      <c r="F238" s="56"/>
      <c r="G238" s="56"/>
      <c r="H238" s="56"/>
      <c r="I238" s="42"/>
      <c r="J238" s="14"/>
      <c r="K238" s="14"/>
      <c r="L238" s="14"/>
      <c r="M238" s="14"/>
      <c r="N238" s="14"/>
      <c r="O238" s="14"/>
      <c r="P238" s="14"/>
      <c r="Q238" s="14"/>
      <c r="R238" s="14"/>
      <c r="S238" s="14"/>
      <c r="T238" s="14"/>
      <c r="U238" s="14"/>
      <c r="V238" s="14"/>
      <c r="W238" s="14"/>
      <c r="X238" s="14"/>
      <c r="Y238" s="14"/>
      <c r="Z238" s="14"/>
      <c r="AA238" s="15"/>
      <c r="AB238" s="3"/>
      <c r="AC238" s="3"/>
      <c r="AD238" s="3"/>
      <c r="AE238" s="3"/>
      <c r="AF238" s="3"/>
      <c r="AG238" s="3"/>
      <c r="AH238" s="3"/>
      <c r="AI238" s="3"/>
      <c r="AJ238" s="3"/>
      <c r="AK238" s="3"/>
      <c r="AL238" s="3"/>
      <c r="AM238" s="3"/>
      <c r="AN238" s="3"/>
      <c r="AO238" s="3"/>
    </row>
    <row r="239" spans="2:41" x14ac:dyDescent="0.25">
      <c r="B239" s="13"/>
      <c r="C239" s="14"/>
      <c r="D239" s="60"/>
      <c r="E239" s="56"/>
      <c r="F239" s="56"/>
      <c r="G239" s="14"/>
      <c r="H239" s="56"/>
      <c r="I239" s="14"/>
      <c r="J239" s="14"/>
      <c r="K239" s="14"/>
      <c r="L239" s="14"/>
      <c r="M239" s="14"/>
      <c r="N239" s="14"/>
      <c r="O239" s="14"/>
      <c r="P239" s="14"/>
      <c r="Q239" s="14"/>
      <c r="R239" s="14"/>
      <c r="S239" s="14"/>
      <c r="T239" s="14"/>
      <c r="U239" s="14"/>
      <c r="V239" s="14"/>
      <c r="W239" s="14"/>
      <c r="X239" s="14"/>
      <c r="Y239" s="14"/>
      <c r="Z239" s="14"/>
      <c r="AA239" s="15"/>
      <c r="AB239" s="3"/>
      <c r="AC239" s="3"/>
      <c r="AD239" s="3"/>
      <c r="AE239" s="3"/>
      <c r="AF239" s="3"/>
      <c r="AG239" s="3"/>
      <c r="AH239" s="3"/>
      <c r="AI239" s="3"/>
      <c r="AJ239" s="3"/>
      <c r="AK239" s="3"/>
      <c r="AL239" s="3"/>
      <c r="AM239" s="3"/>
      <c r="AN239" s="3"/>
      <c r="AO239" s="3"/>
    </row>
    <row r="240" spans="2:41" x14ac:dyDescent="0.25">
      <c r="B240" s="13"/>
      <c r="C240" s="14"/>
      <c r="D240" s="14"/>
      <c r="E240" s="56"/>
      <c r="F240" s="56"/>
      <c r="G240" s="14"/>
      <c r="H240" s="56"/>
      <c r="I240" s="14"/>
      <c r="J240" s="14"/>
      <c r="K240" s="14"/>
      <c r="L240" s="14"/>
      <c r="M240" s="14"/>
      <c r="N240" s="14"/>
      <c r="O240" s="14"/>
      <c r="P240" s="14"/>
      <c r="Q240" s="14"/>
      <c r="R240" s="14"/>
      <c r="S240" s="14"/>
      <c r="T240" s="14"/>
      <c r="U240" s="14"/>
      <c r="V240" s="14"/>
      <c r="W240" s="14"/>
      <c r="X240" s="14"/>
      <c r="Y240" s="14"/>
      <c r="Z240" s="14"/>
      <c r="AA240" s="15"/>
      <c r="AB240" s="3"/>
      <c r="AC240" s="3"/>
      <c r="AD240" s="3"/>
      <c r="AE240" s="3"/>
      <c r="AF240" s="3"/>
      <c r="AG240" s="3"/>
      <c r="AH240" s="3"/>
      <c r="AI240" s="3"/>
      <c r="AJ240" s="3"/>
      <c r="AK240" s="3"/>
      <c r="AL240" s="3"/>
      <c r="AM240" s="3"/>
      <c r="AN240" s="3"/>
      <c r="AO240" s="3"/>
    </row>
    <row r="241" spans="2:41" x14ac:dyDescent="0.25">
      <c r="B241" s="13"/>
      <c r="C241" s="14"/>
      <c r="D241" s="60"/>
      <c r="E241" s="56"/>
      <c r="F241" s="56"/>
      <c r="G241" s="14"/>
      <c r="H241" s="14"/>
      <c r="I241" s="14"/>
      <c r="J241" s="14"/>
      <c r="K241" s="14"/>
      <c r="L241" s="14"/>
      <c r="M241" s="14"/>
      <c r="N241" s="14"/>
      <c r="O241" s="14"/>
      <c r="P241" s="14"/>
      <c r="Q241" s="14"/>
      <c r="R241" s="14"/>
      <c r="S241" s="14"/>
      <c r="T241" s="14"/>
      <c r="U241" s="14"/>
      <c r="V241" s="14"/>
      <c r="W241" s="14"/>
      <c r="X241" s="14"/>
      <c r="Y241" s="14"/>
      <c r="Z241" s="14"/>
      <c r="AA241" s="15"/>
      <c r="AB241" s="3"/>
      <c r="AC241" s="3"/>
      <c r="AD241" s="3"/>
      <c r="AE241" s="3"/>
      <c r="AF241" s="3"/>
      <c r="AG241" s="3"/>
      <c r="AH241" s="3"/>
      <c r="AI241" s="3"/>
      <c r="AJ241" s="3"/>
      <c r="AK241" s="3"/>
      <c r="AL241" s="3"/>
      <c r="AM241" s="3"/>
      <c r="AN241" s="3"/>
      <c r="AO241" s="3"/>
    </row>
    <row r="242" spans="2:41" x14ac:dyDescent="0.25">
      <c r="B242" s="13"/>
      <c r="C242" s="14"/>
      <c r="D242" s="60"/>
      <c r="E242" s="56"/>
      <c r="F242" s="56"/>
      <c r="G242" s="14"/>
      <c r="H242" s="56"/>
      <c r="I242" s="14"/>
      <c r="J242" s="14"/>
      <c r="K242" s="14"/>
      <c r="L242" s="14"/>
      <c r="M242" s="14"/>
      <c r="N242" s="14"/>
      <c r="O242" s="14"/>
      <c r="P242" s="14"/>
      <c r="Q242" s="14"/>
      <c r="R242" s="14"/>
      <c r="S242" s="14"/>
      <c r="T242" s="14"/>
      <c r="U242" s="14"/>
      <c r="V242" s="14"/>
      <c r="W242" s="14"/>
      <c r="X242" s="14"/>
      <c r="Y242" s="14"/>
      <c r="Z242" s="14"/>
      <c r="AA242" s="15"/>
      <c r="AB242" s="3"/>
      <c r="AC242" s="3"/>
      <c r="AD242" s="3"/>
      <c r="AE242" s="3"/>
      <c r="AF242" s="3"/>
      <c r="AG242" s="3"/>
      <c r="AH242" s="3"/>
      <c r="AI242" s="3"/>
      <c r="AJ242" s="3"/>
      <c r="AK242" s="3"/>
      <c r="AL242" s="3"/>
      <c r="AM242" s="3"/>
      <c r="AN242" s="3"/>
      <c r="AO242" s="3"/>
    </row>
    <row r="243" spans="2:41" x14ac:dyDescent="0.25">
      <c r="B243" s="13"/>
      <c r="C243" s="14"/>
      <c r="D243" s="60"/>
      <c r="E243" s="56"/>
      <c r="F243" s="56"/>
      <c r="G243" s="14"/>
      <c r="H243" s="56"/>
      <c r="I243" s="14"/>
      <c r="J243" s="14"/>
      <c r="K243" s="14"/>
      <c r="L243" s="14"/>
      <c r="M243" s="14"/>
      <c r="N243" s="14"/>
      <c r="O243" s="14"/>
      <c r="P243" s="14"/>
      <c r="Q243" s="14"/>
      <c r="R243" s="14"/>
      <c r="S243" s="14"/>
      <c r="T243" s="14"/>
      <c r="U243" s="14"/>
      <c r="V243" s="14"/>
      <c r="W243" s="14"/>
      <c r="X243" s="14"/>
      <c r="Y243" s="14"/>
      <c r="Z243" s="14"/>
      <c r="AA243" s="15"/>
      <c r="AB243" s="3"/>
      <c r="AC243" s="3"/>
      <c r="AD243" s="3"/>
      <c r="AE243" s="3"/>
      <c r="AF243" s="3"/>
      <c r="AG243" s="3"/>
      <c r="AH243" s="3"/>
      <c r="AI243" s="3"/>
      <c r="AJ243" s="3"/>
      <c r="AK243" s="3"/>
      <c r="AL243" s="3"/>
      <c r="AM243" s="3"/>
      <c r="AN243" s="3"/>
      <c r="AO243" s="3"/>
    </row>
    <row r="244" spans="2:41" x14ac:dyDescent="0.25">
      <c r="B244" s="13"/>
      <c r="C244" s="14"/>
      <c r="D244" s="60"/>
      <c r="E244" s="56"/>
      <c r="F244" s="56"/>
      <c r="G244" s="14"/>
      <c r="H244" s="56"/>
      <c r="I244" s="14"/>
      <c r="J244" s="14"/>
      <c r="K244" s="14"/>
      <c r="L244" s="14"/>
      <c r="M244" s="14"/>
      <c r="N244" s="14"/>
      <c r="O244" s="14"/>
      <c r="P244" s="14"/>
      <c r="Q244" s="14"/>
      <c r="R244" s="14"/>
      <c r="S244" s="14"/>
      <c r="T244" s="14"/>
      <c r="U244" s="14"/>
      <c r="V244" s="14"/>
      <c r="W244" s="14"/>
      <c r="X244" s="14"/>
      <c r="Y244" s="14"/>
      <c r="Z244" s="14"/>
      <c r="AA244" s="15"/>
      <c r="AB244" s="3"/>
      <c r="AC244" s="3"/>
      <c r="AD244" s="3"/>
      <c r="AE244" s="3"/>
      <c r="AF244" s="3"/>
      <c r="AG244" s="3"/>
      <c r="AH244" s="3"/>
      <c r="AI244" s="3"/>
      <c r="AJ244" s="3"/>
      <c r="AK244" s="3"/>
      <c r="AL244" s="3"/>
      <c r="AM244" s="3"/>
      <c r="AN244" s="3"/>
      <c r="AO244" s="3"/>
    </row>
    <row r="245" spans="2:41" x14ac:dyDescent="0.25">
      <c r="B245" s="70"/>
      <c r="C245" s="56"/>
      <c r="D245" s="60"/>
      <c r="E245" s="56"/>
      <c r="F245" s="56"/>
      <c r="G245" s="56"/>
      <c r="H245" s="56"/>
      <c r="I245" s="42"/>
      <c r="J245" s="14"/>
      <c r="K245" s="14"/>
      <c r="L245" s="14"/>
      <c r="M245" s="14"/>
      <c r="N245" s="14"/>
      <c r="O245" s="14"/>
      <c r="P245" s="14"/>
      <c r="Q245" s="14"/>
      <c r="R245" s="14"/>
      <c r="S245" s="14"/>
      <c r="T245" s="14"/>
      <c r="U245" s="14"/>
      <c r="V245" s="14"/>
      <c r="W245" s="14"/>
      <c r="X245" s="14"/>
      <c r="Y245" s="14"/>
      <c r="Z245" s="14"/>
      <c r="AA245" s="15"/>
      <c r="AB245" s="3"/>
      <c r="AC245" s="3"/>
      <c r="AD245" s="3"/>
      <c r="AE245" s="3"/>
      <c r="AF245" s="3"/>
      <c r="AG245" s="3"/>
      <c r="AH245" s="3"/>
      <c r="AI245" s="3"/>
      <c r="AJ245" s="3"/>
      <c r="AK245" s="3"/>
      <c r="AL245" s="3"/>
      <c r="AM245" s="3"/>
      <c r="AN245" s="3"/>
      <c r="AO245" s="3"/>
    </row>
    <row r="246" spans="2:41" x14ac:dyDescent="0.25">
      <c r="B246" s="70"/>
      <c r="C246" s="56"/>
      <c r="D246" s="60"/>
      <c r="E246" s="56"/>
      <c r="F246" s="56"/>
      <c r="G246" s="56"/>
      <c r="H246" s="56"/>
      <c r="I246" s="42"/>
      <c r="J246" s="14"/>
      <c r="K246" s="14"/>
      <c r="L246" s="14"/>
      <c r="M246" s="14"/>
      <c r="N246" s="14"/>
      <c r="O246" s="14"/>
      <c r="P246" s="14"/>
      <c r="Q246" s="14"/>
      <c r="R246" s="14"/>
      <c r="S246" s="14"/>
      <c r="T246" s="14"/>
      <c r="U246" s="14"/>
      <c r="V246" s="14"/>
      <c r="W246" s="14"/>
      <c r="X246" s="14"/>
      <c r="Y246" s="14"/>
      <c r="Z246" s="14"/>
      <c r="AA246" s="15"/>
      <c r="AB246" s="3"/>
      <c r="AC246" s="3"/>
      <c r="AD246" s="3"/>
      <c r="AE246" s="3"/>
      <c r="AF246" s="3"/>
      <c r="AG246" s="3"/>
      <c r="AH246" s="3"/>
      <c r="AI246" s="3"/>
      <c r="AJ246" s="3"/>
      <c r="AK246" s="3"/>
      <c r="AL246" s="3"/>
      <c r="AM246" s="3"/>
      <c r="AN246" s="3"/>
      <c r="AO246" s="3"/>
    </row>
    <row r="247" spans="2:41" x14ac:dyDescent="0.25">
      <c r="B247" s="13"/>
      <c r="C247" s="14"/>
      <c r="D247" s="14"/>
      <c r="E247" s="56"/>
      <c r="F247" s="56"/>
      <c r="G247" s="14"/>
      <c r="H247" s="56"/>
      <c r="I247" s="14"/>
      <c r="J247" s="14"/>
      <c r="K247" s="14"/>
      <c r="L247" s="14"/>
      <c r="M247" s="14"/>
      <c r="N247" s="14"/>
      <c r="O247" s="14"/>
      <c r="P247" s="14"/>
      <c r="Q247" s="14"/>
      <c r="R247" s="14"/>
      <c r="S247" s="14"/>
      <c r="T247" s="14"/>
      <c r="U247" s="14"/>
      <c r="V247" s="14"/>
      <c r="W247" s="14"/>
      <c r="X247" s="14"/>
      <c r="Y247" s="14"/>
      <c r="Z247" s="14"/>
      <c r="AA247" s="15"/>
      <c r="AB247" s="3"/>
      <c r="AC247" s="3"/>
      <c r="AD247" s="3"/>
      <c r="AE247" s="3"/>
      <c r="AF247" s="3"/>
      <c r="AG247" s="3"/>
      <c r="AH247" s="3"/>
      <c r="AI247" s="3"/>
      <c r="AJ247" s="3"/>
      <c r="AK247" s="3"/>
      <c r="AL247" s="3"/>
      <c r="AM247" s="3"/>
      <c r="AN247" s="3"/>
      <c r="AO247" s="3"/>
    </row>
    <row r="248" spans="2:41" x14ac:dyDescent="0.25">
      <c r="B248" s="13"/>
      <c r="C248" s="14"/>
      <c r="D248" s="60"/>
      <c r="E248" s="56"/>
      <c r="F248" s="56"/>
      <c r="G248" s="14"/>
      <c r="H248" s="56"/>
      <c r="I248" s="14"/>
      <c r="J248" s="14"/>
      <c r="K248" s="14"/>
      <c r="L248" s="14"/>
      <c r="M248" s="14"/>
      <c r="N248" s="14"/>
      <c r="O248" s="14"/>
      <c r="P248" s="14"/>
      <c r="Q248" s="14"/>
      <c r="R248" s="14"/>
      <c r="S248" s="14"/>
      <c r="T248" s="14"/>
      <c r="U248" s="14"/>
      <c r="V248" s="14"/>
      <c r="W248" s="14"/>
      <c r="X248" s="14"/>
      <c r="Y248" s="14"/>
      <c r="Z248" s="14"/>
      <c r="AA248" s="15"/>
      <c r="AB248" s="3"/>
      <c r="AC248" s="3"/>
      <c r="AD248" s="3"/>
      <c r="AE248" s="3"/>
      <c r="AF248" s="3"/>
      <c r="AG248" s="3"/>
      <c r="AH248" s="3"/>
      <c r="AI248" s="3"/>
      <c r="AJ248" s="3"/>
      <c r="AK248" s="3"/>
      <c r="AL248" s="3"/>
      <c r="AM248" s="3"/>
      <c r="AN248" s="3"/>
      <c r="AO248" s="3"/>
    </row>
    <row r="249" spans="2:41" x14ac:dyDescent="0.25">
      <c r="B249" s="13"/>
      <c r="C249" s="14"/>
      <c r="D249" s="60"/>
      <c r="E249" s="56"/>
      <c r="F249" s="56"/>
      <c r="G249" s="14"/>
      <c r="H249" s="56"/>
      <c r="I249" s="14"/>
      <c r="J249" s="14"/>
      <c r="K249" s="14"/>
      <c r="L249" s="14"/>
      <c r="M249" s="14"/>
      <c r="N249" s="14"/>
      <c r="O249" s="14"/>
      <c r="P249" s="14"/>
      <c r="Q249" s="14"/>
      <c r="R249" s="14"/>
      <c r="S249" s="14"/>
      <c r="T249" s="14"/>
      <c r="U249" s="14"/>
      <c r="V249" s="14"/>
      <c r="W249" s="14"/>
      <c r="X249" s="14"/>
      <c r="Y249" s="14"/>
      <c r="Z249" s="14"/>
      <c r="AA249" s="15"/>
      <c r="AB249" s="3"/>
      <c r="AC249" s="3"/>
      <c r="AD249" s="3"/>
      <c r="AE249" s="3"/>
      <c r="AF249" s="3"/>
      <c r="AG249" s="3"/>
      <c r="AH249" s="3"/>
      <c r="AI249" s="3"/>
      <c r="AJ249" s="3"/>
      <c r="AK249" s="3"/>
      <c r="AL249" s="3"/>
      <c r="AM249" s="3"/>
      <c r="AN249" s="3"/>
      <c r="AO249" s="3"/>
    </row>
    <row r="250" spans="2:41" x14ac:dyDescent="0.25">
      <c r="B250" s="13"/>
      <c r="C250" s="14"/>
      <c r="D250" s="60"/>
      <c r="E250" s="56"/>
      <c r="F250" s="56"/>
      <c r="G250" s="14"/>
      <c r="H250" s="56"/>
      <c r="I250" s="14"/>
      <c r="J250" s="14"/>
      <c r="K250" s="14"/>
      <c r="L250" s="14"/>
      <c r="M250" s="14"/>
      <c r="N250" s="14"/>
      <c r="O250" s="14"/>
      <c r="P250" s="14"/>
      <c r="Q250" s="14"/>
      <c r="R250" s="14"/>
      <c r="S250" s="14"/>
      <c r="T250" s="14"/>
      <c r="U250" s="14"/>
      <c r="V250" s="14"/>
      <c r="W250" s="14"/>
      <c r="X250" s="14"/>
      <c r="Y250" s="14"/>
      <c r="Z250" s="14"/>
      <c r="AA250" s="15"/>
      <c r="AB250" s="3"/>
      <c r="AC250" s="3"/>
      <c r="AD250" s="3"/>
      <c r="AE250" s="3"/>
      <c r="AF250" s="3"/>
      <c r="AG250" s="3"/>
      <c r="AH250" s="3"/>
      <c r="AI250" s="3"/>
      <c r="AJ250" s="3"/>
      <c r="AK250" s="3"/>
      <c r="AL250" s="3"/>
      <c r="AM250" s="3"/>
      <c r="AN250" s="3"/>
      <c r="AO250" s="3"/>
    </row>
    <row r="251" spans="2:41" x14ac:dyDescent="0.25">
      <c r="B251" s="13"/>
      <c r="C251" s="14"/>
      <c r="D251" s="60"/>
      <c r="E251" s="56"/>
      <c r="F251" s="56"/>
      <c r="G251" s="14"/>
      <c r="H251" s="56"/>
      <c r="I251" s="14"/>
      <c r="J251" s="14"/>
      <c r="K251" s="14"/>
      <c r="L251" s="14"/>
      <c r="M251" s="14"/>
      <c r="N251" s="14"/>
      <c r="O251" s="14"/>
      <c r="P251" s="14"/>
      <c r="Q251" s="14"/>
      <c r="R251" s="14"/>
      <c r="S251" s="14"/>
      <c r="T251" s="14"/>
      <c r="U251" s="14"/>
      <c r="V251" s="14"/>
      <c r="W251" s="14"/>
      <c r="X251" s="14"/>
      <c r="Y251" s="14"/>
      <c r="Z251" s="14"/>
      <c r="AA251" s="15"/>
      <c r="AB251" s="3"/>
      <c r="AC251" s="3"/>
      <c r="AD251" s="3"/>
      <c r="AE251" s="3"/>
      <c r="AF251" s="3"/>
      <c r="AG251" s="3"/>
      <c r="AH251" s="3"/>
      <c r="AI251" s="3"/>
      <c r="AJ251" s="3"/>
      <c r="AK251" s="3"/>
      <c r="AL251" s="3"/>
      <c r="AM251" s="3"/>
      <c r="AN251" s="3"/>
      <c r="AO251" s="3"/>
    </row>
    <row r="252" spans="2:41" x14ac:dyDescent="0.25">
      <c r="B252" s="13"/>
      <c r="C252" s="14"/>
      <c r="D252" s="60"/>
      <c r="E252" s="56"/>
      <c r="F252" s="56"/>
      <c r="G252" s="128"/>
      <c r="H252" s="56"/>
      <c r="I252" s="14"/>
      <c r="J252" s="14"/>
      <c r="K252" s="14"/>
      <c r="L252" s="14"/>
      <c r="M252" s="14"/>
      <c r="N252" s="14"/>
      <c r="O252" s="14"/>
      <c r="P252" s="14"/>
      <c r="Q252" s="14"/>
      <c r="R252" s="14"/>
      <c r="S252" s="14"/>
      <c r="T252" s="14"/>
      <c r="U252" s="14"/>
      <c r="V252" s="14"/>
      <c r="W252" s="14"/>
      <c r="X252" s="14"/>
      <c r="Y252" s="14"/>
      <c r="Z252" s="14"/>
      <c r="AA252" s="15"/>
      <c r="AB252" s="3"/>
      <c r="AC252" s="3"/>
      <c r="AD252" s="3"/>
      <c r="AE252" s="3"/>
      <c r="AF252" s="3"/>
      <c r="AG252" s="3"/>
      <c r="AH252" s="3"/>
      <c r="AI252" s="3"/>
      <c r="AJ252" s="3"/>
      <c r="AK252" s="3"/>
      <c r="AL252" s="3"/>
      <c r="AM252" s="3"/>
      <c r="AN252" s="3"/>
      <c r="AO252" s="3"/>
    </row>
    <row r="253" spans="2:41" x14ac:dyDescent="0.25">
      <c r="B253" s="13"/>
      <c r="C253" s="14"/>
      <c r="D253" s="60"/>
      <c r="E253" s="56"/>
      <c r="F253" s="56"/>
      <c r="G253" s="14"/>
      <c r="H253" s="56"/>
      <c r="I253" s="14"/>
      <c r="J253" s="14"/>
      <c r="K253" s="14"/>
      <c r="L253" s="14"/>
      <c r="M253" s="14"/>
      <c r="N253" s="14"/>
      <c r="O253" s="14"/>
      <c r="P253" s="14"/>
      <c r="Q253" s="14"/>
      <c r="R253" s="14"/>
      <c r="S253" s="14"/>
      <c r="T253" s="14"/>
      <c r="U253" s="14"/>
      <c r="V253" s="14"/>
      <c r="W253" s="14"/>
      <c r="X253" s="14"/>
      <c r="Y253" s="14"/>
      <c r="Z253" s="14"/>
      <c r="AA253" s="15"/>
      <c r="AB253" s="3"/>
      <c r="AC253" s="3"/>
      <c r="AD253" s="3"/>
      <c r="AE253" s="3"/>
      <c r="AF253" s="3"/>
      <c r="AG253" s="3"/>
      <c r="AH253" s="3"/>
      <c r="AI253" s="3"/>
      <c r="AJ253" s="3"/>
      <c r="AK253" s="3"/>
      <c r="AL253" s="3"/>
      <c r="AM253" s="3"/>
      <c r="AN253" s="3"/>
      <c r="AO253" s="3"/>
    </row>
    <row r="254" spans="2:41" x14ac:dyDescent="0.25">
      <c r="B254" s="13"/>
      <c r="C254" s="14"/>
      <c r="D254" s="14"/>
      <c r="E254" s="56"/>
      <c r="F254" s="56"/>
      <c r="G254" s="14"/>
      <c r="H254" s="56"/>
      <c r="I254" s="14"/>
      <c r="J254" s="14"/>
      <c r="K254" s="14"/>
      <c r="L254" s="14"/>
      <c r="M254" s="14"/>
      <c r="N254" s="14"/>
      <c r="O254" s="14"/>
      <c r="P254" s="14"/>
      <c r="Q254" s="14"/>
      <c r="R254" s="14"/>
      <c r="S254" s="14"/>
      <c r="T254" s="14"/>
      <c r="U254" s="14"/>
      <c r="V254" s="14"/>
      <c r="W254" s="14"/>
      <c r="X254" s="14"/>
      <c r="Y254" s="14"/>
      <c r="Z254" s="14"/>
      <c r="AA254" s="15"/>
      <c r="AB254" s="3"/>
      <c r="AC254" s="3"/>
      <c r="AD254" s="3"/>
      <c r="AE254" s="3"/>
      <c r="AF254" s="3"/>
      <c r="AG254" s="3"/>
      <c r="AH254" s="3"/>
      <c r="AI254" s="3"/>
      <c r="AJ254" s="3"/>
      <c r="AK254" s="3"/>
      <c r="AL254" s="3"/>
      <c r="AM254" s="3"/>
      <c r="AN254" s="3"/>
      <c r="AO254" s="3"/>
    </row>
    <row r="255" spans="2:41" x14ac:dyDescent="0.25">
      <c r="B255" s="13"/>
      <c r="C255" s="14"/>
      <c r="D255" s="60"/>
      <c r="E255" s="56"/>
      <c r="F255" s="56"/>
      <c r="G255" s="14"/>
      <c r="H255" s="56"/>
      <c r="I255" s="14"/>
      <c r="J255" s="14"/>
      <c r="K255" s="14"/>
      <c r="L255" s="14"/>
      <c r="M255" s="14"/>
      <c r="N255" s="14"/>
      <c r="O255" s="14"/>
      <c r="P255" s="14"/>
      <c r="Q255" s="14"/>
      <c r="R255" s="14"/>
      <c r="S255" s="14"/>
      <c r="T255" s="14"/>
      <c r="U255" s="14"/>
      <c r="V255" s="14"/>
      <c r="W255" s="14"/>
      <c r="X255" s="14"/>
      <c r="Y255" s="14"/>
      <c r="Z255" s="14"/>
      <c r="AA255" s="15"/>
      <c r="AB255" s="3"/>
      <c r="AC255" s="3"/>
      <c r="AD255" s="3"/>
      <c r="AE255" s="3"/>
      <c r="AF255" s="3"/>
      <c r="AG255" s="3"/>
      <c r="AH255" s="3"/>
      <c r="AI255" s="3"/>
      <c r="AJ255" s="3"/>
      <c r="AK255" s="3"/>
      <c r="AL255" s="3"/>
      <c r="AM255" s="3"/>
      <c r="AN255" s="3"/>
      <c r="AO255" s="3"/>
    </row>
    <row r="256" spans="2:41" x14ac:dyDescent="0.25">
      <c r="B256" s="13"/>
      <c r="C256" s="14"/>
      <c r="D256" s="60"/>
      <c r="E256" s="56"/>
      <c r="F256" s="56"/>
      <c r="G256" s="14"/>
      <c r="H256" s="56"/>
      <c r="I256" s="14"/>
      <c r="J256" s="14"/>
      <c r="K256" s="14"/>
      <c r="L256" s="14"/>
      <c r="M256" s="14"/>
      <c r="N256" s="14"/>
      <c r="O256" s="14"/>
      <c r="P256" s="14"/>
      <c r="Q256" s="14"/>
      <c r="R256" s="14"/>
      <c r="S256" s="14"/>
      <c r="T256" s="14"/>
      <c r="U256" s="14"/>
      <c r="V256" s="14"/>
      <c r="W256" s="14"/>
      <c r="X256" s="14"/>
      <c r="Y256" s="14"/>
      <c r="Z256" s="14"/>
      <c r="AA256" s="15"/>
      <c r="AB256" s="3"/>
      <c r="AC256" s="3"/>
      <c r="AD256" s="3"/>
      <c r="AE256" s="3"/>
      <c r="AF256" s="3"/>
      <c r="AG256" s="3"/>
      <c r="AH256" s="3"/>
      <c r="AI256" s="3"/>
      <c r="AJ256" s="3"/>
      <c r="AK256" s="3"/>
      <c r="AL256" s="3"/>
      <c r="AM256" s="3"/>
      <c r="AN256" s="3"/>
      <c r="AO256" s="3"/>
    </row>
    <row r="257" spans="2:41" x14ac:dyDescent="0.25">
      <c r="B257" s="13"/>
      <c r="C257" s="14"/>
      <c r="D257" s="60"/>
      <c r="E257" s="56"/>
      <c r="F257" s="56"/>
      <c r="G257" s="14"/>
      <c r="H257" s="56"/>
      <c r="I257" s="14"/>
      <c r="J257" s="14"/>
      <c r="K257" s="14"/>
      <c r="L257" s="14"/>
      <c r="M257" s="14"/>
      <c r="N257" s="14"/>
      <c r="O257" s="14"/>
      <c r="P257" s="14"/>
      <c r="Q257" s="14"/>
      <c r="R257" s="14"/>
      <c r="S257" s="14"/>
      <c r="T257" s="14"/>
      <c r="U257" s="14"/>
      <c r="V257" s="14"/>
      <c r="W257" s="14"/>
      <c r="X257" s="14"/>
      <c r="Y257" s="14"/>
      <c r="Z257" s="14"/>
      <c r="AA257" s="15"/>
      <c r="AB257" s="3"/>
      <c r="AC257" s="3"/>
      <c r="AD257" s="3"/>
      <c r="AE257" s="3"/>
      <c r="AF257" s="3"/>
      <c r="AG257" s="3"/>
      <c r="AH257" s="3"/>
      <c r="AI257" s="3"/>
      <c r="AJ257" s="3"/>
      <c r="AK257" s="3"/>
      <c r="AL257" s="3"/>
      <c r="AM257" s="3"/>
      <c r="AN257" s="3"/>
      <c r="AO257" s="3"/>
    </row>
    <row r="258" spans="2:41" x14ac:dyDescent="0.25">
      <c r="B258" s="13"/>
      <c r="C258" s="14"/>
      <c r="D258" s="60"/>
      <c r="E258" s="56"/>
      <c r="F258" s="56"/>
      <c r="G258" s="14"/>
      <c r="H258" s="56"/>
      <c r="I258" s="14"/>
      <c r="J258" s="14"/>
      <c r="K258" s="14"/>
      <c r="L258" s="14"/>
      <c r="M258" s="14"/>
      <c r="N258" s="14"/>
      <c r="O258" s="14"/>
      <c r="P258" s="14"/>
      <c r="Q258" s="14"/>
      <c r="R258" s="14"/>
      <c r="S258" s="14"/>
      <c r="T258" s="14"/>
      <c r="U258" s="14"/>
      <c r="V258" s="14"/>
      <c r="W258" s="14"/>
      <c r="X258" s="14"/>
      <c r="Y258" s="14"/>
      <c r="Z258" s="14"/>
      <c r="AA258" s="15"/>
      <c r="AB258" s="3"/>
      <c r="AC258" s="3"/>
      <c r="AD258" s="3"/>
      <c r="AE258" s="3"/>
      <c r="AF258" s="3"/>
      <c r="AG258" s="3"/>
      <c r="AH258" s="3"/>
      <c r="AI258" s="3"/>
      <c r="AJ258" s="3"/>
      <c r="AK258" s="3"/>
      <c r="AL258" s="3"/>
      <c r="AM258" s="3"/>
      <c r="AN258" s="3"/>
      <c r="AO258" s="3"/>
    </row>
    <row r="259" spans="2:41" x14ac:dyDescent="0.25">
      <c r="B259" s="13"/>
      <c r="C259" s="14"/>
      <c r="D259" s="60"/>
      <c r="E259" s="56"/>
      <c r="F259" s="56"/>
      <c r="G259" s="128"/>
      <c r="H259" s="56"/>
      <c r="I259" s="14"/>
      <c r="J259" s="14"/>
      <c r="K259" s="14"/>
      <c r="L259" s="14"/>
      <c r="M259" s="14"/>
      <c r="N259" s="14"/>
      <c r="O259" s="14"/>
      <c r="P259" s="14"/>
      <c r="Q259" s="14"/>
      <c r="R259" s="14"/>
      <c r="S259" s="14"/>
      <c r="T259" s="14"/>
      <c r="U259" s="14"/>
      <c r="V259" s="14"/>
      <c r="W259" s="14"/>
      <c r="X259" s="14"/>
      <c r="Y259" s="14"/>
      <c r="Z259" s="14"/>
      <c r="AA259" s="15"/>
      <c r="AB259" s="3"/>
      <c r="AC259" s="3"/>
      <c r="AD259" s="3"/>
      <c r="AE259" s="3"/>
      <c r="AF259" s="3"/>
      <c r="AG259" s="3"/>
      <c r="AH259" s="3"/>
      <c r="AI259" s="3"/>
      <c r="AJ259" s="3"/>
      <c r="AK259" s="3"/>
      <c r="AL259" s="3"/>
      <c r="AM259" s="3"/>
      <c r="AN259" s="3"/>
      <c r="AO259" s="3"/>
    </row>
    <row r="260" spans="2:41" x14ac:dyDescent="0.25">
      <c r="B260" s="13"/>
      <c r="C260" s="14"/>
      <c r="D260" s="60"/>
      <c r="E260" s="56"/>
      <c r="F260" s="56"/>
      <c r="G260" s="14"/>
      <c r="H260" s="56"/>
      <c r="I260" s="14"/>
      <c r="J260" s="14"/>
      <c r="K260" s="14"/>
      <c r="L260" s="14"/>
      <c r="M260" s="14"/>
      <c r="N260" s="14"/>
      <c r="O260" s="14"/>
      <c r="P260" s="14"/>
      <c r="Q260" s="14"/>
      <c r="R260" s="14"/>
      <c r="S260" s="14"/>
      <c r="T260" s="14"/>
      <c r="U260" s="14"/>
      <c r="V260" s="14"/>
      <c r="W260" s="14"/>
      <c r="X260" s="14"/>
      <c r="Y260" s="14"/>
      <c r="Z260" s="14"/>
      <c r="AA260" s="15"/>
      <c r="AB260" s="3"/>
      <c r="AC260" s="3"/>
      <c r="AD260" s="3"/>
      <c r="AE260" s="3"/>
      <c r="AF260" s="3"/>
      <c r="AG260" s="3"/>
      <c r="AH260" s="3"/>
      <c r="AI260" s="3"/>
      <c r="AJ260" s="3"/>
      <c r="AK260" s="3"/>
      <c r="AL260" s="3"/>
      <c r="AM260" s="3"/>
      <c r="AN260" s="3"/>
      <c r="AO260" s="3"/>
    </row>
    <row r="261" spans="2:41" x14ac:dyDescent="0.25">
      <c r="B261" s="13"/>
      <c r="C261" s="57"/>
      <c r="D261" s="57"/>
      <c r="E261" s="56"/>
      <c r="F261" s="57"/>
      <c r="G261" s="57"/>
      <c r="H261" s="57"/>
      <c r="I261" s="14"/>
      <c r="J261" s="14"/>
      <c r="K261" s="14"/>
      <c r="L261" s="14"/>
      <c r="M261" s="14"/>
      <c r="N261" s="14"/>
      <c r="O261" s="14"/>
      <c r="P261" s="14"/>
      <c r="Q261" s="14"/>
      <c r="R261" s="14"/>
      <c r="S261" s="14"/>
      <c r="T261" s="14"/>
      <c r="U261" s="14"/>
      <c r="V261" s="14"/>
      <c r="W261" s="14"/>
      <c r="X261" s="14"/>
      <c r="Y261" s="14"/>
      <c r="Z261" s="14"/>
      <c r="AA261" s="15"/>
      <c r="AB261" s="3"/>
      <c r="AC261" s="3"/>
      <c r="AD261" s="3"/>
      <c r="AE261" s="3"/>
      <c r="AF261" s="3"/>
      <c r="AG261" s="3"/>
      <c r="AH261" s="3"/>
      <c r="AI261" s="3"/>
      <c r="AJ261" s="3"/>
      <c r="AK261" s="3"/>
      <c r="AL261" s="3"/>
      <c r="AM261" s="3"/>
      <c r="AN261" s="3"/>
      <c r="AO261" s="3"/>
    </row>
    <row r="262" spans="2:41" x14ac:dyDescent="0.25">
      <c r="B262" s="13"/>
      <c r="C262" s="57"/>
      <c r="D262" s="69"/>
      <c r="E262" s="56"/>
      <c r="F262" s="57"/>
      <c r="G262" s="57"/>
      <c r="H262" s="57"/>
      <c r="I262" s="14"/>
      <c r="J262" s="14"/>
      <c r="K262" s="14"/>
      <c r="L262" s="14"/>
      <c r="M262" s="14"/>
      <c r="N262" s="14"/>
      <c r="O262" s="14"/>
      <c r="P262" s="14"/>
      <c r="Q262" s="14"/>
      <c r="R262" s="14"/>
      <c r="S262" s="14"/>
      <c r="T262" s="14"/>
      <c r="U262" s="14"/>
      <c r="V262" s="14"/>
      <c r="W262" s="14"/>
      <c r="X262" s="14"/>
      <c r="Y262" s="14"/>
      <c r="Z262" s="14"/>
      <c r="AA262" s="15"/>
      <c r="AB262" s="3"/>
      <c r="AC262" s="3"/>
      <c r="AD262" s="3"/>
      <c r="AE262" s="3"/>
      <c r="AF262" s="3"/>
      <c r="AG262" s="3"/>
      <c r="AH262" s="3"/>
      <c r="AI262" s="3"/>
      <c r="AJ262" s="3"/>
      <c r="AK262" s="3"/>
      <c r="AL262" s="3"/>
      <c r="AM262" s="3"/>
      <c r="AN262" s="3"/>
      <c r="AO262" s="3"/>
    </row>
    <row r="263" spans="2:41" x14ac:dyDescent="0.25">
      <c r="B263" s="13"/>
      <c r="C263" s="57"/>
      <c r="D263" s="69"/>
      <c r="E263" s="56"/>
      <c r="F263" s="57"/>
      <c r="G263" s="57"/>
      <c r="H263" s="57"/>
      <c r="I263" s="14"/>
      <c r="J263" s="14"/>
      <c r="K263" s="14"/>
      <c r="L263" s="14"/>
      <c r="M263" s="14"/>
      <c r="N263" s="14"/>
      <c r="O263" s="14"/>
      <c r="P263" s="14"/>
      <c r="Q263" s="14"/>
      <c r="R263" s="14"/>
      <c r="S263" s="14"/>
      <c r="T263" s="14"/>
      <c r="U263" s="14"/>
      <c r="V263" s="14"/>
      <c r="W263" s="14"/>
      <c r="X263" s="14"/>
      <c r="Y263" s="14"/>
      <c r="Z263" s="14"/>
      <c r="AA263" s="15"/>
      <c r="AB263" s="3"/>
      <c r="AC263" s="3"/>
      <c r="AD263" s="3"/>
      <c r="AE263" s="3"/>
      <c r="AF263" s="3"/>
      <c r="AG263" s="3"/>
      <c r="AH263" s="3"/>
      <c r="AI263" s="3"/>
      <c r="AJ263" s="3"/>
      <c r="AK263" s="3"/>
      <c r="AL263" s="3"/>
      <c r="AM263" s="3"/>
      <c r="AN263" s="3"/>
      <c r="AO263" s="3"/>
    </row>
    <row r="264" spans="2:41" x14ac:dyDescent="0.25">
      <c r="B264" s="13"/>
      <c r="C264" s="57"/>
      <c r="D264" s="69"/>
      <c r="E264" s="56"/>
      <c r="F264" s="57"/>
      <c r="G264" s="57"/>
      <c r="H264" s="57"/>
      <c r="I264" s="14"/>
      <c r="J264" s="14"/>
      <c r="K264" s="14"/>
      <c r="L264" s="14"/>
      <c r="M264" s="14"/>
      <c r="N264" s="14"/>
      <c r="O264" s="14"/>
      <c r="P264" s="14"/>
      <c r="Q264" s="14"/>
      <c r="R264" s="14"/>
      <c r="S264" s="14"/>
      <c r="T264" s="14"/>
      <c r="U264" s="14"/>
      <c r="V264" s="14"/>
      <c r="W264" s="14"/>
      <c r="X264" s="14"/>
      <c r="Y264" s="14"/>
      <c r="Z264" s="14"/>
      <c r="AA264" s="15"/>
      <c r="AB264" s="3"/>
      <c r="AC264" s="3"/>
      <c r="AD264" s="3"/>
      <c r="AE264" s="3"/>
      <c r="AF264" s="3"/>
      <c r="AG264" s="3"/>
      <c r="AH264" s="3"/>
      <c r="AI264" s="3"/>
      <c r="AJ264" s="3"/>
      <c r="AK264" s="3"/>
      <c r="AL264" s="3"/>
      <c r="AM264" s="3"/>
      <c r="AN264" s="3"/>
      <c r="AO264" s="3"/>
    </row>
    <row r="265" spans="2:41" x14ac:dyDescent="0.25">
      <c r="B265" s="13"/>
      <c r="C265" s="57"/>
      <c r="D265" s="69"/>
      <c r="E265" s="56"/>
      <c r="F265" s="57"/>
      <c r="G265" s="57"/>
      <c r="H265" s="57"/>
      <c r="I265" s="14"/>
      <c r="J265" s="14"/>
      <c r="K265" s="14"/>
      <c r="L265" s="14"/>
      <c r="M265" s="14"/>
      <c r="N265" s="14"/>
      <c r="O265" s="14"/>
      <c r="P265" s="14"/>
      <c r="Q265" s="14"/>
      <c r="R265" s="14"/>
      <c r="S265" s="14"/>
      <c r="T265" s="14"/>
      <c r="U265" s="14"/>
      <c r="V265" s="14"/>
      <c r="W265" s="14"/>
      <c r="X265" s="14"/>
      <c r="Y265" s="14"/>
      <c r="Z265" s="14"/>
      <c r="AA265" s="15"/>
      <c r="AB265" s="3"/>
      <c r="AC265" s="3"/>
      <c r="AD265" s="3"/>
      <c r="AE265" s="3"/>
      <c r="AF265" s="3"/>
      <c r="AG265" s="3"/>
      <c r="AH265" s="3"/>
      <c r="AI265" s="3"/>
      <c r="AJ265" s="3"/>
      <c r="AK265" s="3"/>
      <c r="AL265" s="3"/>
      <c r="AM265" s="3"/>
      <c r="AN265" s="3"/>
      <c r="AO265" s="3"/>
    </row>
    <row r="266" spans="2:41" x14ac:dyDescent="0.25">
      <c r="B266" s="13"/>
      <c r="C266" s="57"/>
      <c r="D266" s="69"/>
      <c r="E266" s="56"/>
      <c r="F266" s="57"/>
      <c r="G266" s="130"/>
      <c r="H266" s="57"/>
      <c r="I266" s="14"/>
      <c r="J266" s="14"/>
      <c r="K266" s="14"/>
      <c r="L266" s="14"/>
      <c r="M266" s="14"/>
      <c r="N266" s="14"/>
      <c r="O266" s="14"/>
      <c r="P266" s="14"/>
      <c r="Q266" s="14"/>
      <c r="R266" s="14"/>
      <c r="S266" s="14"/>
      <c r="T266" s="14"/>
      <c r="U266" s="14"/>
      <c r="V266" s="14"/>
      <c r="W266" s="14"/>
      <c r="X266" s="14"/>
      <c r="Y266" s="14"/>
      <c r="Z266" s="14"/>
      <c r="AA266" s="15"/>
      <c r="AB266" s="3"/>
      <c r="AC266" s="3"/>
      <c r="AD266" s="3"/>
      <c r="AE266" s="3"/>
      <c r="AF266" s="3"/>
      <c r="AG266" s="3"/>
      <c r="AH266" s="3"/>
      <c r="AI266" s="3"/>
      <c r="AJ266" s="3"/>
      <c r="AK266" s="3"/>
      <c r="AL266" s="3"/>
      <c r="AM266" s="3"/>
      <c r="AN266" s="3"/>
      <c r="AO266" s="3"/>
    </row>
    <row r="267" spans="2:41" x14ac:dyDescent="0.25">
      <c r="B267" s="13"/>
      <c r="C267" s="14"/>
      <c r="D267" s="60"/>
      <c r="E267" s="56"/>
      <c r="F267" s="56"/>
      <c r="G267" s="14"/>
      <c r="H267" s="56"/>
      <c r="I267" s="14"/>
      <c r="J267" s="14"/>
      <c r="K267" s="14"/>
      <c r="L267" s="14"/>
      <c r="M267" s="14"/>
      <c r="N267" s="14"/>
      <c r="O267" s="14"/>
      <c r="P267" s="14"/>
      <c r="Q267" s="14"/>
      <c r="R267" s="14"/>
      <c r="S267" s="14"/>
      <c r="T267" s="14"/>
      <c r="U267" s="14"/>
      <c r="V267" s="14"/>
      <c r="W267" s="14"/>
      <c r="X267" s="14"/>
      <c r="Y267" s="14"/>
      <c r="Z267" s="14"/>
      <c r="AA267" s="15"/>
      <c r="AB267" s="3"/>
      <c r="AC267" s="3"/>
      <c r="AD267" s="3"/>
      <c r="AE267" s="3"/>
      <c r="AF267" s="3"/>
      <c r="AG267" s="3"/>
      <c r="AH267" s="3"/>
      <c r="AI267" s="3"/>
      <c r="AJ267" s="3"/>
      <c r="AK267" s="3"/>
      <c r="AL267" s="3"/>
      <c r="AM267" s="3"/>
      <c r="AN267" s="3"/>
      <c r="AO267" s="3"/>
    </row>
    <row r="268" spans="2:41" x14ac:dyDescent="0.25">
      <c r="B268" s="13"/>
      <c r="C268" s="14"/>
      <c r="D268" s="14"/>
      <c r="E268" s="56"/>
      <c r="F268" s="56"/>
      <c r="G268" s="14"/>
      <c r="H268" s="56"/>
      <c r="I268" s="14"/>
      <c r="J268" s="14"/>
      <c r="K268" s="14"/>
      <c r="L268" s="14"/>
      <c r="M268" s="14"/>
      <c r="N268" s="14"/>
      <c r="O268" s="14"/>
      <c r="P268" s="14"/>
      <c r="Q268" s="14"/>
      <c r="R268" s="14"/>
      <c r="S268" s="14"/>
      <c r="T268" s="14"/>
      <c r="U268" s="14"/>
      <c r="V268" s="14"/>
      <c r="W268" s="14"/>
      <c r="X268" s="14"/>
      <c r="Y268" s="14"/>
      <c r="Z268" s="14"/>
      <c r="AA268" s="15"/>
      <c r="AB268" s="3"/>
      <c r="AC268" s="3"/>
      <c r="AD268" s="3"/>
      <c r="AE268" s="3"/>
      <c r="AF268" s="3"/>
      <c r="AG268" s="3"/>
      <c r="AH268" s="3"/>
      <c r="AI268" s="3"/>
      <c r="AJ268" s="3"/>
      <c r="AK268" s="3"/>
      <c r="AL268" s="3"/>
      <c r="AM268" s="3"/>
      <c r="AN268" s="3"/>
      <c r="AO268" s="3"/>
    </row>
    <row r="269" spans="2:41" x14ac:dyDescent="0.25">
      <c r="B269" s="13"/>
      <c r="C269" s="14"/>
      <c r="D269" s="60"/>
      <c r="E269" s="56"/>
      <c r="F269" s="56"/>
      <c r="G269" s="14"/>
      <c r="H269" s="56"/>
      <c r="I269" s="14"/>
      <c r="J269" s="14"/>
      <c r="K269" s="14"/>
      <c r="L269" s="14"/>
      <c r="M269" s="14"/>
      <c r="N269" s="14"/>
      <c r="O269" s="14"/>
      <c r="P269" s="14"/>
      <c r="Q269" s="14"/>
      <c r="R269" s="14"/>
      <c r="S269" s="14"/>
      <c r="T269" s="14"/>
      <c r="U269" s="14"/>
      <c r="V269" s="14"/>
      <c r="W269" s="14"/>
      <c r="X269" s="14"/>
      <c r="Y269" s="14"/>
      <c r="Z269" s="14"/>
      <c r="AA269" s="15"/>
      <c r="AB269" s="3"/>
      <c r="AC269" s="3"/>
      <c r="AD269" s="3"/>
      <c r="AE269" s="3"/>
      <c r="AF269" s="3"/>
      <c r="AG269" s="3"/>
      <c r="AH269" s="3"/>
      <c r="AI269" s="3"/>
      <c r="AJ269" s="3"/>
      <c r="AK269" s="3"/>
      <c r="AL269" s="3"/>
      <c r="AM269" s="3"/>
      <c r="AN269" s="3"/>
      <c r="AO269" s="3"/>
    </row>
    <row r="270" spans="2:41" x14ac:dyDescent="0.25">
      <c r="B270" s="13"/>
      <c r="C270" s="14"/>
      <c r="D270" s="60"/>
      <c r="E270" s="56"/>
      <c r="F270" s="56"/>
      <c r="G270" s="14"/>
      <c r="H270" s="56"/>
      <c r="I270" s="14"/>
      <c r="J270" s="14"/>
      <c r="K270" s="14"/>
      <c r="L270" s="14"/>
      <c r="M270" s="14"/>
      <c r="N270" s="14"/>
      <c r="O270" s="14"/>
      <c r="P270" s="14"/>
      <c r="Q270" s="14"/>
      <c r="R270" s="14"/>
      <c r="S270" s="14"/>
      <c r="T270" s="14"/>
      <c r="U270" s="14"/>
      <c r="V270" s="14"/>
      <c r="W270" s="14"/>
      <c r="X270" s="14"/>
      <c r="Y270" s="14"/>
      <c r="Z270" s="14"/>
      <c r="AA270" s="15"/>
      <c r="AB270" s="3"/>
      <c r="AC270" s="3"/>
      <c r="AD270" s="3"/>
      <c r="AE270" s="3"/>
      <c r="AF270" s="3"/>
      <c r="AG270" s="3"/>
      <c r="AH270" s="3"/>
      <c r="AI270" s="3"/>
      <c r="AJ270" s="3"/>
      <c r="AK270" s="3"/>
      <c r="AL270" s="3"/>
      <c r="AM270" s="3"/>
      <c r="AN270" s="3"/>
      <c r="AO270" s="3"/>
    </row>
    <row r="271" spans="2:41" x14ac:dyDescent="0.25">
      <c r="B271" s="13"/>
      <c r="C271" s="14"/>
      <c r="D271" s="60"/>
      <c r="E271" s="56"/>
      <c r="F271" s="56"/>
      <c r="G271" s="14"/>
      <c r="H271" s="56"/>
      <c r="I271" s="14"/>
      <c r="J271" s="14"/>
      <c r="K271" s="14"/>
      <c r="L271" s="14"/>
      <c r="M271" s="14"/>
      <c r="N271" s="14"/>
      <c r="O271" s="14"/>
      <c r="P271" s="14"/>
      <c r="Q271" s="14"/>
      <c r="R271" s="14"/>
      <c r="S271" s="14"/>
      <c r="T271" s="14"/>
      <c r="U271" s="14"/>
      <c r="V271" s="14"/>
      <c r="W271" s="14"/>
      <c r="X271" s="14"/>
      <c r="Y271" s="14"/>
      <c r="Z271" s="14"/>
      <c r="AA271" s="15"/>
      <c r="AB271" s="3"/>
      <c r="AC271" s="3"/>
      <c r="AD271" s="3"/>
      <c r="AE271" s="3"/>
      <c r="AF271" s="3"/>
      <c r="AG271" s="3"/>
      <c r="AH271" s="3"/>
      <c r="AI271" s="3"/>
      <c r="AJ271" s="3"/>
      <c r="AK271" s="3"/>
      <c r="AL271" s="3"/>
      <c r="AM271" s="3"/>
      <c r="AN271" s="3"/>
      <c r="AO271" s="3"/>
    </row>
    <row r="272" spans="2:41" x14ac:dyDescent="0.25">
      <c r="B272" s="13"/>
      <c r="C272" s="14"/>
      <c r="D272" s="60"/>
      <c r="E272" s="56"/>
      <c r="F272" s="56"/>
      <c r="G272" s="14"/>
      <c r="H272" s="56"/>
      <c r="I272" s="14"/>
      <c r="J272" s="14"/>
      <c r="K272" s="14"/>
      <c r="L272" s="14"/>
      <c r="M272" s="14"/>
      <c r="N272" s="14"/>
      <c r="O272" s="14"/>
      <c r="P272" s="14"/>
      <c r="Q272" s="14"/>
      <c r="R272" s="14"/>
      <c r="S272" s="14"/>
      <c r="T272" s="14"/>
      <c r="U272" s="14"/>
      <c r="V272" s="14"/>
      <c r="W272" s="14"/>
      <c r="X272" s="14"/>
      <c r="Y272" s="14"/>
      <c r="Z272" s="14"/>
      <c r="AA272" s="15"/>
      <c r="AB272" s="3"/>
      <c r="AC272" s="3"/>
      <c r="AD272" s="3"/>
      <c r="AE272" s="3"/>
      <c r="AF272" s="3"/>
      <c r="AG272" s="3"/>
      <c r="AH272" s="3"/>
      <c r="AI272" s="3"/>
      <c r="AJ272" s="3"/>
      <c r="AK272" s="3"/>
      <c r="AL272" s="3"/>
      <c r="AM272" s="3"/>
      <c r="AN272" s="3"/>
      <c r="AO272" s="3"/>
    </row>
    <row r="273" spans="2:41" x14ac:dyDescent="0.25">
      <c r="B273" s="13"/>
      <c r="C273" s="14"/>
      <c r="D273" s="60"/>
      <c r="E273" s="56"/>
      <c r="F273" s="56"/>
      <c r="G273" s="128"/>
      <c r="H273" s="56"/>
      <c r="I273" s="14"/>
      <c r="J273" s="14"/>
      <c r="K273" s="14"/>
      <c r="L273" s="14"/>
      <c r="M273" s="14"/>
      <c r="N273" s="14"/>
      <c r="O273" s="14"/>
      <c r="P273" s="14"/>
      <c r="Q273" s="14"/>
      <c r="R273" s="14"/>
      <c r="S273" s="14"/>
      <c r="T273" s="14"/>
      <c r="U273" s="14"/>
      <c r="V273" s="14"/>
      <c r="W273" s="14"/>
      <c r="X273" s="14"/>
      <c r="Y273" s="14"/>
      <c r="Z273" s="14"/>
      <c r="AA273" s="15"/>
      <c r="AB273" s="3"/>
      <c r="AC273" s="3"/>
      <c r="AD273" s="3"/>
      <c r="AE273" s="3"/>
      <c r="AF273" s="3"/>
      <c r="AG273" s="3"/>
      <c r="AH273" s="3"/>
      <c r="AI273" s="3"/>
      <c r="AJ273" s="3"/>
      <c r="AK273" s="3"/>
      <c r="AL273" s="3"/>
      <c r="AM273" s="3"/>
      <c r="AN273" s="3"/>
      <c r="AO273" s="3"/>
    </row>
    <row r="274" spans="2:41" x14ac:dyDescent="0.25">
      <c r="B274" s="13"/>
      <c r="C274" s="14"/>
      <c r="D274" s="60"/>
      <c r="E274" s="56"/>
      <c r="F274" s="56"/>
      <c r="G274" s="14"/>
      <c r="H274" s="56"/>
      <c r="I274" s="14"/>
      <c r="J274" s="14"/>
      <c r="K274" s="14"/>
      <c r="L274" s="14"/>
      <c r="M274" s="14"/>
      <c r="N274" s="14"/>
      <c r="O274" s="14"/>
      <c r="P274" s="14"/>
      <c r="Q274" s="14"/>
      <c r="R274" s="14"/>
      <c r="S274" s="14"/>
      <c r="T274" s="14"/>
      <c r="U274" s="14"/>
      <c r="V274" s="14"/>
      <c r="W274" s="14"/>
      <c r="X274" s="14"/>
      <c r="Y274" s="14"/>
      <c r="Z274" s="14"/>
      <c r="AA274" s="15"/>
      <c r="AB274" s="3"/>
      <c r="AC274" s="3"/>
      <c r="AD274" s="3"/>
      <c r="AE274" s="3"/>
      <c r="AF274" s="3"/>
      <c r="AG274" s="3"/>
      <c r="AH274" s="3"/>
      <c r="AI274" s="3"/>
      <c r="AJ274" s="3"/>
      <c r="AK274" s="3"/>
      <c r="AL274" s="3"/>
      <c r="AM274" s="3"/>
      <c r="AN274" s="3"/>
      <c r="AO274" s="3"/>
    </row>
    <row r="275" spans="2:41" x14ac:dyDescent="0.25">
      <c r="B275" s="13"/>
      <c r="C275" s="14"/>
      <c r="D275" s="14"/>
      <c r="E275" s="56"/>
      <c r="F275" s="56"/>
      <c r="G275" s="14"/>
      <c r="H275" s="56"/>
      <c r="I275" s="14"/>
      <c r="J275" s="14"/>
      <c r="K275" s="14"/>
      <c r="L275" s="14"/>
      <c r="M275" s="14"/>
      <c r="N275" s="14"/>
      <c r="O275" s="14"/>
      <c r="P275" s="14"/>
      <c r="Q275" s="14"/>
      <c r="R275" s="14"/>
      <c r="S275" s="14"/>
      <c r="T275" s="14"/>
      <c r="U275" s="14"/>
      <c r="V275" s="14"/>
      <c r="W275" s="14"/>
      <c r="X275" s="14"/>
      <c r="Y275" s="14"/>
      <c r="Z275" s="14"/>
      <c r="AA275" s="15"/>
      <c r="AB275" s="3"/>
      <c r="AC275" s="3"/>
      <c r="AD275" s="3"/>
      <c r="AE275" s="3"/>
      <c r="AF275" s="3"/>
      <c r="AG275" s="3"/>
      <c r="AH275" s="3"/>
      <c r="AI275" s="3"/>
      <c r="AJ275" s="3"/>
      <c r="AK275" s="3"/>
      <c r="AL275" s="3"/>
      <c r="AM275" s="3"/>
      <c r="AN275" s="3"/>
      <c r="AO275" s="3"/>
    </row>
    <row r="276" spans="2:41" x14ac:dyDescent="0.25">
      <c r="B276" s="13"/>
      <c r="C276" s="14"/>
      <c r="D276" s="60"/>
      <c r="E276" s="56"/>
      <c r="F276" s="56"/>
      <c r="G276" s="14"/>
      <c r="H276" s="56"/>
      <c r="I276" s="14"/>
      <c r="J276" s="14"/>
      <c r="K276" s="14"/>
      <c r="L276" s="14"/>
      <c r="M276" s="14"/>
      <c r="N276" s="14"/>
      <c r="O276" s="14"/>
      <c r="P276" s="14"/>
      <c r="Q276" s="14"/>
      <c r="R276" s="14"/>
      <c r="S276" s="14"/>
      <c r="T276" s="14"/>
      <c r="U276" s="14"/>
      <c r="V276" s="14"/>
      <c r="W276" s="14"/>
      <c r="X276" s="14"/>
      <c r="Y276" s="14"/>
      <c r="Z276" s="14"/>
      <c r="AA276" s="15"/>
      <c r="AB276" s="3"/>
      <c r="AC276" s="3"/>
      <c r="AD276" s="3"/>
      <c r="AE276" s="3"/>
      <c r="AF276" s="3"/>
      <c r="AG276" s="3"/>
      <c r="AH276" s="3"/>
      <c r="AI276" s="3"/>
      <c r="AJ276" s="3"/>
      <c r="AK276" s="3"/>
      <c r="AL276" s="3"/>
      <c r="AM276" s="3"/>
      <c r="AN276" s="3"/>
      <c r="AO276" s="3"/>
    </row>
    <row r="277" spans="2:41" x14ac:dyDescent="0.25">
      <c r="B277" s="13"/>
      <c r="C277" s="14"/>
      <c r="D277" s="60"/>
      <c r="E277" s="56"/>
      <c r="F277" s="56"/>
      <c r="G277" s="14"/>
      <c r="H277" s="56"/>
      <c r="I277" s="14"/>
      <c r="J277" s="14"/>
      <c r="K277" s="14"/>
      <c r="L277" s="14"/>
      <c r="M277" s="14"/>
      <c r="N277" s="14"/>
      <c r="O277" s="14"/>
      <c r="P277" s="14"/>
      <c r="Q277" s="14"/>
      <c r="R277" s="14"/>
      <c r="S277" s="14"/>
      <c r="T277" s="14"/>
      <c r="U277" s="14"/>
      <c r="V277" s="14"/>
      <c r="W277" s="14"/>
      <c r="X277" s="14"/>
      <c r="Y277" s="14"/>
      <c r="Z277" s="14"/>
      <c r="AA277" s="15"/>
      <c r="AB277" s="3"/>
      <c r="AC277" s="3"/>
      <c r="AD277" s="3"/>
      <c r="AE277" s="3"/>
      <c r="AF277" s="3"/>
      <c r="AG277" s="3"/>
      <c r="AH277" s="3"/>
      <c r="AI277" s="3"/>
      <c r="AJ277" s="3"/>
      <c r="AK277" s="3"/>
      <c r="AL277" s="3"/>
      <c r="AM277" s="3"/>
      <c r="AN277" s="3"/>
      <c r="AO277" s="3"/>
    </row>
    <row r="278" spans="2:41" x14ac:dyDescent="0.25">
      <c r="B278" s="13"/>
      <c r="C278" s="14"/>
      <c r="D278" s="60"/>
      <c r="E278" s="56"/>
      <c r="F278" s="56"/>
      <c r="G278" s="14"/>
      <c r="H278" s="56"/>
      <c r="I278" s="14"/>
      <c r="J278" s="14"/>
      <c r="K278" s="14"/>
      <c r="L278" s="14"/>
      <c r="M278" s="14"/>
      <c r="N278" s="14"/>
      <c r="O278" s="14"/>
      <c r="P278" s="14"/>
      <c r="Q278" s="14"/>
      <c r="R278" s="14"/>
      <c r="S278" s="14"/>
      <c r="T278" s="14"/>
      <c r="U278" s="14"/>
      <c r="V278" s="14"/>
      <c r="W278" s="14"/>
      <c r="X278" s="14"/>
      <c r="Y278" s="14"/>
      <c r="Z278" s="14"/>
      <c r="AA278" s="15"/>
      <c r="AB278" s="3"/>
      <c r="AC278" s="3"/>
      <c r="AD278" s="3"/>
      <c r="AE278" s="3"/>
      <c r="AF278" s="3"/>
      <c r="AG278" s="3"/>
      <c r="AH278" s="3"/>
      <c r="AI278" s="3"/>
      <c r="AJ278" s="3"/>
      <c r="AK278" s="3"/>
      <c r="AL278" s="3"/>
      <c r="AM278" s="3"/>
      <c r="AN278" s="3"/>
      <c r="AO278" s="3"/>
    </row>
    <row r="279" spans="2:41" x14ac:dyDescent="0.25">
      <c r="B279" s="13"/>
      <c r="C279" s="14"/>
      <c r="D279" s="60"/>
      <c r="E279" s="56"/>
      <c r="F279" s="56"/>
      <c r="G279" s="14"/>
      <c r="H279" s="56"/>
      <c r="I279" s="14"/>
      <c r="J279" s="14"/>
      <c r="K279" s="14"/>
      <c r="L279" s="14"/>
      <c r="M279" s="14"/>
      <c r="N279" s="14"/>
      <c r="O279" s="14"/>
      <c r="P279" s="14"/>
      <c r="Q279" s="14"/>
      <c r="R279" s="14"/>
      <c r="S279" s="14"/>
      <c r="T279" s="14"/>
      <c r="U279" s="14"/>
      <c r="V279" s="14"/>
      <c r="W279" s="14"/>
      <c r="X279" s="14"/>
      <c r="Y279" s="14"/>
      <c r="Z279" s="14"/>
      <c r="AA279" s="15"/>
      <c r="AB279" s="3"/>
      <c r="AC279" s="3"/>
      <c r="AD279" s="3"/>
      <c r="AE279" s="3"/>
      <c r="AF279" s="3"/>
      <c r="AG279" s="3"/>
      <c r="AH279" s="3"/>
      <c r="AI279" s="3"/>
      <c r="AJ279" s="3"/>
      <c r="AK279" s="3"/>
      <c r="AL279" s="3"/>
      <c r="AM279" s="3"/>
      <c r="AN279" s="3"/>
      <c r="AO279" s="3"/>
    </row>
    <row r="280" spans="2:41" x14ac:dyDescent="0.25">
      <c r="B280" s="13"/>
      <c r="C280" s="14"/>
      <c r="D280" s="60"/>
      <c r="E280" s="56"/>
      <c r="F280" s="56"/>
      <c r="G280" s="128"/>
      <c r="H280" s="56"/>
      <c r="I280" s="14"/>
      <c r="J280" s="14"/>
      <c r="K280" s="14"/>
      <c r="L280" s="14"/>
      <c r="M280" s="14"/>
      <c r="N280" s="14"/>
      <c r="O280" s="14"/>
      <c r="P280" s="14"/>
      <c r="Q280" s="14"/>
      <c r="R280" s="14"/>
      <c r="S280" s="14"/>
      <c r="T280" s="14"/>
      <c r="U280" s="14"/>
      <c r="V280" s="14"/>
      <c r="W280" s="14"/>
      <c r="X280" s="14"/>
      <c r="Y280" s="14"/>
      <c r="Z280" s="14"/>
      <c r="AA280" s="15"/>
      <c r="AB280" s="3"/>
      <c r="AC280" s="3"/>
      <c r="AD280" s="3"/>
      <c r="AE280" s="3"/>
      <c r="AF280" s="3"/>
      <c r="AG280" s="3"/>
      <c r="AH280" s="3"/>
      <c r="AI280" s="3"/>
      <c r="AJ280" s="3"/>
      <c r="AK280" s="3"/>
      <c r="AL280" s="3"/>
      <c r="AM280" s="3"/>
      <c r="AN280" s="3"/>
      <c r="AO280" s="3"/>
    </row>
    <row r="281" spans="2:41" x14ac:dyDescent="0.25">
      <c r="B281" s="13"/>
      <c r="C281" s="14"/>
      <c r="D281" s="60"/>
      <c r="E281" s="56"/>
      <c r="F281" s="56"/>
      <c r="G281" s="14"/>
      <c r="H281" s="56"/>
      <c r="I281" s="14"/>
      <c r="J281" s="14"/>
      <c r="K281" s="14"/>
      <c r="L281" s="14"/>
      <c r="M281" s="14"/>
      <c r="N281" s="14"/>
      <c r="O281" s="14"/>
      <c r="P281" s="14"/>
      <c r="Q281" s="14"/>
      <c r="R281" s="14"/>
      <c r="S281" s="14"/>
      <c r="T281" s="14"/>
      <c r="U281" s="14"/>
      <c r="V281" s="14"/>
      <c r="W281" s="14"/>
      <c r="X281" s="14"/>
      <c r="Y281" s="14"/>
      <c r="Z281" s="14"/>
      <c r="AA281" s="15"/>
      <c r="AB281" s="3"/>
      <c r="AC281" s="3"/>
      <c r="AD281" s="3"/>
      <c r="AE281" s="3"/>
      <c r="AF281" s="3"/>
      <c r="AG281" s="3"/>
      <c r="AH281" s="3"/>
      <c r="AI281" s="3"/>
      <c r="AJ281" s="3"/>
      <c r="AK281" s="3"/>
      <c r="AL281" s="3"/>
      <c r="AM281" s="3"/>
      <c r="AN281" s="3"/>
      <c r="AO281" s="3"/>
    </row>
    <row r="282" spans="2:41" x14ac:dyDescent="0.25">
      <c r="B282" s="13"/>
      <c r="C282" s="14"/>
      <c r="D282" s="14"/>
      <c r="E282" s="56"/>
      <c r="F282" s="56"/>
      <c r="G282" s="14"/>
      <c r="H282" s="56"/>
      <c r="I282" s="14"/>
      <c r="J282" s="14"/>
      <c r="K282" s="14"/>
      <c r="L282" s="14"/>
      <c r="M282" s="14"/>
      <c r="N282" s="14"/>
      <c r="O282" s="14"/>
      <c r="P282" s="14"/>
      <c r="Q282" s="14"/>
      <c r="R282" s="14"/>
      <c r="S282" s="14"/>
      <c r="T282" s="14"/>
      <c r="U282" s="14"/>
      <c r="V282" s="14"/>
      <c r="W282" s="14"/>
      <c r="X282" s="14"/>
      <c r="Y282" s="14"/>
      <c r="Z282" s="14"/>
      <c r="AA282" s="15"/>
      <c r="AB282" s="3"/>
      <c r="AC282" s="3"/>
      <c r="AD282" s="3"/>
      <c r="AE282" s="3"/>
      <c r="AF282" s="3"/>
      <c r="AG282" s="3"/>
      <c r="AH282" s="3"/>
      <c r="AI282" s="3"/>
      <c r="AJ282" s="3"/>
      <c r="AK282" s="3"/>
      <c r="AL282" s="3"/>
      <c r="AM282" s="3"/>
      <c r="AN282" s="3"/>
      <c r="AO282" s="3"/>
    </row>
    <row r="283" spans="2:41" x14ac:dyDescent="0.25">
      <c r="B283" s="13"/>
      <c r="C283" s="14"/>
      <c r="D283" s="60"/>
      <c r="E283" s="56"/>
      <c r="F283" s="56"/>
      <c r="G283" s="14"/>
      <c r="H283" s="56"/>
      <c r="I283" s="14"/>
      <c r="J283" s="14"/>
      <c r="K283" s="14"/>
      <c r="L283" s="14"/>
      <c r="M283" s="14"/>
      <c r="N283" s="14"/>
      <c r="O283" s="14"/>
      <c r="P283" s="14"/>
      <c r="Q283" s="14"/>
      <c r="R283" s="14"/>
      <c r="S283" s="14"/>
      <c r="T283" s="14"/>
      <c r="U283" s="14"/>
      <c r="V283" s="14"/>
      <c r="W283" s="14"/>
      <c r="X283" s="14"/>
      <c r="Y283" s="14"/>
      <c r="Z283" s="14"/>
      <c r="AA283" s="15"/>
      <c r="AB283" s="3"/>
      <c r="AC283" s="3"/>
      <c r="AD283" s="3"/>
      <c r="AE283" s="3"/>
      <c r="AF283" s="3"/>
      <c r="AG283" s="3"/>
      <c r="AH283" s="3"/>
      <c r="AI283" s="3"/>
      <c r="AJ283" s="3"/>
      <c r="AK283" s="3"/>
      <c r="AL283" s="3"/>
      <c r="AM283" s="3"/>
      <c r="AN283" s="3"/>
      <c r="AO283" s="3"/>
    </row>
    <row r="284" spans="2:41" x14ac:dyDescent="0.25">
      <c r="B284" s="13"/>
      <c r="C284" s="14"/>
      <c r="D284" s="60"/>
      <c r="E284" s="56"/>
      <c r="F284" s="56"/>
      <c r="G284" s="14"/>
      <c r="H284" s="56"/>
      <c r="I284" s="14"/>
      <c r="J284" s="14"/>
      <c r="K284" s="14"/>
      <c r="L284" s="14"/>
      <c r="M284" s="14"/>
      <c r="N284" s="14"/>
      <c r="O284" s="14"/>
      <c r="P284" s="14"/>
      <c r="Q284" s="14"/>
      <c r="R284" s="14"/>
      <c r="S284" s="14"/>
      <c r="T284" s="14"/>
      <c r="U284" s="14"/>
      <c r="V284" s="14"/>
      <c r="W284" s="14"/>
      <c r="X284" s="14"/>
      <c r="Y284" s="14"/>
      <c r="Z284" s="14"/>
      <c r="AA284" s="15"/>
      <c r="AB284" s="3"/>
      <c r="AC284" s="3"/>
      <c r="AD284" s="3"/>
      <c r="AE284" s="3"/>
      <c r="AF284" s="3"/>
      <c r="AG284" s="3"/>
      <c r="AH284" s="3"/>
      <c r="AI284" s="3"/>
      <c r="AJ284" s="3"/>
      <c r="AK284" s="3"/>
      <c r="AL284" s="3"/>
      <c r="AM284" s="3"/>
      <c r="AN284" s="3"/>
      <c r="AO284" s="3"/>
    </row>
    <row r="285" spans="2:41" x14ac:dyDescent="0.25">
      <c r="B285" s="13"/>
      <c r="C285" s="14"/>
      <c r="D285" s="60"/>
      <c r="E285" s="56"/>
      <c r="F285" s="56"/>
      <c r="G285" s="14"/>
      <c r="H285" s="56"/>
      <c r="I285" s="14"/>
      <c r="J285" s="14"/>
      <c r="K285" s="14"/>
      <c r="L285" s="14"/>
      <c r="M285" s="14"/>
      <c r="N285" s="14"/>
      <c r="O285" s="14"/>
      <c r="P285" s="14"/>
      <c r="Q285" s="14"/>
      <c r="R285" s="14"/>
      <c r="S285" s="14"/>
      <c r="T285" s="14"/>
      <c r="U285" s="14"/>
      <c r="V285" s="14"/>
      <c r="W285" s="14"/>
      <c r="X285" s="14"/>
      <c r="Y285" s="14"/>
      <c r="Z285" s="14"/>
      <c r="AA285" s="15"/>
      <c r="AB285" s="3"/>
      <c r="AC285" s="3"/>
      <c r="AD285" s="3"/>
      <c r="AE285" s="3"/>
      <c r="AF285" s="3"/>
      <c r="AG285" s="3"/>
      <c r="AH285" s="3"/>
      <c r="AI285" s="3"/>
      <c r="AJ285" s="3"/>
      <c r="AK285" s="3"/>
      <c r="AL285" s="3"/>
      <c r="AM285" s="3"/>
      <c r="AN285" s="3"/>
      <c r="AO285" s="3"/>
    </row>
    <row r="286" spans="2:41" x14ac:dyDescent="0.25">
      <c r="B286" s="13"/>
      <c r="C286" s="14"/>
      <c r="D286" s="60"/>
      <c r="E286" s="56"/>
      <c r="F286" s="56"/>
      <c r="G286" s="14"/>
      <c r="H286" s="56"/>
      <c r="I286" s="14"/>
      <c r="J286" s="14"/>
      <c r="K286" s="14"/>
      <c r="L286" s="14"/>
      <c r="M286" s="14"/>
      <c r="N286" s="14"/>
      <c r="O286" s="14"/>
      <c r="P286" s="14"/>
      <c r="Q286" s="14"/>
      <c r="R286" s="14"/>
      <c r="S286" s="14"/>
      <c r="T286" s="14"/>
      <c r="U286" s="14"/>
      <c r="V286" s="14"/>
      <c r="W286" s="14"/>
      <c r="X286" s="14"/>
      <c r="Y286" s="14"/>
      <c r="Z286" s="14"/>
      <c r="AA286" s="15"/>
      <c r="AB286" s="3"/>
      <c r="AC286" s="3"/>
      <c r="AD286" s="3"/>
      <c r="AE286" s="3"/>
      <c r="AF286" s="3"/>
      <c r="AG286" s="3"/>
      <c r="AH286" s="3"/>
      <c r="AI286" s="3"/>
      <c r="AJ286" s="3"/>
      <c r="AK286" s="3"/>
      <c r="AL286" s="3"/>
      <c r="AM286" s="3"/>
      <c r="AN286" s="3"/>
      <c r="AO286" s="3"/>
    </row>
    <row r="287" spans="2:41" x14ac:dyDescent="0.25">
      <c r="B287" s="13"/>
      <c r="C287" s="14"/>
      <c r="D287" s="60"/>
      <c r="E287" s="56"/>
      <c r="F287" s="56"/>
      <c r="G287" s="128"/>
      <c r="H287" s="56"/>
      <c r="I287" s="14"/>
      <c r="J287" s="14"/>
      <c r="K287" s="14"/>
      <c r="L287" s="14"/>
      <c r="M287" s="14"/>
      <c r="N287" s="14"/>
      <c r="O287" s="14"/>
      <c r="P287" s="14"/>
      <c r="Q287" s="14"/>
      <c r="R287" s="14"/>
      <c r="S287" s="14"/>
      <c r="T287" s="14"/>
      <c r="U287" s="14"/>
      <c r="V287" s="14"/>
      <c r="W287" s="14"/>
      <c r="X287" s="14"/>
      <c r="Y287" s="14"/>
      <c r="Z287" s="14"/>
      <c r="AA287" s="15"/>
      <c r="AB287" s="3"/>
      <c r="AC287" s="3"/>
      <c r="AD287" s="3"/>
      <c r="AE287" s="3"/>
      <c r="AF287" s="3"/>
      <c r="AG287" s="3"/>
      <c r="AH287" s="3"/>
      <c r="AI287" s="3"/>
      <c r="AJ287" s="3"/>
      <c r="AK287" s="3"/>
      <c r="AL287" s="3"/>
      <c r="AM287" s="3"/>
      <c r="AN287" s="3"/>
      <c r="AO287" s="3"/>
    </row>
    <row r="288" spans="2:41" x14ac:dyDescent="0.25">
      <c r="B288" s="13"/>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5"/>
      <c r="AB288" s="3"/>
      <c r="AC288" s="3"/>
      <c r="AD288" s="3"/>
      <c r="AE288" s="3"/>
      <c r="AF288" s="3"/>
      <c r="AG288" s="3"/>
      <c r="AH288" s="3"/>
      <c r="AI288" s="3"/>
      <c r="AJ288" s="3"/>
      <c r="AK288" s="3"/>
      <c r="AL288" s="3"/>
      <c r="AM288" s="3"/>
      <c r="AN288" s="3"/>
      <c r="AO288" s="3"/>
    </row>
    <row r="289" spans="2:41" x14ac:dyDescent="0.25">
      <c r="B289" s="13"/>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5"/>
      <c r="AB289" s="3"/>
      <c r="AC289" s="3"/>
      <c r="AD289" s="3"/>
      <c r="AE289" s="3"/>
      <c r="AF289" s="3"/>
      <c r="AG289" s="3"/>
      <c r="AH289" s="3"/>
      <c r="AI289" s="3"/>
      <c r="AJ289" s="3"/>
      <c r="AK289" s="3"/>
      <c r="AL289" s="3"/>
      <c r="AM289" s="3"/>
      <c r="AN289" s="3"/>
      <c r="AO289" s="3"/>
    </row>
    <row r="290" spans="2:41" x14ac:dyDescent="0.25">
      <c r="B290" s="13"/>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5"/>
      <c r="AB290" s="3"/>
      <c r="AC290" s="3"/>
      <c r="AD290" s="3"/>
      <c r="AE290" s="3"/>
      <c r="AF290" s="3"/>
      <c r="AG290" s="3"/>
      <c r="AH290" s="3"/>
      <c r="AI290" s="3"/>
      <c r="AJ290" s="3"/>
      <c r="AK290" s="3"/>
      <c r="AL290" s="3"/>
      <c r="AM290" s="3"/>
      <c r="AN290" s="3"/>
      <c r="AO290" s="3"/>
    </row>
    <row r="291" spans="2:41" x14ac:dyDescent="0.25">
      <c r="B291" s="13"/>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5"/>
      <c r="AB291" s="3"/>
      <c r="AC291" s="3"/>
      <c r="AD291" s="3"/>
      <c r="AE291" s="3"/>
      <c r="AF291" s="3"/>
      <c r="AG291" s="3"/>
      <c r="AH291" s="3"/>
      <c r="AI291" s="3"/>
      <c r="AJ291" s="3"/>
      <c r="AK291" s="3"/>
      <c r="AL291" s="3"/>
      <c r="AM291" s="3"/>
      <c r="AN291" s="3"/>
      <c r="AO291" s="3"/>
    </row>
    <row r="292" spans="2:41" x14ac:dyDescent="0.25">
      <c r="B292" s="13"/>
      <c r="C292" s="14"/>
      <c r="D292" s="60"/>
      <c r="E292" s="56"/>
      <c r="F292" s="56"/>
      <c r="G292" s="14"/>
      <c r="H292" s="56"/>
      <c r="I292" s="14"/>
      <c r="J292" s="14"/>
      <c r="K292" s="14"/>
      <c r="L292" s="14"/>
      <c r="M292" s="14"/>
      <c r="N292" s="14"/>
      <c r="O292" s="14"/>
      <c r="P292" s="14"/>
      <c r="Q292" s="14"/>
      <c r="R292" s="14"/>
      <c r="S292" s="14"/>
      <c r="T292" s="14"/>
      <c r="U292" s="14"/>
      <c r="V292" s="14"/>
      <c r="W292" s="14"/>
      <c r="X292" s="14"/>
      <c r="Y292" s="14"/>
      <c r="Z292" s="14"/>
      <c r="AA292" s="15"/>
      <c r="AB292" s="3"/>
      <c r="AC292" s="3"/>
      <c r="AD292" s="3"/>
      <c r="AE292" s="3"/>
      <c r="AF292" s="3"/>
      <c r="AG292" s="3"/>
      <c r="AH292" s="3"/>
      <c r="AI292" s="3"/>
      <c r="AJ292" s="3"/>
      <c r="AK292" s="3"/>
      <c r="AL292" s="3"/>
      <c r="AM292" s="3"/>
      <c r="AN292" s="3"/>
      <c r="AO292" s="3"/>
    </row>
    <row r="293" spans="2:41" x14ac:dyDescent="0.25">
      <c r="B293" s="13"/>
      <c r="C293" s="14"/>
      <c r="D293" s="60"/>
      <c r="E293" s="56"/>
      <c r="F293" s="56"/>
      <c r="G293" s="14"/>
      <c r="H293" s="56"/>
      <c r="I293" s="14"/>
      <c r="J293" s="14"/>
      <c r="K293" s="14"/>
      <c r="L293" s="14"/>
      <c r="M293" s="14"/>
      <c r="N293" s="14"/>
      <c r="O293" s="14"/>
      <c r="P293" s="14"/>
      <c r="Q293" s="14"/>
      <c r="R293" s="14"/>
      <c r="S293" s="14"/>
      <c r="T293" s="14"/>
      <c r="U293" s="14"/>
      <c r="V293" s="14"/>
      <c r="W293" s="14"/>
      <c r="X293" s="14"/>
      <c r="Y293" s="14"/>
      <c r="Z293" s="14"/>
      <c r="AA293" s="15"/>
      <c r="AB293" s="3"/>
      <c r="AC293" s="3"/>
      <c r="AD293" s="3"/>
      <c r="AE293" s="3"/>
      <c r="AF293" s="3"/>
      <c r="AG293" s="3"/>
      <c r="AH293" s="3"/>
      <c r="AI293" s="3"/>
      <c r="AJ293" s="3"/>
      <c r="AK293" s="3"/>
      <c r="AL293" s="3"/>
      <c r="AM293" s="3"/>
      <c r="AN293" s="3"/>
      <c r="AO293" s="3"/>
    </row>
    <row r="294" spans="2:41" x14ac:dyDescent="0.25">
      <c r="B294" s="13"/>
      <c r="C294" s="56"/>
      <c r="D294" s="60"/>
      <c r="E294" s="56"/>
      <c r="F294" s="56"/>
      <c r="G294" s="56"/>
      <c r="H294" s="56"/>
      <c r="I294" s="14"/>
      <c r="J294" s="14"/>
      <c r="K294" s="14"/>
      <c r="L294" s="14"/>
      <c r="M294" s="14"/>
      <c r="N294" s="14"/>
      <c r="O294" s="14"/>
      <c r="P294" s="14"/>
      <c r="Q294" s="14"/>
      <c r="R294" s="14"/>
      <c r="S294" s="14"/>
      <c r="T294" s="14"/>
      <c r="U294" s="14"/>
      <c r="V294" s="14"/>
      <c r="W294" s="14"/>
      <c r="X294" s="14"/>
      <c r="Y294" s="14"/>
      <c r="Z294" s="14"/>
      <c r="AA294" s="15"/>
      <c r="AB294" s="3"/>
      <c r="AC294" s="3"/>
      <c r="AD294" s="3"/>
      <c r="AE294" s="3"/>
      <c r="AF294" s="3"/>
      <c r="AG294" s="3"/>
      <c r="AH294" s="3"/>
      <c r="AI294" s="3"/>
      <c r="AJ294" s="3"/>
      <c r="AK294" s="3"/>
      <c r="AL294" s="3"/>
      <c r="AM294" s="3"/>
      <c r="AN294" s="3"/>
      <c r="AO294" s="3"/>
    </row>
    <row r="295" spans="2:41" x14ac:dyDescent="0.25">
      <c r="B295" s="13"/>
      <c r="C295" s="14"/>
      <c r="D295" s="60"/>
      <c r="E295" s="56"/>
      <c r="F295" s="56"/>
      <c r="G295" s="14"/>
      <c r="H295" s="56"/>
      <c r="I295" s="14"/>
      <c r="J295" s="14"/>
      <c r="K295" s="14"/>
      <c r="L295" s="14"/>
      <c r="M295" s="14"/>
      <c r="N295" s="14"/>
      <c r="O295" s="14"/>
      <c r="P295" s="14"/>
      <c r="Q295" s="14"/>
      <c r="R295" s="14"/>
      <c r="S295" s="14"/>
      <c r="T295" s="14"/>
      <c r="U295" s="14"/>
      <c r="V295" s="14"/>
      <c r="W295" s="14"/>
      <c r="X295" s="14"/>
      <c r="Y295" s="14"/>
      <c r="Z295" s="14"/>
      <c r="AA295" s="15"/>
      <c r="AB295" s="3"/>
      <c r="AC295" s="3"/>
      <c r="AD295" s="3"/>
      <c r="AE295" s="3"/>
      <c r="AF295" s="3"/>
      <c r="AG295" s="3"/>
      <c r="AH295" s="3"/>
      <c r="AI295" s="3"/>
      <c r="AJ295" s="3"/>
      <c r="AK295" s="3"/>
      <c r="AL295" s="3"/>
      <c r="AM295" s="3"/>
      <c r="AN295" s="3"/>
      <c r="AO295" s="3"/>
    </row>
    <row r="296" spans="2:41" x14ac:dyDescent="0.25">
      <c r="B296" s="13"/>
      <c r="C296" s="14"/>
      <c r="D296" s="14"/>
      <c r="E296" s="56"/>
      <c r="F296" s="56"/>
      <c r="G296" s="14"/>
      <c r="H296" s="56"/>
      <c r="I296" s="14"/>
      <c r="J296" s="14"/>
      <c r="K296" s="14"/>
      <c r="L296" s="14"/>
      <c r="M296" s="14"/>
      <c r="N296" s="14"/>
      <c r="O296" s="14"/>
      <c r="P296" s="14"/>
      <c r="Q296" s="14"/>
      <c r="R296" s="14"/>
      <c r="S296" s="14"/>
      <c r="T296" s="14"/>
      <c r="U296" s="14"/>
      <c r="V296" s="14"/>
      <c r="W296" s="14"/>
      <c r="X296" s="14"/>
      <c r="Y296" s="14"/>
      <c r="Z296" s="14"/>
      <c r="AA296" s="15"/>
      <c r="AB296" s="3"/>
      <c r="AC296" s="3"/>
      <c r="AD296" s="3"/>
      <c r="AE296" s="3"/>
      <c r="AF296" s="3"/>
      <c r="AG296" s="3"/>
      <c r="AH296" s="3"/>
      <c r="AI296" s="3"/>
      <c r="AJ296" s="3"/>
      <c r="AK296" s="3"/>
      <c r="AL296" s="3"/>
      <c r="AM296" s="3"/>
      <c r="AN296" s="3"/>
      <c r="AO296" s="3"/>
    </row>
    <row r="297" spans="2:41" ht="18.75" x14ac:dyDescent="0.3">
      <c r="B297" s="67"/>
      <c r="C297" s="14"/>
      <c r="D297" s="60"/>
      <c r="E297" s="56"/>
      <c r="F297" s="56"/>
      <c r="G297" s="14"/>
      <c r="H297" s="14"/>
      <c r="I297" s="74"/>
      <c r="J297" s="14"/>
      <c r="K297" s="14"/>
      <c r="L297" s="14"/>
      <c r="M297" s="14"/>
      <c r="N297" s="14"/>
      <c r="O297" s="14"/>
      <c r="P297" s="14"/>
      <c r="Q297" s="14"/>
      <c r="R297" s="14"/>
      <c r="S297" s="14"/>
      <c r="T297" s="14"/>
      <c r="U297" s="14"/>
      <c r="V297" s="14"/>
      <c r="W297" s="14"/>
      <c r="X297" s="14"/>
      <c r="Y297" s="14"/>
      <c r="Z297" s="14"/>
      <c r="AA297" s="15"/>
      <c r="AB297" s="3"/>
      <c r="AC297" s="3"/>
      <c r="AD297" s="3"/>
      <c r="AE297" s="3"/>
      <c r="AF297" s="3"/>
      <c r="AG297" s="3"/>
      <c r="AH297" s="3"/>
      <c r="AI297" s="3"/>
      <c r="AJ297" s="3"/>
      <c r="AK297" s="3"/>
      <c r="AL297" s="3"/>
      <c r="AM297" s="3"/>
      <c r="AN297" s="3"/>
      <c r="AO297" s="3"/>
    </row>
    <row r="298" spans="2:41" x14ac:dyDescent="0.25">
      <c r="B298" s="13"/>
      <c r="C298" s="14"/>
      <c r="D298" s="60"/>
      <c r="E298" s="56"/>
      <c r="F298" s="56"/>
      <c r="G298" s="14"/>
      <c r="H298" s="56"/>
      <c r="I298" s="14"/>
      <c r="J298" s="14"/>
      <c r="K298" s="14"/>
      <c r="L298" s="14"/>
      <c r="M298" s="14"/>
      <c r="N298" s="14"/>
      <c r="O298" s="14"/>
      <c r="P298" s="14"/>
      <c r="Q298" s="14"/>
      <c r="R298" s="14"/>
      <c r="S298" s="14"/>
      <c r="T298" s="14"/>
      <c r="U298" s="14"/>
      <c r="V298" s="14"/>
      <c r="W298" s="14"/>
      <c r="X298" s="14"/>
      <c r="Y298" s="14"/>
      <c r="Z298" s="14"/>
      <c r="AA298" s="15"/>
      <c r="AB298" s="3"/>
      <c r="AC298" s="3"/>
      <c r="AD298" s="3"/>
      <c r="AE298" s="3"/>
      <c r="AF298" s="3"/>
      <c r="AG298" s="3"/>
      <c r="AH298" s="3"/>
      <c r="AI298" s="3"/>
      <c r="AJ298" s="3"/>
      <c r="AK298" s="3"/>
      <c r="AL298" s="3"/>
      <c r="AM298" s="3"/>
      <c r="AN298" s="3"/>
      <c r="AO298" s="3"/>
    </row>
    <row r="299" spans="2:41" x14ac:dyDescent="0.25">
      <c r="B299" s="13"/>
      <c r="C299" s="14"/>
      <c r="D299" s="60"/>
      <c r="E299" s="56"/>
      <c r="F299" s="56"/>
      <c r="G299" s="14"/>
      <c r="H299" s="56"/>
      <c r="I299" s="14"/>
      <c r="J299" s="14"/>
      <c r="K299" s="14"/>
      <c r="L299" s="14"/>
      <c r="M299" s="14"/>
      <c r="N299" s="14"/>
      <c r="O299" s="14"/>
      <c r="P299" s="14"/>
      <c r="Q299" s="14"/>
      <c r="R299" s="14"/>
      <c r="S299" s="14"/>
      <c r="T299" s="14"/>
      <c r="U299" s="14"/>
      <c r="V299" s="14"/>
      <c r="W299" s="14"/>
      <c r="X299" s="14"/>
      <c r="Y299" s="14"/>
      <c r="Z299" s="14"/>
      <c r="AA299" s="15"/>
      <c r="AB299" s="3"/>
      <c r="AC299" s="3"/>
      <c r="AD299" s="3"/>
      <c r="AE299" s="3"/>
      <c r="AF299" s="3"/>
      <c r="AG299" s="3"/>
      <c r="AH299" s="3"/>
      <c r="AI299" s="3"/>
      <c r="AJ299" s="3"/>
      <c r="AK299" s="3"/>
      <c r="AL299" s="3"/>
      <c r="AM299" s="3"/>
      <c r="AN299" s="3"/>
      <c r="AO299" s="3"/>
    </row>
    <row r="300" spans="2:41" x14ac:dyDescent="0.25">
      <c r="B300" s="13"/>
      <c r="C300" s="14"/>
      <c r="D300" s="60"/>
      <c r="E300" s="56"/>
      <c r="F300" s="56"/>
      <c r="G300" s="14"/>
      <c r="H300" s="56"/>
      <c r="I300" s="14"/>
      <c r="J300" s="14"/>
      <c r="K300" s="14"/>
      <c r="L300" s="14"/>
      <c r="M300" s="14"/>
      <c r="N300" s="14"/>
      <c r="O300" s="14"/>
      <c r="P300" s="14"/>
      <c r="Q300" s="14"/>
      <c r="R300" s="14"/>
      <c r="S300" s="14"/>
      <c r="T300" s="14"/>
      <c r="U300" s="14"/>
      <c r="V300" s="14"/>
      <c r="W300" s="14"/>
      <c r="X300" s="14"/>
      <c r="Y300" s="14"/>
      <c r="Z300" s="14"/>
      <c r="AA300" s="15"/>
      <c r="AB300" s="3"/>
      <c r="AC300" s="3"/>
      <c r="AD300" s="3"/>
      <c r="AE300" s="3"/>
      <c r="AF300" s="3"/>
      <c r="AG300" s="3"/>
      <c r="AH300" s="3"/>
      <c r="AI300" s="3"/>
      <c r="AJ300" s="3"/>
      <c r="AK300" s="3"/>
      <c r="AL300" s="3"/>
      <c r="AM300" s="3"/>
      <c r="AN300" s="3"/>
      <c r="AO300" s="3"/>
    </row>
    <row r="301" spans="2:41" x14ac:dyDescent="0.25">
      <c r="B301" s="13"/>
      <c r="C301" s="56"/>
      <c r="D301" s="60"/>
      <c r="E301" s="56"/>
      <c r="F301" s="56"/>
      <c r="G301" s="56"/>
      <c r="H301" s="56"/>
      <c r="I301" s="14"/>
      <c r="J301" s="14"/>
      <c r="K301" s="14"/>
      <c r="L301" s="14"/>
      <c r="M301" s="14"/>
      <c r="N301" s="14"/>
      <c r="O301" s="14"/>
      <c r="P301" s="14"/>
      <c r="Q301" s="14"/>
      <c r="R301" s="14"/>
      <c r="S301" s="14"/>
      <c r="T301" s="14"/>
      <c r="U301" s="14"/>
      <c r="V301" s="14"/>
      <c r="W301" s="14"/>
      <c r="X301" s="14"/>
      <c r="Y301" s="14"/>
      <c r="Z301" s="14"/>
      <c r="AA301" s="15"/>
      <c r="AB301" s="3"/>
      <c r="AC301" s="3"/>
      <c r="AD301" s="3"/>
      <c r="AE301" s="3"/>
      <c r="AF301" s="3"/>
      <c r="AG301" s="3"/>
      <c r="AH301" s="3"/>
      <c r="AI301" s="3"/>
      <c r="AJ301" s="3"/>
      <c r="AK301" s="3"/>
      <c r="AL301" s="3"/>
      <c r="AM301" s="3"/>
      <c r="AN301" s="3"/>
      <c r="AO301" s="3"/>
    </row>
    <row r="302" spans="2:41" x14ac:dyDescent="0.25">
      <c r="B302" s="13"/>
      <c r="C302" s="14"/>
      <c r="D302" s="60"/>
      <c r="E302" s="56"/>
      <c r="F302" s="56"/>
      <c r="G302" s="14"/>
      <c r="H302" s="56"/>
      <c r="I302" s="14"/>
      <c r="J302" s="14"/>
      <c r="K302" s="14"/>
      <c r="L302" s="14"/>
      <c r="M302" s="14"/>
      <c r="N302" s="14"/>
      <c r="O302" s="14"/>
      <c r="P302" s="14"/>
      <c r="Q302" s="14"/>
      <c r="R302" s="14"/>
      <c r="S302" s="14"/>
      <c r="T302" s="14"/>
      <c r="U302" s="14"/>
      <c r="V302" s="14"/>
      <c r="W302" s="14"/>
      <c r="X302" s="14"/>
      <c r="Y302" s="14"/>
      <c r="Z302" s="14"/>
      <c r="AA302" s="15"/>
      <c r="AB302" s="3"/>
      <c r="AC302" s="3"/>
      <c r="AD302" s="3"/>
      <c r="AE302" s="3"/>
      <c r="AF302" s="3"/>
      <c r="AG302" s="3"/>
      <c r="AH302" s="3"/>
      <c r="AI302" s="3"/>
      <c r="AJ302" s="3"/>
      <c r="AK302" s="3"/>
      <c r="AL302" s="3"/>
      <c r="AM302" s="3"/>
      <c r="AN302" s="3"/>
      <c r="AO302" s="3"/>
    </row>
    <row r="303" spans="2:41" x14ac:dyDescent="0.25">
      <c r="B303" s="13"/>
      <c r="C303" s="14"/>
      <c r="D303" s="14"/>
      <c r="E303" s="56"/>
      <c r="F303" s="56"/>
      <c r="G303" s="14"/>
      <c r="H303" s="56"/>
      <c r="I303" s="14"/>
      <c r="J303" s="14"/>
      <c r="K303" s="14"/>
      <c r="L303" s="14"/>
      <c r="M303" s="14"/>
      <c r="N303" s="14"/>
      <c r="O303" s="14"/>
      <c r="P303" s="14"/>
      <c r="Q303" s="14"/>
      <c r="R303" s="14"/>
      <c r="S303" s="14"/>
      <c r="T303" s="14"/>
      <c r="U303" s="14"/>
      <c r="V303" s="14"/>
      <c r="W303" s="14"/>
      <c r="X303" s="14"/>
      <c r="Y303" s="14"/>
      <c r="Z303" s="14"/>
      <c r="AA303" s="15"/>
      <c r="AB303" s="3"/>
      <c r="AC303" s="3"/>
      <c r="AD303" s="3"/>
      <c r="AE303" s="3"/>
      <c r="AF303" s="3"/>
      <c r="AG303" s="3"/>
      <c r="AH303" s="3"/>
      <c r="AI303" s="3"/>
      <c r="AJ303" s="3"/>
      <c r="AK303" s="3"/>
      <c r="AL303" s="3"/>
      <c r="AM303" s="3"/>
      <c r="AN303" s="3"/>
      <c r="AO303" s="3"/>
    </row>
    <row r="304" spans="2:41" x14ac:dyDescent="0.25">
      <c r="B304" s="13"/>
      <c r="C304" s="14"/>
      <c r="D304" s="60"/>
      <c r="E304" s="56"/>
      <c r="F304" s="56"/>
      <c r="G304" s="14"/>
      <c r="H304" s="14"/>
      <c r="I304" s="14"/>
      <c r="J304" s="14"/>
      <c r="K304" s="14"/>
      <c r="L304" s="14"/>
      <c r="M304" s="14"/>
      <c r="N304" s="14"/>
      <c r="O304" s="14"/>
      <c r="P304" s="14"/>
      <c r="Q304" s="14"/>
      <c r="R304" s="14"/>
      <c r="S304" s="14"/>
      <c r="T304" s="14"/>
      <c r="U304" s="14"/>
      <c r="V304" s="14"/>
      <c r="W304" s="14"/>
      <c r="X304" s="14"/>
      <c r="Y304" s="14"/>
      <c r="Z304" s="14"/>
      <c r="AA304" s="15"/>
      <c r="AB304" s="3"/>
      <c r="AC304" s="3"/>
      <c r="AD304" s="3"/>
      <c r="AE304" s="3"/>
      <c r="AF304" s="3"/>
      <c r="AG304" s="3"/>
      <c r="AH304" s="3"/>
      <c r="AI304" s="3"/>
      <c r="AJ304" s="3"/>
      <c r="AK304" s="3"/>
      <c r="AL304" s="3"/>
      <c r="AM304" s="3"/>
      <c r="AN304" s="3"/>
      <c r="AO304" s="3"/>
    </row>
    <row r="305" spans="2:41" ht="18.75" x14ac:dyDescent="0.3">
      <c r="B305" s="67"/>
      <c r="C305" s="14"/>
      <c r="D305" s="60"/>
      <c r="E305" s="56"/>
      <c r="F305" s="56"/>
      <c r="G305" s="14"/>
      <c r="H305" s="56"/>
      <c r="I305" s="74"/>
      <c r="J305" s="14"/>
      <c r="K305" s="14"/>
      <c r="L305" s="14"/>
      <c r="M305" s="14"/>
      <c r="N305" s="14"/>
      <c r="O305" s="14"/>
      <c r="P305" s="14"/>
      <c r="Q305" s="14"/>
      <c r="R305" s="14"/>
      <c r="S305" s="14"/>
      <c r="T305" s="14"/>
      <c r="U305" s="14"/>
      <c r="V305" s="14"/>
      <c r="W305" s="14"/>
      <c r="X305" s="14"/>
      <c r="Y305" s="14"/>
      <c r="Z305" s="14"/>
      <c r="AA305" s="15"/>
      <c r="AB305" s="3"/>
      <c r="AC305" s="3"/>
      <c r="AD305" s="3"/>
      <c r="AE305" s="3"/>
      <c r="AF305" s="3"/>
      <c r="AG305" s="3"/>
      <c r="AH305" s="3"/>
      <c r="AI305" s="3"/>
      <c r="AJ305" s="3"/>
      <c r="AK305" s="3"/>
      <c r="AL305" s="3"/>
      <c r="AM305" s="3"/>
      <c r="AN305" s="3"/>
      <c r="AO305" s="3"/>
    </row>
    <row r="306" spans="2:41" x14ac:dyDescent="0.25">
      <c r="B306" s="13"/>
      <c r="C306" s="14"/>
      <c r="D306" s="60"/>
      <c r="E306" s="56"/>
      <c r="F306" s="56"/>
      <c r="G306" s="14"/>
      <c r="H306" s="56"/>
      <c r="I306" s="14"/>
      <c r="J306" s="14"/>
      <c r="K306" s="14"/>
      <c r="L306" s="14"/>
      <c r="M306" s="14"/>
      <c r="N306" s="14"/>
      <c r="O306" s="14"/>
      <c r="P306" s="14"/>
      <c r="Q306" s="14"/>
      <c r="R306" s="14"/>
      <c r="S306" s="14"/>
      <c r="T306" s="14"/>
      <c r="U306" s="14"/>
      <c r="V306" s="14"/>
      <c r="W306" s="14"/>
      <c r="X306" s="14"/>
      <c r="Y306" s="14"/>
      <c r="Z306" s="14"/>
      <c r="AA306" s="15"/>
      <c r="AB306" s="3"/>
      <c r="AC306" s="3"/>
      <c r="AD306" s="3"/>
      <c r="AE306" s="3"/>
      <c r="AF306" s="3"/>
      <c r="AG306" s="3"/>
      <c r="AH306" s="3"/>
      <c r="AI306" s="3"/>
      <c r="AJ306" s="3"/>
      <c r="AK306" s="3"/>
      <c r="AL306" s="3"/>
      <c r="AM306" s="3"/>
      <c r="AN306" s="3"/>
      <c r="AO306" s="3"/>
    </row>
    <row r="307" spans="2:41" x14ac:dyDescent="0.25">
      <c r="B307" s="13"/>
      <c r="C307" s="14"/>
      <c r="D307" s="60"/>
      <c r="E307" s="56"/>
      <c r="F307" s="56"/>
      <c r="G307" s="14"/>
      <c r="H307" s="56"/>
      <c r="I307" s="14"/>
      <c r="J307" s="14"/>
      <c r="K307" s="14"/>
      <c r="L307" s="14"/>
      <c r="M307" s="14"/>
      <c r="N307" s="14"/>
      <c r="O307" s="14"/>
      <c r="P307" s="14"/>
      <c r="Q307" s="14"/>
      <c r="R307" s="14"/>
      <c r="S307" s="14"/>
      <c r="T307" s="14"/>
      <c r="U307" s="14"/>
      <c r="V307" s="14"/>
      <c r="W307" s="14"/>
      <c r="X307" s="14"/>
      <c r="Y307" s="14"/>
      <c r="Z307" s="14"/>
      <c r="AA307" s="15"/>
      <c r="AB307" s="3"/>
      <c r="AC307" s="3"/>
      <c r="AD307" s="3"/>
      <c r="AE307" s="3"/>
      <c r="AF307" s="3"/>
      <c r="AG307" s="3"/>
      <c r="AH307" s="3"/>
      <c r="AI307" s="3"/>
      <c r="AJ307" s="3"/>
      <c r="AK307" s="3"/>
      <c r="AL307" s="3"/>
      <c r="AM307" s="3"/>
      <c r="AN307" s="3"/>
      <c r="AO307" s="3"/>
    </row>
    <row r="308" spans="2:41" x14ac:dyDescent="0.25">
      <c r="B308" s="13"/>
      <c r="C308" s="56"/>
      <c r="D308" s="60"/>
      <c r="E308" s="56"/>
      <c r="F308" s="56"/>
      <c r="G308" s="56"/>
      <c r="H308" s="56"/>
      <c r="I308" s="14"/>
      <c r="J308" s="14"/>
      <c r="K308" s="14"/>
      <c r="L308" s="14"/>
      <c r="M308" s="14"/>
      <c r="N308" s="14"/>
      <c r="O308" s="14"/>
      <c r="P308" s="14"/>
      <c r="Q308" s="14"/>
      <c r="R308" s="14"/>
      <c r="S308" s="14"/>
      <c r="T308" s="14"/>
      <c r="U308" s="14"/>
      <c r="V308" s="14"/>
      <c r="W308" s="14"/>
      <c r="X308" s="14"/>
      <c r="Y308" s="14"/>
      <c r="Z308" s="14"/>
      <c r="AA308" s="15"/>
      <c r="AB308" s="3"/>
      <c r="AC308" s="3"/>
      <c r="AD308" s="3"/>
      <c r="AE308" s="3"/>
      <c r="AF308" s="3"/>
      <c r="AG308" s="3"/>
      <c r="AH308" s="3"/>
      <c r="AI308" s="3"/>
      <c r="AJ308" s="3"/>
      <c r="AK308" s="3"/>
      <c r="AL308" s="3"/>
      <c r="AM308" s="3"/>
      <c r="AN308" s="3"/>
      <c r="AO308" s="3"/>
    </row>
    <row r="309" spans="2:41" x14ac:dyDescent="0.25">
      <c r="B309" s="13"/>
      <c r="C309" s="14"/>
      <c r="D309" s="60"/>
      <c r="E309" s="56"/>
      <c r="F309" s="56"/>
      <c r="G309" s="14"/>
      <c r="H309" s="56"/>
      <c r="I309" s="14"/>
      <c r="J309" s="14"/>
      <c r="K309" s="14"/>
      <c r="L309" s="14"/>
      <c r="M309" s="14"/>
      <c r="N309" s="14"/>
      <c r="O309" s="14"/>
      <c r="P309" s="14"/>
      <c r="Q309" s="14"/>
      <c r="R309" s="14"/>
      <c r="S309" s="14"/>
      <c r="T309" s="14"/>
      <c r="U309" s="14"/>
      <c r="V309" s="14"/>
      <c r="W309" s="14"/>
      <c r="X309" s="14"/>
      <c r="Y309" s="14"/>
      <c r="Z309" s="14"/>
      <c r="AA309" s="15"/>
      <c r="AB309" s="3"/>
      <c r="AC309" s="3"/>
      <c r="AD309" s="3"/>
      <c r="AE309" s="3"/>
      <c r="AF309" s="3"/>
      <c r="AG309" s="3"/>
      <c r="AH309" s="3"/>
      <c r="AI309" s="3"/>
      <c r="AJ309" s="3"/>
      <c r="AK309" s="3"/>
      <c r="AL309" s="3"/>
      <c r="AM309" s="3"/>
      <c r="AN309" s="3"/>
      <c r="AO309" s="3"/>
    </row>
    <row r="310" spans="2:41" x14ac:dyDescent="0.25">
      <c r="B310" s="13"/>
      <c r="C310" s="14"/>
      <c r="D310" s="14"/>
      <c r="E310" s="56"/>
      <c r="F310" s="56"/>
      <c r="G310" s="14"/>
      <c r="H310" s="56"/>
      <c r="I310" s="14"/>
      <c r="J310" s="14"/>
      <c r="K310" s="14"/>
      <c r="L310" s="14"/>
      <c r="M310" s="14"/>
      <c r="N310" s="14"/>
      <c r="O310" s="14"/>
      <c r="P310" s="14"/>
      <c r="Q310" s="14"/>
      <c r="R310" s="14"/>
      <c r="S310" s="14"/>
      <c r="T310" s="14"/>
      <c r="U310" s="14"/>
      <c r="V310" s="14"/>
      <c r="W310" s="14"/>
      <c r="X310" s="14"/>
      <c r="Y310" s="14"/>
      <c r="Z310" s="14"/>
      <c r="AA310" s="15"/>
      <c r="AB310" s="3"/>
      <c r="AC310" s="3"/>
      <c r="AD310" s="3"/>
      <c r="AE310" s="3"/>
      <c r="AF310" s="3"/>
      <c r="AG310" s="3"/>
      <c r="AH310" s="3"/>
      <c r="AI310" s="3"/>
      <c r="AJ310" s="3"/>
      <c r="AK310" s="3"/>
      <c r="AL310" s="3"/>
      <c r="AM310" s="3"/>
      <c r="AN310" s="3"/>
      <c r="AO310" s="3"/>
    </row>
    <row r="311" spans="2:41" x14ac:dyDescent="0.25">
      <c r="B311" s="13"/>
      <c r="C311" s="14"/>
      <c r="D311" s="60"/>
      <c r="E311" s="56"/>
      <c r="F311" s="56"/>
      <c r="G311" s="14"/>
      <c r="H311" s="14"/>
      <c r="I311" s="14"/>
      <c r="J311" s="14"/>
      <c r="K311" s="14"/>
      <c r="L311" s="14"/>
      <c r="M311" s="14"/>
      <c r="N311" s="14"/>
      <c r="O311" s="14"/>
      <c r="P311" s="14"/>
      <c r="Q311" s="14"/>
      <c r="R311" s="14"/>
      <c r="S311" s="14"/>
      <c r="T311" s="14"/>
      <c r="U311" s="14"/>
      <c r="V311" s="14"/>
      <c r="W311" s="14"/>
      <c r="X311" s="14"/>
      <c r="Y311" s="14"/>
      <c r="Z311" s="14"/>
      <c r="AA311" s="15"/>
      <c r="AB311" s="3"/>
      <c r="AC311" s="3"/>
      <c r="AD311" s="3"/>
      <c r="AE311" s="3"/>
      <c r="AF311" s="3"/>
      <c r="AG311" s="3"/>
      <c r="AH311" s="3"/>
      <c r="AI311" s="3"/>
      <c r="AJ311" s="3"/>
      <c r="AK311" s="3"/>
      <c r="AL311" s="3"/>
      <c r="AM311" s="3"/>
      <c r="AN311" s="3"/>
      <c r="AO311" s="3"/>
    </row>
    <row r="312" spans="2:41" x14ac:dyDescent="0.25">
      <c r="B312" s="13"/>
      <c r="C312" s="14"/>
      <c r="D312" s="60"/>
      <c r="E312" s="56"/>
      <c r="F312" s="56"/>
      <c r="G312" s="14"/>
      <c r="H312" s="56"/>
      <c r="I312" s="14"/>
      <c r="J312" s="14"/>
      <c r="K312" s="14"/>
      <c r="L312" s="14"/>
      <c r="M312" s="14"/>
      <c r="N312" s="14"/>
      <c r="O312" s="14"/>
      <c r="P312" s="14"/>
      <c r="Q312" s="14"/>
      <c r="R312" s="14"/>
      <c r="S312" s="14"/>
      <c r="T312" s="14"/>
      <c r="U312" s="14"/>
      <c r="V312" s="14"/>
      <c r="W312" s="14"/>
      <c r="X312" s="14"/>
      <c r="Y312" s="14"/>
      <c r="Z312" s="14"/>
      <c r="AA312" s="15"/>
      <c r="AB312" s="3"/>
      <c r="AC312" s="3"/>
      <c r="AD312" s="3"/>
      <c r="AE312" s="3"/>
      <c r="AF312" s="3"/>
      <c r="AG312" s="3"/>
      <c r="AH312" s="3"/>
      <c r="AI312" s="3"/>
      <c r="AJ312" s="3"/>
      <c r="AK312" s="3"/>
      <c r="AL312" s="3"/>
      <c r="AM312" s="3"/>
      <c r="AN312" s="3"/>
      <c r="AO312" s="3"/>
    </row>
    <row r="313" spans="2:41" ht="18.75" x14ac:dyDescent="0.3">
      <c r="B313" s="67"/>
      <c r="C313" s="14"/>
      <c r="D313" s="60"/>
      <c r="E313" s="56"/>
      <c r="F313" s="56"/>
      <c r="G313" s="14"/>
      <c r="H313" s="56"/>
      <c r="I313" s="74"/>
      <c r="J313" s="14"/>
      <c r="K313" s="14"/>
      <c r="L313" s="14"/>
      <c r="M313" s="14"/>
      <c r="N313" s="14"/>
      <c r="O313" s="14"/>
      <c r="P313" s="14"/>
      <c r="Q313" s="14"/>
      <c r="R313" s="14"/>
      <c r="S313" s="14"/>
      <c r="T313" s="14"/>
      <c r="U313" s="14"/>
      <c r="V313" s="14"/>
      <c r="W313" s="14"/>
      <c r="X313" s="14"/>
      <c r="Y313" s="14"/>
      <c r="Z313" s="14"/>
      <c r="AA313" s="15"/>
      <c r="AB313" s="3"/>
      <c r="AC313" s="3"/>
      <c r="AD313" s="3"/>
      <c r="AE313" s="3"/>
      <c r="AF313" s="3"/>
      <c r="AG313" s="3"/>
      <c r="AH313" s="3"/>
      <c r="AI313" s="3"/>
      <c r="AJ313" s="3"/>
      <c r="AK313" s="3"/>
      <c r="AL313" s="3"/>
      <c r="AM313" s="3"/>
      <c r="AN313" s="3"/>
      <c r="AO313" s="3"/>
    </row>
    <row r="314" spans="2:41" x14ac:dyDescent="0.25">
      <c r="B314" s="13"/>
      <c r="C314" s="14"/>
      <c r="D314" s="60"/>
      <c r="E314" s="56"/>
      <c r="F314" s="56"/>
      <c r="G314" s="14"/>
      <c r="H314" s="56"/>
      <c r="I314" s="14"/>
      <c r="J314" s="14"/>
      <c r="K314" s="14"/>
      <c r="L314" s="14"/>
      <c r="M314" s="14"/>
      <c r="N314" s="14"/>
      <c r="O314" s="14"/>
      <c r="P314" s="14"/>
      <c r="Q314" s="14"/>
      <c r="R314" s="14"/>
      <c r="S314" s="14"/>
      <c r="T314" s="14"/>
      <c r="U314" s="14"/>
      <c r="V314" s="14"/>
      <c r="W314" s="14"/>
      <c r="X314" s="14"/>
      <c r="Y314" s="14"/>
      <c r="Z314" s="14"/>
      <c r="AA314" s="15"/>
      <c r="AB314" s="3"/>
      <c r="AC314" s="3"/>
      <c r="AD314" s="3"/>
      <c r="AE314" s="3"/>
      <c r="AF314" s="3"/>
      <c r="AG314" s="3"/>
      <c r="AH314" s="3"/>
      <c r="AI314" s="3"/>
      <c r="AJ314" s="3"/>
      <c r="AK314" s="3"/>
      <c r="AL314" s="3"/>
      <c r="AM314" s="3"/>
      <c r="AN314" s="3"/>
      <c r="AO314" s="3"/>
    </row>
    <row r="315" spans="2:41" x14ac:dyDescent="0.25">
      <c r="B315" s="13"/>
      <c r="C315" s="56"/>
      <c r="D315" s="60"/>
      <c r="E315" s="56"/>
      <c r="F315" s="56"/>
      <c r="G315" s="56"/>
      <c r="H315" s="56"/>
      <c r="I315" s="14"/>
      <c r="J315" s="14"/>
      <c r="K315" s="14"/>
      <c r="L315" s="14"/>
      <c r="M315" s="14"/>
      <c r="N315" s="14"/>
      <c r="O315" s="14"/>
      <c r="P315" s="14"/>
      <c r="Q315" s="14"/>
      <c r="R315" s="14"/>
      <c r="S315" s="14"/>
      <c r="T315" s="14"/>
      <c r="U315" s="14"/>
      <c r="V315" s="14"/>
      <c r="W315" s="14"/>
      <c r="X315" s="14"/>
      <c r="Y315" s="14"/>
      <c r="Z315" s="14"/>
      <c r="AA315" s="15"/>
      <c r="AB315" s="3"/>
      <c r="AC315" s="3"/>
      <c r="AD315" s="3"/>
      <c r="AE315" s="3"/>
      <c r="AF315" s="3"/>
      <c r="AG315" s="3"/>
      <c r="AH315" s="3"/>
      <c r="AI315" s="3"/>
      <c r="AJ315" s="3"/>
      <c r="AK315" s="3"/>
      <c r="AL315" s="3"/>
      <c r="AM315" s="3"/>
      <c r="AN315" s="3"/>
      <c r="AO315" s="3"/>
    </row>
    <row r="316" spans="2:41" x14ac:dyDescent="0.25">
      <c r="B316" s="13"/>
      <c r="C316" s="14"/>
      <c r="D316" s="60"/>
      <c r="E316" s="56"/>
      <c r="F316" s="56"/>
      <c r="G316" s="14"/>
      <c r="H316" s="56"/>
      <c r="I316" s="14"/>
      <c r="J316" s="14"/>
      <c r="K316" s="14"/>
      <c r="L316" s="14"/>
      <c r="M316" s="14"/>
      <c r="N316" s="14"/>
      <c r="O316" s="14"/>
      <c r="P316" s="14"/>
      <c r="Q316" s="14"/>
      <c r="R316" s="14"/>
      <c r="S316" s="14"/>
      <c r="T316" s="14"/>
      <c r="U316" s="14"/>
      <c r="V316" s="14"/>
      <c r="W316" s="14"/>
      <c r="X316" s="14"/>
      <c r="Y316" s="14"/>
      <c r="Z316" s="14"/>
      <c r="AA316" s="15"/>
      <c r="AB316" s="3"/>
      <c r="AC316" s="3"/>
      <c r="AD316" s="3"/>
      <c r="AE316" s="3"/>
      <c r="AF316" s="3"/>
      <c r="AG316" s="3"/>
      <c r="AH316" s="3"/>
      <c r="AI316" s="3"/>
      <c r="AJ316" s="3"/>
      <c r="AK316" s="3"/>
      <c r="AL316" s="3"/>
      <c r="AM316" s="3"/>
      <c r="AN316" s="3"/>
      <c r="AO316" s="3"/>
    </row>
    <row r="317" spans="2:41" x14ac:dyDescent="0.25">
      <c r="B317" s="13"/>
      <c r="C317" s="14"/>
      <c r="D317" s="14"/>
      <c r="E317" s="56"/>
      <c r="F317" s="56"/>
      <c r="G317" s="14"/>
      <c r="H317" s="56"/>
      <c r="I317" s="14"/>
      <c r="J317" s="14"/>
      <c r="K317" s="14"/>
      <c r="L317" s="14"/>
      <c r="M317" s="14"/>
      <c r="N317" s="14"/>
      <c r="O317" s="14"/>
      <c r="P317" s="14"/>
      <c r="Q317" s="14"/>
      <c r="R317" s="14"/>
      <c r="S317" s="14"/>
      <c r="T317" s="14"/>
      <c r="U317" s="14"/>
      <c r="V317" s="14"/>
      <c r="W317" s="14"/>
      <c r="X317" s="14"/>
      <c r="Y317" s="14"/>
      <c r="Z317" s="14"/>
      <c r="AA317" s="15"/>
      <c r="AB317" s="3"/>
      <c r="AC317" s="3"/>
      <c r="AD317" s="3"/>
      <c r="AE317" s="3"/>
      <c r="AF317" s="3"/>
      <c r="AG317" s="3"/>
      <c r="AH317" s="3"/>
      <c r="AI317" s="3"/>
      <c r="AJ317" s="3"/>
      <c r="AK317" s="3"/>
      <c r="AL317" s="3"/>
      <c r="AM317" s="3"/>
      <c r="AN317" s="3"/>
      <c r="AO317" s="3"/>
    </row>
    <row r="318" spans="2:41" x14ac:dyDescent="0.25">
      <c r="B318" s="13"/>
      <c r="C318" s="14"/>
      <c r="D318" s="60"/>
      <c r="E318" s="56"/>
      <c r="F318" s="56"/>
      <c r="G318" s="14"/>
      <c r="H318" s="14"/>
      <c r="I318" s="14"/>
      <c r="J318" s="14"/>
      <c r="K318" s="14"/>
      <c r="L318" s="14"/>
      <c r="M318" s="14"/>
      <c r="N318" s="14"/>
      <c r="O318" s="14"/>
      <c r="P318" s="14"/>
      <c r="Q318" s="14"/>
      <c r="R318" s="14"/>
      <c r="S318" s="14"/>
      <c r="T318" s="14"/>
      <c r="U318" s="14"/>
      <c r="V318" s="14"/>
      <c r="W318" s="14"/>
      <c r="X318" s="14"/>
      <c r="Y318" s="14"/>
      <c r="Z318" s="14"/>
      <c r="AA318" s="15"/>
      <c r="AB318" s="3"/>
      <c r="AC318" s="3"/>
      <c r="AD318" s="3"/>
      <c r="AE318" s="3"/>
      <c r="AF318" s="3"/>
      <c r="AG318" s="3"/>
      <c r="AH318" s="3"/>
      <c r="AI318" s="3"/>
      <c r="AJ318" s="3"/>
      <c r="AK318" s="3"/>
      <c r="AL318" s="3"/>
      <c r="AM318" s="3"/>
      <c r="AN318" s="3"/>
      <c r="AO318" s="3"/>
    </row>
    <row r="319" spans="2:41" x14ac:dyDescent="0.25">
      <c r="B319" s="13"/>
      <c r="C319" s="14"/>
      <c r="D319" s="60"/>
      <c r="E319" s="56"/>
      <c r="F319" s="56"/>
      <c r="G319" s="14"/>
      <c r="H319" s="56"/>
      <c r="I319" s="14"/>
      <c r="J319" s="14"/>
      <c r="K319" s="14"/>
      <c r="L319" s="14"/>
      <c r="M319" s="14"/>
      <c r="N319" s="14"/>
      <c r="O319" s="14"/>
      <c r="P319" s="14"/>
      <c r="Q319" s="14"/>
      <c r="R319" s="14"/>
      <c r="S319" s="14"/>
      <c r="T319" s="14"/>
      <c r="U319" s="14"/>
      <c r="V319" s="14"/>
      <c r="W319" s="14"/>
      <c r="X319" s="14"/>
      <c r="Y319" s="14"/>
      <c r="Z319" s="14"/>
      <c r="AA319" s="15"/>
      <c r="AB319" s="3"/>
      <c r="AC319" s="3"/>
      <c r="AD319" s="3"/>
      <c r="AE319" s="3"/>
      <c r="AF319" s="3"/>
      <c r="AG319" s="3"/>
      <c r="AH319" s="3"/>
      <c r="AI319" s="3"/>
      <c r="AJ319" s="3"/>
      <c r="AK319" s="3"/>
      <c r="AL319" s="3"/>
      <c r="AM319" s="3"/>
      <c r="AN319" s="3"/>
      <c r="AO319" s="3"/>
    </row>
    <row r="320" spans="2:41" x14ac:dyDescent="0.25">
      <c r="B320" s="13"/>
      <c r="C320" s="14"/>
      <c r="D320" s="60"/>
      <c r="E320" s="56"/>
      <c r="F320" s="56"/>
      <c r="G320" s="14"/>
      <c r="H320" s="56"/>
      <c r="I320" s="14"/>
      <c r="J320" s="14"/>
      <c r="K320" s="14"/>
      <c r="L320" s="14"/>
      <c r="M320" s="14"/>
      <c r="N320" s="14"/>
      <c r="O320" s="14"/>
      <c r="P320" s="14"/>
      <c r="Q320" s="14"/>
      <c r="R320" s="14"/>
      <c r="S320" s="14"/>
      <c r="T320" s="14"/>
      <c r="U320" s="14"/>
      <c r="V320" s="14"/>
      <c r="W320" s="14"/>
      <c r="X320" s="14"/>
      <c r="Y320" s="14"/>
      <c r="Z320" s="14"/>
      <c r="AA320" s="15"/>
      <c r="AB320" s="3"/>
      <c r="AC320" s="3"/>
      <c r="AD320" s="3"/>
      <c r="AE320" s="3"/>
      <c r="AF320" s="3"/>
      <c r="AG320" s="3"/>
      <c r="AH320" s="3"/>
      <c r="AI320" s="3"/>
      <c r="AJ320" s="3"/>
      <c r="AK320" s="3"/>
      <c r="AL320" s="3"/>
      <c r="AM320" s="3"/>
      <c r="AN320" s="3"/>
      <c r="AO320" s="3"/>
    </row>
    <row r="321" spans="2:41" ht="18.75" x14ac:dyDescent="0.3">
      <c r="B321" s="67"/>
      <c r="C321" s="14"/>
      <c r="D321" s="60"/>
      <c r="E321" s="56"/>
      <c r="F321" s="56"/>
      <c r="G321" s="14"/>
      <c r="H321" s="56"/>
      <c r="I321" s="74"/>
      <c r="J321" s="14"/>
      <c r="K321" s="14"/>
      <c r="L321" s="14"/>
      <c r="M321" s="14"/>
      <c r="N321" s="14"/>
      <c r="O321" s="14"/>
      <c r="P321" s="14"/>
      <c r="Q321" s="14"/>
      <c r="R321" s="14"/>
      <c r="S321" s="14"/>
      <c r="T321" s="14"/>
      <c r="U321" s="14"/>
      <c r="V321" s="14"/>
      <c r="W321" s="14"/>
      <c r="X321" s="14"/>
      <c r="Y321" s="14"/>
      <c r="Z321" s="14"/>
      <c r="AA321" s="15"/>
      <c r="AB321" s="3"/>
      <c r="AC321" s="3"/>
      <c r="AD321" s="3"/>
      <c r="AE321" s="3"/>
      <c r="AF321" s="3"/>
      <c r="AG321" s="3"/>
      <c r="AH321" s="3"/>
      <c r="AI321" s="3"/>
      <c r="AJ321" s="3"/>
      <c r="AK321" s="3"/>
      <c r="AL321" s="3"/>
      <c r="AM321" s="3"/>
      <c r="AN321" s="3"/>
      <c r="AO321" s="3"/>
    </row>
    <row r="322" spans="2:41" x14ac:dyDescent="0.25">
      <c r="B322" s="13"/>
      <c r="C322" s="56"/>
      <c r="D322" s="60"/>
      <c r="E322" s="56"/>
      <c r="F322" s="56"/>
      <c r="G322" s="56"/>
      <c r="H322" s="56"/>
      <c r="I322" s="14"/>
      <c r="J322" s="14"/>
      <c r="K322" s="14"/>
      <c r="L322" s="14"/>
      <c r="M322" s="14"/>
      <c r="N322" s="14"/>
      <c r="O322" s="14"/>
      <c r="P322" s="14"/>
      <c r="Q322" s="14"/>
      <c r="R322" s="14"/>
      <c r="S322" s="14"/>
      <c r="T322" s="14"/>
      <c r="U322" s="14"/>
      <c r="V322" s="14"/>
      <c r="W322" s="14"/>
      <c r="X322" s="14"/>
      <c r="Y322" s="14"/>
      <c r="Z322" s="14"/>
      <c r="AA322" s="15"/>
      <c r="AB322" s="3"/>
      <c r="AC322" s="3"/>
      <c r="AD322" s="3"/>
      <c r="AE322" s="3"/>
      <c r="AF322" s="3"/>
      <c r="AG322" s="3"/>
      <c r="AH322" s="3"/>
      <c r="AI322" s="3"/>
      <c r="AJ322" s="3"/>
      <c r="AK322" s="3"/>
      <c r="AL322" s="3"/>
      <c r="AM322" s="3"/>
      <c r="AN322" s="3"/>
      <c r="AO322" s="3"/>
    </row>
    <row r="323" spans="2:41" x14ac:dyDescent="0.25">
      <c r="B323" s="13"/>
      <c r="C323" s="14"/>
      <c r="D323" s="60"/>
      <c r="E323" s="56"/>
      <c r="F323" s="56"/>
      <c r="G323" s="14"/>
      <c r="H323" s="56"/>
      <c r="I323" s="14"/>
      <c r="J323" s="14"/>
      <c r="K323" s="14"/>
      <c r="L323" s="14"/>
      <c r="M323" s="14"/>
      <c r="N323" s="14"/>
      <c r="O323" s="14"/>
      <c r="P323" s="14"/>
      <c r="Q323" s="14"/>
      <c r="R323" s="14"/>
      <c r="S323" s="14"/>
      <c r="T323" s="14"/>
      <c r="U323" s="14"/>
      <c r="V323" s="14"/>
      <c r="W323" s="14"/>
      <c r="X323" s="14"/>
      <c r="Y323" s="14"/>
      <c r="Z323" s="14"/>
      <c r="AA323" s="15"/>
      <c r="AB323" s="3"/>
      <c r="AC323" s="3"/>
      <c r="AD323" s="3"/>
      <c r="AE323" s="3"/>
      <c r="AF323" s="3"/>
      <c r="AG323" s="3"/>
      <c r="AH323" s="3"/>
      <c r="AI323" s="3"/>
      <c r="AJ323" s="3"/>
      <c r="AK323" s="3"/>
      <c r="AL323" s="3"/>
      <c r="AM323" s="3"/>
      <c r="AN323" s="3"/>
      <c r="AO323" s="3"/>
    </row>
    <row r="324" spans="2:41" x14ac:dyDescent="0.25">
      <c r="B324" s="13"/>
      <c r="C324" s="14"/>
      <c r="D324" s="14"/>
      <c r="E324" s="56"/>
      <c r="F324" s="56"/>
      <c r="G324" s="14"/>
      <c r="H324" s="56"/>
      <c r="I324" s="14"/>
      <c r="J324" s="14"/>
      <c r="K324" s="14"/>
      <c r="L324" s="14"/>
      <c r="M324" s="14"/>
      <c r="N324" s="14"/>
      <c r="O324" s="14"/>
      <c r="P324" s="14"/>
      <c r="Q324" s="14"/>
      <c r="R324" s="14"/>
      <c r="S324" s="14"/>
      <c r="T324" s="14"/>
      <c r="U324" s="14"/>
      <c r="V324" s="14"/>
      <c r="W324" s="14"/>
      <c r="X324" s="14"/>
      <c r="Y324" s="14"/>
      <c r="Z324" s="14"/>
      <c r="AA324" s="15"/>
      <c r="AB324" s="3"/>
      <c r="AC324" s="3"/>
      <c r="AD324" s="3"/>
      <c r="AE324" s="3"/>
      <c r="AF324" s="3"/>
      <c r="AG324" s="3"/>
      <c r="AH324" s="3"/>
      <c r="AI324" s="3"/>
      <c r="AJ324" s="3"/>
      <c r="AK324" s="3"/>
      <c r="AL324" s="3"/>
      <c r="AM324" s="3"/>
      <c r="AN324" s="3"/>
      <c r="AO324" s="3"/>
    </row>
    <row r="325" spans="2:41" x14ac:dyDescent="0.25">
      <c r="B325" s="13"/>
      <c r="C325" s="14"/>
      <c r="D325" s="60"/>
      <c r="E325" s="56"/>
      <c r="F325" s="56"/>
      <c r="G325" s="14"/>
      <c r="H325" s="14"/>
      <c r="I325" s="14"/>
      <c r="J325" s="14"/>
      <c r="K325" s="14"/>
      <c r="L325" s="14"/>
      <c r="M325" s="14"/>
      <c r="N325" s="14"/>
      <c r="O325" s="14"/>
      <c r="P325" s="14"/>
      <c r="Q325" s="14"/>
      <c r="R325" s="14"/>
      <c r="S325" s="14"/>
      <c r="T325" s="14"/>
      <c r="U325" s="14"/>
      <c r="V325" s="14"/>
      <c r="W325" s="14"/>
      <c r="X325" s="14"/>
      <c r="Y325" s="14"/>
      <c r="Z325" s="14"/>
      <c r="AA325" s="15"/>
      <c r="AB325" s="3"/>
      <c r="AC325" s="3"/>
      <c r="AD325" s="3"/>
      <c r="AE325" s="3"/>
      <c r="AF325" s="3"/>
      <c r="AG325" s="3"/>
      <c r="AH325" s="3"/>
      <c r="AI325" s="3"/>
      <c r="AJ325" s="3"/>
      <c r="AK325" s="3"/>
      <c r="AL325" s="3"/>
      <c r="AM325" s="3"/>
      <c r="AN325" s="3"/>
      <c r="AO325" s="3"/>
    </row>
    <row r="326" spans="2:41" x14ac:dyDescent="0.25">
      <c r="B326" s="13"/>
      <c r="C326" s="14"/>
      <c r="D326" s="60"/>
      <c r="E326" s="56"/>
      <c r="F326" s="56"/>
      <c r="G326" s="14"/>
      <c r="H326" s="56"/>
      <c r="I326" s="14"/>
      <c r="J326" s="14"/>
      <c r="K326" s="14"/>
      <c r="L326" s="14"/>
      <c r="M326" s="14"/>
      <c r="N326" s="14"/>
      <c r="O326" s="14"/>
      <c r="P326" s="14"/>
      <c r="Q326" s="14"/>
      <c r="R326" s="14"/>
      <c r="S326" s="14"/>
      <c r="T326" s="14"/>
      <c r="U326" s="14"/>
      <c r="V326" s="14"/>
      <c r="W326" s="14"/>
      <c r="X326" s="14"/>
      <c r="Y326" s="14"/>
      <c r="Z326" s="14"/>
      <c r="AA326" s="15"/>
      <c r="AB326" s="3"/>
      <c r="AC326" s="3"/>
      <c r="AD326" s="3"/>
      <c r="AE326" s="3"/>
      <c r="AF326" s="3"/>
      <c r="AG326" s="3"/>
      <c r="AH326" s="3"/>
      <c r="AI326" s="3"/>
      <c r="AJ326" s="3"/>
      <c r="AK326" s="3"/>
      <c r="AL326" s="3"/>
      <c r="AM326" s="3"/>
      <c r="AN326" s="3"/>
      <c r="AO326" s="3"/>
    </row>
    <row r="327" spans="2:41" x14ac:dyDescent="0.25">
      <c r="B327" s="13"/>
      <c r="C327" s="14"/>
      <c r="D327" s="60"/>
      <c r="E327" s="56"/>
      <c r="F327" s="56"/>
      <c r="G327" s="14"/>
      <c r="H327" s="56"/>
      <c r="I327" s="14"/>
      <c r="J327" s="14"/>
      <c r="K327" s="14"/>
      <c r="L327" s="14"/>
      <c r="M327" s="14"/>
      <c r="N327" s="14"/>
      <c r="O327" s="14"/>
      <c r="P327" s="14"/>
      <c r="Q327" s="14"/>
      <c r="R327" s="14"/>
      <c r="S327" s="14"/>
      <c r="T327" s="14"/>
      <c r="U327" s="14"/>
      <c r="V327" s="14"/>
      <c r="W327" s="14"/>
      <c r="X327" s="14"/>
      <c r="Y327" s="14"/>
      <c r="Z327" s="14"/>
      <c r="AA327" s="15"/>
      <c r="AB327" s="3"/>
      <c r="AC327" s="3"/>
      <c r="AD327" s="3"/>
      <c r="AE327" s="3"/>
      <c r="AF327" s="3"/>
      <c r="AG327" s="3"/>
      <c r="AH327" s="3"/>
      <c r="AI327" s="3"/>
      <c r="AJ327" s="3"/>
      <c r="AK327" s="3"/>
      <c r="AL327" s="3"/>
      <c r="AM327" s="3"/>
      <c r="AN327" s="3"/>
      <c r="AO327" s="3"/>
    </row>
    <row r="328" spans="2:41" x14ac:dyDescent="0.25">
      <c r="B328" s="13"/>
      <c r="C328" s="14"/>
      <c r="D328" s="60"/>
      <c r="E328" s="56"/>
      <c r="F328" s="56"/>
      <c r="G328" s="14"/>
      <c r="H328" s="56"/>
      <c r="I328" s="14"/>
      <c r="J328" s="14"/>
      <c r="K328" s="14"/>
      <c r="L328" s="14"/>
      <c r="M328" s="14"/>
      <c r="N328" s="14"/>
      <c r="O328" s="14"/>
      <c r="P328" s="14"/>
      <c r="Q328" s="14"/>
      <c r="R328" s="14"/>
      <c r="S328" s="14"/>
      <c r="T328" s="14"/>
      <c r="U328" s="14"/>
      <c r="V328" s="14"/>
      <c r="W328" s="14"/>
      <c r="X328" s="14"/>
      <c r="Y328" s="14"/>
      <c r="Z328" s="14"/>
      <c r="AA328" s="15"/>
      <c r="AB328" s="3"/>
      <c r="AC328" s="3"/>
      <c r="AD328" s="3"/>
      <c r="AE328" s="3"/>
      <c r="AF328" s="3"/>
      <c r="AG328" s="3"/>
      <c r="AH328" s="3"/>
      <c r="AI328" s="3"/>
      <c r="AJ328" s="3"/>
      <c r="AK328" s="3"/>
      <c r="AL328" s="3"/>
      <c r="AM328" s="3"/>
      <c r="AN328" s="3"/>
      <c r="AO328" s="3"/>
    </row>
    <row r="329" spans="2:41" ht="18.75" x14ac:dyDescent="0.3">
      <c r="B329" s="67"/>
      <c r="C329" s="56"/>
      <c r="D329" s="60"/>
      <c r="E329" s="56"/>
      <c r="F329" s="56"/>
      <c r="G329" s="56"/>
      <c r="H329" s="56"/>
      <c r="I329" s="74"/>
      <c r="J329" s="14"/>
      <c r="K329" s="14"/>
      <c r="L329" s="14"/>
      <c r="M329" s="14"/>
      <c r="N329" s="14"/>
      <c r="O329" s="14"/>
      <c r="P329" s="14"/>
      <c r="Q329" s="14"/>
      <c r="R329" s="14"/>
      <c r="S329" s="14"/>
      <c r="T329" s="14"/>
      <c r="U329" s="14"/>
      <c r="V329" s="14"/>
      <c r="W329" s="14"/>
      <c r="X329" s="14"/>
      <c r="Y329" s="14"/>
      <c r="Z329" s="14"/>
      <c r="AA329" s="15"/>
      <c r="AB329" s="3"/>
      <c r="AC329" s="3"/>
      <c r="AD329" s="3"/>
      <c r="AE329" s="3"/>
      <c r="AF329" s="3"/>
      <c r="AG329" s="3"/>
      <c r="AH329" s="3"/>
      <c r="AI329" s="3"/>
      <c r="AJ329" s="3"/>
      <c r="AK329" s="3"/>
      <c r="AL329" s="3"/>
      <c r="AM329" s="3"/>
      <c r="AN329" s="3"/>
      <c r="AO329" s="3"/>
    </row>
    <row r="330" spans="2:41" x14ac:dyDescent="0.25">
      <c r="B330" s="13"/>
      <c r="C330" s="14"/>
      <c r="D330" s="60"/>
      <c r="E330" s="56"/>
      <c r="F330" s="56"/>
      <c r="G330" s="14"/>
      <c r="H330" s="56"/>
      <c r="I330" s="14"/>
      <c r="J330" s="14"/>
      <c r="K330" s="14"/>
      <c r="L330" s="14"/>
      <c r="M330" s="14"/>
      <c r="N330" s="14"/>
      <c r="O330" s="14"/>
      <c r="P330" s="14"/>
      <c r="Q330" s="14"/>
      <c r="R330" s="14"/>
      <c r="S330" s="14"/>
      <c r="T330" s="14"/>
      <c r="U330" s="14"/>
      <c r="V330" s="14"/>
      <c r="W330" s="14"/>
      <c r="X330" s="14"/>
      <c r="Y330" s="14"/>
      <c r="Z330" s="14"/>
      <c r="AA330" s="15"/>
      <c r="AB330" s="3"/>
      <c r="AC330" s="3"/>
      <c r="AD330" s="3"/>
      <c r="AE330" s="3"/>
      <c r="AF330" s="3"/>
      <c r="AG330" s="3"/>
      <c r="AH330" s="3"/>
      <c r="AI330" s="3"/>
      <c r="AJ330" s="3"/>
      <c r="AK330" s="3"/>
      <c r="AL330" s="3"/>
      <c r="AM330" s="3"/>
      <c r="AN330" s="3"/>
      <c r="AO330" s="3"/>
    </row>
    <row r="331" spans="2:41" x14ac:dyDescent="0.25">
      <c r="B331" s="13"/>
      <c r="C331" s="14"/>
      <c r="D331" s="14"/>
      <c r="E331" s="56"/>
      <c r="F331" s="56"/>
      <c r="G331" s="14"/>
      <c r="H331" s="56"/>
      <c r="I331" s="14"/>
      <c r="J331" s="14"/>
      <c r="K331" s="14"/>
      <c r="L331" s="14"/>
      <c r="M331" s="14"/>
      <c r="N331" s="14"/>
      <c r="O331" s="14"/>
      <c r="P331" s="14"/>
      <c r="Q331" s="14"/>
      <c r="R331" s="14"/>
      <c r="S331" s="14"/>
      <c r="T331" s="14"/>
      <c r="U331" s="14"/>
      <c r="V331" s="14"/>
      <c r="W331" s="14"/>
      <c r="X331" s="14"/>
      <c r="Y331" s="14"/>
      <c r="Z331" s="14"/>
      <c r="AA331" s="15"/>
      <c r="AB331" s="3"/>
      <c r="AC331" s="3"/>
      <c r="AD331" s="3"/>
      <c r="AE331" s="3"/>
      <c r="AF331" s="3"/>
      <c r="AG331" s="3"/>
      <c r="AH331" s="3"/>
      <c r="AI331" s="3"/>
      <c r="AJ331" s="3"/>
      <c r="AK331" s="3"/>
      <c r="AL331" s="3"/>
      <c r="AM331" s="3"/>
      <c r="AN331" s="3"/>
      <c r="AO331" s="3"/>
    </row>
    <row r="332" spans="2:41" x14ac:dyDescent="0.25">
      <c r="B332" s="13"/>
      <c r="C332" s="14"/>
      <c r="D332" s="60"/>
      <c r="E332" s="56"/>
      <c r="F332" s="56"/>
      <c r="G332" s="14"/>
      <c r="H332" s="14"/>
      <c r="I332" s="14"/>
      <c r="J332" s="14"/>
      <c r="K332" s="14"/>
      <c r="L332" s="14"/>
      <c r="M332" s="14"/>
      <c r="N332" s="14"/>
      <c r="O332" s="14"/>
      <c r="P332" s="14"/>
      <c r="Q332" s="14"/>
      <c r="R332" s="14"/>
      <c r="S332" s="14"/>
      <c r="T332" s="14"/>
      <c r="U332" s="14"/>
      <c r="V332" s="14"/>
      <c r="W332" s="14"/>
      <c r="X332" s="14"/>
      <c r="Y332" s="14"/>
      <c r="Z332" s="14"/>
      <c r="AA332" s="15"/>
      <c r="AB332" s="3"/>
      <c r="AC332" s="3"/>
      <c r="AD332" s="3"/>
      <c r="AE332" s="3"/>
      <c r="AF332" s="3"/>
      <c r="AG332" s="3"/>
      <c r="AH332" s="3"/>
      <c r="AI332" s="3"/>
      <c r="AJ332" s="3"/>
      <c r="AK332" s="3"/>
      <c r="AL332" s="3"/>
      <c r="AM332" s="3"/>
      <c r="AN332" s="3"/>
      <c r="AO332" s="3"/>
    </row>
    <row r="333" spans="2:41" x14ac:dyDescent="0.25">
      <c r="B333" s="13"/>
      <c r="C333" s="14"/>
      <c r="D333" s="60"/>
      <c r="E333" s="56"/>
      <c r="F333" s="56"/>
      <c r="G333" s="14"/>
      <c r="H333" s="56"/>
      <c r="I333" s="14"/>
      <c r="J333" s="14"/>
      <c r="K333" s="14"/>
      <c r="L333" s="14"/>
      <c r="M333" s="14"/>
      <c r="N333" s="14"/>
      <c r="O333" s="14"/>
      <c r="P333" s="14"/>
      <c r="Q333" s="14"/>
      <c r="R333" s="14"/>
      <c r="S333" s="14"/>
      <c r="T333" s="14"/>
      <c r="U333" s="14"/>
      <c r="V333" s="14"/>
      <c r="W333" s="14"/>
      <c r="X333" s="14"/>
      <c r="Y333" s="14"/>
      <c r="Z333" s="14"/>
      <c r="AA333" s="15"/>
      <c r="AB333" s="3"/>
      <c r="AC333" s="3"/>
      <c r="AD333" s="3"/>
      <c r="AE333" s="3"/>
      <c r="AF333" s="3"/>
      <c r="AG333" s="3"/>
      <c r="AH333" s="3"/>
      <c r="AI333" s="3"/>
      <c r="AJ333" s="3"/>
      <c r="AK333" s="3"/>
      <c r="AL333" s="3"/>
      <c r="AM333" s="3"/>
      <c r="AN333" s="3"/>
      <c r="AO333" s="3"/>
    </row>
    <row r="334" spans="2:41" x14ac:dyDescent="0.25">
      <c r="B334" s="13"/>
      <c r="C334" s="14"/>
      <c r="D334" s="60"/>
      <c r="E334" s="56"/>
      <c r="F334" s="56"/>
      <c r="G334" s="14"/>
      <c r="H334" s="56"/>
      <c r="I334" s="14"/>
      <c r="J334" s="14"/>
      <c r="K334" s="14"/>
      <c r="L334" s="14"/>
      <c r="M334" s="14"/>
      <c r="N334" s="14"/>
      <c r="O334" s="14"/>
      <c r="P334" s="14"/>
      <c r="Q334" s="14"/>
      <c r="R334" s="14"/>
      <c r="S334" s="14"/>
      <c r="T334" s="14"/>
      <c r="U334" s="14"/>
      <c r="V334" s="14"/>
      <c r="W334" s="14"/>
      <c r="X334" s="14"/>
      <c r="Y334" s="14"/>
      <c r="Z334" s="14"/>
      <c r="AA334" s="15"/>
      <c r="AB334" s="3"/>
      <c r="AC334" s="3"/>
      <c r="AD334" s="3"/>
      <c r="AE334" s="3"/>
      <c r="AF334" s="3"/>
      <c r="AG334" s="3"/>
      <c r="AH334" s="3"/>
      <c r="AI334" s="3"/>
      <c r="AJ334" s="3"/>
      <c r="AK334" s="3"/>
      <c r="AL334" s="3"/>
      <c r="AM334" s="3"/>
      <c r="AN334" s="3"/>
      <c r="AO334" s="3"/>
    </row>
    <row r="335" spans="2:41" x14ac:dyDescent="0.25">
      <c r="B335" s="13"/>
      <c r="C335" s="14"/>
      <c r="D335" s="60"/>
      <c r="E335" s="56"/>
      <c r="F335" s="56"/>
      <c r="G335" s="14"/>
      <c r="H335" s="56"/>
      <c r="I335" s="14"/>
      <c r="J335" s="14"/>
      <c r="K335" s="14"/>
      <c r="L335" s="14"/>
      <c r="M335" s="14"/>
      <c r="N335" s="14"/>
      <c r="O335" s="14"/>
      <c r="P335" s="14"/>
      <c r="Q335" s="14"/>
      <c r="R335" s="14"/>
      <c r="S335" s="14"/>
      <c r="T335" s="14"/>
      <c r="U335" s="14"/>
      <c r="V335" s="14"/>
      <c r="W335" s="14"/>
      <c r="X335" s="14"/>
      <c r="Y335" s="14"/>
      <c r="Z335" s="14"/>
      <c r="AA335" s="15"/>
      <c r="AB335" s="3"/>
      <c r="AC335" s="3"/>
      <c r="AD335" s="3"/>
      <c r="AE335" s="3"/>
      <c r="AF335" s="3"/>
      <c r="AG335" s="3"/>
      <c r="AH335" s="3"/>
      <c r="AI335" s="3"/>
      <c r="AJ335" s="3"/>
      <c r="AK335" s="3"/>
      <c r="AL335" s="3"/>
      <c r="AM335" s="3"/>
      <c r="AN335" s="3"/>
      <c r="AO335" s="3"/>
    </row>
    <row r="336" spans="2:41" x14ac:dyDescent="0.25">
      <c r="B336" s="13"/>
      <c r="C336" s="56"/>
      <c r="D336" s="60"/>
      <c r="E336" s="56"/>
      <c r="F336" s="56"/>
      <c r="G336" s="56"/>
      <c r="H336" s="56"/>
      <c r="I336" s="14"/>
      <c r="J336" s="14"/>
      <c r="K336" s="14"/>
      <c r="L336" s="14"/>
      <c r="M336" s="14"/>
      <c r="N336" s="14"/>
      <c r="O336" s="14"/>
      <c r="P336" s="14"/>
      <c r="Q336" s="14"/>
      <c r="R336" s="14"/>
      <c r="S336" s="14"/>
      <c r="T336" s="14"/>
      <c r="U336" s="14"/>
      <c r="V336" s="14"/>
      <c r="W336" s="14"/>
      <c r="X336" s="14"/>
      <c r="Y336" s="14"/>
      <c r="Z336" s="14"/>
      <c r="AA336" s="15"/>
      <c r="AB336" s="3"/>
      <c r="AC336" s="3"/>
      <c r="AD336" s="3"/>
      <c r="AE336" s="3"/>
      <c r="AF336" s="3"/>
      <c r="AG336" s="3"/>
      <c r="AH336" s="3"/>
      <c r="AI336" s="3"/>
      <c r="AJ336" s="3"/>
      <c r="AK336" s="3"/>
      <c r="AL336" s="3"/>
      <c r="AM336" s="3"/>
      <c r="AN336" s="3"/>
      <c r="AO336" s="3"/>
    </row>
    <row r="337" spans="2:41" ht="18.75" x14ac:dyDescent="0.3">
      <c r="B337" s="67"/>
      <c r="C337" s="14"/>
      <c r="D337" s="60"/>
      <c r="E337" s="56"/>
      <c r="F337" s="56"/>
      <c r="G337" s="14"/>
      <c r="H337" s="56"/>
      <c r="I337" s="74"/>
      <c r="J337" s="14"/>
      <c r="K337" s="14"/>
      <c r="L337" s="14"/>
      <c r="M337" s="14"/>
      <c r="N337" s="14"/>
      <c r="O337" s="14"/>
      <c r="P337" s="14"/>
      <c r="Q337" s="14"/>
      <c r="R337" s="14"/>
      <c r="S337" s="14"/>
      <c r="T337" s="14"/>
      <c r="U337" s="14"/>
      <c r="V337" s="14"/>
      <c r="W337" s="14"/>
      <c r="X337" s="14"/>
      <c r="Y337" s="14"/>
      <c r="Z337" s="14"/>
      <c r="AA337" s="15"/>
      <c r="AB337" s="3"/>
      <c r="AC337" s="3"/>
      <c r="AD337" s="3"/>
      <c r="AE337" s="3"/>
      <c r="AF337" s="3"/>
      <c r="AG337" s="3"/>
      <c r="AH337" s="3"/>
      <c r="AI337" s="3"/>
      <c r="AJ337" s="3"/>
      <c r="AK337" s="3"/>
      <c r="AL337" s="3"/>
      <c r="AM337" s="3"/>
      <c r="AN337" s="3"/>
      <c r="AO337" s="3"/>
    </row>
    <row r="338" spans="2:41" x14ac:dyDescent="0.25">
      <c r="B338" s="13"/>
      <c r="C338" s="14"/>
      <c r="D338" s="14"/>
      <c r="E338" s="56"/>
      <c r="F338" s="56"/>
      <c r="G338" s="14"/>
      <c r="H338" s="56"/>
      <c r="I338" s="14"/>
      <c r="J338" s="14"/>
      <c r="K338" s="14"/>
      <c r="L338" s="14"/>
      <c r="M338" s="14"/>
      <c r="N338" s="14"/>
      <c r="O338" s="14"/>
      <c r="P338" s="14"/>
      <c r="Q338" s="14"/>
      <c r="R338" s="14"/>
      <c r="S338" s="14"/>
      <c r="T338" s="14"/>
      <c r="U338" s="14"/>
      <c r="V338" s="14"/>
      <c r="W338" s="14"/>
      <c r="X338" s="14"/>
      <c r="Y338" s="14"/>
      <c r="Z338" s="14"/>
      <c r="AA338" s="15"/>
      <c r="AB338" s="3"/>
      <c r="AC338" s="3"/>
      <c r="AD338" s="3"/>
      <c r="AE338" s="3"/>
      <c r="AF338" s="3"/>
      <c r="AG338" s="3"/>
      <c r="AH338" s="3"/>
      <c r="AI338" s="3"/>
      <c r="AJ338" s="3"/>
      <c r="AK338" s="3"/>
      <c r="AL338" s="3"/>
      <c r="AM338" s="3"/>
      <c r="AN338" s="3"/>
      <c r="AO338" s="3"/>
    </row>
    <row r="339" spans="2:41" x14ac:dyDescent="0.25">
      <c r="B339" s="13"/>
      <c r="C339" s="14"/>
      <c r="D339" s="60"/>
      <c r="E339" s="56"/>
      <c r="F339" s="56"/>
      <c r="G339" s="14"/>
      <c r="H339" s="14"/>
      <c r="I339" s="14"/>
      <c r="J339" s="14"/>
      <c r="K339" s="14"/>
      <c r="L339" s="14"/>
      <c r="M339" s="14"/>
      <c r="N339" s="14"/>
      <c r="O339" s="14"/>
      <c r="P339" s="14"/>
      <c r="Q339" s="14"/>
      <c r="R339" s="14"/>
      <c r="S339" s="14"/>
      <c r="T339" s="14"/>
      <c r="U339" s="14"/>
      <c r="V339" s="14"/>
      <c r="W339" s="14"/>
      <c r="X339" s="14"/>
      <c r="Y339" s="14"/>
      <c r="Z339" s="14"/>
      <c r="AA339" s="15"/>
      <c r="AB339" s="3"/>
      <c r="AC339" s="3"/>
      <c r="AD339" s="3"/>
      <c r="AE339" s="3"/>
      <c r="AF339" s="3"/>
      <c r="AG339" s="3"/>
      <c r="AH339" s="3"/>
      <c r="AI339" s="3"/>
      <c r="AJ339" s="3"/>
      <c r="AK339" s="3"/>
      <c r="AL339" s="3"/>
      <c r="AM339" s="3"/>
      <c r="AN339" s="3"/>
      <c r="AO339" s="3"/>
    </row>
    <row r="340" spans="2:41" x14ac:dyDescent="0.25">
      <c r="B340" s="13"/>
      <c r="C340" s="14"/>
      <c r="D340" s="60"/>
      <c r="E340" s="56"/>
      <c r="F340" s="56"/>
      <c r="G340" s="14"/>
      <c r="H340" s="56"/>
      <c r="I340" s="14"/>
      <c r="J340" s="14"/>
      <c r="K340" s="14"/>
      <c r="L340" s="14"/>
      <c r="M340" s="14"/>
      <c r="N340" s="14"/>
      <c r="O340" s="14"/>
      <c r="P340" s="14"/>
      <c r="Q340" s="14"/>
      <c r="R340" s="14"/>
      <c r="S340" s="14"/>
      <c r="T340" s="14"/>
      <c r="U340" s="14"/>
      <c r="V340" s="14"/>
      <c r="W340" s="14"/>
      <c r="X340" s="14"/>
      <c r="Y340" s="14"/>
      <c r="Z340" s="14"/>
      <c r="AA340" s="15"/>
      <c r="AB340" s="3"/>
      <c r="AC340" s="3"/>
      <c r="AD340" s="3"/>
      <c r="AE340" s="3"/>
      <c r="AF340" s="3"/>
      <c r="AG340" s="3"/>
      <c r="AH340" s="3"/>
      <c r="AI340" s="3"/>
      <c r="AJ340" s="3"/>
      <c r="AK340" s="3"/>
      <c r="AL340" s="3"/>
      <c r="AM340" s="3"/>
      <c r="AN340" s="3"/>
      <c r="AO340" s="3"/>
    </row>
    <row r="341" spans="2:41" x14ac:dyDescent="0.25">
      <c r="B341" s="13"/>
      <c r="C341" s="14"/>
      <c r="D341" s="60"/>
      <c r="E341" s="56"/>
      <c r="F341" s="56"/>
      <c r="G341" s="14"/>
      <c r="H341" s="56"/>
      <c r="I341" s="14"/>
      <c r="J341" s="14"/>
      <c r="K341" s="14"/>
      <c r="L341" s="14"/>
      <c r="M341" s="14"/>
      <c r="N341" s="14"/>
      <c r="O341" s="14"/>
      <c r="P341" s="14"/>
      <c r="Q341" s="14"/>
      <c r="R341" s="14"/>
      <c r="S341" s="14"/>
      <c r="T341" s="14"/>
      <c r="U341" s="14"/>
      <c r="V341" s="14"/>
      <c r="W341" s="14"/>
      <c r="X341" s="14"/>
      <c r="Y341" s="14"/>
      <c r="Z341" s="14"/>
      <c r="AA341" s="15"/>
      <c r="AB341" s="3"/>
      <c r="AC341" s="3"/>
      <c r="AD341" s="3"/>
      <c r="AE341" s="3"/>
      <c r="AF341" s="3"/>
      <c r="AG341" s="3"/>
      <c r="AH341" s="3"/>
      <c r="AI341" s="3"/>
      <c r="AJ341" s="3"/>
      <c r="AK341" s="3"/>
      <c r="AL341" s="3"/>
      <c r="AM341" s="3"/>
      <c r="AN341" s="3"/>
      <c r="AO341" s="3"/>
    </row>
    <row r="342" spans="2:41" x14ac:dyDescent="0.25">
      <c r="B342" s="13"/>
      <c r="C342" s="14"/>
      <c r="D342" s="60"/>
      <c r="E342" s="56"/>
      <c r="F342" s="56"/>
      <c r="G342" s="14"/>
      <c r="H342" s="56"/>
      <c r="I342" s="14"/>
      <c r="J342" s="14"/>
      <c r="K342" s="14"/>
      <c r="L342" s="14"/>
      <c r="M342" s="14"/>
      <c r="N342" s="14"/>
      <c r="O342" s="14"/>
      <c r="P342" s="14"/>
      <c r="Q342" s="14"/>
      <c r="R342" s="14"/>
      <c r="S342" s="14"/>
      <c r="T342" s="14"/>
      <c r="U342" s="14"/>
      <c r="V342" s="14"/>
      <c r="W342" s="14"/>
      <c r="X342" s="14"/>
      <c r="Y342" s="14"/>
      <c r="Z342" s="14"/>
      <c r="AA342" s="15"/>
      <c r="AB342" s="3"/>
      <c r="AC342" s="3"/>
      <c r="AD342" s="3"/>
      <c r="AE342" s="3"/>
      <c r="AF342" s="3"/>
      <c r="AG342" s="3"/>
      <c r="AH342" s="3"/>
      <c r="AI342" s="3"/>
      <c r="AJ342" s="3"/>
      <c r="AK342" s="3"/>
      <c r="AL342" s="3"/>
      <c r="AM342" s="3"/>
      <c r="AN342" s="3"/>
      <c r="AO342" s="3"/>
    </row>
    <row r="343" spans="2:41" x14ac:dyDescent="0.25">
      <c r="B343" s="13"/>
      <c r="C343" s="56"/>
      <c r="D343" s="60"/>
      <c r="E343" s="56"/>
      <c r="F343" s="56"/>
      <c r="G343" s="56"/>
      <c r="H343" s="56"/>
      <c r="I343" s="14"/>
      <c r="J343" s="14"/>
      <c r="K343" s="14"/>
      <c r="L343" s="14"/>
      <c r="M343" s="14"/>
      <c r="N343" s="14"/>
      <c r="O343" s="14"/>
      <c r="P343" s="14"/>
      <c r="Q343" s="14"/>
      <c r="R343" s="14"/>
      <c r="S343" s="14"/>
      <c r="T343" s="14"/>
      <c r="U343" s="14"/>
      <c r="V343" s="14"/>
      <c r="W343" s="14"/>
      <c r="X343" s="14"/>
      <c r="Y343" s="14"/>
      <c r="Z343" s="14"/>
      <c r="AA343" s="15"/>
      <c r="AB343" s="3"/>
      <c r="AC343" s="3"/>
      <c r="AD343" s="3"/>
      <c r="AE343" s="3"/>
      <c r="AF343" s="3"/>
      <c r="AG343" s="3"/>
      <c r="AH343" s="3"/>
      <c r="AI343" s="3"/>
      <c r="AJ343" s="3"/>
      <c r="AK343" s="3"/>
      <c r="AL343" s="3"/>
      <c r="AM343" s="3"/>
      <c r="AN343" s="3"/>
      <c r="AO343" s="3"/>
    </row>
    <row r="344" spans="2:41" x14ac:dyDescent="0.25">
      <c r="B344" s="13"/>
      <c r="C344" s="14"/>
      <c r="D344" s="60"/>
      <c r="E344" s="56"/>
      <c r="F344" s="56"/>
      <c r="G344" s="14"/>
      <c r="H344" s="56"/>
      <c r="I344" s="14"/>
      <c r="J344" s="14"/>
      <c r="K344" s="14"/>
      <c r="L344" s="14"/>
      <c r="M344" s="14"/>
      <c r="N344" s="14"/>
      <c r="O344" s="14"/>
      <c r="P344" s="14"/>
      <c r="Q344" s="14"/>
      <c r="R344" s="14"/>
      <c r="S344" s="14"/>
      <c r="T344" s="14"/>
      <c r="U344" s="14"/>
      <c r="V344" s="14"/>
      <c r="W344" s="14"/>
      <c r="X344" s="14"/>
      <c r="Y344" s="14"/>
      <c r="Z344" s="14"/>
      <c r="AA344" s="15"/>
      <c r="AB344" s="3"/>
      <c r="AC344" s="3"/>
      <c r="AD344" s="3"/>
      <c r="AE344" s="3"/>
      <c r="AF344" s="3"/>
      <c r="AG344" s="3"/>
      <c r="AH344" s="3"/>
      <c r="AI344" s="3"/>
      <c r="AJ344" s="3"/>
      <c r="AK344" s="3"/>
      <c r="AL344" s="3"/>
      <c r="AM344" s="3"/>
      <c r="AN344" s="3"/>
      <c r="AO344" s="3"/>
    </row>
    <row r="345" spans="2:41" ht="18.75" x14ac:dyDescent="0.3">
      <c r="B345" s="67"/>
      <c r="C345" s="14"/>
      <c r="D345" s="14"/>
      <c r="E345" s="56"/>
      <c r="F345" s="56"/>
      <c r="G345" s="14"/>
      <c r="H345" s="56"/>
      <c r="I345" s="74"/>
      <c r="J345" s="14"/>
      <c r="K345" s="14"/>
      <c r="L345" s="14"/>
      <c r="M345" s="14"/>
      <c r="N345" s="14"/>
      <c r="O345" s="14"/>
      <c r="P345" s="14"/>
      <c r="Q345" s="14"/>
      <c r="R345" s="14"/>
      <c r="S345" s="14"/>
      <c r="T345" s="14"/>
      <c r="U345" s="14"/>
      <c r="V345" s="14"/>
      <c r="W345" s="14"/>
      <c r="X345" s="14"/>
      <c r="Y345" s="14"/>
      <c r="Z345" s="14"/>
      <c r="AA345" s="15"/>
      <c r="AB345" s="3"/>
      <c r="AC345" s="3"/>
      <c r="AD345" s="3"/>
      <c r="AE345" s="3"/>
      <c r="AF345" s="3"/>
      <c r="AG345" s="3"/>
      <c r="AH345" s="3"/>
      <c r="AI345" s="3"/>
      <c r="AJ345" s="3"/>
      <c r="AK345" s="3"/>
      <c r="AL345" s="3"/>
      <c r="AM345" s="3"/>
      <c r="AN345" s="3"/>
      <c r="AO345" s="3"/>
    </row>
    <row r="346" spans="2:41" x14ac:dyDescent="0.25">
      <c r="B346" s="13"/>
      <c r="C346" s="14"/>
      <c r="D346" s="60"/>
      <c r="E346" s="56"/>
      <c r="F346" s="56"/>
      <c r="G346" s="14"/>
      <c r="H346" s="14"/>
      <c r="I346" s="14"/>
      <c r="J346" s="14"/>
      <c r="K346" s="14"/>
      <c r="L346" s="14"/>
      <c r="M346" s="14"/>
      <c r="N346" s="14"/>
      <c r="O346" s="14"/>
      <c r="P346" s="14"/>
      <c r="Q346" s="14"/>
      <c r="R346" s="14"/>
      <c r="S346" s="14"/>
      <c r="T346" s="14"/>
      <c r="U346" s="14"/>
      <c r="V346" s="14"/>
      <c r="W346" s="14"/>
      <c r="X346" s="14"/>
      <c r="Y346" s="14"/>
      <c r="Z346" s="14"/>
      <c r="AA346" s="15"/>
      <c r="AB346" s="3"/>
      <c r="AC346" s="3"/>
      <c r="AD346" s="3"/>
      <c r="AE346" s="3"/>
      <c r="AF346" s="3"/>
      <c r="AG346" s="3"/>
      <c r="AH346" s="3"/>
      <c r="AI346" s="3"/>
      <c r="AJ346" s="3"/>
      <c r="AK346" s="3"/>
      <c r="AL346" s="3"/>
      <c r="AM346" s="3"/>
      <c r="AN346" s="3"/>
      <c r="AO346" s="3"/>
    </row>
    <row r="347" spans="2:41" x14ac:dyDescent="0.25">
      <c r="B347" s="13"/>
      <c r="C347" s="14"/>
      <c r="D347" s="60"/>
      <c r="E347" s="56"/>
      <c r="F347" s="56"/>
      <c r="G347" s="14"/>
      <c r="H347" s="56"/>
      <c r="I347" s="14"/>
      <c r="J347" s="14"/>
      <c r="K347" s="14"/>
      <c r="L347" s="14"/>
      <c r="M347" s="14"/>
      <c r="N347" s="14"/>
      <c r="O347" s="14"/>
      <c r="P347" s="14"/>
      <c r="Q347" s="14"/>
      <c r="R347" s="14"/>
      <c r="S347" s="14"/>
      <c r="T347" s="14"/>
      <c r="U347" s="14"/>
      <c r="V347" s="14"/>
      <c r="W347" s="14"/>
      <c r="X347" s="14"/>
      <c r="Y347" s="14"/>
      <c r="Z347" s="14"/>
      <c r="AA347" s="15"/>
      <c r="AB347" s="3"/>
      <c r="AC347" s="3"/>
      <c r="AD347" s="3"/>
      <c r="AE347" s="3"/>
      <c r="AF347" s="3"/>
      <c r="AG347" s="3"/>
      <c r="AH347" s="3"/>
      <c r="AI347" s="3"/>
      <c r="AJ347" s="3"/>
      <c r="AK347" s="3"/>
      <c r="AL347" s="3"/>
      <c r="AM347" s="3"/>
      <c r="AN347" s="3"/>
      <c r="AO347" s="3"/>
    </row>
    <row r="348" spans="2:41" x14ac:dyDescent="0.25">
      <c r="B348" s="13"/>
      <c r="C348" s="14"/>
      <c r="D348" s="60"/>
      <c r="E348" s="56"/>
      <c r="F348" s="56"/>
      <c r="G348" s="14"/>
      <c r="H348" s="56"/>
      <c r="I348" s="14"/>
      <c r="J348" s="14"/>
      <c r="K348" s="14"/>
      <c r="L348" s="14"/>
      <c r="M348" s="14"/>
      <c r="N348" s="14"/>
      <c r="O348" s="14"/>
      <c r="P348" s="14"/>
      <c r="Q348" s="14"/>
      <c r="R348" s="14"/>
      <c r="S348" s="14"/>
      <c r="T348" s="14"/>
      <c r="U348" s="14"/>
      <c r="V348" s="14"/>
      <c r="W348" s="14"/>
      <c r="X348" s="14"/>
      <c r="Y348" s="14"/>
      <c r="Z348" s="14"/>
      <c r="AA348" s="15"/>
      <c r="AB348" s="3"/>
      <c r="AC348" s="3"/>
      <c r="AD348" s="3"/>
      <c r="AE348" s="3"/>
      <c r="AF348" s="3"/>
      <c r="AG348" s="3"/>
      <c r="AH348" s="3"/>
      <c r="AI348" s="3"/>
      <c r="AJ348" s="3"/>
      <c r="AK348" s="3"/>
      <c r="AL348" s="3"/>
      <c r="AM348" s="3"/>
      <c r="AN348" s="3"/>
      <c r="AO348" s="3"/>
    </row>
    <row r="349" spans="2:41" x14ac:dyDescent="0.25">
      <c r="B349" s="13"/>
      <c r="C349" s="14"/>
      <c r="D349" s="60"/>
      <c r="E349" s="56"/>
      <c r="F349" s="56"/>
      <c r="G349" s="14"/>
      <c r="H349" s="56"/>
      <c r="I349" s="14"/>
      <c r="J349" s="14"/>
      <c r="K349" s="14"/>
      <c r="L349" s="14"/>
      <c r="M349" s="14"/>
      <c r="N349" s="14"/>
      <c r="O349" s="14"/>
      <c r="P349" s="14"/>
      <c r="Q349" s="14"/>
      <c r="R349" s="14"/>
      <c r="S349" s="14"/>
      <c r="T349" s="14"/>
      <c r="U349" s="14"/>
      <c r="V349" s="14"/>
      <c r="W349" s="14"/>
      <c r="X349" s="14"/>
      <c r="Y349" s="14"/>
      <c r="Z349" s="14"/>
      <c r="AA349" s="15"/>
      <c r="AB349" s="3"/>
      <c r="AC349" s="3"/>
      <c r="AD349" s="3"/>
      <c r="AE349" s="3"/>
      <c r="AF349" s="3"/>
      <c r="AG349" s="3"/>
      <c r="AH349" s="3"/>
      <c r="AI349" s="3"/>
      <c r="AJ349" s="3"/>
      <c r="AK349" s="3"/>
      <c r="AL349" s="3"/>
      <c r="AM349" s="3"/>
      <c r="AN349" s="3"/>
      <c r="AO349" s="3"/>
    </row>
    <row r="350" spans="2:41" x14ac:dyDescent="0.25">
      <c r="B350" s="13"/>
      <c r="C350" s="56"/>
      <c r="D350" s="60"/>
      <c r="E350" s="56"/>
      <c r="F350" s="56"/>
      <c r="G350" s="56"/>
      <c r="H350" s="56"/>
      <c r="I350" s="14"/>
      <c r="J350" s="14"/>
      <c r="K350" s="14"/>
      <c r="L350" s="14"/>
      <c r="M350" s="14"/>
      <c r="N350" s="14"/>
      <c r="O350" s="14"/>
      <c r="P350" s="14"/>
      <c r="Q350" s="14"/>
      <c r="R350" s="14"/>
      <c r="S350" s="14"/>
      <c r="T350" s="14"/>
      <c r="U350" s="14"/>
      <c r="V350" s="14"/>
      <c r="W350" s="14"/>
      <c r="X350" s="14"/>
      <c r="Y350" s="14"/>
      <c r="Z350" s="14"/>
      <c r="AA350" s="15"/>
      <c r="AB350" s="3"/>
      <c r="AC350" s="3"/>
      <c r="AD350" s="3"/>
      <c r="AE350" s="3"/>
      <c r="AF350" s="3"/>
      <c r="AG350" s="3"/>
      <c r="AH350" s="3"/>
      <c r="AI350" s="3"/>
      <c r="AJ350" s="3"/>
      <c r="AK350" s="3"/>
      <c r="AL350" s="3"/>
      <c r="AM350" s="3"/>
      <c r="AN350" s="3"/>
      <c r="AO350" s="3"/>
    </row>
    <row r="351" spans="2:41" x14ac:dyDescent="0.25">
      <c r="B351" s="13"/>
      <c r="C351" s="14"/>
      <c r="D351" s="60"/>
      <c r="E351" s="56"/>
      <c r="F351" s="56"/>
      <c r="G351" s="14"/>
      <c r="H351" s="56"/>
      <c r="I351" s="14"/>
      <c r="J351" s="14"/>
      <c r="K351" s="14"/>
      <c r="L351" s="14"/>
      <c r="M351" s="14"/>
      <c r="N351" s="14"/>
      <c r="O351" s="14"/>
      <c r="P351" s="14"/>
      <c r="Q351" s="14"/>
      <c r="R351" s="14"/>
      <c r="S351" s="14"/>
      <c r="T351" s="14"/>
      <c r="U351" s="14"/>
      <c r="V351" s="14"/>
      <c r="W351" s="14"/>
      <c r="X351" s="14"/>
      <c r="Y351" s="14"/>
      <c r="Z351" s="14"/>
      <c r="AA351" s="15"/>
      <c r="AB351" s="3"/>
      <c r="AC351" s="3"/>
      <c r="AD351" s="3"/>
      <c r="AE351" s="3"/>
      <c r="AF351" s="3"/>
      <c r="AG351" s="3"/>
      <c r="AH351" s="3"/>
      <c r="AI351" s="3"/>
      <c r="AJ351" s="3"/>
      <c r="AK351" s="3"/>
      <c r="AL351" s="3"/>
      <c r="AM351" s="3"/>
      <c r="AN351" s="3"/>
      <c r="AO351" s="3"/>
    </row>
    <row r="352" spans="2:41" x14ac:dyDescent="0.25">
      <c r="B352" s="13"/>
      <c r="C352" s="14"/>
      <c r="D352" s="14"/>
      <c r="E352" s="56"/>
      <c r="F352" s="56"/>
      <c r="G352" s="14"/>
      <c r="H352" s="56"/>
      <c r="I352" s="14"/>
      <c r="J352" s="14"/>
      <c r="K352" s="14"/>
      <c r="L352" s="14"/>
      <c r="M352" s="14"/>
      <c r="N352" s="14"/>
      <c r="O352" s="14"/>
      <c r="P352" s="14"/>
      <c r="Q352" s="14"/>
      <c r="R352" s="14"/>
      <c r="S352" s="14"/>
      <c r="T352" s="14"/>
      <c r="U352" s="14"/>
      <c r="V352" s="14"/>
      <c r="W352" s="14"/>
      <c r="X352" s="14"/>
      <c r="Y352" s="14"/>
      <c r="Z352" s="14"/>
      <c r="AA352" s="15"/>
      <c r="AB352" s="3"/>
      <c r="AC352" s="3"/>
      <c r="AD352" s="3"/>
      <c r="AE352" s="3"/>
      <c r="AF352" s="3"/>
      <c r="AG352" s="3"/>
      <c r="AH352" s="3"/>
      <c r="AI352" s="3"/>
      <c r="AJ352" s="3"/>
      <c r="AK352" s="3"/>
      <c r="AL352" s="3"/>
      <c r="AM352" s="3"/>
      <c r="AN352" s="3"/>
      <c r="AO352" s="3"/>
    </row>
    <row r="353" spans="2:41" ht="18.75" x14ac:dyDescent="0.3">
      <c r="B353" s="67"/>
      <c r="C353" s="14"/>
      <c r="D353" s="60"/>
      <c r="E353" s="56"/>
      <c r="F353" s="56"/>
      <c r="G353" s="14"/>
      <c r="H353" s="14"/>
      <c r="I353" s="74"/>
      <c r="J353" s="14"/>
      <c r="K353" s="14"/>
      <c r="L353" s="14"/>
      <c r="M353" s="14"/>
      <c r="N353" s="14"/>
      <c r="O353" s="14"/>
      <c r="P353" s="14"/>
      <c r="Q353" s="14"/>
      <c r="R353" s="14"/>
      <c r="S353" s="14"/>
      <c r="T353" s="14"/>
      <c r="U353" s="14"/>
      <c r="V353" s="14"/>
      <c r="W353" s="14"/>
      <c r="X353" s="14"/>
      <c r="Y353" s="14"/>
      <c r="Z353" s="14"/>
      <c r="AA353" s="15"/>
      <c r="AB353" s="3"/>
      <c r="AC353" s="3"/>
      <c r="AD353" s="3"/>
      <c r="AE353" s="3"/>
      <c r="AF353" s="3"/>
      <c r="AG353" s="3"/>
      <c r="AH353" s="3"/>
      <c r="AI353" s="3"/>
      <c r="AJ353" s="3"/>
      <c r="AK353" s="3"/>
      <c r="AL353" s="3"/>
      <c r="AM353" s="3"/>
      <c r="AN353" s="3"/>
      <c r="AO353" s="3"/>
    </row>
    <row r="354" spans="2:41" x14ac:dyDescent="0.25">
      <c r="B354" s="13"/>
      <c r="C354" s="14"/>
      <c r="D354" s="60"/>
      <c r="E354" s="56"/>
      <c r="F354" s="56"/>
      <c r="G354" s="14"/>
      <c r="H354" s="56"/>
      <c r="I354" s="14"/>
      <c r="J354" s="14"/>
      <c r="K354" s="14"/>
      <c r="L354" s="14"/>
      <c r="M354" s="14"/>
      <c r="N354" s="14"/>
      <c r="O354" s="14"/>
      <c r="P354" s="14"/>
      <c r="Q354" s="14"/>
      <c r="R354" s="14"/>
      <c r="S354" s="14"/>
      <c r="T354" s="14"/>
      <c r="U354" s="14"/>
      <c r="V354" s="14"/>
      <c r="W354" s="14"/>
      <c r="X354" s="14"/>
      <c r="Y354" s="14"/>
      <c r="Z354" s="14"/>
      <c r="AA354" s="15"/>
      <c r="AB354" s="3"/>
      <c r="AC354" s="3"/>
      <c r="AD354" s="3"/>
      <c r="AE354" s="3"/>
      <c r="AF354" s="3"/>
      <c r="AG354" s="3"/>
      <c r="AH354" s="3"/>
      <c r="AI354" s="3"/>
      <c r="AJ354" s="3"/>
      <c r="AK354" s="3"/>
      <c r="AL354" s="3"/>
      <c r="AM354" s="3"/>
      <c r="AN354" s="3"/>
      <c r="AO354" s="3"/>
    </row>
    <row r="355" spans="2:41" x14ac:dyDescent="0.25">
      <c r="B355" s="13"/>
      <c r="C355" s="14"/>
      <c r="D355" s="60"/>
      <c r="E355" s="56"/>
      <c r="F355" s="56"/>
      <c r="G355" s="14"/>
      <c r="H355" s="56"/>
      <c r="I355" s="14"/>
      <c r="J355" s="14"/>
      <c r="K355" s="14"/>
      <c r="L355" s="14"/>
      <c r="M355" s="14"/>
      <c r="N355" s="14"/>
      <c r="O355" s="14"/>
      <c r="P355" s="14"/>
      <c r="Q355" s="14"/>
      <c r="R355" s="14"/>
      <c r="S355" s="14"/>
      <c r="T355" s="14"/>
      <c r="U355" s="14"/>
      <c r="V355" s="14"/>
      <c r="W355" s="14"/>
      <c r="X355" s="14"/>
      <c r="Y355" s="14"/>
      <c r="Z355" s="14"/>
      <c r="AA355" s="15"/>
      <c r="AB355" s="3"/>
      <c r="AC355" s="3"/>
      <c r="AD355" s="3"/>
      <c r="AE355" s="3"/>
      <c r="AF355" s="3"/>
      <c r="AG355" s="3"/>
      <c r="AH355" s="3"/>
      <c r="AI355" s="3"/>
      <c r="AJ355" s="3"/>
      <c r="AK355" s="3"/>
      <c r="AL355" s="3"/>
      <c r="AM355" s="3"/>
      <c r="AN355" s="3"/>
      <c r="AO355" s="3"/>
    </row>
    <row r="356" spans="2:41" x14ac:dyDescent="0.25">
      <c r="B356" s="13"/>
      <c r="C356" s="14"/>
      <c r="D356" s="60"/>
      <c r="E356" s="56"/>
      <c r="F356" s="56"/>
      <c r="G356" s="14"/>
      <c r="H356" s="56"/>
      <c r="I356" s="14"/>
      <c r="J356" s="14"/>
      <c r="K356" s="14"/>
      <c r="L356" s="14"/>
      <c r="M356" s="14"/>
      <c r="N356" s="14"/>
      <c r="O356" s="14"/>
      <c r="P356" s="14"/>
      <c r="Q356" s="14"/>
      <c r="R356" s="14"/>
      <c r="S356" s="14"/>
      <c r="T356" s="14"/>
      <c r="U356" s="14"/>
      <c r="V356" s="14"/>
      <c r="W356" s="14"/>
      <c r="X356" s="14"/>
      <c r="Y356" s="14"/>
      <c r="Z356" s="14"/>
      <c r="AA356" s="15"/>
      <c r="AB356" s="3"/>
      <c r="AC356" s="3"/>
      <c r="AD356" s="3"/>
      <c r="AE356" s="3"/>
      <c r="AF356" s="3"/>
      <c r="AG356" s="3"/>
      <c r="AH356" s="3"/>
      <c r="AI356" s="3"/>
      <c r="AJ356" s="3"/>
      <c r="AK356" s="3"/>
      <c r="AL356" s="3"/>
      <c r="AM356" s="3"/>
      <c r="AN356" s="3"/>
      <c r="AO356" s="3"/>
    </row>
    <row r="357" spans="2:41" x14ac:dyDescent="0.25">
      <c r="B357" s="13"/>
      <c r="C357" s="56"/>
      <c r="D357" s="60"/>
      <c r="E357" s="56"/>
      <c r="F357" s="56"/>
      <c r="G357" s="56"/>
      <c r="H357" s="56"/>
      <c r="I357" s="14"/>
      <c r="J357" s="14"/>
      <c r="K357" s="14"/>
      <c r="L357" s="14"/>
      <c r="M357" s="14"/>
      <c r="N357" s="14"/>
      <c r="O357" s="14"/>
      <c r="P357" s="14"/>
      <c r="Q357" s="14"/>
      <c r="R357" s="14"/>
      <c r="S357" s="14"/>
      <c r="T357" s="14"/>
      <c r="U357" s="14"/>
      <c r="V357" s="14"/>
      <c r="W357" s="14"/>
      <c r="X357" s="14"/>
      <c r="Y357" s="14"/>
      <c r="Z357" s="14"/>
      <c r="AA357" s="15"/>
      <c r="AB357" s="3"/>
      <c r="AC357" s="3"/>
      <c r="AD357" s="3"/>
      <c r="AE357" s="3"/>
      <c r="AF357" s="3"/>
      <c r="AG357" s="3"/>
      <c r="AH357" s="3"/>
      <c r="AI357" s="3"/>
      <c r="AJ357" s="3"/>
      <c r="AK357" s="3"/>
      <c r="AL357" s="3"/>
      <c r="AM357" s="3"/>
      <c r="AN357" s="3"/>
      <c r="AO357" s="3"/>
    </row>
    <row r="358" spans="2:41" x14ac:dyDescent="0.25">
      <c r="B358" s="13"/>
      <c r="C358" s="14"/>
      <c r="D358" s="60"/>
      <c r="E358" s="56"/>
      <c r="F358" s="56"/>
      <c r="G358" s="14"/>
      <c r="H358" s="56"/>
      <c r="I358" s="14"/>
      <c r="J358" s="14"/>
      <c r="K358" s="14"/>
      <c r="L358" s="14"/>
      <c r="M358" s="14"/>
      <c r="N358" s="14"/>
      <c r="O358" s="14"/>
      <c r="P358" s="14"/>
      <c r="Q358" s="14"/>
      <c r="R358" s="14"/>
      <c r="S358" s="14"/>
      <c r="T358" s="14"/>
      <c r="U358" s="14"/>
      <c r="V358" s="14"/>
      <c r="W358" s="14"/>
      <c r="X358" s="14"/>
      <c r="Y358" s="14"/>
      <c r="Z358" s="14"/>
      <c r="AA358" s="15"/>
      <c r="AB358" s="3"/>
      <c r="AC358" s="3"/>
      <c r="AD358" s="3"/>
      <c r="AE358" s="3"/>
      <c r="AF358" s="3"/>
      <c r="AG358" s="3"/>
      <c r="AH358" s="3"/>
      <c r="AI358" s="3"/>
      <c r="AJ358" s="3"/>
      <c r="AK358" s="3"/>
      <c r="AL358" s="3"/>
      <c r="AM358" s="3"/>
      <c r="AN358" s="3"/>
      <c r="AO358" s="3"/>
    </row>
    <row r="359" spans="2:41" x14ac:dyDescent="0.25">
      <c r="B359" s="13"/>
      <c r="C359" s="14"/>
      <c r="D359" s="14"/>
      <c r="E359" s="56"/>
      <c r="F359" s="56"/>
      <c r="G359" s="14"/>
      <c r="H359" s="56"/>
      <c r="I359" s="14"/>
      <c r="J359" s="14"/>
      <c r="K359" s="14"/>
      <c r="L359" s="14"/>
      <c r="M359" s="14"/>
      <c r="N359" s="14"/>
      <c r="O359" s="14"/>
      <c r="P359" s="14"/>
      <c r="Q359" s="14"/>
      <c r="R359" s="14"/>
      <c r="S359" s="14"/>
      <c r="T359" s="14"/>
      <c r="U359" s="14"/>
      <c r="V359" s="14"/>
      <c r="W359" s="14"/>
      <c r="X359" s="14"/>
      <c r="Y359" s="14"/>
      <c r="Z359" s="14"/>
      <c r="AA359" s="15"/>
      <c r="AB359" s="3"/>
      <c r="AC359" s="3"/>
      <c r="AD359" s="3"/>
      <c r="AE359" s="3"/>
      <c r="AF359" s="3"/>
      <c r="AG359" s="3"/>
      <c r="AH359" s="3"/>
      <c r="AI359" s="3"/>
      <c r="AJ359" s="3"/>
      <c r="AK359" s="3"/>
      <c r="AL359" s="3"/>
      <c r="AM359" s="3"/>
      <c r="AN359" s="3"/>
      <c r="AO359" s="3"/>
    </row>
    <row r="360" spans="2:41" x14ac:dyDescent="0.25">
      <c r="B360" s="13"/>
      <c r="C360" s="14"/>
      <c r="D360" s="60"/>
      <c r="E360" s="56"/>
      <c r="F360" s="56"/>
      <c r="G360" s="14"/>
      <c r="H360" s="14"/>
      <c r="I360" s="14"/>
      <c r="J360" s="14"/>
      <c r="K360" s="14"/>
      <c r="L360" s="14"/>
      <c r="M360" s="14"/>
      <c r="N360" s="14"/>
      <c r="O360" s="14"/>
      <c r="P360" s="14"/>
      <c r="Q360" s="14"/>
      <c r="R360" s="14"/>
      <c r="S360" s="14"/>
      <c r="T360" s="14"/>
      <c r="U360" s="14"/>
      <c r="V360" s="14"/>
      <c r="W360" s="14"/>
      <c r="X360" s="14"/>
      <c r="Y360" s="14"/>
      <c r="Z360" s="14"/>
      <c r="AA360" s="15"/>
      <c r="AB360" s="3"/>
      <c r="AC360" s="3"/>
      <c r="AD360" s="3"/>
      <c r="AE360" s="3"/>
      <c r="AF360" s="3"/>
      <c r="AG360" s="3"/>
      <c r="AH360" s="3"/>
      <c r="AI360" s="3"/>
      <c r="AJ360" s="3"/>
      <c r="AK360" s="3"/>
      <c r="AL360" s="3"/>
      <c r="AM360" s="3"/>
      <c r="AN360" s="3"/>
      <c r="AO360" s="3"/>
    </row>
    <row r="361" spans="2:41" ht="18.75" x14ac:dyDescent="0.3">
      <c r="B361" s="67"/>
      <c r="C361" s="14"/>
      <c r="D361" s="60"/>
      <c r="E361" s="56"/>
      <c r="F361" s="56"/>
      <c r="G361" s="14"/>
      <c r="H361" s="56"/>
      <c r="I361" s="74"/>
      <c r="J361" s="14"/>
      <c r="K361" s="14"/>
      <c r="L361" s="14"/>
      <c r="M361" s="14"/>
      <c r="N361" s="14"/>
      <c r="O361" s="14"/>
      <c r="P361" s="14"/>
      <c r="Q361" s="14"/>
      <c r="R361" s="14"/>
      <c r="S361" s="14"/>
      <c r="T361" s="14"/>
      <c r="U361" s="14"/>
      <c r="V361" s="14"/>
      <c r="W361" s="14"/>
      <c r="X361" s="14"/>
      <c r="Y361" s="14"/>
      <c r="Z361" s="14"/>
      <c r="AA361" s="15"/>
      <c r="AB361" s="3"/>
      <c r="AC361" s="3"/>
      <c r="AD361" s="3"/>
      <c r="AE361" s="3"/>
      <c r="AF361" s="3"/>
      <c r="AG361" s="3"/>
      <c r="AH361" s="3"/>
      <c r="AI361" s="3"/>
      <c r="AJ361" s="3"/>
      <c r="AK361" s="3"/>
      <c r="AL361" s="3"/>
      <c r="AM361" s="3"/>
      <c r="AN361" s="3"/>
      <c r="AO361" s="3"/>
    </row>
    <row r="362" spans="2:41" x14ac:dyDescent="0.25">
      <c r="B362" s="13"/>
      <c r="C362" s="14"/>
      <c r="D362" s="60"/>
      <c r="E362" s="56"/>
      <c r="F362" s="56"/>
      <c r="G362" s="14"/>
      <c r="H362" s="56"/>
      <c r="I362" s="14"/>
      <c r="J362" s="14"/>
      <c r="K362" s="14"/>
      <c r="L362" s="14"/>
      <c r="M362" s="14"/>
      <c r="N362" s="14"/>
      <c r="O362" s="14"/>
      <c r="P362" s="14"/>
      <c r="Q362" s="14"/>
      <c r="R362" s="14"/>
      <c r="S362" s="14"/>
      <c r="T362" s="14"/>
      <c r="U362" s="14"/>
      <c r="V362" s="14"/>
      <c r="W362" s="14"/>
      <c r="X362" s="14"/>
      <c r="Y362" s="14"/>
      <c r="Z362" s="14"/>
      <c r="AA362" s="15"/>
      <c r="AB362" s="3"/>
      <c r="AC362" s="3"/>
      <c r="AD362" s="3"/>
      <c r="AE362" s="3"/>
      <c r="AF362" s="3"/>
      <c r="AG362" s="3"/>
      <c r="AH362" s="3"/>
      <c r="AI362" s="3"/>
      <c r="AJ362" s="3"/>
      <c r="AK362" s="3"/>
      <c r="AL362" s="3"/>
      <c r="AM362" s="3"/>
      <c r="AN362" s="3"/>
      <c r="AO362" s="3"/>
    </row>
    <row r="363" spans="2:41" x14ac:dyDescent="0.25">
      <c r="B363" s="13"/>
      <c r="C363" s="14"/>
      <c r="D363" s="60"/>
      <c r="E363" s="56"/>
      <c r="F363" s="56"/>
      <c r="G363" s="14"/>
      <c r="H363" s="56"/>
      <c r="I363" s="14"/>
      <c r="J363" s="14"/>
      <c r="K363" s="14"/>
      <c r="L363" s="14"/>
      <c r="M363" s="14"/>
      <c r="N363" s="14"/>
      <c r="O363" s="14"/>
      <c r="P363" s="14"/>
      <c r="Q363" s="14"/>
      <c r="R363" s="14"/>
      <c r="S363" s="14"/>
      <c r="T363" s="14"/>
      <c r="U363" s="14"/>
      <c r="V363" s="14"/>
      <c r="W363" s="14"/>
      <c r="X363" s="14"/>
      <c r="Y363" s="14"/>
      <c r="Z363" s="14"/>
      <c r="AA363" s="15"/>
      <c r="AB363" s="3"/>
      <c r="AC363" s="3"/>
      <c r="AD363" s="3"/>
      <c r="AE363" s="3"/>
      <c r="AF363" s="3"/>
      <c r="AG363" s="3"/>
      <c r="AH363" s="3"/>
      <c r="AI363" s="3"/>
      <c r="AJ363" s="3"/>
      <c r="AK363" s="3"/>
      <c r="AL363" s="3"/>
      <c r="AM363" s="3"/>
      <c r="AN363" s="3"/>
      <c r="AO363" s="3"/>
    </row>
    <row r="364" spans="2:41" x14ac:dyDescent="0.25">
      <c r="B364" s="13"/>
      <c r="C364" s="56"/>
      <c r="D364" s="60"/>
      <c r="E364" s="56"/>
      <c r="F364" s="56"/>
      <c r="G364" s="56"/>
      <c r="H364" s="56"/>
      <c r="I364" s="14"/>
      <c r="J364" s="14"/>
      <c r="K364" s="14"/>
      <c r="L364" s="14"/>
      <c r="M364" s="14"/>
      <c r="N364" s="14"/>
      <c r="O364" s="14"/>
      <c r="P364" s="14"/>
      <c r="Q364" s="14"/>
      <c r="R364" s="14"/>
      <c r="S364" s="14"/>
      <c r="T364" s="14"/>
      <c r="U364" s="14"/>
      <c r="V364" s="14"/>
      <c r="W364" s="14"/>
      <c r="X364" s="14"/>
      <c r="Y364" s="14"/>
      <c r="Z364" s="14"/>
      <c r="AA364" s="15"/>
      <c r="AB364" s="3"/>
      <c r="AC364" s="3"/>
      <c r="AD364" s="3"/>
      <c r="AE364" s="3"/>
      <c r="AF364" s="3"/>
      <c r="AG364" s="3"/>
      <c r="AH364" s="3"/>
      <c r="AI364" s="3"/>
      <c r="AJ364" s="3"/>
      <c r="AK364" s="3"/>
      <c r="AL364" s="3"/>
      <c r="AM364" s="3"/>
      <c r="AN364" s="3"/>
      <c r="AO364" s="3"/>
    </row>
    <row r="365" spans="2:41" x14ac:dyDescent="0.25">
      <c r="B365" s="13"/>
      <c r="C365" s="14"/>
      <c r="D365" s="60"/>
      <c r="E365" s="56"/>
      <c r="F365" s="56"/>
      <c r="G365" s="14"/>
      <c r="H365" s="56"/>
      <c r="I365" s="14"/>
      <c r="J365" s="14"/>
      <c r="K365" s="14"/>
      <c r="L365" s="14"/>
      <c r="M365" s="14"/>
      <c r="N365" s="14"/>
      <c r="O365" s="14"/>
      <c r="P365" s="14"/>
      <c r="Q365" s="14"/>
      <c r="R365" s="14"/>
      <c r="S365" s="14"/>
      <c r="T365" s="14"/>
      <c r="U365" s="14"/>
      <c r="V365" s="14"/>
      <c r="W365" s="14"/>
      <c r="X365" s="14"/>
      <c r="Y365" s="14"/>
      <c r="Z365" s="14"/>
      <c r="AA365" s="15"/>
      <c r="AB365" s="3"/>
      <c r="AC365" s="3"/>
      <c r="AD365" s="3"/>
      <c r="AE365" s="3"/>
      <c r="AF365" s="3"/>
      <c r="AG365" s="3"/>
      <c r="AH365" s="3"/>
      <c r="AI365" s="3"/>
      <c r="AJ365" s="3"/>
      <c r="AK365" s="3"/>
      <c r="AL365" s="3"/>
      <c r="AM365" s="3"/>
      <c r="AN365" s="3"/>
      <c r="AO365" s="3"/>
    </row>
    <row r="366" spans="2:41" x14ac:dyDescent="0.25">
      <c r="B366" s="13"/>
      <c r="C366" s="14"/>
      <c r="D366" s="14"/>
      <c r="E366" s="56"/>
      <c r="F366" s="56"/>
      <c r="G366" s="14"/>
      <c r="H366" s="56"/>
      <c r="I366" s="14"/>
      <c r="J366" s="14"/>
      <c r="K366" s="14"/>
      <c r="L366" s="14"/>
      <c r="M366" s="14"/>
      <c r="N366" s="14"/>
      <c r="O366" s="14"/>
      <c r="P366" s="14"/>
      <c r="Q366" s="14"/>
      <c r="R366" s="14"/>
      <c r="S366" s="14"/>
      <c r="T366" s="14"/>
      <c r="U366" s="14"/>
      <c r="V366" s="14"/>
      <c r="W366" s="14"/>
      <c r="X366" s="14"/>
      <c r="Y366" s="14"/>
      <c r="Z366" s="14"/>
      <c r="AA366" s="15"/>
      <c r="AB366" s="3"/>
      <c r="AC366" s="3"/>
      <c r="AD366" s="3"/>
      <c r="AE366" s="3"/>
      <c r="AF366" s="3"/>
      <c r="AG366" s="3"/>
      <c r="AH366" s="3"/>
      <c r="AI366" s="3"/>
      <c r="AJ366" s="3"/>
      <c r="AK366" s="3"/>
      <c r="AL366" s="3"/>
      <c r="AM366" s="3"/>
      <c r="AN366" s="3"/>
      <c r="AO366" s="3"/>
    </row>
    <row r="367" spans="2:41" x14ac:dyDescent="0.25">
      <c r="B367" s="13"/>
      <c r="C367" s="14"/>
      <c r="D367" s="60"/>
      <c r="E367" s="56"/>
      <c r="F367" s="56"/>
      <c r="G367" s="14"/>
      <c r="H367" s="14"/>
      <c r="I367" s="14"/>
      <c r="J367" s="14"/>
      <c r="K367" s="14"/>
      <c r="L367" s="14"/>
      <c r="M367" s="14"/>
      <c r="N367" s="14"/>
      <c r="O367" s="14"/>
      <c r="P367" s="14"/>
      <c r="Q367" s="14"/>
      <c r="R367" s="14"/>
      <c r="S367" s="14"/>
      <c r="T367" s="14"/>
      <c r="U367" s="14"/>
      <c r="V367" s="14"/>
      <c r="W367" s="14"/>
      <c r="X367" s="14"/>
      <c r="Y367" s="14"/>
      <c r="Z367" s="14"/>
      <c r="AA367" s="15"/>
      <c r="AB367" s="3"/>
      <c r="AC367" s="3"/>
      <c r="AD367" s="3"/>
      <c r="AE367" s="3"/>
      <c r="AF367" s="3"/>
      <c r="AG367" s="3"/>
      <c r="AH367" s="3"/>
      <c r="AI367" s="3"/>
      <c r="AJ367" s="3"/>
      <c r="AK367" s="3"/>
      <c r="AL367" s="3"/>
      <c r="AM367" s="3"/>
      <c r="AN367" s="3"/>
      <c r="AO367" s="3"/>
    </row>
    <row r="368" spans="2:41" x14ac:dyDescent="0.25">
      <c r="B368" s="13"/>
      <c r="C368" s="14"/>
      <c r="D368" s="60"/>
      <c r="E368" s="56"/>
      <c r="F368" s="56"/>
      <c r="G368" s="14"/>
      <c r="H368" s="56"/>
      <c r="I368" s="14"/>
      <c r="J368" s="14"/>
      <c r="K368" s="14"/>
      <c r="L368" s="14"/>
      <c r="M368" s="14"/>
      <c r="N368" s="14"/>
      <c r="O368" s="14"/>
      <c r="P368" s="14"/>
      <c r="Q368" s="14"/>
      <c r="R368" s="14"/>
      <c r="S368" s="14"/>
      <c r="T368" s="14"/>
      <c r="U368" s="14"/>
      <c r="V368" s="14"/>
      <c r="W368" s="14"/>
      <c r="X368" s="14"/>
      <c r="Y368" s="14"/>
      <c r="Z368" s="14"/>
      <c r="AA368" s="15"/>
      <c r="AB368" s="3"/>
      <c r="AC368" s="3"/>
      <c r="AD368" s="3"/>
      <c r="AE368" s="3"/>
      <c r="AF368" s="3"/>
      <c r="AG368" s="3"/>
      <c r="AH368" s="3"/>
      <c r="AI368" s="3"/>
      <c r="AJ368" s="3"/>
      <c r="AK368" s="3"/>
      <c r="AL368" s="3"/>
      <c r="AM368" s="3"/>
      <c r="AN368" s="3"/>
      <c r="AO368" s="3"/>
    </row>
    <row r="369" spans="2:41" ht="18.75" x14ac:dyDescent="0.3">
      <c r="B369" s="67"/>
      <c r="C369" s="14"/>
      <c r="D369" s="60"/>
      <c r="E369" s="56"/>
      <c r="F369" s="56"/>
      <c r="G369" s="14"/>
      <c r="H369" s="56"/>
      <c r="I369" s="74"/>
      <c r="J369" s="14"/>
      <c r="K369" s="14"/>
      <c r="L369" s="14"/>
      <c r="M369" s="14"/>
      <c r="N369" s="14"/>
      <c r="O369" s="14"/>
      <c r="P369" s="14"/>
      <c r="Q369" s="14"/>
      <c r="R369" s="14"/>
      <c r="S369" s="14"/>
      <c r="T369" s="14"/>
      <c r="U369" s="14"/>
      <c r="V369" s="14"/>
      <c r="W369" s="14"/>
      <c r="X369" s="14"/>
      <c r="Y369" s="14"/>
      <c r="Z369" s="14"/>
      <c r="AA369" s="15"/>
      <c r="AB369" s="3"/>
      <c r="AC369" s="3"/>
      <c r="AD369" s="3"/>
      <c r="AE369" s="3"/>
      <c r="AF369" s="3"/>
      <c r="AG369" s="3"/>
      <c r="AH369" s="3"/>
      <c r="AI369" s="3"/>
      <c r="AJ369" s="3"/>
      <c r="AK369" s="3"/>
      <c r="AL369" s="3"/>
      <c r="AM369" s="3"/>
      <c r="AN369" s="3"/>
      <c r="AO369" s="3"/>
    </row>
    <row r="370" spans="2:41" x14ac:dyDescent="0.25">
      <c r="B370" s="13"/>
      <c r="C370" s="14"/>
      <c r="D370" s="60"/>
      <c r="E370" s="56"/>
      <c r="F370" s="56"/>
      <c r="G370" s="14"/>
      <c r="H370" s="56"/>
      <c r="I370" s="14"/>
      <c r="J370" s="14"/>
      <c r="K370" s="14"/>
      <c r="L370" s="14"/>
      <c r="M370" s="14"/>
      <c r="N370" s="14"/>
      <c r="O370" s="14"/>
      <c r="P370" s="14"/>
      <c r="Q370" s="14"/>
      <c r="R370" s="14"/>
      <c r="S370" s="14"/>
      <c r="T370" s="14"/>
      <c r="U370" s="14"/>
      <c r="V370" s="14"/>
      <c r="W370" s="14"/>
      <c r="X370" s="14"/>
      <c r="Y370" s="14"/>
      <c r="Z370" s="14"/>
      <c r="AA370" s="15"/>
      <c r="AB370" s="3"/>
      <c r="AC370" s="3"/>
      <c r="AD370" s="3"/>
      <c r="AE370" s="3"/>
      <c r="AF370" s="3"/>
      <c r="AG370" s="3"/>
      <c r="AH370" s="3"/>
      <c r="AI370" s="3"/>
      <c r="AJ370" s="3"/>
      <c r="AK370" s="3"/>
      <c r="AL370" s="3"/>
      <c r="AM370" s="3"/>
      <c r="AN370" s="3"/>
      <c r="AO370" s="3"/>
    </row>
    <row r="371" spans="2:41" x14ac:dyDescent="0.25">
      <c r="B371" s="13"/>
      <c r="C371" s="56"/>
      <c r="D371" s="60"/>
      <c r="E371" s="56"/>
      <c r="F371" s="56"/>
      <c r="G371" s="56"/>
      <c r="H371" s="56"/>
      <c r="I371" s="14"/>
      <c r="J371" s="14"/>
      <c r="K371" s="14"/>
      <c r="L371" s="14"/>
      <c r="M371" s="14"/>
      <c r="N371" s="14"/>
      <c r="O371" s="14"/>
      <c r="P371" s="14"/>
      <c r="Q371" s="14"/>
      <c r="R371" s="14"/>
      <c r="S371" s="14"/>
      <c r="T371" s="14"/>
      <c r="U371" s="14"/>
      <c r="V371" s="14"/>
      <c r="W371" s="14"/>
      <c r="X371" s="14"/>
      <c r="Y371" s="14"/>
      <c r="Z371" s="14"/>
      <c r="AA371" s="15"/>
      <c r="AB371" s="3"/>
      <c r="AC371" s="3"/>
      <c r="AD371" s="3"/>
      <c r="AE371" s="3"/>
      <c r="AF371" s="3"/>
      <c r="AG371" s="3"/>
      <c r="AH371" s="3"/>
      <c r="AI371" s="3"/>
      <c r="AJ371" s="3"/>
      <c r="AK371" s="3"/>
      <c r="AL371" s="3"/>
      <c r="AM371" s="3"/>
      <c r="AN371" s="3"/>
      <c r="AO371" s="3"/>
    </row>
    <row r="372" spans="2:41" x14ac:dyDescent="0.25">
      <c r="B372" s="13"/>
      <c r="C372" s="14"/>
      <c r="D372" s="60"/>
      <c r="E372" s="56"/>
      <c r="F372" s="56"/>
      <c r="G372" s="14"/>
      <c r="H372" s="56"/>
      <c r="I372" s="14"/>
      <c r="J372" s="14"/>
      <c r="K372" s="14"/>
      <c r="L372" s="14"/>
      <c r="M372" s="14"/>
      <c r="N372" s="14"/>
      <c r="O372" s="14"/>
      <c r="P372" s="14"/>
      <c r="Q372" s="14"/>
      <c r="R372" s="14"/>
      <c r="S372" s="14"/>
      <c r="T372" s="14"/>
      <c r="U372" s="14"/>
      <c r="V372" s="14"/>
      <c r="W372" s="14"/>
      <c r="X372" s="14"/>
      <c r="Y372" s="14"/>
      <c r="Z372" s="14"/>
      <c r="AA372" s="15"/>
      <c r="AB372" s="3"/>
      <c r="AC372" s="3"/>
      <c r="AD372" s="3"/>
      <c r="AE372" s="3"/>
      <c r="AF372" s="3"/>
      <c r="AG372" s="3"/>
      <c r="AH372" s="3"/>
      <c r="AI372" s="3"/>
      <c r="AJ372" s="3"/>
      <c r="AK372" s="3"/>
      <c r="AL372" s="3"/>
      <c r="AM372" s="3"/>
      <c r="AN372" s="3"/>
      <c r="AO372" s="3"/>
    </row>
    <row r="373" spans="2:41" x14ac:dyDescent="0.25">
      <c r="B373" s="13"/>
      <c r="C373" s="14"/>
      <c r="D373" s="14"/>
      <c r="E373" s="56"/>
      <c r="F373" s="56"/>
      <c r="G373" s="14"/>
      <c r="H373" s="56"/>
      <c r="I373" s="14"/>
      <c r="J373" s="14"/>
      <c r="K373" s="14"/>
      <c r="L373" s="14"/>
      <c r="M373" s="14"/>
      <c r="N373" s="14"/>
      <c r="O373" s="14"/>
      <c r="P373" s="14"/>
      <c r="Q373" s="14"/>
      <c r="R373" s="14"/>
      <c r="S373" s="14"/>
      <c r="T373" s="14"/>
      <c r="U373" s="14"/>
      <c r="V373" s="14"/>
      <c r="W373" s="14"/>
      <c r="X373" s="14"/>
      <c r="Y373" s="14"/>
      <c r="Z373" s="14"/>
      <c r="AA373" s="15"/>
      <c r="AB373" s="3"/>
      <c r="AC373" s="3"/>
      <c r="AD373" s="3"/>
      <c r="AE373" s="3"/>
      <c r="AF373" s="3"/>
      <c r="AG373" s="3"/>
      <c r="AH373" s="3"/>
      <c r="AI373" s="3"/>
      <c r="AJ373" s="3"/>
      <c r="AK373" s="3"/>
      <c r="AL373" s="3"/>
      <c r="AM373" s="3"/>
      <c r="AN373" s="3"/>
      <c r="AO373" s="3"/>
    </row>
    <row r="374" spans="2:41" x14ac:dyDescent="0.25">
      <c r="B374" s="13"/>
      <c r="C374" s="14"/>
      <c r="D374" s="60"/>
      <c r="E374" s="56"/>
      <c r="F374" s="56"/>
      <c r="G374" s="14"/>
      <c r="H374" s="14"/>
      <c r="I374" s="14"/>
      <c r="J374" s="14"/>
      <c r="K374" s="14"/>
      <c r="L374" s="14"/>
      <c r="M374" s="14"/>
      <c r="N374" s="14"/>
      <c r="O374" s="14"/>
      <c r="P374" s="14"/>
      <c r="Q374" s="14"/>
      <c r="R374" s="14"/>
      <c r="S374" s="14"/>
      <c r="T374" s="14"/>
      <c r="U374" s="14"/>
      <c r="V374" s="14"/>
      <c r="W374" s="14"/>
      <c r="X374" s="14"/>
      <c r="Y374" s="14"/>
      <c r="Z374" s="14"/>
      <c r="AA374" s="15"/>
      <c r="AB374" s="3"/>
      <c r="AC374" s="3"/>
      <c r="AD374" s="3"/>
      <c r="AE374" s="3"/>
      <c r="AF374" s="3"/>
      <c r="AG374" s="3"/>
      <c r="AH374" s="3"/>
      <c r="AI374" s="3"/>
      <c r="AJ374" s="3"/>
      <c r="AK374" s="3"/>
      <c r="AL374" s="3"/>
      <c r="AM374" s="3"/>
      <c r="AN374" s="3"/>
      <c r="AO374" s="3"/>
    </row>
    <row r="375" spans="2:41" x14ac:dyDescent="0.25">
      <c r="B375" s="13"/>
      <c r="C375" s="14"/>
      <c r="D375" s="60"/>
      <c r="E375" s="56"/>
      <c r="F375" s="56"/>
      <c r="G375" s="14"/>
      <c r="H375" s="56"/>
      <c r="I375" s="14"/>
      <c r="J375" s="14"/>
      <c r="K375" s="14"/>
      <c r="L375" s="14"/>
      <c r="M375" s="14"/>
      <c r="N375" s="14"/>
      <c r="O375" s="14"/>
      <c r="P375" s="14"/>
      <c r="Q375" s="14"/>
      <c r="R375" s="14"/>
      <c r="S375" s="14"/>
      <c r="T375" s="14"/>
      <c r="U375" s="14"/>
      <c r="V375" s="14"/>
      <c r="W375" s="14"/>
      <c r="X375" s="14"/>
      <c r="Y375" s="14"/>
      <c r="Z375" s="14"/>
      <c r="AA375" s="15"/>
      <c r="AB375" s="3"/>
      <c r="AC375" s="3"/>
      <c r="AD375" s="3"/>
      <c r="AE375" s="3"/>
      <c r="AF375" s="3"/>
      <c r="AG375" s="3"/>
      <c r="AH375" s="3"/>
      <c r="AI375" s="3"/>
      <c r="AJ375" s="3"/>
      <c r="AK375" s="3"/>
      <c r="AL375" s="3"/>
      <c r="AM375" s="3"/>
      <c r="AN375" s="3"/>
      <c r="AO375" s="3"/>
    </row>
    <row r="376" spans="2:41" x14ac:dyDescent="0.25">
      <c r="B376" s="13"/>
      <c r="C376" s="14"/>
      <c r="D376" s="60"/>
      <c r="E376" s="56"/>
      <c r="F376" s="56"/>
      <c r="G376" s="14"/>
      <c r="H376" s="56"/>
      <c r="I376" s="14"/>
      <c r="J376" s="14"/>
      <c r="K376" s="14"/>
      <c r="L376" s="14"/>
      <c r="M376" s="14"/>
      <c r="N376" s="14"/>
      <c r="O376" s="14"/>
      <c r="P376" s="14"/>
      <c r="Q376" s="14"/>
      <c r="R376" s="14"/>
      <c r="S376" s="14"/>
      <c r="T376" s="14"/>
      <c r="U376" s="14"/>
      <c r="V376" s="14"/>
      <c r="W376" s="14"/>
      <c r="X376" s="14"/>
      <c r="Y376" s="14"/>
      <c r="Z376" s="14"/>
      <c r="AA376" s="15"/>
      <c r="AB376" s="3"/>
      <c r="AC376" s="3"/>
      <c r="AD376" s="3"/>
      <c r="AE376" s="3"/>
      <c r="AF376" s="3"/>
      <c r="AG376" s="3"/>
      <c r="AH376" s="3"/>
      <c r="AI376" s="3"/>
      <c r="AJ376" s="3"/>
      <c r="AK376" s="3"/>
      <c r="AL376" s="3"/>
      <c r="AM376" s="3"/>
      <c r="AN376" s="3"/>
      <c r="AO376" s="3"/>
    </row>
    <row r="377" spans="2:41" ht="18.75" x14ac:dyDescent="0.3">
      <c r="B377" s="67"/>
      <c r="C377" s="14"/>
      <c r="D377" s="60"/>
      <c r="E377" s="56"/>
      <c r="F377" s="56"/>
      <c r="G377" s="14"/>
      <c r="H377" s="56"/>
      <c r="I377" s="74"/>
      <c r="J377" s="14"/>
      <c r="K377" s="14"/>
      <c r="L377" s="14"/>
      <c r="M377" s="14"/>
      <c r="N377" s="14"/>
      <c r="O377" s="14"/>
      <c r="P377" s="14"/>
      <c r="Q377" s="14"/>
      <c r="R377" s="14"/>
      <c r="S377" s="14"/>
      <c r="T377" s="14"/>
      <c r="U377" s="14"/>
      <c r="V377" s="14"/>
      <c r="W377" s="14"/>
      <c r="X377" s="14"/>
      <c r="Y377" s="14"/>
      <c r="Z377" s="14"/>
      <c r="AA377" s="15"/>
      <c r="AB377" s="3"/>
      <c r="AC377" s="3"/>
      <c r="AD377" s="3"/>
      <c r="AE377" s="3"/>
      <c r="AF377" s="3"/>
      <c r="AG377" s="3"/>
      <c r="AH377" s="3"/>
      <c r="AI377" s="3"/>
      <c r="AJ377" s="3"/>
      <c r="AK377" s="3"/>
      <c r="AL377" s="3"/>
      <c r="AM377" s="3"/>
      <c r="AN377" s="3"/>
      <c r="AO377" s="3"/>
    </row>
    <row r="378" spans="2:41" x14ac:dyDescent="0.25">
      <c r="B378" s="13"/>
      <c r="C378" s="56"/>
      <c r="D378" s="60"/>
      <c r="E378" s="56"/>
      <c r="F378" s="56"/>
      <c r="G378" s="56"/>
      <c r="H378" s="56"/>
      <c r="I378" s="14"/>
      <c r="J378" s="14"/>
      <c r="K378" s="14"/>
      <c r="L378" s="14"/>
      <c r="M378" s="14"/>
      <c r="N378" s="14"/>
      <c r="O378" s="14"/>
      <c r="P378" s="14"/>
      <c r="Q378" s="14"/>
      <c r="R378" s="14"/>
      <c r="S378" s="14"/>
      <c r="T378" s="14"/>
      <c r="U378" s="14"/>
      <c r="V378" s="14"/>
      <c r="W378" s="14"/>
      <c r="X378" s="14"/>
      <c r="Y378" s="14"/>
      <c r="Z378" s="14"/>
      <c r="AA378" s="15"/>
      <c r="AB378" s="3"/>
      <c r="AC378" s="3"/>
      <c r="AD378" s="3"/>
      <c r="AE378" s="3"/>
      <c r="AF378" s="3"/>
      <c r="AG378" s="3"/>
      <c r="AH378" s="3"/>
      <c r="AI378" s="3"/>
      <c r="AJ378" s="3"/>
      <c r="AK378" s="3"/>
      <c r="AL378" s="3"/>
      <c r="AM378" s="3"/>
      <c r="AN378" s="3"/>
      <c r="AO378" s="3"/>
    </row>
    <row r="379" spans="2:41" x14ac:dyDescent="0.25">
      <c r="B379" s="13"/>
      <c r="C379" s="14"/>
      <c r="D379" s="60"/>
      <c r="E379" s="56"/>
      <c r="F379" s="56"/>
      <c r="G379" s="14"/>
      <c r="H379" s="56"/>
      <c r="I379" s="14"/>
      <c r="J379" s="14"/>
      <c r="K379" s="14"/>
      <c r="L379" s="14"/>
      <c r="M379" s="14"/>
      <c r="N379" s="14"/>
      <c r="O379" s="14"/>
      <c r="P379" s="14"/>
      <c r="Q379" s="14"/>
      <c r="R379" s="14"/>
      <c r="S379" s="14"/>
      <c r="T379" s="14"/>
      <c r="U379" s="14"/>
      <c r="V379" s="14"/>
      <c r="W379" s="14"/>
      <c r="X379" s="14"/>
      <c r="Y379" s="14"/>
      <c r="Z379" s="14"/>
      <c r="AA379" s="15"/>
      <c r="AB379" s="3"/>
      <c r="AC379" s="3"/>
      <c r="AD379" s="3"/>
      <c r="AE379" s="3"/>
      <c r="AF379" s="3"/>
      <c r="AG379" s="3"/>
      <c r="AH379" s="3"/>
      <c r="AI379" s="3"/>
      <c r="AJ379" s="3"/>
      <c r="AK379" s="3"/>
      <c r="AL379" s="3"/>
      <c r="AM379" s="3"/>
      <c r="AN379" s="3"/>
      <c r="AO379" s="3"/>
    </row>
    <row r="380" spans="2:41" x14ac:dyDescent="0.25">
      <c r="B380" s="13"/>
      <c r="C380" s="14"/>
      <c r="D380" s="14"/>
      <c r="E380" s="56"/>
      <c r="F380" s="56"/>
      <c r="G380" s="14"/>
      <c r="H380" s="56"/>
      <c r="I380" s="14"/>
      <c r="J380" s="14"/>
      <c r="K380" s="14"/>
      <c r="L380" s="14"/>
      <c r="M380" s="14"/>
      <c r="N380" s="14"/>
      <c r="O380" s="14"/>
      <c r="P380" s="14"/>
      <c r="Q380" s="14"/>
      <c r="R380" s="14"/>
      <c r="S380" s="14"/>
      <c r="T380" s="14"/>
      <c r="U380" s="14"/>
      <c r="V380" s="14"/>
      <c r="W380" s="14"/>
      <c r="X380" s="14"/>
      <c r="Y380" s="14"/>
      <c r="Z380" s="14"/>
      <c r="AA380" s="15"/>
      <c r="AB380" s="3"/>
      <c r="AC380" s="3"/>
      <c r="AD380" s="3"/>
      <c r="AE380" s="3"/>
      <c r="AF380" s="3"/>
      <c r="AG380" s="3"/>
      <c r="AH380" s="3"/>
      <c r="AI380" s="3"/>
      <c r="AJ380" s="3"/>
      <c r="AK380" s="3"/>
      <c r="AL380" s="3"/>
      <c r="AM380" s="3"/>
      <c r="AN380" s="3"/>
      <c r="AO380" s="3"/>
    </row>
    <row r="381" spans="2:41" x14ac:dyDescent="0.25">
      <c r="B381" s="13"/>
      <c r="C381" s="14"/>
      <c r="D381" s="60"/>
      <c r="E381" s="56"/>
      <c r="F381" s="56"/>
      <c r="G381" s="14"/>
      <c r="H381" s="14"/>
      <c r="I381" s="14"/>
      <c r="J381" s="14"/>
      <c r="K381" s="14"/>
      <c r="L381" s="14"/>
      <c r="M381" s="14"/>
      <c r="N381" s="14"/>
      <c r="O381" s="14"/>
      <c r="P381" s="14"/>
      <c r="Q381" s="14"/>
      <c r="R381" s="14"/>
      <c r="S381" s="14"/>
      <c r="T381" s="14"/>
      <c r="U381" s="14"/>
      <c r="V381" s="14"/>
      <c r="W381" s="14"/>
      <c r="X381" s="14"/>
      <c r="Y381" s="14"/>
      <c r="Z381" s="14"/>
      <c r="AA381" s="15"/>
      <c r="AB381" s="3"/>
      <c r="AC381" s="3"/>
      <c r="AD381" s="3"/>
      <c r="AE381" s="3"/>
      <c r="AF381" s="3"/>
      <c r="AG381" s="3"/>
      <c r="AH381" s="3"/>
      <c r="AI381" s="3"/>
      <c r="AJ381" s="3"/>
      <c r="AK381" s="3"/>
      <c r="AL381" s="3"/>
      <c r="AM381" s="3"/>
      <c r="AN381" s="3"/>
      <c r="AO381" s="3"/>
    </row>
    <row r="382" spans="2:41" x14ac:dyDescent="0.25">
      <c r="B382" s="13"/>
      <c r="C382" s="14"/>
      <c r="D382" s="60"/>
      <c r="E382" s="56"/>
      <c r="F382" s="56"/>
      <c r="G382" s="14"/>
      <c r="H382" s="56"/>
      <c r="I382" s="14"/>
      <c r="J382" s="14"/>
      <c r="K382" s="14"/>
      <c r="L382" s="14"/>
      <c r="M382" s="14"/>
      <c r="N382" s="14"/>
      <c r="O382" s="14"/>
      <c r="P382" s="14"/>
      <c r="Q382" s="14"/>
      <c r="R382" s="14"/>
      <c r="S382" s="14"/>
      <c r="T382" s="14"/>
      <c r="U382" s="14"/>
      <c r="V382" s="14"/>
      <c r="W382" s="14"/>
      <c r="X382" s="14"/>
      <c r="Y382" s="14"/>
      <c r="Z382" s="14"/>
      <c r="AA382" s="15"/>
      <c r="AB382" s="3"/>
      <c r="AC382" s="3"/>
      <c r="AD382" s="3"/>
      <c r="AE382" s="3"/>
      <c r="AF382" s="3"/>
      <c r="AG382" s="3"/>
      <c r="AH382" s="3"/>
      <c r="AI382" s="3"/>
      <c r="AJ382" s="3"/>
      <c r="AK382" s="3"/>
      <c r="AL382" s="3"/>
      <c r="AM382" s="3"/>
      <c r="AN382" s="3"/>
      <c r="AO382" s="3"/>
    </row>
    <row r="383" spans="2:41" x14ac:dyDescent="0.25">
      <c r="B383" s="13"/>
      <c r="C383" s="14"/>
      <c r="D383" s="60"/>
      <c r="E383" s="56"/>
      <c r="F383" s="56"/>
      <c r="G383" s="14"/>
      <c r="H383" s="56"/>
      <c r="I383" s="14"/>
      <c r="J383" s="14"/>
      <c r="K383" s="14"/>
      <c r="L383" s="14"/>
      <c r="M383" s="14"/>
      <c r="N383" s="14"/>
      <c r="O383" s="14"/>
      <c r="P383" s="14"/>
      <c r="Q383" s="14"/>
      <c r="R383" s="14"/>
      <c r="S383" s="14"/>
      <c r="T383" s="14"/>
      <c r="U383" s="14"/>
      <c r="V383" s="14"/>
      <c r="W383" s="14"/>
      <c r="X383" s="14"/>
      <c r="Y383" s="14"/>
      <c r="Z383" s="14"/>
      <c r="AA383" s="15"/>
      <c r="AB383" s="3"/>
      <c r="AC383" s="3"/>
      <c r="AD383" s="3"/>
      <c r="AE383" s="3"/>
      <c r="AF383" s="3"/>
      <c r="AG383" s="3"/>
      <c r="AH383" s="3"/>
      <c r="AI383" s="3"/>
      <c r="AJ383" s="3"/>
      <c r="AK383" s="3"/>
      <c r="AL383" s="3"/>
      <c r="AM383" s="3"/>
      <c r="AN383" s="3"/>
      <c r="AO383" s="3"/>
    </row>
    <row r="384" spans="2:41" x14ac:dyDescent="0.25">
      <c r="B384" s="13"/>
      <c r="C384" s="14"/>
      <c r="D384" s="60"/>
      <c r="E384" s="56"/>
      <c r="F384" s="56"/>
      <c r="G384" s="14"/>
      <c r="H384" s="56"/>
      <c r="I384" s="14"/>
      <c r="J384" s="14"/>
      <c r="K384" s="14"/>
      <c r="L384" s="14"/>
      <c r="M384" s="14"/>
      <c r="N384" s="14"/>
      <c r="O384" s="14"/>
      <c r="P384" s="14"/>
      <c r="Q384" s="14"/>
      <c r="R384" s="14"/>
      <c r="S384" s="14"/>
      <c r="T384" s="14"/>
      <c r="U384" s="14"/>
      <c r="V384" s="14"/>
      <c r="W384" s="14"/>
      <c r="X384" s="14"/>
      <c r="Y384" s="14"/>
      <c r="Z384" s="14"/>
      <c r="AA384" s="15"/>
      <c r="AB384" s="3"/>
      <c r="AC384" s="3"/>
      <c r="AD384" s="3"/>
      <c r="AE384" s="3"/>
      <c r="AF384" s="3"/>
      <c r="AG384" s="3"/>
      <c r="AH384" s="3"/>
      <c r="AI384" s="3"/>
      <c r="AJ384" s="3"/>
      <c r="AK384" s="3"/>
      <c r="AL384" s="3"/>
      <c r="AM384" s="3"/>
      <c r="AN384" s="3"/>
      <c r="AO384" s="3"/>
    </row>
    <row r="385" spans="2:41" ht="18.75" x14ac:dyDescent="0.3">
      <c r="B385" s="67"/>
      <c r="C385" s="56"/>
      <c r="D385" s="60"/>
      <c r="E385" s="56"/>
      <c r="F385" s="56"/>
      <c r="G385" s="56"/>
      <c r="H385" s="56"/>
      <c r="I385" s="74"/>
      <c r="J385" s="14"/>
      <c r="K385" s="14"/>
      <c r="L385" s="14"/>
      <c r="M385" s="14"/>
      <c r="N385" s="14"/>
      <c r="O385" s="14"/>
      <c r="P385" s="14"/>
      <c r="Q385" s="14"/>
      <c r="R385" s="14"/>
      <c r="S385" s="14"/>
      <c r="T385" s="14"/>
      <c r="U385" s="14"/>
      <c r="V385" s="14"/>
      <c r="W385" s="14"/>
      <c r="X385" s="14"/>
      <c r="Y385" s="14"/>
      <c r="Z385" s="14"/>
      <c r="AA385" s="15"/>
      <c r="AB385" s="3"/>
      <c r="AC385" s="3"/>
      <c r="AD385" s="3"/>
      <c r="AE385" s="3"/>
      <c r="AF385" s="3"/>
      <c r="AG385" s="3"/>
      <c r="AH385" s="3"/>
      <c r="AI385" s="3"/>
      <c r="AJ385" s="3"/>
      <c r="AK385" s="3"/>
      <c r="AL385" s="3"/>
      <c r="AM385" s="3"/>
      <c r="AN385" s="3"/>
      <c r="AO385" s="3"/>
    </row>
    <row r="386" spans="2:41" x14ac:dyDescent="0.25">
      <c r="B386" s="13"/>
      <c r="C386" s="14"/>
      <c r="D386" s="60"/>
      <c r="E386" s="56"/>
      <c r="F386" s="56"/>
      <c r="G386" s="14"/>
      <c r="H386" s="56"/>
      <c r="I386" s="14"/>
      <c r="J386" s="14"/>
      <c r="K386" s="14"/>
      <c r="L386" s="14"/>
      <c r="M386" s="14"/>
      <c r="N386" s="14"/>
      <c r="O386" s="14"/>
      <c r="P386" s="14"/>
      <c r="Q386" s="14"/>
      <c r="R386" s="14"/>
      <c r="S386" s="14"/>
      <c r="T386" s="14"/>
      <c r="U386" s="14"/>
      <c r="V386" s="14"/>
      <c r="W386" s="14"/>
      <c r="X386" s="14"/>
      <c r="Y386" s="14"/>
      <c r="Z386" s="14"/>
      <c r="AA386" s="15"/>
      <c r="AB386" s="3"/>
      <c r="AC386" s="3"/>
      <c r="AD386" s="3"/>
      <c r="AE386" s="3"/>
      <c r="AF386" s="3"/>
      <c r="AG386" s="3"/>
      <c r="AH386" s="3"/>
      <c r="AI386" s="3"/>
      <c r="AJ386" s="3"/>
      <c r="AK386" s="3"/>
      <c r="AL386" s="3"/>
      <c r="AM386" s="3"/>
      <c r="AN386" s="3"/>
      <c r="AO386" s="3"/>
    </row>
    <row r="387" spans="2:41" x14ac:dyDescent="0.25">
      <c r="B387" s="13"/>
      <c r="C387" s="14"/>
      <c r="D387" s="14"/>
      <c r="E387" s="56"/>
      <c r="F387" s="56"/>
      <c r="G387" s="14"/>
      <c r="H387" s="56"/>
      <c r="I387" s="14"/>
      <c r="J387" s="14"/>
      <c r="K387" s="14"/>
      <c r="L387" s="14"/>
      <c r="M387" s="14"/>
      <c r="N387" s="14"/>
      <c r="O387" s="14"/>
      <c r="P387" s="14"/>
      <c r="Q387" s="14"/>
      <c r="R387" s="14"/>
      <c r="S387" s="14"/>
      <c r="T387" s="14"/>
      <c r="U387" s="14"/>
      <c r="V387" s="14"/>
      <c r="W387" s="14"/>
      <c r="X387" s="14"/>
      <c r="Y387" s="14"/>
      <c r="Z387" s="14"/>
      <c r="AA387" s="15"/>
      <c r="AB387" s="3"/>
      <c r="AC387" s="3"/>
      <c r="AD387" s="3"/>
      <c r="AE387" s="3"/>
      <c r="AF387" s="3"/>
      <c r="AG387" s="3"/>
      <c r="AH387" s="3"/>
      <c r="AI387" s="3"/>
      <c r="AJ387" s="3"/>
      <c r="AK387" s="3"/>
      <c r="AL387" s="3"/>
      <c r="AM387" s="3"/>
      <c r="AN387" s="3"/>
      <c r="AO387" s="3"/>
    </row>
    <row r="388" spans="2:41" x14ac:dyDescent="0.25">
      <c r="B388" s="13"/>
      <c r="C388" s="14"/>
      <c r="D388" s="60"/>
      <c r="E388" s="56"/>
      <c r="F388" s="56"/>
      <c r="G388" s="14"/>
      <c r="H388" s="14"/>
      <c r="I388" s="14"/>
      <c r="J388" s="14"/>
      <c r="K388" s="14"/>
      <c r="L388" s="14"/>
      <c r="M388" s="14"/>
      <c r="N388" s="14"/>
      <c r="O388" s="14"/>
      <c r="P388" s="14"/>
      <c r="Q388" s="14"/>
      <c r="R388" s="14"/>
      <c r="S388" s="14"/>
      <c r="T388" s="14"/>
      <c r="U388" s="14"/>
      <c r="V388" s="14"/>
      <c r="W388" s="14"/>
      <c r="X388" s="14"/>
      <c r="Y388" s="14"/>
      <c r="Z388" s="14"/>
      <c r="AA388" s="15"/>
      <c r="AB388" s="3"/>
      <c r="AC388" s="3"/>
      <c r="AD388" s="3"/>
      <c r="AE388" s="3"/>
      <c r="AF388" s="3"/>
      <c r="AG388" s="3"/>
      <c r="AH388" s="3"/>
      <c r="AI388" s="3"/>
      <c r="AJ388" s="3"/>
      <c r="AK388" s="3"/>
      <c r="AL388" s="3"/>
      <c r="AM388" s="3"/>
      <c r="AN388" s="3"/>
      <c r="AO388" s="3"/>
    </row>
    <row r="389" spans="2:41" x14ac:dyDescent="0.25">
      <c r="B389" s="13"/>
      <c r="C389" s="14"/>
      <c r="D389" s="60"/>
      <c r="E389" s="56"/>
      <c r="F389" s="56"/>
      <c r="G389" s="14"/>
      <c r="H389" s="56"/>
      <c r="I389" s="14"/>
      <c r="J389" s="14"/>
      <c r="K389" s="14"/>
      <c r="L389" s="14"/>
      <c r="M389" s="14"/>
      <c r="N389" s="14"/>
      <c r="O389" s="14"/>
      <c r="P389" s="14"/>
      <c r="Q389" s="14"/>
      <c r="R389" s="14"/>
      <c r="S389" s="14"/>
      <c r="T389" s="14"/>
      <c r="U389" s="14"/>
      <c r="V389" s="14"/>
      <c r="W389" s="14"/>
      <c r="X389" s="14"/>
      <c r="Y389" s="14"/>
      <c r="Z389" s="14"/>
      <c r="AA389" s="15"/>
      <c r="AB389" s="3"/>
      <c r="AC389" s="3"/>
      <c r="AD389" s="3"/>
      <c r="AE389" s="3"/>
      <c r="AF389" s="3"/>
      <c r="AG389" s="3"/>
      <c r="AH389" s="3"/>
      <c r="AI389" s="3"/>
      <c r="AJ389" s="3"/>
      <c r="AK389" s="3"/>
      <c r="AL389" s="3"/>
      <c r="AM389" s="3"/>
      <c r="AN389" s="3"/>
      <c r="AO389" s="3"/>
    </row>
    <row r="390" spans="2:41" x14ac:dyDescent="0.25">
      <c r="B390" s="13"/>
      <c r="C390" s="14"/>
      <c r="D390" s="60"/>
      <c r="E390" s="56"/>
      <c r="F390" s="56"/>
      <c r="G390" s="14"/>
      <c r="H390" s="56"/>
      <c r="I390" s="14"/>
      <c r="J390" s="14"/>
      <c r="K390" s="14"/>
      <c r="L390" s="14"/>
      <c r="M390" s="14"/>
      <c r="N390" s="14"/>
      <c r="O390" s="14"/>
      <c r="P390" s="14"/>
      <c r="Q390" s="14"/>
      <c r="R390" s="14"/>
      <c r="S390" s="14"/>
      <c r="T390" s="14"/>
      <c r="U390" s="14"/>
      <c r="V390" s="14"/>
      <c r="W390" s="14"/>
      <c r="X390" s="14"/>
      <c r="Y390" s="14"/>
      <c r="Z390" s="14"/>
      <c r="AA390" s="15"/>
      <c r="AB390" s="3"/>
      <c r="AC390" s="3"/>
      <c r="AD390" s="3"/>
      <c r="AE390" s="3"/>
      <c r="AF390" s="3"/>
      <c r="AG390" s="3"/>
      <c r="AH390" s="3"/>
      <c r="AI390" s="3"/>
      <c r="AJ390" s="3"/>
      <c r="AK390" s="3"/>
      <c r="AL390" s="3"/>
      <c r="AM390" s="3"/>
      <c r="AN390" s="3"/>
      <c r="AO390" s="3"/>
    </row>
    <row r="391" spans="2:41" x14ac:dyDescent="0.25">
      <c r="B391" s="13"/>
      <c r="C391" s="14"/>
      <c r="D391" s="60"/>
      <c r="E391" s="56"/>
      <c r="F391" s="56"/>
      <c r="G391" s="14"/>
      <c r="H391" s="56"/>
      <c r="I391" s="14"/>
      <c r="J391" s="14"/>
      <c r="K391" s="14"/>
      <c r="L391" s="14"/>
      <c r="M391" s="14"/>
      <c r="N391" s="14"/>
      <c r="O391" s="14"/>
      <c r="P391" s="14"/>
      <c r="Q391" s="14"/>
      <c r="R391" s="14"/>
      <c r="S391" s="14"/>
      <c r="T391" s="14"/>
      <c r="U391" s="14"/>
      <c r="V391" s="14"/>
      <c r="W391" s="14"/>
      <c r="X391" s="14"/>
      <c r="Y391" s="14"/>
      <c r="Z391" s="14"/>
      <c r="AA391" s="15"/>
      <c r="AB391" s="3"/>
      <c r="AC391" s="3"/>
      <c r="AD391" s="3"/>
      <c r="AE391" s="3"/>
      <c r="AF391" s="3"/>
      <c r="AG391" s="3"/>
      <c r="AH391" s="3"/>
      <c r="AI391" s="3"/>
      <c r="AJ391" s="3"/>
      <c r="AK391" s="3"/>
      <c r="AL391" s="3"/>
      <c r="AM391" s="3"/>
      <c r="AN391" s="3"/>
      <c r="AO391" s="3"/>
    </row>
    <row r="392" spans="2:41" x14ac:dyDescent="0.25">
      <c r="B392" s="13"/>
      <c r="C392" s="56"/>
      <c r="D392" s="60"/>
      <c r="E392" s="56"/>
      <c r="F392" s="56"/>
      <c r="G392" s="56"/>
      <c r="H392" s="56"/>
      <c r="I392" s="14"/>
      <c r="J392" s="14"/>
      <c r="K392" s="14"/>
      <c r="L392" s="14"/>
      <c r="M392" s="14"/>
      <c r="N392" s="14"/>
      <c r="O392" s="14"/>
      <c r="P392" s="14"/>
      <c r="Q392" s="14"/>
      <c r="R392" s="14"/>
      <c r="S392" s="14"/>
      <c r="T392" s="14"/>
      <c r="U392" s="14"/>
      <c r="V392" s="14"/>
      <c r="W392" s="14"/>
      <c r="X392" s="14"/>
      <c r="Y392" s="14"/>
      <c r="Z392" s="14"/>
      <c r="AA392" s="15"/>
      <c r="AB392" s="3"/>
      <c r="AC392" s="3"/>
      <c r="AD392" s="3"/>
      <c r="AE392" s="3"/>
      <c r="AF392" s="3"/>
      <c r="AG392" s="3"/>
      <c r="AH392" s="3"/>
      <c r="AI392" s="3"/>
      <c r="AJ392" s="3"/>
      <c r="AK392" s="3"/>
      <c r="AL392" s="3"/>
      <c r="AM392" s="3"/>
      <c r="AN392" s="3"/>
      <c r="AO392" s="3"/>
    </row>
    <row r="393" spans="2:41" ht="18.75" x14ac:dyDescent="0.3">
      <c r="B393" s="67"/>
      <c r="C393" s="14"/>
      <c r="D393" s="60"/>
      <c r="E393" s="56"/>
      <c r="F393" s="56"/>
      <c r="G393" s="14"/>
      <c r="H393" s="56"/>
      <c r="I393" s="74"/>
      <c r="J393" s="14"/>
      <c r="K393" s="14"/>
      <c r="L393" s="14"/>
      <c r="M393" s="14"/>
      <c r="N393" s="14"/>
      <c r="O393" s="14"/>
      <c r="P393" s="14"/>
      <c r="Q393" s="14"/>
      <c r="R393" s="14"/>
      <c r="S393" s="14"/>
      <c r="T393" s="14"/>
      <c r="U393" s="14"/>
      <c r="V393" s="14"/>
      <c r="W393" s="14"/>
      <c r="X393" s="14"/>
      <c r="Y393" s="14"/>
      <c r="Z393" s="14"/>
      <c r="AA393" s="15"/>
      <c r="AB393" s="3"/>
      <c r="AC393" s="3"/>
      <c r="AD393" s="3"/>
      <c r="AE393" s="3"/>
      <c r="AF393" s="3"/>
      <c r="AG393" s="3"/>
      <c r="AH393" s="3"/>
      <c r="AI393" s="3"/>
      <c r="AJ393" s="3"/>
      <c r="AK393" s="3"/>
      <c r="AL393" s="3"/>
      <c r="AM393" s="3"/>
      <c r="AN393" s="3"/>
      <c r="AO393" s="3"/>
    </row>
    <row r="394" spans="2:41" x14ac:dyDescent="0.25">
      <c r="B394" s="13"/>
      <c r="C394" s="14"/>
      <c r="D394" s="14"/>
      <c r="E394" s="56"/>
      <c r="F394" s="56"/>
      <c r="G394" s="14"/>
      <c r="H394" s="56"/>
      <c r="I394" s="14"/>
      <c r="J394" s="14"/>
      <c r="K394" s="14"/>
      <c r="L394" s="14"/>
      <c r="M394" s="14"/>
      <c r="N394" s="14"/>
      <c r="O394" s="14"/>
      <c r="P394" s="14"/>
      <c r="Q394" s="14"/>
      <c r="R394" s="14"/>
      <c r="S394" s="14"/>
      <c r="T394" s="14"/>
      <c r="U394" s="14"/>
      <c r="V394" s="14"/>
      <c r="W394" s="14"/>
      <c r="X394" s="14"/>
      <c r="Y394" s="14"/>
      <c r="Z394" s="14"/>
      <c r="AA394" s="15"/>
      <c r="AB394" s="3"/>
      <c r="AC394" s="3"/>
      <c r="AD394" s="3"/>
      <c r="AE394" s="3"/>
      <c r="AF394" s="3"/>
      <c r="AG394" s="3"/>
      <c r="AH394" s="3"/>
      <c r="AI394" s="3"/>
      <c r="AJ394" s="3"/>
      <c r="AK394" s="3"/>
      <c r="AL394" s="3"/>
      <c r="AM394" s="3"/>
      <c r="AN394" s="3"/>
      <c r="AO394" s="3"/>
    </row>
    <row r="395" spans="2:41" x14ac:dyDescent="0.25">
      <c r="B395" s="13"/>
      <c r="C395" s="14"/>
      <c r="D395" s="60"/>
      <c r="E395" s="56"/>
      <c r="F395" s="56"/>
      <c r="G395" s="14"/>
      <c r="H395" s="14"/>
      <c r="I395" s="14"/>
      <c r="J395" s="14"/>
      <c r="K395" s="14"/>
      <c r="L395" s="14"/>
      <c r="M395" s="14"/>
      <c r="N395" s="14"/>
      <c r="O395" s="14"/>
      <c r="P395" s="14"/>
      <c r="Q395" s="14"/>
      <c r="R395" s="14"/>
      <c r="S395" s="14"/>
      <c r="T395" s="14"/>
      <c r="U395" s="14"/>
      <c r="V395" s="14"/>
      <c r="W395" s="14"/>
      <c r="X395" s="14"/>
      <c r="Y395" s="14"/>
      <c r="Z395" s="14"/>
      <c r="AA395" s="15"/>
      <c r="AB395" s="3"/>
      <c r="AC395" s="3"/>
      <c r="AD395" s="3"/>
      <c r="AE395" s="3"/>
      <c r="AF395" s="3"/>
      <c r="AG395" s="3"/>
      <c r="AH395" s="3"/>
      <c r="AI395" s="3"/>
      <c r="AJ395" s="3"/>
      <c r="AK395" s="3"/>
      <c r="AL395" s="3"/>
      <c r="AM395" s="3"/>
      <c r="AN395" s="3"/>
      <c r="AO395" s="3"/>
    </row>
    <row r="396" spans="2:41" x14ac:dyDescent="0.25">
      <c r="B396" s="13"/>
      <c r="C396" s="14"/>
      <c r="D396" s="60"/>
      <c r="E396" s="56"/>
      <c r="F396" s="56"/>
      <c r="G396" s="14"/>
      <c r="H396" s="56"/>
      <c r="I396" s="14"/>
      <c r="J396" s="14"/>
      <c r="K396" s="14"/>
      <c r="L396" s="14"/>
      <c r="M396" s="14"/>
      <c r="N396" s="14"/>
      <c r="O396" s="14"/>
      <c r="P396" s="14"/>
      <c r="Q396" s="14"/>
      <c r="R396" s="14"/>
      <c r="S396" s="14"/>
      <c r="T396" s="14"/>
      <c r="U396" s="14"/>
      <c r="V396" s="14"/>
      <c r="W396" s="14"/>
      <c r="X396" s="14"/>
      <c r="Y396" s="14"/>
      <c r="Z396" s="14"/>
      <c r="AA396" s="15"/>
      <c r="AB396" s="3"/>
      <c r="AC396" s="3"/>
      <c r="AD396" s="3"/>
      <c r="AE396" s="3"/>
      <c r="AF396" s="3"/>
      <c r="AG396" s="3"/>
      <c r="AH396" s="3"/>
      <c r="AI396" s="3"/>
      <c r="AJ396" s="3"/>
      <c r="AK396" s="3"/>
      <c r="AL396" s="3"/>
      <c r="AM396" s="3"/>
      <c r="AN396" s="3"/>
      <c r="AO396" s="3"/>
    </row>
    <row r="397" spans="2:41" x14ac:dyDescent="0.25">
      <c r="B397" s="13"/>
      <c r="C397" s="14"/>
      <c r="D397" s="60"/>
      <c r="E397" s="56"/>
      <c r="F397" s="56"/>
      <c r="G397" s="14"/>
      <c r="H397" s="56"/>
      <c r="I397" s="14"/>
      <c r="J397" s="14"/>
      <c r="K397" s="14"/>
      <c r="L397" s="14"/>
      <c r="M397" s="14"/>
      <c r="N397" s="14"/>
      <c r="O397" s="14"/>
      <c r="P397" s="14"/>
      <c r="Q397" s="14"/>
      <c r="R397" s="14"/>
      <c r="S397" s="14"/>
      <c r="T397" s="14"/>
      <c r="U397" s="14"/>
      <c r="V397" s="14"/>
      <c r="W397" s="14"/>
      <c r="X397" s="14"/>
      <c r="Y397" s="14"/>
      <c r="Z397" s="14"/>
      <c r="AA397" s="15"/>
      <c r="AB397" s="3"/>
      <c r="AC397" s="3"/>
      <c r="AD397" s="3"/>
      <c r="AE397" s="3"/>
      <c r="AF397" s="3"/>
      <c r="AG397" s="3"/>
      <c r="AH397" s="3"/>
      <c r="AI397" s="3"/>
      <c r="AJ397" s="3"/>
      <c r="AK397" s="3"/>
      <c r="AL397" s="3"/>
      <c r="AM397" s="3"/>
      <c r="AN397" s="3"/>
      <c r="AO397" s="3"/>
    </row>
    <row r="398" spans="2:41" x14ac:dyDescent="0.25">
      <c r="B398" s="13"/>
      <c r="C398" s="14"/>
      <c r="D398" s="60"/>
      <c r="E398" s="56"/>
      <c r="F398" s="56"/>
      <c r="G398" s="14"/>
      <c r="H398" s="56"/>
      <c r="I398" s="14"/>
      <c r="J398" s="14"/>
      <c r="K398" s="14"/>
      <c r="L398" s="14"/>
      <c r="M398" s="14"/>
      <c r="N398" s="14"/>
      <c r="O398" s="14"/>
      <c r="P398" s="14"/>
      <c r="Q398" s="14"/>
      <c r="R398" s="14"/>
      <c r="S398" s="14"/>
      <c r="T398" s="14"/>
      <c r="U398" s="14"/>
      <c r="V398" s="14"/>
      <c r="W398" s="14"/>
      <c r="X398" s="14"/>
      <c r="Y398" s="14"/>
      <c r="Z398" s="14"/>
      <c r="AA398" s="15"/>
      <c r="AB398" s="3"/>
      <c r="AC398" s="3"/>
      <c r="AD398" s="3"/>
      <c r="AE398" s="3"/>
      <c r="AF398" s="3"/>
      <c r="AG398" s="3"/>
      <c r="AH398" s="3"/>
      <c r="AI398" s="3"/>
      <c r="AJ398" s="3"/>
      <c r="AK398" s="3"/>
      <c r="AL398" s="3"/>
      <c r="AM398" s="3"/>
      <c r="AN398" s="3"/>
      <c r="AO398" s="3"/>
    </row>
    <row r="399" spans="2:41" x14ac:dyDescent="0.25">
      <c r="B399" s="13"/>
      <c r="C399" s="56"/>
      <c r="D399" s="60"/>
      <c r="E399" s="56"/>
      <c r="F399" s="56"/>
      <c r="G399" s="56"/>
      <c r="H399" s="56"/>
      <c r="I399" s="14"/>
      <c r="J399" s="14"/>
      <c r="K399" s="14"/>
      <c r="L399" s="14"/>
      <c r="M399" s="14"/>
      <c r="N399" s="14"/>
      <c r="O399" s="14"/>
      <c r="P399" s="14"/>
      <c r="Q399" s="14"/>
      <c r="R399" s="14"/>
      <c r="S399" s="14"/>
      <c r="T399" s="14"/>
      <c r="U399" s="14"/>
      <c r="V399" s="14"/>
      <c r="W399" s="14"/>
      <c r="X399" s="14"/>
      <c r="Y399" s="14"/>
      <c r="Z399" s="14"/>
      <c r="AA399" s="15"/>
      <c r="AB399" s="3"/>
      <c r="AC399" s="3"/>
      <c r="AD399" s="3"/>
      <c r="AE399" s="3"/>
      <c r="AF399" s="3"/>
      <c r="AG399" s="3"/>
      <c r="AH399" s="3"/>
      <c r="AI399" s="3"/>
      <c r="AJ399" s="3"/>
      <c r="AK399" s="3"/>
      <c r="AL399" s="3"/>
      <c r="AM399" s="3"/>
      <c r="AN399" s="3"/>
      <c r="AO399" s="3"/>
    </row>
    <row r="400" spans="2:41" x14ac:dyDescent="0.25">
      <c r="B400" s="13"/>
      <c r="C400" s="14"/>
      <c r="D400" s="60"/>
      <c r="E400" s="56"/>
      <c r="F400" s="56"/>
      <c r="G400" s="14"/>
      <c r="H400" s="56"/>
      <c r="I400" s="14"/>
      <c r="J400" s="14"/>
      <c r="K400" s="14"/>
      <c r="L400" s="14"/>
      <c r="M400" s="14"/>
      <c r="N400" s="14"/>
      <c r="O400" s="14"/>
      <c r="P400" s="14"/>
      <c r="Q400" s="14"/>
      <c r="R400" s="14"/>
      <c r="S400" s="14"/>
      <c r="T400" s="14"/>
      <c r="U400" s="14"/>
      <c r="V400" s="14"/>
      <c r="W400" s="14"/>
      <c r="X400" s="14"/>
      <c r="Y400" s="14"/>
      <c r="Z400" s="14"/>
      <c r="AA400" s="15"/>
      <c r="AB400" s="3"/>
      <c r="AC400" s="3"/>
      <c r="AD400" s="3"/>
      <c r="AE400" s="3"/>
      <c r="AF400" s="3"/>
      <c r="AG400" s="3"/>
      <c r="AH400" s="3"/>
      <c r="AI400" s="3"/>
      <c r="AJ400" s="3"/>
      <c r="AK400" s="3"/>
      <c r="AL400" s="3"/>
      <c r="AM400" s="3"/>
      <c r="AN400" s="3"/>
      <c r="AO400" s="3"/>
    </row>
    <row r="401" spans="2:41" ht="18.75" x14ac:dyDescent="0.3">
      <c r="B401" s="67"/>
      <c r="C401" s="14"/>
      <c r="D401" s="14"/>
      <c r="E401" s="56"/>
      <c r="F401" s="56"/>
      <c r="G401" s="14"/>
      <c r="H401" s="56"/>
      <c r="I401" s="74"/>
      <c r="J401" s="14"/>
      <c r="K401" s="14"/>
      <c r="L401" s="14"/>
      <c r="M401" s="14"/>
      <c r="N401" s="14"/>
      <c r="O401" s="14"/>
      <c r="P401" s="14"/>
      <c r="Q401" s="14"/>
      <c r="R401" s="14"/>
      <c r="S401" s="14"/>
      <c r="T401" s="14"/>
      <c r="U401" s="14"/>
      <c r="V401" s="14"/>
      <c r="W401" s="14"/>
      <c r="X401" s="14"/>
      <c r="Y401" s="14"/>
      <c r="Z401" s="14"/>
      <c r="AA401" s="15"/>
      <c r="AB401" s="3"/>
      <c r="AC401" s="3"/>
      <c r="AD401" s="3"/>
      <c r="AE401" s="3"/>
      <c r="AF401" s="3"/>
      <c r="AG401" s="3"/>
      <c r="AH401" s="3"/>
      <c r="AI401" s="3"/>
      <c r="AJ401" s="3"/>
      <c r="AK401" s="3"/>
      <c r="AL401" s="3"/>
      <c r="AM401" s="3"/>
      <c r="AN401" s="3"/>
      <c r="AO401" s="3"/>
    </row>
    <row r="402" spans="2:41" x14ac:dyDescent="0.25">
      <c r="B402" s="18"/>
      <c r="C402" s="19"/>
      <c r="D402" s="63"/>
      <c r="E402" s="64"/>
      <c r="F402" s="64"/>
      <c r="G402" s="19"/>
      <c r="H402" s="19"/>
      <c r="I402" s="19"/>
      <c r="J402" s="19"/>
      <c r="K402" s="19"/>
      <c r="L402" s="19"/>
      <c r="M402" s="19"/>
      <c r="N402" s="19"/>
      <c r="O402" s="19"/>
      <c r="P402" s="19"/>
      <c r="Q402" s="19"/>
      <c r="R402" s="19"/>
      <c r="S402" s="19"/>
      <c r="T402" s="19"/>
      <c r="U402" s="19"/>
      <c r="V402" s="19"/>
      <c r="W402" s="19"/>
      <c r="X402" s="19"/>
      <c r="Y402" s="19"/>
      <c r="Z402" s="19"/>
      <c r="AA402" s="20"/>
      <c r="AB402" s="3"/>
      <c r="AC402" s="3"/>
      <c r="AD402" s="3"/>
      <c r="AE402" s="3"/>
      <c r="AF402" s="3"/>
      <c r="AG402" s="3"/>
      <c r="AH402" s="3"/>
      <c r="AI402" s="3"/>
      <c r="AJ402" s="3"/>
      <c r="AK402" s="3"/>
      <c r="AL402" s="3"/>
      <c r="AM402" s="3"/>
      <c r="AN402" s="3"/>
      <c r="AO402" s="3"/>
    </row>
    <row r="403" spans="2:41" x14ac:dyDescent="0.25">
      <c r="B403" s="13"/>
      <c r="C403" s="13"/>
      <c r="D403" s="60"/>
      <c r="E403" s="56"/>
      <c r="F403" s="56"/>
      <c r="G403" s="14"/>
      <c r="H403" s="61"/>
      <c r="I403" s="15"/>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row>
    <row r="404" spans="2:41" x14ac:dyDescent="0.25">
      <c r="B404" s="13"/>
      <c r="C404" s="13"/>
      <c r="D404" s="60"/>
      <c r="E404" s="56"/>
      <c r="F404" s="56"/>
      <c r="G404" s="14"/>
      <c r="H404" s="61"/>
      <c r="I404" s="15"/>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row>
    <row r="405" spans="2:41" x14ac:dyDescent="0.25">
      <c r="B405" s="13"/>
      <c r="C405" s="13"/>
      <c r="D405" s="60"/>
      <c r="E405" s="56"/>
      <c r="F405" s="56"/>
      <c r="G405" s="14"/>
      <c r="H405" s="61"/>
      <c r="I405" s="15"/>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row>
    <row r="406" spans="2:41" x14ac:dyDescent="0.25">
      <c r="B406" s="13"/>
      <c r="C406" s="62"/>
      <c r="D406" s="63"/>
      <c r="E406" s="64"/>
      <c r="F406" s="64"/>
      <c r="G406" s="64"/>
      <c r="H406" s="65"/>
      <c r="I406" s="15"/>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row>
    <row r="407" spans="2:41" x14ac:dyDescent="0.25">
      <c r="B407" s="13"/>
      <c r="C407" s="14"/>
      <c r="D407" s="60"/>
      <c r="E407" s="66"/>
      <c r="F407" s="56"/>
      <c r="G407" s="14"/>
      <c r="H407" s="56"/>
      <c r="I407" s="1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row>
    <row r="408" spans="2:41" x14ac:dyDescent="0.25">
      <c r="B408" s="13"/>
      <c r="C408" s="10"/>
      <c r="D408" s="11"/>
      <c r="E408" s="56"/>
      <c r="F408" s="58"/>
      <c r="G408" s="11"/>
      <c r="H408" s="59"/>
      <c r="I408" s="15"/>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row>
    <row r="409" spans="2:41" ht="18.75" x14ac:dyDescent="0.3">
      <c r="B409" s="67"/>
      <c r="C409" s="13"/>
      <c r="D409" s="60"/>
      <c r="E409" s="56"/>
      <c r="F409" s="56"/>
      <c r="G409" s="14"/>
      <c r="H409" s="15"/>
      <c r="I409" s="68"/>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row>
    <row r="410" spans="2:41" x14ac:dyDescent="0.25">
      <c r="B410" s="13"/>
      <c r="C410" s="13"/>
      <c r="D410" s="60"/>
      <c r="E410" s="56"/>
      <c r="F410" s="56"/>
      <c r="G410" s="14"/>
      <c r="H410" s="61"/>
      <c r="I410" s="15"/>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row>
    <row r="411" spans="2:41" x14ac:dyDescent="0.25">
      <c r="B411" s="13"/>
      <c r="C411" s="13"/>
      <c r="D411" s="60"/>
      <c r="E411" s="56"/>
      <c r="F411" s="56"/>
      <c r="G411" s="14"/>
      <c r="H411" s="61"/>
      <c r="I411" s="15"/>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row>
    <row r="412" spans="2:41" x14ac:dyDescent="0.25">
      <c r="B412" s="13"/>
      <c r="C412" s="13"/>
      <c r="D412" s="60"/>
      <c r="E412" s="56"/>
      <c r="F412" s="56"/>
      <c r="G412" s="14"/>
      <c r="H412" s="61"/>
      <c r="I412" s="15"/>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row>
    <row r="413" spans="2:41" x14ac:dyDescent="0.25">
      <c r="B413" s="13"/>
      <c r="C413" s="62"/>
      <c r="D413" s="63"/>
      <c r="E413" s="64"/>
      <c r="F413" s="64"/>
      <c r="G413" s="64"/>
      <c r="H413" s="65"/>
      <c r="I413" s="15"/>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row>
    <row r="414" spans="2:41" x14ac:dyDescent="0.25">
      <c r="B414" s="13"/>
      <c r="C414" s="14"/>
      <c r="D414" s="60"/>
      <c r="E414" s="66"/>
      <c r="F414" s="56"/>
      <c r="G414" s="14"/>
      <c r="H414" s="56"/>
      <c r="I414" s="15"/>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row>
    <row r="415" spans="2:41" x14ac:dyDescent="0.25">
      <c r="B415" s="13"/>
      <c r="C415" s="10"/>
      <c r="D415" s="11"/>
      <c r="E415" s="56"/>
      <c r="F415" s="58"/>
      <c r="G415" s="11"/>
      <c r="H415" s="59"/>
      <c r="I415" s="15"/>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row>
    <row r="416" spans="2:41" x14ac:dyDescent="0.25">
      <c r="B416" s="13"/>
      <c r="C416" s="13"/>
      <c r="D416" s="60"/>
      <c r="E416" s="56"/>
      <c r="F416" s="56"/>
      <c r="G416" s="14"/>
      <c r="H416" s="15"/>
      <c r="I416" s="15"/>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row>
    <row r="417" spans="2:41" ht="18.75" x14ac:dyDescent="0.3">
      <c r="B417" s="67"/>
      <c r="C417" s="13"/>
      <c r="D417" s="60"/>
      <c r="E417" s="56"/>
      <c r="F417" s="56"/>
      <c r="G417" s="14"/>
      <c r="H417" s="61"/>
      <c r="I417" s="68"/>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row>
    <row r="418" spans="2:41" x14ac:dyDescent="0.25">
      <c r="B418" s="13"/>
      <c r="C418" s="13"/>
      <c r="D418" s="60"/>
      <c r="E418" s="56"/>
      <c r="F418" s="56"/>
      <c r="G418" s="14"/>
      <c r="H418" s="61"/>
      <c r="I418" s="15"/>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row>
    <row r="419" spans="2:41" x14ac:dyDescent="0.25">
      <c r="B419" s="13"/>
      <c r="C419" s="13"/>
      <c r="D419" s="60"/>
      <c r="E419" s="56"/>
      <c r="F419" s="56"/>
      <c r="G419" s="14"/>
      <c r="H419" s="61"/>
      <c r="I419" s="15"/>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row>
    <row r="420" spans="2:41" x14ac:dyDescent="0.25">
      <c r="B420" s="13"/>
      <c r="C420" s="62"/>
      <c r="D420" s="63"/>
      <c r="E420" s="64"/>
      <c r="F420" s="64"/>
      <c r="G420" s="64"/>
      <c r="H420" s="65"/>
      <c r="I420" s="15"/>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row>
    <row r="421" spans="2:41" x14ac:dyDescent="0.25">
      <c r="B421" s="13"/>
      <c r="C421" s="14"/>
      <c r="D421" s="60"/>
      <c r="E421" s="66"/>
      <c r="F421" s="56"/>
      <c r="G421" s="14"/>
      <c r="H421" s="56"/>
      <c r="I421" s="15"/>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row>
    <row r="422" spans="2:41" x14ac:dyDescent="0.25">
      <c r="B422" s="13"/>
      <c r="C422" s="10"/>
      <c r="D422" s="11"/>
      <c r="E422" s="56"/>
      <c r="F422" s="58"/>
      <c r="G422" s="11"/>
      <c r="H422" s="59"/>
      <c r="I422" s="15"/>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row>
    <row r="423" spans="2:41" x14ac:dyDescent="0.25">
      <c r="B423" s="13"/>
      <c r="C423" s="13"/>
      <c r="D423" s="60"/>
      <c r="E423" s="56"/>
      <c r="F423" s="56"/>
      <c r="G423" s="14"/>
      <c r="H423" s="15"/>
      <c r="I423" s="15"/>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row>
    <row r="424" spans="2:41" x14ac:dyDescent="0.25">
      <c r="B424" s="13"/>
      <c r="C424" s="13"/>
      <c r="D424" s="60"/>
      <c r="E424" s="56"/>
      <c r="F424" s="56"/>
      <c r="G424" s="14"/>
      <c r="H424" s="61"/>
      <c r="I424" s="15"/>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row>
    <row r="425" spans="2:41" ht="18.75" x14ac:dyDescent="0.3">
      <c r="B425" s="67"/>
      <c r="C425" s="13"/>
      <c r="D425" s="60"/>
      <c r="E425" s="56"/>
      <c r="F425" s="56"/>
      <c r="G425" s="14"/>
      <c r="H425" s="61"/>
      <c r="I425" s="68"/>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row>
    <row r="426" spans="2:41" x14ac:dyDescent="0.25">
      <c r="B426" s="13"/>
      <c r="C426" s="13"/>
      <c r="D426" s="60"/>
      <c r="E426" s="56"/>
      <c r="F426" s="56"/>
      <c r="G426" s="14"/>
      <c r="H426" s="61"/>
      <c r="I426" s="15"/>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row>
    <row r="427" spans="2:41" x14ac:dyDescent="0.25">
      <c r="B427" s="13"/>
      <c r="C427" s="62"/>
      <c r="D427" s="63"/>
      <c r="E427" s="64"/>
      <c r="F427" s="64"/>
      <c r="G427" s="64"/>
      <c r="H427" s="65"/>
      <c r="I427" s="15"/>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row>
    <row r="428" spans="2:41" x14ac:dyDescent="0.25">
      <c r="B428" s="13"/>
      <c r="C428" s="14"/>
      <c r="D428" s="60"/>
      <c r="E428" s="66"/>
      <c r="F428" s="56"/>
      <c r="G428" s="14"/>
      <c r="H428" s="56"/>
      <c r="I428" s="15"/>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row>
    <row r="429" spans="2:41" x14ac:dyDescent="0.25">
      <c r="B429" s="13"/>
      <c r="C429" s="10"/>
      <c r="D429" s="11"/>
      <c r="E429" s="56"/>
      <c r="F429" s="58"/>
      <c r="G429" s="11"/>
      <c r="H429" s="59"/>
      <c r="I429" s="15"/>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row>
    <row r="430" spans="2:41" x14ac:dyDescent="0.25">
      <c r="B430" s="13"/>
      <c r="C430" s="13"/>
      <c r="D430" s="60"/>
      <c r="E430" s="56"/>
      <c r="F430" s="56"/>
      <c r="G430" s="14"/>
      <c r="H430" s="15"/>
      <c r="I430" s="15"/>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row>
    <row r="431" spans="2:41" x14ac:dyDescent="0.25">
      <c r="B431" s="13"/>
      <c r="C431" s="13"/>
      <c r="D431" s="60"/>
      <c r="E431" s="56"/>
      <c r="F431" s="56"/>
      <c r="G431" s="14"/>
      <c r="H431" s="61"/>
      <c r="I431" s="15"/>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row>
    <row r="432" spans="2:41" x14ac:dyDescent="0.25">
      <c r="B432" s="13"/>
      <c r="C432" s="13"/>
      <c r="D432" s="60"/>
      <c r="E432" s="56"/>
      <c r="F432" s="56"/>
      <c r="G432" s="14"/>
      <c r="H432" s="61"/>
      <c r="I432" s="15"/>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row>
    <row r="433" spans="2:41" ht="18.75" x14ac:dyDescent="0.3">
      <c r="B433" s="67"/>
      <c r="C433" s="13"/>
      <c r="D433" s="60"/>
      <c r="E433" s="56"/>
      <c r="F433" s="56"/>
      <c r="G433" s="14"/>
      <c r="H433" s="61"/>
      <c r="I433" s="68"/>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row>
    <row r="434" spans="2:41" x14ac:dyDescent="0.25">
      <c r="B434" s="13"/>
      <c r="C434" s="62"/>
      <c r="D434" s="63"/>
      <c r="E434" s="64"/>
      <c r="F434" s="64"/>
      <c r="G434" s="64"/>
      <c r="H434" s="65"/>
      <c r="I434" s="15"/>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row>
    <row r="435" spans="2:41" x14ac:dyDescent="0.25">
      <c r="B435" s="13"/>
      <c r="C435" s="14"/>
      <c r="D435" s="60"/>
      <c r="E435" s="66"/>
      <c r="F435" s="56"/>
      <c r="G435" s="14"/>
      <c r="H435" s="56"/>
      <c r="I435" s="15"/>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row>
    <row r="436" spans="2:41" x14ac:dyDescent="0.25">
      <c r="B436" s="13"/>
      <c r="C436" s="10"/>
      <c r="D436" s="11"/>
      <c r="E436" s="56"/>
      <c r="F436" s="58"/>
      <c r="G436" s="11"/>
      <c r="H436" s="59"/>
      <c r="I436" s="15"/>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row>
    <row r="437" spans="2:41" x14ac:dyDescent="0.25">
      <c r="B437" s="13"/>
      <c r="C437" s="13"/>
      <c r="D437" s="60"/>
      <c r="E437" s="56"/>
      <c r="F437" s="56"/>
      <c r="G437" s="14"/>
      <c r="H437" s="15"/>
      <c r="I437" s="15"/>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row>
    <row r="438" spans="2:41" x14ac:dyDescent="0.25">
      <c r="B438" s="13"/>
      <c r="C438" s="13"/>
      <c r="D438" s="60"/>
      <c r="E438" s="56"/>
      <c r="F438" s="56"/>
      <c r="G438" s="14"/>
      <c r="H438" s="61"/>
      <c r="I438" s="15"/>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row>
    <row r="439" spans="2:41" x14ac:dyDescent="0.25">
      <c r="B439" s="13"/>
      <c r="C439" s="13"/>
      <c r="D439" s="60"/>
      <c r="E439" s="56"/>
      <c r="F439" s="56"/>
      <c r="G439" s="14"/>
      <c r="H439" s="61"/>
      <c r="I439" s="15"/>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row>
    <row r="440" spans="2:41" x14ac:dyDescent="0.25">
      <c r="B440" s="13"/>
      <c r="C440" s="13"/>
      <c r="D440" s="60"/>
      <c r="E440" s="56"/>
      <c r="F440" s="56"/>
      <c r="G440" s="14"/>
      <c r="H440" s="61"/>
      <c r="I440" s="15"/>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row>
    <row r="441" spans="2:41" ht="18.75" x14ac:dyDescent="0.3">
      <c r="B441" s="67"/>
      <c r="C441" s="62"/>
      <c r="D441" s="63"/>
      <c r="E441" s="64"/>
      <c r="F441" s="64"/>
      <c r="G441" s="64"/>
      <c r="H441" s="65"/>
      <c r="I441" s="68"/>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row>
    <row r="442" spans="2:41" x14ac:dyDescent="0.25">
      <c r="B442" s="13"/>
      <c r="C442" s="14"/>
      <c r="D442" s="60"/>
      <c r="E442" s="66"/>
      <c r="F442" s="56"/>
      <c r="G442" s="14"/>
      <c r="H442" s="56"/>
      <c r="I442" s="15"/>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row>
    <row r="443" spans="2:41" x14ac:dyDescent="0.25">
      <c r="B443" s="13"/>
      <c r="C443" s="10"/>
      <c r="D443" s="11"/>
      <c r="E443" s="56"/>
      <c r="F443" s="58"/>
      <c r="G443" s="11"/>
      <c r="H443" s="59"/>
      <c r="I443" s="15"/>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row>
    <row r="444" spans="2:41" x14ac:dyDescent="0.25">
      <c r="B444" s="13"/>
      <c r="C444" s="13"/>
      <c r="D444" s="60"/>
      <c r="E444" s="56"/>
      <c r="F444" s="56"/>
      <c r="G444" s="14"/>
      <c r="H444" s="15"/>
      <c r="I444" s="15"/>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row>
    <row r="445" spans="2:41" x14ac:dyDescent="0.25">
      <c r="B445" s="13"/>
      <c r="C445" s="13"/>
      <c r="D445" s="60"/>
      <c r="E445" s="56"/>
      <c r="F445" s="56"/>
      <c r="G445" s="14"/>
      <c r="H445" s="61"/>
      <c r="I445" s="15"/>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row>
    <row r="446" spans="2:41" x14ac:dyDescent="0.25">
      <c r="B446" s="13"/>
      <c r="C446" s="13"/>
      <c r="D446" s="60"/>
      <c r="E446" s="56"/>
      <c r="F446" s="56"/>
      <c r="G446" s="14"/>
      <c r="H446" s="61"/>
      <c r="I446" s="15"/>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row>
    <row r="447" spans="2:41" x14ac:dyDescent="0.25">
      <c r="B447" s="13"/>
      <c r="C447" s="13"/>
      <c r="D447" s="60"/>
      <c r="E447" s="56"/>
      <c r="F447" s="56"/>
      <c r="G447" s="14"/>
      <c r="H447" s="61"/>
      <c r="I447" s="15"/>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row>
    <row r="448" spans="2:41" x14ac:dyDescent="0.25">
      <c r="B448" s="13"/>
      <c r="C448" s="62"/>
      <c r="D448" s="63"/>
      <c r="E448" s="64"/>
      <c r="F448" s="64"/>
      <c r="G448" s="64"/>
      <c r="H448" s="65"/>
      <c r="I448" s="15"/>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row>
    <row r="449" spans="2:41" ht="18.75" x14ac:dyDescent="0.3">
      <c r="B449" s="67"/>
      <c r="C449" s="14"/>
      <c r="D449" s="60"/>
      <c r="E449" s="66"/>
      <c r="F449" s="56"/>
      <c r="G449" s="14"/>
      <c r="H449" s="56"/>
      <c r="I449" s="68"/>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row>
    <row r="450" spans="2:41" x14ac:dyDescent="0.25">
      <c r="B450" s="13"/>
      <c r="C450" s="10"/>
      <c r="D450" s="11"/>
      <c r="E450" s="56"/>
      <c r="F450" s="58"/>
      <c r="G450" s="11"/>
      <c r="H450" s="59"/>
      <c r="I450" s="15"/>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row>
    <row r="451" spans="2:41" x14ac:dyDescent="0.25">
      <c r="B451" s="13"/>
      <c r="C451" s="13"/>
      <c r="D451" s="60"/>
      <c r="E451" s="56"/>
      <c r="F451" s="56"/>
      <c r="G451" s="14"/>
      <c r="H451" s="15"/>
      <c r="I451" s="15"/>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row>
    <row r="452" spans="2:41" x14ac:dyDescent="0.25">
      <c r="B452" s="13"/>
      <c r="C452" s="13"/>
      <c r="D452" s="60"/>
      <c r="E452" s="56"/>
      <c r="F452" s="56"/>
      <c r="G452" s="14"/>
      <c r="H452" s="61"/>
      <c r="I452" s="15"/>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row>
    <row r="453" spans="2:41" x14ac:dyDescent="0.25">
      <c r="B453" s="13"/>
      <c r="C453" s="13"/>
      <c r="D453" s="60"/>
      <c r="E453" s="56"/>
      <c r="F453" s="56"/>
      <c r="G453" s="14"/>
      <c r="H453" s="61"/>
      <c r="I453" s="15"/>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row>
    <row r="454" spans="2:41" x14ac:dyDescent="0.25">
      <c r="B454" s="13"/>
      <c r="C454" s="13"/>
      <c r="D454" s="60"/>
      <c r="E454" s="56"/>
      <c r="F454" s="56"/>
      <c r="G454" s="14"/>
      <c r="H454" s="61"/>
      <c r="I454" s="15"/>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row>
    <row r="455" spans="2:41" x14ac:dyDescent="0.25">
      <c r="B455" s="13"/>
      <c r="C455" s="62"/>
      <c r="D455" s="63"/>
      <c r="E455" s="64"/>
      <c r="F455" s="64"/>
      <c r="G455" s="64"/>
      <c r="H455" s="65"/>
      <c r="I455" s="15"/>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row>
    <row r="456" spans="2:41" x14ac:dyDescent="0.25">
      <c r="B456" s="13"/>
      <c r="C456" s="14"/>
      <c r="D456" s="60"/>
      <c r="E456" s="66"/>
      <c r="F456" s="56"/>
      <c r="G456" s="14"/>
      <c r="H456" s="56"/>
      <c r="I456" s="15"/>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row>
    <row r="457" spans="2:41" ht="18.75" x14ac:dyDescent="0.3">
      <c r="B457" s="67"/>
      <c r="C457" s="10"/>
      <c r="D457" s="11"/>
      <c r="E457" s="56"/>
      <c r="F457" s="58"/>
      <c r="G457" s="11"/>
      <c r="H457" s="59"/>
      <c r="I457" s="68"/>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row>
    <row r="458" spans="2:41" x14ac:dyDescent="0.25">
      <c r="B458" s="13"/>
      <c r="C458" s="13"/>
      <c r="D458" s="60"/>
      <c r="E458" s="56"/>
      <c r="F458" s="56"/>
      <c r="G458" s="14"/>
      <c r="H458" s="15"/>
      <c r="I458" s="15"/>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row>
    <row r="459" spans="2:41" x14ac:dyDescent="0.25">
      <c r="B459" s="13"/>
      <c r="C459" s="13"/>
      <c r="D459" s="60"/>
      <c r="E459" s="56"/>
      <c r="F459" s="56"/>
      <c r="G459" s="14"/>
      <c r="H459" s="61"/>
      <c r="I459" s="15"/>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row>
    <row r="460" spans="2:41" x14ac:dyDescent="0.25">
      <c r="B460" s="13"/>
      <c r="C460" s="13"/>
      <c r="D460" s="60"/>
      <c r="E460" s="56"/>
      <c r="F460" s="56"/>
      <c r="G460" s="14"/>
      <c r="H460" s="61"/>
      <c r="I460" s="15"/>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row>
    <row r="461" spans="2:41" x14ac:dyDescent="0.25">
      <c r="B461" s="13"/>
      <c r="C461" s="13"/>
      <c r="D461" s="60"/>
      <c r="E461" s="56"/>
      <c r="F461" s="56"/>
      <c r="G461" s="14"/>
      <c r="H461" s="61"/>
      <c r="I461" s="15"/>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row>
    <row r="462" spans="2:41" x14ac:dyDescent="0.25">
      <c r="B462" s="13"/>
      <c r="C462" s="62"/>
      <c r="D462" s="63"/>
      <c r="E462" s="64"/>
      <c r="F462" s="64"/>
      <c r="G462" s="64"/>
      <c r="H462" s="65"/>
      <c r="I462" s="15"/>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row>
    <row r="463" spans="2:41" x14ac:dyDescent="0.25">
      <c r="B463" s="13"/>
      <c r="C463" s="14"/>
      <c r="D463" s="60"/>
      <c r="E463" s="66"/>
      <c r="F463" s="56"/>
      <c r="G463" s="14"/>
      <c r="H463" s="56"/>
      <c r="I463" s="15"/>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row>
    <row r="464" spans="2:41" x14ac:dyDescent="0.25">
      <c r="B464" s="13"/>
      <c r="C464" s="10"/>
      <c r="D464" s="11"/>
      <c r="E464" s="56"/>
      <c r="F464" s="58"/>
      <c r="G464" s="11"/>
      <c r="H464" s="59"/>
      <c r="I464" s="15"/>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row>
    <row r="465" spans="2:41" ht="18.75" x14ac:dyDescent="0.3">
      <c r="B465" s="67"/>
      <c r="C465" s="13"/>
      <c r="D465" s="60"/>
      <c r="E465" s="56"/>
      <c r="F465" s="56"/>
      <c r="G465" s="14"/>
      <c r="H465" s="15"/>
      <c r="I465" s="68"/>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row>
    <row r="466" spans="2:41" x14ac:dyDescent="0.25">
      <c r="B466" s="13"/>
      <c r="C466" s="13"/>
      <c r="D466" s="60"/>
      <c r="E466" s="56"/>
      <c r="F466" s="56"/>
      <c r="G466" s="14"/>
      <c r="H466" s="61"/>
      <c r="I466" s="15"/>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row>
    <row r="467" spans="2:41" x14ac:dyDescent="0.25">
      <c r="B467" s="13"/>
      <c r="C467" s="13"/>
      <c r="D467" s="60"/>
      <c r="E467" s="56"/>
      <c r="F467" s="56"/>
      <c r="G467" s="14"/>
      <c r="H467" s="61"/>
      <c r="I467" s="15"/>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row>
    <row r="468" spans="2:41" x14ac:dyDescent="0.25">
      <c r="B468" s="13"/>
      <c r="C468" s="13"/>
      <c r="D468" s="60"/>
      <c r="E468" s="56"/>
      <c r="F468" s="56"/>
      <c r="G468" s="14"/>
      <c r="H468" s="61"/>
      <c r="I468" s="15"/>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row>
    <row r="469" spans="2:41" x14ac:dyDescent="0.25">
      <c r="B469" s="13"/>
      <c r="C469" s="62"/>
      <c r="D469" s="63"/>
      <c r="E469" s="64"/>
      <c r="F469" s="64"/>
      <c r="G469" s="64"/>
      <c r="H469" s="65"/>
      <c r="I469" s="15"/>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row>
    <row r="470" spans="2:41" x14ac:dyDescent="0.25">
      <c r="B470" s="13"/>
      <c r="C470" s="14"/>
      <c r="D470" s="60"/>
      <c r="E470" s="66"/>
      <c r="F470" s="56"/>
      <c r="G470" s="14"/>
      <c r="H470" s="56"/>
      <c r="I470" s="15"/>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row>
    <row r="471" spans="2:41" x14ac:dyDescent="0.25">
      <c r="B471" s="13"/>
      <c r="C471" s="10"/>
      <c r="D471" s="11"/>
      <c r="E471" s="56"/>
      <c r="F471" s="58"/>
      <c r="G471" s="11"/>
      <c r="H471" s="59"/>
      <c r="I471" s="15"/>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row>
    <row r="472" spans="2:41" x14ac:dyDescent="0.25">
      <c r="B472" s="13"/>
      <c r="C472" s="13"/>
      <c r="D472" s="60"/>
      <c r="E472" s="56"/>
      <c r="F472" s="56"/>
      <c r="G472" s="14"/>
      <c r="H472" s="15"/>
      <c r="I472" s="15"/>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row>
    <row r="473" spans="2:41" ht="18.75" x14ac:dyDescent="0.3">
      <c r="B473" s="67"/>
      <c r="C473" s="13"/>
      <c r="D473" s="60"/>
      <c r="E473" s="56"/>
      <c r="F473" s="56"/>
      <c r="G473" s="14"/>
      <c r="H473" s="61"/>
      <c r="I473" s="68"/>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row>
    <row r="474" spans="2:41" x14ac:dyDescent="0.25">
      <c r="B474" s="13"/>
      <c r="C474" s="13"/>
      <c r="D474" s="60"/>
      <c r="E474" s="56"/>
      <c r="F474" s="56"/>
      <c r="G474" s="14"/>
      <c r="H474" s="61"/>
      <c r="I474" s="1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row>
    <row r="475" spans="2:41" x14ac:dyDescent="0.25">
      <c r="B475" s="13"/>
      <c r="C475" s="13"/>
      <c r="D475" s="60"/>
      <c r="E475" s="56"/>
      <c r="F475" s="56"/>
      <c r="G475" s="14"/>
      <c r="H475" s="61"/>
      <c r="I475" s="15"/>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row>
    <row r="476" spans="2:41" x14ac:dyDescent="0.25">
      <c r="B476" s="13"/>
      <c r="C476" s="62"/>
      <c r="D476" s="63"/>
      <c r="E476" s="64"/>
      <c r="F476" s="64"/>
      <c r="G476" s="64"/>
      <c r="H476" s="65"/>
      <c r="I476" s="15"/>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row>
    <row r="477" spans="2:41" x14ac:dyDescent="0.25">
      <c r="B477" s="13"/>
      <c r="C477" s="14"/>
      <c r="D477" s="60"/>
      <c r="E477" s="66"/>
      <c r="F477" s="56"/>
      <c r="G477" s="14"/>
      <c r="H477" s="56"/>
      <c r="I477" s="15"/>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row>
    <row r="478" spans="2:41" x14ac:dyDescent="0.25">
      <c r="B478" s="13"/>
      <c r="C478" s="10"/>
      <c r="D478" s="11"/>
      <c r="E478" s="56"/>
      <c r="F478" s="58"/>
      <c r="G478" s="11"/>
      <c r="H478" s="59"/>
      <c r="I478" s="15"/>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row>
    <row r="479" spans="2:41" x14ac:dyDescent="0.25">
      <c r="B479" s="13"/>
      <c r="C479" s="13"/>
      <c r="D479" s="60"/>
      <c r="E479" s="56"/>
      <c r="F479" s="56"/>
      <c r="G479" s="14"/>
      <c r="H479" s="15"/>
      <c r="I479" s="15"/>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row>
    <row r="480" spans="2:41" x14ac:dyDescent="0.25">
      <c r="B480" s="13"/>
      <c r="C480" s="13"/>
      <c r="D480" s="60"/>
      <c r="E480" s="56"/>
      <c r="F480" s="56"/>
      <c r="G480" s="14"/>
      <c r="H480" s="61"/>
      <c r="I480" s="15"/>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row>
    <row r="481" spans="2:41" ht="18.75" x14ac:dyDescent="0.3">
      <c r="B481" s="67"/>
      <c r="C481" s="13"/>
      <c r="D481" s="60"/>
      <c r="E481" s="56"/>
      <c r="F481" s="56"/>
      <c r="G481" s="14"/>
      <c r="H481" s="61"/>
      <c r="I481" s="68"/>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row>
    <row r="482" spans="2:41" x14ac:dyDescent="0.25">
      <c r="B482" s="13"/>
      <c r="C482" s="13"/>
      <c r="D482" s="60"/>
      <c r="E482" s="56"/>
      <c r="F482" s="56"/>
      <c r="G482" s="14"/>
      <c r="H482" s="61"/>
      <c r="I482" s="15"/>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row>
    <row r="483" spans="2:41" x14ac:dyDescent="0.25">
      <c r="B483" s="13"/>
      <c r="C483" s="62"/>
      <c r="D483" s="63"/>
      <c r="E483" s="64"/>
      <c r="F483" s="64"/>
      <c r="G483" s="64"/>
      <c r="H483" s="65"/>
      <c r="I483" s="15"/>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row>
    <row r="484" spans="2:41" x14ac:dyDescent="0.25">
      <c r="B484" s="13"/>
      <c r="C484" s="14"/>
      <c r="D484" s="60"/>
      <c r="E484" s="66"/>
      <c r="F484" s="56"/>
      <c r="G484" s="14"/>
      <c r="H484" s="56"/>
      <c r="I484" s="15"/>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row>
    <row r="485" spans="2:41" x14ac:dyDescent="0.25">
      <c r="B485" s="13"/>
      <c r="C485" s="10"/>
      <c r="D485" s="11"/>
      <c r="E485" s="56"/>
      <c r="F485" s="58"/>
      <c r="G485" s="11"/>
      <c r="H485" s="59"/>
      <c r="I485" s="15"/>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row>
    <row r="486" spans="2:41" x14ac:dyDescent="0.25">
      <c r="B486" s="13"/>
      <c r="C486" s="13"/>
      <c r="D486" s="60"/>
      <c r="E486" s="56"/>
      <c r="F486" s="56"/>
      <c r="G486" s="14"/>
      <c r="H486" s="15"/>
      <c r="I486" s="15"/>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row>
    <row r="487" spans="2:41" x14ac:dyDescent="0.25">
      <c r="B487" s="13"/>
      <c r="C487" s="13"/>
      <c r="D487" s="60"/>
      <c r="E487" s="56"/>
      <c r="F487" s="56"/>
      <c r="G487" s="14"/>
      <c r="H487" s="61"/>
      <c r="I487" s="15"/>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row>
    <row r="488" spans="2:41" x14ac:dyDescent="0.25">
      <c r="B488" s="13"/>
      <c r="C488" s="13"/>
      <c r="D488" s="60"/>
      <c r="E488" s="56"/>
      <c r="F488" s="56"/>
      <c r="G488" s="14"/>
      <c r="H488" s="61"/>
      <c r="I488" s="15"/>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row>
    <row r="489" spans="2:41" ht="18.75" x14ac:dyDescent="0.3">
      <c r="B489" s="67"/>
      <c r="C489" s="13"/>
      <c r="D489" s="60"/>
      <c r="E489" s="56"/>
      <c r="F489" s="56"/>
      <c r="G489" s="14"/>
      <c r="H489" s="61"/>
      <c r="I489" s="68"/>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row>
    <row r="490" spans="2:41" x14ac:dyDescent="0.25">
      <c r="B490" s="13"/>
      <c r="C490" s="62"/>
      <c r="D490" s="63"/>
      <c r="E490" s="64"/>
      <c r="F490" s="64"/>
      <c r="G490" s="64"/>
      <c r="H490" s="65"/>
      <c r="I490" s="15"/>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row>
    <row r="491" spans="2:41" x14ac:dyDescent="0.25">
      <c r="B491" s="13"/>
      <c r="C491" s="14"/>
      <c r="D491" s="60"/>
      <c r="E491" s="66"/>
      <c r="F491" s="56"/>
      <c r="G491" s="14"/>
      <c r="H491" s="56"/>
      <c r="I491" s="15"/>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row>
    <row r="492" spans="2:41" x14ac:dyDescent="0.25">
      <c r="B492" s="13"/>
      <c r="C492" s="10"/>
      <c r="D492" s="11"/>
      <c r="E492" s="56"/>
      <c r="F492" s="58"/>
      <c r="G492" s="11"/>
      <c r="H492" s="59"/>
      <c r="I492" s="15"/>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row>
    <row r="493" spans="2:41" x14ac:dyDescent="0.25">
      <c r="B493" s="13"/>
      <c r="C493" s="13"/>
      <c r="D493" s="60"/>
      <c r="E493" s="56"/>
      <c r="F493" s="56"/>
      <c r="G493" s="14"/>
      <c r="H493" s="15"/>
      <c r="I493" s="15"/>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row>
    <row r="494" spans="2:41" x14ac:dyDescent="0.25">
      <c r="B494" s="13"/>
      <c r="C494" s="13"/>
      <c r="D494" s="60"/>
      <c r="E494" s="56"/>
      <c r="F494" s="56"/>
      <c r="G494" s="14"/>
      <c r="H494" s="61"/>
      <c r="I494" s="15"/>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row>
    <row r="495" spans="2:41" x14ac:dyDescent="0.25">
      <c r="B495" s="13"/>
      <c r="C495" s="13"/>
      <c r="D495" s="60"/>
      <c r="E495" s="56"/>
      <c r="F495" s="56"/>
      <c r="G495" s="14"/>
      <c r="H495" s="61"/>
      <c r="I495" s="15"/>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row>
    <row r="496" spans="2:41" x14ac:dyDescent="0.25">
      <c r="B496" s="13"/>
      <c r="C496" s="13"/>
      <c r="D496" s="60"/>
      <c r="E496" s="56"/>
      <c r="F496" s="56"/>
      <c r="G496" s="14"/>
      <c r="H496" s="61"/>
      <c r="I496" s="15"/>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row>
    <row r="497" spans="2:41" ht="18.75" x14ac:dyDescent="0.3">
      <c r="B497" s="67"/>
      <c r="C497" s="62"/>
      <c r="D497" s="63"/>
      <c r="E497" s="64"/>
      <c r="F497" s="64"/>
      <c r="G497" s="64"/>
      <c r="H497" s="65"/>
      <c r="I497" s="68"/>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row>
    <row r="498" spans="2:41" x14ac:dyDescent="0.25">
      <c r="B498" s="13"/>
      <c r="C498" s="14"/>
      <c r="D498" s="60"/>
      <c r="E498" s="66"/>
      <c r="F498" s="56"/>
      <c r="G498" s="14"/>
      <c r="H498" s="56"/>
      <c r="I498" s="15"/>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row>
    <row r="499" spans="2:41" x14ac:dyDescent="0.25">
      <c r="B499" s="13"/>
      <c r="C499" s="10"/>
      <c r="D499" s="11"/>
      <c r="E499" s="56"/>
      <c r="F499" s="58"/>
      <c r="G499" s="11"/>
      <c r="H499" s="59"/>
      <c r="I499" s="15"/>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row>
    <row r="500" spans="2:41" x14ac:dyDescent="0.25">
      <c r="B500" s="13"/>
      <c r="C500" s="13"/>
      <c r="D500" s="60"/>
      <c r="E500" s="56"/>
      <c r="F500" s="56"/>
      <c r="G500" s="14"/>
      <c r="H500" s="15"/>
      <c r="I500" s="15"/>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row>
    <row r="501" spans="2:41" x14ac:dyDescent="0.25">
      <c r="B501" s="13"/>
      <c r="C501" s="13"/>
      <c r="D501" s="60"/>
      <c r="E501" s="56"/>
      <c r="F501" s="56"/>
      <c r="G501" s="14"/>
      <c r="H501" s="61"/>
      <c r="I501" s="15"/>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row>
    <row r="502" spans="2:41" x14ac:dyDescent="0.25">
      <c r="B502" s="13"/>
      <c r="C502" s="13"/>
      <c r="D502" s="60"/>
      <c r="E502" s="56"/>
      <c r="F502" s="56"/>
      <c r="G502" s="14"/>
      <c r="H502" s="61"/>
      <c r="I502" s="15"/>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row>
    <row r="503" spans="2:41" x14ac:dyDescent="0.25">
      <c r="B503" s="13"/>
      <c r="C503" s="13"/>
      <c r="D503" s="60"/>
      <c r="E503" s="56"/>
      <c r="F503" s="56"/>
      <c r="G503" s="14"/>
      <c r="H503" s="61"/>
      <c r="I503" s="15"/>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row>
    <row r="504" spans="2:41" x14ac:dyDescent="0.25">
      <c r="B504" s="13"/>
      <c r="C504" s="62"/>
      <c r="D504" s="63"/>
      <c r="E504" s="64"/>
      <c r="F504" s="64"/>
      <c r="G504" s="64"/>
      <c r="H504" s="65"/>
      <c r="I504" s="15"/>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row>
    <row r="505" spans="2:41" ht="18.75" x14ac:dyDescent="0.3">
      <c r="B505" s="67"/>
      <c r="C505" s="14"/>
      <c r="D505" s="60"/>
      <c r="E505" s="66"/>
      <c r="F505" s="56"/>
      <c r="G505" s="14"/>
      <c r="H505" s="56"/>
      <c r="I505" s="68"/>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row>
    <row r="506" spans="2:41" x14ac:dyDescent="0.25">
      <c r="B506" s="13"/>
      <c r="C506" s="10"/>
      <c r="D506" s="11"/>
      <c r="E506" s="56"/>
      <c r="F506" s="58"/>
      <c r="G506" s="11"/>
      <c r="H506" s="59"/>
      <c r="I506" s="15"/>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row>
    <row r="507" spans="2:41" x14ac:dyDescent="0.25">
      <c r="B507" s="13"/>
      <c r="C507" s="13"/>
      <c r="D507" s="60"/>
      <c r="E507" s="56"/>
      <c r="F507" s="56"/>
      <c r="G507" s="14"/>
      <c r="H507" s="15"/>
      <c r="I507" s="15"/>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row>
    <row r="508" spans="2:41" x14ac:dyDescent="0.25">
      <c r="B508" s="13"/>
      <c r="C508" s="13"/>
      <c r="D508" s="60"/>
      <c r="E508" s="56"/>
      <c r="F508" s="56"/>
      <c r="G508" s="14"/>
      <c r="H508" s="61"/>
      <c r="I508" s="15"/>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row>
    <row r="509" spans="2:41" x14ac:dyDescent="0.25">
      <c r="B509" s="13"/>
      <c r="C509" s="13"/>
      <c r="D509" s="60"/>
      <c r="E509" s="56"/>
      <c r="F509" s="56"/>
      <c r="G509" s="14"/>
      <c r="H509" s="61"/>
      <c r="I509" s="15"/>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row>
    <row r="510" spans="2:41" x14ac:dyDescent="0.25">
      <c r="B510" s="13"/>
      <c r="C510" s="13"/>
      <c r="D510" s="60"/>
      <c r="E510" s="56"/>
      <c r="F510" s="56"/>
      <c r="G510" s="14"/>
      <c r="H510" s="61"/>
      <c r="I510" s="15"/>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row>
    <row r="511" spans="2:41" x14ac:dyDescent="0.25">
      <c r="B511" s="13"/>
      <c r="C511" s="62"/>
      <c r="D511" s="63"/>
      <c r="E511" s="64"/>
      <c r="F511" s="64"/>
      <c r="G511" s="64"/>
      <c r="H511" s="65"/>
      <c r="I511" s="15"/>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row>
    <row r="512" spans="2:41" x14ac:dyDescent="0.25">
      <c r="B512" s="13"/>
      <c r="C512" s="14"/>
      <c r="D512" s="60"/>
      <c r="E512" s="66"/>
      <c r="F512" s="56"/>
      <c r="G512" s="14"/>
      <c r="H512" s="56"/>
      <c r="I512" s="15"/>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row>
    <row r="513" spans="2:41" ht="18.75" x14ac:dyDescent="0.3">
      <c r="B513" s="67"/>
      <c r="C513" s="10"/>
      <c r="D513" s="11"/>
      <c r="E513" s="56"/>
      <c r="F513" s="58"/>
      <c r="G513" s="11"/>
      <c r="H513" s="59"/>
      <c r="I513" s="68"/>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row>
    <row r="514" spans="2:41" x14ac:dyDescent="0.25">
      <c r="B514" s="13"/>
      <c r="C514" s="13"/>
      <c r="D514" s="60"/>
      <c r="E514" s="56"/>
      <c r="F514" s="56"/>
      <c r="G514" s="14"/>
      <c r="H514" s="15"/>
      <c r="I514" s="15"/>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row>
    <row r="515" spans="2:41" x14ac:dyDescent="0.25">
      <c r="B515" s="13"/>
      <c r="C515" s="13"/>
      <c r="D515" s="60"/>
      <c r="E515" s="56"/>
      <c r="F515" s="56"/>
      <c r="G515" s="14"/>
      <c r="H515" s="61"/>
      <c r="I515" s="15"/>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row>
    <row r="516" spans="2:41" x14ac:dyDescent="0.25">
      <c r="B516" s="13"/>
      <c r="C516" s="13"/>
      <c r="D516" s="60"/>
      <c r="E516" s="56"/>
      <c r="F516" s="56"/>
      <c r="G516" s="14"/>
      <c r="H516" s="61"/>
      <c r="I516" s="15"/>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row>
    <row r="517" spans="2:41" x14ac:dyDescent="0.25">
      <c r="B517" s="13"/>
      <c r="C517" s="13"/>
      <c r="D517" s="60"/>
      <c r="E517" s="56"/>
      <c r="F517" s="56"/>
      <c r="G517" s="14"/>
      <c r="H517" s="61"/>
      <c r="I517" s="15"/>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row>
    <row r="518" spans="2:41" x14ac:dyDescent="0.25">
      <c r="B518" s="13"/>
      <c r="C518" s="62"/>
      <c r="D518" s="63"/>
      <c r="E518" s="64"/>
      <c r="F518" s="64"/>
      <c r="G518" s="64"/>
      <c r="H518" s="65"/>
      <c r="I518" s="15"/>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row>
    <row r="519" spans="2:41" x14ac:dyDescent="0.25">
      <c r="B519" s="13"/>
      <c r="C519" s="14"/>
      <c r="D519" s="60"/>
      <c r="E519" s="66"/>
      <c r="F519" s="56"/>
      <c r="G519" s="14"/>
      <c r="H519" s="56"/>
      <c r="I519" s="15"/>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row>
    <row r="520" spans="2:41" x14ac:dyDescent="0.25">
      <c r="B520" s="13"/>
      <c r="C520" s="10"/>
      <c r="D520" s="11"/>
      <c r="E520" s="56"/>
      <c r="F520" s="58"/>
      <c r="G520" s="11"/>
      <c r="H520" s="59"/>
      <c r="I520" s="15"/>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row>
    <row r="521" spans="2:41" ht="18.75" x14ac:dyDescent="0.3">
      <c r="B521" s="67"/>
      <c r="C521" s="13"/>
      <c r="D521" s="60"/>
      <c r="E521" s="56"/>
      <c r="F521" s="56"/>
      <c r="G521" s="14"/>
      <c r="H521" s="15"/>
      <c r="I521" s="68"/>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row>
    <row r="522" spans="2:41" x14ac:dyDescent="0.25">
      <c r="B522" s="13"/>
      <c r="C522" s="13"/>
      <c r="D522" s="60"/>
      <c r="E522" s="56"/>
      <c r="F522" s="56"/>
      <c r="G522" s="14"/>
      <c r="H522" s="61"/>
      <c r="I522" s="15"/>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row>
    <row r="523" spans="2:41" x14ac:dyDescent="0.25">
      <c r="B523" s="13"/>
      <c r="C523" s="13"/>
      <c r="D523" s="60"/>
      <c r="E523" s="56"/>
      <c r="F523" s="56"/>
      <c r="G523" s="14"/>
      <c r="H523" s="61"/>
      <c r="I523" s="15"/>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row>
    <row r="524" spans="2:41" x14ac:dyDescent="0.25">
      <c r="B524" s="13"/>
      <c r="C524" s="13"/>
      <c r="D524" s="60"/>
      <c r="E524" s="56"/>
      <c r="F524" s="56"/>
      <c r="G524" s="14"/>
      <c r="H524" s="61"/>
      <c r="I524" s="15"/>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row>
    <row r="525" spans="2:41" x14ac:dyDescent="0.25">
      <c r="B525" s="13"/>
      <c r="C525" s="62"/>
      <c r="D525" s="63"/>
      <c r="E525" s="64"/>
      <c r="F525" s="64"/>
      <c r="G525" s="64"/>
      <c r="H525" s="65"/>
      <c r="I525" s="15"/>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row>
    <row r="526" spans="2:41" x14ac:dyDescent="0.25">
      <c r="B526" s="13"/>
      <c r="C526" s="14"/>
      <c r="D526" s="60"/>
      <c r="E526" s="66"/>
      <c r="F526" s="56"/>
      <c r="G526" s="14"/>
      <c r="H526" s="56"/>
      <c r="I526" s="15"/>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row>
    <row r="527" spans="2:41" x14ac:dyDescent="0.25">
      <c r="B527" s="13"/>
      <c r="C527" s="10"/>
      <c r="D527" s="11"/>
      <c r="E527" s="56"/>
      <c r="F527" s="58"/>
      <c r="G527" s="11"/>
      <c r="H527" s="59"/>
      <c r="I527" s="15"/>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row>
    <row r="528" spans="2:41" x14ac:dyDescent="0.25">
      <c r="B528" s="13"/>
      <c r="C528" s="13"/>
      <c r="D528" s="60"/>
      <c r="E528" s="56"/>
      <c r="F528" s="56"/>
      <c r="G528" s="14"/>
      <c r="H528" s="15"/>
      <c r="I528" s="15"/>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row>
    <row r="529" spans="2:41" ht="18.75" x14ac:dyDescent="0.3">
      <c r="B529" s="67"/>
      <c r="C529" s="13"/>
      <c r="D529" s="60"/>
      <c r="E529" s="56"/>
      <c r="F529" s="56"/>
      <c r="G529" s="14"/>
      <c r="H529" s="61"/>
      <c r="I529" s="68"/>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row>
    <row r="530" spans="2:41" x14ac:dyDescent="0.25">
      <c r="B530" s="13"/>
      <c r="C530" s="13"/>
      <c r="D530" s="60"/>
      <c r="E530" s="56"/>
      <c r="F530" s="56"/>
      <c r="G530" s="14"/>
      <c r="H530" s="61"/>
      <c r="I530" s="15"/>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row>
    <row r="531" spans="2:41" x14ac:dyDescent="0.25">
      <c r="B531" s="13"/>
      <c r="C531" s="13"/>
      <c r="D531" s="60"/>
      <c r="E531" s="56"/>
      <c r="F531" s="56"/>
      <c r="G531" s="14"/>
      <c r="H531" s="61"/>
      <c r="I531" s="15"/>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row>
    <row r="532" spans="2:41" x14ac:dyDescent="0.25">
      <c r="B532" s="13"/>
      <c r="C532" s="62"/>
      <c r="D532" s="63"/>
      <c r="E532" s="64"/>
      <c r="F532" s="64"/>
      <c r="G532" s="64"/>
      <c r="H532" s="65"/>
      <c r="I532" s="15"/>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row>
    <row r="533" spans="2:41" x14ac:dyDescent="0.25">
      <c r="B533" s="13"/>
      <c r="C533" s="14"/>
      <c r="D533" s="60"/>
      <c r="E533" s="66"/>
      <c r="F533" s="56"/>
      <c r="G533" s="14"/>
      <c r="H533" s="56"/>
      <c r="I533" s="15"/>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row>
    <row r="534" spans="2:41" x14ac:dyDescent="0.25">
      <c r="B534" s="13"/>
      <c r="C534" s="10"/>
      <c r="D534" s="11"/>
      <c r="E534" s="56"/>
      <c r="F534" s="58"/>
      <c r="G534" s="11"/>
      <c r="H534" s="59"/>
      <c r="I534" s="15"/>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row>
    <row r="535" spans="2:41" x14ac:dyDescent="0.25">
      <c r="B535" s="13"/>
      <c r="C535" s="13"/>
      <c r="D535" s="60"/>
      <c r="E535" s="56"/>
      <c r="F535" s="56"/>
      <c r="G535" s="14"/>
      <c r="H535" s="15"/>
      <c r="I535" s="15"/>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row>
    <row r="536" spans="2:41" x14ac:dyDescent="0.25">
      <c r="B536" s="13"/>
      <c r="C536" s="13"/>
      <c r="D536" s="60"/>
      <c r="E536" s="56"/>
      <c r="F536" s="56"/>
      <c r="G536" s="14"/>
      <c r="H536" s="61"/>
      <c r="I536" s="15"/>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row>
    <row r="537" spans="2:41" ht="18.75" x14ac:dyDescent="0.3">
      <c r="B537" s="67"/>
      <c r="C537" s="13"/>
      <c r="D537" s="60"/>
      <c r="E537" s="56"/>
      <c r="F537" s="56"/>
      <c r="G537" s="14"/>
      <c r="H537" s="61"/>
      <c r="I537" s="68"/>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row>
    <row r="538" spans="2:41" x14ac:dyDescent="0.25">
      <c r="B538" s="13"/>
      <c r="C538" s="13"/>
      <c r="D538" s="60"/>
      <c r="E538" s="56"/>
      <c r="F538" s="56"/>
      <c r="G538" s="14"/>
      <c r="H538" s="61"/>
      <c r="I538" s="15"/>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row>
    <row r="539" spans="2:41" x14ac:dyDescent="0.25">
      <c r="B539" s="13"/>
      <c r="C539" s="62"/>
      <c r="D539" s="63"/>
      <c r="E539" s="64"/>
      <c r="F539" s="64"/>
      <c r="G539" s="64"/>
      <c r="H539" s="65"/>
      <c r="I539" s="15"/>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row>
    <row r="540" spans="2:41" x14ac:dyDescent="0.25">
      <c r="B540" s="13"/>
      <c r="C540" s="14"/>
      <c r="D540" s="60"/>
      <c r="E540" s="66"/>
      <c r="F540" s="56"/>
      <c r="G540" s="14"/>
      <c r="H540" s="56"/>
      <c r="I540" s="15"/>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row>
    <row r="541" spans="2:41" x14ac:dyDescent="0.25">
      <c r="B541" s="13"/>
      <c r="C541" s="10"/>
      <c r="D541" s="11"/>
      <c r="E541" s="56"/>
      <c r="F541" s="58"/>
      <c r="G541" s="11"/>
      <c r="H541" s="59"/>
      <c r="I541" s="15"/>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row>
    <row r="542" spans="2:41" x14ac:dyDescent="0.25">
      <c r="B542" s="13"/>
      <c r="C542" s="13"/>
      <c r="D542" s="60"/>
      <c r="E542" s="56"/>
      <c r="F542" s="56"/>
      <c r="G542" s="14"/>
      <c r="H542" s="15"/>
      <c r="I542" s="15"/>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row>
    <row r="543" spans="2:41" x14ac:dyDescent="0.25">
      <c r="B543" s="8"/>
      <c r="C543" s="23"/>
      <c r="D543" s="47"/>
      <c r="E543" s="48"/>
      <c r="F543" s="48"/>
      <c r="G543" s="24"/>
      <c r="H543" s="49"/>
      <c r="I543" s="27"/>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row>
    <row r="544" spans="2:41" x14ac:dyDescent="0.25">
      <c r="B544" s="8"/>
      <c r="C544" s="23"/>
      <c r="D544" s="47"/>
      <c r="E544" s="48"/>
      <c r="F544" s="48"/>
      <c r="G544" s="24"/>
      <c r="H544" s="49"/>
      <c r="I544" s="27"/>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row>
    <row r="545" spans="2:41" ht="18.75" x14ac:dyDescent="0.3">
      <c r="B545" s="28"/>
      <c r="C545" s="23"/>
      <c r="D545" s="47"/>
      <c r="E545" s="48"/>
      <c r="F545" s="48"/>
      <c r="G545" s="24"/>
      <c r="H545" s="49"/>
      <c r="I545" s="29"/>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row>
    <row r="546" spans="2:41" x14ac:dyDescent="0.25">
      <c r="B546" s="8"/>
      <c r="C546" s="50"/>
      <c r="D546" s="51"/>
      <c r="E546" s="52"/>
      <c r="F546" s="52"/>
      <c r="G546" s="52"/>
      <c r="H546" s="53"/>
      <c r="I546" s="27"/>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row>
    <row r="547" spans="2:41" x14ac:dyDescent="0.25">
      <c r="B547" s="8"/>
      <c r="C547" s="9"/>
      <c r="D547" s="54"/>
      <c r="E547" s="55"/>
      <c r="F547" s="44"/>
      <c r="G547" s="9"/>
      <c r="H547" s="44"/>
      <c r="I547" s="27"/>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row>
    <row r="548" spans="2:41" x14ac:dyDescent="0.25">
      <c r="B548" s="8"/>
      <c r="C548" s="21"/>
      <c r="D548" s="22"/>
      <c r="E548" s="48"/>
      <c r="F548" s="45"/>
      <c r="G548" s="22"/>
      <c r="H548" s="46"/>
      <c r="I548" s="27"/>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row>
    <row r="549" spans="2:41" x14ac:dyDescent="0.25">
      <c r="B549" s="8"/>
      <c r="C549" s="23"/>
      <c r="D549" s="47"/>
      <c r="E549" s="48"/>
      <c r="F549" s="48"/>
      <c r="G549" s="24"/>
      <c r="H549" s="25"/>
      <c r="I549" s="27"/>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row>
    <row r="550" spans="2:41" x14ac:dyDescent="0.25">
      <c r="B550" s="8"/>
      <c r="C550" s="23"/>
      <c r="D550" s="47"/>
      <c r="E550" s="48"/>
      <c r="F550" s="48"/>
      <c r="G550" s="24"/>
      <c r="H550" s="49"/>
      <c r="I550" s="27"/>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row>
    <row r="551" spans="2:41" x14ac:dyDescent="0.25">
      <c r="B551" s="8"/>
      <c r="C551" s="23"/>
      <c r="D551" s="47"/>
      <c r="E551" s="48"/>
      <c r="F551" s="48"/>
      <c r="G551" s="24"/>
      <c r="H551" s="49"/>
      <c r="I551" s="27"/>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row>
    <row r="552" spans="2:41" x14ac:dyDescent="0.25">
      <c r="B552" s="8"/>
      <c r="C552" s="23"/>
      <c r="D552" s="47"/>
      <c r="E552" s="48"/>
      <c r="F552" s="48"/>
      <c r="G552" s="24"/>
      <c r="H552" s="49"/>
      <c r="I552" s="27"/>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row>
    <row r="553" spans="2:41" ht="18.75" x14ac:dyDescent="0.3">
      <c r="B553" s="28"/>
      <c r="C553" s="50"/>
      <c r="D553" s="51"/>
      <c r="E553" s="52"/>
      <c r="F553" s="52"/>
      <c r="G553" s="52"/>
      <c r="H553" s="53"/>
      <c r="I553" s="29"/>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row>
    <row r="554" spans="2:41" x14ac:dyDescent="0.25">
      <c r="B554" s="8"/>
      <c r="C554" s="9"/>
      <c r="D554" s="54"/>
      <c r="E554" s="55"/>
      <c r="F554" s="44"/>
      <c r="G554" s="9"/>
      <c r="H554" s="44"/>
      <c r="I554" s="27"/>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row>
    <row r="555" spans="2:41" x14ac:dyDescent="0.25">
      <c r="B555" s="8"/>
      <c r="C555" s="21"/>
      <c r="D555" s="22"/>
      <c r="E555" s="48"/>
      <c r="F555" s="45"/>
      <c r="G555" s="22"/>
      <c r="H555" s="46"/>
      <c r="I555" s="27"/>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row>
    <row r="556" spans="2:41" x14ac:dyDescent="0.25">
      <c r="B556" s="8"/>
      <c r="C556" s="23"/>
      <c r="D556" s="47"/>
      <c r="E556" s="48"/>
      <c r="F556" s="48"/>
      <c r="G556" s="24"/>
      <c r="H556" s="25"/>
      <c r="I556" s="27"/>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row>
    <row r="557" spans="2:41" x14ac:dyDescent="0.25">
      <c r="B557" s="8"/>
      <c r="C557" s="23"/>
      <c r="D557" s="47"/>
      <c r="E557" s="48"/>
      <c r="F557" s="48"/>
      <c r="G557" s="24"/>
      <c r="H557" s="49"/>
      <c r="I557" s="27"/>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row>
    <row r="558" spans="2:41" x14ac:dyDescent="0.25">
      <c r="B558" s="8"/>
      <c r="C558" s="23"/>
      <c r="D558" s="47"/>
      <c r="E558" s="48"/>
      <c r="F558" s="48"/>
      <c r="G558" s="24"/>
      <c r="H558" s="49"/>
      <c r="I558" s="27"/>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row>
    <row r="559" spans="2:41" x14ac:dyDescent="0.25">
      <c r="B559" s="8"/>
      <c r="C559" s="23"/>
      <c r="D559" s="47"/>
      <c r="E559" s="48"/>
      <c r="F559" s="48"/>
      <c r="G559" s="24"/>
      <c r="H559" s="49"/>
      <c r="I559" s="27"/>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row>
    <row r="560" spans="2:41" x14ac:dyDescent="0.25">
      <c r="B560" s="8"/>
      <c r="C560" s="50"/>
      <c r="D560" s="51"/>
      <c r="E560" s="52"/>
      <c r="F560" s="52"/>
      <c r="G560" s="52"/>
      <c r="H560" s="53"/>
      <c r="I560" s="27"/>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row>
    <row r="561" spans="2:41" ht="18.75" x14ac:dyDescent="0.3">
      <c r="B561" s="28"/>
      <c r="C561" s="9"/>
      <c r="D561" s="54"/>
      <c r="E561" s="55"/>
      <c r="F561" s="44"/>
      <c r="G561" s="9"/>
      <c r="H561" s="44"/>
      <c r="I561" s="29"/>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row>
    <row r="562" spans="2:41" x14ac:dyDescent="0.25">
      <c r="B562" s="8"/>
      <c r="C562" s="21"/>
      <c r="D562" s="22"/>
      <c r="E562" s="48"/>
      <c r="F562" s="45"/>
      <c r="G562" s="22"/>
      <c r="H562" s="46"/>
      <c r="I562" s="27"/>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row>
    <row r="563" spans="2:41" x14ac:dyDescent="0.25">
      <c r="B563" s="8"/>
      <c r="C563" s="23"/>
      <c r="D563" s="47"/>
      <c r="E563" s="48"/>
      <c r="F563" s="48"/>
      <c r="G563" s="24"/>
      <c r="H563" s="25"/>
      <c r="I563" s="27"/>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row>
    <row r="564" spans="2:41" x14ac:dyDescent="0.25">
      <c r="B564" s="8"/>
      <c r="C564" s="23"/>
      <c r="D564" s="47"/>
      <c r="E564" s="48"/>
      <c r="F564" s="48"/>
      <c r="G564" s="24"/>
      <c r="H564" s="49"/>
      <c r="I564" s="27"/>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row>
    <row r="565" spans="2:41" x14ac:dyDescent="0.25">
      <c r="B565" s="8"/>
      <c r="C565" s="23"/>
      <c r="D565" s="47"/>
      <c r="E565" s="48"/>
      <c r="F565" s="48"/>
      <c r="G565" s="24"/>
      <c r="H565" s="49"/>
      <c r="I565" s="27"/>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row>
    <row r="566" spans="2:41" x14ac:dyDescent="0.25">
      <c r="B566" s="8"/>
      <c r="C566" s="23"/>
      <c r="D566" s="47"/>
      <c r="E566" s="48"/>
      <c r="F566" s="48"/>
      <c r="G566" s="24"/>
      <c r="H566" s="49"/>
      <c r="I566" s="27"/>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row>
    <row r="567" spans="2:41" x14ac:dyDescent="0.25">
      <c r="B567" s="8"/>
      <c r="C567" s="50"/>
      <c r="D567" s="51"/>
      <c r="E567" s="52"/>
      <c r="F567" s="52"/>
      <c r="G567" s="52"/>
      <c r="H567" s="53"/>
      <c r="I567" s="27"/>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row>
    <row r="568" spans="2:41" x14ac:dyDescent="0.25">
      <c r="B568" s="8"/>
      <c r="C568" s="9"/>
      <c r="D568" s="54"/>
      <c r="E568" s="55"/>
      <c r="F568" s="44"/>
      <c r="G568" s="9"/>
      <c r="H568" s="44"/>
      <c r="I568" s="27"/>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row>
    <row r="569" spans="2:41" ht="18.75" x14ac:dyDescent="0.3">
      <c r="B569" s="28"/>
      <c r="C569" s="21"/>
      <c r="D569" s="22"/>
      <c r="E569" s="48"/>
      <c r="F569" s="45"/>
      <c r="G569" s="22"/>
      <c r="H569" s="46"/>
      <c r="I569" s="29"/>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row>
    <row r="570" spans="2:41" x14ac:dyDescent="0.25">
      <c r="B570" s="8"/>
      <c r="C570" s="23"/>
      <c r="D570" s="47"/>
      <c r="E570" s="48"/>
      <c r="F570" s="48"/>
      <c r="G570" s="24"/>
      <c r="H570" s="25"/>
      <c r="I570" s="27"/>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row>
    <row r="571" spans="2:41" x14ac:dyDescent="0.25">
      <c r="B571" s="8"/>
      <c r="C571" s="23"/>
      <c r="D571" s="47"/>
      <c r="E571" s="48"/>
      <c r="F571" s="48"/>
      <c r="G571" s="24"/>
      <c r="H571" s="49"/>
      <c r="I571" s="27"/>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row>
    <row r="572" spans="2:41" x14ac:dyDescent="0.25">
      <c r="B572" s="8"/>
      <c r="C572" s="23"/>
      <c r="D572" s="47"/>
      <c r="E572" s="48"/>
      <c r="F572" s="48"/>
      <c r="G572" s="24"/>
      <c r="H572" s="49"/>
      <c r="I572" s="27"/>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row>
    <row r="573" spans="2:41" x14ac:dyDescent="0.25">
      <c r="B573" s="8"/>
      <c r="C573" s="23"/>
      <c r="D573" s="47"/>
      <c r="E573" s="48"/>
      <c r="F573" s="48"/>
      <c r="G573" s="24"/>
      <c r="H573" s="49"/>
      <c r="I573" s="27"/>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row>
    <row r="574" spans="2:41" x14ac:dyDescent="0.25">
      <c r="B574" s="8"/>
      <c r="C574" s="50"/>
      <c r="D574" s="51"/>
      <c r="E574" s="52"/>
      <c r="F574" s="52"/>
      <c r="G574" s="52"/>
      <c r="H574" s="53"/>
      <c r="I574" s="27"/>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row>
    <row r="575" spans="2:41" x14ac:dyDescent="0.25">
      <c r="B575" s="8"/>
      <c r="C575" s="9"/>
      <c r="D575" s="54"/>
      <c r="E575" s="55"/>
      <c r="F575" s="44"/>
      <c r="G575" s="9"/>
      <c r="H575" s="44"/>
      <c r="I575" s="27"/>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row>
    <row r="576" spans="2:41" x14ac:dyDescent="0.25">
      <c r="B576" s="8"/>
      <c r="C576" s="21"/>
      <c r="D576" s="22"/>
      <c r="E576" s="48"/>
      <c r="F576" s="45"/>
      <c r="G576" s="22"/>
      <c r="H576" s="46"/>
      <c r="I576" s="27"/>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row>
    <row r="577" spans="2:41" ht="18.75" x14ac:dyDescent="0.3">
      <c r="B577" s="28"/>
      <c r="C577" s="23"/>
      <c r="D577" s="47"/>
      <c r="E577" s="48"/>
      <c r="F577" s="48"/>
      <c r="G577" s="24"/>
      <c r="H577" s="25"/>
      <c r="I577" s="29"/>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row>
    <row r="578" spans="2:41" x14ac:dyDescent="0.25">
      <c r="B578" s="8"/>
      <c r="C578" s="23"/>
      <c r="D578" s="47"/>
      <c r="E578" s="48"/>
      <c r="F578" s="48"/>
      <c r="G578" s="24"/>
      <c r="H578" s="49"/>
      <c r="I578" s="27"/>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row>
    <row r="579" spans="2:41" x14ac:dyDescent="0.25">
      <c r="B579" s="8"/>
      <c r="C579" s="23"/>
      <c r="D579" s="47"/>
      <c r="E579" s="48"/>
      <c r="F579" s="48"/>
      <c r="G579" s="24"/>
      <c r="H579" s="49"/>
      <c r="I579" s="27"/>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row>
    <row r="580" spans="2:41" x14ac:dyDescent="0.25">
      <c r="B580" s="8"/>
      <c r="C580" s="23"/>
      <c r="D580" s="47"/>
      <c r="E580" s="48"/>
      <c r="F580" s="48"/>
      <c r="G580" s="24"/>
      <c r="H580" s="49"/>
      <c r="I580" s="27"/>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row>
    <row r="581" spans="2:41" x14ac:dyDescent="0.25">
      <c r="B581" s="8"/>
      <c r="C581" s="50"/>
      <c r="D581" s="51"/>
      <c r="E581" s="52"/>
      <c r="F581" s="52"/>
      <c r="G581" s="52"/>
      <c r="H581" s="53"/>
      <c r="I581" s="27"/>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row>
    <row r="582" spans="2:41" x14ac:dyDescent="0.25">
      <c r="B582" s="8"/>
      <c r="C582" s="9"/>
      <c r="D582" s="54"/>
      <c r="E582" s="55"/>
      <c r="F582" s="44"/>
      <c r="G582" s="9"/>
      <c r="H582" s="44"/>
      <c r="I582" s="27"/>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row>
    <row r="583" spans="2:41" x14ac:dyDescent="0.25">
      <c r="B583" s="8"/>
      <c r="C583" s="21"/>
      <c r="D583" s="22"/>
      <c r="E583" s="48"/>
      <c r="F583" s="45"/>
      <c r="G583" s="22"/>
      <c r="H583" s="46"/>
      <c r="I583" s="27"/>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row>
    <row r="584" spans="2:41" x14ac:dyDescent="0.25">
      <c r="B584" s="8"/>
      <c r="C584" s="23"/>
      <c r="D584" s="47"/>
      <c r="E584" s="48"/>
      <c r="F584" s="48"/>
      <c r="G584" s="24"/>
      <c r="H584" s="25"/>
      <c r="I584" s="27"/>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row>
    <row r="585" spans="2:41" ht="18.75" x14ac:dyDescent="0.3">
      <c r="B585" s="28"/>
      <c r="C585" s="23"/>
      <c r="D585" s="47"/>
      <c r="E585" s="48"/>
      <c r="F585" s="48"/>
      <c r="G585" s="24"/>
      <c r="H585" s="49"/>
      <c r="I585" s="29"/>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row>
    <row r="586" spans="2:41" x14ac:dyDescent="0.25">
      <c r="B586" s="8"/>
      <c r="C586" s="23"/>
      <c r="D586" s="47"/>
      <c r="E586" s="48"/>
      <c r="F586" s="48"/>
      <c r="G586" s="24"/>
      <c r="H586" s="49"/>
      <c r="I586" s="27"/>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row>
    <row r="587" spans="2:41" x14ac:dyDescent="0.25">
      <c r="B587" s="8"/>
      <c r="C587" s="23"/>
      <c r="D587" s="47"/>
      <c r="E587" s="48"/>
      <c r="F587" s="48"/>
      <c r="G587" s="24"/>
      <c r="H587" s="49"/>
      <c r="I587" s="27"/>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row>
    <row r="588" spans="2:41" x14ac:dyDescent="0.25">
      <c r="B588" s="8"/>
      <c r="C588" s="50"/>
      <c r="D588" s="51"/>
      <c r="E588" s="52"/>
      <c r="F588" s="52"/>
      <c r="G588" s="52"/>
      <c r="H588" s="53"/>
      <c r="I588" s="27"/>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row>
    <row r="589" spans="2:41" x14ac:dyDescent="0.25">
      <c r="B589" s="8"/>
      <c r="C589" s="9"/>
      <c r="D589" s="54"/>
      <c r="E589" s="55"/>
      <c r="F589" s="44"/>
      <c r="G589" s="9"/>
      <c r="H589" s="44"/>
      <c r="I589" s="27"/>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row>
    <row r="590" spans="2:41" x14ac:dyDescent="0.25">
      <c r="B590" s="8"/>
      <c r="C590" s="21"/>
      <c r="D590" s="22"/>
      <c r="E590" s="48"/>
      <c r="F590" s="45"/>
      <c r="G590" s="22"/>
      <c r="H590" s="46"/>
      <c r="I590" s="27"/>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row>
    <row r="591" spans="2:41" x14ac:dyDescent="0.25">
      <c r="B591" s="8"/>
      <c r="C591" s="23"/>
      <c r="D591" s="47"/>
      <c r="E591" s="48"/>
      <c r="F591" s="48"/>
      <c r="G591" s="24"/>
      <c r="H591" s="25"/>
      <c r="I591" s="27"/>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row>
    <row r="592" spans="2:41" x14ac:dyDescent="0.25">
      <c r="B592" s="8"/>
      <c r="C592" s="23"/>
      <c r="D592" s="47"/>
      <c r="E592" s="48"/>
      <c r="F592" s="48"/>
      <c r="G592" s="24"/>
      <c r="H592" s="49"/>
      <c r="I592" s="27"/>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row>
    <row r="593" spans="2:41" ht="18.75" x14ac:dyDescent="0.3">
      <c r="B593" s="28"/>
      <c r="C593" s="23"/>
      <c r="D593" s="47"/>
      <c r="E593" s="48"/>
      <c r="F593" s="48"/>
      <c r="G593" s="24"/>
      <c r="H593" s="49"/>
      <c r="I593" s="29"/>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row>
    <row r="594" spans="2:41" x14ac:dyDescent="0.25">
      <c r="B594" s="8"/>
      <c r="C594" s="23"/>
      <c r="D594" s="47"/>
      <c r="E594" s="48"/>
      <c r="F594" s="48"/>
      <c r="G594" s="24"/>
      <c r="H594" s="49"/>
      <c r="I594" s="27"/>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row>
    <row r="595" spans="2:41" x14ac:dyDescent="0.25">
      <c r="B595" s="8"/>
      <c r="C595" s="50"/>
      <c r="D595" s="51"/>
      <c r="E595" s="52"/>
      <c r="F595" s="52"/>
      <c r="G595" s="52"/>
      <c r="H595" s="53"/>
      <c r="I595" s="27"/>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row>
    <row r="596" spans="2:41" x14ac:dyDescent="0.25">
      <c r="B596" s="8"/>
      <c r="C596" s="9"/>
      <c r="D596" s="54"/>
      <c r="E596" s="55"/>
      <c r="F596" s="44"/>
      <c r="G596" s="9"/>
      <c r="H596" s="44"/>
      <c r="I596" s="27"/>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row>
    <row r="597" spans="2:41" x14ac:dyDescent="0.25">
      <c r="B597" s="8"/>
      <c r="C597" s="21"/>
      <c r="D597" s="22"/>
      <c r="E597" s="48"/>
      <c r="F597" s="45"/>
      <c r="G597" s="22"/>
      <c r="H597" s="46"/>
      <c r="I597" s="27"/>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row>
    <row r="598" spans="2:41" x14ac:dyDescent="0.25">
      <c r="B598" s="8"/>
      <c r="C598" s="23"/>
      <c r="D598" s="47"/>
      <c r="E598" s="48"/>
      <c r="F598" s="48"/>
      <c r="G598" s="24"/>
      <c r="H598" s="25"/>
      <c r="I598" s="27"/>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row>
    <row r="599" spans="2:41" x14ac:dyDescent="0.25">
      <c r="B599" s="8"/>
      <c r="C599" s="23"/>
      <c r="D599" s="47"/>
      <c r="E599" s="48"/>
      <c r="F599" s="48"/>
      <c r="G599" s="24"/>
      <c r="H599" s="49"/>
      <c r="I599" s="27"/>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row>
    <row r="600" spans="2:41" x14ac:dyDescent="0.25">
      <c r="B600" s="8"/>
      <c r="C600" s="23"/>
      <c r="D600" s="47"/>
      <c r="E600" s="48"/>
      <c r="F600" s="48"/>
      <c r="G600" s="24"/>
      <c r="H600" s="49"/>
      <c r="I600" s="27"/>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row>
    <row r="601" spans="2:41" ht="18.75" x14ac:dyDescent="0.3">
      <c r="B601" s="28"/>
      <c r="C601" s="23"/>
      <c r="D601" s="47"/>
      <c r="E601" s="48"/>
      <c r="F601" s="48"/>
      <c r="G601" s="24"/>
      <c r="H601" s="49"/>
      <c r="I601" s="29"/>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row>
    <row r="602" spans="2:41" x14ac:dyDescent="0.25">
      <c r="B602" s="8"/>
      <c r="C602" s="50"/>
      <c r="D602" s="51"/>
      <c r="E602" s="52"/>
      <c r="F602" s="52"/>
      <c r="G602" s="52"/>
      <c r="H602" s="53"/>
      <c r="I602" s="27"/>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row>
    <row r="603" spans="2:41" x14ac:dyDescent="0.25">
      <c r="B603" s="8"/>
      <c r="C603" s="9"/>
      <c r="D603" s="54"/>
      <c r="E603" s="55"/>
      <c r="F603" s="44"/>
      <c r="G603" s="9"/>
      <c r="H603" s="44"/>
      <c r="I603" s="27"/>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row>
    <row r="604" spans="2:41" x14ac:dyDescent="0.25">
      <c r="B604" s="8"/>
      <c r="C604" s="21"/>
      <c r="D604" s="22"/>
      <c r="E604" s="48"/>
      <c r="F604" s="45"/>
      <c r="G604" s="22"/>
      <c r="H604" s="46"/>
      <c r="I604" s="27"/>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row>
    <row r="605" spans="2:41" x14ac:dyDescent="0.25">
      <c r="B605" s="8"/>
      <c r="C605" s="23"/>
      <c r="D605" s="47"/>
      <c r="E605" s="48"/>
      <c r="F605" s="48"/>
      <c r="G605" s="24"/>
      <c r="H605" s="25"/>
      <c r="I605" s="27"/>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row>
    <row r="606" spans="2:41" x14ac:dyDescent="0.25">
      <c r="B606" s="8"/>
      <c r="C606" s="23"/>
      <c r="D606" s="47"/>
      <c r="E606" s="48"/>
      <c r="F606" s="48"/>
      <c r="G606" s="24"/>
      <c r="H606" s="49"/>
      <c r="I606" s="27"/>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row>
    <row r="607" spans="2:41" x14ac:dyDescent="0.25">
      <c r="B607" s="8"/>
      <c r="C607" s="23"/>
      <c r="D607" s="47"/>
      <c r="E607" s="48"/>
      <c r="F607" s="48"/>
      <c r="G607" s="24"/>
      <c r="H607" s="49"/>
      <c r="I607" s="27"/>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row>
    <row r="608" spans="2:41" x14ac:dyDescent="0.25">
      <c r="B608" s="8"/>
      <c r="C608" s="23"/>
      <c r="D608" s="47"/>
      <c r="E608" s="48"/>
      <c r="F608" s="48"/>
      <c r="G608" s="24"/>
      <c r="H608" s="49"/>
      <c r="I608" s="27"/>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row>
    <row r="609" spans="2:32" ht="18.75" x14ac:dyDescent="0.3">
      <c r="B609" s="28"/>
      <c r="C609" s="50"/>
      <c r="D609" s="51"/>
      <c r="E609" s="52"/>
      <c r="F609" s="52"/>
      <c r="G609" s="52"/>
      <c r="H609" s="53"/>
      <c r="I609" s="29"/>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row>
    <row r="610" spans="2:32" x14ac:dyDescent="0.25">
      <c r="B610" s="8"/>
      <c r="C610" s="9"/>
      <c r="D610" s="54"/>
      <c r="E610" s="55"/>
      <c r="F610" s="44"/>
      <c r="G610" s="9"/>
      <c r="H610" s="44"/>
      <c r="I610" s="27"/>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row>
    <row r="611" spans="2:32" x14ac:dyDescent="0.25">
      <c r="B611" s="8"/>
      <c r="C611" s="21"/>
      <c r="D611" s="22"/>
      <c r="E611" s="48"/>
      <c r="F611" s="45"/>
      <c r="G611" s="22"/>
      <c r="H611" s="46"/>
      <c r="I611" s="27"/>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row>
    <row r="612" spans="2:32" x14ac:dyDescent="0.25">
      <c r="B612" s="8"/>
      <c r="C612" s="23"/>
      <c r="D612" s="47"/>
      <c r="E612" s="48"/>
      <c r="F612" s="48"/>
      <c r="G612" s="24"/>
      <c r="H612" s="25"/>
      <c r="I612" s="27"/>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row>
  </sheetData>
  <conditionalFormatting sqref="E156:E161">
    <cfRule type="cellIs" dxfId="123" priority="1" operator="equal">
      <formula>#REF!</formula>
    </cfRule>
  </conditionalFormatting>
  <conditionalFormatting sqref="E213:E287">
    <cfRule type="cellIs" dxfId="122" priority="15" operator="equal">
      <formula>#REF!</formula>
    </cfRule>
  </conditionalFormatting>
  <conditionalFormatting sqref="E162:E211 E292:E612">
    <cfRule type="cellIs" dxfId="121" priority="13" operator="equal">
      <formula>#REF!</formula>
    </cfRule>
  </conditionalFormatting>
  <conditionalFormatting sqref="F5 E18:E19">
    <cfRule type="cellIs" dxfId="120" priority="14" operator="equal">
      <formula>#REF!</formula>
    </cfRule>
  </conditionalFormatting>
  <conditionalFormatting sqref="E155">
    <cfRule type="cellIs" dxfId="119" priority="2" operator="equal">
      <formula>#REF!</formula>
    </cfRule>
  </conditionalFormatting>
  <conditionalFormatting sqref="E99">
    <cfRule type="cellIs" dxfId="118" priority="12" operator="equal">
      <formula>#REF!</formula>
    </cfRule>
  </conditionalFormatting>
  <conditionalFormatting sqref="E100:E105">
    <cfRule type="cellIs" dxfId="117" priority="11" operator="equal">
      <formula>#REF!</formula>
    </cfRule>
  </conditionalFormatting>
  <conditionalFormatting sqref="E106:E112">
    <cfRule type="cellIs" dxfId="116" priority="10" operator="equal">
      <formula>#REF!</formula>
    </cfRule>
  </conditionalFormatting>
  <conditionalFormatting sqref="E113">
    <cfRule type="cellIs" dxfId="115" priority="9" operator="equal">
      <formula>#REF!</formula>
    </cfRule>
  </conditionalFormatting>
  <conditionalFormatting sqref="E114:E119">
    <cfRule type="cellIs" dxfId="114" priority="8" operator="equal">
      <formula>#REF!</formula>
    </cfRule>
  </conditionalFormatting>
  <conditionalFormatting sqref="E120:E126">
    <cfRule type="cellIs" dxfId="113" priority="7" operator="equal">
      <formula>#REF!</formula>
    </cfRule>
  </conditionalFormatting>
  <conditionalFormatting sqref="E127">
    <cfRule type="cellIs" dxfId="112" priority="6" operator="equal">
      <formula>#REF!</formula>
    </cfRule>
  </conditionalFormatting>
  <conditionalFormatting sqref="E141">
    <cfRule type="cellIs" dxfId="111" priority="5" operator="equal">
      <formula>#REF!</formula>
    </cfRule>
  </conditionalFormatting>
  <conditionalFormatting sqref="E142:E147">
    <cfRule type="cellIs" dxfId="110" priority="4" operator="equal">
      <formula>#REF!</formula>
    </cfRule>
  </conditionalFormatting>
  <conditionalFormatting sqref="E148:E154">
    <cfRule type="cellIs" dxfId="109" priority="3" operator="equal">
      <formula>#REF!</formula>
    </cfRule>
  </conditionalFormatting>
  <pageMargins left="0.7" right="0.7" top="0.75" bottom="0.75"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8"/>
  <dimension ref="A1:AO593"/>
  <sheetViews>
    <sheetView zoomScale="70" zoomScaleNormal="70" workbookViewId="0">
      <selection activeCell="E34" sqref="E34"/>
    </sheetView>
  </sheetViews>
  <sheetFormatPr defaultColWidth="8.85546875" defaultRowHeight="15" x14ac:dyDescent="0.25"/>
  <cols>
    <col min="1" max="1" width="9.28515625" style="3" customWidth="1"/>
    <col min="2" max="2" width="8.85546875" style="171"/>
    <col min="3" max="3" width="55.42578125" style="171" customWidth="1"/>
    <col min="4" max="4" width="20.5703125" style="171" customWidth="1"/>
    <col min="5" max="5" width="21.85546875" style="171" customWidth="1"/>
    <col min="6" max="6" width="17.85546875" style="171" customWidth="1"/>
    <col min="7" max="7" width="29.7109375" style="171" customWidth="1"/>
    <col min="8" max="8" width="22" style="171" bestFit="1" customWidth="1"/>
    <col min="9" max="9" width="12.7109375" style="171" bestFit="1" customWidth="1"/>
    <col min="10" max="10" width="11.42578125" style="171" customWidth="1"/>
    <col min="11" max="11" width="24.85546875" style="171" bestFit="1" customWidth="1"/>
    <col min="12" max="12" width="15.28515625" style="171" bestFit="1" customWidth="1"/>
    <col min="13" max="14" width="13" style="171" customWidth="1"/>
    <col min="15" max="15" width="20.85546875" style="171" customWidth="1"/>
    <col min="16" max="16" width="14" style="171" bestFit="1" customWidth="1"/>
    <col min="17" max="17" width="34.140625" style="171" customWidth="1"/>
    <col min="18" max="18" width="16.28515625" style="171" customWidth="1"/>
    <col min="19" max="19" width="25" style="171" customWidth="1"/>
    <col min="20" max="20" width="33.7109375" style="171" bestFit="1" customWidth="1"/>
    <col min="21" max="21" width="10" style="171" customWidth="1"/>
    <col min="22" max="22" width="31.28515625" style="171" bestFit="1" customWidth="1"/>
    <col min="23" max="16384" width="8.85546875" style="171"/>
  </cols>
  <sheetData>
    <row r="1" spans="1:41" s="3" customFormat="1" ht="54" customHeight="1" x14ac:dyDescent="0.65">
      <c r="A1" s="30"/>
      <c r="B1" s="179" t="str">
        <f>"DECOMMISSIONING &amp; REFURBISHMENT PHASE ("&amp;Parameters!$D$6&amp;")"</f>
        <v>DECOMMISSIONING &amp; REFURBISHMENT PHASE (P15 Scenario 1)</v>
      </c>
      <c r="G1" s="1046"/>
      <c r="H1" s="1046"/>
      <c r="I1" s="1046"/>
      <c r="J1" s="1046"/>
      <c r="K1" s="1046"/>
    </row>
    <row r="2" spans="1:41" s="165" customFormat="1" x14ac:dyDescent="0.25">
      <c r="A2" s="164"/>
      <c r="B2" s="172"/>
      <c r="C2" s="173"/>
      <c r="D2" s="173"/>
      <c r="E2" s="173"/>
      <c r="F2" s="173"/>
      <c r="G2" s="1073"/>
      <c r="H2" s="1074"/>
      <c r="I2" s="1074"/>
      <c r="J2" s="1074"/>
      <c r="K2" s="56"/>
      <c r="L2" s="58"/>
      <c r="M2" s="58"/>
      <c r="N2" s="58"/>
      <c r="O2" s="58"/>
      <c r="P2" s="58"/>
      <c r="Q2" s="58"/>
      <c r="R2" s="58"/>
      <c r="S2" s="58"/>
      <c r="T2" s="58"/>
      <c r="U2" s="58"/>
      <c r="V2" s="58"/>
      <c r="W2" s="58"/>
      <c r="X2" s="58"/>
      <c r="Y2" s="58"/>
      <c r="Z2" s="58"/>
      <c r="AA2" s="59"/>
      <c r="AB2" s="164"/>
      <c r="AC2" s="164"/>
      <c r="AD2" s="164"/>
      <c r="AE2" s="164"/>
      <c r="AF2" s="164"/>
      <c r="AG2" s="164"/>
      <c r="AH2" s="164"/>
      <c r="AI2" s="164"/>
      <c r="AJ2" s="164"/>
      <c r="AK2" s="164"/>
      <c r="AL2" s="164"/>
      <c r="AM2" s="164"/>
      <c r="AN2" s="164"/>
      <c r="AO2" s="164"/>
    </row>
    <row r="3" spans="1:41" x14ac:dyDescent="0.25">
      <c r="B3" s="13"/>
      <c r="C3" s="39" t="s">
        <v>1567</v>
      </c>
      <c r="D3" s="40"/>
      <c r="E3" s="41"/>
      <c r="F3" s="57"/>
      <c r="G3" s="14"/>
      <c r="H3" s="14"/>
      <c r="I3" s="14"/>
      <c r="J3" s="14"/>
      <c r="K3" s="14"/>
      <c r="L3" s="14"/>
      <c r="M3" s="14"/>
      <c r="N3" s="14"/>
      <c r="O3" s="14"/>
      <c r="P3" s="14"/>
      <c r="Q3" s="14"/>
      <c r="R3" s="14"/>
      <c r="S3" s="14"/>
      <c r="T3" s="14"/>
      <c r="U3" s="14"/>
      <c r="V3" s="14"/>
      <c r="W3" s="14"/>
      <c r="X3" s="14"/>
      <c r="Y3" s="14"/>
      <c r="Z3" s="14"/>
      <c r="AA3" s="15"/>
      <c r="AB3" s="3"/>
      <c r="AC3" s="3"/>
      <c r="AD3" s="3"/>
      <c r="AE3" s="3"/>
      <c r="AF3" s="3"/>
      <c r="AG3" s="3"/>
      <c r="AH3" s="3"/>
      <c r="AI3" s="3"/>
      <c r="AJ3" s="3"/>
      <c r="AK3" s="3"/>
      <c r="AL3" s="3"/>
      <c r="AM3" s="3"/>
      <c r="AN3" s="3"/>
      <c r="AO3" s="3"/>
    </row>
    <row r="4" spans="1:41" x14ac:dyDescent="0.25">
      <c r="B4" s="13"/>
      <c r="C4" s="14"/>
      <c r="D4" s="14"/>
      <c r="E4" s="14"/>
      <c r="F4" s="56"/>
      <c r="G4" s="14"/>
      <c r="H4" s="14"/>
      <c r="I4" s="14"/>
      <c r="J4" s="56"/>
      <c r="K4" s="14"/>
      <c r="L4" s="14"/>
      <c r="M4" s="14"/>
      <c r="N4" s="14"/>
      <c r="O4" s="16"/>
      <c r="P4" s="14"/>
      <c r="Q4" s="16"/>
      <c r="R4" s="16"/>
      <c r="S4" s="16"/>
      <c r="T4" s="16"/>
      <c r="U4" s="14"/>
      <c r="V4" s="14"/>
      <c r="W4" s="14"/>
      <c r="X4" s="14"/>
      <c r="Y4" s="14"/>
      <c r="Z4" s="14"/>
      <c r="AA4" s="15"/>
      <c r="AB4" s="3"/>
      <c r="AC4" s="3"/>
      <c r="AD4" s="3"/>
      <c r="AE4" s="3"/>
      <c r="AF4" s="129">
        <v>3</v>
      </c>
      <c r="AG4" s="120">
        <v>6</v>
      </c>
      <c r="AH4" s="120">
        <v>9</v>
      </c>
      <c r="AI4" s="3"/>
      <c r="AJ4" s="3"/>
      <c r="AK4" s="3"/>
      <c r="AL4" s="3"/>
      <c r="AM4" s="3"/>
      <c r="AN4" s="3"/>
      <c r="AO4" s="3"/>
    </row>
    <row r="5" spans="1:41" x14ac:dyDescent="0.25">
      <c r="B5" s="13"/>
      <c r="C5" s="1075" t="str">
        <f t="array" ref="C5:E5">Parameters!E34:G34</f>
        <v>NG + CO2 hybrid mode present</v>
      </c>
      <c r="D5" s="1076" t="str">
        <v>-</v>
      </c>
      <c r="E5" s="1077" t="b">
        <v>0</v>
      </c>
      <c r="F5" s="56"/>
      <c r="G5" s="14"/>
      <c r="H5" s="14"/>
      <c r="I5" s="14"/>
      <c r="J5" s="56"/>
      <c r="K5" s="14"/>
      <c r="L5" s="14"/>
      <c r="M5" s="14"/>
      <c r="N5" s="14"/>
      <c r="O5" s="16"/>
      <c r="P5" s="14"/>
      <c r="Q5" s="16"/>
      <c r="R5" s="16"/>
      <c r="S5" s="16"/>
      <c r="T5" s="16"/>
      <c r="U5" s="14"/>
      <c r="V5" s="14"/>
      <c r="W5" s="14"/>
      <c r="X5" s="14"/>
      <c r="Y5" s="14"/>
      <c r="Z5" s="14"/>
      <c r="AA5" s="15"/>
      <c r="AB5" s="3"/>
      <c r="AC5" s="3"/>
      <c r="AD5" s="3"/>
      <c r="AE5" s="3"/>
      <c r="AF5" s="129"/>
      <c r="AG5" s="120"/>
      <c r="AH5" s="120"/>
      <c r="AI5" s="3"/>
      <c r="AJ5" s="3"/>
      <c r="AK5" s="3"/>
      <c r="AL5" s="3"/>
      <c r="AM5" s="3"/>
      <c r="AN5" s="3"/>
      <c r="AO5" s="3"/>
    </row>
    <row r="6" spans="1:41" x14ac:dyDescent="0.25">
      <c r="B6" s="13"/>
      <c r="C6" s="1078" t="str">
        <f t="array" ref="C6:E10">Parameters!E247:G251</f>
        <v>Boolean refurbishment required</v>
      </c>
      <c r="D6" s="604">
        <v>0</v>
      </c>
      <c r="E6" s="1079" t="b">
        <v>1</v>
      </c>
      <c r="F6" s="56"/>
      <c r="G6" s="14"/>
      <c r="H6" s="14"/>
      <c r="I6" s="14"/>
      <c r="J6" s="56"/>
      <c r="K6" s="14"/>
      <c r="L6" s="14"/>
      <c r="M6" s="14"/>
      <c r="N6" s="14"/>
      <c r="O6" s="16"/>
      <c r="P6" s="14"/>
      <c r="Q6" s="16"/>
      <c r="R6" s="16"/>
      <c r="S6" s="16"/>
      <c r="T6" s="16"/>
      <c r="U6" s="14"/>
      <c r="V6" s="14"/>
      <c r="W6" s="14"/>
      <c r="X6" s="14"/>
      <c r="Y6" s="14"/>
      <c r="Z6" s="14"/>
      <c r="AA6" s="15"/>
      <c r="AB6" s="3"/>
      <c r="AC6" s="3"/>
      <c r="AD6" s="3"/>
      <c r="AE6" s="3"/>
      <c r="AF6" s="129"/>
      <c r="AG6" s="120"/>
      <c r="AH6" s="120"/>
      <c r="AI6" s="3"/>
      <c r="AJ6" s="3"/>
      <c r="AK6" s="3"/>
      <c r="AL6" s="3"/>
      <c r="AM6" s="3"/>
      <c r="AN6" s="3"/>
      <c r="AO6" s="3"/>
    </row>
    <row r="7" spans="1:41" s="141" customFormat="1" x14ac:dyDescent="0.25">
      <c r="A7" s="138"/>
      <c r="B7" s="139"/>
      <c r="C7" s="1078" t="str">
        <v>Boolean decommissioning topside &amp; substructure required</v>
      </c>
      <c r="D7" s="604" t="str">
        <v>Boolean</v>
      </c>
      <c r="E7" s="1079" t="b">
        <v>0</v>
      </c>
      <c r="F7" s="144"/>
      <c r="G7" s="1088"/>
      <c r="H7" s="83"/>
      <c r="I7" s="56"/>
      <c r="J7" s="56"/>
      <c r="K7" s="144"/>
      <c r="L7" s="144"/>
      <c r="M7" s="144"/>
      <c r="N7" s="144"/>
      <c r="O7" s="144"/>
      <c r="P7" s="16"/>
      <c r="Q7" s="16"/>
      <c r="R7" s="16"/>
      <c r="S7" s="73"/>
      <c r="T7" s="73"/>
      <c r="U7" s="16"/>
      <c r="V7" s="73"/>
      <c r="W7" s="14"/>
      <c r="X7" s="16"/>
      <c r="Y7" s="16"/>
      <c r="Z7" s="16"/>
      <c r="AA7" s="140"/>
      <c r="AB7" s="138"/>
      <c r="AC7" s="138"/>
      <c r="AD7" s="138"/>
      <c r="AE7" s="138"/>
      <c r="AF7" s="142">
        <v>2</v>
      </c>
      <c r="AG7" s="142">
        <v>3</v>
      </c>
      <c r="AH7" s="142">
        <v>5</v>
      </c>
      <c r="AI7" s="138"/>
      <c r="AJ7" s="138"/>
      <c r="AK7" s="138"/>
      <c r="AL7" s="138"/>
      <c r="AM7" s="138"/>
      <c r="AN7" s="138"/>
      <c r="AO7" s="138"/>
    </row>
    <row r="8" spans="1:41" x14ac:dyDescent="0.25">
      <c r="B8" s="13"/>
      <c r="C8" s="1078" t="str">
        <v>Boolean decommissioning wells required</v>
      </c>
      <c r="D8" s="604" t="str">
        <v>Boolean</v>
      </c>
      <c r="E8" s="1079" t="b">
        <v>1</v>
      </c>
      <c r="F8" s="56"/>
      <c r="G8" s="1088"/>
      <c r="H8" s="83"/>
      <c r="I8" s="56"/>
      <c r="J8" s="56"/>
      <c r="K8" s="14"/>
      <c r="L8" s="14"/>
      <c r="M8" s="14"/>
      <c r="N8" s="14"/>
      <c r="O8" s="16"/>
      <c r="P8" s="14"/>
      <c r="Q8" s="16"/>
      <c r="R8" s="16"/>
      <c r="S8" s="16"/>
      <c r="T8" s="16"/>
      <c r="U8" s="14"/>
      <c r="V8" s="16"/>
      <c r="W8" s="14"/>
      <c r="X8" s="14"/>
      <c r="Y8" s="14"/>
      <c r="Z8" s="14"/>
      <c r="AA8" s="15"/>
      <c r="AB8" s="3"/>
      <c r="AC8" s="3"/>
      <c r="AD8" s="3"/>
      <c r="AE8" s="3"/>
      <c r="AF8" s="120">
        <v>6</v>
      </c>
      <c r="AG8" s="120">
        <v>9</v>
      </c>
      <c r="AH8" s="120">
        <v>12</v>
      </c>
      <c r="AI8" s="3"/>
      <c r="AJ8" s="3"/>
      <c r="AK8" s="3"/>
      <c r="AL8" s="3"/>
      <c r="AM8" s="3"/>
      <c r="AN8" s="3"/>
      <c r="AO8" s="3"/>
    </row>
    <row r="9" spans="1:41" x14ac:dyDescent="0.25">
      <c r="B9" s="13"/>
      <c r="C9" s="1078" t="str">
        <v>Boolean decommissioning pipelines required</v>
      </c>
      <c r="D9" s="604" t="str">
        <v>Boolean</v>
      </c>
      <c r="E9" s="1079" t="b">
        <v>0</v>
      </c>
      <c r="F9" s="14"/>
      <c r="G9" s="56"/>
      <c r="H9" s="83"/>
      <c r="I9" s="1084"/>
      <c r="J9" s="56"/>
      <c r="K9" s="56"/>
      <c r="L9" s="56"/>
      <c r="M9" s="56"/>
      <c r="N9" s="56"/>
      <c r="O9" s="56"/>
      <c r="P9" s="14"/>
      <c r="Q9" s="14"/>
      <c r="R9" s="14"/>
      <c r="S9" s="14"/>
      <c r="T9" s="14"/>
      <c r="U9" s="14"/>
      <c r="V9" s="14"/>
      <c r="W9" s="14"/>
      <c r="X9" s="14"/>
      <c r="Y9" s="14"/>
      <c r="Z9" s="14"/>
      <c r="AA9" s="15"/>
      <c r="AB9" s="3"/>
      <c r="AC9" s="3"/>
      <c r="AD9" s="3"/>
      <c r="AE9" s="3"/>
      <c r="AF9" s="129">
        <v>1.1000000000000001</v>
      </c>
      <c r="AG9" s="3"/>
      <c r="AH9" s="3"/>
      <c r="AI9" s="3"/>
      <c r="AJ9" s="3"/>
      <c r="AK9" s="3"/>
      <c r="AL9" s="3"/>
      <c r="AM9" s="3"/>
      <c r="AN9" s="3"/>
      <c r="AO9" s="3"/>
    </row>
    <row r="10" spans="1:41" ht="15" customHeight="1" x14ac:dyDescent="0.25">
      <c r="B10" s="13"/>
      <c r="C10" s="1080" t="str">
        <v>Postpone decom pipe campain to COP</v>
      </c>
      <c r="D10" s="1081" t="str">
        <v>Boolean</v>
      </c>
      <c r="E10" s="1082" t="b">
        <v>1</v>
      </c>
      <c r="F10" s="56"/>
      <c r="G10" s="56"/>
      <c r="H10" s="83"/>
      <c r="I10" s="1084"/>
      <c r="J10" s="56"/>
      <c r="K10" s="56"/>
      <c r="L10" s="56"/>
      <c r="M10" s="56"/>
      <c r="N10" s="56"/>
      <c r="O10" s="56"/>
      <c r="P10" s="14"/>
      <c r="Q10" s="14"/>
      <c r="R10" s="14"/>
      <c r="S10" s="14"/>
      <c r="T10" s="14"/>
      <c r="U10" s="14"/>
      <c r="V10" s="14"/>
      <c r="W10" s="14"/>
      <c r="X10" s="14"/>
      <c r="Y10" s="14"/>
      <c r="Z10" s="14"/>
      <c r="AA10" s="15"/>
      <c r="AB10" s="3"/>
      <c r="AC10" s="3"/>
      <c r="AD10" s="3"/>
      <c r="AE10" s="3"/>
      <c r="AF10" s="3"/>
      <c r="AG10" s="3"/>
      <c r="AH10" s="3"/>
      <c r="AI10" s="3"/>
      <c r="AJ10" s="3"/>
      <c r="AK10" s="3"/>
      <c r="AL10" s="3"/>
      <c r="AM10" s="3"/>
      <c r="AN10" s="3"/>
      <c r="AO10" s="3"/>
    </row>
    <row r="11" spans="1:41" x14ac:dyDescent="0.25">
      <c r="B11" s="13"/>
      <c r="C11" s="14"/>
      <c r="D11" s="14"/>
      <c r="E11" s="14"/>
      <c r="F11" s="56"/>
      <c r="G11" s="56"/>
      <c r="H11" s="56"/>
      <c r="I11" s="56"/>
      <c r="J11" s="56"/>
      <c r="K11" s="56"/>
      <c r="L11" s="56"/>
      <c r="M11" s="56"/>
      <c r="N11" s="56"/>
      <c r="O11" s="56"/>
      <c r="P11" s="14"/>
      <c r="Q11" s="14"/>
      <c r="R11" s="14"/>
      <c r="S11" s="14"/>
      <c r="T11" s="14"/>
      <c r="U11" s="14"/>
      <c r="V11" s="14"/>
      <c r="W11" s="14"/>
      <c r="X11" s="14"/>
      <c r="Y11" s="14"/>
      <c r="Z11" s="14"/>
      <c r="AA11" s="15"/>
      <c r="AB11" s="3"/>
      <c r="AC11" s="3"/>
      <c r="AD11" s="3"/>
      <c r="AE11" s="3"/>
      <c r="AF11" s="3"/>
      <c r="AG11" s="3"/>
      <c r="AH11" s="3"/>
      <c r="AI11" s="3"/>
      <c r="AJ11" s="3"/>
      <c r="AK11" s="3"/>
      <c r="AL11" s="3"/>
      <c r="AM11" s="3"/>
      <c r="AN11" s="3"/>
      <c r="AO11" s="3"/>
    </row>
    <row r="12" spans="1:41" x14ac:dyDescent="0.25">
      <c r="B12" s="13"/>
      <c r="C12" s="39" t="s">
        <v>1568</v>
      </c>
      <c r="D12" s="40"/>
      <c r="E12" s="41"/>
      <c r="F12" s="56"/>
      <c r="G12" s="56"/>
      <c r="H12" s="56"/>
      <c r="I12" s="56"/>
      <c r="J12" s="56"/>
      <c r="K12" s="56"/>
      <c r="L12" s="56"/>
      <c r="M12" s="56"/>
      <c r="N12" s="56"/>
      <c r="O12" s="56"/>
      <c r="P12" s="14"/>
      <c r="Q12" s="14"/>
      <c r="R12" s="14"/>
      <c r="S12" s="14"/>
      <c r="T12" s="14"/>
      <c r="U12" s="14"/>
      <c r="V12" s="14"/>
      <c r="W12" s="14"/>
      <c r="X12" s="14"/>
      <c r="Y12" s="14"/>
      <c r="Z12" s="14"/>
      <c r="AA12" s="15"/>
      <c r="AB12" s="3"/>
      <c r="AC12" s="3"/>
      <c r="AD12" s="3"/>
      <c r="AE12" s="3"/>
      <c r="AF12" s="3"/>
      <c r="AG12" s="3"/>
      <c r="AH12" s="3"/>
      <c r="AI12" s="3"/>
      <c r="AJ12" s="3"/>
      <c r="AK12" s="3"/>
      <c r="AL12" s="3"/>
      <c r="AM12" s="3"/>
      <c r="AN12" s="3"/>
      <c r="AO12" s="3"/>
    </row>
    <row r="13" spans="1:41" x14ac:dyDescent="0.25">
      <c r="B13" s="13"/>
      <c r="C13" s="14"/>
      <c r="D13" s="14"/>
      <c r="E13" s="14"/>
      <c r="F13" s="56"/>
      <c r="G13" s="56"/>
      <c r="H13" s="83"/>
      <c r="I13" s="56"/>
      <c r="J13" s="56"/>
      <c r="K13" s="56"/>
      <c r="L13" s="56"/>
      <c r="M13" s="5"/>
      <c r="N13" s="56"/>
      <c r="O13" s="56"/>
      <c r="P13" s="14"/>
      <c r="Q13" s="14"/>
      <c r="R13" s="14"/>
      <c r="S13" s="14"/>
      <c r="T13" s="14"/>
      <c r="U13" s="14"/>
      <c r="V13" s="14"/>
      <c r="W13" s="14"/>
      <c r="X13" s="14"/>
      <c r="Y13" s="14"/>
      <c r="Z13" s="14"/>
      <c r="AA13" s="15"/>
      <c r="AB13" s="3"/>
      <c r="AC13" s="3"/>
      <c r="AD13" s="3"/>
      <c r="AE13" s="3"/>
      <c r="AF13" s="3"/>
      <c r="AG13" s="3"/>
      <c r="AH13" s="3"/>
      <c r="AI13" s="3"/>
      <c r="AJ13" s="3"/>
      <c r="AK13" s="3"/>
      <c r="AL13" s="3"/>
      <c r="AM13" s="3"/>
      <c r="AN13" s="3"/>
      <c r="AO13" s="3"/>
    </row>
    <row r="14" spans="1:41" x14ac:dyDescent="0.25">
      <c r="B14" s="13"/>
      <c r="C14" s="32" t="str">
        <f t="array" ref="C14:E16">Parameters!E23:G25</f>
        <v>Relative decommissioning cost topside + jacket</v>
      </c>
      <c r="D14" s="33" t="str">
        <v>EUR / ton</v>
      </c>
      <c r="E14" s="1173">
        <v>4104</v>
      </c>
      <c r="F14" s="56"/>
      <c r="G14" s="56"/>
      <c r="H14" s="1084"/>
      <c r="I14" s="56"/>
      <c r="J14" s="56"/>
      <c r="K14" s="56"/>
      <c r="L14" s="56"/>
      <c r="M14" s="5"/>
      <c r="N14" s="56"/>
      <c r="O14" s="56"/>
      <c r="P14" s="14"/>
      <c r="Q14" s="14"/>
      <c r="R14" s="14"/>
      <c r="S14" s="14"/>
      <c r="T14" s="14"/>
      <c r="U14" s="14"/>
      <c r="V14" s="14"/>
      <c r="W14" s="14"/>
      <c r="X14" s="14"/>
      <c r="Y14" s="14"/>
      <c r="Z14" s="14"/>
      <c r="AA14" s="15"/>
      <c r="AB14" s="3"/>
      <c r="AC14" s="3"/>
      <c r="AD14" s="3"/>
      <c r="AE14" s="3"/>
      <c r="AF14" s="3"/>
      <c r="AG14" s="3"/>
      <c r="AH14" s="3"/>
      <c r="AI14" s="3"/>
      <c r="AJ14" s="3"/>
      <c r="AK14" s="3"/>
      <c r="AL14" s="3"/>
      <c r="AM14" s="3"/>
      <c r="AN14" s="3"/>
      <c r="AO14" s="3"/>
    </row>
    <row r="15" spans="1:41" x14ac:dyDescent="0.25">
      <c r="B15" s="13"/>
      <c r="C15" s="6" t="str">
        <v>Relative costs natural gas well P&amp;A</v>
      </c>
      <c r="D15" s="2" t="str">
        <v>EUR /well</v>
      </c>
      <c r="E15" s="115">
        <v>3192000</v>
      </c>
      <c r="F15" s="56"/>
      <c r="G15" s="56"/>
      <c r="H15" s="1084"/>
      <c r="I15" s="56"/>
      <c r="J15" s="56"/>
      <c r="K15" s="56"/>
      <c r="L15" s="56"/>
      <c r="M15" s="5"/>
      <c r="N15" s="56"/>
      <c r="O15" s="56"/>
      <c r="P15" s="14"/>
      <c r="Q15" s="14"/>
      <c r="R15" s="14"/>
      <c r="S15" s="14"/>
      <c r="T15" s="14"/>
      <c r="U15" s="14"/>
      <c r="V15" s="14"/>
      <c r="W15" s="14"/>
      <c r="X15" s="14"/>
      <c r="Y15" s="14"/>
      <c r="Z15" s="14"/>
      <c r="AA15" s="15"/>
      <c r="AB15" s="3"/>
      <c r="AC15" s="3"/>
      <c r="AD15" s="3"/>
      <c r="AE15" s="3"/>
      <c r="AF15" s="3"/>
      <c r="AG15" s="3"/>
      <c r="AH15" s="3"/>
      <c r="AI15" s="3"/>
      <c r="AJ15" s="3"/>
      <c r="AK15" s="3"/>
      <c r="AL15" s="3"/>
      <c r="AM15" s="3"/>
      <c r="AN15" s="3"/>
      <c r="AO15" s="3"/>
    </row>
    <row r="16" spans="1:41" x14ac:dyDescent="0.25">
      <c r="B16" s="13"/>
      <c r="C16" s="6" t="str">
        <v>Relative costs pipeline 'making safe' and decom</v>
      </c>
      <c r="D16" s="2" t="str">
        <v>EUR /km</v>
      </c>
      <c r="E16" s="115">
        <v>180823.863636364</v>
      </c>
      <c r="F16" s="56"/>
      <c r="G16" s="56"/>
      <c r="H16" s="1084"/>
      <c r="I16" s="56"/>
      <c r="J16" s="56"/>
      <c r="K16" s="56"/>
      <c r="L16" s="56"/>
      <c r="M16" s="5"/>
      <c r="N16" s="56"/>
      <c r="O16" s="56"/>
      <c r="P16" s="14"/>
      <c r="Q16" s="14"/>
      <c r="R16" s="14"/>
      <c r="S16" s="14"/>
      <c r="T16" s="14"/>
      <c r="U16" s="14"/>
      <c r="V16" s="14"/>
      <c r="W16" s="14"/>
      <c r="X16" s="14"/>
      <c r="Y16" s="14"/>
      <c r="Z16" s="14"/>
      <c r="AA16" s="15"/>
      <c r="AB16" s="3"/>
      <c r="AC16" s="3"/>
      <c r="AD16" s="3"/>
      <c r="AE16" s="3"/>
      <c r="AF16" s="3"/>
      <c r="AG16" s="3"/>
      <c r="AH16" s="3"/>
      <c r="AI16" s="3"/>
      <c r="AJ16" s="3"/>
      <c r="AK16" s="3"/>
      <c r="AL16" s="3"/>
      <c r="AM16" s="3"/>
      <c r="AN16" s="3"/>
      <c r="AO16" s="3"/>
    </row>
    <row r="17" spans="2:41" s="171" customFormat="1" x14ac:dyDescent="0.25">
      <c r="B17" s="13"/>
      <c r="C17" s="6" t="str">
        <f t="array" ref="C17:E21">Parameters!E29:G33</f>
        <v>Onshore disposal, remidiation and monitoring</v>
      </c>
      <c r="D17" s="2" t="str">
        <v>%</v>
      </c>
      <c r="E17" s="35">
        <v>2</v>
      </c>
      <c r="F17" s="56"/>
      <c r="G17" s="56"/>
      <c r="H17" s="1084"/>
      <c r="I17" s="56"/>
      <c r="J17" s="56"/>
      <c r="K17" s="56"/>
      <c r="L17" s="56"/>
      <c r="M17" s="5"/>
      <c r="N17" s="56"/>
      <c r="O17" s="56"/>
      <c r="P17" s="14"/>
      <c r="Q17" s="14"/>
      <c r="R17" s="14"/>
      <c r="S17" s="14"/>
      <c r="T17" s="14"/>
      <c r="U17" s="14"/>
      <c r="V17" s="14"/>
      <c r="W17" s="14"/>
      <c r="X17" s="14"/>
      <c r="Y17" s="14"/>
      <c r="Z17" s="14"/>
      <c r="AA17" s="15"/>
      <c r="AB17" s="3"/>
      <c r="AC17" s="3"/>
      <c r="AD17" s="3"/>
      <c r="AE17" s="3"/>
      <c r="AF17" s="3"/>
      <c r="AG17" s="3"/>
      <c r="AH17" s="3"/>
      <c r="AI17" s="3"/>
      <c r="AJ17" s="3"/>
      <c r="AK17" s="3"/>
      <c r="AL17" s="3"/>
      <c r="AM17" s="3"/>
      <c r="AN17" s="3"/>
      <c r="AO17" s="3"/>
    </row>
    <row r="18" spans="2:41" s="171" customFormat="1" x14ac:dyDescent="0.25">
      <c r="B18" s="13"/>
      <c r="C18" s="6" t="str">
        <v>Project managment and facility running cost</v>
      </c>
      <c r="D18" s="2" t="str">
        <v>%</v>
      </c>
      <c r="E18" s="35">
        <v>16</v>
      </c>
      <c r="F18" s="56"/>
      <c r="G18" s="56"/>
      <c r="H18" s="1084"/>
      <c r="I18" s="56"/>
      <c r="J18" s="56"/>
      <c r="K18" s="56"/>
      <c r="L18" s="56"/>
      <c r="M18" s="5"/>
      <c r="N18" s="56"/>
      <c r="O18" s="56"/>
      <c r="P18" s="14"/>
      <c r="Q18" s="14"/>
      <c r="R18" s="14"/>
      <c r="S18" s="14"/>
      <c r="T18" s="14"/>
      <c r="U18" s="14"/>
      <c r="V18" s="14"/>
      <c r="W18" s="14"/>
      <c r="X18" s="14"/>
      <c r="Y18" s="14"/>
      <c r="Z18" s="14"/>
      <c r="AA18" s="15"/>
      <c r="AB18" s="3"/>
      <c r="AC18" s="3"/>
      <c r="AD18" s="3"/>
      <c r="AE18" s="3"/>
      <c r="AF18" s="3"/>
      <c r="AG18" s="3"/>
      <c r="AH18" s="3"/>
      <c r="AI18" s="3"/>
      <c r="AJ18" s="3"/>
      <c r="AK18" s="3"/>
      <c r="AL18" s="3"/>
      <c r="AM18" s="3"/>
      <c r="AN18" s="3"/>
      <c r="AO18" s="3"/>
    </row>
    <row r="19" spans="2:41" s="171" customFormat="1" x14ac:dyDescent="0.25">
      <c r="B19" s="13"/>
      <c r="C19" s="6" t="str">
        <v>Topside + jacket</v>
      </c>
      <c r="D19" s="2" t="str">
        <v>%</v>
      </c>
      <c r="E19" s="35">
        <v>21</v>
      </c>
      <c r="F19" s="56"/>
      <c r="G19" s="56"/>
      <c r="H19" s="1084"/>
      <c r="I19" s="56"/>
      <c r="J19" s="56"/>
      <c r="K19" s="56"/>
      <c r="L19" s="56"/>
      <c r="M19" s="5"/>
      <c r="N19" s="56"/>
      <c r="O19" s="56"/>
      <c r="P19" s="14"/>
      <c r="Q19" s="14"/>
      <c r="R19" s="14"/>
      <c r="S19" s="14"/>
      <c r="T19" s="14"/>
      <c r="U19" s="14"/>
      <c r="V19" s="14"/>
      <c r="W19" s="14"/>
      <c r="X19" s="14"/>
      <c r="Y19" s="14"/>
      <c r="Z19" s="14"/>
      <c r="AA19" s="15"/>
      <c r="AB19" s="3"/>
      <c r="AC19" s="3"/>
      <c r="AD19" s="3"/>
      <c r="AE19" s="3"/>
      <c r="AF19" s="3"/>
      <c r="AG19" s="3"/>
      <c r="AH19" s="3"/>
      <c r="AI19" s="3"/>
      <c r="AJ19" s="3"/>
      <c r="AK19" s="3"/>
      <c r="AL19" s="3"/>
      <c r="AM19" s="3"/>
      <c r="AN19" s="3"/>
      <c r="AO19" s="3"/>
    </row>
    <row r="20" spans="2:41" s="171" customFormat="1" x14ac:dyDescent="0.25">
      <c r="B20" s="13"/>
      <c r="C20" s="6" t="str">
        <v>natural gas well P&amp;A</v>
      </c>
      <c r="D20" s="2" t="str">
        <v>%</v>
      </c>
      <c r="E20" s="35">
        <v>49</v>
      </c>
      <c r="F20" s="56"/>
      <c r="G20" s="56"/>
      <c r="H20" s="1084"/>
      <c r="I20" s="56"/>
      <c r="J20" s="56"/>
      <c r="K20" s="56"/>
      <c r="L20" s="56"/>
      <c r="M20" s="5"/>
      <c r="N20" s="56"/>
      <c r="O20" s="56"/>
      <c r="P20" s="14"/>
      <c r="Q20" s="14"/>
      <c r="R20" s="14"/>
      <c r="S20" s="14"/>
      <c r="T20" s="14"/>
      <c r="U20" s="14"/>
      <c r="V20" s="14"/>
      <c r="W20" s="14"/>
      <c r="X20" s="14"/>
      <c r="Y20" s="14"/>
      <c r="Z20" s="14"/>
      <c r="AA20" s="15"/>
      <c r="AB20" s="3"/>
      <c r="AC20" s="3"/>
      <c r="AD20" s="3"/>
      <c r="AE20" s="3"/>
      <c r="AF20" s="3"/>
      <c r="AG20" s="3"/>
      <c r="AH20" s="3"/>
      <c r="AI20" s="3"/>
      <c r="AJ20" s="3"/>
      <c r="AK20" s="3"/>
      <c r="AL20" s="3"/>
      <c r="AM20" s="3"/>
      <c r="AN20" s="3"/>
      <c r="AO20" s="3"/>
    </row>
    <row r="21" spans="2:41" s="171" customFormat="1" x14ac:dyDescent="0.25">
      <c r="B21" s="13"/>
      <c r="C21" s="36" t="str">
        <v>pipeline 'making safe' and decom</v>
      </c>
      <c r="D21" s="37" t="str">
        <v>%</v>
      </c>
      <c r="E21" s="38">
        <v>12</v>
      </c>
      <c r="F21" s="56"/>
      <c r="G21" s="56"/>
      <c r="H21" s="1084"/>
      <c r="I21" s="56"/>
      <c r="J21" s="56"/>
      <c r="K21" s="56"/>
      <c r="L21" s="56"/>
      <c r="M21" s="5"/>
      <c r="N21" s="56"/>
      <c r="O21" s="56"/>
      <c r="P21" s="14"/>
      <c r="Q21" s="14"/>
      <c r="R21" s="14"/>
      <c r="S21" s="14"/>
      <c r="T21" s="14"/>
      <c r="U21" s="14"/>
      <c r="V21" s="14"/>
      <c r="W21" s="14"/>
      <c r="X21" s="14"/>
      <c r="Y21" s="14"/>
      <c r="Z21" s="14"/>
      <c r="AA21" s="15"/>
      <c r="AB21" s="3"/>
      <c r="AC21" s="3"/>
      <c r="AD21" s="3"/>
      <c r="AE21" s="3"/>
      <c r="AF21" s="3"/>
      <c r="AG21" s="3"/>
      <c r="AH21" s="3"/>
      <c r="AI21" s="3"/>
      <c r="AJ21" s="3"/>
      <c r="AK21" s="3"/>
      <c r="AL21" s="3"/>
      <c r="AM21" s="3"/>
      <c r="AN21" s="3"/>
      <c r="AO21" s="3"/>
    </row>
    <row r="22" spans="2:41" s="171" customFormat="1" x14ac:dyDescent="0.25">
      <c r="B22" s="13"/>
      <c r="C22" s="14"/>
      <c r="D22" s="14"/>
      <c r="E22" s="14"/>
      <c r="F22" s="56"/>
      <c r="G22" s="56"/>
      <c r="H22" s="1084"/>
      <c r="I22" s="56"/>
      <c r="J22" s="56"/>
      <c r="K22" s="56"/>
      <c r="L22" s="56"/>
      <c r="M22" s="5"/>
      <c r="N22" s="56"/>
      <c r="O22" s="56"/>
      <c r="P22" s="14"/>
      <c r="Q22" s="14"/>
      <c r="R22" s="14"/>
      <c r="S22" s="14"/>
      <c r="T22" s="14"/>
      <c r="U22" s="14"/>
      <c r="V22" s="14"/>
      <c r="W22" s="14"/>
      <c r="X22" s="14"/>
      <c r="Y22" s="14"/>
      <c r="Z22" s="14"/>
      <c r="AA22" s="15"/>
      <c r="AB22" s="3"/>
      <c r="AC22" s="3"/>
      <c r="AD22" s="3"/>
      <c r="AE22" s="3"/>
      <c r="AF22" s="3"/>
      <c r="AG22" s="3"/>
      <c r="AH22" s="3"/>
      <c r="AI22" s="3"/>
      <c r="AJ22" s="3"/>
      <c r="AK22" s="3"/>
      <c r="AL22" s="3"/>
      <c r="AM22" s="3"/>
      <c r="AN22" s="3"/>
      <c r="AO22" s="3"/>
    </row>
    <row r="23" spans="2:41" s="171" customFormat="1" x14ac:dyDescent="0.25">
      <c r="B23" s="13"/>
      <c r="C23" s="39" t="s">
        <v>1569</v>
      </c>
      <c r="D23" s="40"/>
      <c r="E23" s="41"/>
      <c r="F23" s="56"/>
      <c r="G23" s="56"/>
      <c r="H23" s="1084"/>
      <c r="I23" s="56"/>
      <c r="J23" s="56"/>
      <c r="K23" s="56"/>
      <c r="L23" s="56"/>
      <c r="M23" s="5"/>
      <c r="N23" s="56"/>
      <c r="O23" s="56"/>
      <c r="P23" s="14"/>
      <c r="Q23" s="14"/>
      <c r="R23" s="14"/>
      <c r="S23" s="14"/>
      <c r="T23" s="14"/>
      <c r="U23" s="14"/>
      <c r="V23" s="14"/>
      <c r="W23" s="14"/>
      <c r="X23" s="14"/>
      <c r="Y23" s="14"/>
      <c r="Z23" s="14"/>
      <c r="AA23" s="15"/>
      <c r="AB23" s="3"/>
      <c r="AC23" s="3"/>
      <c r="AD23" s="3"/>
      <c r="AE23" s="3"/>
      <c r="AF23" s="3"/>
      <c r="AG23" s="3"/>
      <c r="AH23" s="3"/>
      <c r="AI23" s="3"/>
      <c r="AJ23" s="3"/>
      <c r="AK23" s="3"/>
      <c r="AL23" s="3"/>
      <c r="AM23" s="3"/>
      <c r="AN23" s="3"/>
      <c r="AO23" s="3"/>
    </row>
    <row r="24" spans="2:41" s="171" customFormat="1" x14ac:dyDescent="0.25">
      <c r="B24" s="13"/>
      <c r="C24" s="14"/>
      <c r="D24" s="14"/>
      <c r="E24" s="14"/>
      <c r="F24" s="56"/>
      <c r="G24" s="56"/>
      <c r="H24" s="1084"/>
      <c r="I24" s="56"/>
      <c r="J24" s="56"/>
      <c r="K24" s="56"/>
      <c r="L24" s="56"/>
      <c r="M24" s="56"/>
      <c r="N24" s="56"/>
      <c r="O24" s="56"/>
      <c r="P24" s="14"/>
      <c r="Q24" s="14"/>
      <c r="R24" s="14"/>
      <c r="S24" s="14"/>
      <c r="T24" s="14"/>
      <c r="U24" s="14"/>
      <c r="V24" s="14"/>
      <c r="W24" s="14"/>
      <c r="X24" s="14"/>
      <c r="Y24" s="14"/>
      <c r="Z24" s="14"/>
      <c r="AA24" s="15"/>
      <c r="AB24" s="3"/>
      <c r="AC24" s="3"/>
      <c r="AD24" s="3"/>
      <c r="AE24" s="3"/>
      <c r="AF24" s="3"/>
      <c r="AG24" s="3"/>
      <c r="AH24" s="3"/>
      <c r="AI24" s="3"/>
      <c r="AJ24" s="3"/>
      <c r="AK24" s="3"/>
      <c r="AL24" s="3"/>
      <c r="AM24" s="3"/>
      <c r="AN24" s="3"/>
      <c r="AO24" s="3"/>
    </row>
    <row r="25" spans="2:41" s="171" customFormat="1" x14ac:dyDescent="0.25">
      <c r="B25" s="13"/>
      <c r="C25" s="32" t="str">
        <f t="array" ref="C25:E27">Parameters!E26:G28</f>
        <v>Platform identifier</v>
      </c>
      <c r="D25" s="33">
        <v>0</v>
      </c>
      <c r="E25" s="34" t="str">
        <v>P15-D</v>
      </c>
      <c r="F25" s="56"/>
      <c r="G25" s="56"/>
      <c r="H25" s="1084"/>
      <c r="I25" s="56"/>
      <c r="J25" s="56"/>
      <c r="K25" s="56"/>
      <c r="L25" s="56"/>
      <c r="M25" s="56"/>
      <c r="N25" s="56"/>
      <c r="O25" s="56"/>
      <c r="P25" s="14"/>
      <c r="Q25" s="14"/>
      <c r="R25" s="14"/>
      <c r="S25" s="14"/>
      <c r="T25" s="14"/>
      <c r="U25" s="14"/>
      <c r="V25" s="14"/>
      <c r="W25" s="14"/>
      <c r="X25" s="14"/>
      <c r="Y25" s="14"/>
      <c r="Z25" s="14"/>
      <c r="AA25" s="15"/>
      <c r="AB25" s="3"/>
      <c r="AC25" s="3"/>
      <c r="AD25" s="3"/>
      <c r="AE25" s="3"/>
      <c r="AF25" s="3"/>
      <c r="AG25" s="3"/>
      <c r="AH25" s="3"/>
      <c r="AI25" s="3"/>
      <c r="AJ25" s="3"/>
      <c r="AK25" s="3"/>
      <c r="AL25" s="3"/>
      <c r="AM25" s="3"/>
      <c r="AN25" s="3"/>
      <c r="AO25" s="3"/>
    </row>
    <row r="26" spans="2:41" s="171" customFormat="1" x14ac:dyDescent="0.25">
      <c r="B26" s="13"/>
      <c r="C26" s="6" t="str">
        <v>Weight sub-structure</v>
      </c>
      <c r="D26" s="2" t="str">
        <v>ton</v>
      </c>
      <c r="E26" s="115">
        <v>1015</v>
      </c>
      <c r="F26" s="56"/>
      <c r="G26" s="56"/>
      <c r="H26" s="1084"/>
      <c r="I26" s="56"/>
      <c r="J26" s="56"/>
      <c r="K26" s="56"/>
      <c r="L26" s="56"/>
      <c r="M26" s="56"/>
      <c r="N26" s="56"/>
      <c r="O26" s="56"/>
      <c r="P26" s="14"/>
      <c r="Q26" s="14"/>
      <c r="R26" s="14"/>
      <c r="S26" s="14"/>
      <c r="T26" s="14"/>
      <c r="U26" s="14"/>
      <c r="V26" s="14"/>
      <c r="W26" s="14"/>
      <c r="X26" s="14"/>
      <c r="Y26" s="14"/>
      <c r="Z26" s="14"/>
      <c r="AA26" s="15"/>
      <c r="AB26" s="3"/>
      <c r="AC26" s="3"/>
      <c r="AD26" s="3"/>
      <c r="AE26" s="3"/>
      <c r="AF26" s="3"/>
      <c r="AG26" s="3"/>
      <c r="AH26" s="3"/>
      <c r="AI26" s="3"/>
      <c r="AJ26" s="3"/>
      <c r="AK26" s="3"/>
      <c r="AL26" s="3"/>
      <c r="AM26" s="3"/>
      <c r="AN26" s="3"/>
      <c r="AO26" s="3"/>
    </row>
    <row r="27" spans="2:41" s="171" customFormat="1" x14ac:dyDescent="0.25">
      <c r="B27" s="13"/>
      <c r="C27" s="6" t="str">
        <v>Weight topside</v>
      </c>
      <c r="D27" s="2" t="str">
        <v>ton</v>
      </c>
      <c r="E27" s="115">
        <v>6962</v>
      </c>
      <c r="F27" s="56"/>
      <c r="G27" s="56"/>
      <c r="H27" s="1084"/>
      <c r="I27" s="56"/>
      <c r="J27" s="56"/>
      <c r="K27" s="56"/>
      <c r="L27" s="56"/>
      <c r="M27" s="56"/>
      <c r="N27" s="56"/>
      <c r="O27" s="56"/>
      <c r="P27" s="14"/>
      <c r="Q27" s="14"/>
      <c r="R27" s="14"/>
      <c r="S27" s="14"/>
      <c r="T27" s="14"/>
      <c r="U27" s="14"/>
      <c r="V27" s="14"/>
      <c r="W27" s="14"/>
      <c r="X27" s="14"/>
      <c r="Y27" s="14"/>
      <c r="Z27" s="14"/>
      <c r="AA27" s="15"/>
      <c r="AB27" s="3"/>
      <c r="AC27" s="3"/>
      <c r="AD27" s="3"/>
      <c r="AE27" s="3"/>
      <c r="AF27" s="3"/>
      <c r="AG27" s="3"/>
      <c r="AH27" s="3"/>
      <c r="AI27" s="3"/>
      <c r="AJ27" s="3"/>
      <c r="AK27" s="3"/>
      <c r="AL27" s="3"/>
      <c r="AM27" s="3"/>
      <c r="AN27" s="3"/>
      <c r="AO27" s="3"/>
    </row>
    <row r="28" spans="2:41" s="171" customFormat="1" x14ac:dyDescent="0.25">
      <c r="B28" s="13"/>
      <c r="C28" s="6" t="str">
        <f t="array" ref="C28:E28">Parameters!E150:G150</f>
        <v>Pipeline length</v>
      </c>
      <c r="D28" s="2" t="str">
        <v>km</v>
      </c>
      <c r="E28" s="115">
        <v>40</v>
      </c>
      <c r="F28" s="56"/>
      <c r="G28" s="56"/>
      <c r="H28" s="1084"/>
      <c r="I28" s="56"/>
      <c r="J28" s="56"/>
      <c r="K28" s="56"/>
      <c r="L28" s="56"/>
      <c r="M28" s="56"/>
      <c r="N28" s="56"/>
      <c r="O28" s="56"/>
      <c r="P28" s="14"/>
      <c r="Q28" s="14"/>
      <c r="R28" s="14"/>
      <c r="S28" s="14"/>
      <c r="T28" s="14"/>
      <c r="U28" s="14"/>
      <c r="V28" s="14"/>
      <c r="W28" s="14"/>
      <c r="X28" s="14"/>
      <c r="Y28" s="14"/>
      <c r="Z28" s="14"/>
      <c r="AA28" s="15"/>
      <c r="AB28" s="3"/>
      <c r="AC28" s="3"/>
      <c r="AD28" s="3"/>
      <c r="AE28" s="3"/>
      <c r="AF28" s="3"/>
      <c r="AG28" s="3"/>
      <c r="AH28" s="3"/>
      <c r="AI28" s="3"/>
      <c r="AJ28" s="3"/>
      <c r="AK28" s="3"/>
      <c r="AL28" s="3"/>
      <c r="AM28" s="3"/>
      <c r="AN28" s="3"/>
      <c r="AO28" s="3"/>
    </row>
    <row r="29" spans="2:41" s="171" customFormat="1" x14ac:dyDescent="0.25">
      <c r="B29" s="13"/>
      <c r="C29" s="6" t="str">
        <f t="array" ref="C29:E29">Parameters!E322:G322</f>
        <v>Distance hub to shore</v>
      </c>
      <c r="D29" s="2" t="str">
        <v>km</v>
      </c>
      <c r="E29" s="115">
        <v>40</v>
      </c>
      <c r="F29" s="56"/>
      <c r="G29" s="56"/>
      <c r="H29" s="1084"/>
      <c r="I29" s="56"/>
      <c r="J29" s="56"/>
      <c r="K29" s="56"/>
      <c r="L29" s="56"/>
      <c r="M29" s="56"/>
      <c r="N29" s="56"/>
      <c r="O29" s="56"/>
      <c r="P29" s="14"/>
      <c r="Q29" s="14"/>
      <c r="R29" s="14"/>
      <c r="S29" s="14"/>
      <c r="T29" s="14"/>
      <c r="U29" s="14"/>
      <c r="V29" s="14"/>
      <c r="W29" s="14"/>
      <c r="X29" s="14"/>
      <c r="Y29" s="14"/>
      <c r="Z29" s="14"/>
      <c r="AA29" s="15"/>
      <c r="AB29" s="3"/>
      <c r="AC29" s="3"/>
      <c r="AD29" s="3"/>
      <c r="AE29" s="3"/>
      <c r="AF29" s="3"/>
      <c r="AG29" s="3"/>
      <c r="AH29" s="3"/>
      <c r="AI29" s="3"/>
      <c r="AJ29" s="3"/>
      <c r="AK29" s="3"/>
      <c r="AL29" s="3"/>
      <c r="AM29" s="3"/>
      <c r="AN29" s="3"/>
      <c r="AO29" s="3"/>
    </row>
    <row r="30" spans="2:41" s="171" customFormat="1" x14ac:dyDescent="0.25">
      <c r="B30" s="13"/>
      <c r="C30" s="6"/>
      <c r="D30" s="2"/>
      <c r="E30" s="35"/>
      <c r="F30" s="56"/>
      <c r="G30" s="56"/>
      <c r="H30" s="1084"/>
      <c r="I30" s="56"/>
      <c r="J30" s="56"/>
      <c r="K30" s="56"/>
      <c r="L30" s="56"/>
      <c r="M30" s="56"/>
      <c r="N30" s="56"/>
      <c r="O30" s="56"/>
      <c r="P30" s="14"/>
      <c r="Q30" s="14"/>
      <c r="R30" s="14"/>
      <c r="S30" s="14"/>
      <c r="T30" s="14"/>
      <c r="U30" s="14"/>
      <c r="V30" s="14"/>
      <c r="W30" s="14"/>
      <c r="X30" s="14"/>
      <c r="Y30" s="14"/>
      <c r="Z30" s="14"/>
      <c r="AA30" s="15"/>
      <c r="AB30" s="3"/>
      <c r="AC30" s="3"/>
      <c r="AD30" s="3"/>
      <c r="AE30" s="3"/>
      <c r="AF30" s="3"/>
      <c r="AG30" s="3"/>
      <c r="AH30" s="3"/>
      <c r="AI30" s="3"/>
      <c r="AJ30" s="3"/>
      <c r="AK30" s="3"/>
      <c r="AL30" s="3"/>
      <c r="AM30" s="3"/>
      <c r="AN30" s="3"/>
      <c r="AO30" s="3"/>
    </row>
    <row r="31" spans="2:41" s="171" customFormat="1" x14ac:dyDescent="0.25">
      <c r="B31" s="13"/>
      <c r="C31" s="6"/>
      <c r="D31" s="2"/>
      <c r="E31" s="35"/>
      <c r="F31" s="56"/>
      <c r="G31" s="56"/>
      <c r="H31" s="1084"/>
      <c r="I31" s="56"/>
      <c r="J31" s="56"/>
      <c r="K31" s="56"/>
      <c r="L31" s="56"/>
      <c r="M31" s="56"/>
      <c r="N31" s="56"/>
      <c r="O31" s="56"/>
      <c r="P31" s="14"/>
      <c r="Q31" s="14"/>
      <c r="R31" s="14"/>
      <c r="S31" s="14"/>
      <c r="T31" s="14"/>
      <c r="U31" s="14"/>
      <c r="V31" s="14"/>
      <c r="W31" s="14"/>
      <c r="X31" s="14"/>
      <c r="Y31" s="14"/>
      <c r="Z31" s="14"/>
      <c r="AA31" s="15"/>
      <c r="AB31" s="3"/>
      <c r="AC31" s="3"/>
      <c r="AD31" s="3"/>
      <c r="AE31" s="3"/>
      <c r="AF31" s="3"/>
      <c r="AG31" s="3"/>
      <c r="AH31" s="3"/>
      <c r="AI31" s="3"/>
      <c r="AJ31" s="3"/>
      <c r="AK31" s="3"/>
      <c r="AL31" s="3"/>
      <c r="AM31" s="3"/>
      <c r="AN31" s="3"/>
      <c r="AO31" s="3"/>
    </row>
    <row r="32" spans="2:41" s="171" customFormat="1" x14ac:dyDescent="0.25">
      <c r="B32" s="13"/>
      <c r="C32" s="36"/>
      <c r="D32" s="37"/>
      <c r="E32" s="38"/>
      <c r="F32" s="56"/>
      <c r="G32" s="56"/>
      <c r="H32" s="1084"/>
      <c r="I32" s="56"/>
      <c r="J32" s="56"/>
      <c r="K32" s="56"/>
      <c r="L32" s="56"/>
      <c r="M32" s="56"/>
      <c r="N32" s="56"/>
      <c r="O32" s="56"/>
      <c r="P32" s="14"/>
      <c r="Q32" s="14"/>
      <c r="R32" s="14"/>
      <c r="S32" s="14"/>
      <c r="T32" s="14"/>
      <c r="U32" s="14"/>
      <c r="V32" s="14"/>
      <c r="W32" s="14"/>
      <c r="X32" s="14"/>
      <c r="Y32" s="14"/>
      <c r="Z32" s="14"/>
      <c r="AA32" s="15"/>
      <c r="AB32" s="3"/>
      <c r="AC32" s="3"/>
      <c r="AD32" s="3"/>
      <c r="AE32" s="3"/>
      <c r="AF32" s="3"/>
      <c r="AG32" s="3"/>
      <c r="AH32" s="3"/>
      <c r="AI32" s="3"/>
      <c r="AJ32" s="3"/>
      <c r="AK32" s="3"/>
      <c r="AL32" s="3"/>
      <c r="AM32" s="3"/>
      <c r="AN32" s="3"/>
      <c r="AO32" s="3"/>
    </row>
    <row r="33" spans="2:41" s="171" customFormat="1" x14ac:dyDescent="0.25">
      <c r="B33" s="13"/>
      <c r="C33" s="14"/>
      <c r="D33" s="14"/>
      <c r="E33" s="14"/>
      <c r="F33" s="56"/>
      <c r="G33" s="56"/>
      <c r="H33" s="1084"/>
      <c r="I33" s="56"/>
      <c r="J33" s="56"/>
      <c r="K33" s="56"/>
      <c r="L33" s="56"/>
      <c r="M33" s="56"/>
      <c r="N33" s="56"/>
      <c r="O33" s="56"/>
      <c r="P33" s="14"/>
      <c r="Q33" s="14"/>
      <c r="R33" s="14"/>
      <c r="S33" s="14"/>
      <c r="T33" s="14"/>
      <c r="U33" s="14"/>
      <c r="V33" s="14"/>
      <c r="W33" s="14"/>
      <c r="X33" s="14"/>
      <c r="Y33" s="14"/>
      <c r="Z33" s="14"/>
      <c r="AA33" s="15"/>
      <c r="AB33" s="3"/>
      <c r="AC33" s="3"/>
      <c r="AD33" s="3"/>
      <c r="AE33" s="3"/>
      <c r="AF33" s="3"/>
      <c r="AG33" s="3"/>
      <c r="AH33" s="3"/>
      <c r="AI33" s="3"/>
      <c r="AJ33" s="3"/>
      <c r="AK33" s="3"/>
      <c r="AL33" s="3"/>
      <c r="AM33" s="3"/>
      <c r="AN33" s="3"/>
      <c r="AO33" s="3"/>
    </row>
    <row r="34" spans="2:41" s="171" customFormat="1" x14ac:dyDescent="0.25">
      <c r="B34" s="13"/>
      <c r="C34" s="39" t="s">
        <v>1</v>
      </c>
      <c r="D34" s="40"/>
      <c r="E34" s="41"/>
      <c r="F34" s="56"/>
      <c r="G34" s="56"/>
      <c r="H34" s="1084"/>
      <c r="I34" s="56"/>
      <c r="J34" s="56"/>
      <c r="K34" s="56"/>
      <c r="L34" s="56"/>
      <c r="M34" s="56"/>
      <c r="N34" s="56"/>
      <c r="O34" s="56"/>
      <c r="P34" s="14"/>
      <c r="Q34" s="14"/>
      <c r="R34" s="14"/>
      <c r="S34" s="14"/>
      <c r="T34" s="14"/>
      <c r="U34" s="14"/>
      <c r="V34" s="14"/>
      <c r="W34" s="14"/>
      <c r="X34" s="14"/>
      <c r="Y34" s="14"/>
      <c r="Z34" s="14"/>
      <c r="AA34" s="15"/>
      <c r="AB34" s="3"/>
      <c r="AC34" s="3"/>
      <c r="AD34" s="3"/>
      <c r="AE34" s="3"/>
      <c r="AF34" s="3"/>
      <c r="AG34" s="3"/>
      <c r="AH34" s="3"/>
      <c r="AI34" s="3"/>
      <c r="AJ34" s="3"/>
      <c r="AK34" s="3"/>
      <c r="AL34" s="3"/>
      <c r="AM34" s="3"/>
      <c r="AN34" s="3"/>
      <c r="AO34" s="3"/>
    </row>
    <row r="35" spans="2:41" s="171" customFormat="1" x14ac:dyDescent="0.25">
      <c r="B35" s="13"/>
      <c r="C35" s="14"/>
      <c r="D35" s="14"/>
      <c r="E35" s="14"/>
      <c r="F35" s="56"/>
      <c r="G35" s="56"/>
      <c r="H35" s="1084"/>
      <c r="I35" s="56"/>
      <c r="J35" s="56"/>
      <c r="K35" s="56"/>
      <c r="L35" s="56"/>
      <c r="M35" s="56"/>
      <c r="N35" s="56"/>
      <c r="O35" s="56"/>
      <c r="P35" s="14"/>
      <c r="Q35" s="14"/>
      <c r="R35" s="14"/>
      <c r="S35" s="14"/>
      <c r="T35" s="14"/>
      <c r="U35" s="14"/>
      <c r="V35" s="14"/>
      <c r="W35" s="14"/>
      <c r="X35" s="14"/>
      <c r="Y35" s="14"/>
      <c r="Z35" s="14"/>
      <c r="AA35" s="15"/>
      <c r="AB35" s="3"/>
      <c r="AC35" s="3"/>
      <c r="AD35" s="3"/>
      <c r="AE35" s="3"/>
      <c r="AF35" s="3"/>
      <c r="AG35" s="3"/>
      <c r="AH35" s="3"/>
      <c r="AI35" s="3"/>
      <c r="AJ35" s="3"/>
      <c r="AK35" s="3"/>
      <c r="AL35" s="3"/>
      <c r="AM35" s="3"/>
      <c r="AN35" s="3"/>
      <c r="AO35" s="3"/>
    </row>
    <row r="36" spans="2:41" s="171" customFormat="1" x14ac:dyDescent="0.25">
      <c r="B36" s="13"/>
      <c r="C36" s="32" t="str">
        <f t="array" ref="C36:E38">Parameters!E252:G254</f>
        <v>Number of available for CO2 wells at start phase</v>
      </c>
      <c r="D36" s="1083" t="str">
        <v>-</v>
      </c>
      <c r="E36" s="34">
        <v>10</v>
      </c>
      <c r="F36" s="5"/>
      <c r="G36" s="56"/>
      <c r="H36" s="1084"/>
      <c r="I36" s="56"/>
      <c r="J36" s="14"/>
      <c r="K36" s="5"/>
      <c r="L36" s="5"/>
      <c r="M36" s="5"/>
      <c r="N36" s="14"/>
      <c r="O36" s="14"/>
      <c r="P36" s="14"/>
      <c r="Q36" s="14"/>
      <c r="R36" s="14"/>
      <c r="S36" s="14"/>
      <c r="T36" s="14"/>
      <c r="U36" s="14"/>
      <c r="V36" s="14"/>
      <c r="W36" s="14"/>
      <c r="X36" s="14"/>
      <c r="Y36" s="14"/>
      <c r="Z36" s="14"/>
      <c r="AA36" s="15"/>
      <c r="AB36" s="3"/>
      <c r="AC36" s="3"/>
      <c r="AD36" s="3"/>
      <c r="AE36" s="3"/>
      <c r="AF36" s="3"/>
      <c r="AG36" s="3"/>
      <c r="AH36" s="3"/>
      <c r="AI36" s="3"/>
      <c r="AJ36" s="3"/>
      <c r="AK36" s="3"/>
      <c r="AL36" s="3"/>
      <c r="AM36" s="3"/>
      <c r="AN36" s="3"/>
      <c r="AO36" s="3"/>
    </row>
    <row r="37" spans="2:41" s="171" customFormat="1" x14ac:dyDescent="0.25">
      <c r="B37" s="13"/>
      <c r="C37" s="6" t="str">
        <v>Number of wells to be abbandonent at end phase</v>
      </c>
      <c r="D37" s="175" t="str">
        <v>-</v>
      </c>
      <c r="E37" s="35">
        <v>5</v>
      </c>
      <c r="F37" s="5"/>
      <c r="G37" s="56"/>
      <c r="H37" s="1084"/>
      <c r="I37" s="56"/>
      <c r="J37" s="14"/>
      <c r="K37" s="5"/>
      <c r="L37" s="5"/>
      <c r="M37" s="5"/>
      <c r="N37" s="14"/>
      <c r="O37" s="14"/>
      <c r="P37" s="14"/>
      <c r="Q37" s="14"/>
      <c r="R37" s="14"/>
      <c r="S37" s="14"/>
      <c r="T37" s="14"/>
      <c r="U37" s="14"/>
      <c r="V37" s="14"/>
      <c r="W37" s="14"/>
      <c r="X37" s="14"/>
      <c r="Y37" s="14"/>
      <c r="Z37" s="14"/>
      <c r="AA37" s="15"/>
      <c r="AB37" s="3"/>
      <c r="AC37" s="3"/>
      <c r="AD37" s="3"/>
      <c r="AE37" s="3"/>
      <c r="AF37" s="3"/>
      <c r="AG37" s="3"/>
      <c r="AH37" s="3"/>
      <c r="AI37" s="3"/>
      <c r="AJ37" s="3"/>
      <c r="AK37" s="3"/>
      <c r="AL37" s="3"/>
      <c r="AM37" s="3"/>
      <c r="AN37" s="3"/>
      <c r="AO37" s="3"/>
    </row>
    <row r="38" spans="2:41" s="171" customFormat="1" x14ac:dyDescent="0.25">
      <c r="B38" s="13"/>
      <c r="C38" s="6" t="str">
        <v>Amount of pipeline to be removed</v>
      </c>
      <c r="D38" s="175" t="str">
        <v>[km]</v>
      </c>
      <c r="E38" s="35">
        <v>40</v>
      </c>
      <c r="F38" s="14"/>
      <c r="G38" s="14"/>
      <c r="H38" s="14"/>
      <c r="I38" s="14"/>
      <c r="J38" s="14"/>
      <c r="K38" s="5"/>
      <c r="L38" s="5"/>
      <c r="M38" s="5"/>
      <c r="N38" s="14"/>
      <c r="O38" s="14"/>
      <c r="P38" s="14"/>
      <c r="Q38" s="14"/>
      <c r="R38" s="14"/>
      <c r="S38" s="14"/>
      <c r="T38" s="14"/>
      <c r="U38" s="14"/>
      <c r="V38" s="14"/>
      <c r="W38" s="14"/>
      <c r="X38" s="14"/>
      <c r="Y38" s="14"/>
      <c r="Z38" s="14"/>
      <c r="AA38" s="15"/>
      <c r="AB38" s="3"/>
      <c r="AC38" s="3"/>
      <c r="AD38" s="3"/>
      <c r="AE38" s="3"/>
      <c r="AF38" s="3"/>
      <c r="AG38" s="3"/>
      <c r="AH38" s="3"/>
      <c r="AI38" s="3"/>
      <c r="AJ38" s="3"/>
      <c r="AK38" s="3"/>
      <c r="AL38" s="3"/>
      <c r="AM38" s="3"/>
      <c r="AN38" s="3"/>
      <c r="AO38" s="3"/>
    </row>
    <row r="39" spans="2:41" s="171" customFormat="1" ht="18.75" x14ac:dyDescent="0.3">
      <c r="B39" s="67"/>
      <c r="C39" s="6" t="str">
        <f t="array" ref="C39:E39">Parameters!E110:G110</f>
        <v>Stop operation</v>
      </c>
      <c r="D39" s="175" t="str">
        <v>-</v>
      </c>
      <c r="E39" s="35">
        <v>2048</v>
      </c>
      <c r="F39" s="5"/>
      <c r="G39" s="14"/>
      <c r="H39" s="14"/>
      <c r="I39" s="14"/>
      <c r="J39" s="14"/>
      <c r="K39" s="14"/>
      <c r="L39" s="14"/>
      <c r="M39" s="14"/>
      <c r="N39" s="14"/>
      <c r="O39" s="14"/>
      <c r="P39" s="14"/>
      <c r="Q39" s="14"/>
      <c r="R39" s="14"/>
      <c r="S39" s="14"/>
      <c r="T39" s="14"/>
      <c r="U39" s="14"/>
      <c r="V39" s="14"/>
      <c r="W39" s="14"/>
      <c r="X39" s="14"/>
      <c r="Y39" s="14"/>
      <c r="Z39" s="14"/>
      <c r="AA39" s="15"/>
      <c r="AB39" s="3"/>
      <c r="AC39" s="3"/>
      <c r="AD39" s="3"/>
      <c r="AE39" s="3"/>
      <c r="AF39" s="3"/>
      <c r="AG39" s="3"/>
      <c r="AH39" s="3"/>
      <c r="AI39" s="3"/>
      <c r="AJ39" s="3"/>
      <c r="AK39" s="3"/>
      <c r="AL39" s="3"/>
      <c r="AM39" s="3"/>
      <c r="AN39" s="3"/>
      <c r="AO39" s="3"/>
    </row>
    <row r="40" spans="2:41" s="171" customFormat="1" x14ac:dyDescent="0.25">
      <c r="B40" s="13"/>
      <c r="C40" s="6"/>
      <c r="D40" s="175"/>
      <c r="E40" s="35"/>
      <c r="F40" s="5"/>
      <c r="G40" s="14"/>
      <c r="H40" s="14"/>
      <c r="I40" s="14"/>
      <c r="J40" s="14"/>
      <c r="K40" s="14"/>
      <c r="L40" s="14"/>
      <c r="M40" s="14"/>
      <c r="N40" s="14"/>
      <c r="O40" s="14"/>
      <c r="P40" s="14"/>
      <c r="Q40" s="14"/>
      <c r="R40" s="14"/>
      <c r="S40" s="14"/>
      <c r="T40" s="14"/>
      <c r="U40" s="14"/>
      <c r="V40" s="14"/>
      <c r="W40" s="14"/>
      <c r="X40" s="14"/>
      <c r="Y40" s="14"/>
      <c r="Z40" s="14"/>
      <c r="AA40" s="15"/>
      <c r="AB40" s="3"/>
      <c r="AC40" s="3"/>
      <c r="AD40" s="3"/>
      <c r="AE40" s="3"/>
      <c r="AF40" s="3"/>
      <c r="AG40" s="3"/>
      <c r="AH40" s="3"/>
      <c r="AI40" s="3"/>
      <c r="AJ40" s="3"/>
      <c r="AK40" s="3"/>
      <c r="AL40" s="3"/>
      <c r="AM40" s="3"/>
      <c r="AN40" s="3"/>
      <c r="AO40" s="3"/>
    </row>
    <row r="41" spans="2:41" s="171" customFormat="1" x14ac:dyDescent="0.25">
      <c r="B41" s="13"/>
      <c r="C41" s="6"/>
      <c r="D41" s="175"/>
      <c r="E41" s="35"/>
      <c r="F41" s="158"/>
      <c r="G41" s="17"/>
      <c r="H41" s="17"/>
      <c r="I41" s="14"/>
      <c r="J41" s="14"/>
      <c r="K41" s="14"/>
      <c r="L41" s="14"/>
      <c r="M41" s="14"/>
      <c r="N41" s="14"/>
      <c r="O41" s="14"/>
      <c r="P41" s="14"/>
      <c r="Q41" s="14"/>
      <c r="R41" s="14"/>
      <c r="S41" s="14"/>
      <c r="T41" s="14"/>
      <c r="U41" s="14"/>
      <c r="V41" s="14"/>
      <c r="W41" s="14"/>
      <c r="X41" s="14"/>
      <c r="Y41" s="14"/>
      <c r="Z41" s="14"/>
      <c r="AA41" s="15"/>
      <c r="AB41" s="3"/>
      <c r="AC41" s="3"/>
      <c r="AD41" s="3"/>
      <c r="AE41" s="3"/>
      <c r="AF41" s="3"/>
      <c r="AG41" s="3"/>
      <c r="AH41" s="3"/>
      <c r="AI41" s="3"/>
      <c r="AJ41" s="3"/>
      <c r="AK41" s="3"/>
      <c r="AL41" s="3"/>
      <c r="AM41" s="3"/>
      <c r="AN41" s="3"/>
      <c r="AO41" s="3"/>
    </row>
    <row r="42" spans="2:41" s="171" customFormat="1" x14ac:dyDescent="0.25">
      <c r="B42" s="13"/>
      <c r="C42" s="6"/>
      <c r="D42" s="175"/>
      <c r="E42" s="35"/>
      <c r="F42" s="158"/>
      <c r="G42" s="158"/>
      <c r="H42" s="158"/>
      <c r="I42" s="14"/>
      <c r="J42" s="14"/>
      <c r="K42" s="14"/>
      <c r="L42" s="14"/>
      <c r="M42" s="14"/>
      <c r="N42" s="14"/>
      <c r="O42" s="14"/>
      <c r="P42" s="14"/>
      <c r="Q42" s="14"/>
      <c r="R42" s="14"/>
      <c r="S42" s="14"/>
      <c r="T42" s="14"/>
      <c r="U42" s="14"/>
      <c r="V42" s="14"/>
      <c r="W42" s="14"/>
      <c r="X42" s="14"/>
      <c r="Y42" s="14"/>
      <c r="Z42" s="14"/>
      <c r="AA42" s="15"/>
      <c r="AB42" s="3"/>
      <c r="AC42" s="3"/>
      <c r="AD42" s="3"/>
      <c r="AE42" s="3"/>
      <c r="AF42" s="3"/>
      <c r="AG42" s="3"/>
      <c r="AH42" s="3"/>
      <c r="AI42" s="3"/>
      <c r="AJ42" s="3"/>
      <c r="AK42" s="3"/>
      <c r="AL42" s="3"/>
      <c r="AM42" s="3"/>
      <c r="AN42" s="3"/>
      <c r="AO42" s="3"/>
    </row>
    <row r="43" spans="2:41" s="171" customFormat="1" x14ac:dyDescent="0.25">
      <c r="B43" s="13"/>
      <c r="C43" s="6"/>
      <c r="D43" s="175"/>
      <c r="E43" s="35"/>
      <c r="F43" s="5"/>
      <c r="G43" s="5"/>
      <c r="H43" s="14"/>
      <c r="I43" s="14"/>
      <c r="J43" s="14"/>
      <c r="K43" s="14"/>
      <c r="L43" s="14"/>
      <c r="M43" s="14"/>
      <c r="N43" s="14"/>
      <c r="O43" s="14"/>
      <c r="P43" s="14"/>
      <c r="Q43" s="14"/>
      <c r="R43" s="14"/>
      <c r="S43" s="14"/>
      <c r="T43" s="14"/>
      <c r="U43" s="14"/>
      <c r="V43" s="14"/>
      <c r="W43" s="14"/>
      <c r="X43" s="14"/>
      <c r="Y43" s="14"/>
      <c r="Z43" s="14"/>
      <c r="AA43" s="15"/>
      <c r="AB43" s="3"/>
      <c r="AC43" s="3"/>
      <c r="AD43" s="3"/>
      <c r="AE43" s="3"/>
      <c r="AF43" s="3"/>
      <c r="AG43" s="3"/>
      <c r="AH43" s="3"/>
      <c r="AI43" s="3"/>
      <c r="AJ43" s="3"/>
      <c r="AK43" s="3"/>
      <c r="AL43" s="3"/>
      <c r="AM43" s="3"/>
      <c r="AN43" s="3"/>
      <c r="AO43" s="3"/>
    </row>
    <row r="44" spans="2:41" s="171" customFormat="1" x14ac:dyDescent="0.25">
      <c r="B44" s="13"/>
      <c r="C44" s="6"/>
      <c r="D44" s="175"/>
      <c r="E44" s="35"/>
      <c r="F44" s="185"/>
      <c r="G44" s="185"/>
      <c r="H44" s="185"/>
      <c r="I44" s="14"/>
      <c r="J44" s="14"/>
      <c r="K44" s="14"/>
      <c r="L44" s="14"/>
      <c r="M44" s="14"/>
      <c r="N44" s="14"/>
      <c r="O44" s="14"/>
      <c r="P44" s="14"/>
      <c r="Q44" s="14"/>
      <c r="R44" s="14"/>
      <c r="S44" s="14"/>
      <c r="T44" s="14"/>
      <c r="U44" s="14"/>
      <c r="V44" s="14"/>
      <c r="W44" s="14"/>
      <c r="X44" s="14"/>
      <c r="Y44" s="14"/>
      <c r="Z44" s="14"/>
      <c r="AA44" s="15"/>
      <c r="AB44" s="3"/>
      <c r="AC44" s="3"/>
      <c r="AD44" s="3"/>
      <c r="AE44" s="3"/>
      <c r="AF44" s="3"/>
      <c r="AG44" s="3"/>
      <c r="AH44" s="3"/>
      <c r="AI44" s="3"/>
      <c r="AJ44" s="3"/>
      <c r="AK44" s="3"/>
      <c r="AL44" s="3"/>
      <c r="AM44" s="3"/>
      <c r="AN44" s="3"/>
      <c r="AO44" s="3"/>
    </row>
    <row r="45" spans="2:41" s="171" customFormat="1" x14ac:dyDescent="0.25">
      <c r="B45" s="13"/>
      <c r="C45" s="36"/>
      <c r="D45" s="1085"/>
      <c r="E45" s="38"/>
      <c r="F45" s="134"/>
      <c r="G45" s="134"/>
      <c r="H45" s="14"/>
      <c r="I45" s="14"/>
      <c r="J45" s="14"/>
      <c r="K45" s="14"/>
      <c r="L45" s="14"/>
      <c r="M45" s="14"/>
      <c r="N45" s="14"/>
      <c r="O45" s="14"/>
      <c r="P45" s="14"/>
      <c r="Q45" s="14"/>
      <c r="R45" s="14"/>
      <c r="S45" s="14"/>
      <c r="T45" s="14"/>
      <c r="U45" s="14"/>
      <c r="V45" s="14"/>
      <c r="W45" s="14"/>
      <c r="X45" s="14"/>
      <c r="Y45" s="14"/>
      <c r="Z45" s="14"/>
      <c r="AA45" s="15"/>
      <c r="AB45" s="3"/>
      <c r="AC45" s="3"/>
      <c r="AD45" s="3"/>
      <c r="AE45" s="3"/>
      <c r="AF45" s="3"/>
      <c r="AG45" s="3"/>
      <c r="AH45" s="3"/>
      <c r="AI45" s="3"/>
      <c r="AJ45" s="3"/>
      <c r="AK45" s="3"/>
      <c r="AL45" s="3"/>
      <c r="AM45" s="3"/>
      <c r="AN45" s="3"/>
      <c r="AO45" s="3"/>
    </row>
    <row r="46" spans="2:41" s="171" customFormat="1" ht="18.75" x14ac:dyDescent="0.3">
      <c r="B46" s="67"/>
      <c r="C46" s="5"/>
      <c r="D46" s="5"/>
      <c r="E46" s="5"/>
      <c r="F46" s="134"/>
      <c r="G46" s="134"/>
      <c r="H46" s="14"/>
      <c r="I46" s="14"/>
      <c r="J46" s="14"/>
      <c r="K46" s="14"/>
      <c r="L46" s="14"/>
      <c r="M46" s="14"/>
      <c r="N46" s="14"/>
      <c r="O46" s="14"/>
      <c r="P46" s="14"/>
      <c r="Q46" s="14"/>
      <c r="R46" s="14"/>
      <c r="S46" s="14"/>
      <c r="T46" s="14"/>
      <c r="U46" s="14"/>
      <c r="V46" s="14"/>
      <c r="W46" s="14"/>
      <c r="X46" s="14"/>
      <c r="Y46" s="14"/>
      <c r="Z46" s="14"/>
      <c r="AA46" s="15"/>
      <c r="AB46" s="3"/>
      <c r="AC46" s="3"/>
      <c r="AD46" s="3"/>
      <c r="AE46" s="3"/>
      <c r="AF46" s="3"/>
      <c r="AG46" s="3"/>
      <c r="AH46" s="3"/>
      <c r="AI46" s="3"/>
      <c r="AJ46" s="3"/>
      <c r="AK46" s="3"/>
      <c r="AL46" s="3"/>
      <c r="AM46" s="3"/>
      <c r="AN46" s="3"/>
      <c r="AO46" s="3"/>
    </row>
    <row r="47" spans="2:41" s="171" customFormat="1" x14ac:dyDescent="0.25">
      <c r="B47" s="13"/>
      <c r="C47" s="39" t="s">
        <v>1570</v>
      </c>
      <c r="D47" s="40"/>
      <c r="E47" s="41"/>
      <c r="F47" s="14"/>
      <c r="G47" s="14"/>
      <c r="H47" s="14"/>
      <c r="I47" s="14"/>
      <c r="J47" s="14"/>
      <c r="K47" s="14"/>
      <c r="L47" s="14"/>
      <c r="M47" s="14"/>
      <c r="N47" s="14"/>
      <c r="O47" s="14"/>
      <c r="P47" s="14"/>
      <c r="Q47" s="14"/>
      <c r="R47" s="14"/>
      <c r="S47" s="14"/>
      <c r="T47" s="14"/>
      <c r="U47" s="14"/>
      <c r="V47" s="14"/>
      <c r="W47" s="14"/>
      <c r="X47" s="14"/>
      <c r="Y47" s="14"/>
      <c r="Z47" s="14"/>
      <c r="AA47" s="15"/>
      <c r="AB47" s="3"/>
      <c r="AC47" s="3"/>
      <c r="AD47" s="3"/>
      <c r="AE47" s="3"/>
      <c r="AF47" s="3"/>
      <c r="AG47" s="3"/>
      <c r="AH47" s="3"/>
      <c r="AI47" s="3"/>
      <c r="AJ47" s="3"/>
      <c r="AK47" s="3"/>
      <c r="AL47" s="3"/>
      <c r="AM47" s="3"/>
      <c r="AN47" s="3"/>
      <c r="AO47" s="3"/>
    </row>
    <row r="48" spans="2:41" s="171" customFormat="1" x14ac:dyDescent="0.25">
      <c r="B48" s="13"/>
      <c r="C48" s="14"/>
      <c r="D48" s="14"/>
      <c r="E48" s="14"/>
      <c r="F48" s="14"/>
      <c r="G48" s="14"/>
      <c r="H48" s="14"/>
      <c r="I48" s="14"/>
      <c r="J48" s="14"/>
      <c r="K48" s="14"/>
      <c r="L48" s="14"/>
      <c r="M48" s="14"/>
      <c r="N48" s="14"/>
      <c r="O48" s="14"/>
      <c r="P48" s="14"/>
      <c r="Q48" s="14"/>
      <c r="R48" s="14"/>
      <c r="S48" s="14"/>
      <c r="T48" s="14"/>
      <c r="U48" s="14"/>
      <c r="V48" s="14"/>
      <c r="W48" s="14"/>
      <c r="X48" s="14"/>
      <c r="Y48" s="14"/>
      <c r="Z48" s="14"/>
      <c r="AA48" s="15"/>
      <c r="AB48" s="3"/>
      <c r="AC48" s="3"/>
      <c r="AD48" s="3"/>
      <c r="AE48" s="3"/>
      <c r="AF48" s="3"/>
      <c r="AG48" s="3"/>
      <c r="AH48" s="3"/>
      <c r="AI48" s="3"/>
      <c r="AJ48" s="3"/>
      <c r="AK48" s="3"/>
      <c r="AL48" s="3"/>
      <c r="AM48" s="3"/>
      <c r="AN48" s="3"/>
      <c r="AO48" s="3"/>
    </row>
    <row r="49" spans="2:41" s="171" customFormat="1" x14ac:dyDescent="0.25">
      <c r="B49" s="13"/>
      <c r="C49" s="32" t="s">
        <v>121</v>
      </c>
      <c r="D49" s="33"/>
      <c r="E49" s="34"/>
      <c r="F49" s="14"/>
      <c r="G49" s="14"/>
      <c r="H49" s="14"/>
      <c r="I49" s="14"/>
      <c r="J49" s="14"/>
      <c r="K49" s="14"/>
      <c r="L49" s="14"/>
      <c r="M49" s="14"/>
      <c r="N49" s="14"/>
      <c r="O49" s="14"/>
      <c r="P49" s="14"/>
      <c r="Q49" s="14"/>
      <c r="R49" s="14"/>
      <c r="S49" s="14"/>
      <c r="T49" s="14"/>
      <c r="U49" s="14"/>
      <c r="V49" s="14"/>
      <c r="W49" s="14"/>
      <c r="X49" s="14"/>
      <c r="Y49" s="14"/>
      <c r="Z49" s="14"/>
      <c r="AA49" s="15"/>
      <c r="AB49" s="3"/>
      <c r="AC49" s="3"/>
      <c r="AD49" s="3"/>
      <c r="AE49" s="3"/>
      <c r="AF49" s="3"/>
      <c r="AG49" s="3"/>
      <c r="AH49" s="3"/>
      <c r="AI49" s="3"/>
      <c r="AJ49" s="3"/>
      <c r="AK49" s="3"/>
      <c r="AL49" s="3"/>
      <c r="AM49" s="3"/>
      <c r="AN49" s="3"/>
      <c r="AO49" s="3"/>
    </row>
    <row r="50" spans="2:41" s="171" customFormat="1" x14ac:dyDescent="0.25">
      <c r="B50" s="13"/>
      <c r="C50" s="6"/>
      <c r="D50" s="348"/>
      <c r="E50" s="704"/>
      <c r="F50" s="14"/>
      <c r="G50" s="14"/>
      <c r="H50" s="14"/>
      <c r="I50" s="14"/>
      <c r="J50" s="14"/>
      <c r="K50" s="14"/>
      <c r="L50" s="14"/>
      <c r="M50" s="14"/>
      <c r="N50" s="14"/>
      <c r="O50" s="14"/>
      <c r="P50" s="14"/>
      <c r="Q50" s="14"/>
      <c r="R50" s="14"/>
      <c r="S50" s="14"/>
      <c r="T50" s="14"/>
      <c r="U50" s="14"/>
      <c r="V50" s="14"/>
      <c r="W50" s="14"/>
      <c r="X50" s="14"/>
      <c r="Y50" s="14"/>
      <c r="Z50" s="14"/>
      <c r="AA50" s="15"/>
      <c r="AB50" s="3"/>
      <c r="AC50" s="3"/>
      <c r="AD50" s="3"/>
      <c r="AE50" s="3"/>
      <c r="AF50" s="3"/>
      <c r="AG50" s="3"/>
      <c r="AH50" s="3"/>
      <c r="AI50" s="3"/>
      <c r="AJ50" s="3"/>
      <c r="AK50" s="3"/>
      <c r="AL50" s="3"/>
      <c r="AM50" s="3"/>
      <c r="AN50" s="3"/>
      <c r="AO50" s="3"/>
    </row>
    <row r="51" spans="2:41" s="171" customFormat="1" x14ac:dyDescent="0.25">
      <c r="B51" s="13"/>
      <c r="C51" s="6"/>
      <c r="D51" s="348"/>
      <c r="E51" s="705"/>
      <c r="F51" s="14"/>
      <c r="G51" s="14"/>
      <c r="H51" s="14"/>
      <c r="I51" s="14"/>
      <c r="J51" s="14"/>
      <c r="K51" s="14"/>
      <c r="L51" s="14"/>
      <c r="M51" s="14"/>
      <c r="N51" s="14"/>
      <c r="O51" s="14"/>
      <c r="P51" s="14"/>
      <c r="Q51" s="14"/>
      <c r="R51" s="14"/>
      <c r="S51" s="14"/>
      <c r="T51" s="14"/>
      <c r="U51" s="14"/>
      <c r="V51" s="14"/>
      <c r="W51" s="14"/>
      <c r="X51" s="14"/>
      <c r="Y51" s="14"/>
      <c r="Z51" s="14"/>
      <c r="AA51" s="15"/>
      <c r="AB51" s="3"/>
      <c r="AC51" s="3"/>
      <c r="AD51" s="3"/>
      <c r="AE51" s="3"/>
      <c r="AF51" s="3"/>
      <c r="AG51" s="3"/>
      <c r="AH51" s="3"/>
      <c r="AI51" s="3"/>
      <c r="AJ51" s="3"/>
      <c r="AK51" s="3"/>
      <c r="AL51" s="3"/>
      <c r="AM51" s="3"/>
      <c r="AN51" s="3"/>
      <c r="AO51" s="3"/>
    </row>
    <row r="52" spans="2:41" s="171" customFormat="1" x14ac:dyDescent="0.25">
      <c r="B52" s="13"/>
      <c r="C52" s="6"/>
      <c r="D52" s="348"/>
      <c r="E52" s="706"/>
      <c r="F52" s="14"/>
      <c r="G52" s="14"/>
      <c r="H52" s="14"/>
      <c r="I52" s="14"/>
      <c r="J52" s="14"/>
      <c r="K52" s="14"/>
      <c r="L52" s="14"/>
      <c r="M52" s="14"/>
      <c r="N52" s="14"/>
      <c r="O52" s="14"/>
      <c r="P52" s="14"/>
      <c r="Q52" s="14"/>
      <c r="R52" s="14"/>
      <c r="S52" s="14"/>
      <c r="T52" s="14"/>
      <c r="U52" s="14"/>
      <c r="V52" s="14"/>
      <c r="W52" s="14"/>
      <c r="X52" s="14"/>
      <c r="Y52" s="14"/>
      <c r="Z52" s="14"/>
      <c r="AA52" s="15"/>
      <c r="AB52" s="3"/>
      <c r="AC52" s="3"/>
      <c r="AD52" s="3"/>
      <c r="AE52" s="3"/>
      <c r="AF52" s="3"/>
      <c r="AG52" s="3"/>
      <c r="AH52" s="3"/>
      <c r="AI52" s="3"/>
      <c r="AJ52" s="3"/>
      <c r="AK52" s="3"/>
      <c r="AL52" s="3"/>
      <c r="AM52" s="3"/>
      <c r="AN52" s="3"/>
      <c r="AO52" s="3"/>
    </row>
    <row r="53" spans="2:41" s="171" customFormat="1" x14ac:dyDescent="0.25">
      <c r="B53" s="13"/>
      <c r="C53" s="6"/>
      <c r="D53" s="348"/>
      <c r="E53" s="1086"/>
      <c r="F53" s="14"/>
      <c r="G53" s="14"/>
      <c r="H53" s="14"/>
      <c r="I53" s="14"/>
      <c r="J53" s="14"/>
      <c r="K53" s="14"/>
      <c r="L53" s="14"/>
      <c r="M53" s="14"/>
      <c r="N53" s="14"/>
      <c r="O53" s="14"/>
      <c r="P53" s="14"/>
      <c r="Q53" s="14"/>
      <c r="R53" s="14"/>
      <c r="S53" s="14"/>
      <c r="T53" s="14"/>
      <c r="U53" s="14"/>
      <c r="V53" s="14"/>
      <c r="W53" s="14"/>
      <c r="X53" s="14"/>
      <c r="Y53" s="14"/>
      <c r="Z53" s="14"/>
      <c r="AA53" s="15"/>
      <c r="AB53" s="3"/>
      <c r="AC53" s="3"/>
      <c r="AD53" s="3"/>
      <c r="AE53" s="3"/>
      <c r="AF53" s="3"/>
      <c r="AG53" s="3"/>
      <c r="AH53" s="3"/>
      <c r="AI53" s="3"/>
      <c r="AJ53" s="3"/>
      <c r="AK53" s="3"/>
      <c r="AL53" s="3"/>
      <c r="AM53" s="3"/>
      <c r="AN53" s="3"/>
      <c r="AO53" s="3"/>
    </row>
    <row r="54" spans="2:41" s="171" customFormat="1" x14ac:dyDescent="0.25">
      <c r="B54" s="13"/>
      <c r="C54" s="6"/>
      <c r="D54" s="291"/>
      <c r="E54" s="1086"/>
      <c r="F54" s="14"/>
      <c r="G54" s="14"/>
      <c r="H54" s="14"/>
      <c r="I54" s="14"/>
      <c r="J54" s="14"/>
      <c r="K54" s="14"/>
      <c r="L54" s="14"/>
      <c r="M54" s="14"/>
      <c r="N54" s="14"/>
      <c r="O54" s="14"/>
      <c r="P54" s="14"/>
      <c r="Q54" s="14"/>
      <c r="R54" s="14"/>
      <c r="S54" s="14"/>
      <c r="T54" s="14"/>
      <c r="U54" s="14"/>
      <c r="V54" s="14"/>
      <c r="W54" s="14"/>
      <c r="X54" s="14"/>
      <c r="Y54" s="14"/>
      <c r="Z54" s="14"/>
      <c r="AA54" s="15"/>
      <c r="AB54" s="3"/>
      <c r="AC54" s="3"/>
      <c r="AD54" s="3"/>
      <c r="AE54" s="3"/>
      <c r="AF54" s="3"/>
      <c r="AG54" s="3"/>
      <c r="AH54" s="3"/>
      <c r="AI54" s="3"/>
      <c r="AJ54" s="3"/>
      <c r="AK54" s="3"/>
      <c r="AL54" s="3"/>
      <c r="AM54" s="3"/>
      <c r="AN54" s="3"/>
      <c r="AO54" s="3"/>
    </row>
    <row r="55" spans="2:41" s="171" customFormat="1" x14ac:dyDescent="0.25">
      <c r="B55" s="13"/>
      <c r="C55" s="36"/>
      <c r="D55" s="37"/>
      <c r="E55" s="1087"/>
      <c r="F55" s="14"/>
      <c r="G55" s="14"/>
      <c r="H55" s="14"/>
      <c r="I55" s="14"/>
      <c r="J55" s="14"/>
      <c r="K55" s="14"/>
      <c r="L55" s="14"/>
      <c r="M55" s="14"/>
      <c r="N55" s="14"/>
      <c r="O55" s="14"/>
      <c r="P55" s="14"/>
      <c r="Q55" s="14"/>
      <c r="R55" s="14"/>
      <c r="S55" s="14"/>
      <c r="T55" s="14"/>
      <c r="U55" s="14"/>
      <c r="V55" s="14"/>
      <c r="W55" s="14"/>
      <c r="X55" s="14"/>
      <c r="Y55" s="14"/>
      <c r="Z55" s="14"/>
      <c r="AA55" s="15"/>
      <c r="AB55" s="3"/>
      <c r="AC55" s="3"/>
      <c r="AD55" s="3"/>
      <c r="AE55" s="3"/>
      <c r="AF55" s="3"/>
      <c r="AG55" s="3"/>
      <c r="AH55" s="3"/>
      <c r="AI55" s="3"/>
      <c r="AJ55" s="3"/>
      <c r="AK55" s="3"/>
      <c r="AL55" s="3"/>
      <c r="AM55" s="3"/>
      <c r="AN55" s="3"/>
      <c r="AO55" s="3"/>
    </row>
    <row r="56" spans="2:41" s="171" customFormat="1" x14ac:dyDescent="0.25">
      <c r="B56" s="13"/>
      <c r="C56" s="5"/>
      <c r="D56" s="5"/>
      <c r="E56" s="5"/>
      <c r="F56" s="14"/>
      <c r="G56" s="14"/>
      <c r="H56" s="14"/>
      <c r="I56" s="14"/>
      <c r="J56" s="14"/>
      <c r="K56" s="14"/>
      <c r="L56" s="14"/>
      <c r="M56" s="14"/>
      <c r="N56" s="14"/>
      <c r="O56" s="14"/>
      <c r="P56" s="14"/>
      <c r="Q56" s="14"/>
      <c r="R56" s="14"/>
      <c r="S56" s="14"/>
      <c r="T56" s="14"/>
      <c r="U56" s="14"/>
      <c r="V56" s="14"/>
      <c r="W56" s="14"/>
      <c r="X56" s="14"/>
      <c r="Y56" s="14"/>
      <c r="Z56" s="14"/>
      <c r="AA56" s="15"/>
      <c r="AB56" s="3"/>
      <c r="AC56" s="3"/>
      <c r="AD56" s="3"/>
      <c r="AE56" s="3"/>
      <c r="AF56" s="3"/>
      <c r="AG56" s="3"/>
      <c r="AH56" s="3"/>
      <c r="AI56" s="3"/>
      <c r="AJ56" s="3"/>
      <c r="AK56" s="3"/>
      <c r="AL56" s="3"/>
      <c r="AM56" s="3"/>
      <c r="AN56" s="3"/>
      <c r="AO56" s="3"/>
    </row>
    <row r="57" spans="2:41" s="171" customFormat="1" x14ac:dyDescent="0.25">
      <c r="B57" s="13"/>
      <c r="C57" s="39" t="s">
        <v>1571</v>
      </c>
      <c r="D57" s="40"/>
      <c r="E57" s="41"/>
      <c r="F57" s="14"/>
      <c r="G57" s="14"/>
      <c r="H57" s="14"/>
      <c r="I57" s="14"/>
      <c r="J57" s="14"/>
      <c r="K57" s="14"/>
      <c r="L57" s="14"/>
      <c r="M57" s="14"/>
      <c r="N57" s="14"/>
      <c r="O57" s="14"/>
      <c r="P57" s="14"/>
      <c r="Q57" s="14"/>
      <c r="R57" s="14"/>
      <c r="S57" s="14"/>
      <c r="T57" s="14"/>
      <c r="U57" s="14"/>
      <c r="V57" s="14"/>
      <c r="W57" s="14"/>
      <c r="X57" s="14"/>
      <c r="Y57" s="14"/>
      <c r="Z57" s="14"/>
      <c r="AA57" s="15"/>
      <c r="AB57" s="3"/>
      <c r="AC57" s="3"/>
      <c r="AD57" s="3"/>
      <c r="AE57" s="3"/>
      <c r="AF57" s="3"/>
      <c r="AG57" s="3"/>
      <c r="AH57" s="3"/>
      <c r="AI57" s="3"/>
      <c r="AJ57" s="3"/>
      <c r="AK57" s="3"/>
      <c r="AL57" s="3"/>
      <c r="AM57" s="3"/>
      <c r="AN57" s="3"/>
      <c r="AO57" s="3"/>
    </row>
    <row r="58" spans="2:41" s="171" customFormat="1" x14ac:dyDescent="0.25">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5"/>
      <c r="AB58" s="3"/>
      <c r="AC58" s="3"/>
      <c r="AD58" s="3"/>
      <c r="AE58" s="3"/>
      <c r="AF58" s="3"/>
      <c r="AG58" s="3"/>
      <c r="AH58" s="3"/>
      <c r="AI58" s="3"/>
      <c r="AJ58" s="3"/>
      <c r="AK58" s="3"/>
      <c r="AL58" s="3"/>
      <c r="AM58" s="3"/>
      <c r="AN58" s="3"/>
      <c r="AO58" s="3"/>
    </row>
    <row r="59" spans="2:41" s="171" customFormat="1" ht="15" customHeight="1" x14ac:dyDescent="0.3">
      <c r="B59" s="67"/>
      <c r="C59" s="32" t="s">
        <v>121</v>
      </c>
      <c r="D59" s="33"/>
      <c r="E59" s="34">
        <f>E39</f>
        <v>2048</v>
      </c>
      <c r="F59" s="14"/>
      <c r="G59" s="14"/>
      <c r="H59" s="14"/>
      <c r="I59" s="14"/>
      <c r="J59" s="14"/>
      <c r="K59" s="14"/>
      <c r="L59" s="14"/>
      <c r="M59" s="14"/>
      <c r="N59" s="14"/>
      <c r="O59" s="14"/>
      <c r="P59" s="14"/>
      <c r="Q59" s="14"/>
      <c r="R59" s="14"/>
      <c r="S59" s="14"/>
      <c r="T59" s="14"/>
      <c r="U59" s="14"/>
      <c r="V59" s="14"/>
      <c r="W59" s="14"/>
      <c r="X59" s="14"/>
      <c r="Y59" s="14"/>
      <c r="Z59" s="14"/>
      <c r="AA59" s="15"/>
      <c r="AB59" s="3"/>
      <c r="AC59" s="3"/>
      <c r="AD59" s="3"/>
      <c r="AE59" s="3"/>
      <c r="AF59" s="3"/>
      <c r="AG59" s="3"/>
      <c r="AH59" s="3"/>
      <c r="AI59" s="3"/>
      <c r="AJ59" s="3"/>
      <c r="AK59" s="3"/>
      <c r="AL59" s="3"/>
      <c r="AM59" s="3"/>
      <c r="AN59" s="3"/>
      <c r="AO59" s="3"/>
    </row>
    <row r="60" spans="2:41" s="171" customFormat="1" x14ac:dyDescent="0.25">
      <c r="B60" s="13"/>
      <c r="C60" s="6" t="s">
        <v>1572</v>
      </c>
      <c r="D60" s="348" t="s">
        <v>1573</v>
      </c>
      <c r="E60" s="1174">
        <f>IF(E7,E14*(E26+E27),0)/1000</f>
        <v>0</v>
      </c>
      <c r="F60" s="14"/>
      <c r="G60" s="14"/>
      <c r="H60" s="14"/>
      <c r="I60" s="14"/>
      <c r="J60" s="14"/>
      <c r="K60" s="14"/>
      <c r="L60" s="14"/>
      <c r="M60" s="14"/>
      <c r="N60" s="14"/>
      <c r="O60" s="14"/>
      <c r="P60" s="14"/>
      <c r="Q60" s="14"/>
      <c r="R60" s="14"/>
      <c r="S60" s="14"/>
      <c r="T60" s="14"/>
      <c r="U60" s="14"/>
      <c r="V60" s="14"/>
      <c r="W60" s="14"/>
      <c r="X60" s="14"/>
      <c r="Y60" s="14"/>
      <c r="Z60" s="14"/>
      <c r="AA60" s="15"/>
      <c r="AB60" s="3"/>
      <c r="AC60" s="3"/>
      <c r="AD60" s="3"/>
      <c r="AE60" s="3"/>
      <c r="AF60" s="3"/>
      <c r="AG60" s="3"/>
      <c r="AH60" s="3"/>
      <c r="AI60" s="3"/>
      <c r="AJ60" s="3"/>
      <c r="AK60" s="3"/>
      <c r="AL60" s="3"/>
      <c r="AM60" s="3"/>
      <c r="AN60" s="3"/>
      <c r="AO60" s="3"/>
    </row>
    <row r="61" spans="2:41" s="171" customFormat="1" x14ac:dyDescent="0.25">
      <c r="B61" s="13"/>
      <c r="C61" s="6" t="s">
        <v>1574</v>
      </c>
      <c r="D61" s="348" t="s">
        <v>1573</v>
      </c>
      <c r="E61" s="1174">
        <f>IF(E8,E15*E37,0)/1000</f>
        <v>15960</v>
      </c>
      <c r="F61" s="14"/>
      <c r="G61" s="14"/>
      <c r="H61" s="14"/>
      <c r="I61" s="14"/>
      <c r="J61" s="14"/>
      <c r="K61" s="14"/>
      <c r="L61" s="14"/>
      <c r="M61" s="14"/>
      <c r="N61" s="14"/>
      <c r="O61" s="14"/>
      <c r="P61" s="14"/>
      <c r="Q61" s="14"/>
      <c r="R61" s="14"/>
      <c r="S61" s="14"/>
      <c r="T61" s="14"/>
      <c r="U61" s="14"/>
      <c r="V61" s="14"/>
      <c r="W61" s="14"/>
      <c r="X61" s="14"/>
      <c r="Y61" s="14"/>
      <c r="Z61" s="14"/>
      <c r="AA61" s="15"/>
      <c r="AB61" s="3"/>
      <c r="AC61" s="3"/>
      <c r="AD61" s="3"/>
      <c r="AE61" s="3"/>
      <c r="AF61" s="3"/>
      <c r="AG61" s="3"/>
      <c r="AH61" s="3"/>
      <c r="AI61" s="3"/>
      <c r="AJ61" s="3"/>
      <c r="AK61" s="3"/>
      <c r="AL61" s="3"/>
      <c r="AM61" s="3"/>
      <c r="AN61" s="3"/>
      <c r="AO61" s="3"/>
    </row>
    <row r="62" spans="2:41" s="171" customFormat="1" x14ac:dyDescent="0.25">
      <c r="B62" s="13"/>
      <c r="C62" s="6" t="s">
        <v>1575</v>
      </c>
      <c r="D62" s="348" t="s">
        <v>1573</v>
      </c>
      <c r="E62" s="115">
        <f>IF(E9,E16*E38,0)/1000</f>
        <v>0</v>
      </c>
      <c r="F62" s="14"/>
      <c r="G62" s="14"/>
      <c r="H62" s="14"/>
      <c r="I62" s="14"/>
      <c r="J62" s="14"/>
      <c r="K62" s="14"/>
      <c r="L62" s="14"/>
      <c r="M62" s="14"/>
      <c r="N62" s="14"/>
      <c r="O62" s="14"/>
      <c r="P62" s="14"/>
      <c r="Q62" s="14"/>
      <c r="R62" s="14"/>
      <c r="S62" s="14"/>
      <c r="T62" s="14"/>
      <c r="U62" s="14"/>
      <c r="V62" s="14"/>
      <c r="W62" s="14"/>
      <c r="X62" s="14"/>
      <c r="Y62" s="14"/>
      <c r="Z62" s="14"/>
      <c r="AA62" s="15"/>
      <c r="AB62" s="3"/>
      <c r="AC62" s="3"/>
      <c r="AD62" s="3"/>
      <c r="AE62" s="3"/>
      <c r="AF62" s="3"/>
      <c r="AG62" s="3"/>
      <c r="AH62" s="3"/>
      <c r="AI62" s="3"/>
      <c r="AJ62" s="3"/>
      <c r="AK62" s="3"/>
      <c r="AL62" s="3"/>
      <c r="AM62" s="3"/>
      <c r="AN62" s="3"/>
      <c r="AO62" s="3"/>
    </row>
    <row r="63" spans="2:41" s="171" customFormat="1" x14ac:dyDescent="0.25">
      <c r="B63" s="13"/>
      <c r="C63" s="6" t="str">
        <f>C17</f>
        <v>Onshore disposal, remidiation and monitoring</v>
      </c>
      <c r="D63" s="348" t="s">
        <v>1573</v>
      </c>
      <c r="E63" s="1174">
        <f>E60*(E17/E19)+E61*(E17/E20)+E62*(E17/E21)</f>
        <v>651.42857142857133</v>
      </c>
      <c r="F63" s="14"/>
      <c r="G63" s="14"/>
      <c r="H63" s="14"/>
      <c r="I63" s="14"/>
      <c r="J63" s="14"/>
      <c r="K63" s="14"/>
      <c r="L63" s="14"/>
      <c r="M63" s="14"/>
      <c r="N63" s="14"/>
      <c r="O63" s="14"/>
      <c r="P63" s="14"/>
      <c r="Q63" s="14"/>
      <c r="R63" s="14"/>
      <c r="S63" s="14"/>
      <c r="T63" s="14"/>
      <c r="U63" s="14"/>
      <c r="V63" s="14"/>
      <c r="W63" s="14"/>
      <c r="X63" s="14"/>
      <c r="Y63" s="14"/>
      <c r="Z63" s="14"/>
      <c r="AA63" s="15"/>
      <c r="AB63" s="3"/>
      <c r="AC63" s="3"/>
      <c r="AD63" s="3"/>
      <c r="AE63" s="3"/>
      <c r="AF63" s="3"/>
      <c r="AG63" s="3"/>
      <c r="AH63" s="3"/>
      <c r="AI63" s="3"/>
      <c r="AJ63" s="3"/>
      <c r="AK63" s="3"/>
      <c r="AL63" s="3"/>
      <c r="AM63" s="3"/>
      <c r="AN63" s="3"/>
      <c r="AO63" s="3"/>
    </row>
    <row r="64" spans="2:41" s="171" customFormat="1" x14ac:dyDescent="0.25">
      <c r="B64" s="13"/>
      <c r="C64" s="6" t="str">
        <f>C18</f>
        <v>Project managment and facility running cost</v>
      </c>
      <c r="D64" s="291" t="s">
        <v>1573</v>
      </c>
      <c r="E64" s="1174">
        <f>E60*(E18/E19)+E61*(E18/E20)+E62*(E18/E21)</f>
        <v>5211.4285714285706</v>
      </c>
      <c r="F64" s="14"/>
      <c r="G64" s="14"/>
      <c r="H64" s="14"/>
      <c r="I64" s="14"/>
      <c r="J64" s="14"/>
      <c r="K64" s="14"/>
      <c r="L64" s="14"/>
      <c r="M64" s="14"/>
      <c r="N64" s="14"/>
      <c r="O64" s="14"/>
      <c r="P64" s="14"/>
      <c r="Q64" s="14"/>
      <c r="R64" s="14"/>
      <c r="S64" s="14"/>
      <c r="T64" s="14"/>
      <c r="U64" s="14"/>
      <c r="V64" s="14"/>
      <c r="W64" s="14"/>
      <c r="X64" s="14"/>
      <c r="Y64" s="14"/>
      <c r="Z64" s="14"/>
      <c r="AA64" s="15"/>
      <c r="AB64" s="3"/>
      <c r="AC64" s="3"/>
      <c r="AD64" s="3"/>
      <c r="AE64" s="3"/>
      <c r="AF64" s="3"/>
      <c r="AG64" s="3"/>
      <c r="AH64" s="3"/>
      <c r="AI64" s="3"/>
      <c r="AJ64" s="3"/>
      <c r="AK64" s="3"/>
      <c r="AL64" s="3"/>
      <c r="AM64" s="3"/>
      <c r="AN64" s="3"/>
      <c r="AO64" s="3"/>
    </row>
    <row r="65" spans="2:41" s="171" customFormat="1" x14ac:dyDescent="0.25">
      <c r="B65" s="13"/>
      <c r="C65" s="36" t="s">
        <v>1576</v>
      </c>
      <c r="D65" s="37" t="s">
        <v>1573</v>
      </c>
      <c r="E65" s="1175">
        <f>SUM(E60:E64)</f>
        <v>21822.857142857145</v>
      </c>
      <c r="F65" s="14"/>
      <c r="G65" s="14"/>
      <c r="H65" s="14"/>
      <c r="I65" s="14"/>
      <c r="J65" s="14"/>
      <c r="K65" s="14"/>
      <c r="L65" s="14"/>
      <c r="M65" s="14"/>
      <c r="N65" s="14"/>
      <c r="O65" s="14"/>
      <c r="P65" s="14"/>
      <c r="Q65" s="14"/>
      <c r="R65" s="14"/>
      <c r="S65" s="14"/>
      <c r="T65" s="14"/>
      <c r="U65" s="14"/>
      <c r="V65" s="14"/>
      <c r="W65" s="14"/>
      <c r="X65" s="14"/>
      <c r="Y65" s="14"/>
      <c r="Z65" s="14"/>
      <c r="AA65" s="15"/>
      <c r="AB65" s="3"/>
      <c r="AC65" s="3"/>
      <c r="AD65" s="3"/>
      <c r="AE65" s="3"/>
      <c r="AF65" s="3"/>
      <c r="AG65" s="3"/>
      <c r="AH65" s="3"/>
      <c r="AI65" s="3"/>
      <c r="AJ65" s="3"/>
      <c r="AK65" s="3"/>
      <c r="AL65" s="3"/>
      <c r="AM65" s="3"/>
      <c r="AN65" s="3"/>
      <c r="AO65" s="3"/>
    </row>
    <row r="66" spans="2:41" s="171" customFormat="1" x14ac:dyDescent="0.25">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5"/>
      <c r="AB66" s="3"/>
      <c r="AC66" s="3"/>
      <c r="AD66" s="3"/>
      <c r="AE66" s="3"/>
      <c r="AF66" s="3"/>
      <c r="AG66" s="3"/>
      <c r="AH66" s="3"/>
      <c r="AI66" s="3"/>
      <c r="AJ66" s="3"/>
      <c r="AK66" s="3"/>
      <c r="AL66" s="3"/>
      <c r="AM66" s="3"/>
      <c r="AN66" s="3"/>
      <c r="AO66" s="3"/>
    </row>
    <row r="67" spans="2:41" s="171" customFormat="1" x14ac:dyDescent="0.25">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5"/>
      <c r="AB67" s="3"/>
      <c r="AC67" s="3"/>
      <c r="AD67" s="3"/>
      <c r="AE67" s="3"/>
      <c r="AF67" s="3"/>
      <c r="AG67" s="3"/>
      <c r="AH67" s="3"/>
      <c r="AI67" s="3"/>
      <c r="AJ67" s="3"/>
      <c r="AK67" s="3"/>
      <c r="AL67" s="3"/>
      <c r="AM67" s="3"/>
      <c r="AN67" s="3"/>
      <c r="AO67" s="3"/>
    </row>
    <row r="68" spans="2:41" s="171" customFormat="1" x14ac:dyDescent="0.25">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5"/>
      <c r="AB68" s="3"/>
      <c r="AC68" s="3"/>
      <c r="AD68" s="3"/>
      <c r="AE68" s="3"/>
      <c r="AF68" s="3"/>
      <c r="AG68" s="3"/>
      <c r="AH68" s="3"/>
      <c r="AI68" s="3"/>
      <c r="AJ68" s="3"/>
      <c r="AK68" s="3"/>
      <c r="AL68" s="3"/>
      <c r="AM68" s="3"/>
      <c r="AN68" s="3"/>
      <c r="AO68" s="3"/>
    </row>
    <row r="69" spans="2:41" s="171" customFormat="1" x14ac:dyDescent="0.25">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5"/>
      <c r="AB69" s="3"/>
      <c r="AC69" s="3"/>
      <c r="AD69" s="3"/>
      <c r="AE69" s="3"/>
      <c r="AF69" s="3"/>
      <c r="AG69" s="3"/>
      <c r="AH69" s="3"/>
      <c r="AI69" s="3"/>
      <c r="AJ69" s="3"/>
      <c r="AK69" s="3"/>
      <c r="AL69" s="3"/>
      <c r="AM69" s="3"/>
      <c r="AN69" s="3"/>
      <c r="AO69" s="3"/>
    </row>
    <row r="70" spans="2:41" s="171" customFormat="1" x14ac:dyDescent="0.25">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5"/>
      <c r="AB70" s="3"/>
      <c r="AC70" s="3"/>
      <c r="AD70" s="3"/>
      <c r="AE70" s="3"/>
      <c r="AF70" s="3"/>
      <c r="AG70" s="3"/>
      <c r="AH70" s="3"/>
      <c r="AI70" s="3"/>
      <c r="AJ70" s="3"/>
      <c r="AK70" s="3"/>
      <c r="AL70" s="3"/>
      <c r="AM70" s="3"/>
      <c r="AN70" s="3"/>
      <c r="AO70" s="3"/>
    </row>
    <row r="71" spans="2:41" s="171" customFormat="1" x14ac:dyDescent="0.25">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5"/>
      <c r="AB71" s="3"/>
      <c r="AC71" s="3"/>
      <c r="AD71" s="3"/>
      <c r="AE71" s="3"/>
      <c r="AF71" s="3"/>
      <c r="AG71" s="3"/>
      <c r="AH71" s="3"/>
      <c r="AI71" s="3"/>
      <c r="AJ71" s="3"/>
      <c r="AK71" s="3"/>
      <c r="AL71" s="3"/>
      <c r="AM71" s="3"/>
      <c r="AN71" s="3"/>
      <c r="AO71" s="3"/>
    </row>
    <row r="72" spans="2:41" s="171" customFormat="1" x14ac:dyDescent="0.25">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5"/>
      <c r="AB72" s="3"/>
      <c r="AC72" s="3"/>
      <c r="AD72" s="3"/>
      <c r="AE72" s="3"/>
      <c r="AF72" s="3"/>
      <c r="AG72" s="3"/>
      <c r="AH72" s="3"/>
      <c r="AI72" s="3"/>
      <c r="AJ72" s="3"/>
      <c r="AK72" s="3"/>
      <c r="AL72" s="3"/>
      <c r="AM72" s="3"/>
      <c r="AN72" s="3"/>
      <c r="AO72" s="3"/>
    </row>
    <row r="73" spans="2:41" s="171" customFormat="1" x14ac:dyDescent="0.25">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5"/>
      <c r="AB73" s="3"/>
      <c r="AC73" s="3"/>
      <c r="AD73" s="3"/>
      <c r="AE73" s="3"/>
      <c r="AF73" s="3"/>
      <c r="AG73" s="3"/>
      <c r="AH73" s="3"/>
      <c r="AI73" s="3"/>
      <c r="AJ73" s="3"/>
      <c r="AK73" s="3"/>
      <c r="AL73" s="3"/>
      <c r="AM73" s="3"/>
      <c r="AN73" s="3"/>
      <c r="AO73" s="3"/>
    </row>
    <row r="74" spans="2:41" s="171" customFormat="1" x14ac:dyDescent="0.25">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5"/>
      <c r="AB74" s="3"/>
      <c r="AC74" s="3"/>
      <c r="AD74" s="3"/>
      <c r="AE74" s="3"/>
      <c r="AF74" s="3"/>
      <c r="AG74" s="3"/>
      <c r="AH74" s="3"/>
      <c r="AI74" s="3"/>
      <c r="AJ74" s="3"/>
      <c r="AK74" s="3"/>
      <c r="AL74" s="3"/>
      <c r="AM74" s="3"/>
      <c r="AN74" s="3"/>
      <c r="AO74" s="3"/>
    </row>
    <row r="75" spans="2:41" s="171" customFormat="1" x14ac:dyDescent="0.25">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5"/>
      <c r="AB75" s="3"/>
      <c r="AC75" s="3"/>
      <c r="AD75" s="3"/>
      <c r="AE75" s="3"/>
      <c r="AF75" s="3"/>
      <c r="AG75" s="3"/>
      <c r="AH75" s="3"/>
      <c r="AI75" s="3"/>
      <c r="AJ75" s="3"/>
      <c r="AK75" s="3"/>
      <c r="AL75" s="3"/>
      <c r="AM75" s="3"/>
      <c r="AN75" s="3"/>
      <c r="AO75" s="3"/>
    </row>
    <row r="76" spans="2:41" s="171" customFormat="1" x14ac:dyDescent="0.25">
      <c r="B76" s="13"/>
      <c r="C76" s="135"/>
      <c r="D76" s="14"/>
      <c r="E76" s="14"/>
      <c r="F76" s="14"/>
      <c r="G76" s="14"/>
      <c r="H76" s="14"/>
      <c r="I76" s="14"/>
      <c r="J76" s="14"/>
      <c r="K76" s="14"/>
      <c r="L76" s="14"/>
      <c r="M76" s="14"/>
      <c r="N76" s="14"/>
      <c r="O76" s="14"/>
      <c r="P76" s="14"/>
      <c r="Q76" s="14"/>
      <c r="R76" s="14"/>
      <c r="S76" s="14"/>
      <c r="T76" s="14"/>
      <c r="U76" s="14"/>
      <c r="V76" s="14"/>
      <c r="W76" s="14"/>
      <c r="X76" s="14"/>
      <c r="Y76" s="14"/>
      <c r="Z76" s="14"/>
      <c r="AA76" s="15"/>
      <c r="AB76" s="3"/>
      <c r="AC76" s="3"/>
      <c r="AD76" s="3"/>
      <c r="AE76" s="3"/>
      <c r="AF76" s="3"/>
      <c r="AG76" s="3"/>
      <c r="AH76" s="3"/>
      <c r="AI76" s="3"/>
      <c r="AJ76" s="3"/>
      <c r="AK76" s="3"/>
      <c r="AL76" s="3"/>
      <c r="AM76" s="3"/>
      <c r="AN76" s="3"/>
      <c r="AO76" s="3"/>
    </row>
    <row r="77" spans="2:41" s="171" customFormat="1" x14ac:dyDescent="0.25">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5"/>
      <c r="AB77" s="3"/>
      <c r="AC77" s="3"/>
      <c r="AD77" s="3"/>
      <c r="AE77" s="3"/>
      <c r="AF77" s="3"/>
      <c r="AG77" s="3"/>
      <c r="AH77" s="3"/>
      <c r="AI77" s="3"/>
      <c r="AJ77" s="3"/>
      <c r="AK77" s="3"/>
      <c r="AL77" s="3"/>
      <c r="AM77" s="3"/>
      <c r="AN77" s="3"/>
      <c r="AO77" s="3"/>
    </row>
    <row r="78" spans="2:41" s="171" customFormat="1" x14ac:dyDescent="0.25">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5"/>
      <c r="AB78" s="3"/>
      <c r="AC78" s="3"/>
      <c r="AD78" s="3"/>
      <c r="AE78" s="3"/>
      <c r="AF78" s="3"/>
      <c r="AG78" s="3"/>
      <c r="AH78" s="3"/>
      <c r="AI78" s="3"/>
      <c r="AJ78" s="3"/>
      <c r="AK78" s="3"/>
      <c r="AL78" s="3"/>
      <c r="AM78" s="3"/>
      <c r="AN78" s="3"/>
      <c r="AO78" s="3"/>
    </row>
    <row r="79" spans="2:41" s="171" customFormat="1" x14ac:dyDescent="0.25">
      <c r="B79" s="13"/>
      <c r="C79" s="135"/>
      <c r="D79" s="14"/>
      <c r="E79" s="14"/>
      <c r="F79" s="14"/>
      <c r="G79" s="14"/>
      <c r="H79" s="14"/>
      <c r="I79" s="14"/>
      <c r="J79" s="14"/>
      <c r="K79" s="14"/>
      <c r="L79" s="14"/>
      <c r="M79" s="14"/>
      <c r="N79" s="14"/>
      <c r="O79" s="14"/>
      <c r="P79" s="14"/>
      <c r="Q79" s="14"/>
      <c r="R79" s="14"/>
      <c r="S79" s="14"/>
      <c r="T79" s="14"/>
      <c r="U79" s="14"/>
      <c r="V79" s="14"/>
      <c r="W79" s="14"/>
      <c r="X79" s="14"/>
      <c r="Y79" s="14"/>
      <c r="Z79" s="14"/>
      <c r="AA79" s="15"/>
      <c r="AB79" s="3"/>
      <c r="AC79" s="3"/>
      <c r="AD79" s="3"/>
      <c r="AE79" s="3"/>
      <c r="AF79" s="3"/>
      <c r="AG79" s="3"/>
      <c r="AH79" s="3"/>
      <c r="AI79" s="3"/>
      <c r="AJ79" s="3"/>
      <c r="AK79" s="3"/>
      <c r="AL79" s="3"/>
      <c r="AM79" s="3"/>
      <c r="AN79" s="3"/>
      <c r="AO79" s="3"/>
    </row>
    <row r="80" spans="2:41" s="171" customFormat="1" ht="18.75" x14ac:dyDescent="0.3">
      <c r="B80" s="67"/>
      <c r="C80" s="14"/>
      <c r="D80" s="60"/>
      <c r="E80" s="56"/>
      <c r="F80" s="56"/>
      <c r="G80" s="14"/>
      <c r="H80" s="56"/>
      <c r="I80" s="74"/>
      <c r="J80" s="14"/>
      <c r="K80" s="14"/>
      <c r="L80" s="14"/>
      <c r="M80" s="14"/>
      <c r="N80" s="14"/>
      <c r="O80" s="14"/>
      <c r="P80" s="14"/>
      <c r="Q80" s="14"/>
      <c r="R80" s="14"/>
      <c r="S80" s="14"/>
      <c r="T80" s="14"/>
      <c r="U80" s="14"/>
      <c r="V80" s="14"/>
      <c r="W80" s="14"/>
      <c r="X80" s="14"/>
      <c r="Y80" s="14"/>
      <c r="Z80" s="14"/>
      <c r="AA80" s="15"/>
      <c r="AB80" s="3"/>
      <c r="AC80" s="3"/>
      <c r="AD80" s="3"/>
      <c r="AE80" s="3"/>
      <c r="AF80" s="3"/>
      <c r="AG80" s="3"/>
      <c r="AH80" s="3"/>
      <c r="AI80" s="3"/>
      <c r="AJ80" s="3"/>
      <c r="AK80" s="3"/>
      <c r="AL80" s="3"/>
      <c r="AM80" s="3"/>
      <c r="AN80" s="3"/>
      <c r="AO80" s="3"/>
    </row>
    <row r="81" spans="2:41" s="171" customFormat="1" x14ac:dyDescent="0.25">
      <c r="B81" s="13"/>
      <c r="C81" s="14"/>
      <c r="D81" s="14"/>
      <c r="E81" s="56"/>
      <c r="F81" s="56"/>
      <c r="G81" s="14"/>
      <c r="H81" s="56"/>
      <c r="I81" s="14"/>
      <c r="J81" s="14"/>
      <c r="K81" s="14"/>
      <c r="L81" s="14"/>
      <c r="M81" s="14"/>
      <c r="N81" s="14"/>
      <c r="O81" s="14"/>
      <c r="P81" s="14"/>
      <c r="Q81" s="14"/>
      <c r="R81" s="14"/>
      <c r="S81" s="14"/>
      <c r="T81" s="14"/>
      <c r="U81" s="14"/>
      <c r="V81" s="14"/>
      <c r="W81" s="14"/>
      <c r="X81" s="14"/>
      <c r="Y81" s="14"/>
      <c r="Z81" s="14"/>
      <c r="AA81" s="15"/>
      <c r="AB81" s="3"/>
      <c r="AC81" s="3"/>
      <c r="AD81" s="3"/>
      <c r="AE81" s="3"/>
      <c r="AF81" s="3"/>
      <c r="AG81" s="3"/>
      <c r="AH81" s="3"/>
      <c r="AI81" s="3"/>
      <c r="AJ81" s="3"/>
      <c r="AK81" s="3"/>
      <c r="AL81" s="3"/>
      <c r="AM81" s="3"/>
      <c r="AN81" s="3"/>
      <c r="AO81" s="3"/>
    </row>
    <row r="82" spans="2:41" s="171" customFormat="1" x14ac:dyDescent="0.25">
      <c r="B82" s="13"/>
      <c r="C82" s="136"/>
      <c r="D82" s="60"/>
      <c r="E82" s="56"/>
      <c r="F82" s="56"/>
      <c r="G82" s="57"/>
      <c r="H82" s="14"/>
      <c r="I82" s="14"/>
      <c r="J82" s="14"/>
      <c r="K82" s="14"/>
      <c r="L82" s="14"/>
      <c r="M82" s="14"/>
      <c r="N82" s="14"/>
      <c r="O82" s="14"/>
      <c r="P82" s="14"/>
      <c r="Q82" s="14"/>
      <c r="R82" s="14"/>
      <c r="S82" s="14"/>
      <c r="T82" s="14"/>
      <c r="U82" s="14"/>
      <c r="V82" s="14"/>
      <c r="W82" s="14"/>
      <c r="X82" s="14"/>
      <c r="Y82" s="14"/>
      <c r="Z82" s="14"/>
      <c r="AA82" s="15"/>
      <c r="AB82" s="3"/>
      <c r="AC82" s="3"/>
      <c r="AD82" s="3"/>
      <c r="AE82" s="3"/>
      <c r="AF82" s="3"/>
      <c r="AG82" s="3"/>
      <c r="AH82" s="3"/>
      <c r="AI82" s="3"/>
      <c r="AJ82" s="3"/>
      <c r="AK82" s="3"/>
      <c r="AL82" s="3"/>
      <c r="AM82" s="3"/>
      <c r="AN82" s="3"/>
      <c r="AO82" s="3"/>
    </row>
    <row r="83" spans="2:41" s="171" customFormat="1" x14ac:dyDescent="0.25">
      <c r="B83" s="13"/>
      <c r="C83" s="14"/>
      <c r="D83" s="60"/>
      <c r="E83" s="56"/>
      <c r="F83" s="56"/>
      <c r="G83" s="128"/>
      <c r="H83" s="56"/>
      <c r="I83" s="14"/>
      <c r="J83" s="14"/>
      <c r="K83" s="14"/>
      <c r="L83" s="14"/>
      <c r="M83" s="14"/>
      <c r="N83" s="14"/>
      <c r="O83" s="14"/>
      <c r="P83" s="14"/>
      <c r="Q83" s="14"/>
      <c r="R83" s="14"/>
      <c r="S83" s="14"/>
      <c r="T83" s="14"/>
      <c r="U83" s="14"/>
      <c r="V83" s="14"/>
      <c r="W83" s="14"/>
      <c r="X83" s="14"/>
      <c r="Y83" s="14"/>
      <c r="Z83" s="14"/>
      <c r="AA83" s="15"/>
      <c r="AB83" s="3"/>
      <c r="AC83" s="3"/>
      <c r="AD83" s="3"/>
      <c r="AE83" s="3"/>
      <c r="AF83" s="3"/>
      <c r="AG83" s="3"/>
      <c r="AH83" s="3"/>
      <c r="AI83" s="3"/>
      <c r="AJ83" s="3"/>
      <c r="AK83" s="3"/>
      <c r="AL83" s="3"/>
      <c r="AM83" s="3"/>
      <c r="AN83" s="3"/>
      <c r="AO83" s="3"/>
    </row>
    <row r="84" spans="2:41" s="171" customFormat="1" x14ac:dyDescent="0.25">
      <c r="B84" s="13"/>
      <c r="C84" s="14"/>
      <c r="D84" s="60"/>
      <c r="E84" s="56"/>
      <c r="F84" s="56"/>
      <c r="G84" s="14"/>
      <c r="H84" s="56"/>
      <c r="I84" s="14"/>
      <c r="J84" s="14"/>
      <c r="K84" s="14"/>
      <c r="L84" s="14"/>
      <c r="M84" s="14"/>
      <c r="N84" s="14"/>
      <c r="O84" s="14"/>
      <c r="P84" s="14"/>
      <c r="Q84" s="14"/>
      <c r="R84" s="14"/>
      <c r="S84" s="14"/>
      <c r="T84" s="14"/>
      <c r="U84" s="14"/>
      <c r="V84" s="14"/>
      <c r="W84" s="14"/>
      <c r="X84" s="14"/>
      <c r="Y84" s="14"/>
      <c r="Z84" s="14"/>
      <c r="AA84" s="15"/>
      <c r="AB84" s="3"/>
      <c r="AC84" s="3"/>
      <c r="AD84" s="3"/>
      <c r="AE84" s="3"/>
      <c r="AF84" s="3"/>
      <c r="AG84" s="3"/>
      <c r="AH84" s="3"/>
      <c r="AI84" s="3"/>
      <c r="AJ84" s="3"/>
      <c r="AK84" s="3"/>
      <c r="AL84" s="3"/>
      <c r="AM84" s="3"/>
      <c r="AN84" s="3"/>
      <c r="AO84" s="3"/>
    </row>
    <row r="85" spans="2:41" s="171" customFormat="1" x14ac:dyDescent="0.25">
      <c r="B85" s="13"/>
      <c r="C85" s="14"/>
      <c r="D85" s="60"/>
      <c r="E85" s="56"/>
      <c r="F85" s="56"/>
      <c r="G85" s="14"/>
      <c r="H85" s="56"/>
      <c r="I85" s="14"/>
      <c r="J85" s="14"/>
      <c r="K85" s="14"/>
      <c r="L85" s="14"/>
      <c r="M85" s="14"/>
      <c r="N85" s="14"/>
      <c r="O85" s="14"/>
      <c r="P85" s="14"/>
      <c r="Q85" s="14"/>
      <c r="R85" s="14"/>
      <c r="S85" s="14"/>
      <c r="T85" s="14"/>
      <c r="U85" s="14"/>
      <c r="V85" s="14"/>
      <c r="W85" s="14"/>
      <c r="X85" s="14"/>
      <c r="Y85" s="14"/>
      <c r="Z85" s="14"/>
      <c r="AA85" s="15"/>
      <c r="AB85" s="3"/>
      <c r="AC85" s="3"/>
      <c r="AD85" s="3"/>
      <c r="AE85" s="3"/>
      <c r="AF85" s="3"/>
      <c r="AG85" s="3"/>
      <c r="AH85" s="3"/>
      <c r="AI85" s="3"/>
      <c r="AJ85" s="3"/>
      <c r="AK85" s="3"/>
      <c r="AL85" s="3"/>
      <c r="AM85" s="3"/>
      <c r="AN85" s="3"/>
      <c r="AO85" s="3"/>
    </row>
    <row r="86" spans="2:41" s="171" customFormat="1" x14ac:dyDescent="0.25">
      <c r="B86" s="13"/>
      <c r="C86" s="56"/>
      <c r="D86" s="60"/>
      <c r="E86" s="56"/>
      <c r="F86" s="56"/>
      <c r="G86" s="56"/>
      <c r="H86" s="56"/>
      <c r="I86" s="14"/>
      <c r="J86" s="14"/>
      <c r="K86" s="14"/>
      <c r="L86" s="14"/>
      <c r="M86" s="14"/>
      <c r="N86" s="14"/>
      <c r="O86" s="14"/>
      <c r="P86" s="14"/>
      <c r="Q86" s="14"/>
      <c r="R86" s="14"/>
      <c r="S86" s="14"/>
      <c r="T86" s="14"/>
      <c r="U86" s="14"/>
      <c r="V86" s="14"/>
      <c r="W86" s="14"/>
      <c r="X86" s="14"/>
      <c r="Y86" s="14"/>
      <c r="Z86" s="14"/>
      <c r="AA86" s="15"/>
      <c r="AB86" s="3"/>
      <c r="AC86" s="3"/>
      <c r="AD86" s="3"/>
      <c r="AE86" s="3"/>
      <c r="AF86" s="3"/>
      <c r="AG86" s="3"/>
      <c r="AH86" s="3"/>
      <c r="AI86" s="3"/>
      <c r="AJ86" s="3"/>
      <c r="AK86" s="3"/>
      <c r="AL86" s="3"/>
      <c r="AM86" s="3"/>
      <c r="AN86" s="3"/>
      <c r="AO86" s="3"/>
    </row>
    <row r="87" spans="2:41" s="171" customFormat="1" x14ac:dyDescent="0.25">
      <c r="B87" s="13"/>
      <c r="C87" s="14"/>
      <c r="D87" s="60"/>
      <c r="E87" s="56"/>
      <c r="F87" s="56"/>
      <c r="G87" s="14"/>
      <c r="H87" s="56"/>
      <c r="I87" s="14"/>
      <c r="J87" s="14"/>
      <c r="K87" s="14"/>
      <c r="L87" s="14"/>
      <c r="M87" s="14"/>
      <c r="N87" s="14"/>
      <c r="O87" s="14"/>
      <c r="P87" s="14"/>
      <c r="Q87" s="14"/>
      <c r="R87" s="14"/>
      <c r="S87" s="14"/>
      <c r="T87" s="14"/>
      <c r="U87" s="14"/>
      <c r="V87" s="14"/>
      <c r="W87" s="14"/>
      <c r="X87" s="14"/>
      <c r="Y87" s="14"/>
      <c r="Z87" s="14"/>
      <c r="AA87" s="15"/>
      <c r="AB87" s="3"/>
      <c r="AC87" s="3"/>
      <c r="AD87" s="3"/>
      <c r="AE87" s="3"/>
      <c r="AF87" s="3"/>
      <c r="AG87" s="3"/>
      <c r="AH87" s="3"/>
      <c r="AI87" s="3"/>
      <c r="AJ87" s="3"/>
      <c r="AK87" s="3"/>
      <c r="AL87" s="3"/>
      <c r="AM87" s="3"/>
      <c r="AN87" s="3"/>
      <c r="AO87" s="3"/>
    </row>
    <row r="88" spans="2:41" s="171" customFormat="1" x14ac:dyDescent="0.25">
      <c r="B88" s="13"/>
      <c r="C88" s="14"/>
      <c r="D88" s="14"/>
      <c r="E88" s="56"/>
      <c r="F88" s="56"/>
      <c r="G88" s="14"/>
      <c r="H88" s="56"/>
      <c r="I88" s="14"/>
      <c r="J88" s="14"/>
      <c r="K88" s="14"/>
      <c r="L88" s="14"/>
      <c r="M88" s="14"/>
      <c r="N88" s="14"/>
      <c r="O88" s="14"/>
      <c r="P88" s="14"/>
      <c r="Q88" s="14"/>
      <c r="R88" s="14"/>
      <c r="S88" s="14"/>
      <c r="T88" s="14"/>
      <c r="U88" s="14"/>
      <c r="V88" s="14"/>
      <c r="W88" s="14"/>
      <c r="X88" s="14"/>
      <c r="Y88" s="14"/>
      <c r="Z88" s="14"/>
      <c r="AA88" s="15"/>
      <c r="AB88" s="3"/>
      <c r="AC88" s="3"/>
      <c r="AD88" s="3"/>
      <c r="AE88" s="3"/>
      <c r="AF88" s="3"/>
      <c r="AG88" s="3"/>
      <c r="AH88" s="3"/>
      <c r="AI88" s="3"/>
      <c r="AJ88" s="3"/>
      <c r="AK88" s="3"/>
      <c r="AL88" s="3"/>
      <c r="AM88" s="3"/>
      <c r="AN88" s="3"/>
      <c r="AO88" s="3"/>
    </row>
    <row r="89" spans="2:41" s="171" customFormat="1" x14ac:dyDescent="0.25">
      <c r="B89" s="13"/>
      <c r="C89" s="14"/>
      <c r="D89" s="60"/>
      <c r="E89" s="56"/>
      <c r="F89" s="56"/>
      <c r="G89" s="57"/>
      <c r="H89" s="14"/>
      <c r="I89" s="14"/>
      <c r="J89" s="14"/>
      <c r="K89" s="14"/>
      <c r="L89" s="14"/>
      <c r="M89" s="14"/>
      <c r="N89" s="14"/>
      <c r="O89" s="14"/>
      <c r="P89" s="14"/>
      <c r="Q89" s="14"/>
      <c r="R89" s="14"/>
      <c r="S89" s="14"/>
      <c r="T89" s="14"/>
      <c r="U89" s="14"/>
      <c r="V89" s="14"/>
      <c r="W89" s="14"/>
      <c r="X89" s="14"/>
      <c r="Y89" s="14"/>
      <c r="Z89" s="14"/>
      <c r="AA89" s="15"/>
      <c r="AB89" s="3"/>
      <c r="AC89" s="3"/>
      <c r="AD89" s="3"/>
      <c r="AE89" s="3"/>
      <c r="AF89" s="3"/>
      <c r="AG89" s="3"/>
      <c r="AH89" s="3"/>
      <c r="AI89" s="3"/>
      <c r="AJ89" s="3"/>
      <c r="AK89" s="3"/>
      <c r="AL89" s="3"/>
      <c r="AM89" s="3"/>
      <c r="AN89" s="3"/>
      <c r="AO89" s="3"/>
    </row>
    <row r="90" spans="2:41" s="171" customFormat="1" x14ac:dyDescent="0.25">
      <c r="B90" s="13"/>
      <c r="C90" s="14"/>
      <c r="D90" s="60"/>
      <c r="E90" s="56"/>
      <c r="F90" s="56"/>
      <c r="G90" s="128"/>
      <c r="H90" s="56"/>
      <c r="I90" s="14"/>
      <c r="J90" s="14"/>
      <c r="K90" s="14"/>
      <c r="L90" s="14"/>
      <c r="M90" s="14"/>
      <c r="N90" s="14"/>
      <c r="O90" s="14"/>
      <c r="P90" s="14"/>
      <c r="Q90" s="14"/>
      <c r="R90" s="14"/>
      <c r="S90" s="14"/>
      <c r="T90" s="14"/>
      <c r="U90" s="14"/>
      <c r="V90" s="14"/>
      <c r="W90" s="14"/>
      <c r="X90" s="14"/>
      <c r="Y90" s="14"/>
      <c r="Z90" s="14"/>
      <c r="AA90" s="15"/>
      <c r="AB90" s="3"/>
      <c r="AC90" s="3"/>
      <c r="AD90" s="3"/>
      <c r="AE90" s="3"/>
      <c r="AF90" s="3"/>
      <c r="AG90" s="3"/>
      <c r="AH90" s="3"/>
      <c r="AI90" s="3"/>
      <c r="AJ90" s="3"/>
      <c r="AK90" s="3"/>
      <c r="AL90" s="3"/>
      <c r="AM90" s="3"/>
      <c r="AN90" s="3"/>
      <c r="AO90" s="3"/>
    </row>
    <row r="91" spans="2:41" s="171" customFormat="1" x14ac:dyDescent="0.25">
      <c r="B91" s="13"/>
      <c r="C91" s="14"/>
      <c r="D91" s="60"/>
      <c r="E91" s="56"/>
      <c r="F91" s="56"/>
      <c r="G91" s="14"/>
      <c r="H91" s="56"/>
      <c r="I91" s="14"/>
      <c r="J91" s="14"/>
      <c r="K91" s="14"/>
      <c r="L91" s="14"/>
      <c r="M91" s="14"/>
      <c r="N91" s="14"/>
      <c r="O91" s="14"/>
      <c r="P91" s="14"/>
      <c r="Q91" s="14"/>
      <c r="R91" s="14"/>
      <c r="S91" s="14"/>
      <c r="T91" s="14"/>
      <c r="U91" s="14"/>
      <c r="V91" s="14"/>
      <c r="W91" s="14"/>
      <c r="X91" s="14"/>
      <c r="Y91" s="14"/>
      <c r="Z91" s="14"/>
      <c r="AA91" s="15"/>
      <c r="AB91" s="3"/>
      <c r="AC91" s="3"/>
      <c r="AD91" s="3"/>
      <c r="AE91" s="3"/>
      <c r="AF91" s="3"/>
      <c r="AG91" s="3"/>
      <c r="AH91" s="3"/>
      <c r="AI91" s="3"/>
      <c r="AJ91" s="3"/>
      <c r="AK91" s="3"/>
      <c r="AL91" s="3"/>
      <c r="AM91" s="3"/>
      <c r="AN91" s="3"/>
      <c r="AO91" s="3"/>
    </row>
    <row r="92" spans="2:41" s="171" customFormat="1" x14ac:dyDescent="0.25">
      <c r="B92" s="13"/>
      <c r="C92" s="14"/>
      <c r="D92" s="60"/>
      <c r="E92" s="56"/>
      <c r="F92" s="56"/>
      <c r="G92" s="14"/>
      <c r="H92" s="56"/>
      <c r="I92" s="14"/>
      <c r="J92" s="14"/>
      <c r="K92" s="14"/>
      <c r="L92" s="14"/>
      <c r="M92" s="14"/>
      <c r="N92" s="14"/>
      <c r="O92" s="14"/>
      <c r="P92" s="14"/>
      <c r="Q92" s="14"/>
      <c r="R92" s="14"/>
      <c r="S92" s="14"/>
      <c r="T92" s="14"/>
      <c r="U92" s="14"/>
      <c r="V92" s="14"/>
      <c r="W92" s="14"/>
      <c r="X92" s="14"/>
      <c r="Y92" s="14"/>
      <c r="Z92" s="14"/>
      <c r="AA92" s="15"/>
      <c r="AB92" s="3"/>
      <c r="AC92" s="3"/>
      <c r="AD92" s="3"/>
      <c r="AE92" s="3"/>
      <c r="AF92" s="3"/>
      <c r="AG92" s="3"/>
      <c r="AH92" s="3"/>
      <c r="AI92" s="3"/>
      <c r="AJ92" s="3"/>
      <c r="AK92" s="3"/>
      <c r="AL92" s="3"/>
      <c r="AM92" s="3"/>
      <c r="AN92" s="3"/>
      <c r="AO92" s="3"/>
    </row>
    <row r="93" spans="2:41" s="171" customFormat="1" x14ac:dyDescent="0.25">
      <c r="B93" s="13"/>
      <c r="C93" s="56"/>
      <c r="D93" s="60"/>
      <c r="E93" s="56"/>
      <c r="F93" s="56"/>
      <c r="G93" s="56"/>
      <c r="H93" s="56"/>
      <c r="I93" s="14"/>
      <c r="J93" s="14"/>
      <c r="K93" s="14"/>
      <c r="L93" s="14"/>
      <c r="M93" s="14"/>
      <c r="N93" s="14"/>
      <c r="O93" s="14"/>
      <c r="P93" s="14"/>
      <c r="Q93" s="14"/>
      <c r="R93" s="14"/>
      <c r="S93" s="14"/>
      <c r="T93" s="14"/>
      <c r="U93" s="14"/>
      <c r="V93" s="14"/>
      <c r="W93" s="14"/>
      <c r="X93" s="14"/>
      <c r="Y93" s="14"/>
      <c r="Z93" s="14"/>
      <c r="AA93" s="15"/>
      <c r="AB93" s="3"/>
      <c r="AC93" s="3"/>
      <c r="AD93" s="3"/>
      <c r="AE93" s="3"/>
      <c r="AF93" s="3"/>
      <c r="AG93" s="3"/>
      <c r="AH93" s="3"/>
      <c r="AI93" s="3"/>
      <c r="AJ93" s="3"/>
      <c r="AK93" s="3"/>
      <c r="AL93" s="3"/>
      <c r="AM93" s="3"/>
      <c r="AN93" s="3"/>
      <c r="AO93" s="3"/>
    </row>
    <row r="94" spans="2:41" s="171" customFormat="1" ht="18.75" x14ac:dyDescent="0.3">
      <c r="B94" s="67"/>
      <c r="C94" s="14"/>
      <c r="D94" s="60"/>
      <c r="E94" s="56"/>
      <c r="F94" s="56"/>
      <c r="G94" s="14"/>
      <c r="H94" s="56"/>
      <c r="I94" s="74"/>
      <c r="J94" s="14"/>
      <c r="K94" s="14"/>
      <c r="L94" s="14"/>
      <c r="M94" s="14"/>
      <c r="N94" s="14"/>
      <c r="O94" s="14"/>
      <c r="P94" s="14"/>
      <c r="Q94" s="14"/>
      <c r="R94" s="14"/>
      <c r="S94" s="14"/>
      <c r="T94" s="14"/>
      <c r="U94" s="14"/>
      <c r="V94" s="14"/>
      <c r="W94" s="14"/>
      <c r="X94" s="14"/>
      <c r="Y94" s="14"/>
      <c r="Z94" s="14"/>
      <c r="AA94" s="15"/>
      <c r="AB94" s="3"/>
      <c r="AC94" s="3"/>
      <c r="AD94" s="3"/>
      <c r="AE94" s="3"/>
      <c r="AF94" s="3"/>
      <c r="AG94" s="3"/>
      <c r="AH94" s="3"/>
      <c r="AI94" s="3"/>
      <c r="AJ94" s="3"/>
      <c r="AK94" s="3"/>
      <c r="AL94" s="3"/>
      <c r="AM94" s="3"/>
      <c r="AN94" s="3"/>
      <c r="AO94" s="3"/>
    </row>
    <row r="95" spans="2:41" s="171" customFormat="1" x14ac:dyDescent="0.25">
      <c r="B95" s="13"/>
      <c r="C95" s="14"/>
      <c r="D95" s="14"/>
      <c r="E95" s="56"/>
      <c r="F95" s="56"/>
      <c r="G95" s="14"/>
      <c r="H95" s="56"/>
      <c r="I95" s="14"/>
      <c r="J95" s="14"/>
      <c r="K95" s="14"/>
      <c r="L95" s="14"/>
      <c r="M95" s="14"/>
      <c r="N95" s="14"/>
      <c r="O95" s="14"/>
      <c r="P95" s="14"/>
      <c r="Q95" s="14"/>
      <c r="R95" s="14"/>
      <c r="S95" s="14"/>
      <c r="T95" s="14"/>
      <c r="U95" s="14"/>
      <c r="V95" s="14"/>
      <c r="W95" s="14"/>
      <c r="X95" s="14"/>
      <c r="Y95" s="14"/>
      <c r="Z95" s="14"/>
      <c r="AA95" s="15"/>
      <c r="AB95" s="3"/>
      <c r="AC95" s="3"/>
      <c r="AD95" s="3"/>
      <c r="AE95" s="3"/>
      <c r="AF95" s="3"/>
      <c r="AG95" s="3"/>
      <c r="AH95" s="3"/>
      <c r="AI95" s="3"/>
      <c r="AJ95" s="3"/>
      <c r="AK95" s="3"/>
      <c r="AL95" s="3"/>
      <c r="AM95" s="3"/>
      <c r="AN95" s="3"/>
      <c r="AO95" s="3"/>
    </row>
    <row r="96" spans="2:41" s="171" customFormat="1" x14ac:dyDescent="0.25">
      <c r="B96" s="13"/>
      <c r="C96" s="14"/>
      <c r="D96" s="60"/>
      <c r="E96" s="56"/>
      <c r="F96" s="56"/>
      <c r="G96" s="57"/>
      <c r="H96" s="14"/>
      <c r="I96" s="14"/>
      <c r="J96" s="14"/>
      <c r="K96" s="14"/>
      <c r="L96" s="14"/>
      <c r="M96" s="14"/>
      <c r="N96" s="14"/>
      <c r="O96" s="14"/>
      <c r="P96" s="14"/>
      <c r="Q96" s="14"/>
      <c r="R96" s="14"/>
      <c r="S96" s="14"/>
      <c r="T96" s="14"/>
      <c r="U96" s="14"/>
      <c r="V96" s="14"/>
      <c r="W96" s="14"/>
      <c r="X96" s="14"/>
      <c r="Y96" s="14"/>
      <c r="Z96" s="14"/>
      <c r="AA96" s="15"/>
      <c r="AB96" s="3"/>
      <c r="AC96" s="3"/>
      <c r="AD96" s="3"/>
      <c r="AE96" s="3"/>
      <c r="AF96" s="3"/>
      <c r="AG96" s="3"/>
      <c r="AH96" s="3"/>
      <c r="AI96" s="3"/>
      <c r="AJ96" s="3"/>
      <c r="AK96" s="3"/>
      <c r="AL96" s="3"/>
      <c r="AM96" s="3"/>
      <c r="AN96" s="3"/>
      <c r="AO96" s="3"/>
    </row>
    <row r="97" spans="2:41" s="171" customFormat="1" x14ac:dyDescent="0.25">
      <c r="B97" s="13"/>
      <c r="C97" s="14"/>
      <c r="D97" s="60"/>
      <c r="E97" s="56"/>
      <c r="F97" s="56"/>
      <c r="G97" s="128"/>
      <c r="H97" s="56"/>
      <c r="I97" s="14"/>
      <c r="J97" s="14"/>
      <c r="K97" s="14"/>
      <c r="L97" s="14"/>
      <c r="M97" s="14"/>
      <c r="N97" s="14"/>
      <c r="O97" s="14"/>
      <c r="P97" s="14"/>
      <c r="Q97" s="14"/>
      <c r="R97" s="14"/>
      <c r="S97" s="14"/>
      <c r="T97" s="14"/>
      <c r="U97" s="14"/>
      <c r="V97" s="14"/>
      <c r="W97" s="14"/>
      <c r="X97" s="14"/>
      <c r="Y97" s="14"/>
      <c r="Z97" s="14"/>
      <c r="AA97" s="15"/>
      <c r="AB97" s="3"/>
      <c r="AC97" s="3"/>
      <c r="AD97" s="3"/>
      <c r="AE97" s="3"/>
      <c r="AF97" s="3"/>
      <c r="AG97" s="3"/>
      <c r="AH97" s="3"/>
      <c r="AI97" s="3"/>
      <c r="AJ97" s="3"/>
      <c r="AK97" s="3"/>
      <c r="AL97" s="3"/>
      <c r="AM97" s="3"/>
      <c r="AN97" s="3"/>
      <c r="AO97" s="3"/>
    </row>
    <row r="98" spans="2:41" s="171" customFormat="1" x14ac:dyDescent="0.25">
      <c r="B98" s="13"/>
      <c r="C98" s="14"/>
      <c r="D98" s="60"/>
      <c r="E98" s="56"/>
      <c r="F98" s="56"/>
      <c r="G98" s="14"/>
      <c r="H98" s="56"/>
      <c r="I98" s="14"/>
      <c r="J98" s="14"/>
      <c r="K98" s="14"/>
      <c r="L98" s="14"/>
      <c r="M98" s="14"/>
      <c r="N98" s="14"/>
      <c r="O98" s="14"/>
      <c r="P98" s="14"/>
      <c r="Q98" s="14"/>
      <c r="R98" s="14"/>
      <c r="S98" s="14"/>
      <c r="T98" s="14"/>
      <c r="U98" s="14"/>
      <c r="V98" s="14"/>
      <c r="W98" s="14"/>
      <c r="X98" s="14"/>
      <c r="Y98" s="14"/>
      <c r="Z98" s="14"/>
      <c r="AA98" s="15"/>
      <c r="AB98" s="3"/>
      <c r="AC98" s="3"/>
      <c r="AD98" s="3"/>
      <c r="AE98" s="3"/>
      <c r="AF98" s="3"/>
      <c r="AG98" s="3"/>
      <c r="AH98" s="3"/>
      <c r="AI98" s="3"/>
      <c r="AJ98" s="3"/>
      <c r="AK98" s="3"/>
      <c r="AL98" s="3"/>
      <c r="AM98" s="3"/>
      <c r="AN98" s="3"/>
      <c r="AO98" s="3"/>
    </row>
    <row r="99" spans="2:41" s="171" customFormat="1" x14ac:dyDescent="0.25">
      <c r="B99" s="13"/>
      <c r="C99" s="14"/>
      <c r="D99" s="60"/>
      <c r="E99" s="56"/>
      <c r="F99" s="56"/>
      <c r="G99" s="14"/>
      <c r="H99" s="56"/>
      <c r="I99" s="14"/>
      <c r="J99" s="14"/>
      <c r="K99" s="14"/>
      <c r="L99" s="14"/>
      <c r="M99" s="14"/>
      <c r="N99" s="14"/>
      <c r="O99" s="14"/>
      <c r="P99" s="14"/>
      <c r="Q99" s="14"/>
      <c r="R99" s="14"/>
      <c r="S99" s="14"/>
      <c r="T99" s="14"/>
      <c r="U99" s="14"/>
      <c r="V99" s="14"/>
      <c r="W99" s="14"/>
      <c r="X99" s="14"/>
      <c r="Y99" s="14"/>
      <c r="Z99" s="14"/>
      <c r="AA99" s="15"/>
      <c r="AB99" s="3"/>
      <c r="AC99" s="3"/>
      <c r="AD99" s="3"/>
      <c r="AE99" s="3"/>
      <c r="AF99" s="3"/>
      <c r="AG99" s="3"/>
      <c r="AH99" s="3"/>
      <c r="AI99" s="3"/>
      <c r="AJ99" s="3"/>
      <c r="AK99" s="3"/>
      <c r="AL99" s="3"/>
      <c r="AM99" s="3"/>
      <c r="AN99" s="3"/>
      <c r="AO99" s="3"/>
    </row>
    <row r="100" spans="2:41" s="171" customFormat="1" x14ac:dyDescent="0.25">
      <c r="B100" s="13"/>
      <c r="C100" s="56"/>
      <c r="D100" s="60"/>
      <c r="E100" s="56"/>
      <c r="F100" s="56"/>
      <c r="G100" s="56"/>
      <c r="H100" s="56"/>
      <c r="I100" s="14"/>
      <c r="J100" s="14"/>
      <c r="K100" s="14"/>
      <c r="L100" s="14"/>
      <c r="M100" s="14"/>
      <c r="N100" s="14"/>
      <c r="O100" s="14"/>
      <c r="P100" s="14"/>
      <c r="Q100" s="14"/>
      <c r="R100" s="14"/>
      <c r="S100" s="14"/>
      <c r="T100" s="14"/>
      <c r="U100" s="14"/>
      <c r="V100" s="14"/>
      <c r="W100" s="14"/>
      <c r="X100" s="14"/>
      <c r="Y100" s="14"/>
      <c r="Z100" s="14"/>
      <c r="AA100" s="15"/>
      <c r="AB100" s="3"/>
      <c r="AC100" s="3"/>
      <c r="AD100" s="3"/>
      <c r="AE100" s="3"/>
      <c r="AF100" s="3"/>
      <c r="AG100" s="3"/>
      <c r="AH100" s="3"/>
      <c r="AI100" s="3"/>
      <c r="AJ100" s="3"/>
      <c r="AK100" s="3"/>
      <c r="AL100" s="3"/>
      <c r="AM100" s="3"/>
      <c r="AN100" s="3"/>
      <c r="AO100" s="3"/>
    </row>
    <row r="101" spans="2:41" s="171" customFormat="1" x14ac:dyDescent="0.25">
      <c r="B101" s="13"/>
      <c r="C101" s="14"/>
      <c r="D101" s="60"/>
      <c r="E101" s="56"/>
      <c r="F101" s="56"/>
      <c r="G101" s="14"/>
      <c r="H101" s="56"/>
      <c r="I101" s="14"/>
      <c r="J101" s="14"/>
      <c r="K101" s="14"/>
      <c r="L101" s="14"/>
      <c r="M101" s="14"/>
      <c r="N101" s="14"/>
      <c r="O101" s="14"/>
      <c r="P101" s="14"/>
      <c r="Q101" s="14"/>
      <c r="R101" s="14"/>
      <c r="S101" s="14"/>
      <c r="T101" s="14"/>
      <c r="U101" s="14"/>
      <c r="V101" s="14"/>
      <c r="W101" s="14"/>
      <c r="X101" s="14"/>
      <c r="Y101" s="14"/>
      <c r="Z101" s="14"/>
      <c r="AA101" s="15"/>
      <c r="AB101" s="3"/>
      <c r="AC101" s="3"/>
      <c r="AD101" s="3"/>
      <c r="AE101" s="3"/>
      <c r="AF101" s="3"/>
      <c r="AG101" s="3"/>
      <c r="AH101" s="3"/>
      <c r="AI101" s="3"/>
      <c r="AJ101" s="3"/>
      <c r="AK101" s="3"/>
      <c r="AL101" s="3"/>
      <c r="AM101" s="3"/>
      <c r="AN101" s="3"/>
      <c r="AO101" s="3"/>
    </row>
    <row r="102" spans="2:41" s="171" customFormat="1" x14ac:dyDescent="0.25">
      <c r="B102" s="13"/>
      <c r="C102" s="14"/>
      <c r="D102" s="14"/>
      <c r="E102" s="56"/>
      <c r="F102" s="56"/>
      <c r="G102" s="14"/>
      <c r="H102" s="56"/>
      <c r="I102" s="14"/>
      <c r="J102" s="14"/>
      <c r="K102" s="14"/>
      <c r="L102" s="14"/>
      <c r="M102" s="14"/>
      <c r="N102" s="14"/>
      <c r="O102" s="14"/>
      <c r="P102" s="14"/>
      <c r="Q102" s="14"/>
      <c r="R102" s="14"/>
      <c r="S102" s="14"/>
      <c r="T102" s="14"/>
      <c r="U102" s="14"/>
      <c r="V102" s="14"/>
      <c r="W102" s="14"/>
      <c r="X102" s="14"/>
      <c r="Y102" s="14"/>
      <c r="Z102" s="14"/>
      <c r="AA102" s="15"/>
      <c r="AB102" s="3"/>
      <c r="AC102" s="3"/>
      <c r="AD102" s="3"/>
      <c r="AE102" s="3"/>
      <c r="AF102" s="3"/>
      <c r="AG102" s="3"/>
      <c r="AH102" s="3"/>
      <c r="AI102" s="3"/>
      <c r="AJ102" s="3"/>
      <c r="AK102" s="3"/>
      <c r="AL102" s="3"/>
      <c r="AM102" s="3"/>
      <c r="AN102" s="3"/>
      <c r="AO102" s="3"/>
    </row>
    <row r="103" spans="2:41" s="171" customFormat="1" x14ac:dyDescent="0.25">
      <c r="B103" s="13"/>
      <c r="C103" s="14"/>
      <c r="D103" s="60"/>
      <c r="E103" s="56"/>
      <c r="F103" s="56"/>
      <c r="G103" s="57"/>
      <c r="H103" s="14"/>
      <c r="I103" s="14"/>
      <c r="J103" s="14"/>
      <c r="K103" s="14"/>
      <c r="L103" s="14"/>
      <c r="M103" s="14"/>
      <c r="N103" s="14"/>
      <c r="O103" s="14"/>
      <c r="P103" s="14"/>
      <c r="Q103" s="14"/>
      <c r="R103" s="14"/>
      <c r="S103" s="14"/>
      <c r="T103" s="14"/>
      <c r="U103" s="14"/>
      <c r="V103" s="14"/>
      <c r="W103" s="14"/>
      <c r="X103" s="14"/>
      <c r="Y103" s="14"/>
      <c r="Z103" s="14"/>
      <c r="AA103" s="15"/>
      <c r="AB103" s="3"/>
      <c r="AC103" s="3"/>
      <c r="AD103" s="3"/>
      <c r="AE103" s="3"/>
      <c r="AF103" s="3"/>
      <c r="AG103" s="3"/>
      <c r="AH103" s="3"/>
      <c r="AI103" s="3"/>
      <c r="AJ103" s="3"/>
      <c r="AK103" s="3"/>
      <c r="AL103" s="3"/>
      <c r="AM103" s="3"/>
      <c r="AN103" s="3"/>
      <c r="AO103" s="3"/>
    </row>
    <row r="104" spans="2:41" s="171" customFormat="1" x14ac:dyDescent="0.25">
      <c r="B104" s="13"/>
      <c r="C104" s="14"/>
      <c r="D104" s="60"/>
      <c r="E104" s="56"/>
      <c r="F104" s="56"/>
      <c r="G104" s="128"/>
      <c r="H104" s="56"/>
      <c r="I104" s="14"/>
      <c r="J104" s="14"/>
      <c r="K104" s="14"/>
      <c r="L104" s="14"/>
      <c r="M104" s="14"/>
      <c r="N104" s="14"/>
      <c r="O104" s="14"/>
      <c r="P104" s="14"/>
      <c r="Q104" s="14"/>
      <c r="R104" s="14"/>
      <c r="S104" s="14"/>
      <c r="T104" s="14"/>
      <c r="U104" s="14"/>
      <c r="V104" s="14"/>
      <c r="W104" s="14"/>
      <c r="X104" s="14"/>
      <c r="Y104" s="14"/>
      <c r="Z104" s="14"/>
      <c r="AA104" s="15"/>
      <c r="AB104" s="3"/>
      <c r="AC104" s="3"/>
      <c r="AD104" s="3"/>
      <c r="AE104" s="3"/>
      <c r="AF104" s="3"/>
      <c r="AG104" s="3"/>
      <c r="AH104" s="3"/>
      <c r="AI104" s="3"/>
      <c r="AJ104" s="3"/>
      <c r="AK104" s="3"/>
      <c r="AL104" s="3"/>
      <c r="AM104" s="3"/>
      <c r="AN104" s="3"/>
      <c r="AO104" s="3"/>
    </row>
    <row r="105" spans="2:41" s="171" customFormat="1" x14ac:dyDescent="0.25">
      <c r="B105" s="13"/>
      <c r="C105" s="14"/>
      <c r="D105" s="60"/>
      <c r="E105" s="56"/>
      <c r="F105" s="56"/>
      <c r="G105" s="14"/>
      <c r="H105" s="56"/>
      <c r="I105" s="14"/>
      <c r="J105" s="14"/>
      <c r="K105" s="14"/>
      <c r="L105" s="14"/>
      <c r="M105" s="14"/>
      <c r="N105" s="14"/>
      <c r="O105" s="14"/>
      <c r="P105" s="14"/>
      <c r="Q105" s="14"/>
      <c r="R105" s="14"/>
      <c r="S105" s="14"/>
      <c r="T105" s="14"/>
      <c r="U105" s="14"/>
      <c r="V105" s="14"/>
      <c r="W105" s="14"/>
      <c r="X105" s="14"/>
      <c r="Y105" s="14"/>
      <c r="Z105" s="14"/>
      <c r="AA105" s="15"/>
      <c r="AB105" s="3"/>
      <c r="AC105" s="3"/>
      <c r="AD105" s="3"/>
      <c r="AE105" s="3"/>
      <c r="AF105" s="3"/>
      <c r="AG105" s="3"/>
      <c r="AH105" s="3"/>
      <c r="AI105" s="3"/>
      <c r="AJ105" s="3"/>
      <c r="AK105" s="3"/>
      <c r="AL105" s="3"/>
      <c r="AM105" s="3"/>
      <c r="AN105" s="3"/>
      <c r="AO105" s="3"/>
    </row>
    <row r="106" spans="2:41" s="171" customFormat="1" x14ac:dyDescent="0.25">
      <c r="B106" s="13"/>
      <c r="C106" s="14"/>
      <c r="D106" s="60"/>
      <c r="E106" s="56"/>
      <c r="F106" s="56"/>
      <c r="G106" s="14"/>
      <c r="H106" s="56"/>
      <c r="I106" s="14"/>
      <c r="J106" s="14"/>
      <c r="K106" s="14"/>
      <c r="L106" s="14"/>
      <c r="M106" s="14"/>
      <c r="N106" s="14"/>
      <c r="O106" s="14"/>
      <c r="P106" s="14"/>
      <c r="Q106" s="14"/>
      <c r="R106" s="14"/>
      <c r="S106" s="14"/>
      <c r="T106" s="14"/>
      <c r="U106" s="14"/>
      <c r="V106" s="14"/>
      <c r="W106" s="14"/>
      <c r="X106" s="14"/>
      <c r="Y106" s="14"/>
      <c r="Z106" s="14"/>
      <c r="AA106" s="15"/>
      <c r="AB106" s="3"/>
      <c r="AC106" s="3"/>
      <c r="AD106" s="3"/>
      <c r="AE106" s="3"/>
      <c r="AF106" s="3"/>
      <c r="AG106" s="3"/>
      <c r="AH106" s="3"/>
      <c r="AI106" s="3"/>
      <c r="AJ106" s="3"/>
      <c r="AK106" s="3"/>
      <c r="AL106" s="3"/>
      <c r="AM106" s="3"/>
      <c r="AN106" s="3"/>
      <c r="AO106" s="3"/>
    </row>
    <row r="107" spans="2:41" s="171" customFormat="1" x14ac:dyDescent="0.25">
      <c r="B107" s="13"/>
      <c r="C107" s="56"/>
      <c r="D107" s="60"/>
      <c r="E107" s="56"/>
      <c r="F107" s="56"/>
      <c r="G107" s="56"/>
      <c r="H107" s="56"/>
      <c r="I107" s="14"/>
      <c r="J107" s="14"/>
      <c r="K107" s="14"/>
      <c r="L107" s="14"/>
      <c r="M107" s="14"/>
      <c r="N107" s="14"/>
      <c r="O107" s="14"/>
      <c r="P107" s="14"/>
      <c r="Q107" s="14"/>
      <c r="R107" s="14"/>
      <c r="S107" s="14"/>
      <c r="T107" s="14"/>
      <c r="U107" s="14"/>
      <c r="V107" s="14"/>
      <c r="W107" s="14"/>
      <c r="X107" s="14"/>
      <c r="Y107" s="14"/>
      <c r="Z107" s="14"/>
      <c r="AA107" s="15"/>
      <c r="AB107" s="3"/>
      <c r="AC107" s="3"/>
      <c r="AD107" s="3"/>
      <c r="AE107" s="3"/>
      <c r="AF107" s="3"/>
      <c r="AG107" s="3"/>
      <c r="AH107" s="3"/>
      <c r="AI107" s="3"/>
      <c r="AJ107" s="3"/>
      <c r="AK107" s="3"/>
      <c r="AL107" s="3"/>
      <c r="AM107" s="3"/>
      <c r="AN107" s="3"/>
      <c r="AO107" s="3"/>
    </row>
    <row r="108" spans="2:41" s="171" customFormat="1" ht="18.75" x14ac:dyDescent="0.3">
      <c r="B108" s="67"/>
      <c r="C108" s="14"/>
      <c r="D108" s="60"/>
      <c r="E108" s="56"/>
      <c r="F108" s="56"/>
      <c r="G108" s="14"/>
      <c r="H108" s="56"/>
      <c r="I108" s="74"/>
      <c r="J108" s="14"/>
      <c r="K108" s="14"/>
      <c r="L108" s="14"/>
      <c r="M108" s="14"/>
      <c r="N108" s="14"/>
      <c r="O108" s="14"/>
      <c r="P108" s="14"/>
      <c r="Q108" s="14"/>
      <c r="R108" s="14"/>
      <c r="S108" s="14"/>
      <c r="T108" s="14"/>
      <c r="U108" s="14"/>
      <c r="V108" s="14"/>
      <c r="W108" s="14"/>
      <c r="X108" s="14"/>
      <c r="Y108" s="14"/>
      <c r="Z108" s="14"/>
      <c r="AA108" s="15"/>
      <c r="AB108" s="3"/>
      <c r="AC108" s="3"/>
      <c r="AD108" s="3"/>
      <c r="AE108" s="3"/>
      <c r="AF108" s="3"/>
      <c r="AG108" s="3"/>
      <c r="AH108" s="3"/>
      <c r="AI108" s="3"/>
      <c r="AJ108" s="3"/>
      <c r="AK108" s="3"/>
      <c r="AL108" s="3"/>
      <c r="AM108" s="3"/>
      <c r="AN108" s="3"/>
      <c r="AO108" s="3"/>
    </row>
    <row r="109" spans="2:41" s="171" customFormat="1" x14ac:dyDescent="0.25">
      <c r="B109" s="13"/>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5"/>
      <c r="AB109" s="3"/>
      <c r="AC109" s="3"/>
      <c r="AD109" s="3"/>
      <c r="AE109" s="3"/>
      <c r="AF109" s="3"/>
      <c r="AG109" s="3"/>
      <c r="AH109" s="3"/>
      <c r="AI109" s="3"/>
      <c r="AJ109" s="3"/>
      <c r="AK109" s="3"/>
      <c r="AL109" s="3"/>
      <c r="AM109" s="3"/>
      <c r="AN109" s="3"/>
      <c r="AO109" s="3"/>
    </row>
    <row r="110" spans="2:41" s="171" customFormat="1" x14ac:dyDescent="0.25">
      <c r="B110" s="13"/>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5"/>
      <c r="AB110" s="3"/>
      <c r="AC110" s="3"/>
      <c r="AD110" s="3"/>
      <c r="AE110" s="3"/>
      <c r="AF110" s="3"/>
      <c r="AG110" s="3"/>
      <c r="AH110" s="3"/>
      <c r="AI110" s="3"/>
      <c r="AJ110" s="3"/>
      <c r="AK110" s="3"/>
      <c r="AL110" s="3"/>
      <c r="AM110" s="3"/>
      <c r="AN110" s="3"/>
      <c r="AO110" s="3"/>
    </row>
    <row r="111" spans="2:41" s="171" customFormat="1" x14ac:dyDescent="0.25">
      <c r="B111" s="13"/>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5"/>
      <c r="AB111" s="3"/>
      <c r="AC111" s="3"/>
      <c r="AD111" s="3"/>
      <c r="AE111" s="3"/>
      <c r="AF111" s="3"/>
      <c r="AG111" s="3"/>
      <c r="AH111" s="3"/>
      <c r="AI111" s="3"/>
      <c r="AJ111" s="3"/>
      <c r="AK111" s="3"/>
      <c r="AL111" s="3"/>
      <c r="AM111" s="3"/>
      <c r="AN111" s="3"/>
      <c r="AO111" s="3"/>
    </row>
    <row r="112" spans="2:41" s="171" customFormat="1" x14ac:dyDescent="0.25">
      <c r="B112" s="13"/>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5"/>
      <c r="AB112" s="3"/>
      <c r="AC112" s="3"/>
      <c r="AD112" s="3"/>
      <c r="AE112" s="3"/>
      <c r="AF112" s="3"/>
      <c r="AG112" s="3"/>
      <c r="AH112" s="3"/>
      <c r="AI112" s="3"/>
      <c r="AJ112" s="3"/>
      <c r="AK112" s="3"/>
      <c r="AL112" s="3"/>
      <c r="AM112" s="3"/>
      <c r="AN112" s="3"/>
      <c r="AO112" s="3"/>
    </row>
    <row r="113" spans="2:41" s="171" customFormat="1" x14ac:dyDescent="0.25">
      <c r="B113" s="13"/>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5"/>
      <c r="AB113" s="3"/>
      <c r="AC113" s="3"/>
      <c r="AD113" s="3"/>
      <c r="AE113" s="3"/>
      <c r="AF113" s="3"/>
      <c r="AG113" s="3"/>
      <c r="AH113" s="3"/>
      <c r="AI113" s="3"/>
      <c r="AJ113" s="3"/>
      <c r="AK113" s="3"/>
      <c r="AL113" s="3"/>
      <c r="AM113" s="3"/>
      <c r="AN113" s="3"/>
      <c r="AO113" s="3"/>
    </row>
    <row r="114" spans="2:41" s="171" customFormat="1" x14ac:dyDescent="0.25">
      <c r="B114" s="13"/>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5"/>
      <c r="AB114" s="3"/>
      <c r="AC114" s="3"/>
      <c r="AD114" s="3"/>
      <c r="AE114" s="3"/>
      <c r="AF114" s="3"/>
      <c r="AG114" s="3"/>
      <c r="AH114" s="3"/>
      <c r="AI114" s="3"/>
      <c r="AJ114" s="3"/>
      <c r="AK114" s="3"/>
      <c r="AL114" s="3"/>
      <c r="AM114" s="3"/>
      <c r="AN114" s="3"/>
      <c r="AO114" s="3"/>
    </row>
    <row r="115" spans="2:41" s="171" customFormat="1" x14ac:dyDescent="0.25">
      <c r="B115" s="13"/>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5"/>
      <c r="AB115" s="3"/>
      <c r="AC115" s="3"/>
      <c r="AD115" s="3"/>
      <c r="AE115" s="3"/>
      <c r="AF115" s="3"/>
      <c r="AG115" s="3"/>
      <c r="AH115" s="3"/>
      <c r="AI115" s="3"/>
      <c r="AJ115" s="3"/>
      <c r="AK115" s="3"/>
      <c r="AL115" s="3"/>
      <c r="AM115" s="3"/>
      <c r="AN115" s="3"/>
      <c r="AO115" s="3"/>
    </row>
    <row r="116" spans="2:41" s="171" customFormat="1" x14ac:dyDescent="0.25">
      <c r="B116" s="13"/>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5"/>
      <c r="AB116" s="3"/>
      <c r="AC116" s="3"/>
      <c r="AD116" s="3"/>
      <c r="AE116" s="3"/>
      <c r="AF116" s="3"/>
      <c r="AG116" s="3"/>
      <c r="AH116" s="3"/>
      <c r="AI116" s="3"/>
      <c r="AJ116" s="3"/>
      <c r="AK116" s="3"/>
      <c r="AL116" s="3"/>
      <c r="AM116" s="3"/>
      <c r="AN116" s="3"/>
      <c r="AO116" s="3"/>
    </row>
    <row r="117" spans="2:41" s="171" customFormat="1" ht="15.4" customHeight="1" x14ac:dyDescent="0.25">
      <c r="B117" s="13"/>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5"/>
      <c r="AB117" s="3"/>
      <c r="AC117" s="3"/>
      <c r="AD117" s="3"/>
      <c r="AE117" s="3"/>
      <c r="AF117" s="3"/>
      <c r="AG117" s="3"/>
      <c r="AH117" s="3"/>
      <c r="AI117" s="3"/>
      <c r="AJ117" s="3"/>
      <c r="AK117" s="3"/>
      <c r="AL117" s="3"/>
      <c r="AM117" s="3"/>
      <c r="AN117" s="3"/>
      <c r="AO117" s="3"/>
    </row>
    <row r="118" spans="2:41" s="171" customFormat="1" x14ac:dyDescent="0.25">
      <c r="B118" s="13"/>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5"/>
      <c r="AB118" s="3"/>
      <c r="AC118" s="3"/>
      <c r="AD118" s="3"/>
      <c r="AE118" s="3"/>
      <c r="AF118" s="3"/>
      <c r="AG118" s="3"/>
      <c r="AH118" s="3"/>
      <c r="AI118" s="3"/>
      <c r="AJ118" s="3"/>
      <c r="AK118" s="3"/>
      <c r="AL118" s="3"/>
      <c r="AM118" s="3"/>
      <c r="AN118" s="3"/>
      <c r="AO118" s="3"/>
    </row>
    <row r="119" spans="2:41" s="171" customFormat="1" x14ac:dyDescent="0.25">
      <c r="B119" s="13"/>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5"/>
      <c r="AB119" s="3"/>
      <c r="AC119" s="3"/>
      <c r="AD119" s="3"/>
      <c r="AE119" s="3"/>
      <c r="AF119" s="3"/>
      <c r="AG119" s="3"/>
      <c r="AH119" s="3"/>
      <c r="AI119" s="3"/>
      <c r="AJ119" s="3"/>
      <c r="AK119" s="3"/>
      <c r="AL119" s="3"/>
      <c r="AM119" s="3"/>
      <c r="AN119" s="3"/>
      <c r="AO119" s="3"/>
    </row>
    <row r="120" spans="2:41" s="171" customFormat="1" x14ac:dyDescent="0.25">
      <c r="B120" s="13"/>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5"/>
      <c r="AB120" s="3"/>
      <c r="AC120" s="3"/>
      <c r="AD120" s="3"/>
      <c r="AE120" s="3"/>
      <c r="AF120" s="3"/>
      <c r="AG120" s="3"/>
      <c r="AH120" s="3"/>
      <c r="AI120" s="3"/>
      <c r="AJ120" s="3"/>
      <c r="AK120" s="3"/>
      <c r="AL120" s="3"/>
      <c r="AM120" s="3"/>
      <c r="AN120" s="3"/>
      <c r="AO120" s="3"/>
    </row>
    <row r="121" spans="2:41" s="171" customFormat="1" x14ac:dyDescent="0.25">
      <c r="B121" s="13"/>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5"/>
      <c r="AB121" s="3"/>
      <c r="AC121" s="3"/>
      <c r="AD121" s="3"/>
      <c r="AE121" s="3"/>
      <c r="AF121" s="3"/>
      <c r="AG121" s="3"/>
      <c r="AH121" s="3"/>
      <c r="AI121" s="3"/>
      <c r="AJ121" s="3"/>
      <c r="AK121" s="3"/>
      <c r="AL121" s="3"/>
      <c r="AM121" s="3"/>
      <c r="AN121" s="3"/>
      <c r="AO121" s="3"/>
    </row>
    <row r="122" spans="2:41" s="171" customFormat="1" ht="18.75" x14ac:dyDescent="0.3">
      <c r="B122" s="67"/>
      <c r="C122" s="14"/>
      <c r="D122" s="60"/>
      <c r="E122" s="56"/>
      <c r="F122" s="56"/>
      <c r="G122" s="14"/>
      <c r="H122" s="56"/>
      <c r="I122" s="74"/>
      <c r="J122" s="14"/>
      <c r="K122" s="14"/>
      <c r="L122" s="14"/>
      <c r="M122" s="14"/>
      <c r="N122" s="14"/>
      <c r="O122" s="14"/>
      <c r="P122" s="14"/>
      <c r="Q122" s="14"/>
      <c r="R122" s="14"/>
      <c r="S122" s="14"/>
      <c r="T122" s="14"/>
      <c r="U122" s="14"/>
      <c r="V122" s="14"/>
      <c r="W122" s="14"/>
      <c r="X122" s="14"/>
      <c r="Y122" s="14"/>
      <c r="Z122" s="14"/>
      <c r="AA122" s="15"/>
      <c r="AB122" s="3"/>
      <c r="AC122" s="3"/>
      <c r="AD122" s="3"/>
      <c r="AE122" s="3"/>
      <c r="AF122" s="3"/>
      <c r="AG122" s="3"/>
      <c r="AH122" s="3"/>
      <c r="AI122" s="3"/>
      <c r="AJ122" s="3"/>
      <c r="AK122" s="3"/>
      <c r="AL122" s="3"/>
      <c r="AM122" s="3"/>
      <c r="AN122" s="3"/>
      <c r="AO122" s="3"/>
    </row>
    <row r="123" spans="2:41" s="171" customFormat="1" x14ac:dyDescent="0.25">
      <c r="B123" s="13"/>
      <c r="C123" s="14"/>
      <c r="D123" s="14"/>
      <c r="E123" s="56"/>
      <c r="F123" s="56"/>
      <c r="G123" s="14"/>
      <c r="H123" s="56"/>
      <c r="I123" s="14"/>
      <c r="J123" s="14"/>
      <c r="K123" s="14"/>
      <c r="L123" s="14"/>
      <c r="M123" s="14"/>
      <c r="N123" s="14"/>
      <c r="O123" s="14"/>
      <c r="P123" s="14"/>
      <c r="Q123" s="14"/>
      <c r="R123" s="14"/>
      <c r="S123" s="14"/>
      <c r="T123" s="14"/>
      <c r="U123" s="14"/>
      <c r="V123" s="14"/>
      <c r="W123" s="14"/>
      <c r="X123" s="14"/>
      <c r="Y123" s="14"/>
      <c r="Z123" s="14"/>
      <c r="AA123" s="15"/>
      <c r="AB123" s="3"/>
      <c r="AC123" s="3"/>
      <c r="AD123" s="3"/>
      <c r="AE123" s="3"/>
      <c r="AF123" s="3"/>
      <c r="AG123" s="3"/>
      <c r="AH123" s="3"/>
      <c r="AI123" s="3"/>
      <c r="AJ123" s="3"/>
      <c r="AK123" s="3"/>
      <c r="AL123" s="3"/>
      <c r="AM123" s="3"/>
      <c r="AN123" s="3"/>
      <c r="AO123" s="3"/>
    </row>
    <row r="124" spans="2:41" s="171" customFormat="1" x14ac:dyDescent="0.25">
      <c r="B124" s="13"/>
      <c r="C124" s="14"/>
      <c r="D124" s="60"/>
      <c r="E124" s="56"/>
      <c r="F124" s="56"/>
      <c r="G124" s="57"/>
      <c r="H124" s="14"/>
      <c r="I124" s="14"/>
      <c r="J124" s="14"/>
      <c r="K124" s="14"/>
      <c r="L124" s="14"/>
      <c r="M124" s="14"/>
      <c r="N124" s="14"/>
      <c r="O124" s="14"/>
      <c r="P124" s="14"/>
      <c r="Q124" s="14"/>
      <c r="R124" s="14"/>
      <c r="S124" s="14"/>
      <c r="T124" s="14"/>
      <c r="U124" s="14"/>
      <c r="V124" s="14"/>
      <c r="W124" s="14"/>
      <c r="X124" s="14"/>
      <c r="Y124" s="14"/>
      <c r="Z124" s="14"/>
      <c r="AA124" s="15"/>
      <c r="AB124" s="3"/>
      <c r="AC124" s="3"/>
      <c r="AD124" s="3"/>
      <c r="AE124" s="3"/>
      <c r="AF124" s="3"/>
      <c r="AG124" s="3"/>
      <c r="AH124" s="3"/>
      <c r="AI124" s="3"/>
      <c r="AJ124" s="3"/>
      <c r="AK124" s="3"/>
      <c r="AL124" s="3"/>
      <c r="AM124" s="3"/>
      <c r="AN124" s="3"/>
      <c r="AO124" s="3"/>
    </row>
    <row r="125" spans="2:41" s="171" customFormat="1" x14ac:dyDescent="0.25">
      <c r="B125" s="13"/>
      <c r="C125" s="14"/>
      <c r="D125" s="60"/>
      <c r="E125" s="56"/>
      <c r="F125" s="56"/>
      <c r="G125" s="128"/>
      <c r="H125" s="56"/>
      <c r="I125" s="14"/>
      <c r="J125" s="14"/>
      <c r="K125" s="14"/>
      <c r="L125" s="14"/>
      <c r="M125" s="14"/>
      <c r="N125" s="14"/>
      <c r="O125" s="14"/>
      <c r="P125" s="14"/>
      <c r="Q125" s="14"/>
      <c r="R125" s="14"/>
      <c r="S125" s="14"/>
      <c r="T125" s="14"/>
      <c r="U125" s="14"/>
      <c r="V125" s="14"/>
      <c r="W125" s="14"/>
      <c r="X125" s="14"/>
      <c r="Y125" s="14"/>
      <c r="Z125" s="14"/>
      <c r="AA125" s="15"/>
      <c r="AB125" s="3"/>
      <c r="AC125" s="3"/>
      <c r="AD125" s="3"/>
      <c r="AE125" s="3"/>
      <c r="AF125" s="3"/>
      <c r="AG125" s="3"/>
      <c r="AH125" s="3"/>
      <c r="AI125" s="3"/>
      <c r="AJ125" s="3"/>
      <c r="AK125" s="3"/>
      <c r="AL125" s="3"/>
      <c r="AM125" s="3"/>
      <c r="AN125" s="3"/>
      <c r="AO125" s="3"/>
    </row>
    <row r="126" spans="2:41" s="171" customFormat="1" x14ac:dyDescent="0.25">
      <c r="B126" s="13"/>
      <c r="C126" s="14"/>
      <c r="D126" s="60"/>
      <c r="E126" s="56"/>
      <c r="F126" s="56"/>
      <c r="G126" s="14"/>
      <c r="H126" s="56"/>
      <c r="I126" s="14"/>
      <c r="J126" s="14"/>
      <c r="K126" s="14"/>
      <c r="L126" s="14"/>
      <c r="M126" s="14"/>
      <c r="N126" s="14"/>
      <c r="O126" s="14"/>
      <c r="P126" s="14"/>
      <c r="Q126" s="14"/>
      <c r="R126" s="14"/>
      <c r="S126" s="14"/>
      <c r="T126" s="14"/>
      <c r="U126" s="14"/>
      <c r="V126" s="14"/>
      <c r="W126" s="14"/>
      <c r="X126" s="14"/>
      <c r="Y126" s="14"/>
      <c r="Z126" s="14"/>
      <c r="AA126" s="15"/>
      <c r="AB126" s="3"/>
      <c r="AC126" s="3"/>
      <c r="AD126" s="3"/>
      <c r="AE126" s="3"/>
      <c r="AF126" s="3"/>
      <c r="AG126" s="3"/>
      <c r="AH126" s="3"/>
      <c r="AI126" s="3"/>
      <c r="AJ126" s="3"/>
      <c r="AK126" s="3"/>
      <c r="AL126" s="3"/>
      <c r="AM126" s="3"/>
      <c r="AN126" s="3"/>
      <c r="AO126" s="3"/>
    </row>
    <row r="127" spans="2:41" s="171" customFormat="1" x14ac:dyDescent="0.25">
      <c r="B127" s="13"/>
      <c r="C127" s="14"/>
      <c r="D127" s="60"/>
      <c r="E127" s="56"/>
      <c r="F127" s="56"/>
      <c r="G127" s="14"/>
      <c r="H127" s="56"/>
      <c r="I127" s="14"/>
      <c r="J127" s="14"/>
      <c r="K127" s="14"/>
      <c r="L127" s="14"/>
      <c r="M127" s="14"/>
      <c r="N127" s="14"/>
      <c r="O127" s="14"/>
      <c r="P127" s="14"/>
      <c r="Q127" s="14"/>
      <c r="R127" s="14"/>
      <c r="S127" s="14"/>
      <c r="T127" s="14"/>
      <c r="U127" s="14"/>
      <c r="V127" s="14"/>
      <c r="W127" s="14"/>
      <c r="X127" s="14"/>
      <c r="Y127" s="14"/>
      <c r="Z127" s="14"/>
      <c r="AA127" s="15"/>
      <c r="AB127" s="3"/>
      <c r="AC127" s="3"/>
      <c r="AD127" s="3"/>
      <c r="AE127" s="3"/>
      <c r="AF127" s="3"/>
      <c r="AG127" s="3"/>
      <c r="AH127" s="3"/>
      <c r="AI127" s="3"/>
      <c r="AJ127" s="3"/>
      <c r="AK127" s="3"/>
      <c r="AL127" s="3"/>
      <c r="AM127" s="3"/>
      <c r="AN127" s="3"/>
      <c r="AO127" s="3"/>
    </row>
    <row r="128" spans="2:41" s="171" customFormat="1" x14ac:dyDescent="0.25">
      <c r="B128" s="13"/>
      <c r="C128" s="56"/>
      <c r="D128" s="60"/>
      <c r="E128" s="56"/>
      <c r="F128" s="56"/>
      <c r="G128" s="56"/>
      <c r="H128" s="56"/>
      <c r="I128" s="14"/>
      <c r="J128" s="14"/>
      <c r="K128" s="14"/>
      <c r="L128" s="14"/>
      <c r="M128" s="14"/>
      <c r="N128" s="14"/>
      <c r="O128" s="14"/>
      <c r="P128" s="14"/>
      <c r="Q128" s="14"/>
      <c r="R128" s="14"/>
      <c r="S128" s="14"/>
      <c r="T128" s="14"/>
      <c r="U128" s="14"/>
      <c r="V128" s="14"/>
      <c r="W128" s="14"/>
      <c r="X128" s="14"/>
      <c r="Y128" s="14"/>
      <c r="Z128" s="14"/>
      <c r="AA128" s="15"/>
      <c r="AB128" s="3"/>
      <c r="AC128" s="3"/>
      <c r="AD128" s="3"/>
      <c r="AE128" s="3"/>
      <c r="AF128" s="3"/>
      <c r="AG128" s="3"/>
      <c r="AH128" s="3"/>
      <c r="AI128" s="3"/>
      <c r="AJ128" s="3"/>
      <c r="AK128" s="3"/>
      <c r="AL128" s="3"/>
      <c r="AM128" s="3"/>
      <c r="AN128" s="3"/>
      <c r="AO128" s="3"/>
    </row>
    <row r="129" spans="2:41" s="171" customFormat="1" x14ac:dyDescent="0.25">
      <c r="B129" s="13"/>
      <c r="C129" s="14"/>
      <c r="D129" s="60"/>
      <c r="E129" s="56"/>
      <c r="F129" s="56"/>
      <c r="G129" s="14"/>
      <c r="H129" s="56"/>
      <c r="I129" s="14"/>
      <c r="J129" s="14"/>
      <c r="K129" s="14"/>
      <c r="L129" s="14"/>
      <c r="M129" s="14"/>
      <c r="N129" s="14"/>
      <c r="O129" s="14"/>
      <c r="P129" s="14"/>
      <c r="Q129" s="14"/>
      <c r="R129" s="14"/>
      <c r="S129" s="14"/>
      <c r="T129" s="14"/>
      <c r="U129" s="14"/>
      <c r="V129" s="14"/>
      <c r="W129" s="14"/>
      <c r="X129" s="14"/>
      <c r="Y129" s="14"/>
      <c r="Z129" s="14"/>
      <c r="AA129" s="15"/>
      <c r="AB129" s="3"/>
      <c r="AC129" s="3"/>
      <c r="AD129" s="3"/>
      <c r="AE129" s="3"/>
      <c r="AF129" s="3"/>
      <c r="AG129" s="3"/>
      <c r="AH129" s="3"/>
      <c r="AI129" s="3"/>
      <c r="AJ129" s="3"/>
      <c r="AK129" s="3"/>
      <c r="AL129" s="3"/>
      <c r="AM129" s="3"/>
      <c r="AN129" s="3"/>
      <c r="AO129" s="3"/>
    </row>
    <row r="130" spans="2:41" s="171" customFormat="1" x14ac:dyDescent="0.25">
      <c r="B130" s="13"/>
      <c r="C130" s="14"/>
      <c r="D130" s="14"/>
      <c r="E130" s="56"/>
      <c r="F130" s="56"/>
      <c r="G130" s="14"/>
      <c r="H130" s="56"/>
      <c r="I130" s="14"/>
      <c r="J130" s="14"/>
      <c r="K130" s="14"/>
      <c r="L130" s="14"/>
      <c r="M130" s="14"/>
      <c r="N130" s="14"/>
      <c r="O130" s="14"/>
      <c r="P130" s="14"/>
      <c r="Q130" s="14"/>
      <c r="R130" s="14"/>
      <c r="S130" s="14"/>
      <c r="T130" s="14"/>
      <c r="U130" s="14"/>
      <c r="V130" s="14"/>
      <c r="W130" s="14"/>
      <c r="X130" s="14"/>
      <c r="Y130" s="14"/>
      <c r="Z130" s="14"/>
      <c r="AA130" s="15"/>
      <c r="AB130" s="3"/>
      <c r="AC130" s="3"/>
      <c r="AD130" s="3"/>
      <c r="AE130" s="3"/>
      <c r="AF130" s="3"/>
      <c r="AG130" s="3"/>
      <c r="AH130" s="3"/>
      <c r="AI130" s="3"/>
      <c r="AJ130" s="3"/>
      <c r="AK130" s="3"/>
      <c r="AL130" s="3"/>
      <c r="AM130" s="3"/>
      <c r="AN130" s="3"/>
      <c r="AO130" s="3"/>
    </row>
    <row r="131" spans="2:41" s="171" customFormat="1" x14ac:dyDescent="0.25">
      <c r="B131" s="13"/>
      <c r="C131" s="14"/>
      <c r="D131" s="60"/>
      <c r="E131" s="56"/>
      <c r="F131" s="56"/>
      <c r="G131" s="57"/>
      <c r="H131" s="14"/>
      <c r="I131" s="14"/>
      <c r="J131" s="14"/>
      <c r="K131" s="14"/>
      <c r="L131" s="14"/>
      <c r="M131" s="14"/>
      <c r="N131" s="14"/>
      <c r="O131" s="14"/>
      <c r="P131" s="14"/>
      <c r="Q131" s="14"/>
      <c r="R131" s="14"/>
      <c r="S131" s="14"/>
      <c r="T131" s="14"/>
      <c r="U131" s="14"/>
      <c r="V131" s="14"/>
      <c r="W131" s="14"/>
      <c r="X131" s="14"/>
      <c r="Y131" s="14"/>
      <c r="Z131" s="14"/>
      <c r="AA131" s="15"/>
      <c r="AB131" s="3"/>
      <c r="AC131" s="3"/>
      <c r="AD131" s="3"/>
      <c r="AE131" s="3"/>
      <c r="AF131" s="3"/>
      <c r="AG131" s="3"/>
      <c r="AH131" s="3"/>
      <c r="AI131" s="3"/>
      <c r="AJ131" s="3"/>
      <c r="AK131" s="3"/>
      <c r="AL131" s="3"/>
      <c r="AM131" s="3"/>
      <c r="AN131" s="3"/>
      <c r="AO131" s="3"/>
    </row>
    <row r="132" spans="2:41" s="171" customFormat="1" x14ac:dyDescent="0.25">
      <c r="B132" s="13"/>
      <c r="C132" s="14"/>
      <c r="D132" s="60"/>
      <c r="E132" s="56"/>
      <c r="F132" s="56"/>
      <c r="G132" s="128"/>
      <c r="H132" s="56"/>
      <c r="I132" s="14"/>
      <c r="J132" s="14"/>
      <c r="K132" s="14"/>
      <c r="L132" s="14"/>
      <c r="M132" s="14"/>
      <c r="N132" s="14"/>
      <c r="O132" s="14"/>
      <c r="P132" s="14"/>
      <c r="Q132" s="14"/>
      <c r="R132" s="14"/>
      <c r="S132" s="14"/>
      <c r="T132" s="14"/>
      <c r="U132" s="14"/>
      <c r="V132" s="14"/>
      <c r="W132" s="14"/>
      <c r="X132" s="14"/>
      <c r="Y132" s="14"/>
      <c r="Z132" s="14"/>
      <c r="AA132" s="15"/>
      <c r="AB132" s="3"/>
      <c r="AC132" s="3"/>
      <c r="AD132" s="3"/>
      <c r="AE132" s="3"/>
      <c r="AF132" s="3"/>
      <c r="AG132" s="3"/>
      <c r="AH132" s="3"/>
      <c r="AI132" s="3"/>
      <c r="AJ132" s="3"/>
      <c r="AK132" s="3"/>
      <c r="AL132" s="3"/>
      <c r="AM132" s="3"/>
      <c r="AN132" s="3"/>
      <c r="AO132" s="3"/>
    </row>
    <row r="133" spans="2:41" s="171" customFormat="1" x14ac:dyDescent="0.25">
      <c r="B133" s="13"/>
      <c r="C133" s="14"/>
      <c r="D133" s="60"/>
      <c r="E133" s="56"/>
      <c r="F133" s="56"/>
      <c r="G133" s="14"/>
      <c r="H133" s="56"/>
      <c r="I133" s="14"/>
      <c r="J133" s="14"/>
      <c r="K133" s="14"/>
      <c r="L133" s="14"/>
      <c r="M133" s="14"/>
      <c r="N133" s="14"/>
      <c r="O133" s="14"/>
      <c r="P133" s="14"/>
      <c r="Q133" s="14"/>
      <c r="R133" s="14"/>
      <c r="S133" s="14"/>
      <c r="T133" s="14"/>
      <c r="U133" s="14"/>
      <c r="V133" s="14"/>
      <c r="W133" s="14"/>
      <c r="X133" s="14"/>
      <c r="Y133" s="14"/>
      <c r="Z133" s="14"/>
      <c r="AA133" s="15"/>
      <c r="AB133" s="3"/>
      <c r="AC133" s="3"/>
      <c r="AD133" s="3"/>
      <c r="AE133" s="3"/>
      <c r="AF133" s="3"/>
      <c r="AG133" s="3"/>
      <c r="AH133" s="3"/>
      <c r="AI133" s="3"/>
      <c r="AJ133" s="3"/>
      <c r="AK133" s="3"/>
      <c r="AL133" s="3"/>
      <c r="AM133" s="3"/>
      <c r="AN133" s="3"/>
      <c r="AO133" s="3"/>
    </row>
    <row r="134" spans="2:41" s="171" customFormat="1" x14ac:dyDescent="0.25">
      <c r="B134" s="13"/>
      <c r="C134" s="14"/>
      <c r="D134" s="60"/>
      <c r="E134" s="56"/>
      <c r="F134" s="56"/>
      <c r="G134" s="14"/>
      <c r="H134" s="56"/>
      <c r="I134" s="14"/>
      <c r="J134" s="14"/>
      <c r="K134" s="14"/>
      <c r="L134" s="14"/>
      <c r="M134" s="14"/>
      <c r="N134" s="14"/>
      <c r="O134" s="14"/>
      <c r="P134" s="14"/>
      <c r="Q134" s="14"/>
      <c r="R134" s="14"/>
      <c r="S134" s="14"/>
      <c r="T134" s="14"/>
      <c r="U134" s="14"/>
      <c r="V134" s="14"/>
      <c r="W134" s="14"/>
      <c r="X134" s="14"/>
      <c r="Y134" s="14"/>
      <c r="Z134" s="14"/>
      <c r="AA134" s="15"/>
      <c r="AB134" s="3"/>
      <c r="AC134" s="3"/>
      <c r="AD134" s="3"/>
      <c r="AE134" s="3"/>
      <c r="AF134" s="3"/>
      <c r="AG134" s="3"/>
      <c r="AH134" s="3"/>
      <c r="AI134" s="3"/>
      <c r="AJ134" s="3"/>
      <c r="AK134" s="3"/>
      <c r="AL134" s="3"/>
      <c r="AM134" s="3"/>
      <c r="AN134" s="3"/>
      <c r="AO134" s="3"/>
    </row>
    <row r="135" spans="2:41" s="171" customFormat="1" x14ac:dyDescent="0.25">
      <c r="B135" s="13"/>
      <c r="C135" s="56"/>
      <c r="D135" s="60"/>
      <c r="E135" s="56"/>
      <c r="F135" s="56"/>
      <c r="G135" s="56"/>
      <c r="H135" s="56"/>
      <c r="I135" s="14"/>
      <c r="J135" s="14"/>
      <c r="K135" s="14"/>
      <c r="L135" s="14"/>
      <c r="M135" s="14"/>
      <c r="N135" s="14"/>
      <c r="O135" s="14"/>
      <c r="P135" s="14"/>
      <c r="Q135" s="14"/>
      <c r="R135" s="14"/>
      <c r="S135" s="14"/>
      <c r="T135" s="14"/>
      <c r="U135" s="14"/>
      <c r="V135" s="14"/>
      <c r="W135" s="14"/>
      <c r="X135" s="14"/>
      <c r="Y135" s="14"/>
      <c r="Z135" s="14"/>
      <c r="AA135" s="15"/>
      <c r="AB135" s="3"/>
      <c r="AC135" s="3"/>
      <c r="AD135" s="3"/>
      <c r="AE135" s="3"/>
      <c r="AF135" s="3"/>
      <c r="AG135" s="3"/>
      <c r="AH135" s="3"/>
      <c r="AI135" s="3"/>
      <c r="AJ135" s="3"/>
      <c r="AK135" s="3"/>
      <c r="AL135" s="3"/>
      <c r="AM135" s="3"/>
      <c r="AN135" s="3"/>
      <c r="AO135" s="3"/>
    </row>
    <row r="136" spans="2:41" s="171" customFormat="1" ht="18.75" x14ac:dyDescent="0.3">
      <c r="B136" s="67"/>
      <c r="C136" s="14"/>
      <c r="D136" s="60"/>
      <c r="E136" s="56"/>
      <c r="F136" s="56"/>
      <c r="G136" s="14"/>
      <c r="H136" s="56"/>
      <c r="I136" s="74"/>
      <c r="J136" s="14"/>
      <c r="K136" s="14"/>
      <c r="L136" s="14"/>
      <c r="M136" s="14"/>
      <c r="N136" s="14"/>
      <c r="O136" s="14"/>
      <c r="P136" s="14"/>
      <c r="Q136" s="14"/>
      <c r="R136" s="14"/>
      <c r="S136" s="14"/>
      <c r="T136" s="14"/>
      <c r="U136" s="14"/>
      <c r="V136" s="14"/>
      <c r="W136" s="14"/>
      <c r="X136" s="14"/>
      <c r="Y136" s="14"/>
      <c r="Z136" s="14"/>
      <c r="AA136" s="15"/>
      <c r="AB136" s="3"/>
      <c r="AC136" s="3"/>
      <c r="AD136" s="3"/>
      <c r="AE136" s="3"/>
      <c r="AF136" s="3"/>
      <c r="AG136" s="3"/>
      <c r="AH136" s="3"/>
      <c r="AI136" s="3"/>
      <c r="AJ136" s="3"/>
      <c r="AK136" s="3"/>
      <c r="AL136" s="3"/>
      <c r="AM136" s="3"/>
      <c r="AN136" s="3"/>
      <c r="AO136" s="3"/>
    </row>
    <row r="137" spans="2:41" s="171" customFormat="1" x14ac:dyDescent="0.25">
      <c r="B137" s="13"/>
      <c r="C137" s="14"/>
      <c r="D137" s="14"/>
      <c r="E137" s="56"/>
      <c r="F137" s="56"/>
      <c r="G137" s="14"/>
      <c r="H137" s="56"/>
      <c r="I137" s="14"/>
      <c r="J137" s="14"/>
      <c r="K137" s="14"/>
      <c r="L137" s="14"/>
      <c r="M137" s="14"/>
      <c r="N137" s="14"/>
      <c r="O137" s="14"/>
      <c r="P137" s="14"/>
      <c r="Q137" s="14"/>
      <c r="R137" s="14"/>
      <c r="S137" s="14"/>
      <c r="T137" s="14"/>
      <c r="U137" s="14"/>
      <c r="V137" s="14"/>
      <c r="W137" s="14"/>
      <c r="X137" s="14"/>
      <c r="Y137" s="14"/>
      <c r="Z137" s="14"/>
      <c r="AA137" s="15"/>
      <c r="AB137" s="3"/>
      <c r="AC137" s="3"/>
      <c r="AD137" s="3"/>
      <c r="AE137" s="3"/>
      <c r="AF137" s="3"/>
      <c r="AG137" s="3"/>
      <c r="AH137" s="3"/>
      <c r="AI137" s="3"/>
      <c r="AJ137" s="3"/>
      <c r="AK137" s="3"/>
      <c r="AL137" s="3"/>
      <c r="AM137" s="3"/>
      <c r="AN137" s="3"/>
      <c r="AO137" s="3"/>
    </row>
    <row r="138" spans="2:41" s="171" customFormat="1" x14ac:dyDescent="0.25">
      <c r="B138" s="13"/>
      <c r="C138" s="14"/>
      <c r="D138" s="60"/>
      <c r="E138" s="56"/>
      <c r="F138" s="56"/>
      <c r="G138" s="57"/>
      <c r="H138" s="14"/>
      <c r="I138" s="14"/>
      <c r="J138" s="14"/>
      <c r="K138" s="14"/>
      <c r="L138" s="14"/>
      <c r="M138" s="14"/>
      <c r="N138" s="14"/>
      <c r="O138" s="14"/>
      <c r="P138" s="14"/>
      <c r="Q138" s="14"/>
      <c r="R138" s="14"/>
      <c r="S138" s="14"/>
      <c r="T138" s="14"/>
      <c r="U138" s="14"/>
      <c r="V138" s="14"/>
      <c r="W138" s="14"/>
      <c r="X138" s="14"/>
      <c r="Y138" s="14"/>
      <c r="Z138" s="14"/>
      <c r="AA138" s="15"/>
      <c r="AB138" s="3"/>
      <c r="AC138" s="3"/>
      <c r="AD138" s="3"/>
      <c r="AE138" s="3"/>
      <c r="AF138" s="3"/>
      <c r="AG138" s="3"/>
      <c r="AH138" s="3"/>
      <c r="AI138" s="3"/>
      <c r="AJ138" s="3"/>
      <c r="AK138" s="3"/>
      <c r="AL138" s="3"/>
      <c r="AM138" s="3"/>
      <c r="AN138" s="3"/>
      <c r="AO138" s="3"/>
    </row>
    <row r="139" spans="2:41" s="171" customFormat="1" x14ac:dyDescent="0.25">
      <c r="B139" s="13"/>
      <c r="C139" s="14"/>
      <c r="D139" s="60"/>
      <c r="E139" s="56"/>
      <c r="F139" s="56"/>
      <c r="G139" s="128"/>
      <c r="H139" s="56"/>
      <c r="I139" s="14"/>
      <c r="J139" s="14"/>
      <c r="K139" s="14"/>
      <c r="L139" s="14"/>
      <c r="M139" s="14"/>
      <c r="N139" s="14"/>
      <c r="O139" s="14"/>
      <c r="P139" s="14"/>
      <c r="Q139" s="14"/>
      <c r="R139" s="14"/>
      <c r="S139" s="14"/>
      <c r="T139" s="14"/>
      <c r="U139" s="14"/>
      <c r="V139" s="14"/>
      <c r="W139" s="14"/>
      <c r="X139" s="14"/>
      <c r="Y139" s="14"/>
      <c r="Z139" s="14"/>
      <c r="AA139" s="15"/>
      <c r="AB139" s="3"/>
      <c r="AC139" s="3"/>
      <c r="AD139" s="3"/>
      <c r="AE139" s="3"/>
      <c r="AF139" s="3"/>
      <c r="AG139" s="3"/>
      <c r="AH139" s="3"/>
      <c r="AI139" s="3"/>
      <c r="AJ139" s="3"/>
      <c r="AK139" s="3"/>
      <c r="AL139" s="3"/>
      <c r="AM139" s="3"/>
      <c r="AN139" s="3"/>
      <c r="AO139" s="3"/>
    </row>
    <row r="140" spans="2:41" s="171" customFormat="1" x14ac:dyDescent="0.25">
      <c r="B140" s="13"/>
      <c r="C140" s="14"/>
      <c r="D140" s="60"/>
      <c r="E140" s="56"/>
      <c r="F140" s="56"/>
      <c r="G140" s="14"/>
      <c r="H140" s="56"/>
      <c r="I140" s="14"/>
      <c r="J140" s="14"/>
      <c r="K140" s="14"/>
      <c r="L140" s="14"/>
      <c r="M140" s="14"/>
      <c r="N140" s="14"/>
      <c r="O140" s="14"/>
      <c r="P140" s="14"/>
      <c r="Q140" s="14"/>
      <c r="R140" s="14"/>
      <c r="S140" s="14"/>
      <c r="T140" s="14"/>
      <c r="U140" s="14"/>
      <c r="V140" s="14"/>
      <c r="W140" s="14"/>
      <c r="X140" s="14"/>
      <c r="Y140" s="14"/>
      <c r="Z140" s="14"/>
      <c r="AA140" s="15"/>
      <c r="AB140" s="3"/>
      <c r="AC140" s="3"/>
      <c r="AD140" s="3"/>
      <c r="AE140" s="3"/>
      <c r="AF140" s="3"/>
      <c r="AG140" s="3"/>
      <c r="AH140" s="3"/>
      <c r="AI140" s="3"/>
      <c r="AJ140" s="3"/>
      <c r="AK140" s="3"/>
      <c r="AL140" s="3"/>
      <c r="AM140" s="3"/>
      <c r="AN140" s="3"/>
      <c r="AO140" s="3"/>
    </row>
    <row r="141" spans="2:41" s="171" customFormat="1" x14ac:dyDescent="0.25">
      <c r="B141" s="13"/>
      <c r="C141" s="14"/>
      <c r="D141" s="60"/>
      <c r="E141" s="56"/>
      <c r="F141" s="56"/>
      <c r="G141" s="14"/>
      <c r="H141" s="56"/>
      <c r="I141" s="14"/>
      <c r="J141" s="14"/>
      <c r="K141" s="14"/>
      <c r="L141" s="14"/>
      <c r="M141" s="14"/>
      <c r="N141" s="14"/>
      <c r="O141" s="14"/>
      <c r="P141" s="14"/>
      <c r="Q141" s="14"/>
      <c r="R141" s="14"/>
      <c r="S141" s="14"/>
      <c r="T141" s="14"/>
      <c r="U141" s="14"/>
      <c r="V141" s="14"/>
      <c r="W141" s="14"/>
      <c r="X141" s="14"/>
      <c r="Y141" s="14"/>
      <c r="Z141" s="14"/>
      <c r="AA141" s="15"/>
      <c r="AB141" s="3"/>
      <c r="AC141" s="3"/>
      <c r="AD141" s="3"/>
      <c r="AE141" s="3"/>
      <c r="AF141" s="3"/>
      <c r="AG141" s="3"/>
      <c r="AH141" s="3"/>
      <c r="AI141" s="3"/>
      <c r="AJ141" s="3"/>
      <c r="AK141" s="3"/>
      <c r="AL141" s="3"/>
      <c r="AM141" s="3"/>
      <c r="AN141" s="3"/>
      <c r="AO141" s="3"/>
    </row>
    <row r="142" spans="2:41" s="171" customFormat="1" x14ac:dyDescent="0.25">
      <c r="B142" s="13"/>
      <c r="C142" s="56"/>
      <c r="D142" s="60"/>
      <c r="E142" s="56"/>
      <c r="F142" s="56"/>
      <c r="G142" s="56"/>
      <c r="H142" s="56"/>
      <c r="I142" s="14"/>
      <c r="J142" s="14"/>
      <c r="K142" s="14"/>
      <c r="L142" s="14"/>
      <c r="M142" s="14"/>
      <c r="N142" s="14"/>
      <c r="O142" s="14"/>
      <c r="P142" s="14"/>
      <c r="Q142" s="14"/>
      <c r="R142" s="14"/>
      <c r="S142" s="14"/>
      <c r="T142" s="14"/>
      <c r="U142" s="14"/>
      <c r="V142" s="14"/>
      <c r="W142" s="14"/>
      <c r="X142" s="14"/>
      <c r="Y142" s="14"/>
      <c r="Z142" s="14"/>
      <c r="AA142" s="15"/>
      <c r="AB142" s="3"/>
      <c r="AC142" s="3"/>
      <c r="AD142" s="3"/>
      <c r="AE142" s="3"/>
      <c r="AF142" s="3"/>
      <c r="AG142" s="3"/>
      <c r="AH142" s="3"/>
      <c r="AI142" s="3"/>
      <c r="AJ142" s="3"/>
      <c r="AK142" s="3"/>
      <c r="AL142" s="3"/>
      <c r="AM142" s="3"/>
      <c r="AN142" s="3"/>
      <c r="AO142" s="3"/>
    </row>
    <row r="143" spans="2:41" s="171" customFormat="1" x14ac:dyDescent="0.25">
      <c r="B143" s="13"/>
      <c r="C143" s="14"/>
      <c r="D143" s="60"/>
      <c r="E143" s="56"/>
      <c r="F143" s="56"/>
      <c r="G143" s="14"/>
      <c r="H143" s="56"/>
      <c r="I143" s="14"/>
      <c r="J143" s="14"/>
      <c r="K143" s="14"/>
      <c r="L143" s="14"/>
      <c r="M143" s="14"/>
      <c r="N143" s="14"/>
      <c r="O143" s="14"/>
      <c r="P143" s="14"/>
      <c r="Q143" s="14"/>
      <c r="R143" s="14"/>
      <c r="S143" s="14"/>
      <c r="T143" s="14"/>
      <c r="U143" s="14"/>
      <c r="V143" s="14"/>
      <c r="W143" s="14"/>
      <c r="X143" s="14"/>
      <c r="Y143" s="14"/>
      <c r="Z143" s="14"/>
      <c r="AA143" s="15"/>
      <c r="AB143" s="3"/>
      <c r="AC143" s="3"/>
      <c r="AD143" s="3"/>
      <c r="AE143" s="3"/>
      <c r="AF143" s="3"/>
      <c r="AG143" s="3"/>
      <c r="AH143" s="3"/>
      <c r="AI143" s="3"/>
      <c r="AJ143" s="3"/>
      <c r="AK143" s="3"/>
      <c r="AL143" s="3"/>
      <c r="AM143" s="3"/>
      <c r="AN143" s="3"/>
      <c r="AO143" s="3"/>
    </row>
    <row r="144" spans="2:41" s="171" customFormat="1" x14ac:dyDescent="0.25">
      <c r="B144" s="13"/>
      <c r="C144" s="14"/>
      <c r="D144" s="14"/>
      <c r="E144" s="56"/>
      <c r="F144" s="56"/>
      <c r="G144" s="14"/>
      <c r="H144" s="56"/>
      <c r="I144" s="14"/>
      <c r="J144" s="14"/>
      <c r="K144" s="14"/>
      <c r="L144" s="14"/>
      <c r="M144" s="14"/>
      <c r="N144" s="14"/>
      <c r="O144" s="14"/>
      <c r="P144" s="14"/>
      <c r="Q144" s="14"/>
      <c r="R144" s="14"/>
      <c r="S144" s="14"/>
      <c r="T144" s="14"/>
      <c r="U144" s="14"/>
      <c r="V144" s="14"/>
      <c r="W144" s="14"/>
      <c r="X144" s="14"/>
      <c r="Y144" s="14"/>
      <c r="Z144" s="14"/>
      <c r="AA144" s="15"/>
      <c r="AB144" s="3"/>
      <c r="AC144" s="3"/>
      <c r="AD144" s="3"/>
      <c r="AE144" s="3"/>
      <c r="AF144" s="3"/>
      <c r="AG144" s="3"/>
      <c r="AH144" s="3"/>
      <c r="AI144" s="3"/>
      <c r="AJ144" s="3"/>
      <c r="AK144" s="3"/>
      <c r="AL144" s="3"/>
      <c r="AM144" s="3"/>
      <c r="AN144" s="3"/>
      <c r="AO144" s="3"/>
    </row>
    <row r="145" spans="2:41" s="171" customFormat="1" x14ac:dyDescent="0.25">
      <c r="B145" s="13"/>
      <c r="C145" s="14"/>
      <c r="D145" s="60"/>
      <c r="E145" s="56"/>
      <c r="F145" s="56"/>
      <c r="G145" s="14"/>
      <c r="H145" s="14"/>
      <c r="I145" s="14"/>
      <c r="J145" s="14"/>
      <c r="K145" s="14"/>
      <c r="L145" s="14"/>
      <c r="M145" s="14"/>
      <c r="N145" s="14"/>
      <c r="O145" s="14"/>
      <c r="P145" s="14"/>
      <c r="Q145" s="14"/>
      <c r="R145" s="14"/>
      <c r="S145" s="14"/>
      <c r="T145" s="14"/>
      <c r="U145" s="14"/>
      <c r="V145" s="14"/>
      <c r="W145" s="14"/>
      <c r="X145" s="14"/>
      <c r="Y145" s="14"/>
      <c r="Z145" s="14"/>
      <c r="AA145" s="15"/>
      <c r="AB145" s="3"/>
      <c r="AC145" s="3"/>
      <c r="AD145" s="3"/>
      <c r="AE145" s="3"/>
      <c r="AF145" s="3"/>
      <c r="AG145" s="3"/>
      <c r="AH145" s="3"/>
      <c r="AI145" s="3"/>
      <c r="AJ145" s="3"/>
      <c r="AK145" s="3"/>
      <c r="AL145" s="3"/>
      <c r="AM145" s="3"/>
      <c r="AN145" s="3"/>
      <c r="AO145" s="3"/>
    </row>
    <row r="146" spans="2:41" s="171" customFormat="1" x14ac:dyDescent="0.25">
      <c r="B146" s="13"/>
      <c r="C146" s="14"/>
      <c r="D146" s="60"/>
      <c r="E146" s="56"/>
      <c r="F146" s="56"/>
      <c r="G146" s="14"/>
      <c r="H146" s="56"/>
      <c r="I146" s="14"/>
      <c r="J146" s="14"/>
      <c r="K146" s="14"/>
      <c r="L146" s="14"/>
      <c r="M146" s="14"/>
      <c r="N146" s="14"/>
      <c r="O146" s="14"/>
      <c r="P146" s="14"/>
      <c r="Q146" s="14"/>
      <c r="R146" s="14"/>
      <c r="S146" s="14"/>
      <c r="T146" s="14"/>
      <c r="U146" s="14"/>
      <c r="V146" s="14"/>
      <c r="W146" s="14"/>
      <c r="X146" s="14"/>
      <c r="Y146" s="14"/>
      <c r="Z146" s="14"/>
      <c r="AA146" s="15"/>
      <c r="AB146" s="3"/>
      <c r="AC146" s="3"/>
      <c r="AD146" s="3"/>
      <c r="AE146" s="3"/>
      <c r="AF146" s="3"/>
      <c r="AG146" s="3"/>
      <c r="AH146" s="3"/>
      <c r="AI146" s="3"/>
      <c r="AJ146" s="3"/>
      <c r="AK146" s="3"/>
      <c r="AL146" s="3"/>
      <c r="AM146" s="3"/>
      <c r="AN146" s="3"/>
      <c r="AO146" s="3"/>
    </row>
    <row r="147" spans="2:41" s="171" customFormat="1" x14ac:dyDescent="0.25">
      <c r="B147" s="13"/>
      <c r="C147" s="14"/>
      <c r="D147" s="60"/>
      <c r="E147" s="56"/>
      <c r="F147" s="56"/>
      <c r="G147" s="14"/>
      <c r="H147" s="56"/>
      <c r="I147" s="14"/>
      <c r="J147" s="14"/>
      <c r="K147" s="14"/>
      <c r="L147" s="14"/>
      <c r="M147" s="14"/>
      <c r="N147" s="14"/>
      <c r="O147" s="14"/>
      <c r="P147" s="14"/>
      <c r="Q147" s="14"/>
      <c r="R147" s="14"/>
      <c r="S147" s="14"/>
      <c r="T147" s="14"/>
      <c r="U147" s="14"/>
      <c r="V147" s="14"/>
      <c r="W147" s="14"/>
      <c r="X147" s="14"/>
      <c r="Y147" s="14"/>
      <c r="Z147" s="14"/>
      <c r="AA147" s="15"/>
      <c r="AB147" s="3"/>
      <c r="AC147" s="3"/>
      <c r="AD147" s="3"/>
      <c r="AE147" s="3"/>
      <c r="AF147" s="3"/>
      <c r="AG147" s="3"/>
      <c r="AH147" s="3"/>
      <c r="AI147" s="3"/>
      <c r="AJ147" s="3"/>
      <c r="AK147" s="3"/>
      <c r="AL147" s="3"/>
      <c r="AM147" s="3"/>
      <c r="AN147" s="3"/>
      <c r="AO147" s="3"/>
    </row>
    <row r="148" spans="2:41" s="171" customFormat="1" x14ac:dyDescent="0.25">
      <c r="B148" s="13"/>
      <c r="C148" s="14"/>
      <c r="D148" s="60"/>
      <c r="E148" s="56"/>
      <c r="F148" s="56"/>
      <c r="G148" s="14"/>
      <c r="H148" s="56"/>
      <c r="I148" s="14"/>
      <c r="J148" s="14"/>
      <c r="K148" s="14"/>
      <c r="L148" s="14"/>
      <c r="M148" s="14"/>
      <c r="N148" s="14"/>
      <c r="O148" s="14"/>
      <c r="P148" s="14"/>
      <c r="Q148" s="14"/>
      <c r="R148" s="14"/>
      <c r="S148" s="14"/>
      <c r="T148" s="14"/>
      <c r="U148" s="14"/>
      <c r="V148" s="14"/>
      <c r="W148" s="14"/>
      <c r="X148" s="14"/>
      <c r="Y148" s="14"/>
      <c r="Z148" s="14"/>
      <c r="AA148" s="15"/>
      <c r="AB148" s="3"/>
      <c r="AC148" s="3"/>
      <c r="AD148" s="3"/>
      <c r="AE148" s="3"/>
      <c r="AF148" s="3"/>
      <c r="AG148" s="3"/>
      <c r="AH148" s="3"/>
      <c r="AI148" s="3"/>
      <c r="AJ148" s="3"/>
      <c r="AK148" s="3"/>
      <c r="AL148" s="3"/>
      <c r="AM148" s="3"/>
      <c r="AN148" s="3"/>
      <c r="AO148" s="3"/>
    </row>
    <row r="149" spans="2:41" s="171" customFormat="1" x14ac:dyDescent="0.25">
      <c r="B149" s="13"/>
      <c r="C149" s="56"/>
      <c r="D149" s="60"/>
      <c r="E149" s="56"/>
      <c r="F149" s="56"/>
      <c r="G149" s="56"/>
      <c r="H149" s="56"/>
      <c r="I149" s="14"/>
      <c r="J149" s="14"/>
      <c r="K149" s="14"/>
      <c r="L149" s="14"/>
      <c r="M149" s="14"/>
      <c r="N149" s="14"/>
      <c r="O149" s="14"/>
      <c r="P149" s="14"/>
      <c r="Q149" s="14"/>
      <c r="R149" s="14"/>
      <c r="S149" s="14"/>
      <c r="T149" s="14"/>
      <c r="U149" s="14"/>
      <c r="V149" s="14"/>
      <c r="W149" s="14"/>
      <c r="X149" s="14"/>
      <c r="Y149" s="14"/>
      <c r="Z149" s="14"/>
      <c r="AA149" s="15"/>
      <c r="AB149" s="3"/>
      <c r="AC149" s="3"/>
      <c r="AD149" s="3"/>
      <c r="AE149" s="3"/>
      <c r="AF149" s="3"/>
      <c r="AG149" s="3"/>
      <c r="AH149" s="3"/>
      <c r="AI149" s="3"/>
      <c r="AJ149" s="3"/>
      <c r="AK149" s="3"/>
      <c r="AL149" s="3"/>
      <c r="AM149" s="3"/>
      <c r="AN149" s="3"/>
      <c r="AO149" s="3"/>
    </row>
    <row r="150" spans="2:41" s="171" customFormat="1" ht="18.75" x14ac:dyDescent="0.3">
      <c r="B150" s="67"/>
      <c r="C150" s="14"/>
      <c r="D150" s="60"/>
      <c r="E150" s="56"/>
      <c r="F150" s="56"/>
      <c r="G150" s="14"/>
      <c r="H150" s="56"/>
      <c r="I150" s="74"/>
      <c r="J150" s="14"/>
      <c r="K150" s="14"/>
      <c r="L150" s="14"/>
      <c r="M150" s="14"/>
      <c r="N150" s="14"/>
      <c r="O150" s="14"/>
      <c r="P150" s="14"/>
      <c r="Q150" s="14"/>
      <c r="R150" s="14"/>
      <c r="S150" s="14"/>
      <c r="T150" s="14"/>
      <c r="U150" s="14"/>
      <c r="V150" s="14"/>
      <c r="W150" s="14"/>
      <c r="X150" s="14"/>
      <c r="Y150" s="14"/>
      <c r="Z150" s="14"/>
      <c r="AA150" s="15"/>
      <c r="AB150" s="3"/>
      <c r="AC150" s="3"/>
      <c r="AD150" s="3"/>
      <c r="AE150" s="3"/>
      <c r="AF150" s="3"/>
      <c r="AG150" s="3"/>
      <c r="AH150" s="3"/>
      <c r="AI150" s="3"/>
      <c r="AJ150" s="3"/>
      <c r="AK150" s="3"/>
      <c r="AL150" s="3"/>
      <c r="AM150" s="3"/>
      <c r="AN150" s="3"/>
      <c r="AO150" s="3"/>
    </row>
    <row r="151" spans="2:41" s="171" customFormat="1" x14ac:dyDescent="0.25">
      <c r="B151" s="13"/>
      <c r="C151" s="14"/>
      <c r="D151" s="14"/>
      <c r="E151" s="56"/>
      <c r="F151" s="56"/>
      <c r="G151" s="14"/>
      <c r="H151" s="56"/>
      <c r="I151" s="14"/>
      <c r="J151" s="14"/>
      <c r="K151" s="14"/>
      <c r="L151" s="14"/>
      <c r="M151" s="14"/>
      <c r="N151" s="14"/>
      <c r="O151" s="14"/>
      <c r="P151" s="14"/>
      <c r="Q151" s="14"/>
      <c r="R151" s="14"/>
      <c r="S151" s="14"/>
      <c r="T151" s="14"/>
      <c r="U151" s="14"/>
      <c r="V151" s="14"/>
      <c r="W151" s="14"/>
      <c r="X151" s="14"/>
      <c r="Y151" s="14"/>
      <c r="Z151" s="14"/>
      <c r="AA151" s="15"/>
      <c r="AB151" s="3"/>
      <c r="AC151" s="3"/>
      <c r="AD151" s="3"/>
      <c r="AE151" s="3"/>
      <c r="AF151" s="3"/>
      <c r="AG151" s="3"/>
      <c r="AH151" s="3"/>
      <c r="AI151" s="3"/>
      <c r="AJ151" s="3"/>
      <c r="AK151" s="3"/>
      <c r="AL151" s="3"/>
      <c r="AM151" s="3"/>
      <c r="AN151" s="3"/>
      <c r="AO151" s="3"/>
    </row>
    <row r="152" spans="2:41" s="171" customFormat="1" x14ac:dyDescent="0.25">
      <c r="B152" s="13"/>
      <c r="C152" s="14"/>
      <c r="D152" s="60"/>
      <c r="E152" s="56"/>
      <c r="F152" s="56"/>
      <c r="G152" s="14"/>
      <c r="H152" s="14"/>
      <c r="I152" s="14"/>
      <c r="J152" s="14"/>
      <c r="K152" s="14"/>
      <c r="L152" s="14"/>
      <c r="M152" s="14"/>
      <c r="N152" s="14"/>
      <c r="O152" s="14"/>
      <c r="P152" s="14"/>
      <c r="Q152" s="14"/>
      <c r="R152" s="14"/>
      <c r="S152" s="14"/>
      <c r="T152" s="14"/>
      <c r="U152" s="14"/>
      <c r="V152" s="14"/>
      <c r="W152" s="14"/>
      <c r="X152" s="14"/>
      <c r="Y152" s="14"/>
      <c r="Z152" s="14"/>
      <c r="AA152" s="15"/>
      <c r="AB152" s="3"/>
      <c r="AC152" s="3"/>
      <c r="AD152" s="3"/>
      <c r="AE152" s="3"/>
      <c r="AF152" s="3"/>
      <c r="AG152" s="3"/>
      <c r="AH152" s="3"/>
      <c r="AI152" s="3"/>
      <c r="AJ152" s="3"/>
      <c r="AK152" s="3"/>
      <c r="AL152" s="3"/>
      <c r="AM152" s="3"/>
      <c r="AN152" s="3"/>
      <c r="AO152" s="3"/>
    </row>
    <row r="153" spans="2:41" s="171" customFormat="1" x14ac:dyDescent="0.25">
      <c r="B153" s="13"/>
      <c r="C153" s="14"/>
      <c r="D153" s="60"/>
      <c r="E153" s="56"/>
      <c r="F153" s="56"/>
      <c r="G153" s="14"/>
      <c r="H153" s="56"/>
      <c r="I153" s="14"/>
      <c r="J153" s="14"/>
      <c r="K153" s="14"/>
      <c r="L153" s="14"/>
      <c r="M153" s="14"/>
      <c r="N153" s="14"/>
      <c r="O153" s="14"/>
      <c r="P153" s="14"/>
      <c r="Q153" s="14"/>
      <c r="R153" s="14"/>
      <c r="S153" s="14"/>
      <c r="T153" s="14"/>
      <c r="U153" s="14"/>
      <c r="V153" s="14"/>
      <c r="W153" s="14"/>
      <c r="X153" s="14"/>
      <c r="Y153" s="14"/>
      <c r="Z153" s="14"/>
      <c r="AA153" s="15"/>
      <c r="AB153" s="3"/>
      <c r="AC153" s="3"/>
      <c r="AD153" s="3"/>
      <c r="AE153" s="3"/>
      <c r="AF153" s="3"/>
      <c r="AG153" s="3"/>
      <c r="AH153" s="3"/>
      <c r="AI153" s="3"/>
      <c r="AJ153" s="3"/>
      <c r="AK153" s="3"/>
      <c r="AL153" s="3"/>
      <c r="AM153" s="3"/>
      <c r="AN153" s="3"/>
      <c r="AO153" s="3"/>
    </row>
    <row r="154" spans="2:41" s="171" customFormat="1" x14ac:dyDescent="0.25">
      <c r="B154" s="13"/>
      <c r="C154" s="14"/>
      <c r="D154" s="60"/>
      <c r="E154" s="56"/>
      <c r="F154" s="56"/>
      <c r="G154" s="14"/>
      <c r="H154" s="56"/>
      <c r="I154" s="14"/>
      <c r="J154" s="14"/>
      <c r="K154" s="14"/>
      <c r="L154" s="14"/>
      <c r="M154" s="14"/>
      <c r="N154" s="14"/>
      <c r="O154" s="14"/>
      <c r="P154" s="14"/>
      <c r="Q154" s="14"/>
      <c r="R154" s="14"/>
      <c r="S154" s="14"/>
      <c r="T154" s="14"/>
      <c r="U154" s="14"/>
      <c r="V154" s="14"/>
      <c r="W154" s="14"/>
      <c r="X154" s="14"/>
      <c r="Y154" s="14"/>
      <c r="Z154" s="14"/>
      <c r="AA154" s="15"/>
      <c r="AB154" s="3"/>
      <c r="AC154" s="3"/>
      <c r="AD154" s="3"/>
      <c r="AE154" s="3"/>
      <c r="AF154" s="3"/>
      <c r="AG154" s="3"/>
      <c r="AH154" s="3"/>
      <c r="AI154" s="3"/>
      <c r="AJ154" s="3"/>
      <c r="AK154" s="3"/>
      <c r="AL154" s="3"/>
      <c r="AM154" s="3"/>
      <c r="AN154" s="3"/>
      <c r="AO154" s="3"/>
    </row>
    <row r="155" spans="2:41" s="171" customFormat="1" x14ac:dyDescent="0.25">
      <c r="B155" s="13"/>
      <c r="C155" s="14"/>
      <c r="D155" s="60"/>
      <c r="E155" s="56"/>
      <c r="F155" s="56"/>
      <c r="G155" s="14"/>
      <c r="H155" s="56"/>
      <c r="I155" s="14"/>
      <c r="J155" s="14"/>
      <c r="K155" s="14"/>
      <c r="L155" s="14"/>
      <c r="M155" s="14"/>
      <c r="N155" s="14"/>
      <c r="O155" s="14"/>
      <c r="P155" s="14"/>
      <c r="Q155" s="14"/>
      <c r="R155" s="14"/>
      <c r="S155" s="14"/>
      <c r="T155" s="14"/>
      <c r="U155" s="14"/>
      <c r="V155" s="14"/>
      <c r="W155" s="14"/>
      <c r="X155" s="14"/>
      <c r="Y155" s="14"/>
      <c r="Z155" s="14"/>
      <c r="AA155" s="15"/>
      <c r="AB155" s="3"/>
      <c r="AC155" s="3"/>
      <c r="AD155" s="3"/>
      <c r="AE155" s="3"/>
      <c r="AF155" s="3"/>
      <c r="AG155" s="3"/>
      <c r="AH155" s="3"/>
      <c r="AI155" s="3"/>
      <c r="AJ155" s="3"/>
      <c r="AK155" s="3"/>
      <c r="AL155" s="3"/>
      <c r="AM155" s="3"/>
      <c r="AN155" s="3"/>
      <c r="AO155" s="3"/>
    </row>
    <row r="156" spans="2:41" s="171" customFormat="1" x14ac:dyDescent="0.25">
      <c r="B156" s="13"/>
      <c r="C156" s="56"/>
      <c r="D156" s="60"/>
      <c r="E156" s="56"/>
      <c r="F156" s="56"/>
      <c r="G156" s="56"/>
      <c r="H156" s="56"/>
      <c r="I156" s="14"/>
      <c r="J156" s="14"/>
      <c r="K156" s="14"/>
      <c r="L156" s="14"/>
      <c r="M156" s="14"/>
      <c r="N156" s="14"/>
      <c r="O156" s="14"/>
      <c r="P156" s="14"/>
      <c r="Q156" s="14"/>
      <c r="R156" s="14"/>
      <c r="S156" s="14"/>
      <c r="T156" s="14"/>
      <c r="U156" s="14"/>
      <c r="V156" s="14"/>
      <c r="W156" s="14"/>
      <c r="X156" s="14"/>
      <c r="Y156" s="14"/>
      <c r="Z156" s="14"/>
      <c r="AA156" s="15"/>
      <c r="AB156" s="3"/>
      <c r="AC156" s="3"/>
      <c r="AD156" s="3"/>
      <c r="AE156" s="3"/>
      <c r="AF156" s="3"/>
      <c r="AG156" s="3"/>
      <c r="AH156" s="3"/>
      <c r="AI156" s="3"/>
      <c r="AJ156" s="3"/>
      <c r="AK156" s="3"/>
      <c r="AL156" s="3"/>
      <c r="AM156" s="3"/>
      <c r="AN156" s="3"/>
      <c r="AO156" s="3"/>
    </row>
    <row r="157" spans="2:41" s="171" customFormat="1" x14ac:dyDescent="0.25">
      <c r="B157" s="13"/>
      <c r="C157" s="14"/>
      <c r="D157" s="60"/>
      <c r="E157" s="56"/>
      <c r="F157" s="56"/>
      <c r="G157" s="14"/>
      <c r="H157" s="56"/>
      <c r="I157" s="14"/>
      <c r="J157" s="14"/>
      <c r="K157" s="14"/>
      <c r="L157" s="14"/>
      <c r="M157" s="14"/>
      <c r="N157" s="14"/>
      <c r="O157" s="14"/>
      <c r="P157" s="14"/>
      <c r="Q157" s="14"/>
      <c r="R157" s="14"/>
      <c r="S157" s="14"/>
      <c r="T157" s="14"/>
      <c r="U157" s="14"/>
      <c r="V157" s="14"/>
      <c r="W157" s="14"/>
      <c r="X157" s="14"/>
      <c r="Y157" s="14"/>
      <c r="Z157" s="14"/>
      <c r="AA157" s="15"/>
      <c r="AB157" s="3"/>
      <c r="AC157" s="3"/>
      <c r="AD157" s="3"/>
      <c r="AE157" s="3"/>
      <c r="AF157" s="3"/>
      <c r="AG157" s="3"/>
      <c r="AH157" s="3"/>
      <c r="AI157" s="3"/>
      <c r="AJ157" s="3"/>
      <c r="AK157" s="3"/>
      <c r="AL157" s="3"/>
      <c r="AM157" s="3"/>
      <c r="AN157" s="3"/>
      <c r="AO157" s="3"/>
    </row>
    <row r="158" spans="2:41" s="171" customFormat="1" ht="18.75" x14ac:dyDescent="0.3">
      <c r="B158" s="67"/>
      <c r="C158" s="14"/>
      <c r="D158" s="14"/>
      <c r="E158" s="56"/>
      <c r="F158" s="56"/>
      <c r="G158" s="14"/>
      <c r="H158" s="56"/>
      <c r="I158" s="74"/>
      <c r="J158" s="14"/>
      <c r="K158" s="14"/>
      <c r="L158" s="14"/>
      <c r="M158" s="14"/>
      <c r="N158" s="14"/>
      <c r="O158" s="14"/>
      <c r="P158" s="14"/>
      <c r="Q158" s="14"/>
      <c r="R158" s="14"/>
      <c r="S158" s="14"/>
      <c r="T158" s="14"/>
      <c r="U158" s="14"/>
      <c r="V158" s="14"/>
      <c r="W158" s="14"/>
      <c r="X158" s="14"/>
      <c r="Y158" s="14"/>
      <c r="Z158" s="14"/>
      <c r="AA158" s="15"/>
      <c r="AB158" s="3"/>
      <c r="AC158" s="3"/>
      <c r="AD158" s="3"/>
      <c r="AE158" s="3"/>
      <c r="AF158" s="3"/>
      <c r="AG158" s="3"/>
      <c r="AH158" s="3"/>
      <c r="AI158" s="3"/>
      <c r="AJ158" s="3"/>
      <c r="AK158" s="3"/>
      <c r="AL158" s="3"/>
      <c r="AM158" s="3"/>
      <c r="AN158" s="3"/>
      <c r="AO158" s="3"/>
    </row>
    <row r="159" spans="2:41" s="171" customFormat="1" x14ac:dyDescent="0.25">
      <c r="B159" s="13"/>
      <c r="C159" s="14"/>
      <c r="D159" s="60"/>
      <c r="E159" s="56"/>
      <c r="F159" s="56"/>
      <c r="G159" s="14"/>
      <c r="H159" s="14"/>
      <c r="I159" s="14"/>
      <c r="J159" s="14"/>
      <c r="K159" s="14"/>
      <c r="L159" s="14"/>
      <c r="M159" s="14"/>
      <c r="N159" s="14"/>
      <c r="O159" s="14"/>
      <c r="P159" s="14"/>
      <c r="Q159" s="14"/>
      <c r="R159" s="14"/>
      <c r="S159" s="14"/>
      <c r="T159" s="14"/>
      <c r="U159" s="14"/>
      <c r="V159" s="14"/>
      <c r="W159" s="14"/>
      <c r="X159" s="14"/>
      <c r="Y159" s="14"/>
      <c r="Z159" s="14"/>
      <c r="AA159" s="15"/>
      <c r="AB159" s="3"/>
      <c r="AC159" s="3"/>
      <c r="AD159" s="3"/>
      <c r="AE159" s="3"/>
      <c r="AF159" s="3"/>
      <c r="AG159" s="3"/>
      <c r="AH159" s="3"/>
      <c r="AI159" s="3"/>
      <c r="AJ159" s="3"/>
      <c r="AK159" s="3"/>
      <c r="AL159" s="3"/>
      <c r="AM159" s="3"/>
      <c r="AN159" s="3"/>
      <c r="AO159" s="3"/>
    </row>
    <row r="160" spans="2:41" s="171" customFormat="1" x14ac:dyDescent="0.25">
      <c r="B160" s="13"/>
      <c r="C160" s="14"/>
      <c r="D160" s="60"/>
      <c r="E160" s="56"/>
      <c r="F160" s="56"/>
      <c r="G160" s="14"/>
      <c r="H160" s="56"/>
      <c r="I160" s="14"/>
      <c r="J160" s="14"/>
      <c r="K160" s="14"/>
      <c r="L160" s="14"/>
      <c r="M160" s="14"/>
      <c r="N160" s="14"/>
      <c r="O160" s="14"/>
      <c r="P160" s="14"/>
      <c r="Q160" s="14"/>
      <c r="R160" s="14"/>
      <c r="S160" s="14"/>
      <c r="T160" s="14"/>
      <c r="U160" s="14"/>
      <c r="V160" s="14"/>
      <c r="W160" s="14"/>
      <c r="X160" s="14"/>
      <c r="Y160" s="14"/>
      <c r="Z160" s="14"/>
      <c r="AA160" s="15"/>
      <c r="AB160" s="3"/>
      <c r="AC160" s="3"/>
      <c r="AD160" s="3"/>
      <c r="AE160" s="3"/>
      <c r="AF160" s="3"/>
      <c r="AG160" s="3"/>
      <c r="AH160" s="3"/>
      <c r="AI160" s="3"/>
      <c r="AJ160" s="3"/>
      <c r="AK160" s="3"/>
      <c r="AL160" s="3"/>
      <c r="AM160" s="3"/>
      <c r="AN160" s="3"/>
      <c r="AO160" s="3"/>
    </row>
    <row r="161" spans="2:41" s="171" customFormat="1" x14ac:dyDescent="0.25">
      <c r="B161" s="13"/>
      <c r="C161" s="14"/>
      <c r="D161" s="60"/>
      <c r="E161" s="56"/>
      <c r="F161" s="56"/>
      <c r="G161" s="14"/>
      <c r="H161" s="56"/>
      <c r="I161" s="14"/>
      <c r="J161" s="14"/>
      <c r="K161" s="14"/>
      <c r="L161" s="14"/>
      <c r="M161" s="14"/>
      <c r="N161" s="14"/>
      <c r="O161" s="14"/>
      <c r="P161" s="14"/>
      <c r="Q161" s="14"/>
      <c r="R161" s="14"/>
      <c r="S161" s="14"/>
      <c r="T161" s="14"/>
      <c r="U161" s="14"/>
      <c r="V161" s="14"/>
      <c r="W161" s="14"/>
      <c r="X161" s="14"/>
      <c r="Y161" s="14"/>
      <c r="Z161" s="14"/>
      <c r="AA161" s="15"/>
      <c r="AB161" s="3"/>
      <c r="AC161" s="3"/>
      <c r="AD161" s="3"/>
      <c r="AE161" s="3"/>
      <c r="AF161" s="3"/>
      <c r="AG161" s="3"/>
      <c r="AH161" s="3"/>
      <c r="AI161" s="3"/>
      <c r="AJ161" s="3"/>
      <c r="AK161" s="3"/>
      <c r="AL161" s="3"/>
      <c r="AM161" s="3"/>
      <c r="AN161" s="3"/>
      <c r="AO161" s="3"/>
    </row>
    <row r="162" spans="2:41" s="171" customFormat="1" x14ac:dyDescent="0.25">
      <c r="B162" s="13"/>
      <c r="C162" s="14"/>
      <c r="D162" s="60"/>
      <c r="E162" s="56"/>
      <c r="F162" s="56"/>
      <c r="G162" s="14"/>
      <c r="H162" s="56"/>
      <c r="I162" s="14"/>
      <c r="J162" s="14"/>
      <c r="K162" s="14"/>
      <c r="L162" s="14"/>
      <c r="M162" s="14"/>
      <c r="N162" s="14"/>
      <c r="O162" s="14"/>
      <c r="P162" s="14"/>
      <c r="Q162" s="14"/>
      <c r="R162" s="14"/>
      <c r="S162" s="14"/>
      <c r="T162" s="14"/>
      <c r="U162" s="14"/>
      <c r="V162" s="14"/>
      <c r="W162" s="14"/>
      <c r="X162" s="14"/>
      <c r="Y162" s="14"/>
      <c r="Z162" s="14"/>
      <c r="AA162" s="15"/>
      <c r="AB162" s="3"/>
      <c r="AC162" s="3"/>
      <c r="AD162" s="3"/>
      <c r="AE162" s="3"/>
      <c r="AF162" s="3"/>
      <c r="AG162" s="3"/>
      <c r="AH162" s="3"/>
      <c r="AI162" s="3"/>
      <c r="AJ162" s="3"/>
      <c r="AK162" s="3"/>
      <c r="AL162" s="3"/>
      <c r="AM162" s="3"/>
      <c r="AN162" s="3"/>
      <c r="AO162" s="3"/>
    </row>
    <row r="163" spans="2:41" s="171" customFormat="1" x14ac:dyDescent="0.25">
      <c r="B163" s="13"/>
      <c r="C163" s="56"/>
      <c r="D163" s="60"/>
      <c r="E163" s="56"/>
      <c r="F163" s="56"/>
      <c r="G163" s="56"/>
      <c r="H163" s="56"/>
      <c r="I163" s="14"/>
      <c r="J163" s="14"/>
      <c r="K163" s="14"/>
      <c r="L163" s="14"/>
      <c r="M163" s="14"/>
      <c r="N163" s="14"/>
      <c r="O163" s="14"/>
      <c r="P163" s="14"/>
      <c r="Q163" s="14"/>
      <c r="R163" s="14"/>
      <c r="S163" s="14"/>
      <c r="T163" s="14"/>
      <c r="U163" s="14"/>
      <c r="V163" s="14"/>
      <c r="W163" s="14"/>
      <c r="X163" s="14"/>
      <c r="Y163" s="14"/>
      <c r="Z163" s="14"/>
      <c r="AA163" s="15"/>
      <c r="AB163" s="3"/>
      <c r="AC163" s="3"/>
      <c r="AD163" s="3"/>
      <c r="AE163" s="3"/>
      <c r="AF163" s="3"/>
      <c r="AG163" s="3"/>
      <c r="AH163" s="3"/>
      <c r="AI163" s="3"/>
      <c r="AJ163" s="3"/>
      <c r="AK163" s="3"/>
      <c r="AL163" s="3"/>
      <c r="AM163" s="3"/>
      <c r="AN163" s="3"/>
      <c r="AO163" s="3"/>
    </row>
    <row r="164" spans="2:41" s="171" customFormat="1" x14ac:dyDescent="0.25">
      <c r="B164" s="13"/>
      <c r="C164" s="14"/>
      <c r="D164" s="60"/>
      <c r="E164" s="56"/>
      <c r="F164" s="56"/>
      <c r="G164" s="14"/>
      <c r="H164" s="56"/>
      <c r="I164" s="14"/>
      <c r="J164" s="14"/>
      <c r="K164" s="14"/>
      <c r="L164" s="14"/>
      <c r="M164" s="14"/>
      <c r="N164" s="14"/>
      <c r="O164" s="14"/>
      <c r="P164" s="14"/>
      <c r="Q164" s="14"/>
      <c r="R164" s="14"/>
      <c r="S164" s="14"/>
      <c r="T164" s="14"/>
      <c r="U164" s="14"/>
      <c r="V164" s="14"/>
      <c r="W164" s="14"/>
      <c r="X164" s="14"/>
      <c r="Y164" s="14"/>
      <c r="Z164" s="14"/>
      <c r="AA164" s="15"/>
      <c r="AB164" s="3"/>
      <c r="AC164" s="3"/>
      <c r="AD164" s="3"/>
      <c r="AE164" s="3"/>
      <c r="AF164" s="3"/>
      <c r="AG164" s="3"/>
      <c r="AH164" s="3"/>
      <c r="AI164" s="3"/>
      <c r="AJ164" s="3"/>
      <c r="AK164" s="3"/>
      <c r="AL164" s="3"/>
      <c r="AM164" s="3"/>
      <c r="AN164" s="3"/>
      <c r="AO164" s="3"/>
    </row>
    <row r="165" spans="2:41" s="171" customFormat="1" x14ac:dyDescent="0.25">
      <c r="B165" s="13"/>
      <c r="C165" s="14"/>
      <c r="D165" s="14"/>
      <c r="E165" s="56"/>
      <c r="F165" s="56"/>
      <c r="G165" s="14"/>
      <c r="H165" s="56"/>
      <c r="I165" s="14"/>
      <c r="J165" s="14"/>
      <c r="K165" s="14"/>
      <c r="L165" s="14"/>
      <c r="M165" s="14"/>
      <c r="N165" s="14"/>
      <c r="O165" s="14"/>
      <c r="P165" s="14"/>
      <c r="Q165" s="14"/>
      <c r="R165" s="14"/>
      <c r="S165" s="14"/>
      <c r="T165" s="14"/>
      <c r="U165" s="14"/>
      <c r="V165" s="14"/>
      <c r="W165" s="14"/>
      <c r="X165" s="14"/>
      <c r="Y165" s="14"/>
      <c r="Z165" s="14"/>
      <c r="AA165" s="15"/>
      <c r="AB165" s="3"/>
      <c r="AC165" s="3"/>
      <c r="AD165" s="3"/>
      <c r="AE165" s="3"/>
      <c r="AF165" s="3"/>
      <c r="AG165" s="3"/>
      <c r="AH165" s="3"/>
      <c r="AI165" s="3"/>
      <c r="AJ165" s="3"/>
      <c r="AK165" s="3"/>
      <c r="AL165" s="3"/>
      <c r="AM165" s="3"/>
      <c r="AN165" s="3"/>
      <c r="AO165" s="3"/>
    </row>
    <row r="166" spans="2:41" s="171" customFormat="1" ht="18.75" x14ac:dyDescent="0.3">
      <c r="B166" s="67"/>
      <c r="C166" s="14"/>
      <c r="D166" s="60"/>
      <c r="E166" s="56"/>
      <c r="F166" s="56"/>
      <c r="G166" s="14"/>
      <c r="H166" s="14"/>
      <c r="I166" s="74"/>
      <c r="J166" s="14"/>
      <c r="K166" s="14"/>
      <c r="L166" s="14"/>
      <c r="M166" s="14"/>
      <c r="N166" s="14"/>
      <c r="O166" s="14"/>
      <c r="P166" s="14"/>
      <c r="Q166" s="14"/>
      <c r="R166" s="14"/>
      <c r="S166" s="14"/>
      <c r="T166" s="14"/>
      <c r="U166" s="14"/>
      <c r="V166" s="14"/>
      <c r="W166" s="14"/>
      <c r="X166" s="14"/>
      <c r="Y166" s="14"/>
      <c r="Z166" s="14"/>
      <c r="AA166" s="15"/>
      <c r="AB166" s="3"/>
      <c r="AC166" s="3"/>
      <c r="AD166" s="3"/>
      <c r="AE166" s="3"/>
      <c r="AF166" s="3"/>
      <c r="AG166" s="3"/>
      <c r="AH166" s="3"/>
      <c r="AI166" s="3"/>
      <c r="AJ166" s="3"/>
      <c r="AK166" s="3"/>
      <c r="AL166" s="3"/>
      <c r="AM166" s="3"/>
      <c r="AN166" s="3"/>
      <c r="AO166" s="3"/>
    </row>
    <row r="167" spans="2:41" s="171" customFormat="1" x14ac:dyDescent="0.25">
      <c r="B167" s="13"/>
      <c r="C167" s="14"/>
      <c r="D167" s="60"/>
      <c r="E167" s="56"/>
      <c r="F167" s="56"/>
      <c r="G167" s="14"/>
      <c r="H167" s="56"/>
      <c r="I167" s="14"/>
      <c r="J167" s="14"/>
      <c r="K167" s="14"/>
      <c r="L167" s="14"/>
      <c r="M167" s="14"/>
      <c r="N167" s="14"/>
      <c r="O167" s="14"/>
      <c r="P167" s="14"/>
      <c r="Q167" s="14"/>
      <c r="R167" s="14"/>
      <c r="S167" s="14"/>
      <c r="T167" s="14"/>
      <c r="U167" s="14"/>
      <c r="V167" s="14"/>
      <c r="W167" s="14"/>
      <c r="X167" s="14"/>
      <c r="Y167" s="14"/>
      <c r="Z167" s="14"/>
      <c r="AA167" s="15"/>
      <c r="AB167" s="3"/>
      <c r="AC167" s="3"/>
      <c r="AD167" s="3"/>
      <c r="AE167" s="3"/>
      <c r="AF167" s="3"/>
      <c r="AG167" s="3"/>
      <c r="AH167" s="3"/>
      <c r="AI167" s="3"/>
      <c r="AJ167" s="3"/>
      <c r="AK167" s="3"/>
      <c r="AL167" s="3"/>
      <c r="AM167" s="3"/>
      <c r="AN167" s="3"/>
      <c r="AO167" s="3"/>
    </row>
    <row r="168" spans="2:41" s="171" customFormat="1" x14ac:dyDescent="0.25">
      <c r="B168" s="13"/>
      <c r="C168" s="14"/>
      <c r="D168" s="60"/>
      <c r="E168" s="56"/>
      <c r="F168" s="56"/>
      <c r="G168" s="14"/>
      <c r="H168" s="56"/>
      <c r="I168" s="14"/>
      <c r="J168" s="14"/>
      <c r="K168" s="14"/>
      <c r="L168" s="14"/>
      <c r="M168" s="14"/>
      <c r="N168" s="14"/>
      <c r="O168" s="14"/>
      <c r="P168" s="14"/>
      <c r="Q168" s="14"/>
      <c r="R168" s="14"/>
      <c r="S168" s="14"/>
      <c r="T168" s="14"/>
      <c r="U168" s="14"/>
      <c r="V168" s="14"/>
      <c r="W168" s="14"/>
      <c r="X168" s="14"/>
      <c r="Y168" s="14"/>
      <c r="Z168" s="14"/>
      <c r="AA168" s="15"/>
      <c r="AB168" s="3"/>
      <c r="AC168" s="3"/>
      <c r="AD168" s="3"/>
      <c r="AE168" s="3"/>
      <c r="AF168" s="3"/>
      <c r="AG168" s="3"/>
      <c r="AH168" s="3"/>
      <c r="AI168" s="3"/>
      <c r="AJ168" s="3"/>
      <c r="AK168" s="3"/>
      <c r="AL168" s="3"/>
      <c r="AM168" s="3"/>
      <c r="AN168" s="3"/>
      <c r="AO168" s="3"/>
    </row>
    <row r="169" spans="2:41" s="171" customFormat="1" x14ac:dyDescent="0.25">
      <c r="B169" s="13"/>
      <c r="C169" s="14"/>
      <c r="D169" s="60"/>
      <c r="E169" s="56"/>
      <c r="F169" s="56"/>
      <c r="G169" s="14"/>
      <c r="H169" s="56"/>
      <c r="I169" s="14"/>
      <c r="J169" s="14"/>
      <c r="K169" s="14"/>
      <c r="L169" s="14"/>
      <c r="M169" s="14"/>
      <c r="N169" s="14"/>
      <c r="O169" s="14"/>
      <c r="P169" s="14"/>
      <c r="Q169" s="14"/>
      <c r="R169" s="14"/>
      <c r="S169" s="14"/>
      <c r="T169" s="14"/>
      <c r="U169" s="14"/>
      <c r="V169" s="14"/>
      <c r="W169" s="14"/>
      <c r="X169" s="14"/>
      <c r="Y169" s="14"/>
      <c r="Z169" s="14"/>
      <c r="AA169" s="15"/>
      <c r="AB169" s="3"/>
      <c r="AC169" s="3"/>
      <c r="AD169" s="3"/>
      <c r="AE169" s="3"/>
      <c r="AF169" s="3"/>
      <c r="AG169" s="3"/>
      <c r="AH169" s="3"/>
      <c r="AI169" s="3"/>
      <c r="AJ169" s="3"/>
      <c r="AK169" s="3"/>
      <c r="AL169" s="3"/>
      <c r="AM169" s="3"/>
      <c r="AN169" s="3"/>
      <c r="AO169" s="3"/>
    </row>
    <row r="170" spans="2:41" s="171" customFormat="1" x14ac:dyDescent="0.25">
      <c r="B170" s="13"/>
      <c r="C170" s="56"/>
      <c r="D170" s="60"/>
      <c r="E170" s="56"/>
      <c r="F170" s="56"/>
      <c r="G170" s="56"/>
      <c r="H170" s="56"/>
      <c r="I170" s="14"/>
      <c r="J170" s="14"/>
      <c r="K170" s="14"/>
      <c r="L170" s="14"/>
      <c r="M170" s="14"/>
      <c r="N170" s="14"/>
      <c r="O170" s="14"/>
      <c r="P170" s="14"/>
      <c r="Q170" s="14"/>
      <c r="R170" s="14"/>
      <c r="S170" s="14"/>
      <c r="T170" s="14"/>
      <c r="U170" s="14"/>
      <c r="V170" s="14"/>
      <c r="W170" s="14"/>
      <c r="X170" s="14"/>
      <c r="Y170" s="14"/>
      <c r="Z170" s="14"/>
      <c r="AA170" s="15"/>
      <c r="AB170" s="3"/>
      <c r="AC170" s="3"/>
      <c r="AD170" s="3"/>
      <c r="AE170" s="3"/>
      <c r="AF170" s="3"/>
      <c r="AG170" s="3"/>
      <c r="AH170" s="3"/>
      <c r="AI170" s="3"/>
      <c r="AJ170" s="3"/>
      <c r="AK170" s="3"/>
      <c r="AL170" s="3"/>
      <c r="AM170" s="3"/>
      <c r="AN170" s="3"/>
      <c r="AO170" s="3"/>
    </row>
    <row r="171" spans="2:41" s="171" customFormat="1" x14ac:dyDescent="0.25">
      <c r="B171" s="13"/>
      <c r="C171" s="14"/>
      <c r="D171" s="60"/>
      <c r="E171" s="56"/>
      <c r="F171" s="56"/>
      <c r="G171" s="14"/>
      <c r="H171" s="56"/>
      <c r="I171" s="14"/>
      <c r="J171" s="14"/>
      <c r="K171" s="14"/>
      <c r="L171" s="14"/>
      <c r="M171" s="14"/>
      <c r="N171" s="14"/>
      <c r="O171" s="14"/>
      <c r="P171" s="14"/>
      <c r="Q171" s="14"/>
      <c r="R171" s="14"/>
      <c r="S171" s="14"/>
      <c r="T171" s="14"/>
      <c r="U171" s="14"/>
      <c r="V171" s="14"/>
      <c r="W171" s="14"/>
      <c r="X171" s="14"/>
      <c r="Y171" s="14"/>
      <c r="Z171" s="14"/>
      <c r="AA171" s="15"/>
      <c r="AB171" s="3"/>
      <c r="AC171" s="3"/>
      <c r="AD171" s="3"/>
      <c r="AE171" s="3"/>
      <c r="AF171" s="3"/>
      <c r="AG171" s="3"/>
      <c r="AH171" s="3"/>
      <c r="AI171" s="3"/>
      <c r="AJ171" s="3"/>
      <c r="AK171" s="3"/>
      <c r="AL171" s="3"/>
      <c r="AM171" s="3"/>
      <c r="AN171" s="3"/>
      <c r="AO171" s="3"/>
    </row>
    <row r="172" spans="2:41" s="171" customFormat="1" x14ac:dyDescent="0.25">
      <c r="B172" s="13"/>
      <c r="C172" s="14"/>
      <c r="D172" s="14"/>
      <c r="E172" s="56"/>
      <c r="F172" s="56"/>
      <c r="G172" s="14"/>
      <c r="H172" s="56"/>
      <c r="I172" s="14"/>
      <c r="J172" s="14"/>
      <c r="K172" s="14"/>
      <c r="L172" s="14"/>
      <c r="M172" s="14"/>
      <c r="N172" s="14"/>
      <c r="O172" s="14"/>
      <c r="P172" s="14"/>
      <c r="Q172" s="14"/>
      <c r="R172" s="14"/>
      <c r="S172" s="14"/>
      <c r="T172" s="14"/>
      <c r="U172" s="14"/>
      <c r="V172" s="14"/>
      <c r="W172" s="14"/>
      <c r="X172" s="14"/>
      <c r="Y172" s="14"/>
      <c r="Z172" s="14"/>
      <c r="AA172" s="15"/>
      <c r="AB172" s="3"/>
      <c r="AC172" s="3"/>
      <c r="AD172" s="3"/>
      <c r="AE172" s="3"/>
      <c r="AF172" s="3"/>
      <c r="AG172" s="3"/>
      <c r="AH172" s="3"/>
      <c r="AI172" s="3"/>
      <c r="AJ172" s="3"/>
      <c r="AK172" s="3"/>
      <c r="AL172" s="3"/>
      <c r="AM172" s="3"/>
      <c r="AN172" s="3"/>
      <c r="AO172" s="3"/>
    </row>
    <row r="173" spans="2:41" s="171" customFormat="1" x14ac:dyDescent="0.25">
      <c r="B173" s="13"/>
      <c r="C173" s="14"/>
      <c r="D173" s="60"/>
      <c r="E173" s="56"/>
      <c r="F173" s="56"/>
      <c r="G173" s="14"/>
      <c r="H173" s="14"/>
      <c r="I173" s="14"/>
      <c r="J173" s="14"/>
      <c r="K173" s="14"/>
      <c r="L173" s="14"/>
      <c r="M173" s="14"/>
      <c r="N173" s="14"/>
      <c r="O173" s="14"/>
      <c r="P173" s="14"/>
      <c r="Q173" s="14"/>
      <c r="R173" s="14"/>
      <c r="S173" s="14"/>
      <c r="T173" s="14"/>
      <c r="U173" s="14"/>
      <c r="V173" s="14"/>
      <c r="W173" s="14"/>
      <c r="X173" s="14"/>
      <c r="Y173" s="14"/>
      <c r="Z173" s="14"/>
      <c r="AA173" s="15"/>
      <c r="AB173" s="3"/>
      <c r="AC173" s="3"/>
      <c r="AD173" s="3"/>
      <c r="AE173" s="3"/>
      <c r="AF173" s="3"/>
      <c r="AG173" s="3"/>
      <c r="AH173" s="3"/>
      <c r="AI173" s="3"/>
      <c r="AJ173" s="3"/>
      <c r="AK173" s="3"/>
      <c r="AL173" s="3"/>
      <c r="AM173" s="3"/>
      <c r="AN173" s="3"/>
      <c r="AO173" s="3"/>
    </row>
    <row r="174" spans="2:41" s="171" customFormat="1" ht="18.75" x14ac:dyDescent="0.3">
      <c r="B174" s="67"/>
      <c r="C174" s="14"/>
      <c r="D174" s="60"/>
      <c r="E174" s="56"/>
      <c r="F174" s="56"/>
      <c r="G174" s="14"/>
      <c r="H174" s="56"/>
      <c r="I174" s="74"/>
      <c r="J174" s="14"/>
      <c r="K174" s="14"/>
      <c r="L174" s="14"/>
      <c r="M174" s="14"/>
      <c r="N174" s="14"/>
      <c r="O174" s="14"/>
      <c r="P174" s="14"/>
      <c r="Q174" s="14"/>
      <c r="R174" s="14"/>
      <c r="S174" s="14"/>
      <c r="T174" s="14"/>
      <c r="U174" s="14"/>
      <c r="V174" s="14"/>
      <c r="W174" s="14"/>
      <c r="X174" s="14"/>
      <c r="Y174" s="14"/>
      <c r="Z174" s="14"/>
      <c r="AA174" s="15"/>
      <c r="AB174" s="3"/>
      <c r="AC174" s="3"/>
      <c r="AD174" s="3"/>
      <c r="AE174" s="3"/>
      <c r="AF174" s="3"/>
      <c r="AG174" s="3"/>
      <c r="AH174" s="3"/>
      <c r="AI174" s="3"/>
      <c r="AJ174" s="3"/>
      <c r="AK174" s="3"/>
      <c r="AL174" s="3"/>
      <c r="AM174" s="3"/>
      <c r="AN174" s="3"/>
      <c r="AO174" s="3"/>
    </row>
    <row r="175" spans="2:41" s="171" customFormat="1" x14ac:dyDescent="0.25">
      <c r="B175" s="13"/>
      <c r="C175" s="14"/>
      <c r="D175" s="60"/>
      <c r="E175" s="56"/>
      <c r="F175" s="56"/>
      <c r="G175" s="14"/>
      <c r="H175" s="56"/>
      <c r="I175" s="14"/>
      <c r="J175" s="14"/>
      <c r="K175" s="14"/>
      <c r="L175" s="14"/>
      <c r="M175" s="14"/>
      <c r="N175" s="14"/>
      <c r="O175" s="14"/>
      <c r="P175" s="14"/>
      <c r="Q175" s="14"/>
      <c r="R175" s="14"/>
      <c r="S175" s="14"/>
      <c r="T175" s="14"/>
      <c r="U175" s="14"/>
      <c r="V175" s="14"/>
      <c r="W175" s="14"/>
      <c r="X175" s="14"/>
      <c r="Y175" s="14"/>
      <c r="Z175" s="14"/>
      <c r="AA175" s="15"/>
      <c r="AB175" s="3"/>
      <c r="AC175" s="3"/>
      <c r="AD175" s="3"/>
      <c r="AE175" s="3"/>
      <c r="AF175" s="3"/>
      <c r="AG175" s="3"/>
      <c r="AH175" s="3"/>
      <c r="AI175" s="3"/>
      <c r="AJ175" s="3"/>
      <c r="AK175" s="3"/>
      <c r="AL175" s="3"/>
      <c r="AM175" s="3"/>
      <c r="AN175" s="3"/>
      <c r="AO175" s="3"/>
    </row>
    <row r="176" spans="2:41" s="171" customFormat="1" x14ac:dyDescent="0.25">
      <c r="B176" s="13"/>
      <c r="C176" s="14"/>
      <c r="D176" s="60"/>
      <c r="E176" s="56"/>
      <c r="F176" s="56"/>
      <c r="G176" s="14"/>
      <c r="H176" s="56"/>
      <c r="I176" s="14"/>
      <c r="J176" s="14"/>
      <c r="K176" s="14"/>
      <c r="L176" s="14"/>
      <c r="M176" s="14"/>
      <c r="N176" s="14"/>
      <c r="O176" s="14"/>
      <c r="P176" s="14"/>
      <c r="Q176" s="14"/>
      <c r="R176" s="14"/>
      <c r="S176" s="14"/>
      <c r="T176" s="14"/>
      <c r="U176" s="14"/>
      <c r="V176" s="14"/>
      <c r="W176" s="14"/>
      <c r="X176" s="14"/>
      <c r="Y176" s="14"/>
      <c r="Z176" s="14"/>
      <c r="AA176" s="15"/>
      <c r="AB176" s="3"/>
      <c r="AC176" s="3"/>
      <c r="AD176" s="3"/>
      <c r="AE176" s="3"/>
      <c r="AF176" s="3"/>
      <c r="AG176" s="3"/>
      <c r="AH176" s="3"/>
      <c r="AI176" s="3"/>
      <c r="AJ176" s="3"/>
      <c r="AK176" s="3"/>
      <c r="AL176" s="3"/>
      <c r="AM176" s="3"/>
      <c r="AN176" s="3"/>
      <c r="AO176" s="3"/>
    </row>
    <row r="177" spans="2:41" s="171" customFormat="1" x14ac:dyDescent="0.25">
      <c r="B177" s="13"/>
      <c r="C177" s="56"/>
      <c r="D177" s="60"/>
      <c r="E177" s="56"/>
      <c r="F177" s="56"/>
      <c r="G177" s="56"/>
      <c r="H177" s="56"/>
      <c r="I177" s="14"/>
      <c r="J177" s="14"/>
      <c r="K177" s="14"/>
      <c r="L177" s="14"/>
      <c r="M177" s="14"/>
      <c r="N177" s="14"/>
      <c r="O177" s="14"/>
      <c r="P177" s="14"/>
      <c r="Q177" s="14"/>
      <c r="R177" s="14"/>
      <c r="S177" s="14"/>
      <c r="T177" s="14"/>
      <c r="U177" s="14"/>
      <c r="V177" s="14"/>
      <c r="W177" s="14"/>
      <c r="X177" s="14"/>
      <c r="Y177" s="14"/>
      <c r="Z177" s="14"/>
      <c r="AA177" s="15"/>
      <c r="AB177" s="3"/>
      <c r="AC177" s="3"/>
      <c r="AD177" s="3"/>
      <c r="AE177" s="3"/>
      <c r="AF177" s="3"/>
      <c r="AG177" s="3"/>
      <c r="AH177" s="3"/>
      <c r="AI177" s="3"/>
      <c r="AJ177" s="3"/>
      <c r="AK177" s="3"/>
      <c r="AL177" s="3"/>
      <c r="AM177" s="3"/>
      <c r="AN177" s="3"/>
      <c r="AO177" s="3"/>
    </row>
    <row r="178" spans="2:41" s="171" customFormat="1" x14ac:dyDescent="0.25">
      <c r="B178" s="13"/>
      <c r="C178" s="14"/>
      <c r="D178" s="60"/>
      <c r="E178" s="56"/>
      <c r="F178" s="56"/>
      <c r="G178" s="14"/>
      <c r="H178" s="56"/>
      <c r="I178" s="14"/>
      <c r="J178" s="14"/>
      <c r="K178" s="14"/>
      <c r="L178" s="14"/>
      <c r="M178" s="14"/>
      <c r="N178" s="14"/>
      <c r="O178" s="14"/>
      <c r="P178" s="14"/>
      <c r="Q178" s="14"/>
      <c r="R178" s="14"/>
      <c r="S178" s="14"/>
      <c r="T178" s="14"/>
      <c r="U178" s="14"/>
      <c r="V178" s="14"/>
      <c r="W178" s="14"/>
      <c r="X178" s="14"/>
      <c r="Y178" s="14"/>
      <c r="Z178" s="14"/>
      <c r="AA178" s="15"/>
      <c r="AB178" s="3"/>
      <c r="AC178" s="3"/>
      <c r="AD178" s="3"/>
      <c r="AE178" s="3"/>
      <c r="AF178" s="3"/>
      <c r="AG178" s="3"/>
      <c r="AH178" s="3"/>
      <c r="AI178" s="3"/>
      <c r="AJ178" s="3"/>
      <c r="AK178" s="3"/>
      <c r="AL178" s="3"/>
      <c r="AM178" s="3"/>
      <c r="AN178" s="3"/>
      <c r="AO178" s="3"/>
    </row>
    <row r="179" spans="2:41" s="171" customFormat="1" x14ac:dyDescent="0.25">
      <c r="B179" s="13"/>
      <c r="C179" s="14"/>
      <c r="D179" s="14"/>
      <c r="E179" s="56"/>
      <c r="F179" s="56"/>
      <c r="G179" s="14"/>
      <c r="H179" s="56"/>
      <c r="I179" s="14"/>
      <c r="J179" s="14"/>
      <c r="K179" s="14"/>
      <c r="L179" s="14"/>
      <c r="M179" s="14"/>
      <c r="N179" s="14"/>
      <c r="O179" s="14"/>
      <c r="P179" s="14"/>
      <c r="Q179" s="14"/>
      <c r="R179" s="14"/>
      <c r="S179" s="14"/>
      <c r="T179" s="14"/>
      <c r="U179" s="14"/>
      <c r="V179" s="14"/>
      <c r="W179" s="14"/>
      <c r="X179" s="14"/>
      <c r="Y179" s="14"/>
      <c r="Z179" s="14"/>
      <c r="AA179" s="15"/>
      <c r="AB179" s="3"/>
      <c r="AC179" s="3"/>
      <c r="AD179" s="3"/>
      <c r="AE179" s="3"/>
      <c r="AF179" s="3"/>
      <c r="AG179" s="3"/>
      <c r="AH179" s="3"/>
      <c r="AI179" s="3"/>
      <c r="AJ179" s="3"/>
      <c r="AK179" s="3"/>
      <c r="AL179" s="3"/>
      <c r="AM179" s="3"/>
      <c r="AN179" s="3"/>
      <c r="AO179" s="3"/>
    </row>
    <row r="180" spans="2:41" s="171" customFormat="1" x14ac:dyDescent="0.25">
      <c r="B180" s="13"/>
      <c r="C180" s="14"/>
      <c r="D180" s="60"/>
      <c r="E180" s="56"/>
      <c r="F180" s="56"/>
      <c r="G180" s="14"/>
      <c r="H180" s="14"/>
      <c r="I180" s="14"/>
      <c r="J180" s="14"/>
      <c r="K180" s="14"/>
      <c r="L180" s="14"/>
      <c r="M180" s="14"/>
      <c r="N180" s="14"/>
      <c r="O180" s="14"/>
      <c r="P180" s="14"/>
      <c r="Q180" s="14"/>
      <c r="R180" s="14"/>
      <c r="S180" s="14"/>
      <c r="T180" s="14"/>
      <c r="U180" s="14"/>
      <c r="V180" s="14"/>
      <c r="W180" s="14"/>
      <c r="X180" s="14"/>
      <c r="Y180" s="14"/>
      <c r="Z180" s="14"/>
      <c r="AA180" s="15"/>
      <c r="AB180" s="3"/>
      <c r="AC180" s="3"/>
      <c r="AD180" s="3"/>
      <c r="AE180" s="3"/>
      <c r="AF180" s="3"/>
      <c r="AG180" s="3"/>
      <c r="AH180" s="3"/>
      <c r="AI180" s="3"/>
      <c r="AJ180" s="3"/>
      <c r="AK180" s="3"/>
      <c r="AL180" s="3"/>
      <c r="AM180" s="3"/>
      <c r="AN180" s="3"/>
      <c r="AO180" s="3"/>
    </row>
    <row r="181" spans="2:41" s="171" customFormat="1" x14ac:dyDescent="0.25">
      <c r="B181" s="13"/>
      <c r="C181" s="14"/>
      <c r="D181" s="60"/>
      <c r="E181" s="56"/>
      <c r="F181" s="56"/>
      <c r="G181" s="14"/>
      <c r="H181" s="56"/>
      <c r="I181" s="14"/>
      <c r="J181" s="14"/>
      <c r="K181" s="14"/>
      <c r="L181" s="14"/>
      <c r="M181" s="14"/>
      <c r="N181" s="14"/>
      <c r="O181" s="14"/>
      <c r="P181" s="14"/>
      <c r="Q181" s="14"/>
      <c r="R181" s="14"/>
      <c r="S181" s="14"/>
      <c r="T181" s="14"/>
      <c r="U181" s="14"/>
      <c r="V181" s="14"/>
      <c r="W181" s="14"/>
      <c r="X181" s="14"/>
      <c r="Y181" s="14"/>
      <c r="Z181" s="14"/>
      <c r="AA181" s="15"/>
      <c r="AB181" s="3"/>
      <c r="AC181" s="3"/>
      <c r="AD181" s="3"/>
      <c r="AE181" s="3"/>
      <c r="AF181" s="3"/>
      <c r="AG181" s="3"/>
      <c r="AH181" s="3"/>
      <c r="AI181" s="3"/>
      <c r="AJ181" s="3"/>
      <c r="AK181" s="3"/>
      <c r="AL181" s="3"/>
      <c r="AM181" s="3"/>
      <c r="AN181" s="3"/>
      <c r="AO181" s="3"/>
    </row>
    <row r="182" spans="2:41" s="171" customFormat="1" ht="18.75" x14ac:dyDescent="0.3">
      <c r="B182" s="67"/>
      <c r="C182" s="14"/>
      <c r="D182" s="60"/>
      <c r="E182" s="56"/>
      <c r="F182" s="56"/>
      <c r="G182" s="14"/>
      <c r="H182" s="56"/>
      <c r="I182" s="74"/>
      <c r="J182" s="14"/>
      <c r="K182" s="14"/>
      <c r="L182" s="14"/>
      <c r="M182" s="14"/>
      <c r="N182" s="14"/>
      <c r="O182" s="14"/>
      <c r="P182" s="14"/>
      <c r="Q182" s="14"/>
      <c r="R182" s="14"/>
      <c r="S182" s="14"/>
      <c r="T182" s="14"/>
      <c r="U182" s="14"/>
      <c r="V182" s="14"/>
      <c r="W182" s="14"/>
      <c r="X182" s="14"/>
      <c r="Y182" s="14"/>
      <c r="Z182" s="14"/>
      <c r="AA182" s="15"/>
      <c r="AB182" s="3"/>
      <c r="AC182" s="3"/>
      <c r="AD182" s="3"/>
      <c r="AE182" s="3"/>
      <c r="AF182" s="3"/>
      <c r="AG182" s="3"/>
      <c r="AH182" s="3"/>
      <c r="AI182" s="3"/>
      <c r="AJ182" s="3"/>
      <c r="AK182" s="3"/>
      <c r="AL182" s="3"/>
      <c r="AM182" s="3"/>
      <c r="AN182" s="3"/>
      <c r="AO182" s="3"/>
    </row>
    <row r="183" spans="2:41" s="171" customFormat="1" x14ac:dyDescent="0.25">
      <c r="B183" s="13"/>
      <c r="C183" s="14"/>
      <c r="D183" s="60"/>
      <c r="E183" s="56"/>
      <c r="F183" s="56"/>
      <c r="G183" s="14"/>
      <c r="H183" s="56"/>
      <c r="I183" s="14"/>
      <c r="J183" s="14"/>
      <c r="K183" s="14"/>
      <c r="L183" s="14"/>
      <c r="M183" s="14"/>
      <c r="N183" s="14"/>
      <c r="O183" s="14"/>
      <c r="P183" s="14"/>
      <c r="Q183" s="14"/>
      <c r="R183" s="14"/>
      <c r="S183" s="14"/>
      <c r="T183" s="14"/>
      <c r="U183" s="14"/>
      <c r="V183" s="14"/>
      <c r="W183" s="14"/>
      <c r="X183" s="14"/>
      <c r="Y183" s="14"/>
      <c r="Z183" s="14"/>
      <c r="AA183" s="15"/>
      <c r="AB183" s="3"/>
      <c r="AC183" s="3"/>
      <c r="AD183" s="3"/>
      <c r="AE183" s="3"/>
      <c r="AF183" s="3"/>
      <c r="AG183" s="3"/>
      <c r="AH183" s="3"/>
      <c r="AI183" s="3"/>
      <c r="AJ183" s="3"/>
      <c r="AK183" s="3"/>
      <c r="AL183" s="3"/>
      <c r="AM183" s="3"/>
      <c r="AN183" s="3"/>
      <c r="AO183" s="3"/>
    </row>
    <row r="184" spans="2:41" s="171" customFormat="1" x14ac:dyDescent="0.25">
      <c r="B184" s="13"/>
      <c r="C184" s="56"/>
      <c r="D184" s="60"/>
      <c r="E184" s="56"/>
      <c r="F184" s="56"/>
      <c r="G184" s="56"/>
      <c r="H184" s="56"/>
      <c r="I184" s="14"/>
      <c r="J184" s="14"/>
      <c r="K184" s="14"/>
      <c r="L184" s="14"/>
      <c r="M184" s="14"/>
      <c r="N184" s="14"/>
      <c r="O184" s="14"/>
      <c r="P184" s="14"/>
      <c r="Q184" s="14"/>
      <c r="R184" s="14"/>
      <c r="S184" s="14"/>
      <c r="T184" s="14"/>
      <c r="U184" s="14"/>
      <c r="V184" s="14"/>
      <c r="W184" s="14"/>
      <c r="X184" s="14"/>
      <c r="Y184" s="14"/>
      <c r="Z184" s="14"/>
      <c r="AA184" s="15"/>
      <c r="AB184" s="3"/>
      <c r="AC184" s="3"/>
      <c r="AD184" s="3"/>
      <c r="AE184" s="3"/>
      <c r="AF184" s="3"/>
      <c r="AG184" s="3"/>
      <c r="AH184" s="3"/>
      <c r="AI184" s="3"/>
      <c r="AJ184" s="3"/>
      <c r="AK184" s="3"/>
      <c r="AL184" s="3"/>
      <c r="AM184" s="3"/>
      <c r="AN184" s="3"/>
      <c r="AO184" s="3"/>
    </row>
    <row r="185" spans="2:41" s="171" customFormat="1" x14ac:dyDescent="0.25">
      <c r="B185" s="13"/>
      <c r="C185" s="14"/>
      <c r="D185" s="60"/>
      <c r="E185" s="56"/>
      <c r="F185" s="56"/>
      <c r="G185" s="14"/>
      <c r="H185" s="56"/>
      <c r="I185" s="14"/>
      <c r="J185" s="14"/>
      <c r="K185" s="14"/>
      <c r="L185" s="14"/>
      <c r="M185" s="14"/>
      <c r="N185" s="14"/>
      <c r="O185" s="14"/>
      <c r="P185" s="14"/>
      <c r="Q185" s="14"/>
      <c r="R185" s="14"/>
      <c r="S185" s="14"/>
      <c r="T185" s="14"/>
      <c r="U185" s="14"/>
      <c r="V185" s="14"/>
      <c r="W185" s="14"/>
      <c r="X185" s="14"/>
      <c r="Y185" s="14"/>
      <c r="Z185" s="14"/>
      <c r="AA185" s="15"/>
      <c r="AB185" s="3"/>
      <c r="AC185" s="3"/>
      <c r="AD185" s="3"/>
      <c r="AE185" s="3"/>
      <c r="AF185" s="3"/>
      <c r="AG185" s="3"/>
      <c r="AH185" s="3"/>
      <c r="AI185" s="3"/>
      <c r="AJ185" s="3"/>
      <c r="AK185" s="3"/>
      <c r="AL185" s="3"/>
      <c r="AM185" s="3"/>
      <c r="AN185" s="3"/>
      <c r="AO185" s="3"/>
    </row>
    <row r="186" spans="2:41" s="171" customFormat="1" x14ac:dyDescent="0.25">
      <c r="B186" s="13"/>
      <c r="C186" s="14"/>
      <c r="D186" s="14"/>
      <c r="E186" s="56"/>
      <c r="F186" s="56"/>
      <c r="G186" s="14"/>
      <c r="H186" s="56"/>
      <c r="I186" s="14"/>
      <c r="J186" s="14"/>
      <c r="K186" s="14"/>
      <c r="L186" s="14"/>
      <c r="M186" s="14"/>
      <c r="N186" s="14"/>
      <c r="O186" s="14"/>
      <c r="P186" s="14"/>
      <c r="Q186" s="14"/>
      <c r="R186" s="14"/>
      <c r="S186" s="14"/>
      <c r="T186" s="14"/>
      <c r="U186" s="14"/>
      <c r="V186" s="14"/>
      <c r="W186" s="14"/>
      <c r="X186" s="14"/>
      <c r="Y186" s="14"/>
      <c r="Z186" s="14"/>
      <c r="AA186" s="15"/>
      <c r="AB186" s="3"/>
      <c r="AC186" s="3"/>
      <c r="AD186" s="3"/>
      <c r="AE186" s="3"/>
      <c r="AF186" s="3"/>
      <c r="AG186" s="3"/>
      <c r="AH186" s="3"/>
      <c r="AI186" s="3"/>
      <c r="AJ186" s="3"/>
      <c r="AK186" s="3"/>
      <c r="AL186" s="3"/>
      <c r="AM186" s="3"/>
      <c r="AN186" s="3"/>
      <c r="AO186" s="3"/>
    </row>
    <row r="187" spans="2:41" s="171" customFormat="1" x14ac:dyDescent="0.25">
      <c r="B187" s="13"/>
      <c r="C187" s="14"/>
      <c r="D187" s="60"/>
      <c r="E187" s="56"/>
      <c r="F187" s="56"/>
      <c r="G187" s="14"/>
      <c r="H187" s="14"/>
      <c r="I187" s="14"/>
      <c r="J187" s="14"/>
      <c r="K187" s="14"/>
      <c r="L187" s="14"/>
      <c r="M187" s="14"/>
      <c r="N187" s="14"/>
      <c r="O187" s="14"/>
      <c r="P187" s="14"/>
      <c r="Q187" s="14"/>
      <c r="R187" s="14"/>
      <c r="S187" s="14"/>
      <c r="T187" s="14"/>
      <c r="U187" s="14"/>
      <c r="V187" s="14"/>
      <c r="W187" s="14"/>
      <c r="X187" s="14"/>
      <c r="Y187" s="14"/>
      <c r="Z187" s="14"/>
      <c r="AA187" s="15"/>
      <c r="AB187" s="3"/>
      <c r="AC187" s="3"/>
      <c r="AD187" s="3"/>
      <c r="AE187" s="3"/>
      <c r="AF187" s="3"/>
      <c r="AG187" s="3"/>
      <c r="AH187" s="3"/>
      <c r="AI187" s="3"/>
      <c r="AJ187" s="3"/>
      <c r="AK187" s="3"/>
      <c r="AL187" s="3"/>
      <c r="AM187" s="3"/>
      <c r="AN187" s="3"/>
      <c r="AO187" s="3"/>
    </row>
    <row r="188" spans="2:41" s="171" customFormat="1" x14ac:dyDescent="0.25">
      <c r="B188" s="13"/>
      <c r="C188" s="14"/>
      <c r="D188" s="60"/>
      <c r="E188" s="56"/>
      <c r="F188" s="56"/>
      <c r="G188" s="14"/>
      <c r="H188" s="56"/>
      <c r="I188" s="14"/>
      <c r="J188" s="14"/>
      <c r="K188" s="14"/>
      <c r="L188" s="14"/>
      <c r="M188" s="14"/>
      <c r="N188" s="14"/>
      <c r="O188" s="14"/>
      <c r="P188" s="14"/>
      <c r="Q188" s="14"/>
      <c r="R188" s="14"/>
      <c r="S188" s="14"/>
      <c r="T188" s="14"/>
      <c r="U188" s="14"/>
      <c r="V188" s="14"/>
      <c r="W188" s="14"/>
      <c r="X188" s="14"/>
      <c r="Y188" s="14"/>
      <c r="Z188" s="14"/>
      <c r="AA188" s="15"/>
      <c r="AB188" s="3"/>
      <c r="AC188" s="3"/>
      <c r="AD188" s="3"/>
      <c r="AE188" s="3"/>
      <c r="AF188" s="3"/>
      <c r="AG188" s="3"/>
      <c r="AH188" s="3"/>
      <c r="AI188" s="3"/>
      <c r="AJ188" s="3"/>
      <c r="AK188" s="3"/>
      <c r="AL188" s="3"/>
      <c r="AM188" s="3"/>
      <c r="AN188" s="3"/>
      <c r="AO188" s="3"/>
    </row>
    <row r="189" spans="2:41" s="171" customFormat="1" x14ac:dyDescent="0.25">
      <c r="B189" s="13"/>
      <c r="C189" s="14"/>
      <c r="D189" s="60"/>
      <c r="E189" s="56"/>
      <c r="F189" s="56"/>
      <c r="G189" s="14"/>
      <c r="H189" s="56"/>
      <c r="I189" s="14"/>
      <c r="J189" s="14"/>
      <c r="K189" s="14"/>
      <c r="L189" s="14"/>
      <c r="M189" s="14"/>
      <c r="N189" s="14"/>
      <c r="O189" s="14"/>
      <c r="P189" s="14"/>
      <c r="Q189" s="14"/>
      <c r="R189" s="14"/>
      <c r="S189" s="14"/>
      <c r="T189" s="14"/>
      <c r="U189" s="14"/>
      <c r="V189" s="14"/>
      <c r="W189" s="14"/>
      <c r="X189" s="14"/>
      <c r="Y189" s="14"/>
      <c r="Z189" s="14"/>
      <c r="AA189" s="15"/>
      <c r="AB189" s="3"/>
      <c r="AC189" s="3"/>
      <c r="AD189" s="3"/>
      <c r="AE189" s="3"/>
      <c r="AF189" s="3"/>
      <c r="AG189" s="3"/>
      <c r="AH189" s="3"/>
      <c r="AI189" s="3"/>
      <c r="AJ189" s="3"/>
      <c r="AK189" s="3"/>
      <c r="AL189" s="3"/>
      <c r="AM189" s="3"/>
      <c r="AN189" s="3"/>
      <c r="AO189" s="3"/>
    </row>
    <row r="190" spans="2:41" s="171" customFormat="1" ht="18.75" x14ac:dyDescent="0.3">
      <c r="B190" s="67"/>
      <c r="C190" s="14"/>
      <c r="D190" s="60"/>
      <c r="E190" s="56"/>
      <c r="F190" s="56"/>
      <c r="G190" s="14"/>
      <c r="H190" s="56"/>
      <c r="I190" s="74"/>
      <c r="J190" s="14"/>
      <c r="K190" s="14"/>
      <c r="L190" s="14"/>
      <c r="M190" s="14"/>
      <c r="N190" s="14"/>
      <c r="O190" s="14"/>
      <c r="P190" s="14"/>
      <c r="Q190" s="14"/>
      <c r="R190" s="14"/>
      <c r="S190" s="14"/>
      <c r="T190" s="14"/>
      <c r="U190" s="14"/>
      <c r="V190" s="14"/>
      <c r="W190" s="14"/>
      <c r="X190" s="14"/>
      <c r="Y190" s="14"/>
      <c r="Z190" s="14"/>
      <c r="AA190" s="15"/>
      <c r="AB190" s="3"/>
      <c r="AC190" s="3"/>
      <c r="AD190" s="3"/>
      <c r="AE190" s="3"/>
      <c r="AF190" s="3"/>
      <c r="AG190" s="3"/>
      <c r="AH190" s="3"/>
      <c r="AI190" s="3"/>
      <c r="AJ190" s="3"/>
      <c r="AK190" s="3"/>
      <c r="AL190" s="3"/>
      <c r="AM190" s="3"/>
      <c r="AN190" s="3"/>
      <c r="AO190" s="3"/>
    </row>
    <row r="191" spans="2:41" s="171" customFormat="1" x14ac:dyDescent="0.25">
      <c r="B191" s="13"/>
      <c r="C191" s="56"/>
      <c r="D191" s="60"/>
      <c r="E191" s="56"/>
      <c r="F191" s="56"/>
      <c r="G191" s="56"/>
      <c r="H191" s="56"/>
      <c r="I191" s="14"/>
      <c r="J191" s="14"/>
      <c r="K191" s="14"/>
      <c r="L191" s="14"/>
      <c r="M191" s="14"/>
      <c r="N191" s="14"/>
      <c r="O191" s="14"/>
      <c r="P191" s="14"/>
      <c r="Q191" s="14"/>
      <c r="R191" s="14"/>
      <c r="S191" s="14"/>
      <c r="T191" s="14"/>
      <c r="U191" s="14"/>
      <c r="V191" s="14"/>
      <c r="W191" s="14"/>
      <c r="X191" s="14"/>
      <c r="Y191" s="14"/>
      <c r="Z191" s="14"/>
      <c r="AA191" s="15"/>
      <c r="AB191" s="3"/>
      <c r="AC191" s="3"/>
      <c r="AD191" s="3"/>
      <c r="AE191" s="3"/>
      <c r="AF191" s="3"/>
      <c r="AG191" s="3"/>
      <c r="AH191" s="3"/>
      <c r="AI191" s="3"/>
      <c r="AJ191" s="3"/>
      <c r="AK191" s="3"/>
      <c r="AL191" s="3"/>
      <c r="AM191" s="3"/>
      <c r="AN191" s="3"/>
      <c r="AO191" s="3"/>
    </row>
    <row r="192" spans="2:41" s="171" customFormat="1" x14ac:dyDescent="0.25">
      <c r="B192" s="13"/>
      <c r="C192" s="14"/>
      <c r="D192" s="60"/>
      <c r="E192" s="56"/>
      <c r="F192" s="56"/>
      <c r="G192" s="14"/>
      <c r="H192" s="56"/>
      <c r="I192" s="14"/>
      <c r="J192" s="14"/>
      <c r="K192" s="14"/>
      <c r="L192" s="14"/>
      <c r="M192" s="14"/>
      <c r="N192" s="14"/>
      <c r="O192" s="14"/>
      <c r="P192" s="14"/>
      <c r="Q192" s="14"/>
      <c r="R192" s="14"/>
      <c r="S192" s="14"/>
      <c r="T192" s="14"/>
      <c r="U192" s="14"/>
      <c r="V192" s="14"/>
      <c r="W192" s="14"/>
      <c r="X192" s="14"/>
      <c r="Y192" s="14"/>
      <c r="Z192" s="14"/>
      <c r="AA192" s="15"/>
      <c r="AB192" s="3"/>
      <c r="AC192" s="3"/>
      <c r="AD192" s="3"/>
      <c r="AE192" s="3"/>
      <c r="AF192" s="3"/>
      <c r="AG192" s="3"/>
      <c r="AH192" s="3"/>
      <c r="AI192" s="3"/>
      <c r="AJ192" s="3"/>
      <c r="AK192" s="3"/>
      <c r="AL192" s="3"/>
      <c r="AM192" s="3"/>
      <c r="AN192" s="3"/>
      <c r="AO192" s="3"/>
    </row>
    <row r="193" spans="2:41" s="171" customFormat="1" x14ac:dyDescent="0.25">
      <c r="B193" s="13"/>
      <c r="C193" s="14"/>
      <c r="D193" s="14"/>
      <c r="E193" s="14"/>
      <c r="F193" s="14"/>
      <c r="G193" s="14"/>
      <c r="H193" s="56"/>
      <c r="I193" s="14"/>
      <c r="J193" s="14"/>
      <c r="K193" s="14"/>
      <c r="L193" s="14"/>
      <c r="M193" s="14"/>
      <c r="N193" s="14"/>
      <c r="O193" s="14"/>
      <c r="P193" s="14"/>
      <c r="Q193" s="14"/>
      <c r="R193" s="14"/>
      <c r="S193" s="14"/>
      <c r="T193" s="14"/>
      <c r="U193" s="14"/>
      <c r="V193" s="14"/>
      <c r="W193" s="14"/>
      <c r="X193" s="14"/>
      <c r="Y193" s="14"/>
      <c r="Z193" s="14"/>
      <c r="AA193" s="15"/>
      <c r="AB193" s="3"/>
      <c r="AC193" s="3"/>
      <c r="AD193" s="3"/>
      <c r="AE193" s="3"/>
      <c r="AF193" s="3"/>
      <c r="AG193" s="3"/>
      <c r="AH193" s="3"/>
      <c r="AI193" s="3"/>
      <c r="AJ193" s="3"/>
      <c r="AK193" s="3"/>
      <c r="AL193" s="3"/>
      <c r="AM193" s="3"/>
      <c r="AN193" s="3"/>
      <c r="AO193" s="3"/>
    </row>
    <row r="194" spans="2:41" s="171" customFormat="1" x14ac:dyDescent="0.25">
      <c r="B194" s="13"/>
      <c r="C194" s="14"/>
      <c r="D194" s="60"/>
      <c r="E194" s="56"/>
      <c r="F194" s="56"/>
      <c r="G194" s="14"/>
      <c r="H194" s="14"/>
      <c r="I194" s="14"/>
      <c r="J194" s="14"/>
      <c r="K194" s="14"/>
      <c r="L194" s="14"/>
      <c r="M194" s="14"/>
      <c r="N194" s="14"/>
      <c r="O194" s="14"/>
      <c r="P194" s="14"/>
      <c r="Q194" s="14"/>
      <c r="R194" s="14"/>
      <c r="S194" s="14"/>
      <c r="T194" s="14"/>
      <c r="U194" s="14"/>
      <c r="V194" s="14"/>
      <c r="W194" s="14"/>
      <c r="X194" s="14"/>
      <c r="Y194" s="14"/>
      <c r="Z194" s="14"/>
      <c r="AA194" s="15"/>
      <c r="AB194" s="3"/>
      <c r="AC194" s="3"/>
      <c r="AD194" s="3"/>
      <c r="AE194" s="3"/>
      <c r="AF194" s="3"/>
      <c r="AG194" s="3"/>
      <c r="AH194" s="3"/>
      <c r="AI194" s="3"/>
      <c r="AJ194" s="3"/>
      <c r="AK194" s="3"/>
      <c r="AL194" s="3"/>
      <c r="AM194" s="3"/>
      <c r="AN194" s="3"/>
      <c r="AO194" s="3"/>
    </row>
    <row r="195" spans="2:41" s="171" customFormat="1" x14ac:dyDescent="0.25">
      <c r="B195" s="13"/>
      <c r="C195" s="14"/>
      <c r="D195" s="60"/>
      <c r="E195" s="56"/>
      <c r="F195" s="56"/>
      <c r="G195" s="14"/>
      <c r="H195" s="56"/>
      <c r="I195" s="14"/>
      <c r="J195" s="14"/>
      <c r="K195" s="14"/>
      <c r="L195" s="14"/>
      <c r="M195" s="14"/>
      <c r="N195" s="14"/>
      <c r="O195" s="14"/>
      <c r="P195" s="14"/>
      <c r="Q195" s="14"/>
      <c r="R195" s="14"/>
      <c r="S195" s="14"/>
      <c r="T195" s="14"/>
      <c r="U195" s="14"/>
      <c r="V195" s="14"/>
      <c r="W195" s="14"/>
      <c r="X195" s="14"/>
      <c r="Y195" s="14"/>
      <c r="Z195" s="14"/>
      <c r="AA195" s="15"/>
      <c r="AB195" s="3"/>
      <c r="AC195" s="3"/>
      <c r="AD195" s="3"/>
      <c r="AE195" s="3"/>
      <c r="AF195" s="3"/>
      <c r="AG195" s="3"/>
      <c r="AH195" s="3"/>
      <c r="AI195" s="3"/>
      <c r="AJ195" s="3"/>
      <c r="AK195" s="3"/>
      <c r="AL195" s="3"/>
      <c r="AM195" s="3"/>
      <c r="AN195" s="3"/>
      <c r="AO195" s="3"/>
    </row>
    <row r="196" spans="2:41" s="171" customFormat="1" x14ac:dyDescent="0.25">
      <c r="B196" s="13"/>
      <c r="C196" s="14"/>
      <c r="D196" s="60"/>
      <c r="E196" s="56"/>
      <c r="F196" s="56"/>
      <c r="G196" s="14"/>
      <c r="H196" s="56"/>
      <c r="I196" s="14"/>
      <c r="J196" s="14"/>
      <c r="K196" s="14"/>
      <c r="L196" s="14"/>
      <c r="M196" s="14"/>
      <c r="N196" s="14"/>
      <c r="O196" s="14"/>
      <c r="P196" s="14"/>
      <c r="Q196" s="14"/>
      <c r="R196" s="14"/>
      <c r="S196" s="14"/>
      <c r="T196" s="14"/>
      <c r="U196" s="14"/>
      <c r="V196" s="14"/>
      <c r="W196" s="14"/>
      <c r="X196" s="14"/>
      <c r="Y196" s="14"/>
      <c r="Z196" s="14"/>
      <c r="AA196" s="15"/>
      <c r="AB196" s="3"/>
      <c r="AC196" s="3"/>
      <c r="AD196" s="3"/>
      <c r="AE196" s="3"/>
      <c r="AF196" s="3"/>
      <c r="AG196" s="3"/>
      <c r="AH196" s="3"/>
      <c r="AI196" s="3"/>
      <c r="AJ196" s="3"/>
      <c r="AK196" s="3"/>
      <c r="AL196" s="3"/>
      <c r="AM196" s="3"/>
      <c r="AN196" s="3"/>
      <c r="AO196" s="3"/>
    </row>
    <row r="197" spans="2:41" s="171" customFormat="1" x14ac:dyDescent="0.25">
      <c r="B197" s="13"/>
      <c r="C197" s="14"/>
      <c r="D197" s="60"/>
      <c r="E197" s="56"/>
      <c r="F197" s="56"/>
      <c r="G197" s="14"/>
      <c r="H197" s="56"/>
      <c r="I197" s="14"/>
      <c r="J197" s="14"/>
      <c r="K197" s="14"/>
      <c r="L197" s="14"/>
      <c r="M197" s="14"/>
      <c r="N197" s="14"/>
      <c r="O197" s="14"/>
      <c r="P197" s="14"/>
      <c r="Q197" s="14"/>
      <c r="R197" s="14"/>
      <c r="S197" s="14"/>
      <c r="T197" s="14"/>
      <c r="U197" s="14"/>
      <c r="V197" s="14"/>
      <c r="W197" s="14"/>
      <c r="X197" s="14"/>
      <c r="Y197" s="14"/>
      <c r="Z197" s="14"/>
      <c r="AA197" s="15"/>
      <c r="AB197" s="3"/>
      <c r="AC197" s="3"/>
      <c r="AD197" s="3"/>
      <c r="AE197" s="3"/>
      <c r="AF197" s="3"/>
      <c r="AG197" s="3"/>
      <c r="AH197" s="3"/>
      <c r="AI197" s="3"/>
      <c r="AJ197" s="3"/>
      <c r="AK197" s="3"/>
      <c r="AL197" s="3"/>
      <c r="AM197" s="3"/>
      <c r="AN197" s="3"/>
      <c r="AO197" s="3"/>
    </row>
    <row r="198" spans="2:41" s="171" customFormat="1" x14ac:dyDescent="0.25">
      <c r="B198" s="13"/>
      <c r="C198" s="14"/>
      <c r="D198" s="60"/>
      <c r="E198" s="56"/>
      <c r="F198" s="56"/>
      <c r="G198" s="14"/>
      <c r="H198" s="56"/>
      <c r="I198" s="14"/>
      <c r="J198" s="14"/>
      <c r="K198" s="14"/>
      <c r="L198" s="14"/>
      <c r="M198" s="14"/>
      <c r="N198" s="14"/>
      <c r="O198" s="14"/>
      <c r="P198" s="14"/>
      <c r="Q198" s="14"/>
      <c r="R198" s="14"/>
      <c r="S198" s="14"/>
      <c r="T198" s="14"/>
      <c r="U198" s="14"/>
      <c r="V198" s="14"/>
      <c r="W198" s="14"/>
      <c r="X198" s="14"/>
      <c r="Y198" s="14"/>
      <c r="Z198" s="14"/>
      <c r="AA198" s="15"/>
      <c r="AB198" s="3"/>
      <c r="AC198" s="3"/>
      <c r="AD198" s="3"/>
      <c r="AE198" s="3"/>
      <c r="AF198" s="3"/>
      <c r="AG198" s="3"/>
      <c r="AH198" s="3"/>
      <c r="AI198" s="3"/>
      <c r="AJ198" s="3"/>
      <c r="AK198" s="3"/>
      <c r="AL198" s="3"/>
      <c r="AM198" s="3"/>
      <c r="AN198" s="3"/>
      <c r="AO198" s="3"/>
    </row>
    <row r="199" spans="2:41" s="171" customFormat="1" x14ac:dyDescent="0.25">
      <c r="B199" s="13"/>
      <c r="C199" s="14"/>
      <c r="D199" s="60"/>
      <c r="E199" s="56"/>
      <c r="F199" s="56"/>
      <c r="G199" s="14"/>
      <c r="H199" s="56"/>
      <c r="I199" s="14"/>
      <c r="J199" s="14"/>
      <c r="K199" s="14"/>
      <c r="L199" s="14"/>
      <c r="M199" s="14"/>
      <c r="N199" s="14"/>
      <c r="O199" s="14"/>
      <c r="P199" s="14"/>
      <c r="Q199" s="14"/>
      <c r="R199" s="14"/>
      <c r="S199" s="14"/>
      <c r="T199" s="14"/>
      <c r="U199" s="14"/>
      <c r="V199" s="14"/>
      <c r="W199" s="14"/>
      <c r="X199" s="14"/>
      <c r="Y199" s="14"/>
      <c r="Z199" s="14"/>
      <c r="AA199" s="15"/>
      <c r="AB199" s="3"/>
      <c r="AC199" s="3"/>
      <c r="AD199" s="3"/>
      <c r="AE199" s="3"/>
      <c r="AF199" s="3"/>
      <c r="AG199" s="3"/>
      <c r="AH199" s="3"/>
      <c r="AI199" s="3"/>
      <c r="AJ199" s="3"/>
      <c r="AK199" s="3"/>
      <c r="AL199" s="3"/>
      <c r="AM199" s="3"/>
      <c r="AN199" s="3"/>
      <c r="AO199" s="3"/>
    </row>
    <row r="200" spans="2:41" s="171" customFormat="1" x14ac:dyDescent="0.25">
      <c r="B200" s="13"/>
      <c r="C200" s="14"/>
      <c r="D200" s="14"/>
      <c r="E200" s="56"/>
      <c r="F200" s="56"/>
      <c r="G200" s="14"/>
      <c r="H200" s="56"/>
      <c r="I200" s="14"/>
      <c r="J200" s="14"/>
      <c r="K200" s="14"/>
      <c r="L200" s="14"/>
      <c r="M200" s="14"/>
      <c r="N200" s="14"/>
      <c r="O200" s="14"/>
      <c r="P200" s="14"/>
      <c r="Q200" s="14"/>
      <c r="R200" s="14"/>
      <c r="S200" s="14"/>
      <c r="T200" s="14"/>
      <c r="U200" s="14"/>
      <c r="V200" s="14"/>
      <c r="W200" s="14"/>
      <c r="X200" s="14"/>
      <c r="Y200" s="14"/>
      <c r="Z200" s="14"/>
      <c r="AA200" s="15"/>
      <c r="AB200" s="3"/>
      <c r="AC200" s="3"/>
      <c r="AD200" s="3"/>
      <c r="AE200" s="3"/>
      <c r="AF200" s="3"/>
      <c r="AG200" s="3"/>
      <c r="AH200" s="3"/>
      <c r="AI200" s="3"/>
      <c r="AJ200" s="3"/>
      <c r="AK200" s="3"/>
      <c r="AL200" s="3"/>
      <c r="AM200" s="3"/>
      <c r="AN200" s="3"/>
      <c r="AO200" s="3"/>
    </row>
    <row r="201" spans="2:41" s="171" customFormat="1" x14ac:dyDescent="0.25">
      <c r="B201" s="13"/>
      <c r="C201" s="14"/>
      <c r="D201" s="60"/>
      <c r="E201" s="56"/>
      <c r="F201" s="56"/>
      <c r="G201" s="14"/>
      <c r="H201" s="14"/>
      <c r="I201" s="14"/>
      <c r="J201" s="14"/>
      <c r="K201" s="14"/>
      <c r="L201" s="14"/>
      <c r="M201" s="14"/>
      <c r="N201" s="14"/>
      <c r="O201" s="14"/>
      <c r="P201" s="14"/>
      <c r="Q201" s="14"/>
      <c r="R201" s="14"/>
      <c r="S201" s="14"/>
      <c r="T201" s="14"/>
      <c r="U201" s="14"/>
      <c r="V201" s="14"/>
      <c r="W201" s="14"/>
      <c r="X201" s="14"/>
      <c r="Y201" s="14"/>
      <c r="Z201" s="14"/>
      <c r="AA201" s="15"/>
      <c r="AB201" s="3"/>
      <c r="AC201" s="3"/>
      <c r="AD201" s="3"/>
      <c r="AE201" s="3"/>
      <c r="AF201" s="3"/>
      <c r="AG201" s="3"/>
      <c r="AH201" s="3"/>
      <c r="AI201" s="3"/>
      <c r="AJ201" s="3"/>
      <c r="AK201" s="3"/>
      <c r="AL201" s="3"/>
      <c r="AM201" s="3"/>
      <c r="AN201" s="3"/>
      <c r="AO201" s="3"/>
    </row>
    <row r="202" spans="2:41" s="171" customFormat="1" x14ac:dyDescent="0.25">
      <c r="B202" s="13"/>
      <c r="C202" s="14"/>
      <c r="D202" s="60"/>
      <c r="E202" s="56"/>
      <c r="F202" s="56"/>
      <c r="G202" s="14"/>
      <c r="H202" s="56"/>
      <c r="I202" s="14"/>
      <c r="J202" s="14"/>
      <c r="K202" s="14"/>
      <c r="L202" s="14"/>
      <c r="M202" s="14"/>
      <c r="N202" s="14"/>
      <c r="O202" s="14"/>
      <c r="P202" s="14"/>
      <c r="Q202" s="14"/>
      <c r="R202" s="14"/>
      <c r="S202" s="14"/>
      <c r="T202" s="14"/>
      <c r="U202" s="14"/>
      <c r="V202" s="14"/>
      <c r="W202" s="14"/>
      <c r="X202" s="14"/>
      <c r="Y202" s="14"/>
      <c r="Z202" s="14"/>
      <c r="AA202" s="15"/>
      <c r="AB202" s="3"/>
      <c r="AC202" s="3"/>
      <c r="AD202" s="3"/>
      <c r="AE202" s="3"/>
      <c r="AF202" s="3"/>
      <c r="AG202" s="3"/>
      <c r="AH202" s="3"/>
      <c r="AI202" s="3"/>
      <c r="AJ202" s="3"/>
      <c r="AK202" s="3"/>
      <c r="AL202" s="3"/>
      <c r="AM202" s="3"/>
      <c r="AN202" s="3"/>
      <c r="AO202" s="3"/>
    </row>
    <row r="203" spans="2:41" s="171" customFormat="1" x14ac:dyDescent="0.25">
      <c r="B203" s="13"/>
      <c r="C203" s="14"/>
      <c r="D203" s="60"/>
      <c r="E203" s="56"/>
      <c r="F203" s="56"/>
      <c r="G203" s="14"/>
      <c r="H203" s="56"/>
      <c r="I203" s="14"/>
      <c r="J203" s="14"/>
      <c r="K203" s="14"/>
      <c r="L203" s="14"/>
      <c r="M203" s="14"/>
      <c r="N203" s="14"/>
      <c r="O203" s="14"/>
      <c r="P203" s="14"/>
      <c r="Q203" s="14"/>
      <c r="R203" s="14"/>
      <c r="S203" s="14"/>
      <c r="T203" s="14"/>
      <c r="U203" s="14"/>
      <c r="V203" s="14"/>
      <c r="W203" s="14"/>
      <c r="X203" s="14"/>
      <c r="Y203" s="14"/>
      <c r="Z203" s="14"/>
      <c r="AA203" s="15"/>
      <c r="AB203" s="3"/>
      <c r="AC203" s="3"/>
      <c r="AD203" s="3"/>
      <c r="AE203" s="3"/>
      <c r="AF203" s="3"/>
      <c r="AG203" s="3"/>
      <c r="AH203" s="3"/>
      <c r="AI203" s="3"/>
      <c r="AJ203" s="3"/>
      <c r="AK203" s="3"/>
      <c r="AL203" s="3"/>
      <c r="AM203" s="3"/>
      <c r="AN203" s="3"/>
      <c r="AO203" s="3"/>
    </row>
    <row r="204" spans="2:41" s="171" customFormat="1" x14ac:dyDescent="0.25">
      <c r="B204" s="13"/>
      <c r="C204" s="14"/>
      <c r="D204" s="60"/>
      <c r="E204" s="56"/>
      <c r="F204" s="56"/>
      <c r="G204" s="14"/>
      <c r="H204" s="56"/>
      <c r="I204" s="14"/>
      <c r="J204" s="14"/>
      <c r="K204" s="14"/>
      <c r="L204" s="14"/>
      <c r="M204" s="14"/>
      <c r="N204" s="14"/>
      <c r="O204" s="14"/>
      <c r="P204" s="14"/>
      <c r="Q204" s="14"/>
      <c r="R204" s="14"/>
      <c r="S204" s="14"/>
      <c r="T204" s="14"/>
      <c r="U204" s="14"/>
      <c r="V204" s="14"/>
      <c r="W204" s="14"/>
      <c r="X204" s="14"/>
      <c r="Y204" s="14"/>
      <c r="Z204" s="14"/>
      <c r="AA204" s="15"/>
      <c r="AB204" s="3"/>
      <c r="AC204" s="3"/>
      <c r="AD204" s="3"/>
      <c r="AE204" s="3"/>
      <c r="AF204" s="3"/>
      <c r="AG204" s="3"/>
      <c r="AH204" s="3"/>
      <c r="AI204" s="3"/>
      <c r="AJ204" s="3"/>
      <c r="AK204" s="3"/>
      <c r="AL204" s="3"/>
      <c r="AM204" s="3"/>
      <c r="AN204" s="3"/>
      <c r="AO204" s="3"/>
    </row>
    <row r="205" spans="2:41" s="171" customFormat="1" x14ac:dyDescent="0.25">
      <c r="B205" s="70"/>
      <c r="C205" s="56"/>
      <c r="D205" s="60"/>
      <c r="E205" s="56"/>
      <c r="F205" s="56"/>
      <c r="G205" s="56"/>
      <c r="H205" s="56"/>
      <c r="I205" s="42"/>
      <c r="J205" s="14"/>
      <c r="K205" s="14"/>
      <c r="L205" s="14"/>
      <c r="M205" s="14"/>
      <c r="N205" s="14"/>
      <c r="O205" s="14"/>
      <c r="P205" s="14"/>
      <c r="Q205" s="14"/>
      <c r="R205" s="14"/>
      <c r="S205" s="14"/>
      <c r="T205" s="14"/>
      <c r="U205" s="14"/>
      <c r="V205" s="14"/>
      <c r="W205" s="14"/>
      <c r="X205" s="14"/>
      <c r="Y205" s="14"/>
      <c r="Z205" s="14"/>
      <c r="AA205" s="15"/>
      <c r="AB205" s="3"/>
      <c r="AC205" s="3"/>
      <c r="AD205" s="3"/>
      <c r="AE205" s="3"/>
      <c r="AF205" s="3"/>
      <c r="AG205" s="3"/>
      <c r="AH205" s="3"/>
      <c r="AI205" s="3"/>
      <c r="AJ205" s="3"/>
      <c r="AK205" s="3"/>
      <c r="AL205" s="3"/>
      <c r="AM205" s="3"/>
      <c r="AN205" s="3"/>
      <c r="AO205" s="3"/>
    </row>
    <row r="206" spans="2:41" s="171" customFormat="1" ht="18.75" x14ac:dyDescent="0.3">
      <c r="B206" s="67"/>
      <c r="C206" s="14"/>
      <c r="D206" s="60"/>
      <c r="E206" s="56"/>
      <c r="F206" s="56"/>
      <c r="G206" s="14"/>
      <c r="H206" s="56"/>
      <c r="I206" s="74"/>
      <c r="J206" s="14"/>
      <c r="K206" s="14"/>
      <c r="L206" s="14"/>
      <c r="M206" s="14"/>
      <c r="N206" s="14"/>
      <c r="O206" s="14"/>
      <c r="P206" s="14"/>
      <c r="Q206" s="14"/>
      <c r="R206" s="14"/>
      <c r="S206" s="14"/>
      <c r="T206" s="14"/>
      <c r="U206" s="14"/>
      <c r="V206" s="14"/>
      <c r="W206" s="14"/>
      <c r="X206" s="14"/>
      <c r="Y206" s="14"/>
      <c r="Z206" s="14"/>
      <c r="AA206" s="15"/>
      <c r="AB206" s="3"/>
      <c r="AC206" s="3"/>
      <c r="AD206" s="3"/>
      <c r="AE206" s="3"/>
      <c r="AF206" s="3"/>
      <c r="AG206" s="3"/>
      <c r="AH206" s="3"/>
      <c r="AI206" s="3"/>
      <c r="AJ206" s="3"/>
      <c r="AK206" s="3"/>
      <c r="AL206" s="3"/>
      <c r="AM206" s="3"/>
      <c r="AN206" s="3"/>
      <c r="AO206" s="3"/>
    </row>
    <row r="207" spans="2:41" s="171" customFormat="1" x14ac:dyDescent="0.25">
      <c r="B207" s="13"/>
      <c r="C207" s="14"/>
      <c r="D207" s="14"/>
      <c r="E207" s="56"/>
      <c r="F207" s="56"/>
      <c r="G207" s="14"/>
      <c r="H207" s="56"/>
      <c r="I207" s="14"/>
      <c r="J207" s="14"/>
      <c r="K207" s="14"/>
      <c r="L207" s="14"/>
      <c r="M207" s="14"/>
      <c r="N207" s="14"/>
      <c r="O207" s="14"/>
      <c r="P207" s="14"/>
      <c r="Q207" s="14"/>
      <c r="R207" s="14"/>
      <c r="S207" s="14"/>
      <c r="T207" s="14"/>
      <c r="U207" s="14"/>
      <c r="V207" s="14"/>
      <c r="W207" s="14"/>
      <c r="X207" s="14"/>
      <c r="Y207" s="14"/>
      <c r="Z207" s="14"/>
      <c r="AA207" s="15"/>
      <c r="AB207" s="3"/>
      <c r="AC207" s="3"/>
      <c r="AD207" s="3"/>
      <c r="AE207" s="3"/>
      <c r="AF207" s="3"/>
      <c r="AG207" s="3"/>
      <c r="AH207" s="3"/>
      <c r="AI207" s="3"/>
      <c r="AJ207" s="3"/>
      <c r="AK207" s="3"/>
      <c r="AL207" s="3"/>
      <c r="AM207" s="3"/>
      <c r="AN207" s="3"/>
      <c r="AO207" s="3"/>
    </row>
    <row r="208" spans="2:41" s="171" customFormat="1" x14ac:dyDescent="0.25">
      <c r="B208" s="13"/>
      <c r="C208" s="14"/>
      <c r="D208" s="60"/>
      <c r="E208" s="56"/>
      <c r="F208" s="56"/>
      <c r="G208" s="14"/>
      <c r="H208" s="14"/>
      <c r="I208" s="14"/>
      <c r="J208" s="14"/>
      <c r="K208" s="14"/>
      <c r="L208" s="14"/>
      <c r="M208" s="14"/>
      <c r="N208" s="14"/>
      <c r="O208" s="14"/>
      <c r="P208" s="14"/>
      <c r="Q208" s="14"/>
      <c r="R208" s="14"/>
      <c r="S208" s="14"/>
      <c r="T208" s="14"/>
      <c r="U208" s="14"/>
      <c r="V208" s="14"/>
      <c r="W208" s="14"/>
      <c r="X208" s="14"/>
      <c r="Y208" s="14"/>
      <c r="Z208" s="14"/>
      <c r="AA208" s="15"/>
      <c r="AB208" s="3"/>
      <c r="AC208" s="3"/>
      <c r="AD208" s="3"/>
      <c r="AE208" s="3"/>
      <c r="AF208" s="3"/>
      <c r="AG208" s="3"/>
      <c r="AH208" s="3"/>
      <c r="AI208" s="3"/>
      <c r="AJ208" s="3"/>
      <c r="AK208" s="3"/>
      <c r="AL208" s="3"/>
      <c r="AM208" s="3"/>
      <c r="AN208" s="3"/>
      <c r="AO208" s="3"/>
    </row>
    <row r="209" spans="2:41" s="171" customFormat="1" x14ac:dyDescent="0.25">
      <c r="B209" s="13"/>
      <c r="C209" s="14"/>
      <c r="D209" s="60"/>
      <c r="E209" s="56"/>
      <c r="F209" s="56"/>
      <c r="G209" s="14"/>
      <c r="H209" s="56"/>
      <c r="I209" s="14"/>
      <c r="J209" s="14"/>
      <c r="K209" s="14"/>
      <c r="L209" s="14"/>
      <c r="M209" s="14"/>
      <c r="N209" s="14"/>
      <c r="O209" s="14"/>
      <c r="P209" s="14"/>
      <c r="Q209" s="14"/>
      <c r="R209" s="14"/>
      <c r="S209" s="14"/>
      <c r="T209" s="14"/>
      <c r="U209" s="14"/>
      <c r="V209" s="14"/>
      <c r="W209" s="14"/>
      <c r="X209" s="14"/>
      <c r="Y209" s="14"/>
      <c r="Z209" s="14"/>
      <c r="AA209" s="15"/>
      <c r="AB209" s="3"/>
      <c r="AC209" s="3"/>
      <c r="AD209" s="3"/>
      <c r="AE209" s="3"/>
      <c r="AF209" s="3"/>
      <c r="AG209" s="3"/>
      <c r="AH209" s="3"/>
      <c r="AI209" s="3"/>
      <c r="AJ209" s="3"/>
      <c r="AK209" s="3"/>
      <c r="AL209" s="3"/>
      <c r="AM209" s="3"/>
      <c r="AN209" s="3"/>
      <c r="AO209" s="3"/>
    </row>
    <row r="210" spans="2:41" s="171" customFormat="1" x14ac:dyDescent="0.25">
      <c r="B210" s="13"/>
      <c r="C210" s="14"/>
      <c r="D210" s="60"/>
      <c r="E210" s="56"/>
      <c r="F210" s="56"/>
      <c r="G210" s="14"/>
      <c r="H210" s="56"/>
      <c r="I210" s="14"/>
      <c r="J210" s="14"/>
      <c r="K210" s="14"/>
      <c r="L210" s="14"/>
      <c r="M210" s="14"/>
      <c r="N210" s="14"/>
      <c r="O210" s="14"/>
      <c r="P210" s="14"/>
      <c r="Q210" s="14"/>
      <c r="R210" s="14"/>
      <c r="S210" s="14"/>
      <c r="T210" s="14"/>
      <c r="U210" s="14"/>
      <c r="V210" s="14"/>
      <c r="W210" s="14"/>
      <c r="X210" s="14"/>
      <c r="Y210" s="14"/>
      <c r="Z210" s="14"/>
      <c r="AA210" s="15"/>
      <c r="AB210" s="3"/>
      <c r="AC210" s="3"/>
      <c r="AD210" s="3"/>
      <c r="AE210" s="3"/>
      <c r="AF210" s="3"/>
      <c r="AG210" s="3"/>
      <c r="AH210" s="3"/>
      <c r="AI210" s="3"/>
      <c r="AJ210" s="3"/>
      <c r="AK210" s="3"/>
      <c r="AL210" s="3"/>
      <c r="AM210" s="3"/>
      <c r="AN210" s="3"/>
      <c r="AO210" s="3"/>
    </row>
    <row r="211" spans="2:41" s="171" customFormat="1" x14ac:dyDescent="0.25">
      <c r="B211" s="13"/>
      <c r="C211" s="14"/>
      <c r="D211" s="60"/>
      <c r="E211" s="56"/>
      <c r="F211" s="56"/>
      <c r="G211" s="14"/>
      <c r="H211" s="56"/>
      <c r="I211" s="14"/>
      <c r="J211" s="14"/>
      <c r="K211" s="14"/>
      <c r="L211" s="14"/>
      <c r="M211" s="14"/>
      <c r="N211" s="14"/>
      <c r="O211" s="14"/>
      <c r="P211" s="14"/>
      <c r="Q211" s="14"/>
      <c r="R211" s="14"/>
      <c r="S211" s="14"/>
      <c r="T211" s="14"/>
      <c r="U211" s="14"/>
      <c r="V211" s="14"/>
      <c r="W211" s="14"/>
      <c r="X211" s="14"/>
      <c r="Y211" s="14"/>
      <c r="Z211" s="14"/>
      <c r="AA211" s="15"/>
      <c r="AB211" s="3"/>
      <c r="AC211" s="3"/>
      <c r="AD211" s="3"/>
      <c r="AE211" s="3"/>
      <c r="AF211" s="3"/>
      <c r="AG211" s="3"/>
      <c r="AH211" s="3"/>
      <c r="AI211" s="3"/>
      <c r="AJ211" s="3"/>
      <c r="AK211" s="3"/>
      <c r="AL211" s="3"/>
      <c r="AM211" s="3"/>
      <c r="AN211" s="3"/>
      <c r="AO211" s="3"/>
    </row>
    <row r="212" spans="2:41" s="171" customFormat="1" x14ac:dyDescent="0.25">
      <c r="B212" s="13"/>
      <c r="C212" s="14"/>
      <c r="D212" s="60"/>
      <c r="E212" s="56"/>
      <c r="F212" s="56"/>
      <c r="G212" s="14"/>
      <c r="H212" s="56"/>
      <c r="I212" s="14"/>
      <c r="J212" s="14"/>
      <c r="K212" s="14"/>
      <c r="L212" s="14"/>
      <c r="M212" s="14"/>
      <c r="N212" s="14"/>
      <c r="O212" s="14"/>
      <c r="P212" s="14"/>
      <c r="Q212" s="14"/>
      <c r="R212" s="14"/>
      <c r="S212" s="14"/>
      <c r="T212" s="14"/>
      <c r="U212" s="14"/>
      <c r="V212" s="14"/>
      <c r="W212" s="14"/>
      <c r="X212" s="14"/>
      <c r="Y212" s="14"/>
      <c r="Z212" s="14"/>
      <c r="AA212" s="15"/>
      <c r="AB212" s="3"/>
      <c r="AC212" s="3"/>
      <c r="AD212" s="3"/>
      <c r="AE212" s="3"/>
      <c r="AF212" s="3"/>
      <c r="AG212" s="3"/>
      <c r="AH212" s="3"/>
      <c r="AI212" s="3"/>
      <c r="AJ212" s="3"/>
      <c r="AK212" s="3"/>
      <c r="AL212" s="3"/>
      <c r="AM212" s="3"/>
      <c r="AN212" s="3"/>
      <c r="AO212" s="3"/>
    </row>
    <row r="213" spans="2:41" s="171" customFormat="1" x14ac:dyDescent="0.25">
      <c r="B213" s="13"/>
      <c r="C213" s="14"/>
      <c r="D213" s="60"/>
      <c r="E213" s="56"/>
      <c r="F213" s="56"/>
      <c r="G213" s="14"/>
      <c r="H213" s="56"/>
      <c r="I213" s="14"/>
      <c r="J213" s="14"/>
      <c r="K213" s="14"/>
      <c r="L213" s="14"/>
      <c r="M213" s="14"/>
      <c r="N213" s="14"/>
      <c r="O213" s="14"/>
      <c r="P213" s="14"/>
      <c r="Q213" s="14"/>
      <c r="R213" s="14"/>
      <c r="S213" s="14"/>
      <c r="T213" s="14"/>
      <c r="U213" s="14"/>
      <c r="V213" s="14"/>
      <c r="W213" s="14"/>
      <c r="X213" s="14"/>
      <c r="Y213" s="14"/>
      <c r="Z213" s="14"/>
      <c r="AA213" s="15"/>
      <c r="AB213" s="3"/>
      <c r="AC213" s="3"/>
      <c r="AD213" s="3"/>
      <c r="AE213" s="3"/>
      <c r="AF213" s="3"/>
      <c r="AG213" s="3"/>
      <c r="AH213" s="3"/>
      <c r="AI213" s="3"/>
      <c r="AJ213" s="3"/>
      <c r="AK213" s="3"/>
      <c r="AL213" s="3"/>
      <c r="AM213" s="3"/>
      <c r="AN213" s="3"/>
      <c r="AO213" s="3"/>
    </row>
    <row r="214" spans="2:41" s="171" customFormat="1" x14ac:dyDescent="0.25">
      <c r="B214" s="13"/>
      <c r="C214" s="14"/>
      <c r="D214" s="14"/>
      <c r="E214" s="56"/>
      <c r="F214" s="56"/>
      <c r="G214" s="14"/>
      <c r="H214" s="56"/>
      <c r="I214" s="14"/>
      <c r="J214" s="14"/>
      <c r="K214" s="14"/>
      <c r="L214" s="14"/>
      <c r="M214" s="14"/>
      <c r="N214" s="14"/>
      <c r="O214" s="14"/>
      <c r="P214" s="14"/>
      <c r="Q214" s="14"/>
      <c r="R214" s="14"/>
      <c r="S214" s="14"/>
      <c r="T214" s="14"/>
      <c r="U214" s="14"/>
      <c r="V214" s="14"/>
      <c r="W214" s="14"/>
      <c r="X214" s="14"/>
      <c r="Y214" s="14"/>
      <c r="Z214" s="14"/>
      <c r="AA214" s="15"/>
      <c r="AB214" s="3"/>
      <c r="AC214" s="3"/>
      <c r="AD214" s="3"/>
      <c r="AE214" s="3"/>
      <c r="AF214" s="3"/>
      <c r="AG214" s="3"/>
      <c r="AH214" s="3"/>
      <c r="AI214" s="3"/>
      <c r="AJ214" s="3"/>
      <c r="AK214" s="3"/>
      <c r="AL214" s="3"/>
      <c r="AM214" s="3"/>
      <c r="AN214" s="3"/>
      <c r="AO214" s="3"/>
    </row>
    <row r="215" spans="2:41" s="171" customFormat="1" x14ac:dyDescent="0.25">
      <c r="B215" s="13"/>
      <c r="C215" s="14"/>
      <c r="D215" s="60"/>
      <c r="E215" s="56"/>
      <c r="F215" s="56"/>
      <c r="G215" s="14"/>
      <c r="H215" s="14"/>
      <c r="I215" s="14"/>
      <c r="J215" s="14"/>
      <c r="K215" s="14"/>
      <c r="L215" s="14"/>
      <c r="M215" s="14"/>
      <c r="N215" s="14"/>
      <c r="O215" s="14"/>
      <c r="P215" s="14"/>
      <c r="Q215" s="14"/>
      <c r="R215" s="14"/>
      <c r="S215" s="14"/>
      <c r="T215" s="14"/>
      <c r="U215" s="14"/>
      <c r="V215" s="14"/>
      <c r="W215" s="14"/>
      <c r="X215" s="14"/>
      <c r="Y215" s="14"/>
      <c r="Z215" s="14"/>
      <c r="AA215" s="15"/>
      <c r="AB215" s="3"/>
      <c r="AC215" s="3"/>
      <c r="AD215" s="3"/>
      <c r="AE215" s="3"/>
      <c r="AF215" s="3"/>
      <c r="AG215" s="3"/>
      <c r="AH215" s="3"/>
      <c r="AI215" s="3"/>
      <c r="AJ215" s="3"/>
      <c r="AK215" s="3"/>
      <c r="AL215" s="3"/>
      <c r="AM215" s="3"/>
      <c r="AN215" s="3"/>
      <c r="AO215" s="3"/>
    </row>
    <row r="216" spans="2:41" s="171" customFormat="1" x14ac:dyDescent="0.25">
      <c r="B216" s="13"/>
      <c r="C216" s="14"/>
      <c r="D216" s="60"/>
      <c r="E216" s="56"/>
      <c r="F216" s="56"/>
      <c r="G216" s="14"/>
      <c r="H216" s="56"/>
      <c r="I216" s="14"/>
      <c r="J216" s="14"/>
      <c r="K216" s="14"/>
      <c r="L216" s="14"/>
      <c r="M216" s="14"/>
      <c r="N216" s="14"/>
      <c r="O216" s="14"/>
      <c r="P216" s="14"/>
      <c r="Q216" s="14"/>
      <c r="R216" s="14"/>
      <c r="S216" s="14"/>
      <c r="T216" s="14"/>
      <c r="U216" s="14"/>
      <c r="V216" s="14"/>
      <c r="W216" s="14"/>
      <c r="X216" s="14"/>
      <c r="Y216" s="14"/>
      <c r="Z216" s="14"/>
      <c r="AA216" s="15"/>
      <c r="AB216" s="3"/>
      <c r="AC216" s="3"/>
      <c r="AD216" s="3"/>
      <c r="AE216" s="3"/>
      <c r="AF216" s="3"/>
      <c r="AG216" s="3"/>
      <c r="AH216" s="3"/>
      <c r="AI216" s="3"/>
      <c r="AJ216" s="3"/>
      <c r="AK216" s="3"/>
      <c r="AL216" s="3"/>
      <c r="AM216" s="3"/>
      <c r="AN216" s="3"/>
      <c r="AO216" s="3"/>
    </row>
    <row r="217" spans="2:41" s="171" customFormat="1" x14ac:dyDescent="0.25">
      <c r="B217" s="13"/>
      <c r="C217" s="14"/>
      <c r="D217" s="60"/>
      <c r="E217" s="56"/>
      <c r="F217" s="56"/>
      <c r="G217" s="14"/>
      <c r="H217" s="56"/>
      <c r="I217" s="14"/>
      <c r="J217" s="14"/>
      <c r="K217" s="14"/>
      <c r="L217" s="14"/>
      <c r="M217" s="14"/>
      <c r="N217" s="14"/>
      <c r="O217" s="14"/>
      <c r="P217" s="14"/>
      <c r="Q217" s="14"/>
      <c r="R217" s="14"/>
      <c r="S217" s="14"/>
      <c r="T217" s="14"/>
      <c r="U217" s="14"/>
      <c r="V217" s="14"/>
      <c r="W217" s="14"/>
      <c r="X217" s="14"/>
      <c r="Y217" s="14"/>
      <c r="Z217" s="14"/>
      <c r="AA217" s="15"/>
      <c r="AB217" s="3"/>
      <c r="AC217" s="3"/>
      <c r="AD217" s="3"/>
      <c r="AE217" s="3"/>
      <c r="AF217" s="3"/>
      <c r="AG217" s="3"/>
      <c r="AH217" s="3"/>
      <c r="AI217" s="3"/>
      <c r="AJ217" s="3"/>
      <c r="AK217" s="3"/>
      <c r="AL217" s="3"/>
      <c r="AM217" s="3"/>
      <c r="AN217" s="3"/>
      <c r="AO217" s="3"/>
    </row>
    <row r="218" spans="2:41" s="171" customFormat="1" x14ac:dyDescent="0.25">
      <c r="B218" s="13"/>
      <c r="C218" s="14"/>
      <c r="D218" s="60"/>
      <c r="E218" s="56"/>
      <c r="F218" s="56"/>
      <c r="G218" s="14"/>
      <c r="H218" s="56"/>
      <c r="I218" s="14"/>
      <c r="J218" s="14"/>
      <c r="K218" s="14"/>
      <c r="L218" s="14"/>
      <c r="M218" s="14"/>
      <c r="N218" s="14"/>
      <c r="O218" s="14"/>
      <c r="P218" s="14"/>
      <c r="Q218" s="14"/>
      <c r="R218" s="14"/>
      <c r="S218" s="14"/>
      <c r="T218" s="14"/>
      <c r="U218" s="14"/>
      <c r="V218" s="14"/>
      <c r="W218" s="14"/>
      <c r="X218" s="14"/>
      <c r="Y218" s="14"/>
      <c r="Z218" s="14"/>
      <c r="AA218" s="15"/>
      <c r="AB218" s="3"/>
      <c r="AC218" s="3"/>
      <c r="AD218" s="3"/>
      <c r="AE218" s="3"/>
      <c r="AF218" s="3"/>
      <c r="AG218" s="3"/>
      <c r="AH218" s="3"/>
      <c r="AI218" s="3"/>
      <c r="AJ218" s="3"/>
      <c r="AK218" s="3"/>
      <c r="AL218" s="3"/>
      <c r="AM218" s="3"/>
      <c r="AN218" s="3"/>
      <c r="AO218" s="3"/>
    </row>
    <row r="219" spans="2:41" s="171" customFormat="1" x14ac:dyDescent="0.25">
      <c r="B219" s="70"/>
      <c r="C219" s="56"/>
      <c r="D219" s="60"/>
      <c r="E219" s="56"/>
      <c r="F219" s="56"/>
      <c r="G219" s="56"/>
      <c r="H219" s="56"/>
      <c r="I219" s="42"/>
      <c r="J219" s="14"/>
      <c r="K219" s="14"/>
      <c r="L219" s="14"/>
      <c r="M219" s="14"/>
      <c r="N219" s="14"/>
      <c r="O219" s="14"/>
      <c r="P219" s="14"/>
      <c r="Q219" s="14"/>
      <c r="R219" s="14"/>
      <c r="S219" s="14"/>
      <c r="T219" s="14"/>
      <c r="U219" s="14"/>
      <c r="V219" s="14"/>
      <c r="W219" s="14"/>
      <c r="X219" s="14"/>
      <c r="Y219" s="14"/>
      <c r="Z219" s="14"/>
      <c r="AA219" s="15"/>
      <c r="AB219" s="3"/>
      <c r="AC219" s="3"/>
      <c r="AD219" s="3"/>
      <c r="AE219" s="3"/>
      <c r="AF219" s="3"/>
      <c r="AG219" s="3"/>
      <c r="AH219" s="3"/>
      <c r="AI219" s="3"/>
      <c r="AJ219" s="3"/>
      <c r="AK219" s="3"/>
      <c r="AL219" s="3"/>
      <c r="AM219" s="3"/>
      <c r="AN219" s="3"/>
      <c r="AO219" s="3"/>
    </row>
    <row r="220" spans="2:41" s="171" customFormat="1" x14ac:dyDescent="0.25">
      <c r="B220" s="13"/>
      <c r="C220" s="14"/>
      <c r="D220" s="60"/>
      <c r="E220" s="56"/>
      <c r="F220" s="56"/>
      <c r="G220" s="14"/>
      <c r="H220" s="56"/>
      <c r="I220" s="14"/>
      <c r="J220" s="14"/>
      <c r="K220" s="14"/>
      <c r="L220" s="14"/>
      <c r="M220" s="14"/>
      <c r="N220" s="14"/>
      <c r="O220" s="14"/>
      <c r="P220" s="14"/>
      <c r="Q220" s="14"/>
      <c r="R220" s="14"/>
      <c r="S220" s="14"/>
      <c r="T220" s="14"/>
      <c r="U220" s="14"/>
      <c r="V220" s="14"/>
      <c r="W220" s="14"/>
      <c r="X220" s="14"/>
      <c r="Y220" s="14"/>
      <c r="Z220" s="14"/>
      <c r="AA220" s="15"/>
      <c r="AB220" s="3"/>
      <c r="AC220" s="3"/>
      <c r="AD220" s="3"/>
      <c r="AE220" s="3"/>
      <c r="AF220" s="3"/>
      <c r="AG220" s="3"/>
      <c r="AH220" s="3"/>
      <c r="AI220" s="3"/>
      <c r="AJ220" s="3"/>
      <c r="AK220" s="3"/>
      <c r="AL220" s="3"/>
      <c r="AM220" s="3"/>
      <c r="AN220" s="3"/>
      <c r="AO220" s="3"/>
    </row>
    <row r="221" spans="2:41" s="171" customFormat="1" x14ac:dyDescent="0.25">
      <c r="B221" s="13"/>
      <c r="C221" s="14"/>
      <c r="D221" s="14"/>
      <c r="E221" s="56"/>
      <c r="F221" s="56"/>
      <c r="G221" s="14"/>
      <c r="H221" s="56"/>
      <c r="I221" s="14"/>
      <c r="J221" s="14"/>
      <c r="K221" s="14"/>
      <c r="L221" s="14"/>
      <c r="M221" s="14"/>
      <c r="N221" s="14"/>
      <c r="O221" s="14"/>
      <c r="P221" s="14"/>
      <c r="Q221" s="14"/>
      <c r="R221" s="14"/>
      <c r="S221" s="14"/>
      <c r="T221" s="14"/>
      <c r="U221" s="14"/>
      <c r="V221" s="14"/>
      <c r="W221" s="14"/>
      <c r="X221" s="14"/>
      <c r="Y221" s="14"/>
      <c r="Z221" s="14"/>
      <c r="AA221" s="15"/>
      <c r="AB221" s="3"/>
      <c r="AC221" s="3"/>
      <c r="AD221" s="3"/>
      <c r="AE221" s="3"/>
      <c r="AF221" s="3"/>
      <c r="AG221" s="3"/>
      <c r="AH221" s="3"/>
      <c r="AI221" s="3"/>
      <c r="AJ221" s="3"/>
      <c r="AK221" s="3"/>
      <c r="AL221" s="3"/>
      <c r="AM221" s="3"/>
      <c r="AN221" s="3"/>
      <c r="AO221" s="3"/>
    </row>
    <row r="222" spans="2:41" s="171" customFormat="1" x14ac:dyDescent="0.25">
      <c r="B222" s="13"/>
      <c r="C222" s="14"/>
      <c r="D222" s="60"/>
      <c r="E222" s="56"/>
      <c r="F222" s="56"/>
      <c r="G222" s="14"/>
      <c r="H222" s="14"/>
      <c r="I222" s="14"/>
      <c r="J222" s="14"/>
      <c r="K222" s="14"/>
      <c r="L222" s="14"/>
      <c r="M222" s="14"/>
      <c r="N222" s="14"/>
      <c r="O222" s="14"/>
      <c r="P222" s="14"/>
      <c r="Q222" s="14"/>
      <c r="R222" s="14"/>
      <c r="S222" s="14"/>
      <c r="T222" s="14"/>
      <c r="U222" s="14"/>
      <c r="V222" s="14"/>
      <c r="W222" s="14"/>
      <c r="X222" s="14"/>
      <c r="Y222" s="14"/>
      <c r="Z222" s="14"/>
      <c r="AA222" s="15"/>
      <c r="AB222" s="3"/>
      <c r="AC222" s="3"/>
      <c r="AD222" s="3"/>
      <c r="AE222" s="3"/>
      <c r="AF222" s="3"/>
      <c r="AG222" s="3"/>
      <c r="AH222" s="3"/>
      <c r="AI222" s="3"/>
      <c r="AJ222" s="3"/>
      <c r="AK222" s="3"/>
      <c r="AL222" s="3"/>
      <c r="AM222" s="3"/>
      <c r="AN222" s="3"/>
      <c r="AO222" s="3"/>
    </row>
    <row r="223" spans="2:41" s="171" customFormat="1" x14ac:dyDescent="0.25">
      <c r="B223" s="13"/>
      <c r="C223" s="14"/>
      <c r="D223" s="60"/>
      <c r="E223" s="56"/>
      <c r="F223" s="56"/>
      <c r="G223" s="14"/>
      <c r="H223" s="56"/>
      <c r="I223" s="14"/>
      <c r="J223" s="14"/>
      <c r="K223" s="14"/>
      <c r="L223" s="14"/>
      <c r="M223" s="14"/>
      <c r="N223" s="14"/>
      <c r="O223" s="14"/>
      <c r="P223" s="14"/>
      <c r="Q223" s="14"/>
      <c r="R223" s="14"/>
      <c r="S223" s="14"/>
      <c r="T223" s="14"/>
      <c r="U223" s="14"/>
      <c r="V223" s="14"/>
      <c r="W223" s="14"/>
      <c r="X223" s="14"/>
      <c r="Y223" s="14"/>
      <c r="Z223" s="14"/>
      <c r="AA223" s="15"/>
      <c r="AB223" s="3"/>
      <c r="AC223" s="3"/>
      <c r="AD223" s="3"/>
      <c r="AE223" s="3"/>
      <c r="AF223" s="3"/>
      <c r="AG223" s="3"/>
      <c r="AH223" s="3"/>
      <c r="AI223" s="3"/>
      <c r="AJ223" s="3"/>
      <c r="AK223" s="3"/>
      <c r="AL223" s="3"/>
      <c r="AM223" s="3"/>
      <c r="AN223" s="3"/>
      <c r="AO223" s="3"/>
    </row>
    <row r="224" spans="2:41" s="171" customFormat="1" x14ac:dyDescent="0.25">
      <c r="B224" s="13"/>
      <c r="C224" s="14"/>
      <c r="D224" s="60"/>
      <c r="E224" s="56"/>
      <c r="F224" s="56"/>
      <c r="G224" s="14"/>
      <c r="H224" s="56"/>
      <c r="I224" s="14"/>
      <c r="J224" s="14"/>
      <c r="K224" s="14"/>
      <c r="L224" s="14"/>
      <c r="M224" s="14"/>
      <c r="N224" s="14"/>
      <c r="O224" s="14"/>
      <c r="P224" s="14"/>
      <c r="Q224" s="14"/>
      <c r="R224" s="14"/>
      <c r="S224" s="14"/>
      <c r="T224" s="14"/>
      <c r="U224" s="14"/>
      <c r="V224" s="14"/>
      <c r="W224" s="14"/>
      <c r="X224" s="14"/>
      <c r="Y224" s="14"/>
      <c r="Z224" s="14"/>
      <c r="AA224" s="15"/>
      <c r="AB224" s="3"/>
      <c r="AC224" s="3"/>
      <c r="AD224" s="3"/>
      <c r="AE224" s="3"/>
      <c r="AF224" s="3"/>
      <c r="AG224" s="3"/>
      <c r="AH224" s="3"/>
      <c r="AI224" s="3"/>
      <c r="AJ224" s="3"/>
      <c r="AK224" s="3"/>
      <c r="AL224" s="3"/>
      <c r="AM224" s="3"/>
      <c r="AN224" s="3"/>
      <c r="AO224" s="3"/>
    </row>
    <row r="225" spans="2:41" s="171" customFormat="1" x14ac:dyDescent="0.25">
      <c r="B225" s="13"/>
      <c r="C225" s="14"/>
      <c r="D225" s="60"/>
      <c r="E225" s="56"/>
      <c r="F225" s="56"/>
      <c r="G225" s="14"/>
      <c r="H225" s="56"/>
      <c r="I225" s="14"/>
      <c r="J225" s="14"/>
      <c r="K225" s="14"/>
      <c r="L225" s="14"/>
      <c r="M225" s="14"/>
      <c r="N225" s="14"/>
      <c r="O225" s="14"/>
      <c r="P225" s="14"/>
      <c r="Q225" s="14"/>
      <c r="R225" s="14"/>
      <c r="S225" s="14"/>
      <c r="T225" s="14"/>
      <c r="U225" s="14"/>
      <c r="V225" s="14"/>
      <c r="W225" s="14"/>
      <c r="X225" s="14"/>
      <c r="Y225" s="14"/>
      <c r="Z225" s="14"/>
      <c r="AA225" s="15"/>
      <c r="AB225" s="3"/>
      <c r="AC225" s="3"/>
      <c r="AD225" s="3"/>
      <c r="AE225" s="3"/>
      <c r="AF225" s="3"/>
      <c r="AG225" s="3"/>
      <c r="AH225" s="3"/>
      <c r="AI225" s="3"/>
      <c r="AJ225" s="3"/>
      <c r="AK225" s="3"/>
      <c r="AL225" s="3"/>
      <c r="AM225" s="3"/>
      <c r="AN225" s="3"/>
      <c r="AO225" s="3"/>
    </row>
    <row r="226" spans="2:41" s="171" customFormat="1" x14ac:dyDescent="0.25">
      <c r="B226" s="70"/>
      <c r="C226" s="56"/>
      <c r="D226" s="60"/>
      <c r="E226" s="56"/>
      <c r="F226" s="56"/>
      <c r="G226" s="56"/>
      <c r="H226" s="56"/>
      <c r="I226" s="42"/>
      <c r="J226" s="14"/>
      <c r="K226" s="14"/>
      <c r="L226" s="14"/>
      <c r="M226" s="14"/>
      <c r="N226" s="14"/>
      <c r="O226" s="14"/>
      <c r="P226" s="14"/>
      <c r="Q226" s="14"/>
      <c r="R226" s="14"/>
      <c r="S226" s="14"/>
      <c r="T226" s="14"/>
      <c r="U226" s="14"/>
      <c r="V226" s="14"/>
      <c r="W226" s="14"/>
      <c r="X226" s="14"/>
      <c r="Y226" s="14"/>
      <c r="Z226" s="14"/>
      <c r="AA226" s="15"/>
      <c r="AB226" s="3"/>
      <c r="AC226" s="3"/>
      <c r="AD226" s="3"/>
      <c r="AE226" s="3"/>
      <c r="AF226" s="3"/>
      <c r="AG226" s="3"/>
      <c r="AH226" s="3"/>
      <c r="AI226" s="3"/>
      <c r="AJ226" s="3"/>
      <c r="AK226" s="3"/>
      <c r="AL226" s="3"/>
      <c r="AM226" s="3"/>
      <c r="AN226" s="3"/>
      <c r="AO226" s="3"/>
    </row>
    <row r="227" spans="2:41" s="171" customFormat="1" x14ac:dyDescent="0.25">
      <c r="B227" s="70"/>
      <c r="C227" s="56"/>
      <c r="D227" s="60"/>
      <c r="E227" s="56"/>
      <c r="F227" s="56"/>
      <c r="G227" s="56"/>
      <c r="H227" s="56"/>
      <c r="I227" s="42"/>
      <c r="J227" s="14"/>
      <c r="K227" s="14"/>
      <c r="L227" s="14"/>
      <c r="M227" s="14"/>
      <c r="N227" s="14"/>
      <c r="O227" s="14"/>
      <c r="P227" s="14"/>
      <c r="Q227" s="14"/>
      <c r="R227" s="14"/>
      <c r="S227" s="14"/>
      <c r="T227" s="14"/>
      <c r="U227" s="14"/>
      <c r="V227" s="14"/>
      <c r="W227" s="14"/>
      <c r="X227" s="14"/>
      <c r="Y227" s="14"/>
      <c r="Z227" s="14"/>
      <c r="AA227" s="15"/>
      <c r="AB227" s="3"/>
      <c r="AC227" s="3"/>
      <c r="AD227" s="3"/>
      <c r="AE227" s="3"/>
      <c r="AF227" s="3"/>
      <c r="AG227" s="3"/>
      <c r="AH227" s="3"/>
      <c r="AI227" s="3"/>
      <c r="AJ227" s="3"/>
      <c r="AK227" s="3"/>
      <c r="AL227" s="3"/>
      <c r="AM227" s="3"/>
      <c r="AN227" s="3"/>
      <c r="AO227" s="3"/>
    </row>
    <row r="228" spans="2:41" s="171" customFormat="1" x14ac:dyDescent="0.25">
      <c r="B228" s="13"/>
      <c r="C228" s="14"/>
      <c r="D228" s="14"/>
      <c r="E228" s="56"/>
      <c r="F228" s="56"/>
      <c r="G228" s="14"/>
      <c r="H228" s="56"/>
      <c r="I228" s="14"/>
      <c r="J228" s="14"/>
      <c r="K228" s="14"/>
      <c r="L228" s="14"/>
      <c r="M228" s="14"/>
      <c r="N228" s="14"/>
      <c r="O228" s="14"/>
      <c r="P228" s="14"/>
      <c r="Q228" s="14"/>
      <c r="R228" s="14"/>
      <c r="S228" s="14"/>
      <c r="T228" s="14"/>
      <c r="U228" s="14"/>
      <c r="V228" s="14"/>
      <c r="W228" s="14"/>
      <c r="X228" s="14"/>
      <c r="Y228" s="14"/>
      <c r="Z228" s="14"/>
      <c r="AA228" s="15"/>
      <c r="AB228" s="3"/>
      <c r="AC228" s="3"/>
      <c r="AD228" s="3"/>
      <c r="AE228" s="3"/>
      <c r="AF228" s="3"/>
      <c r="AG228" s="3"/>
      <c r="AH228" s="3"/>
      <c r="AI228" s="3"/>
      <c r="AJ228" s="3"/>
      <c r="AK228" s="3"/>
      <c r="AL228" s="3"/>
      <c r="AM228" s="3"/>
      <c r="AN228" s="3"/>
      <c r="AO228" s="3"/>
    </row>
    <row r="229" spans="2:41" s="171" customFormat="1" x14ac:dyDescent="0.25">
      <c r="B229" s="13"/>
      <c r="C229" s="14"/>
      <c r="D229" s="60"/>
      <c r="E229" s="56"/>
      <c r="F229" s="56"/>
      <c r="G229" s="14"/>
      <c r="H229" s="56"/>
      <c r="I229" s="14"/>
      <c r="J229" s="14"/>
      <c r="K229" s="14"/>
      <c r="L229" s="14"/>
      <c r="M229" s="14"/>
      <c r="N229" s="14"/>
      <c r="O229" s="14"/>
      <c r="P229" s="14"/>
      <c r="Q229" s="14"/>
      <c r="R229" s="14"/>
      <c r="S229" s="14"/>
      <c r="T229" s="14"/>
      <c r="U229" s="14"/>
      <c r="V229" s="14"/>
      <c r="W229" s="14"/>
      <c r="X229" s="14"/>
      <c r="Y229" s="14"/>
      <c r="Z229" s="14"/>
      <c r="AA229" s="15"/>
      <c r="AB229" s="3"/>
      <c r="AC229" s="3"/>
      <c r="AD229" s="3"/>
      <c r="AE229" s="3"/>
      <c r="AF229" s="3"/>
      <c r="AG229" s="3"/>
      <c r="AH229" s="3"/>
      <c r="AI229" s="3"/>
      <c r="AJ229" s="3"/>
      <c r="AK229" s="3"/>
      <c r="AL229" s="3"/>
      <c r="AM229" s="3"/>
      <c r="AN229" s="3"/>
      <c r="AO229" s="3"/>
    </row>
    <row r="230" spans="2:41" s="171" customFormat="1" x14ac:dyDescent="0.25">
      <c r="B230" s="13"/>
      <c r="C230" s="14"/>
      <c r="D230" s="60"/>
      <c r="E230" s="56"/>
      <c r="F230" s="56"/>
      <c r="G230" s="14"/>
      <c r="H230" s="56"/>
      <c r="I230" s="14"/>
      <c r="J230" s="14"/>
      <c r="K230" s="14"/>
      <c r="L230" s="14"/>
      <c r="M230" s="14"/>
      <c r="N230" s="14"/>
      <c r="O230" s="14"/>
      <c r="P230" s="14"/>
      <c r="Q230" s="14"/>
      <c r="R230" s="14"/>
      <c r="S230" s="14"/>
      <c r="T230" s="14"/>
      <c r="U230" s="14"/>
      <c r="V230" s="14"/>
      <c r="W230" s="14"/>
      <c r="X230" s="14"/>
      <c r="Y230" s="14"/>
      <c r="Z230" s="14"/>
      <c r="AA230" s="15"/>
      <c r="AB230" s="3"/>
      <c r="AC230" s="3"/>
      <c r="AD230" s="3"/>
      <c r="AE230" s="3"/>
      <c r="AF230" s="3"/>
      <c r="AG230" s="3"/>
      <c r="AH230" s="3"/>
      <c r="AI230" s="3"/>
      <c r="AJ230" s="3"/>
      <c r="AK230" s="3"/>
      <c r="AL230" s="3"/>
      <c r="AM230" s="3"/>
      <c r="AN230" s="3"/>
      <c r="AO230" s="3"/>
    </row>
    <row r="231" spans="2:41" s="171" customFormat="1" x14ac:dyDescent="0.25">
      <c r="B231" s="13"/>
      <c r="C231" s="14"/>
      <c r="D231" s="60"/>
      <c r="E231" s="56"/>
      <c r="F231" s="56"/>
      <c r="G231" s="14"/>
      <c r="H231" s="56"/>
      <c r="I231" s="14"/>
      <c r="J231" s="14"/>
      <c r="K231" s="14"/>
      <c r="L231" s="14"/>
      <c r="M231" s="14"/>
      <c r="N231" s="14"/>
      <c r="O231" s="14"/>
      <c r="P231" s="14"/>
      <c r="Q231" s="14"/>
      <c r="R231" s="14"/>
      <c r="S231" s="14"/>
      <c r="T231" s="14"/>
      <c r="U231" s="14"/>
      <c r="V231" s="14"/>
      <c r="W231" s="14"/>
      <c r="X231" s="14"/>
      <c r="Y231" s="14"/>
      <c r="Z231" s="14"/>
      <c r="AA231" s="15"/>
      <c r="AB231" s="3"/>
      <c r="AC231" s="3"/>
      <c r="AD231" s="3"/>
      <c r="AE231" s="3"/>
      <c r="AF231" s="3"/>
      <c r="AG231" s="3"/>
      <c r="AH231" s="3"/>
      <c r="AI231" s="3"/>
      <c r="AJ231" s="3"/>
      <c r="AK231" s="3"/>
      <c r="AL231" s="3"/>
      <c r="AM231" s="3"/>
      <c r="AN231" s="3"/>
      <c r="AO231" s="3"/>
    </row>
    <row r="232" spans="2:41" s="171" customFormat="1" x14ac:dyDescent="0.25">
      <c r="B232" s="13"/>
      <c r="C232" s="14"/>
      <c r="D232" s="60"/>
      <c r="E232" s="56"/>
      <c r="F232" s="56"/>
      <c r="G232" s="14"/>
      <c r="H232" s="56"/>
      <c r="I232" s="14"/>
      <c r="J232" s="14"/>
      <c r="K232" s="14"/>
      <c r="L232" s="14"/>
      <c r="M232" s="14"/>
      <c r="N232" s="14"/>
      <c r="O232" s="14"/>
      <c r="P232" s="14"/>
      <c r="Q232" s="14"/>
      <c r="R232" s="14"/>
      <c r="S232" s="14"/>
      <c r="T232" s="14"/>
      <c r="U232" s="14"/>
      <c r="V232" s="14"/>
      <c r="W232" s="14"/>
      <c r="X232" s="14"/>
      <c r="Y232" s="14"/>
      <c r="Z232" s="14"/>
      <c r="AA232" s="15"/>
      <c r="AB232" s="3"/>
      <c r="AC232" s="3"/>
      <c r="AD232" s="3"/>
      <c r="AE232" s="3"/>
      <c r="AF232" s="3"/>
      <c r="AG232" s="3"/>
      <c r="AH232" s="3"/>
      <c r="AI232" s="3"/>
      <c r="AJ232" s="3"/>
      <c r="AK232" s="3"/>
      <c r="AL232" s="3"/>
      <c r="AM232" s="3"/>
      <c r="AN232" s="3"/>
      <c r="AO232" s="3"/>
    </row>
    <row r="233" spans="2:41" s="171" customFormat="1" x14ac:dyDescent="0.25">
      <c r="B233" s="13"/>
      <c r="C233" s="14"/>
      <c r="D233" s="60"/>
      <c r="E233" s="56"/>
      <c r="F233" s="56"/>
      <c r="G233" s="128"/>
      <c r="H233" s="56"/>
      <c r="I233" s="14"/>
      <c r="J233" s="14"/>
      <c r="K233" s="14"/>
      <c r="L233" s="14"/>
      <c r="M233" s="14"/>
      <c r="N233" s="14"/>
      <c r="O233" s="14"/>
      <c r="P233" s="14"/>
      <c r="Q233" s="14"/>
      <c r="R233" s="14"/>
      <c r="S233" s="14"/>
      <c r="T233" s="14"/>
      <c r="U233" s="14"/>
      <c r="V233" s="14"/>
      <c r="W233" s="14"/>
      <c r="X233" s="14"/>
      <c r="Y233" s="14"/>
      <c r="Z233" s="14"/>
      <c r="AA233" s="15"/>
      <c r="AB233" s="3"/>
      <c r="AC233" s="3"/>
      <c r="AD233" s="3"/>
      <c r="AE233" s="3"/>
      <c r="AF233" s="3"/>
      <c r="AG233" s="3"/>
      <c r="AH233" s="3"/>
      <c r="AI233" s="3"/>
      <c r="AJ233" s="3"/>
      <c r="AK233" s="3"/>
      <c r="AL233" s="3"/>
      <c r="AM233" s="3"/>
      <c r="AN233" s="3"/>
      <c r="AO233" s="3"/>
    </row>
    <row r="234" spans="2:41" s="171" customFormat="1" x14ac:dyDescent="0.25">
      <c r="B234" s="13"/>
      <c r="C234" s="14"/>
      <c r="D234" s="60"/>
      <c r="E234" s="56"/>
      <c r="F234" s="56"/>
      <c r="G234" s="14"/>
      <c r="H234" s="56"/>
      <c r="I234" s="14"/>
      <c r="J234" s="14"/>
      <c r="K234" s="14"/>
      <c r="L234" s="14"/>
      <c r="M234" s="14"/>
      <c r="N234" s="14"/>
      <c r="O234" s="14"/>
      <c r="P234" s="14"/>
      <c r="Q234" s="14"/>
      <c r="R234" s="14"/>
      <c r="S234" s="14"/>
      <c r="T234" s="14"/>
      <c r="U234" s="14"/>
      <c r="V234" s="14"/>
      <c r="W234" s="14"/>
      <c r="X234" s="14"/>
      <c r="Y234" s="14"/>
      <c r="Z234" s="14"/>
      <c r="AA234" s="15"/>
      <c r="AB234" s="3"/>
      <c r="AC234" s="3"/>
      <c r="AD234" s="3"/>
      <c r="AE234" s="3"/>
      <c r="AF234" s="3"/>
      <c r="AG234" s="3"/>
      <c r="AH234" s="3"/>
      <c r="AI234" s="3"/>
      <c r="AJ234" s="3"/>
      <c r="AK234" s="3"/>
      <c r="AL234" s="3"/>
      <c r="AM234" s="3"/>
      <c r="AN234" s="3"/>
      <c r="AO234" s="3"/>
    </row>
    <row r="235" spans="2:41" s="171" customFormat="1" x14ac:dyDescent="0.25">
      <c r="B235" s="13"/>
      <c r="C235" s="14"/>
      <c r="D235" s="14"/>
      <c r="E235" s="56"/>
      <c r="F235" s="56"/>
      <c r="G235" s="14"/>
      <c r="H235" s="56"/>
      <c r="I235" s="14"/>
      <c r="J235" s="14"/>
      <c r="K235" s="14"/>
      <c r="L235" s="14"/>
      <c r="M235" s="14"/>
      <c r="N235" s="14"/>
      <c r="O235" s="14"/>
      <c r="P235" s="14"/>
      <c r="Q235" s="14"/>
      <c r="R235" s="14"/>
      <c r="S235" s="14"/>
      <c r="T235" s="14"/>
      <c r="U235" s="14"/>
      <c r="V235" s="14"/>
      <c r="W235" s="14"/>
      <c r="X235" s="14"/>
      <c r="Y235" s="14"/>
      <c r="Z235" s="14"/>
      <c r="AA235" s="15"/>
      <c r="AB235" s="3"/>
      <c r="AC235" s="3"/>
      <c r="AD235" s="3"/>
      <c r="AE235" s="3"/>
      <c r="AF235" s="3"/>
      <c r="AG235" s="3"/>
      <c r="AH235" s="3"/>
      <c r="AI235" s="3"/>
      <c r="AJ235" s="3"/>
      <c r="AK235" s="3"/>
      <c r="AL235" s="3"/>
      <c r="AM235" s="3"/>
      <c r="AN235" s="3"/>
      <c r="AO235" s="3"/>
    </row>
    <row r="236" spans="2:41" s="171" customFormat="1" x14ac:dyDescent="0.25">
      <c r="B236" s="13"/>
      <c r="C236" s="14"/>
      <c r="D236" s="60"/>
      <c r="E236" s="56"/>
      <c r="F236" s="56"/>
      <c r="G236" s="14"/>
      <c r="H236" s="56"/>
      <c r="I236" s="14"/>
      <c r="J236" s="14"/>
      <c r="K236" s="14"/>
      <c r="L236" s="14"/>
      <c r="M236" s="14"/>
      <c r="N236" s="14"/>
      <c r="O236" s="14"/>
      <c r="P236" s="14"/>
      <c r="Q236" s="14"/>
      <c r="R236" s="14"/>
      <c r="S236" s="14"/>
      <c r="T236" s="14"/>
      <c r="U236" s="14"/>
      <c r="V236" s="14"/>
      <c r="W236" s="14"/>
      <c r="X236" s="14"/>
      <c r="Y236" s="14"/>
      <c r="Z236" s="14"/>
      <c r="AA236" s="15"/>
      <c r="AB236" s="3"/>
      <c r="AC236" s="3"/>
      <c r="AD236" s="3"/>
      <c r="AE236" s="3"/>
      <c r="AF236" s="3"/>
      <c r="AG236" s="3"/>
      <c r="AH236" s="3"/>
      <c r="AI236" s="3"/>
      <c r="AJ236" s="3"/>
      <c r="AK236" s="3"/>
      <c r="AL236" s="3"/>
      <c r="AM236" s="3"/>
      <c r="AN236" s="3"/>
      <c r="AO236" s="3"/>
    </row>
    <row r="237" spans="2:41" s="171" customFormat="1" x14ac:dyDescent="0.25">
      <c r="B237" s="13"/>
      <c r="C237" s="14"/>
      <c r="D237" s="60"/>
      <c r="E237" s="56"/>
      <c r="F237" s="56"/>
      <c r="G237" s="14"/>
      <c r="H237" s="56"/>
      <c r="I237" s="14"/>
      <c r="J237" s="14"/>
      <c r="K237" s="14"/>
      <c r="L237" s="14"/>
      <c r="M237" s="14"/>
      <c r="N237" s="14"/>
      <c r="O237" s="14"/>
      <c r="P237" s="14"/>
      <c r="Q237" s="14"/>
      <c r="R237" s="14"/>
      <c r="S237" s="14"/>
      <c r="T237" s="14"/>
      <c r="U237" s="14"/>
      <c r="V237" s="14"/>
      <c r="W237" s="14"/>
      <c r="X237" s="14"/>
      <c r="Y237" s="14"/>
      <c r="Z237" s="14"/>
      <c r="AA237" s="15"/>
      <c r="AB237" s="3"/>
      <c r="AC237" s="3"/>
      <c r="AD237" s="3"/>
      <c r="AE237" s="3"/>
      <c r="AF237" s="3"/>
      <c r="AG237" s="3"/>
      <c r="AH237" s="3"/>
      <c r="AI237" s="3"/>
      <c r="AJ237" s="3"/>
      <c r="AK237" s="3"/>
      <c r="AL237" s="3"/>
      <c r="AM237" s="3"/>
      <c r="AN237" s="3"/>
      <c r="AO237" s="3"/>
    </row>
    <row r="238" spans="2:41" s="171" customFormat="1" x14ac:dyDescent="0.25">
      <c r="B238" s="13"/>
      <c r="C238" s="14"/>
      <c r="D238" s="60"/>
      <c r="E238" s="56"/>
      <c r="F238" s="56"/>
      <c r="G238" s="14"/>
      <c r="H238" s="56"/>
      <c r="I238" s="14"/>
      <c r="J238" s="14"/>
      <c r="K238" s="14"/>
      <c r="L238" s="14"/>
      <c r="M238" s="14"/>
      <c r="N238" s="14"/>
      <c r="O238" s="14"/>
      <c r="P238" s="14"/>
      <c r="Q238" s="14"/>
      <c r="R238" s="14"/>
      <c r="S238" s="14"/>
      <c r="T238" s="14"/>
      <c r="U238" s="14"/>
      <c r="V238" s="14"/>
      <c r="W238" s="14"/>
      <c r="X238" s="14"/>
      <c r="Y238" s="14"/>
      <c r="Z238" s="14"/>
      <c r="AA238" s="15"/>
      <c r="AB238" s="3"/>
      <c r="AC238" s="3"/>
      <c r="AD238" s="3"/>
      <c r="AE238" s="3"/>
      <c r="AF238" s="3"/>
      <c r="AG238" s="3"/>
      <c r="AH238" s="3"/>
      <c r="AI238" s="3"/>
      <c r="AJ238" s="3"/>
      <c r="AK238" s="3"/>
      <c r="AL238" s="3"/>
      <c r="AM238" s="3"/>
      <c r="AN238" s="3"/>
      <c r="AO238" s="3"/>
    </row>
    <row r="239" spans="2:41" s="171" customFormat="1" x14ac:dyDescent="0.25">
      <c r="B239" s="13"/>
      <c r="C239" s="14"/>
      <c r="D239" s="60"/>
      <c r="E239" s="56"/>
      <c r="F239" s="56"/>
      <c r="G239" s="14"/>
      <c r="H239" s="56"/>
      <c r="I239" s="14"/>
      <c r="J239" s="14"/>
      <c r="K239" s="14"/>
      <c r="L239" s="14"/>
      <c r="M239" s="14"/>
      <c r="N239" s="14"/>
      <c r="O239" s="14"/>
      <c r="P239" s="14"/>
      <c r="Q239" s="14"/>
      <c r="R239" s="14"/>
      <c r="S239" s="14"/>
      <c r="T239" s="14"/>
      <c r="U239" s="14"/>
      <c r="V239" s="14"/>
      <c r="W239" s="14"/>
      <c r="X239" s="14"/>
      <c r="Y239" s="14"/>
      <c r="Z239" s="14"/>
      <c r="AA239" s="15"/>
      <c r="AB239" s="3"/>
      <c r="AC239" s="3"/>
      <c r="AD239" s="3"/>
      <c r="AE239" s="3"/>
      <c r="AF239" s="3"/>
      <c r="AG239" s="3"/>
      <c r="AH239" s="3"/>
      <c r="AI239" s="3"/>
      <c r="AJ239" s="3"/>
      <c r="AK239" s="3"/>
      <c r="AL239" s="3"/>
      <c r="AM239" s="3"/>
      <c r="AN239" s="3"/>
      <c r="AO239" s="3"/>
    </row>
    <row r="240" spans="2:41" s="171" customFormat="1" x14ac:dyDescent="0.25">
      <c r="B240" s="13"/>
      <c r="C240" s="14"/>
      <c r="D240" s="60"/>
      <c r="E240" s="56"/>
      <c r="F240" s="56"/>
      <c r="G240" s="128"/>
      <c r="H240" s="56"/>
      <c r="I240" s="14"/>
      <c r="J240" s="14"/>
      <c r="K240" s="14"/>
      <c r="L240" s="14"/>
      <c r="M240" s="14"/>
      <c r="N240" s="14"/>
      <c r="O240" s="14"/>
      <c r="P240" s="14"/>
      <c r="Q240" s="14"/>
      <c r="R240" s="14"/>
      <c r="S240" s="14"/>
      <c r="T240" s="14"/>
      <c r="U240" s="14"/>
      <c r="V240" s="14"/>
      <c r="W240" s="14"/>
      <c r="X240" s="14"/>
      <c r="Y240" s="14"/>
      <c r="Z240" s="14"/>
      <c r="AA240" s="15"/>
      <c r="AB240" s="3"/>
      <c r="AC240" s="3"/>
      <c r="AD240" s="3"/>
      <c r="AE240" s="3"/>
      <c r="AF240" s="3"/>
      <c r="AG240" s="3"/>
      <c r="AH240" s="3"/>
      <c r="AI240" s="3"/>
      <c r="AJ240" s="3"/>
      <c r="AK240" s="3"/>
      <c r="AL240" s="3"/>
      <c r="AM240" s="3"/>
      <c r="AN240" s="3"/>
      <c r="AO240" s="3"/>
    </row>
    <row r="241" spans="2:41" s="171" customFormat="1" x14ac:dyDescent="0.25">
      <c r="B241" s="13"/>
      <c r="C241" s="14"/>
      <c r="D241" s="60"/>
      <c r="E241" s="56"/>
      <c r="F241" s="56"/>
      <c r="G241" s="14"/>
      <c r="H241" s="56"/>
      <c r="I241" s="14"/>
      <c r="J241" s="14"/>
      <c r="K241" s="14"/>
      <c r="L241" s="14"/>
      <c r="M241" s="14"/>
      <c r="N241" s="14"/>
      <c r="O241" s="14"/>
      <c r="P241" s="14"/>
      <c r="Q241" s="14"/>
      <c r="R241" s="14"/>
      <c r="S241" s="14"/>
      <c r="T241" s="14"/>
      <c r="U241" s="14"/>
      <c r="V241" s="14"/>
      <c r="W241" s="14"/>
      <c r="X241" s="14"/>
      <c r="Y241" s="14"/>
      <c r="Z241" s="14"/>
      <c r="AA241" s="15"/>
      <c r="AB241" s="3"/>
      <c r="AC241" s="3"/>
      <c r="AD241" s="3"/>
      <c r="AE241" s="3"/>
      <c r="AF241" s="3"/>
      <c r="AG241" s="3"/>
      <c r="AH241" s="3"/>
      <c r="AI241" s="3"/>
      <c r="AJ241" s="3"/>
      <c r="AK241" s="3"/>
      <c r="AL241" s="3"/>
      <c r="AM241" s="3"/>
      <c r="AN241" s="3"/>
      <c r="AO241" s="3"/>
    </row>
    <row r="242" spans="2:41" s="171" customFormat="1" x14ac:dyDescent="0.25">
      <c r="B242" s="13"/>
      <c r="C242" s="57"/>
      <c r="D242" s="57"/>
      <c r="E242" s="56"/>
      <c r="F242" s="57"/>
      <c r="G242" s="57"/>
      <c r="H242" s="57"/>
      <c r="I242" s="14"/>
      <c r="J242" s="14"/>
      <c r="K242" s="14"/>
      <c r="L242" s="14"/>
      <c r="M242" s="14"/>
      <c r="N242" s="14"/>
      <c r="O242" s="14"/>
      <c r="P242" s="14"/>
      <c r="Q242" s="14"/>
      <c r="R242" s="14"/>
      <c r="S242" s="14"/>
      <c r="T242" s="14"/>
      <c r="U242" s="14"/>
      <c r="V242" s="14"/>
      <c r="W242" s="14"/>
      <c r="X242" s="14"/>
      <c r="Y242" s="14"/>
      <c r="Z242" s="14"/>
      <c r="AA242" s="15"/>
      <c r="AB242" s="3"/>
      <c r="AC242" s="3"/>
      <c r="AD242" s="3"/>
      <c r="AE242" s="3"/>
      <c r="AF242" s="3"/>
      <c r="AG242" s="3"/>
      <c r="AH242" s="3"/>
      <c r="AI242" s="3"/>
      <c r="AJ242" s="3"/>
      <c r="AK242" s="3"/>
      <c r="AL242" s="3"/>
      <c r="AM242" s="3"/>
      <c r="AN242" s="3"/>
      <c r="AO242" s="3"/>
    </row>
    <row r="243" spans="2:41" s="171" customFormat="1" x14ac:dyDescent="0.25">
      <c r="B243" s="13"/>
      <c r="C243" s="57"/>
      <c r="D243" s="69"/>
      <c r="E243" s="56"/>
      <c r="F243" s="57"/>
      <c r="G243" s="57"/>
      <c r="H243" s="57"/>
      <c r="I243" s="14"/>
      <c r="J243" s="14"/>
      <c r="K243" s="14"/>
      <c r="L243" s="14"/>
      <c r="M243" s="14"/>
      <c r="N243" s="14"/>
      <c r="O243" s="14"/>
      <c r="P243" s="14"/>
      <c r="Q243" s="14"/>
      <c r="R243" s="14"/>
      <c r="S243" s="14"/>
      <c r="T243" s="14"/>
      <c r="U243" s="14"/>
      <c r="V243" s="14"/>
      <c r="W243" s="14"/>
      <c r="X243" s="14"/>
      <c r="Y243" s="14"/>
      <c r="Z243" s="14"/>
      <c r="AA243" s="15"/>
      <c r="AB243" s="3"/>
      <c r="AC243" s="3"/>
      <c r="AD243" s="3"/>
      <c r="AE243" s="3"/>
      <c r="AF243" s="3"/>
      <c r="AG243" s="3"/>
      <c r="AH243" s="3"/>
      <c r="AI243" s="3"/>
      <c r="AJ243" s="3"/>
      <c r="AK243" s="3"/>
      <c r="AL243" s="3"/>
      <c r="AM243" s="3"/>
      <c r="AN243" s="3"/>
      <c r="AO243" s="3"/>
    </row>
    <row r="244" spans="2:41" s="171" customFormat="1" x14ac:dyDescent="0.25">
      <c r="B244" s="13"/>
      <c r="C244" s="57"/>
      <c r="D244" s="69"/>
      <c r="E244" s="56"/>
      <c r="F244" s="57"/>
      <c r="G244" s="57"/>
      <c r="H244" s="57"/>
      <c r="I244" s="14"/>
      <c r="J244" s="14"/>
      <c r="K244" s="14"/>
      <c r="L244" s="14"/>
      <c r="M244" s="14"/>
      <c r="N244" s="14"/>
      <c r="O244" s="14"/>
      <c r="P244" s="14"/>
      <c r="Q244" s="14"/>
      <c r="R244" s="14"/>
      <c r="S244" s="14"/>
      <c r="T244" s="14"/>
      <c r="U244" s="14"/>
      <c r="V244" s="14"/>
      <c r="W244" s="14"/>
      <c r="X244" s="14"/>
      <c r="Y244" s="14"/>
      <c r="Z244" s="14"/>
      <c r="AA244" s="15"/>
      <c r="AB244" s="3"/>
      <c r="AC244" s="3"/>
      <c r="AD244" s="3"/>
      <c r="AE244" s="3"/>
      <c r="AF244" s="3"/>
      <c r="AG244" s="3"/>
      <c r="AH244" s="3"/>
      <c r="AI244" s="3"/>
      <c r="AJ244" s="3"/>
      <c r="AK244" s="3"/>
      <c r="AL244" s="3"/>
      <c r="AM244" s="3"/>
      <c r="AN244" s="3"/>
      <c r="AO244" s="3"/>
    </row>
    <row r="245" spans="2:41" s="171" customFormat="1" x14ac:dyDescent="0.25">
      <c r="B245" s="13"/>
      <c r="C245" s="57"/>
      <c r="D245" s="69"/>
      <c r="E245" s="56"/>
      <c r="F245" s="57"/>
      <c r="G245" s="57"/>
      <c r="H245" s="57"/>
      <c r="I245" s="14"/>
      <c r="J245" s="14"/>
      <c r="K245" s="14"/>
      <c r="L245" s="14"/>
      <c r="M245" s="14"/>
      <c r="N245" s="14"/>
      <c r="O245" s="14"/>
      <c r="P245" s="14"/>
      <c r="Q245" s="14"/>
      <c r="R245" s="14"/>
      <c r="S245" s="14"/>
      <c r="T245" s="14"/>
      <c r="U245" s="14"/>
      <c r="V245" s="14"/>
      <c r="W245" s="14"/>
      <c r="X245" s="14"/>
      <c r="Y245" s="14"/>
      <c r="Z245" s="14"/>
      <c r="AA245" s="15"/>
      <c r="AB245" s="3"/>
      <c r="AC245" s="3"/>
      <c r="AD245" s="3"/>
      <c r="AE245" s="3"/>
      <c r="AF245" s="3"/>
      <c r="AG245" s="3"/>
      <c r="AH245" s="3"/>
      <c r="AI245" s="3"/>
      <c r="AJ245" s="3"/>
      <c r="AK245" s="3"/>
      <c r="AL245" s="3"/>
      <c r="AM245" s="3"/>
      <c r="AN245" s="3"/>
      <c r="AO245" s="3"/>
    </row>
    <row r="246" spans="2:41" s="171" customFormat="1" x14ac:dyDescent="0.25">
      <c r="B246" s="13"/>
      <c r="C246" s="57"/>
      <c r="D246" s="69"/>
      <c r="E246" s="56"/>
      <c r="F246" s="57"/>
      <c r="G246" s="57"/>
      <c r="H246" s="57"/>
      <c r="I246" s="14"/>
      <c r="J246" s="14"/>
      <c r="K246" s="14"/>
      <c r="L246" s="14"/>
      <c r="M246" s="14"/>
      <c r="N246" s="14"/>
      <c r="O246" s="14"/>
      <c r="P246" s="14"/>
      <c r="Q246" s="14"/>
      <c r="R246" s="14"/>
      <c r="S246" s="14"/>
      <c r="T246" s="14"/>
      <c r="U246" s="14"/>
      <c r="V246" s="14"/>
      <c r="W246" s="14"/>
      <c r="X246" s="14"/>
      <c r="Y246" s="14"/>
      <c r="Z246" s="14"/>
      <c r="AA246" s="15"/>
      <c r="AB246" s="3"/>
      <c r="AC246" s="3"/>
      <c r="AD246" s="3"/>
      <c r="AE246" s="3"/>
      <c r="AF246" s="3"/>
      <c r="AG246" s="3"/>
      <c r="AH246" s="3"/>
      <c r="AI246" s="3"/>
      <c r="AJ246" s="3"/>
      <c r="AK246" s="3"/>
      <c r="AL246" s="3"/>
      <c r="AM246" s="3"/>
      <c r="AN246" s="3"/>
      <c r="AO246" s="3"/>
    </row>
    <row r="247" spans="2:41" s="171" customFormat="1" x14ac:dyDescent="0.25">
      <c r="B247" s="13"/>
      <c r="C247" s="57"/>
      <c r="D247" s="69"/>
      <c r="E247" s="56"/>
      <c r="F247" s="57"/>
      <c r="G247" s="130"/>
      <c r="H247" s="57"/>
      <c r="I247" s="14"/>
      <c r="J247" s="14"/>
      <c r="K247" s="14"/>
      <c r="L247" s="14"/>
      <c r="M247" s="14"/>
      <c r="N247" s="14"/>
      <c r="O247" s="14"/>
      <c r="P247" s="14"/>
      <c r="Q247" s="14"/>
      <c r="R247" s="14"/>
      <c r="S247" s="14"/>
      <c r="T247" s="14"/>
      <c r="U247" s="14"/>
      <c r="V247" s="14"/>
      <c r="W247" s="14"/>
      <c r="X247" s="14"/>
      <c r="Y247" s="14"/>
      <c r="Z247" s="14"/>
      <c r="AA247" s="15"/>
      <c r="AB247" s="3"/>
      <c r="AC247" s="3"/>
      <c r="AD247" s="3"/>
      <c r="AE247" s="3"/>
      <c r="AF247" s="3"/>
      <c r="AG247" s="3"/>
      <c r="AH247" s="3"/>
      <c r="AI247" s="3"/>
      <c r="AJ247" s="3"/>
      <c r="AK247" s="3"/>
      <c r="AL247" s="3"/>
      <c r="AM247" s="3"/>
      <c r="AN247" s="3"/>
      <c r="AO247" s="3"/>
    </row>
    <row r="248" spans="2:41" s="171" customFormat="1" x14ac:dyDescent="0.25">
      <c r="B248" s="13"/>
      <c r="C248" s="14"/>
      <c r="D248" s="60"/>
      <c r="E248" s="56"/>
      <c r="F248" s="56"/>
      <c r="G248" s="14"/>
      <c r="H248" s="56"/>
      <c r="I248" s="14"/>
      <c r="J248" s="14"/>
      <c r="K248" s="14"/>
      <c r="L248" s="14"/>
      <c r="M248" s="14"/>
      <c r="N248" s="14"/>
      <c r="O248" s="14"/>
      <c r="P248" s="14"/>
      <c r="Q248" s="14"/>
      <c r="R248" s="14"/>
      <c r="S248" s="14"/>
      <c r="T248" s="14"/>
      <c r="U248" s="14"/>
      <c r="V248" s="14"/>
      <c r="W248" s="14"/>
      <c r="X248" s="14"/>
      <c r="Y248" s="14"/>
      <c r="Z248" s="14"/>
      <c r="AA248" s="15"/>
      <c r="AB248" s="3"/>
      <c r="AC248" s="3"/>
      <c r="AD248" s="3"/>
      <c r="AE248" s="3"/>
      <c r="AF248" s="3"/>
      <c r="AG248" s="3"/>
      <c r="AH248" s="3"/>
      <c r="AI248" s="3"/>
      <c r="AJ248" s="3"/>
      <c r="AK248" s="3"/>
      <c r="AL248" s="3"/>
      <c r="AM248" s="3"/>
      <c r="AN248" s="3"/>
      <c r="AO248" s="3"/>
    </row>
    <row r="249" spans="2:41" s="171" customFormat="1" x14ac:dyDescent="0.25">
      <c r="B249" s="13"/>
      <c r="C249" s="14"/>
      <c r="D249" s="14"/>
      <c r="E249" s="56"/>
      <c r="F249" s="56"/>
      <c r="G249" s="14"/>
      <c r="H249" s="56"/>
      <c r="I249" s="14"/>
      <c r="J249" s="14"/>
      <c r="K249" s="14"/>
      <c r="L249" s="14"/>
      <c r="M249" s="14"/>
      <c r="N249" s="14"/>
      <c r="O249" s="14"/>
      <c r="P249" s="14"/>
      <c r="Q249" s="14"/>
      <c r="R249" s="14"/>
      <c r="S249" s="14"/>
      <c r="T249" s="14"/>
      <c r="U249" s="14"/>
      <c r="V249" s="14"/>
      <c r="W249" s="14"/>
      <c r="X249" s="14"/>
      <c r="Y249" s="14"/>
      <c r="Z249" s="14"/>
      <c r="AA249" s="15"/>
      <c r="AB249" s="3"/>
      <c r="AC249" s="3"/>
      <c r="AD249" s="3"/>
      <c r="AE249" s="3"/>
      <c r="AF249" s="3"/>
      <c r="AG249" s="3"/>
      <c r="AH249" s="3"/>
      <c r="AI249" s="3"/>
      <c r="AJ249" s="3"/>
      <c r="AK249" s="3"/>
      <c r="AL249" s="3"/>
      <c r="AM249" s="3"/>
      <c r="AN249" s="3"/>
      <c r="AO249" s="3"/>
    </row>
    <row r="250" spans="2:41" s="171" customFormat="1" x14ac:dyDescent="0.25">
      <c r="B250" s="13"/>
      <c r="C250" s="14"/>
      <c r="D250" s="60"/>
      <c r="E250" s="56"/>
      <c r="F250" s="56"/>
      <c r="G250" s="14"/>
      <c r="H250" s="56"/>
      <c r="I250" s="14"/>
      <c r="J250" s="14"/>
      <c r="K250" s="14"/>
      <c r="L250" s="14"/>
      <c r="M250" s="14"/>
      <c r="N250" s="14"/>
      <c r="O250" s="14"/>
      <c r="P250" s="14"/>
      <c r="Q250" s="14"/>
      <c r="R250" s="14"/>
      <c r="S250" s="14"/>
      <c r="T250" s="14"/>
      <c r="U250" s="14"/>
      <c r="V250" s="14"/>
      <c r="W250" s="14"/>
      <c r="X250" s="14"/>
      <c r="Y250" s="14"/>
      <c r="Z250" s="14"/>
      <c r="AA250" s="15"/>
      <c r="AB250" s="3"/>
      <c r="AC250" s="3"/>
      <c r="AD250" s="3"/>
      <c r="AE250" s="3"/>
      <c r="AF250" s="3"/>
      <c r="AG250" s="3"/>
      <c r="AH250" s="3"/>
      <c r="AI250" s="3"/>
      <c r="AJ250" s="3"/>
      <c r="AK250" s="3"/>
      <c r="AL250" s="3"/>
      <c r="AM250" s="3"/>
      <c r="AN250" s="3"/>
      <c r="AO250" s="3"/>
    </row>
    <row r="251" spans="2:41" s="171" customFormat="1" x14ac:dyDescent="0.25">
      <c r="B251" s="13"/>
      <c r="C251" s="14"/>
      <c r="D251" s="60"/>
      <c r="E251" s="56"/>
      <c r="F251" s="56"/>
      <c r="G251" s="14"/>
      <c r="H251" s="56"/>
      <c r="I251" s="14"/>
      <c r="J251" s="14"/>
      <c r="K251" s="14"/>
      <c r="L251" s="14"/>
      <c r="M251" s="14"/>
      <c r="N251" s="14"/>
      <c r="O251" s="14"/>
      <c r="P251" s="14"/>
      <c r="Q251" s="14"/>
      <c r="R251" s="14"/>
      <c r="S251" s="14"/>
      <c r="T251" s="14"/>
      <c r="U251" s="14"/>
      <c r="V251" s="14"/>
      <c r="W251" s="14"/>
      <c r="X251" s="14"/>
      <c r="Y251" s="14"/>
      <c r="Z251" s="14"/>
      <c r="AA251" s="15"/>
      <c r="AB251" s="3"/>
      <c r="AC251" s="3"/>
      <c r="AD251" s="3"/>
      <c r="AE251" s="3"/>
      <c r="AF251" s="3"/>
      <c r="AG251" s="3"/>
      <c r="AH251" s="3"/>
      <c r="AI251" s="3"/>
      <c r="AJ251" s="3"/>
      <c r="AK251" s="3"/>
      <c r="AL251" s="3"/>
      <c r="AM251" s="3"/>
      <c r="AN251" s="3"/>
      <c r="AO251" s="3"/>
    </row>
    <row r="252" spans="2:41" s="171" customFormat="1" x14ac:dyDescent="0.25">
      <c r="B252" s="13"/>
      <c r="C252" s="14"/>
      <c r="D252" s="60"/>
      <c r="E252" s="56"/>
      <c r="F252" s="56"/>
      <c r="G252" s="14"/>
      <c r="H252" s="56"/>
      <c r="I252" s="14"/>
      <c r="J252" s="14"/>
      <c r="K252" s="14"/>
      <c r="L252" s="14"/>
      <c r="M252" s="14"/>
      <c r="N252" s="14"/>
      <c r="O252" s="14"/>
      <c r="P252" s="14"/>
      <c r="Q252" s="14"/>
      <c r="R252" s="14"/>
      <c r="S252" s="14"/>
      <c r="T252" s="14"/>
      <c r="U252" s="14"/>
      <c r="V252" s="14"/>
      <c r="W252" s="14"/>
      <c r="X252" s="14"/>
      <c r="Y252" s="14"/>
      <c r="Z252" s="14"/>
      <c r="AA252" s="15"/>
      <c r="AB252" s="3"/>
      <c r="AC252" s="3"/>
      <c r="AD252" s="3"/>
      <c r="AE252" s="3"/>
      <c r="AF252" s="3"/>
      <c r="AG252" s="3"/>
      <c r="AH252" s="3"/>
      <c r="AI252" s="3"/>
      <c r="AJ252" s="3"/>
      <c r="AK252" s="3"/>
      <c r="AL252" s="3"/>
      <c r="AM252" s="3"/>
      <c r="AN252" s="3"/>
      <c r="AO252" s="3"/>
    </row>
    <row r="253" spans="2:41" s="171" customFormat="1" x14ac:dyDescent="0.25">
      <c r="B253" s="13"/>
      <c r="C253" s="14"/>
      <c r="D253" s="60"/>
      <c r="E253" s="56"/>
      <c r="F253" s="56"/>
      <c r="G253" s="14"/>
      <c r="H253" s="56"/>
      <c r="I253" s="14"/>
      <c r="J253" s="14"/>
      <c r="K253" s="14"/>
      <c r="L253" s="14"/>
      <c r="M253" s="14"/>
      <c r="N253" s="14"/>
      <c r="O253" s="14"/>
      <c r="P253" s="14"/>
      <c r="Q253" s="14"/>
      <c r="R253" s="14"/>
      <c r="S253" s="14"/>
      <c r="T253" s="14"/>
      <c r="U253" s="14"/>
      <c r="V253" s="14"/>
      <c r="W253" s="14"/>
      <c r="X253" s="14"/>
      <c r="Y253" s="14"/>
      <c r="Z253" s="14"/>
      <c r="AA253" s="15"/>
      <c r="AB253" s="3"/>
      <c r="AC253" s="3"/>
      <c r="AD253" s="3"/>
      <c r="AE253" s="3"/>
      <c r="AF253" s="3"/>
      <c r="AG253" s="3"/>
      <c r="AH253" s="3"/>
      <c r="AI253" s="3"/>
      <c r="AJ253" s="3"/>
      <c r="AK253" s="3"/>
      <c r="AL253" s="3"/>
      <c r="AM253" s="3"/>
      <c r="AN253" s="3"/>
      <c r="AO253" s="3"/>
    </row>
    <row r="254" spans="2:41" s="171" customFormat="1" x14ac:dyDescent="0.25">
      <c r="B254" s="13"/>
      <c r="C254" s="14"/>
      <c r="D254" s="60"/>
      <c r="E254" s="56"/>
      <c r="F254" s="56"/>
      <c r="G254" s="128"/>
      <c r="H254" s="56"/>
      <c r="I254" s="14"/>
      <c r="J254" s="14"/>
      <c r="K254" s="14"/>
      <c r="L254" s="14"/>
      <c r="M254" s="14"/>
      <c r="N254" s="14"/>
      <c r="O254" s="14"/>
      <c r="P254" s="14"/>
      <c r="Q254" s="14"/>
      <c r="R254" s="14"/>
      <c r="S254" s="14"/>
      <c r="T254" s="14"/>
      <c r="U254" s="14"/>
      <c r="V254" s="14"/>
      <c r="W254" s="14"/>
      <c r="X254" s="14"/>
      <c r="Y254" s="14"/>
      <c r="Z254" s="14"/>
      <c r="AA254" s="15"/>
      <c r="AB254" s="3"/>
      <c r="AC254" s="3"/>
      <c r="AD254" s="3"/>
      <c r="AE254" s="3"/>
      <c r="AF254" s="3"/>
      <c r="AG254" s="3"/>
      <c r="AH254" s="3"/>
      <c r="AI254" s="3"/>
      <c r="AJ254" s="3"/>
      <c r="AK254" s="3"/>
      <c r="AL254" s="3"/>
      <c r="AM254" s="3"/>
      <c r="AN254" s="3"/>
      <c r="AO254" s="3"/>
    </row>
    <row r="255" spans="2:41" s="171" customFormat="1" x14ac:dyDescent="0.25">
      <c r="B255" s="13"/>
      <c r="C255" s="14"/>
      <c r="D255" s="60"/>
      <c r="E255" s="56"/>
      <c r="F255" s="56"/>
      <c r="G255" s="14"/>
      <c r="H255" s="56"/>
      <c r="I255" s="14"/>
      <c r="J255" s="14"/>
      <c r="K255" s="14"/>
      <c r="L255" s="14"/>
      <c r="M255" s="14"/>
      <c r="N255" s="14"/>
      <c r="O255" s="14"/>
      <c r="P255" s="14"/>
      <c r="Q255" s="14"/>
      <c r="R255" s="14"/>
      <c r="S255" s="14"/>
      <c r="T255" s="14"/>
      <c r="U255" s="14"/>
      <c r="V255" s="14"/>
      <c r="W255" s="14"/>
      <c r="X255" s="14"/>
      <c r="Y255" s="14"/>
      <c r="Z255" s="14"/>
      <c r="AA255" s="15"/>
      <c r="AB255" s="3"/>
      <c r="AC255" s="3"/>
      <c r="AD255" s="3"/>
      <c r="AE255" s="3"/>
      <c r="AF255" s="3"/>
      <c r="AG255" s="3"/>
      <c r="AH255" s="3"/>
      <c r="AI255" s="3"/>
      <c r="AJ255" s="3"/>
      <c r="AK255" s="3"/>
      <c r="AL255" s="3"/>
      <c r="AM255" s="3"/>
      <c r="AN255" s="3"/>
      <c r="AO255" s="3"/>
    </row>
    <row r="256" spans="2:41" s="171" customFormat="1" x14ac:dyDescent="0.25">
      <c r="B256" s="13"/>
      <c r="C256" s="14"/>
      <c r="D256" s="14"/>
      <c r="E256" s="56"/>
      <c r="F256" s="56"/>
      <c r="G256" s="14"/>
      <c r="H256" s="56"/>
      <c r="I256" s="14"/>
      <c r="J256" s="14"/>
      <c r="K256" s="14"/>
      <c r="L256" s="14"/>
      <c r="M256" s="14"/>
      <c r="N256" s="14"/>
      <c r="O256" s="14"/>
      <c r="P256" s="14"/>
      <c r="Q256" s="14"/>
      <c r="R256" s="14"/>
      <c r="S256" s="14"/>
      <c r="T256" s="14"/>
      <c r="U256" s="14"/>
      <c r="V256" s="14"/>
      <c r="W256" s="14"/>
      <c r="X256" s="14"/>
      <c r="Y256" s="14"/>
      <c r="Z256" s="14"/>
      <c r="AA256" s="15"/>
      <c r="AB256" s="3"/>
      <c r="AC256" s="3"/>
      <c r="AD256" s="3"/>
      <c r="AE256" s="3"/>
      <c r="AF256" s="3"/>
      <c r="AG256" s="3"/>
      <c r="AH256" s="3"/>
      <c r="AI256" s="3"/>
      <c r="AJ256" s="3"/>
      <c r="AK256" s="3"/>
      <c r="AL256" s="3"/>
      <c r="AM256" s="3"/>
      <c r="AN256" s="3"/>
      <c r="AO256" s="3"/>
    </row>
    <row r="257" spans="2:41" s="171" customFormat="1" x14ac:dyDescent="0.25">
      <c r="B257" s="13"/>
      <c r="C257" s="14"/>
      <c r="D257" s="60"/>
      <c r="E257" s="56"/>
      <c r="F257" s="56"/>
      <c r="G257" s="14"/>
      <c r="H257" s="56"/>
      <c r="I257" s="14"/>
      <c r="J257" s="14"/>
      <c r="K257" s="14"/>
      <c r="L257" s="14"/>
      <c r="M257" s="14"/>
      <c r="N257" s="14"/>
      <c r="O257" s="14"/>
      <c r="P257" s="14"/>
      <c r="Q257" s="14"/>
      <c r="R257" s="14"/>
      <c r="S257" s="14"/>
      <c r="T257" s="14"/>
      <c r="U257" s="14"/>
      <c r="V257" s="14"/>
      <c r="W257" s="14"/>
      <c r="X257" s="14"/>
      <c r="Y257" s="14"/>
      <c r="Z257" s="14"/>
      <c r="AA257" s="15"/>
      <c r="AB257" s="3"/>
      <c r="AC257" s="3"/>
      <c r="AD257" s="3"/>
      <c r="AE257" s="3"/>
      <c r="AF257" s="3"/>
      <c r="AG257" s="3"/>
      <c r="AH257" s="3"/>
      <c r="AI257" s="3"/>
      <c r="AJ257" s="3"/>
      <c r="AK257" s="3"/>
      <c r="AL257" s="3"/>
      <c r="AM257" s="3"/>
      <c r="AN257" s="3"/>
      <c r="AO257" s="3"/>
    </row>
    <row r="258" spans="2:41" s="171" customFormat="1" x14ac:dyDescent="0.25">
      <c r="B258" s="13"/>
      <c r="C258" s="14"/>
      <c r="D258" s="60"/>
      <c r="E258" s="56"/>
      <c r="F258" s="56"/>
      <c r="G258" s="14"/>
      <c r="H258" s="56"/>
      <c r="I258" s="14"/>
      <c r="J258" s="14"/>
      <c r="K258" s="14"/>
      <c r="L258" s="14"/>
      <c r="M258" s="14"/>
      <c r="N258" s="14"/>
      <c r="O258" s="14"/>
      <c r="P258" s="14"/>
      <c r="Q258" s="14"/>
      <c r="R258" s="14"/>
      <c r="S258" s="14"/>
      <c r="T258" s="14"/>
      <c r="U258" s="14"/>
      <c r="V258" s="14"/>
      <c r="W258" s="14"/>
      <c r="X258" s="14"/>
      <c r="Y258" s="14"/>
      <c r="Z258" s="14"/>
      <c r="AA258" s="15"/>
      <c r="AB258" s="3"/>
      <c r="AC258" s="3"/>
      <c r="AD258" s="3"/>
      <c r="AE258" s="3"/>
      <c r="AF258" s="3"/>
      <c r="AG258" s="3"/>
      <c r="AH258" s="3"/>
      <c r="AI258" s="3"/>
      <c r="AJ258" s="3"/>
      <c r="AK258" s="3"/>
      <c r="AL258" s="3"/>
      <c r="AM258" s="3"/>
      <c r="AN258" s="3"/>
      <c r="AO258" s="3"/>
    </row>
    <row r="259" spans="2:41" s="171" customFormat="1" x14ac:dyDescent="0.25">
      <c r="B259" s="13"/>
      <c r="C259" s="14"/>
      <c r="D259" s="60"/>
      <c r="E259" s="56"/>
      <c r="F259" s="56"/>
      <c r="G259" s="14"/>
      <c r="H259" s="56"/>
      <c r="I259" s="14"/>
      <c r="J259" s="14"/>
      <c r="K259" s="14"/>
      <c r="L259" s="14"/>
      <c r="M259" s="14"/>
      <c r="N259" s="14"/>
      <c r="O259" s="14"/>
      <c r="P259" s="14"/>
      <c r="Q259" s="14"/>
      <c r="R259" s="14"/>
      <c r="S259" s="14"/>
      <c r="T259" s="14"/>
      <c r="U259" s="14"/>
      <c r="V259" s="14"/>
      <c r="W259" s="14"/>
      <c r="X259" s="14"/>
      <c r="Y259" s="14"/>
      <c r="Z259" s="14"/>
      <c r="AA259" s="15"/>
      <c r="AB259" s="3"/>
      <c r="AC259" s="3"/>
      <c r="AD259" s="3"/>
      <c r="AE259" s="3"/>
      <c r="AF259" s="3"/>
      <c r="AG259" s="3"/>
      <c r="AH259" s="3"/>
      <c r="AI259" s="3"/>
      <c r="AJ259" s="3"/>
      <c r="AK259" s="3"/>
      <c r="AL259" s="3"/>
      <c r="AM259" s="3"/>
      <c r="AN259" s="3"/>
      <c r="AO259" s="3"/>
    </row>
    <row r="260" spans="2:41" s="171" customFormat="1" x14ac:dyDescent="0.25">
      <c r="B260" s="13"/>
      <c r="C260" s="14"/>
      <c r="D260" s="60"/>
      <c r="E260" s="56"/>
      <c r="F260" s="56"/>
      <c r="G260" s="14"/>
      <c r="H260" s="56"/>
      <c r="I260" s="14"/>
      <c r="J260" s="14"/>
      <c r="K260" s="14"/>
      <c r="L260" s="14"/>
      <c r="M260" s="14"/>
      <c r="N260" s="14"/>
      <c r="O260" s="14"/>
      <c r="P260" s="14"/>
      <c r="Q260" s="14"/>
      <c r="R260" s="14"/>
      <c r="S260" s="14"/>
      <c r="T260" s="14"/>
      <c r="U260" s="14"/>
      <c r="V260" s="14"/>
      <c r="W260" s="14"/>
      <c r="X260" s="14"/>
      <c r="Y260" s="14"/>
      <c r="Z260" s="14"/>
      <c r="AA260" s="15"/>
      <c r="AB260" s="3"/>
      <c r="AC260" s="3"/>
      <c r="AD260" s="3"/>
      <c r="AE260" s="3"/>
      <c r="AF260" s="3"/>
      <c r="AG260" s="3"/>
      <c r="AH260" s="3"/>
      <c r="AI260" s="3"/>
      <c r="AJ260" s="3"/>
      <c r="AK260" s="3"/>
      <c r="AL260" s="3"/>
      <c r="AM260" s="3"/>
      <c r="AN260" s="3"/>
      <c r="AO260" s="3"/>
    </row>
    <row r="261" spans="2:41" s="171" customFormat="1" x14ac:dyDescent="0.25">
      <c r="B261" s="13"/>
      <c r="C261" s="14"/>
      <c r="D261" s="60"/>
      <c r="E261" s="56"/>
      <c r="F261" s="56"/>
      <c r="G261" s="128"/>
      <c r="H261" s="56"/>
      <c r="I261" s="14"/>
      <c r="J261" s="14"/>
      <c r="K261" s="14"/>
      <c r="L261" s="14"/>
      <c r="M261" s="14"/>
      <c r="N261" s="14"/>
      <c r="O261" s="14"/>
      <c r="P261" s="14"/>
      <c r="Q261" s="14"/>
      <c r="R261" s="14"/>
      <c r="S261" s="14"/>
      <c r="T261" s="14"/>
      <c r="U261" s="14"/>
      <c r="V261" s="14"/>
      <c r="W261" s="14"/>
      <c r="X261" s="14"/>
      <c r="Y261" s="14"/>
      <c r="Z261" s="14"/>
      <c r="AA261" s="15"/>
      <c r="AB261" s="3"/>
      <c r="AC261" s="3"/>
      <c r="AD261" s="3"/>
      <c r="AE261" s="3"/>
      <c r="AF261" s="3"/>
      <c r="AG261" s="3"/>
      <c r="AH261" s="3"/>
      <c r="AI261" s="3"/>
      <c r="AJ261" s="3"/>
      <c r="AK261" s="3"/>
      <c r="AL261" s="3"/>
      <c r="AM261" s="3"/>
      <c r="AN261" s="3"/>
      <c r="AO261" s="3"/>
    </row>
    <row r="262" spans="2:41" s="171" customFormat="1" x14ac:dyDescent="0.25">
      <c r="B262" s="13"/>
      <c r="C262" s="14"/>
      <c r="D262" s="60"/>
      <c r="E262" s="56"/>
      <c r="F262" s="56"/>
      <c r="G262" s="14"/>
      <c r="H262" s="56"/>
      <c r="I262" s="14"/>
      <c r="J262" s="14"/>
      <c r="K262" s="14"/>
      <c r="L262" s="14"/>
      <c r="M262" s="14"/>
      <c r="N262" s="14"/>
      <c r="O262" s="14"/>
      <c r="P262" s="14"/>
      <c r="Q262" s="14"/>
      <c r="R262" s="14"/>
      <c r="S262" s="14"/>
      <c r="T262" s="14"/>
      <c r="U262" s="14"/>
      <c r="V262" s="14"/>
      <c r="W262" s="14"/>
      <c r="X262" s="14"/>
      <c r="Y262" s="14"/>
      <c r="Z262" s="14"/>
      <c r="AA262" s="15"/>
      <c r="AB262" s="3"/>
      <c r="AC262" s="3"/>
      <c r="AD262" s="3"/>
      <c r="AE262" s="3"/>
      <c r="AF262" s="3"/>
      <c r="AG262" s="3"/>
      <c r="AH262" s="3"/>
      <c r="AI262" s="3"/>
      <c r="AJ262" s="3"/>
      <c r="AK262" s="3"/>
      <c r="AL262" s="3"/>
      <c r="AM262" s="3"/>
      <c r="AN262" s="3"/>
      <c r="AO262" s="3"/>
    </row>
    <row r="263" spans="2:41" s="171" customFormat="1" x14ac:dyDescent="0.25">
      <c r="B263" s="13"/>
      <c r="C263" s="14"/>
      <c r="D263" s="14"/>
      <c r="E263" s="56"/>
      <c r="F263" s="56"/>
      <c r="G263" s="14"/>
      <c r="H263" s="56"/>
      <c r="I263" s="14"/>
      <c r="J263" s="14"/>
      <c r="K263" s="14"/>
      <c r="L263" s="14"/>
      <c r="M263" s="14"/>
      <c r="N263" s="14"/>
      <c r="O263" s="14"/>
      <c r="P263" s="14"/>
      <c r="Q263" s="14"/>
      <c r="R263" s="14"/>
      <c r="S263" s="14"/>
      <c r="T263" s="14"/>
      <c r="U263" s="14"/>
      <c r="V263" s="14"/>
      <c r="W263" s="14"/>
      <c r="X263" s="14"/>
      <c r="Y263" s="14"/>
      <c r="Z263" s="14"/>
      <c r="AA263" s="15"/>
      <c r="AB263" s="3"/>
      <c r="AC263" s="3"/>
      <c r="AD263" s="3"/>
      <c r="AE263" s="3"/>
      <c r="AF263" s="3"/>
      <c r="AG263" s="3"/>
      <c r="AH263" s="3"/>
      <c r="AI263" s="3"/>
      <c r="AJ263" s="3"/>
      <c r="AK263" s="3"/>
      <c r="AL263" s="3"/>
      <c r="AM263" s="3"/>
      <c r="AN263" s="3"/>
      <c r="AO263" s="3"/>
    </row>
    <row r="264" spans="2:41" s="171" customFormat="1" x14ac:dyDescent="0.25">
      <c r="B264" s="13"/>
      <c r="C264" s="14"/>
      <c r="D264" s="60"/>
      <c r="E264" s="56"/>
      <c r="F264" s="56"/>
      <c r="G264" s="14"/>
      <c r="H264" s="56"/>
      <c r="I264" s="14"/>
      <c r="J264" s="14"/>
      <c r="K264" s="14"/>
      <c r="L264" s="14"/>
      <c r="M264" s="14"/>
      <c r="N264" s="14"/>
      <c r="O264" s="14"/>
      <c r="P264" s="14"/>
      <c r="Q264" s="14"/>
      <c r="R264" s="14"/>
      <c r="S264" s="14"/>
      <c r="T264" s="14"/>
      <c r="U264" s="14"/>
      <c r="V264" s="14"/>
      <c r="W264" s="14"/>
      <c r="X264" s="14"/>
      <c r="Y264" s="14"/>
      <c r="Z264" s="14"/>
      <c r="AA264" s="15"/>
      <c r="AB264" s="3"/>
      <c r="AC264" s="3"/>
      <c r="AD264" s="3"/>
      <c r="AE264" s="3"/>
      <c r="AF264" s="3"/>
      <c r="AG264" s="3"/>
      <c r="AH264" s="3"/>
      <c r="AI264" s="3"/>
      <c r="AJ264" s="3"/>
      <c r="AK264" s="3"/>
      <c r="AL264" s="3"/>
      <c r="AM264" s="3"/>
      <c r="AN264" s="3"/>
      <c r="AO264" s="3"/>
    </row>
    <row r="265" spans="2:41" s="171" customFormat="1" x14ac:dyDescent="0.25">
      <c r="B265" s="13"/>
      <c r="C265" s="14"/>
      <c r="D265" s="60"/>
      <c r="E265" s="56"/>
      <c r="F265" s="56"/>
      <c r="G265" s="14"/>
      <c r="H265" s="56"/>
      <c r="I265" s="14"/>
      <c r="J265" s="14"/>
      <c r="K265" s="14"/>
      <c r="L265" s="14"/>
      <c r="M265" s="14"/>
      <c r="N265" s="14"/>
      <c r="O265" s="14"/>
      <c r="P265" s="14"/>
      <c r="Q265" s="14"/>
      <c r="R265" s="14"/>
      <c r="S265" s="14"/>
      <c r="T265" s="14"/>
      <c r="U265" s="14"/>
      <c r="V265" s="14"/>
      <c r="W265" s="14"/>
      <c r="X265" s="14"/>
      <c r="Y265" s="14"/>
      <c r="Z265" s="14"/>
      <c r="AA265" s="15"/>
      <c r="AB265" s="3"/>
      <c r="AC265" s="3"/>
      <c r="AD265" s="3"/>
      <c r="AE265" s="3"/>
      <c r="AF265" s="3"/>
      <c r="AG265" s="3"/>
      <c r="AH265" s="3"/>
      <c r="AI265" s="3"/>
      <c r="AJ265" s="3"/>
      <c r="AK265" s="3"/>
      <c r="AL265" s="3"/>
      <c r="AM265" s="3"/>
      <c r="AN265" s="3"/>
      <c r="AO265" s="3"/>
    </row>
    <row r="266" spans="2:41" s="171" customFormat="1" x14ac:dyDescent="0.25">
      <c r="B266" s="13"/>
      <c r="C266" s="14"/>
      <c r="D266" s="60"/>
      <c r="E266" s="56"/>
      <c r="F266" s="56"/>
      <c r="G266" s="14"/>
      <c r="H266" s="56"/>
      <c r="I266" s="14"/>
      <c r="J266" s="14"/>
      <c r="K266" s="14"/>
      <c r="L266" s="14"/>
      <c r="M266" s="14"/>
      <c r="N266" s="14"/>
      <c r="O266" s="14"/>
      <c r="P266" s="14"/>
      <c r="Q266" s="14"/>
      <c r="R266" s="14"/>
      <c r="S266" s="14"/>
      <c r="T266" s="14"/>
      <c r="U266" s="14"/>
      <c r="V266" s="14"/>
      <c r="W266" s="14"/>
      <c r="X266" s="14"/>
      <c r="Y266" s="14"/>
      <c r="Z266" s="14"/>
      <c r="AA266" s="15"/>
      <c r="AB266" s="3"/>
      <c r="AC266" s="3"/>
      <c r="AD266" s="3"/>
      <c r="AE266" s="3"/>
      <c r="AF266" s="3"/>
      <c r="AG266" s="3"/>
      <c r="AH266" s="3"/>
      <c r="AI266" s="3"/>
      <c r="AJ266" s="3"/>
      <c r="AK266" s="3"/>
      <c r="AL266" s="3"/>
      <c r="AM266" s="3"/>
      <c r="AN266" s="3"/>
      <c r="AO266" s="3"/>
    </row>
    <row r="267" spans="2:41" s="171" customFormat="1" x14ac:dyDescent="0.25">
      <c r="B267" s="13"/>
      <c r="C267" s="14"/>
      <c r="D267" s="60"/>
      <c r="E267" s="56"/>
      <c r="F267" s="56"/>
      <c r="G267" s="14"/>
      <c r="H267" s="56"/>
      <c r="I267" s="14"/>
      <c r="J267" s="14"/>
      <c r="K267" s="14"/>
      <c r="L267" s="14"/>
      <c r="M267" s="14"/>
      <c r="N267" s="14"/>
      <c r="O267" s="14"/>
      <c r="P267" s="14"/>
      <c r="Q267" s="14"/>
      <c r="R267" s="14"/>
      <c r="S267" s="14"/>
      <c r="T267" s="14"/>
      <c r="U267" s="14"/>
      <c r="V267" s="14"/>
      <c r="W267" s="14"/>
      <c r="X267" s="14"/>
      <c r="Y267" s="14"/>
      <c r="Z267" s="14"/>
      <c r="AA267" s="15"/>
      <c r="AB267" s="3"/>
      <c r="AC267" s="3"/>
      <c r="AD267" s="3"/>
      <c r="AE267" s="3"/>
      <c r="AF267" s="3"/>
      <c r="AG267" s="3"/>
      <c r="AH267" s="3"/>
      <c r="AI267" s="3"/>
      <c r="AJ267" s="3"/>
      <c r="AK267" s="3"/>
      <c r="AL267" s="3"/>
      <c r="AM267" s="3"/>
      <c r="AN267" s="3"/>
      <c r="AO267" s="3"/>
    </row>
    <row r="268" spans="2:41" s="171" customFormat="1" x14ac:dyDescent="0.25">
      <c r="B268" s="13"/>
      <c r="C268" s="14"/>
      <c r="D268" s="60"/>
      <c r="E268" s="56"/>
      <c r="F268" s="56"/>
      <c r="G268" s="128"/>
      <c r="H268" s="56"/>
      <c r="I268" s="14"/>
      <c r="J268" s="14"/>
      <c r="K268" s="14"/>
      <c r="L268" s="14"/>
      <c r="M268" s="14"/>
      <c r="N268" s="14"/>
      <c r="O268" s="14"/>
      <c r="P268" s="14"/>
      <c r="Q268" s="14"/>
      <c r="R268" s="14"/>
      <c r="S268" s="14"/>
      <c r="T268" s="14"/>
      <c r="U268" s="14"/>
      <c r="V268" s="14"/>
      <c r="W268" s="14"/>
      <c r="X268" s="14"/>
      <c r="Y268" s="14"/>
      <c r="Z268" s="14"/>
      <c r="AA268" s="15"/>
      <c r="AB268" s="3"/>
      <c r="AC268" s="3"/>
      <c r="AD268" s="3"/>
      <c r="AE268" s="3"/>
      <c r="AF268" s="3"/>
      <c r="AG268" s="3"/>
      <c r="AH268" s="3"/>
      <c r="AI268" s="3"/>
      <c r="AJ268" s="3"/>
      <c r="AK268" s="3"/>
      <c r="AL268" s="3"/>
      <c r="AM268" s="3"/>
      <c r="AN268" s="3"/>
      <c r="AO268" s="3"/>
    </row>
    <row r="269" spans="2:41" s="171" customFormat="1" x14ac:dyDescent="0.25">
      <c r="B269" s="13"/>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5"/>
      <c r="AB269" s="3"/>
      <c r="AC269" s="3"/>
      <c r="AD269" s="3"/>
      <c r="AE269" s="3"/>
      <c r="AF269" s="3"/>
      <c r="AG269" s="3"/>
      <c r="AH269" s="3"/>
      <c r="AI269" s="3"/>
      <c r="AJ269" s="3"/>
      <c r="AK269" s="3"/>
      <c r="AL269" s="3"/>
      <c r="AM269" s="3"/>
      <c r="AN269" s="3"/>
      <c r="AO269" s="3"/>
    </row>
    <row r="270" spans="2:41" s="171" customFormat="1" x14ac:dyDescent="0.25">
      <c r="B270" s="13"/>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5"/>
      <c r="AB270" s="3"/>
      <c r="AC270" s="3"/>
      <c r="AD270" s="3"/>
      <c r="AE270" s="3"/>
      <c r="AF270" s="3"/>
      <c r="AG270" s="3"/>
      <c r="AH270" s="3"/>
      <c r="AI270" s="3"/>
      <c r="AJ270" s="3"/>
      <c r="AK270" s="3"/>
      <c r="AL270" s="3"/>
      <c r="AM270" s="3"/>
      <c r="AN270" s="3"/>
      <c r="AO270" s="3"/>
    </row>
    <row r="271" spans="2:41" s="171" customFormat="1" x14ac:dyDescent="0.25">
      <c r="B271" s="13"/>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5"/>
      <c r="AB271" s="3"/>
      <c r="AC271" s="3"/>
      <c r="AD271" s="3"/>
      <c r="AE271" s="3"/>
      <c r="AF271" s="3"/>
      <c r="AG271" s="3"/>
      <c r="AH271" s="3"/>
      <c r="AI271" s="3"/>
      <c r="AJ271" s="3"/>
      <c r="AK271" s="3"/>
      <c r="AL271" s="3"/>
      <c r="AM271" s="3"/>
      <c r="AN271" s="3"/>
      <c r="AO271" s="3"/>
    </row>
    <row r="272" spans="2:41" s="171" customFormat="1" x14ac:dyDescent="0.25">
      <c r="B272" s="13"/>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5"/>
      <c r="AB272" s="3"/>
      <c r="AC272" s="3"/>
      <c r="AD272" s="3"/>
      <c r="AE272" s="3"/>
      <c r="AF272" s="3"/>
      <c r="AG272" s="3"/>
      <c r="AH272" s="3"/>
      <c r="AI272" s="3"/>
      <c r="AJ272" s="3"/>
      <c r="AK272" s="3"/>
      <c r="AL272" s="3"/>
      <c r="AM272" s="3"/>
      <c r="AN272" s="3"/>
      <c r="AO272" s="3"/>
    </row>
    <row r="273" spans="2:41" s="171" customFormat="1" x14ac:dyDescent="0.25">
      <c r="B273" s="13"/>
      <c r="C273" s="14"/>
      <c r="D273" s="60"/>
      <c r="E273" s="56"/>
      <c r="F273" s="56"/>
      <c r="G273" s="14"/>
      <c r="H273" s="56"/>
      <c r="I273" s="14"/>
      <c r="J273" s="14"/>
      <c r="K273" s="14"/>
      <c r="L273" s="14"/>
      <c r="M273" s="14"/>
      <c r="N273" s="14"/>
      <c r="O273" s="14"/>
      <c r="P273" s="14"/>
      <c r="Q273" s="14"/>
      <c r="R273" s="14"/>
      <c r="S273" s="14"/>
      <c r="T273" s="14"/>
      <c r="U273" s="14"/>
      <c r="V273" s="14"/>
      <c r="W273" s="14"/>
      <c r="X273" s="14"/>
      <c r="Y273" s="14"/>
      <c r="Z273" s="14"/>
      <c r="AA273" s="15"/>
      <c r="AB273" s="3"/>
      <c r="AC273" s="3"/>
      <c r="AD273" s="3"/>
      <c r="AE273" s="3"/>
      <c r="AF273" s="3"/>
      <c r="AG273" s="3"/>
      <c r="AH273" s="3"/>
      <c r="AI273" s="3"/>
      <c r="AJ273" s="3"/>
      <c r="AK273" s="3"/>
      <c r="AL273" s="3"/>
      <c r="AM273" s="3"/>
      <c r="AN273" s="3"/>
      <c r="AO273" s="3"/>
    </row>
    <row r="274" spans="2:41" s="171" customFormat="1" x14ac:dyDescent="0.25">
      <c r="B274" s="13"/>
      <c r="C274" s="14"/>
      <c r="D274" s="60"/>
      <c r="E274" s="56"/>
      <c r="F274" s="56"/>
      <c r="G274" s="14"/>
      <c r="H274" s="56"/>
      <c r="I274" s="14"/>
      <c r="J274" s="14"/>
      <c r="K274" s="14"/>
      <c r="L274" s="14"/>
      <c r="M274" s="14"/>
      <c r="N274" s="14"/>
      <c r="O274" s="14"/>
      <c r="P274" s="14"/>
      <c r="Q274" s="14"/>
      <c r="R274" s="14"/>
      <c r="S274" s="14"/>
      <c r="T274" s="14"/>
      <c r="U274" s="14"/>
      <c r="V274" s="14"/>
      <c r="W274" s="14"/>
      <c r="X274" s="14"/>
      <c r="Y274" s="14"/>
      <c r="Z274" s="14"/>
      <c r="AA274" s="15"/>
      <c r="AB274" s="3"/>
      <c r="AC274" s="3"/>
      <c r="AD274" s="3"/>
      <c r="AE274" s="3"/>
      <c r="AF274" s="3"/>
      <c r="AG274" s="3"/>
      <c r="AH274" s="3"/>
      <c r="AI274" s="3"/>
      <c r="AJ274" s="3"/>
      <c r="AK274" s="3"/>
      <c r="AL274" s="3"/>
      <c r="AM274" s="3"/>
      <c r="AN274" s="3"/>
      <c r="AO274" s="3"/>
    </row>
    <row r="275" spans="2:41" s="171" customFormat="1" x14ac:dyDescent="0.25">
      <c r="B275" s="13"/>
      <c r="C275" s="56"/>
      <c r="D275" s="60"/>
      <c r="E275" s="56"/>
      <c r="F275" s="56"/>
      <c r="G275" s="56"/>
      <c r="H275" s="56"/>
      <c r="I275" s="14"/>
      <c r="J275" s="14"/>
      <c r="K275" s="14"/>
      <c r="L275" s="14"/>
      <c r="M275" s="14"/>
      <c r="N275" s="14"/>
      <c r="O275" s="14"/>
      <c r="P275" s="14"/>
      <c r="Q275" s="14"/>
      <c r="R275" s="14"/>
      <c r="S275" s="14"/>
      <c r="T275" s="14"/>
      <c r="U275" s="14"/>
      <c r="V275" s="14"/>
      <c r="W275" s="14"/>
      <c r="X275" s="14"/>
      <c r="Y275" s="14"/>
      <c r="Z275" s="14"/>
      <c r="AA275" s="15"/>
      <c r="AB275" s="3"/>
      <c r="AC275" s="3"/>
      <c r="AD275" s="3"/>
      <c r="AE275" s="3"/>
      <c r="AF275" s="3"/>
      <c r="AG275" s="3"/>
      <c r="AH275" s="3"/>
      <c r="AI275" s="3"/>
      <c r="AJ275" s="3"/>
      <c r="AK275" s="3"/>
      <c r="AL275" s="3"/>
      <c r="AM275" s="3"/>
      <c r="AN275" s="3"/>
      <c r="AO275" s="3"/>
    </row>
    <row r="276" spans="2:41" s="171" customFormat="1" x14ac:dyDescent="0.25">
      <c r="B276" s="13"/>
      <c r="C276" s="14"/>
      <c r="D276" s="60"/>
      <c r="E276" s="56"/>
      <c r="F276" s="56"/>
      <c r="G276" s="14"/>
      <c r="H276" s="56"/>
      <c r="I276" s="14"/>
      <c r="J276" s="14"/>
      <c r="K276" s="14"/>
      <c r="L276" s="14"/>
      <c r="M276" s="14"/>
      <c r="N276" s="14"/>
      <c r="O276" s="14"/>
      <c r="P276" s="14"/>
      <c r="Q276" s="14"/>
      <c r="R276" s="14"/>
      <c r="S276" s="14"/>
      <c r="T276" s="14"/>
      <c r="U276" s="14"/>
      <c r="V276" s="14"/>
      <c r="W276" s="14"/>
      <c r="X276" s="14"/>
      <c r="Y276" s="14"/>
      <c r="Z276" s="14"/>
      <c r="AA276" s="15"/>
      <c r="AB276" s="3"/>
      <c r="AC276" s="3"/>
      <c r="AD276" s="3"/>
      <c r="AE276" s="3"/>
      <c r="AF276" s="3"/>
      <c r="AG276" s="3"/>
      <c r="AH276" s="3"/>
      <c r="AI276" s="3"/>
      <c r="AJ276" s="3"/>
      <c r="AK276" s="3"/>
      <c r="AL276" s="3"/>
      <c r="AM276" s="3"/>
      <c r="AN276" s="3"/>
      <c r="AO276" s="3"/>
    </row>
    <row r="277" spans="2:41" s="171" customFormat="1" x14ac:dyDescent="0.25">
      <c r="B277" s="13"/>
      <c r="C277" s="14"/>
      <c r="D277" s="14"/>
      <c r="E277" s="56"/>
      <c r="F277" s="56"/>
      <c r="G277" s="14"/>
      <c r="H277" s="56"/>
      <c r="I277" s="14"/>
      <c r="J277" s="14"/>
      <c r="K277" s="14"/>
      <c r="L277" s="14"/>
      <c r="M277" s="14"/>
      <c r="N277" s="14"/>
      <c r="O277" s="14"/>
      <c r="P277" s="14"/>
      <c r="Q277" s="14"/>
      <c r="R277" s="14"/>
      <c r="S277" s="14"/>
      <c r="T277" s="14"/>
      <c r="U277" s="14"/>
      <c r="V277" s="14"/>
      <c r="W277" s="14"/>
      <c r="X277" s="14"/>
      <c r="Y277" s="14"/>
      <c r="Z277" s="14"/>
      <c r="AA277" s="15"/>
      <c r="AB277" s="3"/>
      <c r="AC277" s="3"/>
      <c r="AD277" s="3"/>
      <c r="AE277" s="3"/>
      <c r="AF277" s="3"/>
      <c r="AG277" s="3"/>
      <c r="AH277" s="3"/>
      <c r="AI277" s="3"/>
      <c r="AJ277" s="3"/>
      <c r="AK277" s="3"/>
      <c r="AL277" s="3"/>
      <c r="AM277" s="3"/>
      <c r="AN277" s="3"/>
      <c r="AO277" s="3"/>
    </row>
    <row r="278" spans="2:41" s="171" customFormat="1" ht="18.75" x14ac:dyDescent="0.3">
      <c r="B278" s="67"/>
      <c r="C278" s="14"/>
      <c r="D278" s="60"/>
      <c r="E278" s="56"/>
      <c r="F278" s="56"/>
      <c r="G278" s="14"/>
      <c r="H278" s="14"/>
      <c r="I278" s="74"/>
      <c r="J278" s="14"/>
      <c r="K278" s="14"/>
      <c r="L278" s="14"/>
      <c r="M278" s="14"/>
      <c r="N278" s="14"/>
      <c r="O278" s="14"/>
      <c r="P278" s="14"/>
      <c r="Q278" s="14"/>
      <c r="R278" s="14"/>
      <c r="S278" s="14"/>
      <c r="T278" s="14"/>
      <c r="U278" s="14"/>
      <c r="V278" s="14"/>
      <c r="W278" s="14"/>
      <c r="X278" s="14"/>
      <c r="Y278" s="14"/>
      <c r="Z278" s="14"/>
      <c r="AA278" s="15"/>
      <c r="AB278" s="3"/>
      <c r="AC278" s="3"/>
      <c r="AD278" s="3"/>
      <c r="AE278" s="3"/>
      <c r="AF278" s="3"/>
      <c r="AG278" s="3"/>
      <c r="AH278" s="3"/>
      <c r="AI278" s="3"/>
      <c r="AJ278" s="3"/>
      <c r="AK278" s="3"/>
      <c r="AL278" s="3"/>
      <c r="AM278" s="3"/>
      <c r="AN278" s="3"/>
      <c r="AO278" s="3"/>
    </row>
    <row r="279" spans="2:41" s="171" customFormat="1" x14ac:dyDescent="0.25">
      <c r="B279" s="13"/>
      <c r="C279" s="14"/>
      <c r="D279" s="60"/>
      <c r="E279" s="56"/>
      <c r="F279" s="56"/>
      <c r="G279" s="14"/>
      <c r="H279" s="56"/>
      <c r="I279" s="14"/>
      <c r="J279" s="14"/>
      <c r="K279" s="14"/>
      <c r="L279" s="14"/>
      <c r="M279" s="14"/>
      <c r="N279" s="14"/>
      <c r="O279" s="14"/>
      <c r="P279" s="14"/>
      <c r="Q279" s="14"/>
      <c r="R279" s="14"/>
      <c r="S279" s="14"/>
      <c r="T279" s="14"/>
      <c r="U279" s="14"/>
      <c r="V279" s="14"/>
      <c r="W279" s="14"/>
      <c r="X279" s="14"/>
      <c r="Y279" s="14"/>
      <c r="Z279" s="14"/>
      <c r="AA279" s="15"/>
      <c r="AB279" s="3"/>
      <c r="AC279" s="3"/>
      <c r="AD279" s="3"/>
      <c r="AE279" s="3"/>
      <c r="AF279" s="3"/>
      <c r="AG279" s="3"/>
      <c r="AH279" s="3"/>
      <c r="AI279" s="3"/>
      <c r="AJ279" s="3"/>
      <c r="AK279" s="3"/>
      <c r="AL279" s="3"/>
      <c r="AM279" s="3"/>
      <c r="AN279" s="3"/>
      <c r="AO279" s="3"/>
    </row>
    <row r="280" spans="2:41" s="171" customFormat="1" x14ac:dyDescent="0.25">
      <c r="B280" s="13"/>
      <c r="C280" s="14"/>
      <c r="D280" s="60"/>
      <c r="E280" s="56"/>
      <c r="F280" s="56"/>
      <c r="G280" s="14"/>
      <c r="H280" s="56"/>
      <c r="I280" s="14"/>
      <c r="J280" s="14"/>
      <c r="K280" s="14"/>
      <c r="L280" s="14"/>
      <c r="M280" s="14"/>
      <c r="N280" s="14"/>
      <c r="O280" s="14"/>
      <c r="P280" s="14"/>
      <c r="Q280" s="14"/>
      <c r="R280" s="14"/>
      <c r="S280" s="14"/>
      <c r="T280" s="14"/>
      <c r="U280" s="14"/>
      <c r="V280" s="14"/>
      <c r="W280" s="14"/>
      <c r="X280" s="14"/>
      <c r="Y280" s="14"/>
      <c r="Z280" s="14"/>
      <c r="AA280" s="15"/>
      <c r="AB280" s="3"/>
      <c r="AC280" s="3"/>
      <c r="AD280" s="3"/>
      <c r="AE280" s="3"/>
      <c r="AF280" s="3"/>
      <c r="AG280" s="3"/>
      <c r="AH280" s="3"/>
      <c r="AI280" s="3"/>
      <c r="AJ280" s="3"/>
      <c r="AK280" s="3"/>
      <c r="AL280" s="3"/>
      <c r="AM280" s="3"/>
      <c r="AN280" s="3"/>
      <c r="AO280" s="3"/>
    </row>
    <row r="281" spans="2:41" s="171" customFormat="1" x14ac:dyDescent="0.25">
      <c r="B281" s="13"/>
      <c r="C281" s="14"/>
      <c r="D281" s="60"/>
      <c r="E281" s="56"/>
      <c r="F281" s="56"/>
      <c r="G281" s="14"/>
      <c r="H281" s="56"/>
      <c r="I281" s="14"/>
      <c r="J281" s="14"/>
      <c r="K281" s="14"/>
      <c r="L281" s="14"/>
      <c r="M281" s="14"/>
      <c r="N281" s="14"/>
      <c r="O281" s="14"/>
      <c r="P281" s="14"/>
      <c r="Q281" s="14"/>
      <c r="R281" s="14"/>
      <c r="S281" s="14"/>
      <c r="T281" s="14"/>
      <c r="U281" s="14"/>
      <c r="V281" s="14"/>
      <c r="W281" s="14"/>
      <c r="X281" s="14"/>
      <c r="Y281" s="14"/>
      <c r="Z281" s="14"/>
      <c r="AA281" s="15"/>
      <c r="AB281" s="3"/>
      <c r="AC281" s="3"/>
      <c r="AD281" s="3"/>
      <c r="AE281" s="3"/>
      <c r="AF281" s="3"/>
      <c r="AG281" s="3"/>
      <c r="AH281" s="3"/>
      <c r="AI281" s="3"/>
      <c r="AJ281" s="3"/>
      <c r="AK281" s="3"/>
      <c r="AL281" s="3"/>
      <c r="AM281" s="3"/>
      <c r="AN281" s="3"/>
      <c r="AO281" s="3"/>
    </row>
    <row r="282" spans="2:41" s="171" customFormat="1" x14ac:dyDescent="0.25">
      <c r="B282" s="13"/>
      <c r="C282" s="56"/>
      <c r="D282" s="60"/>
      <c r="E282" s="56"/>
      <c r="F282" s="56"/>
      <c r="G282" s="56"/>
      <c r="H282" s="56"/>
      <c r="I282" s="14"/>
      <c r="J282" s="14"/>
      <c r="K282" s="14"/>
      <c r="L282" s="14"/>
      <c r="M282" s="14"/>
      <c r="N282" s="14"/>
      <c r="O282" s="14"/>
      <c r="P282" s="14"/>
      <c r="Q282" s="14"/>
      <c r="R282" s="14"/>
      <c r="S282" s="14"/>
      <c r="T282" s="14"/>
      <c r="U282" s="14"/>
      <c r="V282" s="14"/>
      <c r="W282" s="14"/>
      <c r="X282" s="14"/>
      <c r="Y282" s="14"/>
      <c r="Z282" s="14"/>
      <c r="AA282" s="15"/>
      <c r="AB282" s="3"/>
      <c r="AC282" s="3"/>
      <c r="AD282" s="3"/>
      <c r="AE282" s="3"/>
      <c r="AF282" s="3"/>
      <c r="AG282" s="3"/>
      <c r="AH282" s="3"/>
      <c r="AI282" s="3"/>
      <c r="AJ282" s="3"/>
      <c r="AK282" s="3"/>
      <c r="AL282" s="3"/>
      <c r="AM282" s="3"/>
      <c r="AN282" s="3"/>
      <c r="AO282" s="3"/>
    </row>
    <row r="283" spans="2:41" s="171" customFormat="1" x14ac:dyDescent="0.25">
      <c r="B283" s="13"/>
      <c r="C283" s="14"/>
      <c r="D283" s="60"/>
      <c r="E283" s="56"/>
      <c r="F283" s="56"/>
      <c r="G283" s="14"/>
      <c r="H283" s="56"/>
      <c r="I283" s="14"/>
      <c r="J283" s="14"/>
      <c r="K283" s="14"/>
      <c r="L283" s="14"/>
      <c r="M283" s="14"/>
      <c r="N283" s="14"/>
      <c r="O283" s="14"/>
      <c r="P283" s="14"/>
      <c r="Q283" s="14"/>
      <c r="R283" s="14"/>
      <c r="S283" s="14"/>
      <c r="T283" s="14"/>
      <c r="U283" s="14"/>
      <c r="V283" s="14"/>
      <c r="W283" s="14"/>
      <c r="X283" s="14"/>
      <c r="Y283" s="14"/>
      <c r="Z283" s="14"/>
      <c r="AA283" s="15"/>
      <c r="AB283" s="3"/>
      <c r="AC283" s="3"/>
      <c r="AD283" s="3"/>
      <c r="AE283" s="3"/>
      <c r="AF283" s="3"/>
      <c r="AG283" s="3"/>
      <c r="AH283" s="3"/>
      <c r="AI283" s="3"/>
      <c r="AJ283" s="3"/>
      <c r="AK283" s="3"/>
      <c r="AL283" s="3"/>
      <c r="AM283" s="3"/>
      <c r="AN283" s="3"/>
      <c r="AO283" s="3"/>
    </row>
    <row r="284" spans="2:41" s="171" customFormat="1" x14ac:dyDescent="0.25">
      <c r="B284" s="13"/>
      <c r="C284" s="14"/>
      <c r="D284" s="14"/>
      <c r="E284" s="56"/>
      <c r="F284" s="56"/>
      <c r="G284" s="14"/>
      <c r="H284" s="56"/>
      <c r="I284" s="14"/>
      <c r="J284" s="14"/>
      <c r="K284" s="14"/>
      <c r="L284" s="14"/>
      <c r="M284" s="14"/>
      <c r="N284" s="14"/>
      <c r="O284" s="14"/>
      <c r="P284" s="14"/>
      <c r="Q284" s="14"/>
      <c r="R284" s="14"/>
      <c r="S284" s="14"/>
      <c r="T284" s="14"/>
      <c r="U284" s="14"/>
      <c r="V284" s="14"/>
      <c r="W284" s="14"/>
      <c r="X284" s="14"/>
      <c r="Y284" s="14"/>
      <c r="Z284" s="14"/>
      <c r="AA284" s="15"/>
      <c r="AB284" s="3"/>
      <c r="AC284" s="3"/>
      <c r="AD284" s="3"/>
      <c r="AE284" s="3"/>
      <c r="AF284" s="3"/>
      <c r="AG284" s="3"/>
      <c r="AH284" s="3"/>
      <c r="AI284" s="3"/>
      <c r="AJ284" s="3"/>
      <c r="AK284" s="3"/>
      <c r="AL284" s="3"/>
      <c r="AM284" s="3"/>
      <c r="AN284" s="3"/>
      <c r="AO284" s="3"/>
    </row>
    <row r="285" spans="2:41" s="171" customFormat="1" x14ac:dyDescent="0.25">
      <c r="B285" s="13"/>
      <c r="C285" s="14"/>
      <c r="D285" s="60"/>
      <c r="E285" s="56"/>
      <c r="F285" s="56"/>
      <c r="G285" s="14"/>
      <c r="H285" s="14"/>
      <c r="I285" s="14"/>
      <c r="J285" s="14"/>
      <c r="K285" s="14"/>
      <c r="L285" s="14"/>
      <c r="M285" s="14"/>
      <c r="N285" s="14"/>
      <c r="O285" s="14"/>
      <c r="P285" s="14"/>
      <c r="Q285" s="14"/>
      <c r="R285" s="14"/>
      <c r="S285" s="14"/>
      <c r="T285" s="14"/>
      <c r="U285" s="14"/>
      <c r="V285" s="14"/>
      <c r="W285" s="14"/>
      <c r="X285" s="14"/>
      <c r="Y285" s="14"/>
      <c r="Z285" s="14"/>
      <c r="AA285" s="15"/>
      <c r="AB285" s="3"/>
      <c r="AC285" s="3"/>
      <c r="AD285" s="3"/>
      <c r="AE285" s="3"/>
      <c r="AF285" s="3"/>
      <c r="AG285" s="3"/>
      <c r="AH285" s="3"/>
      <c r="AI285" s="3"/>
      <c r="AJ285" s="3"/>
      <c r="AK285" s="3"/>
      <c r="AL285" s="3"/>
      <c r="AM285" s="3"/>
      <c r="AN285" s="3"/>
      <c r="AO285" s="3"/>
    </row>
    <row r="286" spans="2:41" s="171" customFormat="1" ht="18.75" x14ac:dyDescent="0.3">
      <c r="B286" s="67"/>
      <c r="C286" s="14"/>
      <c r="D286" s="60"/>
      <c r="E286" s="56"/>
      <c r="F286" s="56"/>
      <c r="G286" s="14"/>
      <c r="H286" s="56"/>
      <c r="I286" s="74"/>
      <c r="J286" s="14"/>
      <c r="K286" s="14"/>
      <c r="L286" s="14"/>
      <c r="M286" s="14"/>
      <c r="N286" s="14"/>
      <c r="O286" s="14"/>
      <c r="P286" s="14"/>
      <c r="Q286" s="14"/>
      <c r="R286" s="14"/>
      <c r="S286" s="14"/>
      <c r="T286" s="14"/>
      <c r="U286" s="14"/>
      <c r="V286" s="14"/>
      <c r="W286" s="14"/>
      <c r="X286" s="14"/>
      <c r="Y286" s="14"/>
      <c r="Z286" s="14"/>
      <c r="AA286" s="15"/>
      <c r="AB286" s="3"/>
      <c r="AC286" s="3"/>
      <c r="AD286" s="3"/>
      <c r="AE286" s="3"/>
      <c r="AF286" s="3"/>
      <c r="AG286" s="3"/>
      <c r="AH286" s="3"/>
      <c r="AI286" s="3"/>
      <c r="AJ286" s="3"/>
      <c r="AK286" s="3"/>
      <c r="AL286" s="3"/>
      <c r="AM286" s="3"/>
      <c r="AN286" s="3"/>
      <c r="AO286" s="3"/>
    </row>
    <row r="287" spans="2:41" s="171" customFormat="1" x14ac:dyDescent="0.25">
      <c r="B287" s="13"/>
      <c r="C287" s="14"/>
      <c r="D287" s="60"/>
      <c r="E287" s="56"/>
      <c r="F287" s="56"/>
      <c r="G287" s="14"/>
      <c r="H287" s="56"/>
      <c r="I287" s="14"/>
      <c r="J287" s="14"/>
      <c r="K287" s="14"/>
      <c r="L287" s="14"/>
      <c r="M287" s="14"/>
      <c r="N287" s="14"/>
      <c r="O287" s="14"/>
      <c r="P287" s="14"/>
      <c r="Q287" s="14"/>
      <c r="R287" s="14"/>
      <c r="S287" s="14"/>
      <c r="T287" s="14"/>
      <c r="U287" s="14"/>
      <c r="V287" s="14"/>
      <c r="W287" s="14"/>
      <c r="X287" s="14"/>
      <c r="Y287" s="14"/>
      <c r="Z287" s="14"/>
      <c r="AA287" s="15"/>
      <c r="AB287" s="3"/>
      <c r="AC287" s="3"/>
      <c r="AD287" s="3"/>
      <c r="AE287" s="3"/>
      <c r="AF287" s="3"/>
      <c r="AG287" s="3"/>
      <c r="AH287" s="3"/>
      <c r="AI287" s="3"/>
      <c r="AJ287" s="3"/>
      <c r="AK287" s="3"/>
      <c r="AL287" s="3"/>
      <c r="AM287" s="3"/>
      <c r="AN287" s="3"/>
      <c r="AO287" s="3"/>
    </row>
    <row r="288" spans="2:41" s="171" customFormat="1" x14ac:dyDescent="0.25">
      <c r="B288" s="13"/>
      <c r="C288" s="14"/>
      <c r="D288" s="60"/>
      <c r="E288" s="56"/>
      <c r="F288" s="56"/>
      <c r="G288" s="14"/>
      <c r="H288" s="56"/>
      <c r="I288" s="14"/>
      <c r="J288" s="14"/>
      <c r="K288" s="14"/>
      <c r="L288" s="14"/>
      <c r="M288" s="14"/>
      <c r="N288" s="14"/>
      <c r="O288" s="14"/>
      <c r="P288" s="14"/>
      <c r="Q288" s="14"/>
      <c r="R288" s="14"/>
      <c r="S288" s="14"/>
      <c r="T288" s="14"/>
      <c r="U288" s="14"/>
      <c r="V288" s="14"/>
      <c r="W288" s="14"/>
      <c r="X288" s="14"/>
      <c r="Y288" s="14"/>
      <c r="Z288" s="14"/>
      <c r="AA288" s="15"/>
      <c r="AB288" s="3"/>
      <c r="AC288" s="3"/>
      <c r="AD288" s="3"/>
      <c r="AE288" s="3"/>
      <c r="AF288" s="3"/>
      <c r="AG288" s="3"/>
      <c r="AH288" s="3"/>
      <c r="AI288" s="3"/>
      <c r="AJ288" s="3"/>
      <c r="AK288" s="3"/>
      <c r="AL288" s="3"/>
      <c r="AM288" s="3"/>
      <c r="AN288" s="3"/>
      <c r="AO288" s="3"/>
    </row>
    <row r="289" spans="2:41" s="171" customFormat="1" x14ac:dyDescent="0.25">
      <c r="B289" s="13"/>
      <c r="C289" s="56"/>
      <c r="D289" s="60"/>
      <c r="E289" s="56"/>
      <c r="F289" s="56"/>
      <c r="G289" s="56"/>
      <c r="H289" s="56"/>
      <c r="I289" s="14"/>
      <c r="J289" s="14"/>
      <c r="K289" s="14"/>
      <c r="L289" s="14"/>
      <c r="M289" s="14"/>
      <c r="N289" s="14"/>
      <c r="O289" s="14"/>
      <c r="P289" s="14"/>
      <c r="Q289" s="14"/>
      <c r="R289" s="14"/>
      <c r="S289" s="14"/>
      <c r="T289" s="14"/>
      <c r="U289" s="14"/>
      <c r="V289" s="14"/>
      <c r="W289" s="14"/>
      <c r="X289" s="14"/>
      <c r="Y289" s="14"/>
      <c r="Z289" s="14"/>
      <c r="AA289" s="15"/>
      <c r="AB289" s="3"/>
      <c r="AC289" s="3"/>
      <c r="AD289" s="3"/>
      <c r="AE289" s="3"/>
      <c r="AF289" s="3"/>
      <c r="AG289" s="3"/>
      <c r="AH289" s="3"/>
      <c r="AI289" s="3"/>
      <c r="AJ289" s="3"/>
      <c r="AK289" s="3"/>
      <c r="AL289" s="3"/>
      <c r="AM289" s="3"/>
      <c r="AN289" s="3"/>
      <c r="AO289" s="3"/>
    </row>
    <row r="290" spans="2:41" s="171" customFormat="1" x14ac:dyDescent="0.25">
      <c r="B290" s="13"/>
      <c r="C290" s="14"/>
      <c r="D290" s="60"/>
      <c r="E290" s="56"/>
      <c r="F290" s="56"/>
      <c r="G290" s="14"/>
      <c r="H290" s="56"/>
      <c r="I290" s="14"/>
      <c r="J290" s="14"/>
      <c r="K290" s="14"/>
      <c r="L290" s="14"/>
      <c r="M290" s="14"/>
      <c r="N290" s="14"/>
      <c r="O290" s="14"/>
      <c r="P290" s="14"/>
      <c r="Q290" s="14"/>
      <c r="R290" s="14"/>
      <c r="S290" s="14"/>
      <c r="T290" s="14"/>
      <c r="U290" s="14"/>
      <c r="V290" s="14"/>
      <c r="W290" s="14"/>
      <c r="X290" s="14"/>
      <c r="Y290" s="14"/>
      <c r="Z290" s="14"/>
      <c r="AA290" s="15"/>
      <c r="AB290" s="3"/>
      <c r="AC290" s="3"/>
      <c r="AD290" s="3"/>
      <c r="AE290" s="3"/>
      <c r="AF290" s="3"/>
      <c r="AG290" s="3"/>
      <c r="AH290" s="3"/>
      <c r="AI290" s="3"/>
      <c r="AJ290" s="3"/>
      <c r="AK290" s="3"/>
      <c r="AL290" s="3"/>
      <c r="AM290" s="3"/>
      <c r="AN290" s="3"/>
      <c r="AO290" s="3"/>
    </row>
    <row r="291" spans="2:41" s="171" customFormat="1" x14ac:dyDescent="0.25">
      <c r="B291" s="13"/>
      <c r="C291" s="14"/>
      <c r="D291" s="14"/>
      <c r="E291" s="56"/>
      <c r="F291" s="56"/>
      <c r="G291" s="14"/>
      <c r="H291" s="56"/>
      <c r="I291" s="14"/>
      <c r="J291" s="14"/>
      <c r="K291" s="14"/>
      <c r="L291" s="14"/>
      <c r="M291" s="14"/>
      <c r="N291" s="14"/>
      <c r="O291" s="14"/>
      <c r="P291" s="14"/>
      <c r="Q291" s="14"/>
      <c r="R291" s="14"/>
      <c r="S291" s="14"/>
      <c r="T291" s="14"/>
      <c r="U291" s="14"/>
      <c r="V291" s="14"/>
      <c r="W291" s="14"/>
      <c r="X291" s="14"/>
      <c r="Y291" s="14"/>
      <c r="Z291" s="14"/>
      <c r="AA291" s="15"/>
      <c r="AB291" s="3"/>
      <c r="AC291" s="3"/>
      <c r="AD291" s="3"/>
      <c r="AE291" s="3"/>
      <c r="AF291" s="3"/>
      <c r="AG291" s="3"/>
      <c r="AH291" s="3"/>
      <c r="AI291" s="3"/>
      <c r="AJ291" s="3"/>
      <c r="AK291" s="3"/>
      <c r="AL291" s="3"/>
      <c r="AM291" s="3"/>
      <c r="AN291" s="3"/>
      <c r="AO291" s="3"/>
    </row>
    <row r="292" spans="2:41" s="171" customFormat="1" x14ac:dyDescent="0.25">
      <c r="B292" s="13"/>
      <c r="C292" s="14"/>
      <c r="D292" s="60"/>
      <c r="E292" s="56"/>
      <c r="F292" s="56"/>
      <c r="G292" s="14"/>
      <c r="H292" s="14"/>
      <c r="I292" s="14"/>
      <c r="J292" s="14"/>
      <c r="K292" s="14"/>
      <c r="L292" s="14"/>
      <c r="M292" s="14"/>
      <c r="N292" s="14"/>
      <c r="O292" s="14"/>
      <c r="P292" s="14"/>
      <c r="Q292" s="14"/>
      <c r="R292" s="14"/>
      <c r="S292" s="14"/>
      <c r="T292" s="14"/>
      <c r="U292" s="14"/>
      <c r="V292" s="14"/>
      <c r="W292" s="14"/>
      <c r="X292" s="14"/>
      <c r="Y292" s="14"/>
      <c r="Z292" s="14"/>
      <c r="AA292" s="15"/>
      <c r="AB292" s="3"/>
      <c r="AC292" s="3"/>
      <c r="AD292" s="3"/>
      <c r="AE292" s="3"/>
      <c r="AF292" s="3"/>
      <c r="AG292" s="3"/>
      <c r="AH292" s="3"/>
      <c r="AI292" s="3"/>
      <c r="AJ292" s="3"/>
      <c r="AK292" s="3"/>
      <c r="AL292" s="3"/>
      <c r="AM292" s="3"/>
      <c r="AN292" s="3"/>
      <c r="AO292" s="3"/>
    </row>
    <row r="293" spans="2:41" s="171" customFormat="1" x14ac:dyDescent="0.25">
      <c r="B293" s="13"/>
      <c r="C293" s="14"/>
      <c r="D293" s="60"/>
      <c r="E293" s="56"/>
      <c r="F293" s="56"/>
      <c r="G293" s="14"/>
      <c r="H293" s="56"/>
      <c r="I293" s="14"/>
      <c r="J293" s="14"/>
      <c r="K293" s="14"/>
      <c r="L293" s="14"/>
      <c r="M293" s="14"/>
      <c r="N293" s="14"/>
      <c r="O293" s="14"/>
      <c r="P293" s="14"/>
      <c r="Q293" s="14"/>
      <c r="R293" s="14"/>
      <c r="S293" s="14"/>
      <c r="T293" s="14"/>
      <c r="U293" s="14"/>
      <c r="V293" s="14"/>
      <c r="W293" s="14"/>
      <c r="X293" s="14"/>
      <c r="Y293" s="14"/>
      <c r="Z293" s="14"/>
      <c r="AA293" s="15"/>
      <c r="AB293" s="3"/>
      <c r="AC293" s="3"/>
      <c r="AD293" s="3"/>
      <c r="AE293" s="3"/>
      <c r="AF293" s="3"/>
      <c r="AG293" s="3"/>
      <c r="AH293" s="3"/>
      <c r="AI293" s="3"/>
      <c r="AJ293" s="3"/>
      <c r="AK293" s="3"/>
      <c r="AL293" s="3"/>
      <c r="AM293" s="3"/>
      <c r="AN293" s="3"/>
      <c r="AO293" s="3"/>
    </row>
    <row r="294" spans="2:41" s="171" customFormat="1" ht="18.75" x14ac:dyDescent="0.3">
      <c r="B294" s="67"/>
      <c r="C294" s="14"/>
      <c r="D294" s="60"/>
      <c r="E294" s="56"/>
      <c r="F294" s="56"/>
      <c r="G294" s="14"/>
      <c r="H294" s="56"/>
      <c r="I294" s="74"/>
      <c r="J294" s="14"/>
      <c r="K294" s="14"/>
      <c r="L294" s="14"/>
      <c r="M294" s="14"/>
      <c r="N294" s="14"/>
      <c r="O294" s="14"/>
      <c r="P294" s="14"/>
      <c r="Q294" s="14"/>
      <c r="R294" s="14"/>
      <c r="S294" s="14"/>
      <c r="T294" s="14"/>
      <c r="U294" s="14"/>
      <c r="V294" s="14"/>
      <c r="W294" s="14"/>
      <c r="X294" s="14"/>
      <c r="Y294" s="14"/>
      <c r="Z294" s="14"/>
      <c r="AA294" s="15"/>
      <c r="AB294" s="3"/>
      <c r="AC294" s="3"/>
      <c r="AD294" s="3"/>
      <c r="AE294" s="3"/>
      <c r="AF294" s="3"/>
      <c r="AG294" s="3"/>
      <c r="AH294" s="3"/>
      <c r="AI294" s="3"/>
      <c r="AJ294" s="3"/>
      <c r="AK294" s="3"/>
      <c r="AL294" s="3"/>
      <c r="AM294" s="3"/>
      <c r="AN294" s="3"/>
      <c r="AO294" s="3"/>
    </row>
    <row r="295" spans="2:41" s="171" customFormat="1" x14ac:dyDescent="0.25">
      <c r="B295" s="13"/>
      <c r="C295" s="14"/>
      <c r="D295" s="60"/>
      <c r="E295" s="56"/>
      <c r="F295" s="56"/>
      <c r="G295" s="14"/>
      <c r="H295" s="56"/>
      <c r="I295" s="14"/>
      <c r="J295" s="14"/>
      <c r="K295" s="14"/>
      <c r="L295" s="14"/>
      <c r="M295" s="14"/>
      <c r="N295" s="14"/>
      <c r="O295" s="14"/>
      <c r="P295" s="14"/>
      <c r="Q295" s="14"/>
      <c r="R295" s="14"/>
      <c r="S295" s="14"/>
      <c r="T295" s="14"/>
      <c r="U295" s="14"/>
      <c r="V295" s="14"/>
      <c r="W295" s="14"/>
      <c r="X295" s="14"/>
      <c r="Y295" s="14"/>
      <c r="Z295" s="14"/>
      <c r="AA295" s="15"/>
      <c r="AB295" s="3"/>
      <c r="AC295" s="3"/>
      <c r="AD295" s="3"/>
      <c r="AE295" s="3"/>
      <c r="AF295" s="3"/>
      <c r="AG295" s="3"/>
      <c r="AH295" s="3"/>
      <c r="AI295" s="3"/>
      <c r="AJ295" s="3"/>
      <c r="AK295" s="3"/>
      <c r="AL295" s="3"/>
      <c r="AM295" s="3"/>
      <c r="AN295" s="3"/>
      <c r="AO295" s="3"/>
    </row>
    <row r="296" spans="2:41" s="171" customFormat="1" x14ac:dyDescent="0.25">
      <c r="B296" s="13"/>
      <c r="C296" s="56"/>
      <c r="D296" s="60"/>
      <c r="E296" s="56"/>
      <c r="F296" s="56"/>
      <c r="G296" s="56"/>
      <c r="H296" s="56"/>
      <c r="I296" s="14"/>
      <c r="J296" s="14"/>
      <c r="K296" s="14"/>
      <c r="L296" s="14"/>
      <c r="M296" s="14"/>
      <c r="N296" s="14"/>
      <c r="O296" s="14"/>
      <c r="P296" s="14"/>
      <c r="Q296" s="14"/>
      <c r="R296" s="14"/>
      <c r="S296" s="14"/>
      <c r="T296" s="14"/>
      <c r="U296" s="14"/>
      <c r="V296" s="14"/>
      <c r="W296" s="14"/>
      <c r="X296" s="14"/>
      <c r="Y296" s="14"/>
      <c r="Z296" s="14"/>
      <c r="AA296" s="15"/>
      <c r="AB296" s="3"/>
      <c r="AC296" s="3"/>
      <c r="AD296" s="3"/>
      <c r="AE296" s="3"/>
      <c r="AF296" s="3"/>
      <c r="AG296" s="3"/>
      <c r="AH296" s="3"/>
      <c r="AI296" s="3"/>
      <c r="AJ296" s="3"/>
      <c r="AK296" s="3"/>
      <c r="AL296" s="3"/>
      <c r="AM296" s="3"/>
      <c r="AN296" s="3"/>
      <c r="AO296" s="3"/>
    </row>
    <row r="297" spans="2:41" s="171" customFormat="1" x14ac:dyDescent="0.25">
      <c r="B297" s="13"/>
      <c r="C297" s="14"/>
      <c r="D297" s="60"/>
      <c r="E297" s="56"/>
      <c r="F297" s="56"/>
      <c r="G297" s="14"/>
      <c r="H297" s="56"/>
      <c r="I297" s="14"/>
      <c r="J297" s="14"/>
      <c r="K297" s="14"/>
      <c r="L297" s="14"/>
      <c r="M297" s="14"/>
      <c r="N297" s="14"/>
      <c r="O297" s="14"/>
      <c r="P297" s="14"/>
      <c r="Q297" s="14"/>
      <c r="R297" s="14"/>
      <c r="S297" s="14"/>
      <c r="T297" s="14"/>
      <c r="U297" s="14"/>
      <c r="V297" s="14"/>
      <c r="W297" s="14"/>
      <c r="X297" s="14"/>
      <c r="Y297" s="14"/>
      <c r="Z297" s="14"/>
      <c r="AA297" s="15"/>
      <c r="AB297" s="3"/>
      <c r="AC297" s="3"/>
      <c r="AD297" s="3"/>
      <c r="AE297" s="3"/>
      <c r="AF297" s="3"/>
      <c r="AG297" s="3"/>
      <c r="AH297" s="3"/>
      <c r="AI297" s="3"/>
      <c r="AJ297" s="3"/>
      <c r="AK297" s="3"/>
      <c r="AL297" s="3"/>
      <c r="AM297" s="3"/>
      <c r="AN297" s="3"/>
      <c r="AO297" s="3"/>
    </row>
    <row r="298" spans="2:41" s="171" customFormat="1" x14ac:dyDescent="0.25">
      <c r="B298" s="13"/>
      <c r="C298" s="14"/>
      <c r="D298" s="14"/>
      <c r="E298" s="56"/>
      <c r="F298" s="56"/>
      <c r="G298" s="14"/>
      <c r="H298" s="56"/>
      <c r="I298" s="14"/>
      <c r="J298" s="14"/>
      <c r="K298" s="14"/>
      <c r="L298" s="14"/>
      <c r="M298" s="14"/>
      <c r="N298" s="14"/>
      <c r="O298" s="14"/>
      <c r="P298" s="14"/>
      <c r="Q298" s="14"/>
      <c r="R298" s="14"/>
      <c r="S298" s="14"/>
      <c r="T298" s="14"/>
      <c r="U298" s="14"/>
      <c r="V298" s="14"/>
      <c r="W298" s="14"/>
      <c r="X298" s="14"/>
      <c r="Y298" s="14"/>
      <c r="Z298" s="14"/>
      <c r="AA298" s="15"/>
      <c r="AB298" s="3"/>
      <c r="AC298" s="3"/>
      <c r="AD298" s="3"/>
      <c r="AE298" s="3"/>
      <c r="AF298" s="3"/>
      <c r="AG298" s="3"/>
      <c r="AH298" s="3"/>
      <c r="AI298" s="3"/>
      <c r="AJ298" s="3"/>
      <c r="AK298" s="3"/>
      <c r="AL298" s="3"/>
      <c r="AM298" s="3"/>
      <c r="AN298" s="3"/>
      <c r="AO298" s="3"/>
    </row>
    <row r="299" spans="2:41" s="171" customFormat="1" x14ac:dyDescent="0.25">
      <c r="B299" s="13"/>
      <c r="C299" s="14"/>
      <c r="D299" s="60"/>
      <c r="E299" s="56"/>
      <c r="F299" s="56"/>
      <c r="G299" s="14"/>
      <c r="H299" s="14"/>
      <c r="I299" s="14"/>
      <c r="J299" s="14"/>
      <c r="K299" s="14"/>
      <c r="L299" s="14"/>
      <c r="M299" s="14"/>
      <c r="N299" s="14"/>
      <c r="O299" s="14"/>
      <c r="P299" s="14"/>
      <c r="Q299" s="14"/>
      <c r="R299" s="14"/>
      <c r="S299" s="14"/>
      <c r="T299" s="14"/>
      <c r="U299" s="14"/>
      <c r="V299" s="14"/>
      <c r="W299" s="14"/>
      <c r="X299" s="14"/>
      <c r="Y299" s="14"/>
      <c r="Z299" s="14"/>
      <c r="AA299" s="15"/>
      <c r="AB299" s="3"/>
      <c r="AC299" s="3"/>
      <c r="AD299" s="3"/>
      <c r="AE299" s="3"/>
      <c r="AF299" s="3"/>
      <c r="AG299" s="3"/>
      <c r="AH299" s="3"/>
      <c r="AI299" s="3"/>
      <c r="AJ299" s="3"/>
      <c r="AK299" s="3"/>
      <c r="AL299" s="3"/>
      <c r="AM299" s="3"/>
      <c r="AN299" s="3"/>
      <c r="AO299" s="3"/>
    </row>
    <row r="300" spans="2:41" s="171" customFormat="1" x14ac:dyDescent="0.25">
      <c r="B300" s="13"/>
      <c r="C300" s="14"/>
      <c r="D300" s="60"/>
      <c r="E300" s="56"/>
      <c r="F300" s="56"/>
      <c r="G300" s="14"/>
      <c r="H300" s="56"/>
      <c r="I300" s="14"/>
      <c r="J300" s="14"/>
      <c r="K300" s="14"/>
      <c r="L300" s="14"/>
      <c r="M300" s="14"/>
      <c r="N300" s="14"/>
      <c r="O300" s="14"/>
      <c r="P300" s="14"/>
      <c r="Q300" s="14"/>
      <c r="R300" s="14"/>
      <c r="S300" s="14"/>
      <c r="T300" s="14"/>
      <c r="U300" s="14"/>
      <c r="V300" s="14"/>
      <c r="W300" s="14"/>
      <c r="X300" s="14"/>
      <c r="Y300" s="14"/>
      <c r="Z300" s="14"/>
      <c r="AA300" s="15"/>
      <c r="AB300" s="3"/>
      <c r="AC300" s="3"/>
      <c r="AD300" s="3"/>
      <c r="AE300" s="3"/>
      <c r="AF300" s="3"/>
      <c r="AG300" s="3"/>
      <c r="AH300" s="3"/>
      <c r="AI300" s="3"/>
      <c r="AJ300" s="3"/>
      <c r="AK300" s="3"/>
      <c r="AL300" s="3"/>
      <c r="AM300" s="3"/>
      <c r="AN300" s="3"/>
      <c r="AO300" s="3"/>
    </row>
    <row r="301" spans="2:41" s="171" customFormat="1" x14ac:dyDescent="0.25">
      <c r="B301" s="13"/>
      <c r="C301" s="14"/>
      <c r="D301" s="60"/>
      <c r="E301" s="56"/>
      <c r="F301" s="56"/>
      <c r="G301" s="14"/>
      <c r="H301" s="56"/>
      <c r="I301" s="14"/>
      <c r="J301" s="14"/>
      <c r="K301" s="14"/>
      <c r="L301" s="14"/>
      <c r="M301" s="14"/>
      <c r="N301" s="14"/>
      <c r="O301" s="14"/>
      <c r="P301" s="14"/>
      <c r="Q301" s="14"/>
      <c r="R301" s="14"/>
      <c r="S301" s="14"/>
      <c r="T301" s="14"/>
      <c r="U301" s="14"/>
      <c r="V301" s="14"/>
      <c r="W301" s="14"/>
      <c r="X301" s="14"/>
      <c r="Y301" s="14"/>
      <c r="Z301" s="14"/>
      <c r="AA301" s="15"/>
      <c r="AB301" s="3"/>
      <c r="AC301" s="3"/>
      <c r="AD301" s="3"/>
      <c r="AE301" s="3"/>
      <c r="AF301" s="3"/>
      <c r="AG301" s="3"/>
      <c r="AH301" s="3"/>
      <c r="AI301" s="3"/>
      <c r="AJ301" s="3"/>
      <c r="AK301" s="3"/>
      <c r="AL301" s="3"/>
      <c r="AM301" s="3"/>
      <c r="AN301" s="3"/>
      <c r="AO301" s="3"/>
    </row>
    <row r="302" spans="2:41" s="171" customFormat="1" ht="18.75" x14ac:dyDescent="0.3">
      <c r="B302" s="67"/>
      <c r="C302" s="14"/>
      <c r="D302" s="60"/>
      <c r="E302" s="56"/>
      <c r="F302" s="56"/>
      <c r="G302" s="14"/>
      <c r="H302" s="56"/>
      <c r="I302" s="74"/>
      <c r="J302" s="14"/>
      <c r="K302" s="14"/>
      <c r="L302" s="14"/>
      <c r="M302" s="14"/>
      <c r="N302" s="14"/>
      <c r="O302" s="14"/>
      <c r="P302" s="14"/>
      <c r="Q302" s="14"/>
      <c r="R302" s="14"/>
      <c r="S302" s="14"/>
      <c r="T302" s="14"/>
      <c r="U302" s="14"/>
      <c r="V302" s="14"/>
      <c r="W302" s="14"/>
      <c r="X302" s="14"/>
      <c r="Y302" s="14"/>
      <c r="Z302" s="14"/>
      <c r="AA302" s="15"/>
      <c r="AB302" s="3"/>
      <c r="AC302" s="3"/>
      <c r="AD302" s="3"/>
      <c r="AE302" s="3"/>
      <c r="AF302" s="3"/>
      <c r="AG302" s="3"/>
      <c r="AH302" s="3"/>
      <c r="AI302" s="3"/>
      <c r="AJ302" s="3"/>
      <c r="AK302" s="3"/>
      <c r="AL302" s="3"/>
      <c r="AM302" s="3"/>
      <c r="AN302" s="3"/>
      <c r="AO302" s="3"/>
    </row>
    <row r="303" spans="2:41" s="171" customFormat="1" x14ac:dyDescent="0.25">
      <c r="B303" s="13"/>
      <c r="C303" s="56"/>
      <c r="D303" s="60"/>
      <c r="E303" s="56"/>
      <c r="F303" s="56"/>
      <c r="G303" s="56"/>
      <c r="H303" s="56"/>
      <c r="I303" s="14"/>
      <c r="J303" s="14"/>
      <c r="K303" s="14"/>
      <c r="L303" s="14"/>
      <c r="M303" s="14"/>
      <c r="N303" s="14"/>
      <c r="O303" s="14"/>
      <c r="P303" s="14"/>
      <c r="Q303" s="14"/>
      <c r="R303" s="14"/>
      <c r="S303" s="14"/>
      <c r="T303" s="14"/>
      <c r="U303" s="14"/>
      <c r="V303" s="14"/>
      <c r="W303" s="14"/>
      <c r="X303" s="14"/>
      <c r="Y303" s="14"/>
      <c r="Z303" s="14"/>
      <c r="AA303" s="15"/>
      <c r="AB303" s="3"/>
      <c r="AC303" s="3"/>
      <c r="AD303" s="3"/>
      <c r="AE303" s="3"/>
      <c r="AF303" s="3"/>
      <c r="AG303" s="3"/>
      <c r="AH303" s="3"/>
      <c r="AI303" s="3"/>
      <c r="AJ303" s="3"/>
      <c r="AK303" s="3"/>
      <c r="AL303" s="3"/>
      <c r="AM303" s="3"/>
      <c r="AN303" s="3"/>
      <c r="AO303" s="3"/>
    </row>
    <row r="304" spans="2:41" s="171" customFormat="1" x14ac:dyDescent="0.25">
      <c r="B304" s="13"/>
      <c r="C304" s="14"/>
      <c r="D304" s="60"/>
      <c r="E304" s="56"/>
      <c r="F304" s="56"/>
      <c r="G304" s="14"/>
      <c r="H304" s="56"/>
      <c r="I304" s="14"/>
      <c r="J304" s="14"/>
      <c r="K304" s="14"/>
      <c r="L304" s="14"/>
      <c r="M304" s="14"/>
      <c r="N304" s="14"/>
      <c r="O304" s="14"/>
      <c r="P304" s="14"/>
      <c r="Q304" s="14"/>
      <c r="R304" s="14"/>
      <c r="S304" s="14"/>
      <c r="T304" s="14"/>
      <c r="U304" s="14"/>
      <c r="V304" s="14"/>
      <c r="W304" s="14"/>
      <c r="X304" s="14"/>
      <c r="Y304" s="14"/>
      <c r="Z304" s="14"/>
      <c r="AA304" s="15"/>
      <c r="AB304" s="3"/>
      <c r="AC304" s="3"/>
      <c r="AD304" s="3"/>
      <c r="AE304" s="3"/>
      <c r="AF304" s="3"/>
      <c r="AG304" s="3"/>
      <c r="AH304" s="3"/>
      <c r="AI304" s="3"/>
      <c r="AJ304" s="3"/>
      <c r="AK304" s="3"/>
      <c r="AL304" s="3"/>
      <c r="AM304" s="3"/>
      <c r="AN304" s="3"/>
      <c r="AO304" s="3"/>
    </row>
    <row r="305" spans="2:41" s="171" customFormat="1" x14ac:dyDescent="0.25">
      <c r="B305" s="13"/>
      <c r="C305" s="14"/>
      <c r="D305" s="14"/>
      <c r="E305" s="56"/>
      <c r="F305" s="56"/>
      <c r="G305" s="14"/>
      <c r="H305" s="56"/>
      <c r="I305" s="14"/>
      <c r="J305" s="14"/>
      <c r="K305" s="14"/>
      <c r="L305" s="14"/>
      <c r="M305" s="14"/>
      <c r="N305" s="14"/>
      <c r="O305" s="14"/>
      <c r="P305" s="14"/>
      <c r="Q305" s="14"/>
      <c r="R305" s="14"/>
      <c r="S305" s="14"/>
      <c r="T305" s="14"/>
      <c r="U305" s="14"/>
      <c r="V305" s="14"/>
      <c r="W305" s="14"/>
      <c r="X305" s="14"/>
      <c r="Y305" s="14"/>
      <c r="Z305" s="14"/>
      <c r="AA305" s="15"/>
      <c r="AB305" s="3"/>
      <c r="AC305" s="3"/>
      <c r="AD305" s="3"/>
      <c r="AE305" s="3"/>
      <c r="AF305" s="3"/>
      <c r="AG305" s="3"/>
      <c r="AH305" s="3"/>
      <c r="AI305" s="3"/>
      <c r="AJ305" s="3"/>
      <c r="AK305" s="3"/>
      <c r="AL305" s="3"/>
      <c r="AM305" s="3"/>
      <c r="AN305" s="3"/>
      <c r="AO305" s="3"/>
    </row>
    <row r="306" spans="2:41" s="171" customFormat="1" x14ac:dyDescent="0.25">
      <c r="B306" s="13"/>
      <c r="C306" s="14"/>
      <c r="D306" s="60"/>
      <c r="E306" s="56"/>
      <c r="F306" s="56"/>
      <c r="G306" s="14"/>
      <c r="H306" s="14"/>
      <c r="I306" s="14"/>
      <c r="J306" s="14"/>
      <c r="K306" s="14"/>
      <c r="L306" s="14"/>
      <c r="M306" s="14"/>
      <c r="N306" s="14"/>
      <c r="O306" s="14"/>
      <c r="P306" s="14"/>
      <c r="Q306" s="14"/>
      <c r="R306" s="14"/>
      <c r="S306" s="14"/>
      <c r="T306" s="14"/>
      <c r="U306" s="14"/>
      <c r="V306" s="14"/>
      <c r="W306" s="14"/>
      <c r="X306" s="14"/>
      <c r="Y306" s="14"/>
      <c r="Z306" s="14"/>
      <c r="AA306" s="15"/>
      <c r="AB306" s="3"/>
      <c r="AC306" s="3"/>
      <c r="AD306" s="3"/>
      <c r="AE306" s="3"/>
      <c r="AF306" s="3"/>
      <c r="AG306" s="3"/>
      <c r="AH306" s="3"/>
      <c r="AI306" s="3"/>
      <c r="AJ306" s="3"/>
      <c r="AK306" s="3"/>
      <c r="AL306" s="3"/>
      <c r="AM306" s="3"/>
      <c r="AN306" s="3"/>
      <c r="AO306" s="3"/>
    </row>
    <row r="307" spans="2:41" s="171" customFormat="1" x14ac:dyDescent="0.25">
      <c r="B307" s="13"/>
      <c r="C307" s="14"/>
      <c r="D307" s="60"/>
      <c r="E307" s="56"/>
      <c r="F307" s="56"/>
      <c r="G307" s="14"/>
      <c r="H307" s="56"/>
      <c r="I307" s="14"/>
      <c r="J307" s="14"/>
      <c r="K307" s="14"/>
      <c r="L307" s="14"/>
      <c r="M307" s="14"/>
      <c r="N307" s="14"/>
      <c r="O307" s="14"/>
      <c r="P307" s="14"/>
      <c r="Q307" s="14"/>
      <c r="R307" s="14"/>
      <c r="S307" s="14"/>
      <c r="T307" s="14"/>
      <c r="U307" s="14"/>
      <c r="V307" s="14"/>
      <c r="W307" s="14"/>
      <c r="X307" s="14"/>
      <c r="Y307" s="14"/>
      <c r="Z307" s="14"/>
      <c r="AA307" s="15"/>
      <c r="AB307" s="3"/>
      <c r="AC307" s="3"/>
      <c r="AD307" s="3"/>
      <c r="AE307" s="3"/>
      <c r="AF307" s="3"/>
      <c r="AG307" s="3"/>
      <c r="AH307" s="3"/>
      <c r="AI307" s="3"/>
      <c r="AJ307" s="3"/>
      <c r="AK307" s="3"/>
      <c r="AL307" s="3"/>
      <c r="AM307" s="3"/>
      <c r="AN307" s="3"/>
      <c r="AO307" s="3"/>
    </row>
    <row r="308" spans="2:41" s="171" customFormat="1" x14ac:dyDescent="0.25">
      <c r="B308" s="13"/>
      <c r="C308" s="14"/>
      <c r="D308" s="60"/>
      <c r="E308" s="56"/>
      <c r="F308" s="56"/>
      <c r="G308" s="14"/>
      <c r="H308" s="56"/>
      <c r="I308" s="14"/>
      <c r="J308" s="14"/>
      <c r="K308" s="14"/>
      <c r="L308" s="14"/>
      <c r="M308" s="14"/>
      <c r="N308" s="14"/>
      <c r="O308" s="14"/>
      <c r="P308" s="14"/>
      <c r="Q308" s="14"/>
      <c r="R308" s="14"/>
      <c r="S308" s="14"/>
      <c r="T308" s="14"/>
      <c r="U308" s="14"/>
      <c r="V308" s="14"/>
      <c r="W308" s="14"/>
      <c r="X308" s="14"/>
      <c r="Y308" s="14"/>
      <c r="Z308" s="14"/>
      <c r="AA308" s="15"/>
      <c r="AB308" s="3"/>
      <c r="AC308" s="3"/>
      <c r="AD308" s="3"/>
      <c r="AE308" s="3"/>
      <c r="AF308" s="3"/>
      <c r="AG308" s="3"/>
      <c r="AH308" s="3"/>
      <c r="AI308" s="3"/>
      <c r="AJ308" s="3"/>
      <c r="AK308" s="3"/>
      <c r="AL308" s="3"/>
      <c r="AM308" s="3"/>
      <c r="AN308" s="3"/>
      <c r="AO308" s="3"/>
    </row>
    <row r="309" spans="2:41" s="171" customFormat="1" x14ac:dyDescent="0.25">
      <c r="B309" s="13"/>
      <c r="C309" s="14"/>
      <c r="D309" s="60"/>
      <c r="E309" s="56"/>
      <c r="F309" s="56"/>
      <c r="G309" s="14"/>
      <c r="H309" s="56"/>
      <c r="I309" s="14"/>
      <c r="J309" s="14"/>
      <c r="K309" s="14"/>
      <c r="L309" s="14"/>
      <c r="M309" s="14"/>
      <c r="N309" s="14"/>
      <c r="O309" s="14"/>
      <c r="P309" s="14"/>
      <c r="Q309" s="14"/>
      <c r="R309" s="14"/>
      <c r="S309" s="14"/>
      <c r="T309" s="14"/>
      <c r="U309" s="14"/>
      <c r="V309" s="14"/>
      <c r="W309" s="14"/>
      <c r="X309" s="14"/>
      <c r="Y309" s="14"/>
      <c r="Z309" s="14"/>
      <c r="AA309" s="15"/>
      <c r="AB309" s="3"/>
      <c r="AC309" s="3"/>
      <c r="AD309" s="3"/>
      <c r="AE309" s="3"/>
      <c r="AF309" s="3"/>
      <c r="AG309" s="3"/>
      <c r="AH309" s="3"/>
      <c r="AI309" s="3"/>
      <c r="AJ309" s="3"/>
      <c r="AK309" s="3"/>
      <c r="AL309" s="3"/>
      <c r="AM309" s="3"/>
      <c r="AN309" s="3"/>
      <c r="AO309" s="3"/>
    </row>
    <row r="310" spans="2:41" s="171" customFormat="1" ht="18.75" x14ac:dyDescent="0.3">
      <c r="B310" s="67"/>
      <c r="C310" s="56"/>
      <c r="D310" s="60"/>
      <c r="E310" s="56"/>
      <c r="F310" s="56"/>
      <c r="G310" s="56"/>
      <c r="H310" s="56"/>
      <c r="I310" s="74"/>
      <c r="J310" s="14"/>
      <c r="K310" s="14"/>
      <c r="L310" s="14"/>
      <c r="M310" s="14"/>
      <c r="N310" s="14"/>
      <c r="O310" s="14"/>
      <c r="P310" s="14"/>
      <c r="Q310" s="14"/>
      <c r="R310" s="14"/>
      <c r="S310" s="14"/>
      <c r="T310" s="14"/>
      <c r="U310" s="14"/>
      <c r="V310" s="14"/>
      <c r="W310" s="14"/>
      <c r="X310" s="14"/>
      <c r="Y310" s="14"/>
      <c r="Z310" s="14"/>
      <c r="AA310" s="15"/>
      <c r="AB310" s="3"/>
      <c r="AC310" s="3"/>
      <c r="AD310" s="3"/>
      <c r="AE310" s="3"/>
      <c r="AF310" s="3"/>
      <c r="AG310" s="3"/>
      <c r="AH310" s="3"/>
      <c r="AI310" s="3"/>
      <c r="AJ310" s="3"/>
      <c r="AK310" s="3"/>
      <c r="AL310" s="3"/>
      <c r="AM310" s="3"/>
      <c r="AN310" s="3"/>
      <c r="AO310" s="3"/>
    </row>
    <row r="311" spans="2:41" s="171" customFormat="1" x14ac:dyDescent="0.25">
      <c r="B311" s="13"/>
      <c r="C311" s="14"/>
      <c r="D311" s="60"/>
      <c r="E311" s="56"/>
      <c r="F311" s="56"/>
      <c r="G311" s="14"/>
      <c r="H311" s="56"/>
      <c r="I311" s="14"/>
      <c r="J311" s="14"/>
      <c r="K311" s="14"/>
      <c r="L311" s="14"/>
      <c r="M311" s="14"/>
      <c r="N311" s="14"/>
      <c r="O311" s="14"/>
      <c r="P311" s="14"/>
      <c r="Q311" s="14"/>
      <c r="R311" s="14"/>
      <c r="S311" s="14"/>
      <c r="T311" s="14"/>
      <c r="U311" s="14"/>
      <c r="V311" s="14"/>
      <c r="W311" s="14"/>
      <c r="X311" s="14"/>
      <c r="Y311" s="14"/>
      <c r="Z311" s="14"/>
      <c r="AA311" s="15"/>
      <c r="AB311" s="3"/>
      <c r="AC311" s="3"/>
      <c r="AD311" s="3"/>
      <c r="AE311" s="3"/>
      <c r="AF311" s="3"/>
      <c r="AG311" s="3"/>
      <c r="AH311" s="3"/>
      <c r="AI311" s="3"/>
      <c r="AJ311" s="3"/>
      <c r="AK311" s="3"/>
      <c r="AL311" s="3"/>
      <c r="AM311" s="3"/>
      <c r="AN311" s="3"/>
      <c r="AO311" s="3"/>
    </row>
    <row r="312" spans="2:41" s="171" customFormat="1" x14ac:dyDescent="0.25">
      <c r="B312" s="13"/>
      <c r="C312" s="14"/>
      <c r="D312" s="14"/>
      <c r="E312" s="56"/>
      <c r="F312" s="56"/>
      <c r="G312" s="14"/>
      <c r="H312" s="56"/>
      <c r="I312" s="14"/>
      <c r="J312" s="14"/>
      <c r="K312" s="14"/>
      <c r="L312" s="14"/>
      <c r="M312" s="14"/>
      <c r="N312" s="14"/>
      <c r="O312" s="14"/>
      <c r="P312" s="14"/>
      <c r="Q312" s="14"/>
      <c r="R312" s="14"/>
      <c r="S312" s="14"/>
      <c r="T312" s="14"/>
      <c r="U312" s="14"/>
      <c r="V312" s="14"/>
      <c r="W312" s="14"/>
      <c r="X312" s="14"/>
      <c r="Y312" s="14"/>
      <c r="Z312" s="14"/>
      <c r="AA312" s="15"/>
      <c r="AB312" s="3"/>
      <c r="AC312" s="3"/>
      <c r="AD312" s="3"/>
      <c r="AE312" s="3"/>
      <c r="AF312" s="3"/>
      <c r="AG312" s="3"/>
      <c r="AH312" s="3"/>
      <c r="AI312" s="3"/>
      <c r="AJ312" s="3"/>
      <c r="AK312" s="3"/>
      <c r="AL312" s="3"/>
      <c r="AM312" s="3"/>
      <c r="AN312" s="3"/>
      <c r="AO312" s="3"/>
    </row>
    <row r="313" spans="2:41" s="171" customFormat="1" x14ac:dyDescent="0.25">
      <c r="B313" s="13"/>
      <c r="C313" s="14"/>
      <c r="D313" s="60"/>
      <c r="E313" s="56"/>
      <c r="F313" s="56"/>
      <c r="G313" s="14"/>
      <c r="H313" s="14"/>
      <c r="I313" s="14"/>
      <c r="J313" s="14"/>
      <c r="K313" s="14"/>
      <c r="L313" s="14"/>
      <c r="M313" s="14"/>
      <c r="N313" s="14"/>
      <c r="O313" s="14"/>
      <c r="P313" s="14"/>
      <c r="Q313" s="14"/>
      <c r="R313" s="14"/>
      <c r="S313" s="14"/>
      <c r="T313" s="14"/>
      <c r="U313" s="14"/>
      <c r="V313" s="14"/>
      <c r="W313" s="14"/>
      <c r="X313" s="14"/>
      <c r="Y313" s="14"/>
      <c r="Z313" s="14"/>
      <c r="AA313" s="15"/>
      <c r="AB313" s="3"/>
      <c r="AC313" s="3"/>
      <c r="AD313" s="3"/>
      <c r="AE313" s="3"/>
      <c r="AF313" s="3"/>
      <c r="AG313" s="3"/>
      <c r="AH313" s="3"/>
      <c r="AI313" s="3"/>
      <c r="AJ313" s="3"/>
      <c r="AK313" s="3"/>
      <c r="AL313" s="3"/>
      <c r="AM313" s="3"/>
      <c r="AN313" s="3"/>
      <c r="AO313" s="3"/>
    </row>
    <row r="314" spans="2:41" s="171" customFormat="1" x14ac:dyDescent="0.25">
      <c r="B314" s="13"/>
      <c r="C314" s="14"/>
      <c r="D314" s="60"/>
      <c r="E314" s="56"/>
      <c r="F314" s="56"/>
      <c r="G314" s="14"/>
      <c r="H314" s="56"/>
      <c r="I314" s="14"/>
      <c r="J314" s="14"/>
      <c r="K314" s="14"/>
      <c r="L314" s="14"/>
      <c r="M314" s="14"/>
      <c r="N314" s="14"/>
      <c r="O314" s="14"/>
      <c r="P314" s="14"/>
      <c r="Q314" s="14"/>
      <c r="R314" s="14"/>
      <c r="S314" s="14"/>
      <c r="T314" s="14"/>
      <c r="U314" s="14"/>
      <c r="V314" s="14"/>
      <c r="W314" s="14"/>
      <c r="X314" s="14"/>
      <c r="Y314" s="14"/>
      <c r="Z314" s="14"/>
      <c r="AA314" s="15"/>
      <c r="AB314" s="3"/>
      <c r="AC314" s="3"/>
      <c r="AD314" s="3"/>
      <c r="AE314" s="3"/>
      <c r="AF314" s="3"/>
      <c r="AG314" s="3"/>
      <c r="AH314" s="3"/>
      <c r="AI314" s="3"/>
      <c r="AJ314" s="3"/>
      <c r="AK314" s="3"/>
      <c r="AL314" s="3"/>
      <c r="AM314" s="3"/>
      <c r="AN314" s="3"/>
      <c r="AO314" s="3"/>
    </row>
    <row r="315" spans="2:41" s="171" customFormat="1" x14ac:dyDescent="0.25">
      <c r="B315" s="13"/>
      <c r="C315" s="14"/>
      <c r="D315" s="60"/>
      <c r="E315" s="56"/>
      <c r="F315" s="56"/>
      <c r="G315" s="14"/>
      <c r="H315" s="56"/>
      <c r="I315" s="14"/>
      <c r="J315" s="14"/>
      <c r="K315" s="14"/>
      <c r="L315" s="14"/>
      <c r="M315" s="14"/>
      <c r="N315" s="14"/>
      <c r="O315" s="14"/>
      <c r="P315" s="14"/>
      <c r="Q315" s="14"/>
      <c r="R315" s="14"/>
      <c r="S315" s="14"/>
      <c r="T315" s="14"/>
      <c r="U315" s="14"/>
      <c r="V315" s="14"/>
      <c r="W315" s="14"/>
      <c r="X315" s="14"/>
      <c r="Y315" s="14"/>
      <c r="Z315" s="14"/>
      <c r="AA315" s="15"/>
      <c r="AB315" s="3"/>
      <c r="AC315" s="3"/>
      <c r="AD315" s="3"/>
      <c r="AE315" s="3"/>
      <c r="AF315" s="3"/>
      <c r="AG315" s="3"/>
      <c r="AH315" s="3"/>
      <c r="AI315" s="3"/>
      <c r="AJ315" s="3"/>
      <c r="AK315" s="3"/>
      <c r="AL315" s="3"/>
      <c r="AM315" s="3"/>
      <c r="AN315" s="3"/>
      <c r="AO315" s="3"/>
    </row>
    <row r="316" spans="2:41" s="171" customFormat="1" x14ac:dyDescent="0.25">
      <c r="B316" s="13"/>
      <c r="C316" s="14"/>
      <c r="D316" s="60"/>
      <c r="E316" s="56"/>
      <c r="F316" s="56"/>
      <c r="G316" s="14"/>
      <c r="H316" s="56"/>
      <c r="I316" s="14"/>
      <c r="J316" s="14"/>
      <c r="K316" s="14"/>
      <c r="L316" s="14"/>
      <c r="M316" s="14"/>
      <c r="N316" s="14"/>
      <c r="O316" s="14"/>
      <c r="P316" s="14"/>
      <c r="Q316" s="14"/>
      <c r="R316" s="14"/>
      <c r="S316" s="14"/>
      <c r="T316" s="14"/>
      <c r="U316" s="14"/>
      <c r="V316" s="14"/>
      <c r="W316" s="14"/>
      <c r="X316" s="14"/>
      <c r="Y316" s="14"/>
      <c r="Z316" s="14"/>
      <c r="AA316" s="15"/>
      <c r="AB316" s="3"/>
      <c r="AC316" s="3"/>
      <c r="AD316" s="3"/>
      <c r="AE316" s="3"/>
      <c r="AF316" s="3"/>
      <c r="AG316" s="3"/>
      <c r="AH316" s="3"/>
      <c r="AI316" s="3"/>
      <c r="AJ316" s="3"/>
      <c r="AK316" s="3"/>
      <c r="AL316" s="3"/>
      <c r="AM316" s="3"/>
      <c r="AN316" s="3"/>
      <c r="AO316" s="3"/>
    </row>
    <row r="317" spans="2:41" s="171" customFormat="1" x14ac:dyDescent="0.25">
      <c r="B317" s="13"/>
      <c r="C317" s="56"/>
      <c r="D317" s="60"/>
      <c r="E317" s="56"/>
      <c r="F317" s="56"/>
      <c r="G317" s="56"/>
      <c r="H317" s="56"/>
      <c r="I317" s="14"/>
      <c r="J317" s="14"/>
      <c r="K317" s="14"/>
      <c r="L317" s="14"/>
      <c r="M317" s="14"/>
      <c r="N317" s="14"/>
      <c r="O317" s="14"/>
      <c r="P317" s="14"/>
      <c r="Q317" s="14"/>
      <c r="R317" s="14"/>
      <c r="S317" s="14"/>
      <c r="T317" s="14"/>
      <c r="U317" s="14"/>
      <c r="V317" s="14"/>
      <c r="W317" s="14"/>
      <c r="X317" s="14"/>
      <c r="Y317" s="14"/>
      <c r="Z317" s="14"/>
      <c r="AA317" s="15"/>
      <c r="AB317" s="3"/>
      <c r="AC317" s="3"/>
      <c r="AD317" s="3"/>
      <c r="AE317" s="3"/>
      <c r="AF317" s="3"/>
      <c r="AG317" s="3"/>
      <c r="AH317" s="3"/>
      <c r="AI317" s="3"/>
      <c r="AJ317" s="3"/>
      <c r="AK317" s="3"/>
      <c r="AL317" s="3"/>
      <c r="AM317" s="3"/>
      <c r="AN317" s="3"/>
      <c r="AO317" s="3"/>
    </row>
    <row r="318" spans="2:41" s="171" customFormat="1" ht="18.75" x14ac:dyDescent="0.3">
      <c r="B318" s="67"/>
      <c r="C318" s="14"/>
      <c r="D318" s="60"/>
      <c r="E318" s="56"/>
      <c r="F318" s="56"/>
      <c r="G318" s="14"/>
      <c r="H318" s="56"/>
      <c r="I318" s="74"/>
      <c r="J318" s="14"/>
      <c r="K318" s="14"/>
      <c r="L318" s="14"/>
      <c r="M318" s="14"/>
      <c r="N318" s="14"/>
      <c r="O318" s="14"/>
      <c r="P318" s="14"/>
      <c r="Q318" s="14"/>
      <c r="R318" s="14"/>
      <c r="S318" s="14"/>
      <c r="T318" s="14"/>
      <c r="U318" s="14"/>
      <c r="V318" s="14"/>
      <c r="W318" s="14"/>
      <c r="X318" s="14"/>
      <c r="Y318" s="14"/>
      <c r="Z318" s="14"/>
      <c r="AA318" s="15"/>
      <c r="AB318" s="3"/>
      <c r="AC318" s="3"/>
      <c r="AD318" s="3"/>
      <c r="AE318" s="3"/>
      <c r="AF318" s="3"/>
      <c r="AG318" s="3"/>
      <c r="AH318" s="3"/>
      <c r="AI318" s="3"/>
      <c r="AJ318" s="3"/>
      <c r="AK318" s="3"/>
      <c r="AL318" s="3"/>
      <c r="AM318" s="3"/>
      <c r="AN318" s="3"/>
      <c r="AO318" s="3"/>
    </row>
    <row r="319" spans="2:41" s="171" customFormat="1" x14ac:dyDescent="0.25">
      <c r="B319" s="13"/>
      <c r="C319" s="14"/>
      <c r="D319" s="14"/>
      <c r="E319" s="56"/>
      <c r="F319" s="56"/>
      <c r="G319" s="14"/>
      <c r="H319" s="56"/>
      <c r="I319" s="14"/>
      <c r="J319" s="14"/>
      <c r="K319" s="14"/>
      <c r="L319" s="14"/>
      <c r="M319" s="14"/>
      <c r="N319" s="14"/>
      <c r="O319" s="14"/>
      <c r="P319" s="14"/>
      <c r="Q319" s="14"/>
      <c r="R319" s="14"/>
      <c r="S319" s="14"/>
      <c r="T319" s="14"/>
      <c r="U319" s="14"/>
      <c r="V319" s="14"/>
      <c r="W319" s="14"/>
      <c r="X319" s="14"/>
      <c r="Y319" s="14"/>
      <c r="Z319" s="14"/>
      <c r="AA319" s="15"/>
      <c r="AB319" s="3"/>
      <c r="AC319" s="3"/>
      <c r="AD319" s="3"/>
      <c r="AE319" s="3"/>
      <c r="AF319" s="3"/>
      <c r="AG319" s="3"/>
      <c r="AH319" s="3"/>
      <c r="AI319" s="3"/>
      <c r="AJ319" s="3"/>
      <c r="AK319" s="3"/>
      <c r="AL319" s="3"/>
      <c r="AM319" s="3"/>
      <c r="AN319" s="3"/>
      <c r="AO319" s="3"/>
    </row>
    <row r="320" spans="2:41" s="171" customFormat="1" x14ac:dyDescent="0.25">
      <c r="B320" s="13"/>
      <c r="C320" s="14"/>
      <c r="D320" s="60"/>
      <c r="E320" s="56"/>
      <c r="F320" s="56"/>
      <c r="G320" s="14"/>
      <c r="H320" s="14"/>
      <c r="I320" s="14"/>
      <c r="J320" s="14"/>
      <c r="K320" s="14"/>
      <c r="L320" s="14"/>
      <c r="M320" s="14"/>
      <c r="N320" s="14"/>
      <c r="O320" s="14"/>
      <c r="P320" s="14"/>
      <c r="Q320" s="14"/>
      <c r="R320" s="14"/>
      <c r="S320" s="14"/>
      <c r="T320" s="14"/>
      <c r="U320" s="14"/>
      <c r="V320" s="14"/>
      <c r="W320" s="14"/>
      <c r="X320" s="14"/>
      <c r="Y320" s="14"/>
      <c r="Z320" s="14"/>
      <c r="AA320" s="15"/>
      <c r="AB320" s="3"/>
      <c r="AC320" s="3"/>
      <c r="AD320" s="3"/>
      <c r="AE320" s="3"/>
      <c r="AF320" s="3"/>
      <c r="AG320" s="3"/>
      <c r="AH320" s="3"/>
      <c r="AI320" s="3"/>
      <c r="AJ320" s="3"/>
      <c r="AK320" s="3"/>
      <c r="AL320" s="3"/>
      <c r="AM320" s="3"/>
      <c r="AN320" s="3"/>
      <c r="AO320" s="3"/>
    </row>
    <row r="321" spans="2:41" s="171" customFormat="1" x14ac:dyDescent="0.25">
      <c r="B321" s="13"/>
      <c r="C321" s="14"/>
      <c r="D321" s="60"/>
      <c r="E321" s="56"/>
      <c r="F321" s="56"/>
      <c r="G321" s="14"/>
      <c r="H321" s="56"/>
      <c r="I321" s="14"/>
      <c r="J321" s="14"/>
      <c r="K321" s="14"/>
      <c r="L321" s="14"/>
      <c r="M321" s="14"/>
      <c r="N321" s="14"/>
      <c r="O321" s="14"/>
      <c r="P321" s="14"/>
      <c r="Q321" s="14"/>
      <c r="R321" s="14"/>
      <c r="S321" s="14"/>
      <c r="T321" s="14"/>
      <c r="U321" s="14"/>
      <c r="V321" s="14"/>
      <c r="W321" s="14"/>
      <c r="X321" s="14"/>
      <c r="Y321" s="14"/>
      <c r="Z321" s="14"/>
      <c r="AA321" s="15"/>
      <c r="AB321" s="3"/>
      <c r="AC321" s="3"/>
      <c r="AD321" s="3"/>
      <c r="AE321" s="3"/>
      <c r="AF321" s="3"/>
      <c r="AG321" s="3"/>
      <c r="AH321" s="3"/>
      <c r="AI321" s="3"/>
      <c r="AJ321" s="3"/>
      <c r="AK321" s="3"/>
      <c r="AL321" s="3"/>
      <c r="AM321" s="3"/>
      <c r="AN321" s="3"/>
      <c r="AO321" s="3"/>
    </row>
    <row r="322" spans="2:41" s="171" customFormat="1" x14ac:dyDescent="0.25">
      <c r="B322" s="13"/>
      <c r="C322" s="14"/>
      <c r="D322" s="60"/>
      <c r="E322" s="56"/>
      <c r="F322" s="56"/>
      <c r="G322" s="14"/>
      <c r="H322" s="56"/>
      <c r="I322" s="14"/>
      <c r="J322" s="14"/>
      <c r="K322" s="14"/>
      <c r="L322" s="14"/>
      <c r="M322" s="14"/>
      <c r="N322" s="14"/>
      <c r="O322" s="14"/>
      <c r="P322" s="14"/>
      <c r="Q322" s="14"/>
      <c r="R322" s="14"/>
      <c r="S322" s="14"/>
      <c r="T322" s="14"/>
      <c r="U322" s="14"/>
      <c r="V322" s="14"/>
      <c r="W322" s="14"/>
      <c r="X322" s="14"/>
      <c r="Y322" s="14"/>
      <c r="Z322" s="14"/>
      <c r="AA322" s="15"/>
      <c r="AB322" s="3"/>
      <c r="AC322" s="3"/>
      <c r="AD322" s="3"/>
      <c r="AE322" s="3"/>
      <c r="AF322" s="3"/>
      <c r="AG322" s="3"/>
      <c r="AH322" s="3"/>
      <c r="AI322" s="3"/>
      <c r="AJ322" s="3"/>
      <c r="AK322" s="3"/>
      <c r="AL322" s="3"/>
      <c r="AM322" s="3"/>
      <c r="AN322" s="3"/>
      <c r="AO322" s="3"/>
    </row>
    <row r="323" spans="2:41" s="171" customFormat="1" x14ac:dyDescent="0.25">
      <c r="B323" s="13"/>
      <c r="C323" s="14"/>
      <c r="D323" s="60"/>
      <c r="E323" s="56"/>
      <c r="F323" s="56"/>
      <c r="G323" s="14"/>
      <c r="H323" s="56"/>
      <c r="I323" s="14"/>
      <c r="J323" s="14"/>
      <c r="K323" s="14"/>
      <c r="L323" s="14"/>
      <c r="M323" s="14"/>
      <c r="N323" s="14"/>
      <c r="O323" s="14"/>
      <c r="P323" s="14"/>
      <c r="Q323" s="14"/>
      <c r="R323" s="14"/>
      <c r="S323" s="14"/>
      <c r="T323" s="14"/>
      <c r="U323" s="14"/>
      <c r="V323" s="14"/>
      <c r="W323" s="14"/>
      <c r="X323" s="14"/>
      <c r="Y323" s="14"/>
      <c r="Z323" s="14"/>
      <c r="AA323" s="15"/>
      <c r="AB323" s="3"/>
      <c r="AC323" s="3"/>
      <c r="AD323" s="3"/>
      <c r="AE323" s="3"/>
      <c r="AF323" s="3"/>
      <c r="AG323" s="3"/>
      <c r="AH323" s="3"/>
      <c r="AI323" s="3"/>
      <c r="AJ323" s="3"/>
      <c r="AK323" s="3"/>
      <c r="AL323" s="3"/>
      <c r="AM323" s="3"/>
      <c r="AN323" s="3"/>
      <c r="AO323" s="3"/>
    </row>
    <row r="324" spans="2:41" s="171" customFormat="1" x14ac:dyDescent="0.25">
      <c r="B324" s="13"/>
      <c r="C324" s="56"/>
      <c r="D324" s="60"/>
      <c r="E324" s="56"/>
      <c r="F324" s="56"/>
      <c r="G324" s="56"/>
      <c r="H324" s="56"/>
      <c r="I324" s="14"/>
      <c r="J324" s="14"/>
      <c r="K324" s="14"/>
      <c r="L324" s="14"/>
      <c r="M324" s="14"/>
      <c r="N324" s="14"/>
      <c r="O324" s="14"/>
      <c r="P324" s="14"/>
      <c r="Q324" s="14"/>
      <c r="R324" s="14"/>
      <c r="S324" s="14"/>
      <c r="T324" s="14"/>
      <c r="U324" s="14"/>
      <c r="V324" s="14"/>
      <c r="W324" s="14"/>
      <c r="X324" s="14"/>
      <c r="Y324" s="14"/>
      <c r="Z324" s="14"/>
      <c r="AA324" s="15"/>
      <c r="AB324" s="3"/>
      <c r="AC324" s="3"/>
      <c r="AD324" s="3"/>
      <c r="AE324" s="3"/>
      <c r="AF324" s="3"/>
      <c r="AG324" s="3"/>
      <c r="AH324" s="3"/>
      <c r="AI324" s="3"/>
      <c r="AJ324" s="3"/>
      <c r="AK324" s="3"/>
      <c r="AL324" s="3"/>
      <c r="AM324" s="3"/>
      <c r="AN324" s="3"/>
      <c r="AO324" s="3"/>
    </row>
    <row r="325" spans="2:41" s="171" customFormat="1" x14ac:dyDescent="0.25">
      <c r="B325" s="13"/>
      <c r="C325" s="14"/>
      <c r="D325" s="60"/>
      <c r="E325" s="56"/>
      <c r="F325" s="56"/>
      <c r="G325" s="14"/>
      <c r="H325" s="56"/>
      <c r="I325" s="14"/>
      <c r="J325" s="14"/>
      <c r="K325" s="14"/>
      <c r="L325" s="14"/>
      <c r="M325" s="14"/>
      <c r="N325" s="14"/>
      <c r="O325" s="14"/>
      <c r="P325" s="14"/>
      <c r="Q325" s="14"/>
      <c r="R325" s="14"/>
      <c r="S325" s="14"/>
      <c r="T325" s="14"/>
      <c r="U325" s="14"/>
      <c r="V325" s="14"/>
      <c r="W325" s="14"/>
      <c r="X325" s="14"/>
      <c r="Y325" s="14"/>
      <c r="Z325" s="14"/>
      <c r="AA325" s="15"/>
      <c r="AB325" s="3"/>
      <c r="AC325" s="3"/>
      <c r="AD325" s="3"/>
      <c r="AE325" s="3"/>
      <c r="AF325" s="3"/>
      <c r="AG325" s="3"/>
      <c r="AH325" s="3"/>
      <c r="AI325" s="3"/>
      <c r="AJ325" s="3"/>
      <c r="AK325" s="3"/>
      <c r="AL325" s="3"/>
      <c r="AM325" s="3"/>
      <c r="AN325" s="3"/>
      <c r="AO325" s="3"/>
    </row>
    <row r="326" spans="2:41" s="171" customFormat="1" ht="18.75" x14ac:dyDescent="0.3">
      <c r="B326" s="67"/>
      <c r="C326" s="14"/>
      <c r="D326" s="14"/>
      <c r="E326" s="56"/>
      <c r="F326" s="56"/>
      <c r="G326" s="14"/>
      <c r="H326" s="56"/>
      <c r="I326" s="74"/>
      <c r="J326" s="14"/>
      <c r="K326" s="14"/>
      <c r="L326" s="14"/>
      <c r="M326" s="14"/>
      <c r="N326" s="14"/>
      <c r="O326" s="14"/>
      <c r="P326" s="14"/>
      <c r="Q326" s="14"/>
      <c r="R326" s="14"/>
      <c r="S326" s="14"/>
      <c r="T326" s="14"/>
      <c r="U326" s="14"/>
      <c r="V326" s="14"/>
      <c r="W326" s="14"/>
      <c r="X326" s="14"/>
      <c r="Y326" s="14"/>
      <c r="Z326" s="14"/>
      <c r="AA326" s="15"/>
      <c r="AB326" s="3"/>
      <c r="AC326" s="3"/>
      <c r="AD326" s="3"/>
      <c r="AE326" s="3"/>
      <c r="AF326" s="3"/>
      <c r="AG326" s="3"/>
      <c r="AH326" s="3"/>
      <c r="AI326" s="3"/>
      <c r="AJ326" s="3"/>
      <c r="AK326" s="3"/>
      <c r="AL326" s="3"/>
      <c r="AM326" s="3"/>
      <c r="AN326" s="3"/>
      <c r="AO326" s="3"/>
    </row>
    <row r="327" spans="2:41" s="171" customFormat="1" x14ac:dyDescent="0.25">
      <c r="B327" s="13"/>
      <c r="C327" s="14"/>
      <c r="D327" s="60"/>
      <c r="E327" s="56"/>
      <c r="F327" s="56"/>
      <c r="G327" s="14"/>
      <c r="H327" s="14"/>
      <c r="I327" s="14"/>
      <c r="J327" s="14"/>
      <c r="K327" s="14"/>
      <c r="L327" s="14"/>
      <c r="M327" s="14"/>
      <c r="N327" s="14"/>
      <c r="O327" s="14"/>
      <c r="P327" s="14"/>
      <c r="Q327" s="14"/>
      <c r="R327" s="14"/>
      <c r="S327" s="14"/>
      <c r="T327" s="14"/>
      <c r="U327" s="14"/>
      <c r="V327" s="14"/>
      <c r="W327" s="14"/>
      <c r="X327" s="14"/>
      <c r="Y327" s="14"/>
      <c r="Z327" s="14"/>
      <c r="AA327" s="15"/>
      <c r="AB327" s="3"/>
      <c r="AC327" s="3"/>
      <c r="AD327" s="3"/>
      <c r="AE327" s="3"/>
      <c r="AF327" s="3"/>
      <c r="AG327" s="3"/>
      <c r="AH327" s="3"/>
      <c r="AI327" s="3"/>
      <c r="AJ327" s="3"/>
      <c r="AK327" s="3"/>
      <c r="AL327" s="3"/>
      <c r="AM327" s="3"/>
      <c r="AN327" s="3"/>
      <c r="AO327" s="3"/>
    </row>
    <row r="328" spans="2:41" s="171" customFormat="1" x14ac:dyDescent="0.25">
      <c r="B328" s="13"/>
      <c r="C328" s="14"/>
      <c r="D328" s="60"/>
      <c r="E328" s="56"/>
      <c r="F328" s="56"/>
      <c r="G328" s="14"/>
      <c r="H328" s="56"/>
      <c r="I328" s="14"/>
      <c r="J328" s="14"/>
      <c r="K328" s="14"/>
      <c r="L328" s="14"/>
      <c r="M328" s="14"/>
      <c r="N328" s="14"/>
      <c r="O328" s="14"/>
      <c r="P328" s="14"/>
      <c r="Q328" s="14"/>
      <c r="R328" s="14"/>
      <c r="S328" s="14"/>
      <c r="T328" s="14"/>
      <c r="U328" s="14"/>
      <c r="V328" s="14"/>
      <c r="W328" s="14"/>
      <c r="X328" s="14"/>
      <c r="Y328" s="14"/>
      <c r="Z328" s="14"/>
      <c r="AA328" s="15"/>
      <c r="AB328" s="3"/>
      <c r="AC328" s="3"/>
      <c r="AD328" s="3"/>
      <c r="AE328" s="3"/>
      <c r="AF328" s="3"/>
      <c r="AG328" s="3"/>
      <c r="AH328" s="3"/>
      <c r="AI328" s="3"/>
      <c r="AJ328" s="3"/>
      <c r="AK328" s="3"/>
      <c r="AL328" s="3"/>
      <c r="AM328" s="3"/>
      <c r="AN328" s="3"/>
      <c r="AO328" s="3"/>
    </row>
    <row r="329" spans="2:41" s="171" customFormat="1" x14ac:dyDescent="0.25">
      <c r="B329" s="13"/>
      <c r="C329" s="14"/>
      <c r="D329" s="60"/>
      <c r="E329" s="56"/>
      <c r="F329" s="56"/>
      <c r="G329" s="14"/>
      <c r="H329" s="56"/>
      <c r="I329" s="14"/>
      <c r="J329" s="14"/>
      <c r="K329" s="14"/>
      <c r="L329" s="14"/>
      <c r="M329" s="14"/>
      <c r="N329" s="14"/>
      <c r="O329" s="14"/>
      <c r="P329" s="14"/>
      <c r="Q329" s="14"/>
      <c r="R329" s="14"/>
      <c r="S329" s="14"/>
      <c r="T329" s="14"/>
      <c r="U329" s="14"/>
      <c r="V329" s="14"/>
      <c r="W329" s="14"/>
      <c r="X329" s="14"/>
      <c r="Y329" s="14"/>
      <c r="Z329" s="14"/>
      <c r="AA329" s="15"/>
      <c r="AB329" s="3"/>
      <c r="AC329" s="3"/>
      <c r="AD329" s="3"/>
      <c r="AE329" s="3"/>
      <c r="AF329" s="3"/>
      <c r="AG329" s="3"/>
      <c r="AH329" s="3"/>
      <c r="AI329" s="3"/>
      <c r="AJ329" s="3"/>
      <c r="AK329" s="3"/>
      <c r="AL329" s="3"/>
      <c r="AM329" s="3"/>
      <c r="AN329" s="3"/>
      <c r="AO329" s="3"/>
    </row>
    <row r="330" spans="2:41" s="171" customFormat="1" x14ac:dyDescent="0.25">
      <c r="B330" s="13"/>
      <c r="C330" s="14"/>
      <c r="D330" s="60"/>
      <c r="E330" s="56"/>
      <c r="F330" s="56"/>
      <c r="G330" s="14"/>
      <c r="H330" s="56"/>
      <c r="I330" s="14"/>
      <c r="J330" s="14"/>
      <c r="K330" s="14"/>
      <c r="L330" s="14"/>
      <c r="M330" s="14"/>
      <c r="N330" s="14"/>
      <c r="O330" s="14"/>
      <c r="P330" s="14"/>
      <c r="Q330" s="14"/>
      <c r="R330" s="14"/>
      <c r="S330" s="14"/>
      <c r="T330" s="14"/>
      <c r="U330" s="14"/>
      <c r="V330" s="14"/>
      <c r="W330" s="14"/>
      <c r="X330" s="14"/>
      <c r="Y330" s="14"/>
      <c r="Z330" s="14"/>
      <c r="AA330" s="15"/>
      <c r="AB330" s="3"/>
      <c r="AC330" s="3"/>
      <c r="AD330" s="3"/>
      <c r="AE330" s="3"/>
      <c r="AF330" s="3"/>
      <c r="AG330" s="3"/>
      <c r="AH330" s="3"/>
      <c r="AI330" s="3"/>
      <c r="AJ330" s="3"/>
      <c r="AK330" s="3"/>
      <c r="AL330" s="3"/>
      <c r="AM330" s="3"/>
      <c r="AN330" s="3"/>
      <c r="AO330" s="3"/>
    </row>
    <row r="331" spans="2:41" s="171" customFormat="1" x14ac:dyDescent="0.25">
      <c r="B331" s="13"/>
      <c r="C331" s="56"/>
      <c r="D331" s="60"/>
      <c r="E331" s="56"/>
      <c r="F331" s="56"/>
      <c r="G331" s="56"/>
      <c r="H331" s="56"/>
      <c r="I331" s="14"/>
      <c r="J331" s="14"/>
      <c r="K331" s="14"/>
      <c r="L331" s="14"/>
      <c r="M331" s="14"/>
      <c r="N331" s="14"/>
      <c r="O331" s="14"/>
      <c r="P331" s="14"/>
      <c r="Q331" s="14"/>
      <c r="R331" s="14"/>
      <c r="S331" s="14"/>
      <c r="T331" s="14"/>
      <c r="U331" s="14"/>
      <c r="V331" s="14"/>
      <c r="W331" s="14"/>
      <c r="X331" s="14"/>
      <c r="Y331" s="14"/>
      <c r="Z331" s="14"/>
      <c r="AA331" s="15"/>
      <c r="AB331" s="3"/>
      <c r="AC331" s="3"/>
      <c r="AD331" s="3"/>
      <c r="AE331" s="3"/>
      <c r="AF331" s="3"/>
      <c r="AG331" s="3"/>
      <c r="AH331" s="3"/>
      <c r="AI331" s="3"/>
      <c r="AJ331" s="3"/>
      <c r="AK331" s="3"/>
      <c r="AL331" s="3"/>
      <c r="AM331" s="3"/>
      <c r="AN331" s="3"/>
      <c r="AO331" s="3"/>
    </row>
    <row r="332" spans="2:41" s="171" customFormat="1" x14ac:dyDescent="0.25">
      <c r="B332" s="13"/>
      <c r="C332" s="14"/>
      <c r="D332" s="60"/>
      <c r="E332" s="56"/>
      <c r="F332" s="56"/>
      <c r="G332" s="14"/>
      <c r="H332" s="56"/>
      <c r="I332" s="14"/>
      <c r="J332" s="14"/>
      <c r="K332" s="14"/>
      <c r="L332" s="14"/>
      <c r="M332" s="14"/>
      <c r="N332" s="14"/>
      <c r="O332" s="14"/>
      <c r="P332" s="14"/>
      <c r="Q332" s="14"/>
      <c r="R332" s="14"/>
      <c r="S332" s="14"/>
      <c r="T332" s="14"/>
      <c r="U332" s="14"/>
      <c r="V332" s="14"/>
      <c r="W332" s="14"/>
      <c r="X332" s="14"/>
      <c r="Y332" s="14"/>
      <c r="Z332" s="14"/>
      <c r="AA332" s="15"/>
      <c r="AB332" s="3"/>
      <c r="AC332" s="3"/>
      <c r="AD332" s="3"/>
      <c r="AE332" s="3"/>
      <c r="AF332" s="3"/>
      <c r="AG332" s="3"/>
      <c r="AH332" s="3"/>
      <c r="AI332" s="3"/>
      <c r="AJ332" s="3"/>
      <c r="AK332" s="3"/>
      <c r="AL332" s="3"/>
      <c r="AM332" s="3"/>
      <c r="AN332" s="3"/>
      <c r="AO332" s="3"/>
    </row>
    <row r="333" spans="2:41" s="171" customFormat="1" x14ac:dyDescent="0.25">
      <c r="B333" s="13"/>
      <c r="C333" s="14"/>
      <c r="D333" s="14"/>
      <c r="E333" s="56"/>
      <c r="F333" s="56"/>
      <c r="G333" s="14"/>
      <c r="H333" s="56"/>
      <c r="I333" s="14"/>
      <c r="J333" s="14"/>
      <c r="K333" s="14"/>
      <c r="L333" s="14"/>
      <c r="M333" s="14"/>
      <c r="N333" s="14"/>
      <c r="O333" s="14"/>
      <c r="P333" s="14"/>
      <c r="Q333" s="14"/>
      <c r="R333" s="14"/>
      <c r="S333" s="14"/>
      <c r="T333" s="14"/>
      <c r="U333" s="14"/>
      <c r="V333" s="14"/>
      <c r="W333" s="14"/>
      <c r="X333" s="14"/>
      <c r="Y333" s="14"/>
      <c r="Z333" s="14"/>
      <c r="AA333" s="15"/>
      <c r="AB333" s="3"/>
      <c r="AC333" s="3"/>
      <c r="AD333" s="3"/>
      <c r="AE333" s="3"/>
      <c r="AF333" s="3"/>
      <c r="AG333" s="3"/>
      <c r="AH333" s="3"/>
      <c r="AI333" s="3"/>
      <c r="AJ333" s="3"/>
      <c r="AK333" s="3"/>
      <c r="AL333" s="3"/>
      <c r="AM333" s="3"/>
      <c r="AN333" s="3"/>
      <c r="AO333" s="3"/>
    </row>
    <row r="334" spans="2:41" s="171" customFormat="1" ht="18.75" x14ac:dyDescent="0.3">
      <c r="B334" s="67"/>
      <c r="C334" s="14"/>
      <c r="D334" s="60"/>
      <c r="E334" s="56"/>
      <c r="F334" s="56"/>
      <c r="G334" s="14"/>
      <c r="H334" s="14"/>
      <c r="I334" s="74"/>
      <c r="J334" s="14"/>
      <c r="K334" s="14"/>
      <c r="L334" s="14"/>
      <c r="M334" s="14"/>
      <c r="N334" s="14"/>
      <c r="O334" s="14"/>
      <c r="P334" s="14"/>
      <c r="Q334" s="14"/>
      <c r="R334" s="14"/>
      <c r="S334" s="14"/>
      <c r="T334" s="14"/>
      <c r="U334" s="14"/>
      <c r="V334" s="14"/>
      <c r="W334" s="14"/>
      <c r="X334" s="14"/>
      <c r="Y334" s="14"/>
      <c r="Z334" s="14"/>
      <c r="AA334" s="15"/>
      <c r="AB334" s="3"/>
      <c r="AC334" s="3"/>
      <c r="AD334" s="3"/>
      <c r="AE334" s="3"/>
      <c r="AF334" s="3"/>
      <c r="AG334" s="3"/>
      <c r="AH334" s="3"/>
      <c r="AI334" s="3"/>
      <c r="AJ334" s="3"/>
      <c r="AK334" s="3"/>
      <c r="AL334" s="3"/>
      <c r="AM334" s="3"/>
      <c r="AN334" s="3"/>
      <c r="AO334" s="3"/>
    </row>
    <row r="335" spans="2:41" s="171" customFormat="1" x14ac:dyDescent="0.25">
      <c r="B335" s="13"/>
      <c r="C335" s="14"/>
      <c r="D335" s="60"/>
      <c r="E335" s="56"/>
      <c r="F335" s="56"/>
      <c r="G335" s="14"/>
      <c r="H335" s="56"/>
      <c r="I335" s="14"/>
      <c r="J335" s="14"/>
      <c r="K335" s="14"/>
      <c r="L335" s="14"/>
      <c r="M335" s="14"/>
      <c r="N335" s="14"/>
      <c r="O335" s="14"/>
      <c r="P335" s="14"/>
      <c r="Q335" s="14"/>
      <c r="R335" s="14"/>
      <c r="S335" s="14"/>
      <c r="T335" s="14"/>
      <c r="U335" s="14"/>
      <c r="V335" s="14"/>
      <c r="W335" s="14"/>
      <c r="X335" s="14"/>
      <c r="Y335" s="14"/>
      <c r="Z335" s="14"/>
      <c r="AA335" s="15"/>
      <c r="AB335" s="3"/>
      <c r="AC335" s="3"/>
      <c r="AD335" s="3"/>
      <c r="AE335" s="3"/>
      <c r="AF335" s="3"/>
      <c r="AG335" s="3"/>
      <c r="AH335" s="3"/>
      <c r="AI335" s="3"/>
      <c r="AJ335" s="3"/>
      <c r="AK335" s="3"/>
      <c r="AL335" s="3"/>
      <c r="AM335" s="3"/>
      <c r="AN335" s="3"/>
      <c r="AO335" s="3"/>
    </row>
    <row r="336" spans="2:41" s="171" customFormat="1" x14ac:dyDescent="0.25">
      <c r="B336" s="13"/>
      <c r="C336" s="14"/>
      <c r="D336" s="60"/>
      <c r="E336" s="56"/>
      <c r="F336" s="56"/>
      <c r="G336" s="14"/>
      <c r="H336" s="56"/>
      <c r="I336" s="14"/>
      <c r="J336" s="14"/>
      <c r="K336" s="14"/>
      <c r="L336" s="14"/>
      <c r="M336" s="14"/>
      <c r="N336" s="14"/>
      <c r="O336" s="14"/>
      <c r="P336" s="14"/>
      <c r="Q336" s="14"/>
      <c r="R336" s="14"/>
      <c r="S336" s="14"/>
      <c r="T336" s="14"/>
      <c r="U336" s="14"/>
      <c r="V336" s="14"/>
      <c r="W336" s="14"/>
      <c r="X336" s="14"/>
      <c r="Y336" s="14"/>
      <c r="Z336" s="14"/>
      <c r="AA336" s="15"/>
      <c r="AB336" s="3"/>
      <c r="AC336" s="3"/>
      <c r="AD336" s="3"/>
      <c r="AE336" s="3"/>
      <c r="AF336" s="3"/>
      <c r="AG336" s="3"/>
      <c r="AH336" s="3"/>
      <c r="AI336" s="3"/>
      <c r="AJ336" s="3"/>
      <c r="AK336" s="3"/>
      <c r="AL336" s="3"/>
      <c r="AM336" s="3"/>
      <c r="AN336" s="3"/>
      <c r="AO336" s="3"/>
    </row>
    <row r="337" spans="2:41" s="171" customFormat="1" x14ac:dyDescent="0.25">
      <c r="B337" s="13"/>
      <c r="C337" s="14"/>
      <c r="D337" s="60"/>
      <c r="E337" s="56"/>
      <c r="F337" s="56"/>
      <c r="G337" s="14"/>
      <c r="H337" s="56"/>
      <c r="I337" s="14"/>
      <c r="J337" s="14"/>
      <c r="K337" s="14"/>
      <c r="L337" s="14"/>
      <c r="M337" s="14"/>
      <c r="N337" s="14"/>
      <c r="O337" s="14"/>
      <c r="P337" s="14"/>
      <c r="Q337" s="14"/>
      <c r="R337" s="14"/>
      <c r="S337" s="14"/>
      <c r="T337" s="14"/>
      <c r="U337" s="14"/>
      <c r="V337" s="14"/>
      <c r="W337" s="14"/>
      <c r="X337" s="14"/>
      <c r="Y337" s="14"/>
      <c r="Z337" s="14"/>
      <c r="AA337" s="15"/>
      <c r="AB337" s="3"/>
      <c r="AC337" s="3"/>
      <c r="AD337" s="3"/>
      <c r="AE337" s="3"/>
      <c r="AF337" s="3"/>
      <c r="AG337" s="3"/>
      <c r="AH337" s="3"/>
      <c r="AI337" s="3"/>
      <c r="AJ337" s="3"/>
      <c r="AK337" s="3"/>
      <c r="AL337" s="3"/>
      <c r="AM337" s="3"/>
      <c r="AN337" s="3"/>
      <c r="AO337" s="3"/>
    </row>
    <row r="338" spans="2:41" s="171" customFormat="1" x14ac:dyDescent="0.25">
      <c r="B338" s="13"/>
      <c r="C338" s="56"/>
      <c r="D338" s="60"/>
      <c r="E338" s="56"/>
      <c r="F338" s="56"/>
      <c r="G338" s="56"/>
      <c r="H338" s="56"/>
      <c r="I338" s="14"/>
      <c r="J338" s="14"/>
      <c r="K338" s="14"/>
      <c r="L338" s="14"/>
      <c r="M338" s="14"/>
      <c r="N338" s="14"/>
      <c r="O338" s="14"/>
      <c r="P338" s="14"/>
      <c r="Q338" s="14"/>
      <c r="R338" s="14"/>
      <c r="S338" s="14"/>
      <c r="T338" s="14"/>
      <c r="U338" s="14"/>
      <c r="V338" s="14"/>
      <c r="W338" s="14"/>
      <c r="X338" s="14"/>
      <c r="Y338" s="14"/>
      <c r="Z338" s="14"/>
      <c r="AA338" s="15"/>
      <c r="AB338" s="3"/>
      <c r="AC338" s="3"/>
      <c r="AD338" s="3"/>
      <c r="AE338" s="3"/>
      <c r="AF338" s="3"/>
      <c r="AG338" s="3"/>
      <c r="AH338" s="3"/>
      <c r="AI338" s="3"/>
      <c r="AJ338" s="3"/>
      <c r="AK338" s="3"/>
      <c r="AL338" s="3"/>
      <c r="AM338" s="3"/>
      <c r="AN338" s="3"/>
      <c r="AO338" s="3"/>
    </row>
    <row r="339" spans="2:41" s="171" customFormat="1" x14ac:dyDescent="0.25">
      <c r="B339" s="13"/>
      <c r="C339" s="14"/>
      <c r="D339" s="60"/>
      <c r="E339" s="56"/>
      <c r="F339" s="56"/>
      <c r="G339" s="14"/>
      <c r="H339" s="56"/>
      <c r="I339" s="14"/>
      <c r="J339" s="14"/>
      <c r="K339" s="14"/>
      <c r="L339" s="14"/>
      <c r="M339" s="14"/>
      <c r="N339" s="14"/>
      <c r="O339" s="14"/>
      <c r="P339" s="14"/>
      <c r="Q339" s="14"/>
      <c r="R339" s="14"/>
      <c r="S339" s="14"/>
      <c r="T339" s="14"/>
      <c r="U339" s="14"/>
      <c r="V339" s="14"/>
      <c r="W339" s="14"/>
      <c r="X339" s="14"/>
      <c r="Y339" s="14"/>
      <c r="Z339" s="14"/>
      <c r="AA339" s="15"/>
      <c r="AB339" s="3"/>
      <c r="AC339" s="3"/>
      <c r="AD339" s="3"/>
      <c r="AE339" s="3"/>
      <c r="AF339" s="3"/>
      <c r="AG339" s="3"/>
      <c r="AH339" s="3"/>
      <c r="AI339" s="3"/>
      <c r="AJ339" s="3"/>
      <c r="AK339" s="3"/>
      <c r="AL339" s="3"/>
      <c r="AM339" s="3"/>
      <c r="AN339" s="3"/>
      <c r="AO339" s="3"/>
    </row>
    <row r="340" spans="2:41" s="171" customFormat="1" x14ac:dyDescent="0.25">
      <c r="B340" s="13"/>
      <c r="C340" s="14"/>
      <c r="D340" s="14"/>
      <c r="E340" s="56"/>
      <c r="F340" s="56"/>
      <c r="G340" s="14"/>
      <c r="H340" s="56"/>
      <c r="I340" s="14"/>
      <c r="J340" s="14"/>
      <c r="K340" s="14"/>
      <c r="L340" s="14"/>
      <c r="M340" s="14"/>
      <c r="N340" s="14"/>
      <c r="O340" s="14"/>
      <c r="P340" s="14"/>
      <c r="Q340" s="14"/>
      <c r="R340" s="14"/>
      <c r="S340" s="14"/>
      <c r="T340" s="14"/>
      <c r="U340" s="14"/>
      <c r="V340" s="14"/>
      <c r="W340" s="14"/>
      <c r="X340" s="14"/>
      <c r="Y340" s="14"/>
      <c r="Z340" s="14"/>
      <c r="AA340" s="15"/>
      <c r="AB340" s="3"/>
      <c r="AC340" s="3"/>
      <c r="AD340" s="3"/>
      <c r="AE340" s="3"/>
      <c r="AF340" s="3"/>
      <c r="AG340" s="3"/>
      <c r="AH340" s="3"/>
      <c r="AI340" s="3"/>
      <c r="AJ340" s="3"/>
      <c r="AK340" s="3"/>
      <c r="AL340" s="3"/>
      <c r="AM340" s="3"/>
      <c r="AN340" s="3"/>
      <c r="AO340" s="3"/>
    </row>
    <row r="341" spans="2:41" s="171" customFormat="1" x14ac:dyDescent="0.25">
      <c r="B341" s="13"/>
      <c r="C341" s="14"/>
      <c r="D341" s="60"/>
      <c r="E341" s="56"/>
      <c r="F341" s="56"/>
      <c r="G341" s="14"/>
      <c r="H341" s="14"/>
      <c r="I341" s="14"/>
      <c r="J341" s="14"/>
      <c r="K341" s="14"/>
      <c r="L341" s="14"/>
      <c r="M341" s="14"/>
      <c r="N341" s="14"/>
      <c r="O341" s="14"/>
      <c r="P341" s="14"/>
      <c r="Q341" s="14"/>
      <c r="R341" s="14"/>
      <c r="S341" s="14"/>
      <c r="T341" s="14"/>
      <c r="U341" s="14"/>
      <c r="V341" s="14"/>
      <c r="W341" s="14"/>
      <c r="X341" s="14"/>
      <c r="Y341" s="14"/>
      <c r="Z341" s="14"/>
      <c r="AA341" s="15"/>
      <c r="AB341" s="3"/>
      <c r="AC341" s="3"/>
      <c r="AD341" s="3"/>
      <c r="AE341" s="3"/>
      <c r="AF341" s="3"/>
      <c r="AG341" s="3"/>
      <c r="AH341" s="3"/>
      <c r="AI341" s="3"/>
      <c r="AJ341" s="3"/>
      <c r="AK341" s="3"/>
      <c r="AL341" s="3"/>
      <c r="AM341" s="3"/>
      <c r="AN341" s="3"/>
      <c r="AO341" s="3"/>
    </row>
    <row r="342" spans="2:41" s="171" customFormat="1" ht="18.75" x14ac:dyDescent="0.3">
      <c r="B342" s="67"/>
      <c r="C342" s="14"/>
      <c r="D342" s="60"/>
      <c r="E342" s="56"/>
      <c r="F342" s="56"/>
      <c r="G342" s="14"/>
      <c r="H342" s="56"/>
      <c r="I342" s="74"/>
      <c r="J342" s="14"/>
      <c r="K342" s="14"/>
      <c r="L342" s="14"/>
      <c r="M342" s="14"/>
      <c r="N342" s="14"/>
      <c r="O342" s="14"/>
      <c r="P342" s="14"/>
      <c r="Q342" s="14"/>
      <c r="R342" s="14"/>
      <c r="S342" s="14"/>
      <c r="T342" s="14"/>
      <c r="U342" s="14"/>
      <c r="V342" s="14"/>
      <c r="W342" s="14"/>
      <c r="X342" s="14"/>
      <c r="Y342" s="14"/>
      <c r="Z342" s="14"/>
      <c r="AA342" s="15"/>
      <c r="AB342" s="3"/>
      <c r="AC342" s="3"/>
      <c r="AD342" s="3"/>
      <c r="AE342" s="3"/>
      <c r="AF342" s="3"/>
      <c r="AG342" s="3"/>
      <c r="AH342" s="3"/>
      <c r="AI342" s="3"/>
      <c r="AJ342" s="3"/>
      <c r="AK342" s="3"/>
      <c r="AL342" s="3"/>
      <c r="AM342" s="3"/>
      <c r="AN342" s="3"/>
      <c r="AO342" s="3"/>
    </row>
    <row r="343" spans="2:41" s="171" customFormat="1" x14ac:dyDescent="0.25">
      <c r="B343" s="13"/>
      <c r="C343" s="14"/>
      <c r="D343" s="60"/>
      <c r="E343" s="56"/>
      <c r="F343" s="56"/>
      <c r="G343" s="14"/>
      <c r="H343" s="56"/>
      <c r="I343" s="14"/>
      <c r="J343" s="14"/>
      <c r="K343" s="14"/>
      <c r="L343" s="14"/>
      <c r="M343" s="14"/>
      <c r="N343" s="14"/>
      <c r="O343" s="14"/>
      <c r="P343" s="14"/>
      <c r="Q343" s="14"/>
      <c r="R343" s="14"/>
      <c r="S343" s="14"/>
      <c r="T343" s="14"/>
      <c r="U343" s="14"/>
      <c r="V343" s="14"/>
      <c r="W343" s="14"/>
      <c r="X343" s="14"/>
      <c r="Y343" s="14"/>
      <c r="Z343" s="14"/>
      <c r="AA343" s="15"/>
      <c r="AB343" s="3"/>
      <c r="AC343" s="3"/>
      <c r="AD343" s="3"/>
      <c r="AE343" s="3"/>
      <c r="AF343" s="3"/>
      <c r="AG343" s="3"/>
      <c r="AH343" s="3"/>
      <c r="AI343" s="3"/>
      <c r="AJ343" s="3"/>
      <c r="AK343" s="3"/>
      <c r="AL343" s="3"/>
      <c r="AM343" s="3"/>
      <c r="AN343" s="3"/>
      <c r="AO343" s="3"/>
    </row>
    <row r="344" spans="2:41" s="171" customFormat="1" x14ac:dyDescent="0.25">
      <c r="B344" s="13"/>
      <c r="C344" s="14"/>
      <c r="D344" s="60"/>
      <c r="E344" s="56"/>
      <c r="F344" s="56"/>
      <c r="G344" s="14"/>
      <c r="H344" s="56"/>
      <c r="I344" s="14"/>
      <c r="J344" s="14"/>
      <c r="K344" s="14"/>
      <c r="L344" s="14"/>
      <c r="M344" s="14"/>
      <c r="N344" s="14"/>
      <c r="O344" s="14"/>
      <c r="P344" s="14"/>
      <c r="Q344" s="14"/>
      <c r="R344" s="14"/>
      <c r="S344" s="14"/>
      <c r="T344" s="14"/>
      <c r="U344" s="14"/>
      <c r="V344" s="14"/>
      <c r="W344" s="14"/>
      <c r="X344" s="14"/>
      <c r="Y344" s="14"/>
      <c r="Z344" s="14"/>
      <c r="AA344" s="15"/>
      <c r="AB344" s="3"/>
      <c r="AC344" s="3"/>
      <c r="AD344" s="3"/>
      <c r="AE344" s="3"/>
      <c r="AF344" s="3"/>
      <c r="AG344" s="3"/>
      <c r="AH344" s="3"/>
      <c r="AI344" s="3"/>
      <c r="AJ344" s="3"/>
      <c r="AK344" s="3"/>
      <c r="AL344" s="3"/>
      <c r="AM344" s="3"/>
      <c r="AN344" s="3"/>
      <c r="AO344" s="3"/>
    </row>
    <row r="345" spans="2:41" s="171" customFormat="1" x14ac:dyDescent="0.25">
      <c r="B345" s="13"/>
      <c r="C345" s="56"/>
      <c r="D345" s="60"/>
      <c r="E345" s="56"/>
      <c r="F345" s="56"/>
      <c r="G345" s="56"/>
      <c r="H345" s="56"/>
      <c r="I345" s="14"/>
      <c r="J345" s="14"/>
      <c r="K345" s="14"/>
      <c r="L345" s="14"/>
      <c r="M345" s="14"/>
      <c r="N345" s="14"/>
      <c r="O345" s="14"/>
      <c r="P345" s="14"/>
      <c r="Q345" s="14"/>
      <c r="R345" s="14"/>
      <c r="S345" s="14"/>
      <c r="T345" s="14"/>
      <c r="U345" s="14"/>
      <c r="V345" s="14"/>
      <c r="W345" s="14"/>
      <c r="X345" s="14"/>
      <c r="Y345" s="14"/>
      <c r="Z345" s="14"/>
      <c r="AA345" s="15"/>
      <c r="AB345" s="3"/>
      <c r="AC345" s="3"/>
      <c r="AD345" s="3"/>
      <c r="AE345" s="3"/>
      <c r="AF345" s="3"/>
      <c r="AG345" s="3"/>
      <c r="AH345" s="3"/>
      <c r="AI345" s="3"/>
      <c r="AJ345" s="3"/>
      <c r="AK345" s="3"/>
      <c r="AL345" s="3"/>
      <c r="AM345" s="3"/>
      <c r="AN345" s="3"/>
      <c r="AO345" s="3"/>
    </row>
    <row r="346" spans="2:41" s="171" customFormat="1" x14ac:dyDescent="0.25">
      <c r="B346" s="13"/>
      <c r="C346" s="14"/>
      <c r="D346" s="60"/>
      <c r="E346" s="56"/>
      <c r="F346" s="56"/>
      <c r="G346" s="14"/>
      <c r="H346" s="56"/>
      <c r="I346" s="14"/>
      <c r="J346" s="14"/>
      <c r="K346" s="14"/>
      <c r="L346" s="14"/>
      <c r="M346" s="14"/>
      <c r="N346" s="14"/>
      <c r="O346" s="14"/>
      <c r="P346" s="14"/>
      <c r="Q346" s="14"/>
      <c r="R346" s="14"/>
      <c r="S346" s="14"/>
      <c r="T346" s="14"/>
      <c r="U346" s="14"/>
      <c r="V346" s="14"/>
      <c r="W346" s="14"/>
      <c r="X346" s="14"/>
      <c r="Y346" s="14"/>
      <c r="Z346" s="14"/>
      <c r="AA346" s="15"/>
      <c r="AB346" s="3"/>
      <c r="AC346" s="3"/>
      <c r="AD346" s="3"/>
      <c r="AE346" s="3"/>
      <c r="AF346" s="3"/>
      <c r="AG346" s="3"/>
      <c r="AH346" s="3"/>
      <c r="AI346" s="3"/>
      <c r="AJ346" s="3"/>
      <c r="AK346" s="3"/>
      <c r="AL346" s="3"/>
      <c r="AM346" s="3"/>
      <c r="AN346" s="3"/>
      <c r="AO346" s="3"/>
    </row>
    <row r="347" spans="2:41" s="171" customFormat="1" x14ac:dyDescent="0.25">
      <c r="B347" s="13"/>
      <c r="C347" s="14"/>
      <c r="D347" s="14"/>
      <c r="E347" s="56"/>
      <c r="F347" s="56"/>
      <c r="G347" s="14"/>
      <c r="H347" s="56"/>
      <c r="I347" s="14"/>
      <c r="J347" s="14"/>
      <c r="K347" s="14"/>
      <c r="L347" s="14"/>
      <c r="M347" s="14"/>
      <c r="N347" s="14"/>
      <c r="O347" s="14"/>
      <c r="P347" s="14"/>
      <c r="Q347" s="14"/>
      <c r="R347" s="14"/>
      <c r="S347" s="14"/>
      <c r="T347" s="14"/>
      <c r="U347" s="14"/>
      <c r="V347" s="14"/>
      <c r="W347" s="14"/>
      <c r="X347" s="14"/>
      <c r="Y347" s="14"/>
      <c r="Z347" s="14"/>
      <c r="AA347" s="15"/>
      <c r="AB347" s="3"/>
      <c r="AC347" s="3"/>
      <c r="AD347" s="3"/>
      <c r="AE347" s="3"/>
      <c r="AF347" s="3"/>
      <c r="AG347" s="3"/>
      <c r="AH347" s="3"/>
      <c r="AI347" s="3"/>
      <c r="AJ347" s="3"/>
      <c r="AK347" s="3"/>
      <c r="AL347" s="3"/>
      <c r="AM347" s="3"/>
      <c r="AN347" s="3"/>
      <c r="AO347" s="3"/>
    </row>
    <row r="348" spans="2:41" s="171" customFormat="1" x14ac:dyDescent="0.25">
      <c r="B348" s="13"/>
      <c r="C348" s="14"/>
      <c r="D348" s="60"/>
      <c r="E348" s="56"/>
      <c r="F348" s="56"/>
      <c r="G348" s="14"/>
      <c r="H348" s="14"/>
      <c r="I348" s="14"/>
      <c r="J348" s="14"/>
      <c r="K348" s="14"/>
      <c r="L348" s="14"/>
      <c r="M348" s="14"/>
      <c r="N348" s="14"/>
      <c r="O348" s="14"/>
      <c r="P348" s="14"/>
      <c r="Q348" s="14"/>
      <c r="R348" s="14"/>
      <c r="S348" s="14"/>
      <c r="T348" s="14"/>
      <c r="U348" s="14"/>
      <c r="V348" s="14"/>
      <c r="W348" s="14"/>
      <c r="X348" s="14"/>
      <c r="Y348" s="14"/>
      <c r="Z348" s="14"/>
      <c r="AA348" s="15"/>
      <c r="AB348" s="3"/>
      <c r="AC348" s="3"/>
      <c r="AD348" s="3"/>
      <c r="AE348" s="3"/>
      <c r="AF348" s="3"/>
      <c r="AG348" s="3"/>
      <c r="AH348" s="3"/>
      <c r="AI348" s="3"/>
      <c r="AJ348" s="3"/>
      <c r="AK348" s="3"/>
      <c r="AL348" s="3"/>
      <c r="AM348" s="3"/>
      <c r="AN348" s="3"/>
      <c r="AO348" s="3"/>
    </row>
    <row r="349" spans="2:41" s="171" customFormat="1" x14ac:dyDescent="0.25">
      <c r="B349" s="13"/>
      <c r="C349" s="14"/>
      <c r="D349" s="60"/>
      <c r="E349" s="56"/>
      <c r="F349" s="56"/>
      <c r="G349" s="14"/>
      <c r="H349" s="56"/>
      <c r="I349" s="14"/>
      <c r="J349" s="14"/>
      <c r="K349" s="14"/>
      <c r="L349" s="14"/>
      <c r="M349" s="14"/>
      <c r="N349" s="14"/>
      <c r="O349" s="14"/>
      <c r="P349" s="14"/>
      <c r="Q349" s="14"/>
      <c r="R349" s="14"/>
      <c r="S349" s="14"/>
      <c r="T349" s="14"/>
      <c r="U349" s="14"/>
      <c r="V349" s="14"/>
      <c r="W349" s="14"/>
      <c r="X349" s="14"/>
      <c r="Y349" s="14"/>
      <c r="Z349" s="14"/>
      <c r="AA349" s="15"/>
      <c r="AB349" s="3"/>
      <c r="AC349" s="3"/>
      <c r="AD349" s="3"/>
      <c r="AE349" s="3"/>
      <c r="AF349" s="3"/>
      <c r="AG349" s="3"/>
      <c r="AH349" s="3"/>
      <c r="AI349" s="3"/>
      <c r="AJ349" s="3"/>
      <c r="AK349" s="3"/>
      <c r="AL349" s="3"/>
      <c r="AM349" s="3"/>
      <c r="AN349" s="3"/>
      <c r="AO349" s="3"/>
    </row>
    <row r="350" spans="2:41" s="171" customFormat="1" ht="18.75" x14ac:dyDescent="0.3">
      <c r="B350" s="67"/>
      <c r="C350" s="14"/>
      <c r="D350" s="60"/>
      <c r="E350" s="56"/>
      <c r="F350" s="56"/>
      <c r="G350" s="14"/>
      <c r="H350" s="56"/>
      <c r="I350" s="74"/>
      <c r="J350" s="14"/>
      <c r="K350" s="14"/>
      <c r="L350" s="14"/>
      <c r="M350" s="14"/>
      <c r="N350" s="14"/>
      <c r="O350" s="14"/>
      <c r="P350" s="14"/>
      <c r="Q350" s="14"/>
      <c r="R350" s="14"/>
      <c r="S350" s="14"/>
      <c r="T350" s="14"/>
      <c r="U350" s="14"/>
      <c r="V350" s="14"/>
      <c r="W350" s="14"/>
      <c r="X350" s="14"/>
      <c r="Y350" s="14"/>
      <c r="Z350" s="14"/>
      <c r="AA350" s="15"/>
      <c r="AB350" s="3"/>
      <c r="AC350" s="3"/>
      <c r="AD350" s="3"/>
      <c r="AE350" s="3"/>
      <c r="AF350" s="3"/>
      <c r="AG350" s="3"/>
      <c r="AH350" s="3"/>
      <c r="AI350" s="3"/>
      <c r="AJ350" s="3"/>
      <c r="AK350" s="3"/>
      <c r="AL350" s="3"/>
      <c r="AM350" s="3"/>
      <c r="AN350" s="3"/>
      <c r="AO350" s="3"/>
    </row>
    <row r="351" spans="2:41" s="171" customFormat="1" x14ac:dyDescent="0.25">
      <c r="B351" s="13"/>
      <c r="C351" s="14"/>
      <c r="D351" s="60"/>
      <c r="E351" s="56"/>
      <c r="F351" s="56"/>
      <c r="G351" s="14"/>
      <c r="H351" s="56"/>
      <c r="I351" s="14"/>
      <c r="J351" s="14"/>
      <c r="K351" s="14"/>
      <c r="L351" s="14"/>
      <c r="M351" s="14"/>
      <c r="N351" s="14"/>
      <c r="O351" s="14"/>
      <c r="P351" s="14"/>
      <c r="Q351" s="14"/>
      <c r="R351" s="14"/>
      <c r="S351" s="14"/>
      <c r="T351" s="14"/>
      <c r="U351" s="14"/>
      <c r="V351" s="14"/>
      <c r="W351" s="14"/>
      <c r="X351" s="14"/>
      <c r="Y351" s="14"/>
      <c r="Z351" s="14"/>
      <c r="AA351" s="15"/>
      <c r="AB351" s="3"/>
      <c r="AC351" s="3"/>
      <c r="AD351" s="3"/>
      <c r="AE351" s="3"/>
      <c r="AF351" s="3"/>
      <c r="AG351" s="3"/>
      <c r="AH351" s="3"/>
      <c r="AI351" s="3"/>
      <c r="AJ351" s="3"/>
      <c r="AK351" s="3"/>
      <c r="AL351" s="3"/>
      <c r="AM351" s="3"/>
      <c r="AN351" s="3"/>
      <c r="AO351" s="3"/>
    </row>
    <row r="352" spans="2:41" s="171" customFormat="1" x14ac:dyDescent="0.25">
      <c r="B352" s="13"/>
      <c r="C352" s="56"/>
      <c r="D352" s="60"/>
      <c r="E352" s="56"/>
      <c r="F352" s="56"/>
      <c r="G352" s="56"/>
      <c r="H352" s="56"/>
      <c r="I352" s="14"/>
      <c r="J352" s="14"/>
      <c r="K352" s="14"/>
      <c r="L352" s="14"/>
      <c r="M352" s="14"/>
      <c r="N352" s="14"/>
      <c r="O352" s="14"/>
      <c r="P352" s="14"/>
      <c r="Q352" s="14"/>
      <c r="R352" s="14"/>
      <c r="S352" s="14"/>
      <c r="T352" s="14"/>
      <c r="U352" s="14"/>
      <c r="V352" s="14"/>
      <c r="W352" s="14"/>
      <c r="X352" s="14"/>
      <c r="Y352" s="14"/>
      <c r="Z352" s="14"/>
      <c r="AA352" s="15"/>
      <c r="AB352" s="3"/>
      <c r="AC352" s="3"/>
      <c r="AD352" s="3"/>
      <c r="AE352" s="3"/>
      <c r="AF352" s="3"/>
      <c r="AG352" s="3"/>
      <c r="AH352" s="3"/>
      <c r="AI352" s="3"/>
      <c r="AJ352" s="3"/>
      <c r="AK352" s="3"/>
      <c r="AL352" s="3"/>
      <c r="AM352" s="3"/>
      <c r="AN352" s="3"/>
      <c r="AO352" s="3"/>
    </row>
    <row r="353" spans="2:41" s="171" customFormat="1" x14ac:dyDescent="0.25">
      <c r="B353" s="13"/>
      <c r="C353" s="14"/>
      <c r="D353" s="60"/>
      <c r="E353" s="56"/>
      <c r="F353" s="56"/>
      <c r="G353" s="14"/>
      <c r="H353" s="56"/>
      <c r="I353" s="14"/>
      <c r="J353" s="14"/>
      <c r="K353" s="14"/>
      <c r="L353" s="14"/>
      <c r="M353" s="14"/>
      <c r="N353" s="14"/>
      <c r="O353" s="14"/>
      <c r="P353" s="14"/>
      <c r="Q353" s="14"/>
      <c r="R353" s="14"/>
      <c r="S353" s="14"/>
      <c r="T353" s="14"/>
      <c r="U353" s="14"/>
      <c r="V353" s="14"/>
      <c r="W353" s="14"/>
      <c r="X353" s="14"/>
      <c r="Y353" s="14"/>
      <c r="Z353" s="14"/>
      <c r="AA353" s="15"/>
      <c r="AB353" s="3"/>
      <c r="AC353" s="3"/>
      <c r="AD353" s="3"/>
      <c r="AE353" s="3"/>
      <c r="AF353" s="3"/>
      <c r="AG353" s="3"/>
      <c r="AH353" s="3"/>
      <c r="AI353" s="3"/>
      <c r="AJ353" s="3"/>
      <c r="AK353" s="3"/>
      <c r="AL353" s="3"/>
      <c r="AM353" s="3"/>
      <c r="AN353" s="3"/>
      <c r="AO353" s="3"/>
    </row>
    <row r="354" spans="2:41" s="171" customFormat="1" x14ac:dyDescent="0.25">
      <c r="B354" s="13"/>
      <c r="C354" s="14"/>
      <c r="D354" s="14"/>
      <c r="E354" s="56"/>
      <c r="F354" s="56"/>
      <c r="G354" s="14"/>
      <c r="H354" s="56"/>
      <c r="I354" s="14"/>
      <c r="J354" s="14"/>
      <c r="K354" s="14"/>
      <c r="L354" s="14"/>
      <c r="M354" s="14"/>
      <c r="N354" s="14"/>
      <c r="O354" s="14"/>
      <c r="P354" s="14"/>
      <c r="Q354" s="14"/>
      <c r="R354" s="14"/>
      <c r="S354" s="14"/>
      <c r="T354" s="14"/>
      <c r="U354" s="14"/>
      <c r="V354" s="14"/>
      <c r="W354" s="14"/>
      <c r="X354" s="14"/>
      <c r="Y354" s="14"/>
      <c r="Z354" s="14"/>
      <c r="AA354" s="15"/>
      <c r="AB354" s="3"/>
      <c r="AC354" s="3"/>
      <c r="AD354" s="3"/>
      <c r="AE354" s="3"/>
      <c r="AF354" s="3"/>
      <c r="AG354" s="3"/>
      <c r="AH354" s="3"/>
      <c r="AI354" s="3"/>
      <c r="AJ354" s="3"/>
      <c r="AK354" s="3"/>
      <c r="AL354" s="3"/>
      <c r="AM354" s="3"/>
      <c r="AN354" s="3"/>
      <c r="AO354" s="3"/>
    </row>
    <row r="355" spans="2:41" s="171" customFormat="1" x14ac:dyDescent="0.25">
      <c r="B355" s="13"/>
      <c r="C355" s="14"/>
      <c r="D355" s="60"/>
      <c r="E355" s="56"/>
      <c r="F355" s="56"/>
      <c r="G355" s="14"/>
      <c r="H355" s="14"/>
      <c r="I355" s="14"/>
      <c r="J355" s="14"/>
      <c r="K355" s="14"/>
      <c r="L355" s="14"/>
      <c r="M355" s="14"/>
      <c r="N355" s="14"/>
      <c r="O355" s="14"/>
      <c r="P355" s="14"/>
      <c r="Q355" s="14"/>
      <c r="R355" s="14"/>
      <c r="S355" s="14"/>
      <c r="T355" s="14"/>
      <c r="U355" s="14"/>
      <c r="V355" s="14"/>
      <c r="W355" s="14"/>
      <c r="X355" s="14"/>
      <c r="Y355" s="14"/>
      <c r="Z355" s="14"/>
      <c r="AA355" s="15"/>
      <c r="AB355" s="3"/>
      <c r="AC355" s="3"/>
      <c r="AD355" s="3"/>
      <c r="AE355" s="3"/>
      <c r="AF355" s="3"/>
      <c r="AG355" s="3"/>
      <c r="AH355" s="3"/>
      <c r="AI355" s="3"/>
      <c r="AJ355" s="3"/>
      <c r="AK355" s="3"/>
      <c r="AL355" s="3"/>
      <c r="AM355" s="3"/>
      <c r="AN355" s="3"/>
      <c r="AO355" s="3"/>
    </row>
    <row r="356" spans="2:41" s="171" customFormat="1" x14ac:dyDescent="0.25">
      <c r="B356" s="13"/>
      <c r="C356" s="14"/>
      <c r="D356" s="60"/>
      <c r="E356" s="56"/>
      <c r="F356" s="56"/>
      <c r="G356" s="14"/>
      <c r="H356" s="56"/>
      <c r="I356" s="14"/>
      <c r="J356" s="14"/>
      <c r="K356" s="14"/>
      <c r="L356" s="14"/>
      <c r="M356" s="14"/>
      <c r="N356" s="14"/>
      <c r="O356" s="14"/>
      <c r="P356" s="14"/>
      <c r="Q356" s="14"/>
      <c r="R356" s="14"/>
      <c r="S356" s="14"/>
      <c r="T356" s="14"/>
      <c r="U356" s="14"/>
      <c r="V356" s="14"/>
      <c r="W356" s="14"/>
      <c r="X356" s="14"/>
      <c r="Y356" s="14"/>
      <c r="Z356" s="14"/>
      <c r="AA356" s="15"/>
      <c r="AB356" s="3"/>
      <c r="AC356" s="3"/>
      <c r="AD356" s="3"/>
      <c r="AE356" s="3"/>
      <c r="AF356" s="3"/>
      <c r="AG356" s="3"/>
      <c r="AH356" s="3"/>
      <c r="AI356" s="3"/>
      <c r="AJ356" s="3"/>
      <c r="AK356" s="3"/>
      <c r="AL356" s="3"/>
      <c r="AM356" s="3"/>
      <c r="AN356" s="3"/>
      <c r="AO356" s="3"/>
    </row>
    <row r="357" spans="2:41" s="171" customFormat="1" x14ac:dyDescent="0.25">
      <c r="B357" s="13"/>
      <c r="C357" s="14"/>
      <c r="D357" s="60"/>
      <c r="E357" s="56"/>
      <c r="F357" s="56"/>
      <c r="G357" s="14"/>
      <c r="H357" s="56"/>
      <c r="I357" s="14"/>
      <c r="J357" s="14"/>
      <c r="K357" s="14"/>
      <c r="L357" s="14"/>
      <c r="M357" s="14"/>
      <c r="N357" s="14"/>
      <c r="O357" s="14"/>
      <c r="P357" s="14"/>
      <c r="Q357" s="14"/>
      <c r="R357" s="14"/>
      <c r="S357" s="14"/>
      <c r="T357" s="14"/>
      <c r="U357" s="14"/>
      <c r="V357" s="14"/>
      <c r="W357" s="14"/>
      <c r="X357" s="14"/>
      <c r="Y357" s="14"/>
      <c r="Z357" s="14"/>
      <c r="AA357" s="15"/>
      <c r="AB357" s="3"/>
      <c r="AC357" s="3"/>
      <c r="AD357" s="3"/>
      <c r="AE357" s="3"/>
      <c r="AF357" s="3"/>
      <c r="AG357" s="3"/>
      <c r="AH357" s="3"/>
      <c r="AI357" s="3"/>
      <c r="AJ357" s="3"/>
      <c r="AK357" s="3"/>
      <c r="AL357" s="3"/>
      <c r="AM357" s="3"/>
      <c r="AN357" s="3"/>
      <c r="AO357" s="3"/>
    </row>
    <row r="358" spans="2:41" s="171" customFormat="1" ht="18.75" x14ac:dyDescent="0.3">
      <c r="B358" s="67"/>
      <c r="C358" s="14"/>
      <c r="D358" s="60"/>
      <c r="E358" s="56"/>
      <c r="F358" s="56"/>
      <c r="G358" s="14"/>
      <c r="H358" s="56"/>
      <c r="I358" s="74"/>
      <c r="J358" s="14"/>
      <c r="K358" s="14"/>
      <c r="L358" s="14"/>
      <c r="M358" s="14"/>
      <c r="N358" s="14"/>
      <c r="O358" s="14"/>
      <c r="P358" s="14"/>
      <c r="Q358" s="14"/>
      <c r="R358" s="14"/>
      <c r="S358" s="14"/>
      <c r="T358" s="14"/>
      <c r="U358" s="14"/>
      <c r="V358" s="14"/>
      <c r="W358" s="14"/>
      <c r="X358" s="14"/>
      <c r="Y358" s="14"/>
      <c r="Z358" s="14"/>
      <c r="AA358" s="15"/>
      <c r="AB358" s="3"/>
      <c r="AC358" s="3"/>
      <c r="AD358" s="3"/>
      <c r="AE358" s="3"/>
      <c r="AF358" s="3"/>
      <c r="AG358" s="3"/>
      <c r="AH358" s="3"/>
      <c r="AI358" s="3"/>
      <c r="AJ358" s="3"/>
      <c r="AK358" s="3"/>
      <c r="AL358" s="3"/>
      <c r="AM358" s="3"/>
      <c r="AN358" s="3"/>
      <c r="AO358" s="3"/>
    </row>
    <row r="359" spans="2:41" s="171" customFormat="1" x14ac:dyDescent="0.25">
      <c r="B359" s="13"/>
      <c r="C359" s="56"/>
      <c r="D359" s="60"/>
      <c r="E359" s="56"/>
      <c r="F359" s="56"/>
      <c r="G359" s="56"/>
      <c r="H359" s="56"/>
      <c r="I359" s="14"/>
      <c r="J359" s="14"/>
      <c r="K359" s="14"/>
      <c r="L359" s="14"/>
      <c r="M359" s="14"/>
      <c r="N359" s="14"/>
      <c r="O359" s="14"/>
      <c r="P359" s="14"/>
      <c r="Q359" s="14"/>
      <c r="R359" s="14"/>
      <c r="S359" s="14"/>
      <c r="T359" s="14"/>
      <c r="U359" s="14"/>
      <c r="V359" s="14"/>
      <c r="W359" s="14"/>
      <c r="X359" s="14"/>
      <c r="Y359" s="14"/>
      <c r="Z359" s="14"/>
      <c r="AA359" s="15"/>
      <c r="AB359" s="3"/>
      <c r="AC359" s="3"/>
      <c r="AD359" s="3"/>
      <c r="AE359" s="3"/>
      <c r="AF359" s="3"/>
      <c r="AG359" s="3"/>
      <c r="AH359" s="3"/>
      <c r="AI359" s="3"/>
      <c r="AJ359" s="3"/>
      <c r="AK359" s="3"/>
      <c r="AL359" s="3"/>
      <c r="AM359" s="3"/>
      <c r="AN359" s="3"/>
      <c r="AO359" s="3"/>
    </row>
    <row r="360" spans="2:41" s="171" customFormat="1" x14ac:dyDescent="0.25">
      <c r="B360" s="13"/>
      <c r="C360" s="14"/>
      <c r="D360" s="60"/>
      <c r="E360" s="56"/>
      <c r="F360" s="56"/>
      <c r="G360" s="14"/>
      <c r="H360" s="56"/>
      <c r="I360" s="14"/>
      <c r="J360" s="14"/>
      <c r="K360" s="14"/>
      <c r="L360" s="14"/>
      <c r="M360" s="14"/>
      <c r="N360" s="14"/>
      <c r="O360" s="14"/>
      <c r="P360" s="14"/>
      <c r="Q360" s="14"/>
      <c r="R360" s="14"/>
      <c r="S360" s="14"/>
      <c r="T360" s="14"/>
      <c r="U360" s="14"/>
      <c r="V360" s="14"/>
      <c r="W360" s="14"/>
      <c r="X360" s="14"/>
      <c r="Y360" s="14"/>
      <c r="Z360" s="14"/>
      <c r="AA360" s="15"/>
      <c r="AB360" s="3"/>
      <c r="AC360" s="3"/>
      <c r="AD360" s="3"/>
      <c r="AE360" s="3"/>
      <c r="AF360" s="3"/>
      <c r="AG360" s="3"/>
      <c r="AH360" s="3"/>
      <c r="AI360" s="3"/>
      <c r="AJ360" s="3"/>
      <c r="AK360" s="3"/>
      <c r="AL360" s="3"/>
      <c r="AM360" s="3"/>
      <c r="AN360" s="3"/>
      <c r="AO360" s="3"/>
    </row>
    <row r="361" spans="2:41" s="171" customFormat="1" x14ac:dyDescent="0.25">
      <c r="B361" s="13"/>
      <c r="C361" s="14"/>
      <c r="D361" s="14"/>
      <c r="E361" s="56"/>
      <c r="F361" s="56"/>
      <c r="G361" s="14"/>
      <c r="H361" s="56"/>
      <c r="I361" s="14"/>
      <c r="J361" s="14"/>
      <c r="K361" s="14"/>
      <c r="L361" s="14"/>
      <c r="M361" s="14"/>
      <c r="N361" s="14"/>
      <c r="O361" s="14"/>
      <c r="P361" s="14"/>
      <c r="Q361" s="14"/>
      <c r="R361" s="14"/>
      <c r="S361" s="14"/>
      <c r="T361" s="14"/>
      <c r="U361" s="14"/>
      <c r="V361" s="14"/>
      <c r="W361" s="14"/>
      <c r="X361" s="14"/>
      <c r="Y361" s="14"/>
      <c r="Z361" s="14"/>
      <c r="AA361" s="15"/>
      <c r="AB361" s="3"/>
      <c r="AC361" s="3"/>
      <c r="AD361" s="3"/>
      <c r="AE361" s="3"/>
      <c r="AF361" s="3"/>
      <c r="AG361" s="3"/>
      <c r="AH361" s="3"/>
      <c r="AI361" s="3"/>
      <c r="AJ361" s="3"/>
      <c r="AK361" s="3"/>
      <c r="AL361" s="3"/>
      <c r="AM361" s="3"/>
      <c r="AN361" s="3"/>
      <c r="AO361" s="3"/>
    </row>
    <row r="362" spans="2:41" s="171" customFormat="1" x14ac:dyDescent="0.25">
      <c r="B362" s="13"/>
      <c r="C362" s="14"/>
      <c r="D362" s="60"/>
      <c r="E362" s="56"/>
      <c r="F362" s="56"/>
      <c r="G362" s="14"/>
      <c r="H362" s="14"/>
      <c r="I362" s="14"/>
      <c r="J362" s="14"/>
      <c r="K362" s="14"/>
      <c r="L362" s="14"/>
      <c r="M362" s="14"/>
      <c r="N362" s="14"/>
      <c r="O362" s="14"/>
      <c r="P362" s="14"/>
      <c r="Q362" s="14"/>
      <c r="R362" s="14"/>
      <c r="S362" s="14"/>
      <c r="T362" s="14"/>
      <c r="U362" s="14"/>
      <c r="V362" s="14"/>
      <c r="W362" s="14"/>
      <c r="X362" s="14"/>
      <c r="Y362" s="14"/>
      <c r="Z362" s="14"/>
      <c r="AA362" s="15"/>
      <c r="AB362" s="3"/>
      <c r="AC362" s="3"/>
      <c r="AD362" s="3"/>
      <c r="AE362" s="3"/>
      <c r="AF362" s="3"/>
      <c r="AG362" s="3"/>
      <c r="AH362" s="3"/>
      <c r="AI362" s="3"/>
      <c r="AJ362" s="3"/>
      <c r="AK362" s="3"/>
      <c r="AL362" s="3"/>
      <c r="AM362" s="3"/>
      <c r="AN362" s="3"/>
      <c r="AO362" s="3"/>
    </row>
    <row r="363" spans="2:41" s="171" customFormat="1" x14ac:dyDescent="0.25">
      <c r="B363" s="13"/>
      <c r="C363" s="14"/>
      <c r="D363" s="60"/>
      <c r="E363" s="56"/>
      <c r="F363" s="56"/>
      <c r="G363" s="14"/>
      <c r="H363" s="56"/>
      <c r="I363" s="14"/>
      <c r="J363" s="14"/>
      <c r="K363" s="14"/>
      <c r="L363" s="14"/>
      <c r="M363" s="14"/>
      <c r="N363" s="14"/>
      <c r="O363" s="14"/>
      <c r="P363" s="14"/>
      <c r="Q363" s="14"/>
      <c r="R363" s="14"/>
      <c r="S363" s="14"/>
      <c r="T363" s="14"/>
      <c r="U363" s="14"/>
      <c r="V363" s="14"/>
      <c r="W363" s="14"/>
      <c r="X363" s="14"/>
      <c r="Y363" s="14"/>
      <c r="Z363" s="14"/>
      <c r="AA363" s="15"/>
      <c r="AB363" s="3"/>
      <c r="AC363" s="3"/>
      <c r="AD363" s="3"/>
      <c r="AE363" s="3"/>
      <c r="AF363" s="3"/>
      <c r="AG363" s="3"/>
      <c r="AH363" s="3"/>
      <c r="AI363" s="3"/>
      <c r="AJ363" s="3"/>
      <c r="AK363" s="3"/>
      <c r="AL363" s="3"/>
      <c r="AM363" s="3"/>
      <c r="AN363" s="3"/>
      <c r="AO363" s="3"/>
    </row>
    <row r="364" spans="2:41" s="171" customFormat="1" x14ac:dyDescent="0.25">
      <c r="B364" s="13"/>
      <c r="C364" s="14"/>
      <c r="D364" s="60"/>
      <c r="E364" s="56"/>
      <c r="F364" s="56"/>
      <c r="G364" s="14"/>
      <c r="H364" s="56"/>
      <c r="I364" s="14"/>
      <c r="J364" s="14"/>
      <c r="K364" s="14"/>
      <c r="L364" s="14"/>
      <c r="M364" s="14"/>
      <c r="N364" s="14"/>
      <c r="O364" s="14"/>
      <c r="P364" s="14"/>
      <c r="Q364" s="14"/>
      <c r="R364" s="14"/>
      <c r="S364" s="14"/>
      <c r="T364" s="14"/>
      <c r="U364" s="14"/>
      <c r="V364" s="14"/>
      <c r="W364" s="14"/>
      <c r="X364" s="14"/>
      <c r="Y364" s="14"/>
      <c r="Z364" s="14"/>
      <c r="AA364" s="15"/>
      <c r="AB364" s="3"/>
      <c r="AC364" s="3"/>
      <c r="AD364" s="3"/>
      <c r="AE364" s="3"/>
      <c r="AF364" s="3"/>
      <c r="AG364" s="3"/>
      <c r="AH364" s="3"/>
      <c r="AI364" s="3"/>
      <c r="AJ364" s="3"/>
      <c r="AK364" s="3"/>
      <c r="AL364" s="3"/>
      <c r="AM364" s="3"/>
      <c r="AN364" s="3"/>
      <c r="AO364" s="3"/>
    </row>
    <row r="365" spans="2:41" s="171" customFormat="1" x14ac:dyDescent="0.25">
      <c r="B365" s="13"/>
      <c r="C365" s="14"/>
      <c r="D365" s="60"/>
      <c r="E365" s="56"/>
      <c r="F365" s="56"/>
      <c r="G365" s="14"/>
      <c r="H365" s="56"/>
      <c r="I365" s="14"/>
      <c r="J365" s="14"/>
      <c r="K365" s="14"/>
      <c r="L365" s="14"/>
      <c r="M365" s="14"/>
      <c r="N365" s="14"/>
      <c r="O365" s="14"/>
      <c r="P365" s="14"/>
      <c r="Q365" s="14"/>
      <c r="R365" s="14"/>
      <c r="S365" s="14"/>
      <c r="T365" s="14"/>
      <c r="U365" s="14"/>
      <c r="V365" s="14"/>
      <c r="W365" s="14"/>
      <c r="X365" s="14"/>
      <c r="Y365" s="14"/>
      <c r="Z365" s="14"/>
      <c r="AA365" s="15"/>
      <c r="AB365" s="3"/>
      <c r="AC365" s="3"/>
      <c r="AD365" s="3"/>
      <c r="AE365" s="3"/>
      <c r="AF365" s="3"/>
      <c r="AG365" s="3"/>
      <c r="AH365" s="3"/>
      <c r="AI365" s="3"/>
      <c r="AJ365" s="3"/>
      <c r="AK365" s="3"/>
      <c r="AL365" s="3"/>
      <c r="AM365" s="3"/>
      <c r="AN365" s="3"/>
      <c r="AO365" s="3"/>
    </row>
    <row r="366" spans="2:41" s="171" customFormat="1" ht="18.75" x14ac:dyDescent="0.3">
      <c r="B366" s="67"/>
      <c r="C366" s="56"/>
      <c r="D366" s="60"/>
      <c r="E366" s="56"/>
      <c r="F366" s="56"/>
      <c r="G366" s="56"/>
      <c r="H366" s="56"/>
      <c r="I366" s="74"/>
      <c r="J366" s="14"/>
      <c r="K366" s="14"/>
      <c r="L366" s="14"/>
      <c r="M366" s="14"/>
      <c r="N366" s="14"/>
      <c r="O366" s="14"/>
      <c r="P366" s="14"/>
      <c r="Q366" s="14"/>
      <c r="R366" s="14"/>
      <c r="S366" s="14"/>
      <c r="T366" s="14"/>
      <c r="U366" s="14"/>
      <c r="V366" s="14"/>
      <c r="W366" s="14"/>
      <c r="X366" s="14"/>
      <c r="Y366" s="14"/>
      <c r="Z366" s="14"/>
      <c r="AA366" s="15"/>
      <c r="AB366" s="3"/>
      <c r="AC366" s="3"/>
      <c r="AD366" s="3"/>
      <c r="AE366" s="3"/>
      <c r="AF366" s="3"/>
      <c r="AG366" s="3"/>
      <c r="AH366" s="3"/>
      <c r="AI366" s="3"/>
      <c r="AJ366" s="3"/>
      <c r="AK366" s="3"/>
      <c r="AL366" s="3"/>
      <c r="AM366" s="3"/>
      <c r="AN366" s="3"/>
      <c r="AO366" s="3"/>
    </row>
    <row r="367" spans="2:41" s="171" customFormat="1" x14ac:dyDescent="0.25">
      <c r="B367" s="13"/>
      <c r="C367" s="14"/>
      <c r="D367" s="60"/>
      <c r="E367" s="56"/>
      <c r="F367" s="56"/>
      <c r="G367" s="14"/>
      <c r="H367" s="56"/>
      <c r="I367" s="14"/>
      <c r="J367" s="14"/>
      <c r="K367" s="14"/>
      <c r="L367" s="14"/>
      <c r="M367" s="14"/>
      <c r="N367" s="14"/>
      <c r="O367" s="14"/>
      <c r="P367" s="14"/>
      <c r="Q367" s="14"/>
      <c r="R367" s="14"/>
      <c r="S367" s="14"/>
      <c r="T367" s="14"/>
      <c r="U367" s="14"/>
      <c r="V367" s="14"/>
      <c r="W367" s="14"/>
      <c r="X367" s="14"/>
      <c r="Y367" s="14"/>
      <c r="Z367" s="14"/>
      <c r="AA367" s="15"/>
      <c r="AB367" s="3"/>
      <c r="AC367" s="3"/>
      <c r="AD367" s="3"/>
      <c r="AE367" s="3"/>
      <c r="AF367" s="3"/>
      <c r="AG367" s="3"/>
      <c r="AH367" s="3"/>
      <c r="AI367" s="3"/>
      <c r="AJ367" s="3"/>
      <c r="AK367" s="3"/>
      <c r="AL367" s="3"/>
      <c r="AM367" s="3"/>
      <c r="AN367" s="3"/>
      <c r="AO367" s="3"/>
    </row>
    <row r="368" spans="2:41" s="171" customFormat="1" x14ac:dyDescent="0.25">
      <c r="B368" s="13"/>
      <c r="C368" s="14"/>
      <c r="D368" s="14"/>
      <c r="E368" s="56"/>
      <c r="F368" s="56"/>
      <c r="G368" s="14"/>
      <c r="H368" s="56"/>
      <c r="I368" s="14"/>
      <c r="J368" s="14"/>
      <c r="K368" s="14"/>
      <c r="L368" s="14"/>
      <c r="M368" s="14"/>
      <c r="N368" s="14"/>
      <c r="O368" s="14"/>
      <c r="P368" s="14"/>
      <c r="Q368" s="14"/>
      <c r="R368" s="14"/>
      <c r="S368" s="14"/>
      <c r="T368" s="14"/>
      <c r="U368" s="14"/>
      <c r="V368" s="14"/>
      <c r="W368" s="14"/>
      <c r="X368" s="14"/>
      <c r="Y368" s="14"/>
      <c r="Z368" s="14"/>
      <c r="AA368" s="15"/>
      <c r="AB368" s="3"/>
      <c r="AC368" s="3"/>
      <c r="AD368" s="3"/>
      <c r="AE368" s="3"/>
      <c r="AF368" s="3"/>
      <c r="AG368" s="3"/>
      <c r="AH368" s="3"/>
      <c r="AI368" s="3"/>
      <c r="AJ368" s="3"/>
      <c r="AK368" s="3"/>
      <c r="AL368" s="3"/>
      <c r="AM368" s="3"/>
      <c r="AN368" s="3"/>
      <c r="AO368" s="3"/>
    </row>
    <row r="369" spans="2:41" s="171" customFormat="1" x14ac:dyDescent="0.25">
      <c r="B369" s="13"/>
      <c r="C369" s="14"/>
      <c r="D369" s="60"/>
      <c r="E369" s="56"/>
      <c r="F369" s="56"/>
      <c r="G369" s="14"/>
      <c r="H369" s="14"/>
      <c r="I369" s="14"/>
      <c r="J369" s="14"/>
      <c r="K369" s="14"/>
      <c r="L369" s="14"/>
      <c r="M369" s="14"/>
      <c r="N369" s="14"/>
      <c r="O369" s="14"/>
      <c r="P369" s="14"/>
      <c r="Q369" s="14"/>
      <c r="R369" s="14"/>
      <c r="S369" s="14"/>
      <c r="T369" s="14"/>
      <c r="U369" s="14"/>
      <c r="V369" s="14"/>
      <c r="W369" s="14"/>
      <c r="X369" s="14"/>
      <c r="Y369" s="14"/>
      <c r="Z369" s="14"/>
      <c r="AA369" s="15"/>
      <c r="AB369" s="3"/>
      <c r="AC369" s="3"/>
      <c r="AD369" s="3"/>
      <c r="AE369" s="3"/>
      <c r="AF369" s="3"/>
      <c r="AG369" s="3"/>
      <c r="AH369" s="3"/>
      <c r="AI369" s="3"/>
      <c r="AJ369" s="3"/>
      <c r="AK369" s="3"/>
      <c r="AL369" s="3"/>
      <c r="AM369" s="3"/>
      <c r="AN369" s="3"/>
      <c r="AO369" s="3"/>
    </row>
    <row r="370" spans="2:41" s="171" customFormat="1" x14ac:dyDescent="0.25">
      <c r="B370" s="13"/>
      <c r="C370" s="14"/>
      <c r="D370" s="60"/>
      <c r="E370" s="56"/>
      <c r="F370" s="56"/>
      <c r="G370" s="14"/>
      <c r="H370" s="56"/>
      <c r="I370" s="14"/>
      <c r="J370" s="14"/>
      <c r="K370" s="14"/>
      <c r="L370" s="14"/>
      <c r="M370" s="14"/>
      <c r="N370" s="14"/>
      <c r="O370" s="14"/>
      <c r="P370" s="14"/>
      <c r="Q370" s="14"/>
      <c r="R370" s="14"/>
      <c r="S370" s="14"/>
      <c r="T370" s="14"/>
      <c r="U370" s="14"/>
      <c r="V370" s="14"/>
      <c r="W370" s="14"/>
      <c r="X370" s="14"/>
      <c r="Y370" s="14"/>
      <c r="Z370" s="14"/>
      <c r="AA370" s="15"/>
      <c r="AB370" s="3"/>
      <c r="AC370" s="3"/>
      <c r="AD370" s="3"/>
      <c r="AE370" s="3"/>
      <c r="AF370" s="3"/>
      <c r="AG370" s="3"/>
      <c r="AH370" s="3"/>
      <c r="AI370" s="3"/>
      <c r="AJ370" s="3"/>
      <c r="AK370" s="3"/>
      <c r="AL370" s="3"/>
      <c r="AM370" s="3"/>
      <c r="AN370" s="3"/>
      <c r="AO370" s="3"/>
    </row>
    <row r="371" spans="2:41" s="171" customFormat="1" x14ac:dyDescent="0.25">
      <c r="B371" s="13"/>
      <c r="C371" s="14"/>
      <c r="D371" s="60"/>
      <c r="E371" s="56"/>
      <c r="F371" s="56"/>
      <c r="G371" s="14"/>
      <c r="H371" s="56"/>
      <c r="I371" s="14"/>
      <c r="J371" s="14"/>
      <c r="K371" s="14"/>
      <c r="L371" s="14"/>
      <c r="M371" s="14"/>
      <c r="N371" s="14"/>
      <c r="O371" s="14"/>
      <c r="P371" s="14"/>
      <c r="Q371" s="14"/>
      <c r="R371" s="14"/>
      <c r="S371" s="14"/>
      <c r="T371" s="14"/>
      <c r="U371" s="14"/>
      <c r="V371" s="14"/>
      <c r="W371" s="14"/>
      <c r="X371" s="14"/>
      <c r="Y371" s="14"/>
      <c r="Z371" s="14"/>
      <c r="AA371" s="15"/>
      <c r="AB371" s="3"/>
      <c r="AC371" s="3"/>
      <c r="AD371" s="3"/>
      <c r="AE371" s="3"/>
      <c r="AF371" s="3"/>
      <c r="AG371" s="3"/>
      <c r="AH371" s="3"/>
      <c r="AI371" s="3"/>
      <c r="AJ371" s="3"/>
      <c r="AK371" s="3"/>
      <c r="AL371" s="3"/>
      <c r="AM371" s="3"/>
      <c r="AN371" s="3"/>
      <c r="AO371" s="3"/>
    </row>
    <row r="372" spans="2:41" s="171" customFormat="1" x14ac:dyDescent="0.25">
      <c r="B372" s="13"/>
      <c r="C372" s="14"/>
      <c r="D372" s="60"/>
      <c r="E372" s="56"/>
      <c r="F372" s="56"/>
      <c r="G372" s="14"/>
      <c r="H372" s="56"/>
      <c r="I372" s="14"/>
      <c r="J372" s="14"/>
      <c r="K372" s="14"/>
      <c r="L372" s="14"/>
      <c r="M372" s="14"/>
      <c r="N372" s="14"/>
      <c r="O372" s="14"/>
      <c r="P372" s="14"/>
      <c r="Q372" s="14"/>
      <c r="R372" s="14"/>
      <c r="S372" s="14"/>
      <c r="T372" s="14"/>
      <c r="U372" s="14"/>
      <c r="V372" s="14"/>
      <c r="W372" s="14"/>
      <c r="X372" s="14"/>
      <c r="Y372" s="14"/>
      <c r="Z372" s="14"/>
      <c r="AA372" s="15"/>
      <c r="AB372" s="3"/>
      <c r="AC372" s="3"/>
      <c r="AD372" s="3"/>
      <c r="AE372" s="3"/>
      <c r="AF372" s="3"/>
      <c r="AG372" s="3"/>
      <c r="AH372" s="3"/>
      <c r="AI372" s="3"/>
      <c r="AJ372" s="3"/>
      <c r="AK372" s="3"/>
      <c r="AL372" s="3"/>
      <c r="AM372" s="3"/>
      <c r="AN372" s="3"/>
      <c r="AO372" s="3"/>
    </row>
    <row r="373" spans="2:41" s="171" customFormat="1" x14ac:dyDescent="0.25">
      <c r="B373" s="13"/>
      <c r="C373" s="56"/>
      <c r="D373" s="60"/>
      <c r="E373" s="56"/>
      <c r="F373" s="56"/>
      <c r="G373" s="56"/>
      <c r="H373" s="56"/>
      <c r="I373" s="14"/>
      <c r="J373" s="14"/>
      <c r="K373" s="14"/>
      <c r="L373" s="14"/>
      <c r="M373" s="14"/>
      <c r="N373" s="14"/>
      <c r="O373" s="14"/>
      <c r="P373" s="14"/>
      <c r="Q373" s="14"/>
      <c r="R373" s="14"/>
      <c r="S373" s="14"/>
      <c r="T373" s="14"/>
      <c r="U373" s="14"/>
      <c r="V373" s="14"/>
      <c r="W373" s="14"/>
      <c r="X373" s="14"/>
      <c r="Y373" s="14"/>
      <c r="Z373" s="14"/>
      <c r="AA373" s="15"/>
      <c r="AB373" s="3"/>
      <c r="AC373" s="3"/>
      <c r="AD373" s="3"/>
      <c r="AE373" s="3"/>
      <c r="AF373" s="3"/>
      <c r="AG373" s="3"/>
      <c r="AH373" s="3"/>
      <c r="AI373" s="3"/>
      <c r="AJ373" s="3"/>
      <c r="AK373" s="3"/>
      <c r="AL373" s="3"/>
      <c r="AM373" s="3"/>
      <c r="AN373" s="3"/>
      <c r="AO373" s="3"/>
    </row>
    <row r="374" spans="2:41" s="171" customFormat="1" ht="18.75" x14ac:dyDescent="0.3">
      <c r="B374" s="67"/>
      <c r="C374" s="14"/>
      <c r="D374" s="60"/>
      <c r="E374" s="56"/>
      <c r="F374" s="56"/>
      <c r="G374" s="14"/>
      <c r="H374" s="56"/>
      <c r="I374" s="74"/>
      <c r="J374" s="14"/>
      <c r="K374" s="14"/>
      <c r="L374" s="14"/>
      <c r="M374" s="14"/>
      <c r="N374" s="14"/>
      <c r="O374" s="14"/>
      <c r="P374" s="14"/>
      <c r="Q374" s="14"/>
      <c r="R374" s="14"/>
      <c r="S374" s="14"/>
      <c r="T374" s="14"/>
      <c r="U374" s="14"/>
      <c r="V374" s="14"/>
      <c r="W374" s="14"/>
      <c r="X374" s="14"/>
      <c r="Y374" s="14"/>
      <c r="Z374" s="14"/>
      <c r="AA374" s="15"/>
      <c r="AB374" s="3"/>
      <c r="AC374" s="3"/>
      <c r="AD374" s="3"/>
      <c r="AE374" s="3"/>
      <c r="AF374" s="3"/>
      <c r="AG374" s="3"/>
      <c r="AH374" s="3"/>
      <c r="AI374" s="3"/>
      <c r="AJ374" s="3"/>
      <c r="AK374" s="3"/>
      <c r="AL374" s="3"/>
      <c r="AM374" s="3"/>
      <c r="AN374" s="3"/>
      <c r="AO374" s="3"/>
    </row>
    <row r="375" spans="2:41" s="171" customFormat="1" x14ac:dyDescent="0.25">
      <c r="B375" s="13"/>
      <c r="C375" s="14"/>
      <c r="D375" s="14"/>
      <c r="E375" s="56"/>
      <c r="F375" s="56"/>
      <c r="G375" s="14"/>
      <c r="H375" s="56"/>
      <c r="I375" s="14"/>
      <c r="J375" s="14"/>
      <c r="K375" s="14"/>
      <c r="L375" s="14"/>
      <c r="M375" s="14"/>
      <c r="N375" s="14"/>
      <c r="O375" s="14"/>
      <c r="P375" s="14"/>
      <c r="Q375" s="14"/>
      <c r="R375" s="14"/>
      <c r="S375" s="14"/>
      <c r="T375" s="14"/>
      <c r="U375" s="14"/>
      <c r="V375" s="14"/>
      <c r="W375" s="14"/>
      <c r="X375" s="14"/>
      <c r="Y375" s="14"/>
      <c r="Z375" s="14"/>
      <c r="AA375" s="15"/>
      <c r="AB375" s="3"/>
      <c r="AC375" s="3"/>
      <c r="AD375" s="3"/>
      <c r="AE375" s="3"/>
      <c r="AF375" s="3"/>
      <c r="AG375" s="3"/>
      <c r="AH375" s="3"/>
      <c r="AI375" s="3"/>
      <c r="AJ375" s="3"/>
      <c r="AK375" s="3"/>
      <c r="AL375" s="3"/>
      <c r="AM375" s="3"/>
      <c r="AN375" s="3"/>
      <c r="AO375" s="3"/>
    </row>
    <row r="376" spans="2:41" s="171" customFormat="1" x14ac:dyDescent="0.25">
      <c r="B376" s="13"/>
      <c r="C376" s="14"/>
      <c r="D376" s="60"/>
      <c r="E376" s="56"/>
      <c r="F376" s="56"/>
      <c r="G376" s="14"/>
      <c r="H376" s="14"/>
      <c r="I376" s="14"/>
      <c r="J376" s="14"/>
      <c r="K376" s="14"/>
      <c r="L376" s="14"/>
      <c r="M376" s="14"/>
      <c r="N376" s="14"/>
      <c r="O376" s="14"/>
      <c r="P376" s="14"/>
      <c r="Q376" s="14"/>
      <c r="R376" s="14"/>
      <c r="S376" s="14"/>
      <c r="T376" s="14"/>
      <c r="U376" s="14"/>
      <c r="V376" s="14"/>
      <c r="W376" s="14"/>
      <c r="X376" s="14"/>
      <c r="Y376" s="14"/>
      <c r="Z376" s="14"/>
      <c r="AA376" s="15"/>
      <c r="AB376" s="3"/>
      <c r="AC376" s="3"/>
      <c r="AD376" s="3"/>
      <c r="AE376" s="3"/>
      <c r="AF376" s="3"/>
      <c r="AG376" s="3"/>
      <c r="AH376" s="3"/>
      <c r="AI376" s="3"/>
      <c r="AJ376" s="3"/>
      <c r="AK376" s="3"/>
      <c r="AL376" s="3"/>
      <c r="AM376" s="3"/>
      <c r="AN376" s="3"/>
      <c r="AO376" s="3"/>
    </row>
    <row r="377" spans="2:41" s="171" customFormat="1" x14ac:dyDescent="0.25">
      <c r="B377" s="13"/>
      <c r="C377" s="14"/>
      <c r="D377" s="60"/>
      <c r="E377" s="56"/>
      <c r="F377" s="56"/>
      <c r="G377" s="14"/>
      <c r="H377" s="56"/>
      <c r="I377" s="14"/>
      <c r="J377" s="14"/>
      <c r="K377" s="14"/>
      <c r="L377" s="14"/>
      <c r="M377" s="14"/>
      <c r="N377" s="14"/>
      <c r="O377" s="14"/>
      <c r="P377" s="14"/>
      <c r="Q377" s="14"/>
      <c r="R377" s="14"/>
      <c r="S377" s="14"/>
      <c r="T377" s="14"/>
      <c r="U377" s="14"/>
      <c r="V377" s="14"/>
      <c r="W377" s="14"/>
      <c r="X377" s="14"/>
      <c r="Y377" s="14"/>
      <c r="Z377" s="14"/>
      <c r="AA377" s="15"/>
      <c r="AB377" s="3"/>
      <c r="AC377" s="3"/>
      <c r="AD377" s="3"/>
      <c r="AE377" s="3"/>
      <c r="AF377" s="3"/>
      <c r="AG377" s="3"/>
      <c r="AH377" s="3"/>
      <c r="AI377" s="3"/>
      <c r="AJ377" s="3"/>
      <c r="AK377" s="3"/>
      <c r="AL377" s="3"/>
      <c r="AM377" s="3"/>
      <c r="AN377" s="3"/>
      <c r="AO377" s="3"/>
    </row>
    <row r="378" spans="2:41" s="171" customFormat="1" x14ac:dyDescent="0.25">
      <c r="B378" s="13"/>
      <c r="C378" s="14"/>
      <c r="D378" s="60"/>
      <c r="E378" s="56"/>
      <c r="F378" s="56"/>
      <c r="G378" s="14"/>
      <c r="H378" s="56"/>
      <c r="I378" s="14"/>
      <c r="J378" s="14"/>
      <c r="K378" s="14"/>
      <c r="L378" s="14"/>
      <c r="M378" s="14"/>
      <c r="N378" s="14"/>
      <c r="O378" s="14"/>
      <c r="P378" s="14"/>
      <c r="Q378" s="14"/>
      <c r="R378" s="14"/>
      <c r="S378" s="14"/>
      <c r="T378" s="14"/>
      <c r="U378" s="14"/>
      <c r="V378" s="14"/>
      <c r="W378" s="14"/>
      <c r="X378" s="14"/>
      <c r="Y378" s="14"/>
      <c r="Z378" s="14"/>
      <c r="AA378" s="15"/>
      <c r="AB378" s="3"/>
      <c r="AC378" s="3"/>
      <c r="AD378" s="3"/>
      <c r="AE378" s="3"/>
      <c r="AF378" s="3"/>
      <c r="AG378" s="3"/>
      <c r="AH378" s="3"/>
      <c r="AI378" s="3"/>
      <c r="AJ378" s="3"/>
      <c r="AK378" s="3"/>
      <c r="AL378" s="3"/>
      <c r="AM378" s="3"/>
      <c r="AN378" s="3"/>
      <c r="AO378" s="3"/>
    </row>
    <row r="379" spans="2:41" s="171" customFormat="1" x14ac:dyDescent="0.25">
      <c r="B379" s="13"/>
      <c r="C379" s="14"/>
      <c r="D379" s="60"/>
      <c r="E379" s="56"/>
      <c r="F379" s="56"/>
      <c r="G379" s="14"/>
      <c r="H379" s="56"/>
      <c r="I379" s="14"/>
      <c r="J379" s="14"/>
      <c r="K379" s="14"/>
      <c r="L379" s="14"/>
      <c r="M379" s="14"/>
      <c r="N379" s="14"/>
      <c r="O379" s="14"/>
      <c r="P379" s="14"/>
      <c r="Q379" s="14"/>
      <c r="R379" s="14"/>
      <c r="S379" s="14"/>
      <c r="T379" s="14"/>
      <c r="U379" s="14"/>
      <c r="V379" s="14"/>
      <c r="W379" s="14"/>
      <c r="X379" s="14"/>
      <c r="Y379" s="14"/>
      <c r="Z379" s="14"/>
      <c r="AA379" s="15"/>
      <c r="AB379" s="3"/>
      <c r="AC379" s="3"/>
      <c r="AD379" s="3"/>
      <c r="AE379" s="3"/>
      <c r="AF379" s="3"/>
      <c r="AG379" s="3"/>
      <c r="AH379" s="3"/>
      <c r="AI379" s="3"/>
      <c r="AJ379" s="3"/>
      <c r="AK379" s="3"/>
      <c r="AL379" s="3"/>
      <c r="AM379" s="3"/>
      <c r="AN379" s="3"/>
      <c r="AO379" s="3"/>
    </row>
    <row r="380" spans="2:41" s="171" customFormat="1" x14ac:dyDescent="0.25">
      <c r="B380" s="13"/>
      <c r="C380" s="56"/>
      <c r="D380" s="60"/>
      <c r="E380" s="56"/>
      <c r="F380" s="56"/>
      <c r="G380" s="56"/>
      <c r="H380" s="56"/>
      <c r="I380" s="14"/>
      <c r="J380" s="14"/>
      <c r="K380" s="14"/>
      <c r="L380" s="14"/>
      <c r="M380" s="14"/>
      <c r="N380" s="14"/>
      <c r="O380" s="14"/>
      <c r="P380" s="14"/>
      <c r="Q380" s="14"/>
      <c r="R380" s="14"/>
      <c r="S380" s="14"/>
      <c r="T380" s="14"/>
      <c r="U380" s="14"/>
      <c r="V380" s="14"/>
      <c r="W380" s="14"/>
      <c r="X380" s="14"/>
      <c r="Y380" s="14"/>
      <c r="Z380" s="14"/>
      <c r="AA380" s="15"/>
      <c r="AB380" s="3"/>
      <c r="AC380" s="3"/>
      <c r="AD380" s="3"/>
      <c r="AE380" s="3"/>
      <c r="AF380" s="3"/>
      <c r="AG380" s="3"/>
      <c r="AH380" s="3"/>
      <c r="AI380" s="3"/>
      <c r="AJ380" s="3"/>
      <c r="AK380" s="3"/>
      <c r="AL380" s="3"/>
      <c r="AM380" s="3"/>
      <c r="AN380" s="3"/>
      <c r="AO380" s="3"/>
    </row>
    <row r="381" spans="2:41" s="171" customFormat="1" x14ac:dyDescent="0.25">
      <c r="B381" s="13"/>
      <c r="C381" s="14"/>
      <c r="D381" s="60"/>
      <c r="E381" s="56"/>
      <c r="F381" s="56"/>
      <c r="G381" s="14"/>
      <c r="H381" s="56"/>
      <c r="I381" s="14"/>
      <c r="J381" s="14"/>
      <c r="K381" s="14"/>
      <c r="L381" s="14"/>
      <c r="M381" s="14"/>
      <c r="N381" s="14"/>
      <c r="O381" s="14"/>
      <c r="P381" s="14"/>
      <c r="Q381" s="14"/>
      <c r="R381" s="14"/>
      <c r="S381" s="14"/>
      <c r="T381" s="14"/>
      <c r="U381" s="14"/>
      <c r="V381" s="14"/>
      <c r="W381" s="14"/>
      <c r="X381" s="14"/>
      <c r="Y381" s="14"/>
      <c r="Z381" s="14"/>
      <c r="AA381" s="15"/>
      <c r="AB381" s="3"/>
      <c r="AC381" s="3"/>
      <c r="AD381" s="3"/>
      <c r="AE381" s="3"/>
      <c r="AF381" s="3"/>
      <c r="AG381" s="3"/>
      <c r="AH381" s="3"/>
      <c r="AI381" s="3"/>
      <c r="AJ381" s="3"/>
      <c r="AK381" s="3"/>
      <c r="AL381" s="3"/>
      <c r="AM381" s="3"/>
      <c r="AN381" s="3"/>
      <c r="AO381" s="3"/>
    </row>
    <row r="382" spans="2:41" s="171" customFormat="1" ht="18.75" x14ac:dyDescent="0.3">
      <c r="B382" s="67"/>
      <c r="C382" s="14"/>
      <c r="D382" s="14"/>
      <c r="E382" s="56"/>
      <c r="F382" s="56"/>
      <c r="G382" s="14"/>
      <c r="H382" s="56"/>
      <c r="I382" s="74"/>
      <c r="J382" s="14"/>
      <c r="K382" s="14"/>
      <c r="L382" s="14"/>
      <c r="M382" s="14"/>
      <c r="N382" s="14"/>
      <c r="O382" s="14"/>
      <c r="P382" s="14"/>
      <c r="Q382" s="14"/>
      <c r="R382" s="14"/>
      <c r="S382" s="14"/>
      <c r="T382" s="14"/>
      <c r="U382" s="14"/>
      <c r="V382" s="14"/>
      <c r="W382" s="14"/>
      <c r="X382" s="14"/>
      <c r="Y382" s="14"/>
      <c r="Z382" s="14"/>
      <c r="AA382" s="15"/>
      <c r="AB382" s="3"/>
      <c r="AC382" s="3"/>
      <c r="AD382" s="3"/>
      <c r="AE382" s="3"/>
      <c r="AF382" s="3"/>
      <c r="AG382" s="3"/>
      <c r="AH382" s="3"/>
      <c r="AI382" s="3"/>
      <c r="AJ382" s="3"/>
      <c r="AK382" s="3"/>
      <c r="AL382" s="3"/>
      <c r="AM382" s="3"/>
      <c r="AN382" s="3"/>
      <c r="AO382" s="3"/>
    </row>
    <row r="383" spans="2:41" s="171" customFormat="1" x14ac:dyDescent="0.25">
      <c r="B383" s="18"/>
      <c r="C383" s="19"/>
      <c r="D383" s="63"/>
      <c r="E383" s="64"/>
      <c r="F383" s="64"/>
      <c r="G383" s="19"/>
      <c r="H383" s="19"/>
      <c r="I383" s="19"/>
      <c r="J383" s="19"/>
      <c r="K383" s="19"/>
      <c r="L383" s="19"/>
      <c r="M383" s="19"/>
      <c r="N383" s="19"/>
      <c r="O383" s="19"/>
      <c r="P383" s="19"/>
      <c r="Q383" s="19"/>
      <c r="R383" s="19"/>
      <c r="S383" s="19"/>
      <c r="T383" s="19"/>
      <c r="U383" s="19"/>
      <c r="V383" s="19"/>
      <c r="W383" s="19"/>
      <c r="X383" s="19"/>
      <c r="Y383" s="19"/>
      <c r="Z383" s="19"/>
      <c r="AA383" s="20"/>
      <c r="AB383" s="3"/>
      <c r="AC383" s="3"/>
      <c r="AD383" s="3"/>
      <c r="AE383" s="3"/>
      <c r="AF383" s="3"/>
      <c r="AG383" s="3"/>
      <c r="AH383" s="3"/>
      <c r="AI383" s="3"/>
      <c r="AJ383" s="3"/>
      <c r="AK383" s="3"/>
      <c r="AL383" s="3"/>
      <c r="AM383" s="3"/>
      <c r="AN383" s="3"/>
      <c r="AO383" s="3"/>
    </row>
    <row r="384" spans="2:41" s="171" customFormat="1" x14ac:dyDescent="0.25">
      <c r="B384" s="13"/>
      <c r="C384" s="13"/>
      <c r="D384" s="60"/>
      <c r="E384" s="56"/>
      <c r="F384" s="56"/>
      <c r="G384" s="14"/>
      <c r="H384" s="61"/>
      <c r="I384" s="15"/>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row>
    <row r="385" spans="2:41" s="171" customFormat="1" x14ac:dyDescent="0.25">
      <c r="B385" s="13"/>
      <c r="C385" s="13"/>
      <c r="D385" s="60"/>
      <c r="E385" s="56"/>
      <c r="F385" s="56"/>
      <c r="G385" s="14"/>
      <c r="H385" s="61"/>
      <c r="I385" s="15"/>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row>
    <row r="386" spans="2:41" s="171" customFormat="1" x14ac:dyDescent="0.25">
      <c r="B386" s="13"/>
      <c r="C386" s="13"/>
      <c r="D386" s="60"/>
      <c r="E386" s="56"/>
      <c r="F386" s="56"/>
      <c r="G386" s="14"/>
      <c r="H386" s="61"/>
      <c r="I386" s="15"/>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row>
    <row r="387" spans="2:41" s="171" customFormat="1" x14ac:dyDescent="0.25">
      <c r="B387" s="13"/>
      <c r="C387" s="62"/>
      <c r="D387" s="63"/>
      <c r="E387" s="64"/>
      <c r="F387" s="64"/>
      <c r="G387" s="64"/>
      <c r="H387" s="65"/>
      <c r="I387" s="15"/>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row>
    <row r="388" spans="2:41" s="171" customFormat="1" x14ac:dyDescent="0.25">
      <c r="B388" s="13"/>
      <c r="C388" s="14"/>
      <c r="D388" s="60"/>
      <c r="E388" s="66"/>
      <c r="F388" s="56"/>
      <c r="G388" s="14"/>
      <c r="H388" s="56"/>
      <c r="I388" s="15"/>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row>
    <row r="389" spans="2:41" s="171" customFormat="1" x14ac:dyDescent="0.25">
      <c r="B389" s="13"/>
      <c r="C389" s="10"/>
      <c r="D389" s="11"/>
      <c r="E389" s="56"/>
      <c r="F389" s="58"/>
      <c r="G389" s="11"/>
      <c r="H389" s="59"/>
      <c r="I389" s="15"/>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row>
    <row r="390" spans="2:41" s="171" customFormat="1" ht="18.75" x14ac:dyDescent="0.3">
      <c r="B390" s="67"/>
      <c r="C390" s="13"/>
      <c r="D390" s="60"/>
      <c r="E390" s="56"/>
      <c r="F390" s="56"/>
      <c r="G390" s="14"/>
      <c r="H390" s="15"/>
      <c r="I390" s="68"/>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row>
    <row r="391" spans="2:41" s="171" customFormat="1" x14ac:dyDescent="0.25">
      <c r="B391" s="13"/>
      <c r="C391" s="13"/>
      <c r="D391" s="60"/>
      <c r="E391" s="56"/>
      <c r="F391" s="56"/>
      <c r="G391" s="14"/>
      <c r="H391" s="61"/>
      <c r="I391" s="15"/>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row>
    <row r="392" spans="2:41" s="171" customFormat="1" x14ac:dyDescent="0.25">
      <c r="B392" s="13"/>
      <c r="C392" s="13"/>
      <c r="D392" s="60"/>
      <c r="E392" s="56"/>
      <c r="F392" s="56"/>
      <c r="G392" s="14"/>
      <c r="H392" s="61"/>
      <c r="I392" s="15"/>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row>
    <row r="393" spans="2:41" s="171" customFormat="1" x14ac:dyDescent="0.25">
      <c r="B393" s="13"/>
      <c r="C393" s="13"/>
      <c r="D393" s="60"/>
      <c r="E393" s="56"/>
      <c r="F393" s="56"/>
      <c r="G393" s="14"/>
      <c r="H393" s="61"/>
      <c r="I393" s="15"/>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row>
    <row r="394" spans="2:41" s="171" customFormat="1" x14ac:dyDescent="0.25">
      <c r="B394" s="13"/>
      <c r="C394" s="62"/>
      <c r="D394" s="63"/>
      <c r="E394" s="64"/>
      <c r="F394" s="64"/>
      <c r="G394" s="64"/>
      <c r="H394" s="65"/>
      <c r="I394" s="15"/>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row>
    <row r="395" spans="2:41" s="171" customFormat="1" x14ac:dyDescent="0.25">
      <c r="B395" s="13"/>
      <c r="C395" s="14"/>
      <c r="D395" s="60"/>
      <c r="E395" s="66"/>
      <c r="F395" s="56"/>
      <c r="G395" s="14"/>
      <c r="H395" s="56"/>
      <c r="I395" s="15"/>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row>
    <row r="396" spans="2:41" s="171" customFormat="1" x14ac:dyDescent="0.25">
      <c r="B396" s="13"/>
      <c r="C396" s="10"/>
      <c r="D396" s="11"/>
      <c r="E396" s="56"/>
      <c r="F396" s="58"/>
      <c r="G396" s="11"/>
      <c r="H396" s="59"/>
      <c r="I396" s="15"/>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row>
    <row r="397" spans="2:41" s="171" customFormat="1" x14ac:dyDescent="0.25">
      <c r="B397" s="13"/>
      <c r="C397" s="13"/>
      <c r="D397" s="60"/>
      <c r="E397" s="56"/>
      <c r="F397" s="56"/>
      <c r="G397" s="14"/>
      <c r="H397" s="15"/>
      <c r="I397" s="15"/>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row>
    <row r="398" spans="2:41" s="171" customFormat="1" ht="18.75" x14ac:dyDescent="0.3">
      <c r="B398" s="67"/>
      <c r="C398" s="13"/>
      <c r="D398" s="60"/>
      <c r="E398" s="56"/>
      <c r="F398" s="56"/>
      <c r="G398" s="14"/>
      <c r="H398" s="61"/>
      <c r="I398" s="68"/>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row>
    <row r="399" spans="2:41" s="171" customFormat="1" x14ac:dyDescent="0.25">
      <c r="B399" s="13"/>
      <c r="C399" s="13"/>
      <c r="D399" s="60"/>
      <c r="E399" s="56"/>
      <c r="F399" s="56"/>
      <c r="G399" s="14"/>
      <c r="H399" s="61"/>
      <c r="I399" s="15"/>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row>
    <row r="400" spans="2:41" s="171" customFormat="1" x14ac:dyDescent="0.25">
      <c r="B400" s="13"/>
      <c r="C400" s="13"/>
      <c r="D400" s="60"/>
      <c r="E400" s="56"/>
      <c r="F400" s="56"/>
      <c r="G400" s="14"/>
      <c r="H400" s="61"/>
      <c r="I400" s="15"/>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row>
    <row r="401" spans="2:41" s="171" customFormat="1" x14ac:dyDescent="0.25">
      <c r="B401" s="13"/>
      <c r="C401" s="62"/>
      <c r="D401" s="63"/>
      <c r="E401" s="64"/>
      <c r="F401" s="64"/>
      <c r="G401" s="64"/>
      <c r="H401" s="65"/>
      <c r="I401" s="15"/>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row>
    <row r="402" spans="2:41" s="171" customFormat="1" x14ac:dyDescent="0.25">
      <c r="B402" s="13"/>
      <c r="C402" s="14"/>
      <c r="D402" s="60"/>
      <c r="E402" s="66"/>
      <c r="F402" s="56"/>
      <c r="G402" s="14"/>
      <c r="H402" s="56"/>
      <c r="I402" s="15"/>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row>
    <row r="403" spans="2:41" s="171" customFormat="1" x14ac:dyDescent="0.25">
      <c r="B403" s="13"/>
      <c r="C403" s="10"/>
      <c r="D403" s="11"/>
      <c r="E403" s="56"/>
      <c r="F403" s="58"/>
      <c r="G403" s="11"/>
      <c r="H403" s="59"/>
      <c r="I403" s="15"/>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row>
    <row r="404" spans="2:41" s="171" customFormat="1" x14ac:dyDescent="0.25">
      <c r="B404" s="13"/>
      <c r="C404" s="13"/>
      <c r="D404" s="60"/>
      <c r="E404" s="56"/>
      <c r="F404" s="56"/>
      <c r="G404" s="14"/>
      <c r="H404" s="15"/>
      <c r="I404" s="15"/>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row>
    <row r="405" spans="2:41" s="171" customFormat="1" x14ac:dyDescent="0.25">
      <c r="B405" s="13"/>
      <c r="C405" s="13"/>
      <c r="D405" s="60"/>
      <c r="E405" s="56"/>
      <c r="F405" s="56"/>
      <c r="G405" s="14"/>
      <c r="H405" s="61"/>
      <c r="I405" s="15"/>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row>
    <row r="406" spans="2:41" s="171" customFormat="1" ht="18.75" x14ac:dyDescent="0.3">
      <c r="B406" s="67"/>
      <c r="C406" s="13"/>
      <c r="D406" s="60"/>
      <c r="E406" s="56"/>
      <c r="F406" s="56"/>
      <c r="G406" s="14"/>
      <c r="H406" s="61"/>
      <c r="I406" s="68"/>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row>
    <row r="407" spans="2:41" s="171" customFormat="1" x14ac:dyDescent="0.25">
      <c r="B407" s="13"/>
      <c r="C407" s="13"/>
      <c r="D407" s="60"/>
      <c r="E407" s="56"/>
      <c r="F407" s="56"/>
      <c r="G407" s="14"/>
      <c r="H407" s="61"/>
      <c r="I407" s="1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row>
    <row r="408" spans="2:41" s="171" customFormat="1" x14ac:dyDescent="0.25">
      <c r="B408" s="13"/>
      <c r="C408" s="62"/>
      <c r="D408" s="63"/>
      <c r="E408" s="64"/>
      <c r="F408" s="64"/>
      <c r="G408" s="64"/>
      <c r="H408" s="65"/>
      <c r="I408" s="15"/>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row>
    <row r="409" spans="2:41" s="171" customFormat="1" x14ac:dyDescent="0.25">
      <c r="B409" s="13"/>
      <c r="C409" s="14"/>
      <c r="D409" s="60"/>
      <c r="E409" s="66"/>
      <c r="F409" s="56"/>
      <c r="G409" s="14"/>
      <c r="H409" s="56"/>
      <c r="I409" s="1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row>
    <row r="410" spans="2:41" s="171" customFormat="1" x14ac:dyDescent="0.25">
      <c r="B410" s="13"/>
      <c r="C410" s="10"/>
      <c r="D410" s="11"/>
      <c r="E410" s="56"/>
      <c r="F410" s="58"/>
      <c r="G410" s="11"/>
      <c r="H410" s="59"/>
      <c r="I410" s="15"/>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row>
    <row r="411" spans="2:41" s="171" customFormat="1" x14ac:dyDescent="0.25">
      <c r="B411" s="13"/>
      <c r="C411" s="13"/>
      <c r="D411" s="60"/>
      <c r="E411" s="56"/>
      <c r="F411" s="56"/>
      <c r="G411" s="14"/>
      <c r="H411" s="15"/>
      <c r="I411" s="15"/>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row>
    <row r="412" spans="2:41" s="171" customFormat="1" x14ac:dyDescent="0.25">
      <c r="B412" s="13"/>
      <c r="C412" s="13"/>
      <c r="D412" s="60"/>
      <c r="E412" s="56"/>
      <c r="F412" s="56"/>
      <c r="G412" s="14"/>
      <c r="H412" s="61"/>
      <c r="I412" s="15"/>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row>
    <row r="413" spans="2:41" s="171" customFormat="1" x14ac:dyDescent="0.25">
      <c r="B413" s="13"/>
      <c r="C413" s="13"/>
      <c r="D413" s="60"/>
      <c r="E413" s="56"/>
      <c r="F413" s="56"/>
      <c r="G413" s="14"/>
      <c r="H413" s="61"/>
      <c r="I413" s="15"/>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row>
    <row r="414" spans="2:41" s="171" customFormat="1" ht="18.75" x14ac:dyDescent="0.3">
      <c r="B414" s="67"/>
      <c r="C414" s="13"/>
      <c r="D414" s="60"/>
      <c r="E414" s="56"/>
      <c r="F414" s="56"/>
      <c r="G414" s="14"/>
      <c r="H414" s="61"/>
      <c r="I414" s="68"/>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row>
    <row r="415" spans="2:41" s="171" customFormat="1" x14ac:dyDescent="0.25">
      <c r="B415" s="13"/>
      <c r="C415" s="62"/>
      <c r="D415" s="63"/>
      <c r="E415" s="64"/>
      <c r="F415" s="64"/>
      <c r="G415" s="64"/>
      <c r="H415" s="65"/>
      <c r="I415" s="15"/>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row>
    <row r="416" spans="2:41" s="171" customFormat="1" x14ac:dyDescent="0.25">
      <c r="B416" s="13"/>
      <c r="C416" s="14"/>
      <c r="D416" s="60"/>
      <c r="E416" s="66"/>
      <c r="F416" s="56"/>
      <c r="G416" s="14"/>
      <c r="H416" s="56"/>
      <c r="I416" s="15"/>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row>
    <row r="417" spans="2:41" s="171" customFormat="1" x14ac:dyDescent="0.25">
      <c r="B417" s="13"/>
      <c r="C417" s="10"/>
      <c r="D417" s="11"/>
      <c r="E417" s="56"/>
      <c r="F417" s="58"/>
      <c r="G417" s="11"/>
      <c r="H417" s="59"/>
      <c r="I417" s="15"/>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row>
    <row r="418" spans="2:41" s="171" customFormat="1" x14ac:dyDescent="0.25">
      <c r="B418" s="13"/>
      <c r="C418" s="13"/>
      <c r="D418" s="60"/>
      <c r="E418" s="56"/>
      <c r="F418" s="56"/>
      <c r="G418" s="14"/>
      <c r="H418" s="15"/>
      <c r="I418" s="15"/>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row>
    <row r="419" spans="2:41" s="171" customFormat="1" x14ac:dyDescent="0.25">
      <c r="B419" s="13"/>
      <c r="C419" s="13"/>
      <c r="D419" s="60"/>
      <c r="E419" s="56"/>
      <c r="F419" s="56"/>
      <c r="G419" s="14"/>
      <c r="H419" s="61"/>
      <c r="I419" s="15"/>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row>
    <row r="420" spans="2:41" s="171" customFormat="1" x14ac:dyDescent="0.25">
      <c r="B420" s="13"/>
      <c r="C420" s="13"/>
      <c r="D420" s="60"/>
      <c r="E420" s="56"/>
      <c r="F420" s="56"/>
      <c r="G420" s="14"/>
      <c r="H420" s="61"/>
      <c r="I420" s="15"/>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row>
    <row r="421" spans="2:41" s="171" customFormat="1" x14ac:dyDescent="0.25">
      <c r="B421" s="13"/>
      <c r="C421" s="13"/>
      <c r="D421" s="60"/>
      <c r="E421" s="56"/>
      <c r="F421" s="56"/>
      <c r="G421" s="14"/>
      <c r="H421" s="61"/>
      <c r="I421" s="15"/>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row>
    <row r="422" spans="2:41" s="171" customFormat="1" ht="18.75" x14ac:dyDescent="0.3">
      <c r="B422" s="67"/>
      <c r="C422" s="62"/>
      <c r="D422" s="63"/>
      <c r="E422" s="64"/>
      <c r="F422" s="64"/>
      <c r="G422" s="64"/>
      <c r="H422" s="65"/>
      <c r="I422" s="68"/>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row>
    <row r="423" spans="2:41" s="171" customFormat="1" x14ac:dyDescent="0.25">
      <c r="B423" s="13"/>
      <c r="C423" s="14"/>
      <c r="D423" s="60"/>
      <c r="E423" s="66"/>
      <c r="F423" s="56"/>
      <c r="G423" s="14"/>
      <c r="H423" s="56"/>
      <c r="I423" s="15"/>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row>
    <row r="424" spans="2:41" s="171" customFormat="1" x14ac:dyDescent="0.25">
      <c r="B424" s="13"/>
      <c r="C424" s="10"/>
      <c r="D424" s="11"/>
      <c r="E424" s="56"/>
      <c r="F424" s="58"/>
      <c r="G424" s="11"/>
      <c r="H424" s="59"/>
      <c r="I424" s="15"/>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row>
    <row r="425" spans="2:41" s="171" customFormat="1" x14ac:dyDescent="0.25">
      <c r="B425" s="13"/>
      <c r="C425" s="13"/>
      <c r="D425" s="60"/>
      <c r="E425" s="56"/>
      <c r="F425" s="56"/>
      <c r="G425" s="14"/>
      <c r="H425" s="15"/>
      <c r="I425" s="15"/>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row>
    <row r="426" spans="2:41" s="171" customFormat="1" x14ac:dyDescent="0.25">
      <c r="B426" s="13"/>
      <c r="C426" s="13"/>
      <c r="D426" s="60"/>
      <c r="E426" s="56"/>
      <c r="F426" s="56"/>
      <c r="G426" s="14"/>
      <c r="H426" s="61"/>
      <c r="I426" s="15"/>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row>
    <row r="427" spans="2:41" s="171" customFormat="1" x14ac:dyDescent="0.25">
      <c r="B427" s="13"/>
      <c r="C427" s="13"/>
      <c r="D427" s="60"/>
      <c r="E427" s="56"/>
      <c r="F427" s="56"/>
      <c r="G427" s="14"/>
      <c r="H427" s="61"/>
      <c r="I427" s="15"/>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row>
    <row r="428" spans="2:41" s="171" customFormat="1" x14ac:dyDescent="0.25">
      <c r="B428" s="13"/>
      <c r="C428" s="13"/>
      <c r="D428" s="60"/>
      <c r="E428" s="56"/>
      <c r="F428" s="56"/>
      <c r="G428" s="14"/>
      <c r="H428" s="61"/>
      <c r="I428" s="15"/>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row>
    <row r="429" spans="2:41" s="171" customFormat="1" x14ac:dyDescent="0.25">
      <c r="B429" s="13"/>
      <c r="C429" s="62"/>
      <c r="D429" s="63"/>
      <c r="E429" s="64"/>
      <c r="F429" s="64"/>
      <c r="G429" s="64"/>
      <c r="H429" s="65"/>
      <c r="I429" s="15"/>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row>
    <row r="430" spans="2:41" s="171" customFormat="1" ht="18.75" x14ac:dyDescent="0.3">
      <c r="B430" s="67"/>
      <c r="C430" s="14"/>
      <c r="D430" s="60"/>
      <c r="E430" s="66"/>
      <c r="F430" s="56"/>
      <c r="G430" s="14"/>
      <c r="H430" s="56"/>
      <c r="I430" s="68"/>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row>
    <row r="431" spans="2:41" s="171" customFormat="1" x14ac:dyDescent="0.25">
      <c r="B431" s="13"/>
      <c r="C431" s="10"/>
      <c r="D431" s="11"/>
      <c r="E431" s="56"/>
      <c r="F431" s="58"/>
      <c r="G431" s="11"/>
      <c r="H431" s="59"/>
      <c r="I431" s="15"/>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row>
    <row r="432" spans="2:41" s="171" customFormat="1" x14ac:dyDescent="0.25">
      <c r="B432" s="13"/>
      <c r="C432" s="13"/>
      <c r="D432" s="60"/>
      <c r="E432" s="56"/>
      <c r="F432" s="56"/>
      <c r="G432" s="14"/>
      <c r="H432" s="15"/>
      <c r="I432" s="15"/>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row>
    <row r="433" spans="2:41" s="171" customFormat="1" x14ac:dyDescent="0.25">
      <c r="B433" s="13"/>
      <c r="C433" s="13"/>
      <c r="D433" s="60"/>
      <c r="E433" s="56"/>
      <c r="F433" s="56"/>
      <c r="G433" s="14"/>
      <c r="H433" s="61"/>
      <c r="I433" s="15"/>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row>
    <row r="434" spans="2:41" s="171" customFormat="1" x14ac:dyDescent="0.25">
      <c r="B434" s="13"/>
      <c r="C434" s="13"/>
      <c r="D434" s="60"/>
      <c r="E434" s="56"/>
      <c r="F434" s="56"/>
      <c r="G434" s="14"/>
      <c r="H434" s="61"/>
      <c r="I434" s="15"/>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row>
    <row r="435" spans="2:41" s="171" customFormat="1" x14ac:dyDescent="0.25">
      <c r="B435" s="13"/>
      <c r="C435" s="13"/>
      <c r="D435" s="60"/>
      <c r="E435" s="56"/>
      <c r="F435" s="56"/>
      <c r="G435" s="14"/>
      <c r="H435" s="61"/>
      <c r="I435" s="15"/>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row>
    <row r="436" spans="2:41" s="171" customFormat="1" x14ac:dyDescent="0.25">
      <c r="B436" s="13"/>
      <c r="C436" s="62"/>
      <c r="D436" s="63"/>
      <c r="E436" s="64"/>
      <c r="F436" s="64"/>
      <c r="G436" s="64"/>
      <c r="H436" s="65"/>
      <c r="I436" s="15"/>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row>
    <row r="437" spans="2:41" s="171" customFormat="1" x14ac:dyDescent="0.25">
      <c r="B437" s="13"/>
      <c r="C437" s="14"/>
      <c r="D437" s="60"/>
      <c r="E437" s="66"/>
      <c r="F437" s="56"/>
      <c r="G437" s="14"/>
      <c r="H437" s="56"/>
      <c r="I437" s="15"/>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row>
    <row r="438" spans="2:41" s="171" customFormat="1" ht="18.75" x14ac:dyDescent="0.3">
      <c r="B438" s="67"/>
      <c r="C438" s="10"/>
      <c r="D438" s="11"/>
      <c r="E438" s="56"/>
      <c r="F438" s="58"/>
      <c r="G438" s="11"/>
      <c r="H438" s="59"/>
      <c r="I438" s="68"/>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row>
    <row r="439" spans="2:41" s="171" customFormat="1" x14ac:dyDescent="0.25">
      <c r="B439" s="13"/>
      <c r="C439" s="13"/>
      <c r="D439" s="60"/>
      <c r="E439" s="56"/>
      <c r="F439" s="56"/>
      <c r="G439" s="14"/>
      <c r="H439" s="15"/>
      <c r="I439" s="15"/>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row>
    <row r="440" spans="2:41" s="171" customFormat="1" x14ac:dyDescent="0.25">
      <c r="B440" s="13"/>
      <c r="C440" s="13"/>
      <c r="D440" s="60"/>
      <c r="E440" s="56"/>
      <c r="F440" s="56"/>
      <c r="G440" s="14"/>
      <c r="H440" s="61"/>
      <c r="I440" s="15"/>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row>
    <row r="441" spans="2:41" s="171" customFormat="1" x14ac:dyDescent="0.25">
      <c r="B441" s="13"/>
      <c r="C441" s="13"/>
      <c r="D441" s="60"/>
      <c r="E441" s="56"/>
      <c r="F441" s="56"/>
      <c r="G441" s="14"/>
      <c r="H441" s="61"/>
      <c r="I441" s="15"/>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row>
    <row r="442" spans="2:41" s="171" customFormat="1" x14ac:dyDescent="0.25">
      <c r="B442" s="13"/>
      <c r="C442" s="13"/>
      <c r="D442" s="60"/>
      <c r="E442" s="56"/>
      <c r="F442" s="56"/>
      <c r="G442" s="14"/>
      <c r="H442" s="61"/>
      <c r="I442" s="15"/>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row>
    <row r="443" spans="2:41" s="171" customFormat="1" x14ac:dyDescent="0.25">
      <c r="B443" s="13"/>
      <c r="C443" s="62"/>
      <c r="D443" s="63"/>
      <c r="E443" s="64"/>
      <c r="F443" s="64"/>
      <c r="G443" s="64"/>
      <c r="H443" s="65"/>
      <c r="I443" s="15"/>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row>
    <row r="444" spans="2:41" s="171" customFormat="1" x14ac:dyDescent="0.25">
      <c r="B444" s="13"/>
      <c r="C444" s="14"/>
      <c r="D444" s="60"/>
      <c r="E444" s="66"/>
      <c r="F444" s="56"/>
      <c r="G444" s="14"/>
      <c r="H444" s="56"/>
      <c r="I444" s="15"/>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row>
    <row r="445" spans="2:41" s="171" customFormat="1" x14ac:dyDescent="0.25">
      <c r="B445" s="13"/>
      <c r="C445" s="10"/>
      <c r="D445" s="11"/>
      <c r="E445" s="56"/>
      <c r="F445" s="58"/>
      <c r="G445" s="11"/>
      <c r="H445" s="59"/>
      <c r="I445" s="15"/>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row>
    <row r="446" spans="2:41" s="171" customFormat="1" ht="18.75" x14ac:dyDescent="0.3">
      <c r="B446" s="67"/>
      <c r="C446" s="13"/>
      <c r="D446" s="60"/>
      <c r="E446" s="56"/>
      <c r="F446" s="56"/>
      <c r="G446" s="14"/>
      <c r="H446" s="15"/>
      <c r="I446" s="68"/>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row>
    <row r="447" spans="2:41" s="171" customFormat="1" x14ac:dyDescent="0.25">
      <c r="B447" s="13"/>
      <c r="C447" s="13"/>
      <c r="D447" s="60"/>
      <c r="E447" s="56"/>
      <c r="F447" s="56"/>
      <c r="G447" s="14"/>
      <c r="H447" s="61"/>
      <c r="I447" s="15"/>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row>
    <row r="448" spans="2:41" s="171" customFormat="1" x14ac:dyDescent="0.25">
      <c r="B448" s="13"/>
      <c r="C448" s="13"/>
      <c r="D448" s="60"/>
      <c r="E448" s="56"/>
      <c r="F448" s="56"/>
      <c r="G448" s="14"/>
      <c r="H448" s="61"/>
      <c r="I448" s="15"/>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row>
    <row r="449" spans="2:41" s="171" customFormat="1" x14ac:dyDescent="0.25">
      <c r="B449" s="13"/>
      <c r="C449" s="13"/>
      <c r="D449" s="60"/>
      <c r="E449" s="56"/>
      <c r="F449" s="56"/>
      <c r="G449" s="14"/>
      <c r="H449" s="61"/>
      <c r="I449" s="15"/>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row>
    <row r="450" spans="2:41" s="171" customFormat="1" x14ac:dyDescent="0.25">
      <c r="B450" s="13"/>
      <c r="C450" s="62"/>
      <c r="D450" s="63"/>
      <c r="E450" s="64"/>
      <c r="F450" s="64"/>
      <c r="G450" s="64"/>
      <c r="H450" s="65"/>
      <c r="I450" s="15"/>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row>
    <row r="451" spans="2:41" s="171" customFormat="1" x14ac:dyDescent="0.25">
      <c r="B451" s="13"/>
      <c r="C451" s="14"/>
      <c r="D451" s="60"/>
      <c r="E451" s="66"/>
      <c r="F451" s="56"/>
      <c r="G451" s="14"/>
      <c r="H451" s="56"/>
      <c r="I451" s="15"/>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row>
    <row r="452" spans="2:41" s="171" customFormat="1" x14ac:dyDescent="0.25">
      <c r="B452" s="13"/>
      <c r="C452" s="10"/>
      <c r="D452" s="11"/>
      <c r="E452" s="56"/>
      <c r="F452" s="58"/>
      <c r="G452" s="11"/>
      <c r="H452" s="59"/>
      <c r="I452" s="15"/>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row>
    <row r="453" spans="2:41" s="171" customFormat="1" x14ac:dyDescent="0.25">
      <c r="B453" s="13"/>
      <c r="C453" s="13"/>
      <c r="D453" s="60"/>
      <c r="E453" s="56"/>
      <c r="F453" s="56"/>
      <c r="G453" s="14"/>
      <c r="H453" s="15"/>
      <c r="I453" s="15"/>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row>
    <row r="454" spans="2:41" s="171" customFormat="1" ht="18.75" x14ac:dyDescent="0.3">
      <c r="B454" s="67"/>
      <c r="C454" s="13"/>
      <c r="D454" s="60"/>
      <c r="E454" s="56"/>
      <c r="F454" s="56"/>
      <c r="G454" s="14"/>
      <c r="H454" s="61"/>
      <c r="I454" s="68"/>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row>
    <row r="455" spans="2:41" s="171" customFormat="1" x14ac:dyDescent="0.25">
      <c r="B455" s="13"/>
      <c r="C455" s="13"/>
      <c r="D455" s="60"/>
      <c r="E455" s="56"/>
      <c r="F455" s="56"/>
      <c r="G455" s="14"/>
      <c r="H455" s="61"/>
      <c r="I455" s="15"/>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row>
    <row r="456" spans="2:41" s="171" customFormat="1" x14ac:dyDescent="0.25">
      <c r="B456" s="13"/>
      <c r="C456" s="13"/>
      <c r="D456" s="60"/>
      <c r="E456" s="56"/>
      <c r="F456" s="56"/>
      <c r="G456" s="14"/>
      <c r="H456" s="61"/>
      <c r="I456" s="15"/>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row>
    <row r="457" spans="2:41" s="171" customFormat="1" x14ac:dyDescent="0.25">
      <c r="B457" s="13"/>
      <c r="C457" s="62"/>
      <c r="D457" s="63"/>
      <c r="E457" s="64"/>
      <c r="F457" s="64"/>
      <c r="G457" s="64"/>
      <c r="H457" s="65"/>
      <c r="I457" s="15"/>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row>
    <row r="458" spans="2:41" s="171" customFormat="1" x14ac:dyDescent="0.25">
      <c r="B458" s="13"/>
      <c r="C458" s="14"/>
      <c r="D458" s="60"/>
      <c r="E458" s="66"/>
      <c r="F458" s="56"/>
      <c r="G458" s="14"/>
      <c r="H458" s="56"/>
      <c r="I458" s="15"/>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row>
    <row r="459" spans="2:41" s="171" customFormat="1" x14ac:dyDescent="0.25">
      <c r="B459" s="13"/>
      <c r="C459" s="10"/>
      <c r="D459" s="11"/>
      <c r="E459" s="56"/>
      <c r="F459" s="58"/>
      <c r="G459" s="11"/>
      <c r="H459" s="59"/>
      <c r="I459" s="15"/>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row>
    <row r="460" spans="2:41" s="171" customFormat="1" x14ac:dyDescent="0.25">
      <c r="B460" s="13"/>
      <c r="C460" s="13"/>
      <c r="D460" s="60"/>
      <c r="E460" s="56"/>
      <c r="F460" s="56"/>
      <c r="G460" s="14"/>
      <c r="H460" s="15"/>
      <c r="I460" s="15"/>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row>
    <row r="461" spans="2:41" s="171" customFormat="1" x14ac:dyDescent="0.25">
      <c r="B461" s="13"/>
      <c r="C461" s="13"/>
      <c r="D461" s="60"/>
      <c r="E461" s="56"/>
      <c r="F461" s="56"/>
      <c r="G461" s="14"/>
      <c r="H461" s="61"/>
      <c r="I461" s="15"/>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row>
    <row r="462" spans="2:41" s="171" customFormat="1" ht="18.75" x14ac:dyDescent="0.3">
      <c r="B462" s="67"/>
      <c r="C462" s="13"/>
      <c r="D462" s="60"/>
      <c r="E462" s="56"/>
      <c r="F462" s="56"/>
      <c r="G462" s="14"/>
      <c r="H462" s="61"/>
      <c r="I462" s="68"/>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row>
    <row r="463" spans="2:41" s="171" customFormat="1" x14ac:dyDescent="0.25">
      <c r="B463" s="13"/>
      <c r="C463" s="13"/>
      <c r="D463" s="60"/>
      <c r="E463" s="56"/>
      <c r="F463" s="56"/>
      <c r="G463" s="14"/>
      <c r="H463" s="61"/>
      <c r="I463" s="15"/>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row>
    <row r="464" spans="2:41" s="171" customFormat="1" x14ac:dyDescent="0.25">
      <c r="B464" s="13"/>
      <c r="C464" s="62"/>
      <c r="D464" s="63"/>
      <c r="E464" s="64"/>
      <c r="F464" s="64"/>
      <c r="G464" s="64"/>
      <c r="H464" s="65"/>
      <c r="I464" s="15"/>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row>
    <row r="465" spans="2:41" s="171" customFormat="1" x14ac:dyDescent="0.25">
      <c r="B465" s="13"/>
      <c r="C465" s="14"/>
      <c r="D465" s="60"/>
      <c r="E465" s="66"/>
      <c r="F465" s="56"/>
      <c r="G465" s="14"/>
      <c r="H465" s="56"/>
      <c r="I465" s="15"/>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row>
    <row r="466" spans="2:41" s="171" customFormat="1" x14ac:dyDescent="0.25">
      <c r="B466" s="13"/>
      <c r="C466" s="10"/>
      <c r="D466" s="11"/>
      <c r="E466" s="56"/>
      <c r="F466" s="58"/>
      <c r="G466" s="11"/>
      <c r="H466" s="59"/>
      <c r="I466" s="15"/>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row>
    <row r="467" spans="2:41" s="171" customFormat="1" x14ac:dyDescent="0.25">
      <c r="B467" s="13"/>
      <c r="C467" s="13"/>
      <c r="D467" s="60"/>
      <c r="E467" s="56"/>
      <c r="F467" s="56"/>
      <c r="G467" s="14"/>
      <c r="H467" s="15"/>
      <c r="I467" s="15"/>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row>
    <row r="468" spans="2:41" s="171" customFormat="1" x14ac:dyDescent="0.25">
      <c r="B468" s="13"/>
      <c r="C468" s="13"/>
      <c r="D468" s="60"/>
      <c r="E468" s="56"/>
      <c r="F468" s="56"/>
      <c r="G468" s="14"/>
      <c r="H468" s="61"/>
      <c r="I468" s="15"/>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row>
    <row r="469" spans="2:41" s="171" customFormat="1" x14ac:dyDescent="0.25">
      <c r="B469" s="13"/>
      <c r="C469" s="13"/>
      <c r="D469" s="60"/>
      <c r="E469" s="56"/>
      <c r="F469" s="56"/>
      <c r="G469" s="14"/>
      <c r="H469" s="61"/>
      <c r="I469" s="15"/>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row>
    <row r="470" spans="2:41" s="171" customFormat="1" ht="18.75" x14ac:dyDescent="0.3">
      <c r="B470" s="67"/>
      <c r="C470" s="13"/>
      <c r="D470" s="60"/>
      <c r="E470" s="56"/>
      <c r="F470" s="56"/>
      <c r="G470" s="14"/>
      <c r="H470" s="61"/>
      <c r="I470" s="68"/>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row>
    <row r="471" spans="2:41" s="171" customFormat="1" x14ac:dyDescent="0.25">
      <c r="B471" s="13"/>
      <c r="C471" s="62"/>
      <c r="D471" s="63"/>
      <c r="E471" s="64"/>
      <c r="F471" s="64"/>
      <c r="G471" s="64"/>
      <c r="H471" s="65"/>
      <c r="I471" s="15"/>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row>
    <row r="472" spans="2:41" s="171" customFormat="1" x14ac:dyDescent="0.25">
      <c r="B472" s="13"/>
      <c r="C472" s="14"/>
      <c r="D472" s="60"/>
      <c r="E472" s="66"/>
      <c r="F472" s="56"/>
      <c r="G472" s="14"/>
      <c r="H472" s="56"/>
      <c r="I472" s="15"/>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row>
    <row r="473" spans="2:41" s="171" customFormat="1" x14ac:dyDescent="0.25">
      <c r="B473" s="13"/>
      <c r="C473" s="10"/>
      <c r="D473" s="11"/>
      <c r="E473" s="56"/>
      <c r="F473" s="58"/>
      <c r="G473" s="11"/>
      <c r="H473" s="59"/>
      <c r="I473" s="15"/>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row>
    <row r="474" spans="2:41" s="171" customFormat="1" x14ac:dyDescent="0.25">
      <c r="B474" s="13"/>
      <c r="C474" s="13"/>
      <c r="D474" s="60"/>
      <c r="E474" s="56"/>
      <c r="F474" s="56"/>
      <c r="G474" s="14"/>
      <c r="H474" s="15"/>
      <c r="I474" s="1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row>
    <row r="475" spans="2:41" s="171" customFormat="1" x14ac:dyDescent="0.25">
      <c r="B475" s="13"/>
      <c r="C475" s="13"/>
      <c r="D475" s="60"/>
      <c r="E475" s="56"/>
      <c r="F475" s="56"/>
      <c r="G475" s="14"/>
      <c r="H475" s="61"/>
      <c r="I475" s="15"/>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row>
    <row r="476" spans="2:41" s="171" customFormat="1" x14ac:dyDescent="0.25">
      <c r="B476" s="13"/>
      <c r="C476" s="13"/>
      <c r="D476" s="60"/>
      <c r="E476" s="56"/>
      <c r="F476" s="56"/>
      <c r="G476" s="14"/>
      <c r="H476" s="61"/>
      <c r="I476" s="15"/>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row>
    <row r="477" spans="2:41" s="171" customFormat="1" x14ac:dyDescent="0.25">
      <c r="B477" s="13"/>
      <c r="C477" s="13"/>
      <c r="D477" s="60"/>
      <c r="E477" s="56"/>
      <c r="F477" s="56"/>
      <c r="G477" s="14"/>
      <c r="H477" s="61"/>
      <c r="I477" s="15"/>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row>
    <row r="478" spans="2:41" s="171" customFormat="1" ht="18.75" x14ac:dyDescent="0.3">
      <c r="B478" s="67"/>
      <c r="C478" s="62"/>
      <c r="D478" s="63"/>
      <c r="E478" s="64"/>
      <c r="F478" s="64"/>
      <c r="G478" s="64"/>
      <c r="H478" s="65"/>
      <c r="I478" s="68"/>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row>
    <row r="479" spans="2:41" s="171" customFormat="1" x14ac:dyDescent="0.25">
      <c r="B479" s="13"/>
      <c r="C479" s="14"/>
      <c r="D479" s="60"/>
      <c r="E479" s="66"/>
      <c r="F479" s="56"/>
      <c r="G479" s="14"/>
      <c r="H479" s="56"/>
      <c r="I479" s="15"/>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row>
    <row r="480" spans="2:41" s="171" customFormat="1" x14ac:dyDescent="0.25">
      <c r="B480" s="13"/>
      <c r="C480" s="10"/>
      <c r="D480" s="11"/>
      <c r="E480" s="56"/>
      <c r="F480" s="58"/>
      <c r="G480" s="11"/>
      <c r="H480" s="59"/>
      <c r="I480" s="15"/>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row>
    <row r="481" spans="2:41" s="171" customFormat="1" x14ac:dyDescent="0.25">
      <c r="B481" s="13"/>
      <c r="C481" s="13"/>
      <c r="D481" s="60"/>
      <c r="E481" s="56"/>
      <c r="F481" s="56"/>
      <c r="G481" s="14"/>
      <c r="H481" s="15"/>
      <c r="I481" s="15"/>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row>
    <row r="482" spans="2:41" s="171" customFormat="1" x14ac:dyDescent="0.25">
      <c r="B482" s="13"/>
      <c r="C482" s="13"/>
      <c r="D482" s="60"/>
      <c r="E482" s="56"/>
      <c r="F482" s="56"/>
      <c r="G482" s="14"/>
      <c r="H482" s="61"/>
      <c r="I482" s="15"/>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row>
    <row r="483" spans="2:41" s="171" customFormat="1" x14ac:dyDescent="0.25">
      <c r="B483" s="13"/>
      <c r="C483" s="13"/>
      <c r="D483" s="60"/>
      <c r="E483" s="56"/>
      <c r="F483" s="56"/>
      <c r="G483" s="14"/>
      <c r="H483" s="61"/>
      <c r="I483" s="15"/>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row>
    <row r="484" spans="2:41" s="171" customFormat="1" x14ac:dyDescent="0.25">
      <c r="B484" s="13"/>
      <c r="C484" s="13"/>
      <c r="D484" s="60"/>
      <c r="E484" s="56"/>
      <c r="F484" s="56"/>
      <c r="G484" s="14"/>
      <c r="H484" s="61"/>
      <c r="I484" s="15"/>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row>
    <row r="485" spans="2:41" s="171" customFormat="1" x14ac:dyDescent="0.25">
      <c r="B485" s="13"/>
      <c r="C485" s="62"/>
      <c r="D485" s="63"/>
      <c r="E485" s="64"/>
      <c r="F485" s="64"/>
      <c r="G485" s="64"/>
      <c r="H485" s="65"/>
      <c r="I485" s="15"/>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row>
    <row r="486" spans="2:41" s="171" customFormat="1" ht="18.75" x14ac:dyDescent="0.3">
      <c r="B486" s="67"/>
      <c r="C486" s="14"/>
      <c r="D486" s="60"/>
      <c r="E486" s="66"/>
      <c r="F486" s="56"/>
      <c r="G486" s="14"/>
      <c r="H486" s="56"/>
      <c r="I486" s="68"/>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row>
    <row r="487" spans="2:41" s="171" customFormat="1" x14ac:dyDescent="0.25">
      <c r="B487" s="13"/>
      <c r="C487" s="10"/>
      <c r="D487" s="11"/>
      <c r="E487" s="56"/>
      <c r="F487" s="58"/>
      <c r="G487" s="11"/>
      <c r="H487" s="59"/>
      <c r="I487" s="15"/>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row>
    <row r="488" spans="2:41" s="171" customFormat="1" x14ac:dyDescent="0.25">
      <c r="B488" s="13"/>
      <c r="C488" s="13"/>
      <c r="D488" s="60"/>
      <c r="E488" s="56"/>
      <c r="F488" s="56"/>
      <c r="G488" s="14"/>
      <c r="H488" s="15"/>
      <c r="I488" s="15"/>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row>
    <row r="489" spans="2:41" s="171" customFormat="1" x14ac:dyDescent="0.25">
      <c r="B489" s="13"/>
      <c r="C489" s="13"/>
      <c r="D489" s="60"/>
      <c r="E489" s="56"/>
      <c r="F489" s="56"/>
      <c r="G489" s="14"/>
      <c r="H489" s="61"/>
      <c r="I489" s="15"/>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row>
    <row r="490" spans="2:41" s="171" customFormat="1" x14ac:dyDescent="0.25">
      <c r="B490" s="13"/>
      <c r="C490" s="13"/>
      <c r="D490" s="60"/>
      <c r="E490" s="56"/>
      <c r="F490" s="56"/>
      <c r="G490" s="14"/>
      <c r="H490" s="61"/>
      <c r="I490" s="15"/>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row>
    <row r="491" spans="2:41" s="171" customFormat="1" x14ac:dyDescent="0.25">
      <c r="B491" s="13"/>
      <c r="C491" s="13"/>
      <c r="D491" s="60"/>
      <c r="E491" s="56"/>
      <c r="F491" s="56"/>
      <c r="G491" s="14"/>
      <c r="H491" s="61"/>
      <c r="I491" s="15"/>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row>
    <row r="492" spans="2:41" s="171" customFormat="1" x14ac:dyDescent="0.25">
      <c r="B492" s="13"/>
      <c r="C492" s="62"/>
      <c r="D492" s="63"/>
      <c r="E492" s="64"/>
      <c r="F492" s="64"/>
      <c r="G492" s="64"/>
      <c r="H492" s="65"/>
      <c r="I492" s="15"/>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row>
    <row r="493" spans="2:41" s="171" customFormat="1" x14ac:dyDescent="0.25">
      <c r="B493" s="13"/>
      <c r="C493" s="14"/>
      <c r="D493" s="60"/>
      <c r="E493" s="66"/>
      <c r="F493" s="56"/>
      <c r="G493" s="14"/>
      <c r="H493" s="56"/>
      <c r="I493" s="15"/>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row>
    <row r="494" spans="2:41" s="171" customFormat="1" ht="18.75" x14ac:dyDescent="0.3">
      <c r="B494" s="67"/>
      <c r="C494" s="10"/>
      <c r="D494" s="11"/>
      <c r="E494" s="56"/>
      <c r="F494" s="58"/>
      <c r="G494" s="11"/>
      <c r="H494" s="59"/>
      <c r="I494" s="68"/>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row>
    <row r="495" spans="2:41" s="171" customFormat="1" x14ac:dyDescent="0.25">
      <c r="B495" s="13"/>
      <c r="C495" s="13"/>
      <c r="D495" s="60"/>
      <c r="E495" s="56"/>
      <c r="F495" s="56"/>
      <c r="G495" s="14"/>
      <c r="H495" s="15"/>
      <c r="I495" s="15"/>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row>
    <row r="496" spans="2:41" s="171" customFormat="1" x14ac:dyDescent="0.25">
      <c r="B496" s="13"/>
      <c r="C496" s="13"/>
      <c r="D496" s="60"/>
      <c r="E496" s="56"/>
      <c r="F496" s="56"/>
      <c r="G496" s="14"/>
      <c r="H496" s="61"/>
      <c r="I496" s="15"/>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row>
    <row r="497" spans="2:41" s="171" customFormat="1" x14ac:dyDescent="0.25">
      <c r="B497" s="13"/>
      <c r="C497" s="13"/>
      <c r="D497" s="60"/>
      <c r="E497" s="56"/>
      <c r="F497" s="56"/>
      <c r="G497" s="14"/>
      <c r="H497" s="61"/>
      <c r="I497" s="15"/>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row>
    <row r="498" spans="2:41" s="171" customFormat="1" x14ac:dyDescent="0.25">
      <c r="B498" s="13"/>
      <c r="C498" s="13"/>
      <c r="D498" s="60"/>
      <c r="E498" s="56"/>
      <c r="F498" s="56"/>
      <c r="G498" s="14"/>
      <c r="H498" s="61"/>
      <c r="I498" s="15"/>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row>
    <row r="499" spans="2:41" s="171" customFormat="1" x14ac:dyDescent="0.25">
      <c r="B499" s="13"/>
      <c r="C499" s="62"/>
      <c r="D499" s="63"/>
      <c r="E499" s="64"/>
      <c r="F499" s="64"/>
      <c r="G499" s="64"/>
      <c r="H499" s="65"/>
      <c r="I499" s="15"/>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row>
    <row r="500" spans="2:41" s="171" customFormat="1" x14ac:dyDescent="0.25">
      <c r="B500" s="13"/>
      <c r="C500" s="14"/>
      <c r="D500" s="60"/>
      <c r="E500" s="66"/>
      <c r="F500" s="56"/>
      <c r="G500" s="14"/>
      <c r="H500" s="56"/>
      <c r="I500" s="15"/>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row>
    <row r="501" spans="2:41" s="171" customFormat="1" x14ac:dyDescent="0.25">
      <c r="B501" s="13"/>
      <c r="C501" s="10"/>
      <c r="D501" s="11"/>
      <c r="E501" s="56"/>
      <c r="F501" s="58"/>
      <c r="G501" s="11"/>
      <c r="H501" s="59"/>
      <c r="I501" s="15"/>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row>
    <row r="502" spans="2:41" s="171" customFormat="1" ht="18.75" x14ac:dyDescent="0.3">
      <c r="B502" s="67"/>
      <c r="C502" s="13"/>
      <c r="D502" s="60"/>
      <c r="E502" s="56"/>
      <c r="F502" s="56"/>
      <c r="G502" s="14"/>
      <c r="H502" s="15"/>
      <c r="I502" s="68"/>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row>
    <row r="503" spans="2:41" s="171" customFormat="1" x14ac:dyDescent="0.25">
      <c r="B503" s="13"/>
      <c r="C503" s="13"/>
      <c r="D503" s="60"/>
      <c r="E503" s="56"/>
      <c r="F503" s="56"/>
      <c r="G503" s="14"/>
      <c r="H503" s="61"/>
      <c r="I503" s="15"/>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row>
    <row r="504" spans="2:41" s="171" customFormat="1" x14ac:dyDescent="0.25">
      <c r="B504" s="13"/>
      <c r="C504" s="13"/>
      <c r="D504" s="60"/>
      <c r="E504" s="56"/>
      <c r="F504" s="56"/>
      <c r="G504" s="14"/>
      <c r="H504" s="61"/>
      <c r="I504" s="15"/>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row>
    <row r="505" spans="2:41" s="171" customFormat="1" x14ac:dyDescent="0.25">
      <c r="B505" s="13"/>
      <c r="C505" s="13"/>
      <c r="D505" s="60"/>
      <c r="E505" s="56"/>
      <c r="F505" s="56"/>
      <c r="G505" s="14"/>
      <c r="H505" s="61"/>
      <c r="I505" s="15"/>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row>
    <row r="506" spans="2:41" s="171" customFormat="1" x14ac:dyDescent="0.25">
      <c r="B506" s="13"/>
      <c r="C506" s="62"/>
      <c r="D506" s="63"/>
      <c r="E506" s="64"/>
      <c r="F506" s="64"/>
      <c r="G506" s="64"/>
      <c r="H506" s="65"/>
      <c r="I506" s="15"/>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row>
    <row r="507" spans="2:41" s="171" customFormat="1" x14ac:dyDescent="0.25">
      <c r="B507" s="13"/>
      <c r="C507" s="14"/>
      <c r="D507" s="60"/>
      <c r="E507" s="66"/>
      <c r="F507" s="56"/>
      <c r="G507" s="14"/>
      <c r="H507" s="56"/>
      <c r="I507" s="15"/>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row>
    <row r="508" spans="2:41" s="171" customFormat="1" x14ac:dyDescent="0.25">
      <c r="B508" s="13"/>
      <c r="C508" s="10"/>
      <c r="D508" s="11"/>
      <c r="E508" s="56"/>
      <c r="F508" s="58"/>
      <c r="G508" s="11"/>
      <c r="H508" s="59"/>
      <c r="I508" s="15"/>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row>
    <row r="509" spans="2:41" s="171" customFormat="1" x14ac:dyDescent="0.25">
      <c r="B509" s="13"/>
      <c r="C509" s="13"/>
      <c r="D509" s="60"/>
      <c r="E509" s="56"/>
      <c r="F509" s="56"/>
      <c r="G509" s="14"/>
      <c r="H509" s="15"/>
      <c r="I509" s="15"/>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row>
    <row r="510" spans="2:41" s="171" customFormat="1" ht="18.75" x14ac:dyDescent="0.3">
      <c r="B510" s="67"/>
      <c r="C510" s="13"/>
      <c r="D510" s="60"/>
      <c r="E510" s="56"/>
      <c r="F510" s="56"/>
      <c r="G510" s="14"/>
      <c r="H510" s="61"/>
      <c r="I510" s="68"/>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row>
    <row r="511" spans="2:41" s="171" customFormat="1" x14ac:dyDescent="0.25">
      <c r="B511" s="13"/>
      <c r="C511" s="13"/>
      <c r="D511" s="60"/>
      <c r="E511" s="56"/>
      <c r="F511" s="56"/>
      <c r="G511" s="14"/>
      <c r="H511" s="61"/>
      <c r="I511" s="15"/>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row>
    <row r="512" spans="2:41" s="171" customFormat="1" x14ac:dyDescent="0.25">
      <c r="B512" s="13"/>
      <c r="C512" s="13"/>
      <c r="D512" s="60"/>
      <c r="E512" s="56"/>
      <c r="F512" s="56"/>
      <c r="G512" s="14"/>
      <c r="H512" s="61"/>
      <c r="I512" s="15"/>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row>
    <row r="513" spans="2:41" s="171" customFormat="1" x14ac:dyDescent="0.25">
      <c r="B513" s="13"/>
      <c r="C513" s="62"/>
      <c r="D513" s="63"/>
      <c r="E513" s="64"/>
      <c r="F513" s="64"/>
      <c r="G513" s="64"/>
      <c r="H513" s="65"/>
      <c r="I513" s="15"/>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row>
    <row r="514" spans="2:41" s="171" customFormat="1" x14ac:dyDescent="0.25">
      <c r="B514" s="13"/>
      <c r="C514" s="14"/>
      <c r="D514" s="60"/>
      <c r="E514" s="66"/>
      <c r="F514" s="56"/>
      <c r="G514" s="14"/>
      <c r="H514" s="56"/>
      <c r="I514" s="15"/>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row>
    <row r="515" spans="2:41" s="171" customFormat="1" x14ac:dyDescent="0.25">
      <c r="B515" s="13"/>
      <c r="C515" s="10"/>
      <c r="D515" s="11"/>
      <c r="E515" s="56"/>
      <c r="F515" s="58"/>
      <c r="G515" s="11"/>
      <c r="H515" s="59"/>
      <c r="I515" s="15"/>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row>
    <row r="516" spans="2:41" s="171" customFormat="1" x14ac:dyDescent="0.25">
      <c r="B516" s="13"/>
      <c r="C516" s="13"/>
      <c r="D516" s="60"/>
      <c r="E516" s="56"/>
      <c r="F516" s="56"/>
      <c r="G516" s="14"/>
      <c r="H516" s="15"/>
      <c r="I516" s="15"/>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row>
    <row r="517" spans="2:41" s="171" customFormat="1" x14ac:dyDescent="0.25">
      <c r="B517" s="13"/>
      <c r="C517" s="13"/>
      <c r="D517" s="60"/>
      <c r="E517" s="56"/>
      <c r="F517" s="56"/>
      <c r="G517" s="14"/>
      <c r="H517" s="61"/>
      <c r="I517" s="15"/>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row>
    <row r="518" spans="2:41" s="171" customFormat="1" ht="18.75" x14ac:dyDescent="0.3">
      <c r="B518" s="67"/>
      <c r="C518" s="13"/>
      <c r="D518" s="60"/>
      <c r="E518" s="56"/>
      <c r="F518" s="56"/>
      <c r="G518" s="14"/>
      <c r="H518" s="61"/>
      <c r="I518" s="68"/>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row>
    <row r="519" spans="2:41" s="171" customFormat="1" x14ac:dyDescent="0.25">
      <c r="B519" s="13"/>
      <c r="C519" s="13"/>
      <c r="D519" s="60"/>
      <c r="E519" s="56"/>
      <c r="F519" s="56"/>
      <c r="G519" s="14"/>
      <c r="H519" s="61"/>
      <c r="I519" s="15"/>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row>
    <row r="520" spans="2:41" s="171" customFormat="1" x14ac:dyDescent="0.25">
      <c r="B520" s="13"/>
      <c r="C520" s="62"/>
      <c r="D520" s="63"/>
      <c r="E520" s="64"/>
      <c r="F520" s="64"/>
      <c r="G520" s="64"/>
      <c r="H520" s="65"/>
      <c r="I520" s="15"/>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row>
    <row r="521" spans="2:41" s="171" customFormat="1" x14ac:dyDescent="0.25">
      <c r="B521" s="13"/>
      <c r="C521" s="14"/>
      <c r="D521" s="60"/>
      <c r="E521" s="66"/>
      <c r="F521" s="56"/>
      <c r="G521" s="14"/>
      <c r="H521" s="56"/>
      <c r="I521" s="15"/>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row>
    <row r="522" spans="2:41" s="171" customFormat="1" x14ac:dyDescent="0.25">
      <c r="B522" s="13"/>
      <c r="C522" s="10"/>
      <c r="D522" s="11"/>
      <c r="E522" s="56"/>
      <c r="F522" s="58"/>
      <c r="G522" s="11"/>
      <c r="H522" s="59"/>
      <c r="I522" s="15"/>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row>
    <row r="523" spans="2:41" s="171" customFormat="1" x14ac:dyDescent="0.25">
      <c r="B523" s="13"/>
      <c r="C523" s="13"/>
      <c r="D523" s="60"/>
      <c r="E523" s="56"/>
      <c r="F523" s="56"/>
      <c r="G523" s="14"/>
      <c r="H523" s="15"/>
      <c r="I523" s="15"/>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row>
    <row r="524" spans="2:41" s="171" customFormat="1" x14ac:dyDescent="0.25">
      <c r="B524" s="8"/>
      <c r="C524" s="23"/>
      <c r="D524" s="47"/>
      <c r="E524" s="48"/>
      <c r="F524" s="48"/>
      <c r="G524" s="24"/>
      <c r="H524" s="49"/>
      <c r="I524" s="27"/>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row>
    <row r="525" spans="2:41" s="171" customFormat="1" x14ac:dyDescent="0.25">
      <c r="B525" s="8"/>
      <c r="C525" s="23"/>
      <c r="D525" s="47"/>
      <c r="E525" s="48"/>
      <c r="F525" s="48"/>
      <c r="G525" s="24"/>
      <c r="H525" s="49"/>
      <c r="I525" s="27"/>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row>
    <row r="526" spans="2:41" s="171" customFormat="1" ht="18.75" x14ac:dyDescent="0.3">
      <c r="B526" s="28"/>
      <c r="C526" s="23"/>
      <c r="D526" s="47"/>
      <c r="E526" s="48"/>
      <c r="F526" s="48"/>
      <c r="G526" s="24"/>
      <c r="H526" s="49"/>
      <c r="I526" s="29"/>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row>
    <row r="527" spans="2:41" s="171" customFormat="1" x14ac:dyDescent="0.25">
      <c r="B527" s="8"/>
      <c r="C527" s="50"/>
      <c r="D527" s="51"/>
      <c r="E527" s="52"/>
      <c r="F527" s="52"/>
      <c r="G527" s="52"/>
      <c r="H527" s="53"/>
      <c r="I527" s="27"/>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row>
    <row r="528" spans="2:41" s="171" customFormat="1" x14ac:dyDescent="0.25">
      <c r="B528" s="8"/>
      <c r="C528" s="9"/>
      <c r="D528" s="54"/>
      <c r="E528" s="55"/>
      <c r="F528" s="44"/>
      <c r="G528" s="9"/>
      <c r="H528" s="44"/>
      <c r="I528" s="27"/>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row>
    <row r="529" spans="2:41" s="171" customFormat="1" x14ac:dyDescent="0.25">
      <c r="B529" s="8"/>
      <c r="C529" s="21"/>
      <c r="D529" s="22"/>
      <c r="E529" s="48"/>
      <c r="F529" s="45"/>
      <c r="G529" s="22"/>
      <c r="H529" s="46"/>
      <c r="I529" s="27"/>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row>
    <row r="530" spans="2:41" s="171" customFormat="1" x14ac:dyDescent="0.25">
      <c r="B530" s="8"/>
      <c r="C530" s="23"/>
      <c r="D530" s="47"/>
      <c r="E530" s="48"/>
      <c r="F530" s="48"/>
      <c r="G530" s="24"/>
      <c r="H530" s="25"/>
      <c r="I530" s="27"/>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row>
    <row r="531" spans="2:41" s="171" customFormat="1" x14ac:dyDescent="0.25">
      <c r="B531" s="8"/>
      <c r="C531" s="23"/>
      <c r="D531" s="47"/>
      <c r="E531" s="48"/>
      <c r="F531" s="48"/>
      <c r="G531" s="24"/>
      <c r="H531" s="49"/>
      <c r="I531" s="27"/>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row>
    <row r="532" spans="2:41" s="171" customFormat="1" x14ac:dyDescent="0.25">
      <c r="B532" s="8"/>
      <c r="C532" s="23"/>
      <c r="D532" s="47"/>
      <c r="E532" s="48"/>
      <c r="F532" s="48"/>
      <c r="G532" s="24"/>
      <c r="H532" s="49"/>
      <c r="I532" s="27"/>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row>
    <row r="533" spans="2:41" s="171" customFormat="1" x14ac:dyDescent="0.25">
      <c r="B533" s="8"/>
      <c r="C533" s="23"/>
      <c r="D533" s="47"/>
      <c r="E533" s="48"/>
      <c r="F533" s="48"/>
      <c r="G533" s="24"/>
      <c r="H533" s="49"/>
      <c r="I533" s="27"/>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row>
    <row r="534" spans="2:41" s="171" customFormat="1" ht="18.75" x14ac:dyDescent="0.3">
      <c r="B534" s="28"/>
      <c r="C534" s="50"/>
      <c r="D534" s="51"/>
      <c r="E534" s="52"/>
      <c r="F534" s="52"/>
      <c r="G534" s="52"/>
      <c r="H534" s="53"/>
      <c r="I534" s="29"/>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row>
    <row r="535" spans="2:41" s="171" customFormat="1" x14ac:dyDescent="0.25">
      <c r="B535" s="8"/>
      <c r="C535" s="9"/>
      <c r="D535" s="54"/>
      <c r="E535" s="55"/>
      <c r="F535" s="44"/>
      <c r="G535" s="9"/>
      <c r="H535" s="44"/>
      <c r="I535" s="27"/>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row>
    <row r="536" spans="2:41" s="171" customFormat="1" x14ac:dyDescent="0.25">
      <c r="B536" s="8"/>
      <c r="C536" s="21"/>
      <c r="D536" s="22"/>
      <c r="E536" s="48"/>
      <c r="F536" s="45"/>
      <c r="G536" s="22"/>
      <c r="H536" s="46"/>
      <c r="I536" s="27"/>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row>
    <row r="537" spans="2:41" s="171" customFormat="1" x14ac:dyDescent="0.25">
      <c r="B537" s="8"/>
      <c r="C537" s="23"/>
      <c r="D537" s="47"/>
      <c r="E537" s="48"/>
      <c r="F537" s="48"/>
      <c r="G537" s="24"/>
      <c r="H537" s="25"/>
      <c r="I537" s="27"/>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row>
    <row r="538" spans="2:41" s="171" customFormat="1" x14ac:dyDescent="0.25">
      <c r="B538" s="8"/>
      <c r="C538" s="23"/>
      <c r="D538" s="47"/>
      <c r="E538" s="48"/>
      <c r="F538" s="48"/>
      <c r="G538" s="24"/>
      <c r="H538" s="49"/>
      <c r="I538" s="27"/>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row>
    <row r="539" spans="2:41" s="171" customFormat="1" x14ac:dyDescent="0.25">
      <c r="B539" s="8"/>
      <c r="C539" s="23"/>
      <c r="D539" s="47"/>
      <c r="E539" s="48"/>
      <c r="F539" s="48"/>
      <c r="G539" s="24"/>
      <c r="H539" s="49"/>
      <c r="I539" s="27"/>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row>
    <row r="540" spans="2:41" s="171" customFormat="1" x14ac:dyDescent="0.25">
      <c r="B540" s="8"/>
      <c r="C540" s="23"/>
      <c r="D540" s="47"/>
      <c r="E540" s="48"/>
      <c r="F540" s="48"/>
      <c r="G540" s="24"/>
      <c r="H540" s="49"/>
      <c r="I540" s="27"/>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row>
    <row r="541" spans="2:41" s="171" customFormat="1" x14ac:dyDescent="0.25">
      <c r="B541" s="8"/>
      <c r="C541" s="50"/>
      <c r="D541" s="51"/>
      <c r="E541" s="52"/>
      <c r="F541" s="52"/>
      <c r="G541" s="52"/>
      <c r="H541" s="53"/>
      <c r="I541" s="27"/>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row>
    <row r="542" spans="2:41" s="171" customFormat="1" ht="18.75" x14ac:dyDescent="0.3">
      <c r="B542" s="28"/>
      <c r="C542" s="9"/>
      <c r="D542" s="54"/>
      <c r="E542" s="55"/>
      <c r="F542" s="44"/>
      <c r="G542" s="9"/>
      <c r="H542" s="44"/>
      <c r="I542" s="29"/>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row>
    <row r="543" spans="2:41" s="171" customFormat="1" x14ac:dyDescent="0.25">
      <c r="B543" s="8"/>
      <c r="C543" s="21"/>
      <c r="D543" s="22"/>
      <c r="E543" s="48"/>
      <c r="F543" s="45"/>
      <c r="G543" s="22"/>
      <c r="H543" s="46"/>
      <c r="I543" s="27"/>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row>
    <row r="544" spans="2:41" s="171" customFormat="1" x14ac:dyDescent="0.25">
      <c r="B544" s="8"/>
      <c r="C544" s="23"/>
      <c r="D544" s="47"/>
      <c r="E544" s="48"/>
      <c r="F544" s="48"/>
      <c r="G544" s="24"/>
      <c r="H544" s="25"/>
      <c r="I544" s="27"/>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row>
    <row r="545" spans="2:41" s="171" customFormat="1" x14ac:dyDescent="0.25">
      <c r="B545" s="8"/>
      <c r="C545" s="23"/>
      <c r="D545" s="47"/>
      <c r="E545" s="48"/>
      <c r="F545" s="48"/>
      <c r="G545" s="24"/>
      <c r="H545" s="49"/>
      <c r="I545" s="27"/>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row>
    <row r="546" spans="2:41" s="171" customFormat="1" x14ac:dyDescent="0.25">
      <c r="B546" s="8"/>
      <c r="C546" s="23"/>
      <c r="D546" s="47"/>
      <c r="E546" s="48"/>
      <c r="F546" s="48"/>
      <c r="G546" s="24"/>
      <c r="H546" s="49"/>
      <c r="I546" s="27"/>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row>
    <row r="547" spans="2:41" s="171" customFormat="1" x14ac:dyDescent="0.25">
      <c r="B547" s="8"/>
      <c r="C547" s="23"/>
      <c r="D547" s="47"/>
      <c r="E547" s="48"/>
      <c r="F547" s="48"/>
      <c r="G547" s="24"/>
      <c r="H547" s="49"/>
      <c r="I547" s="27"/>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row>
    <row r="548" spans="2:41" s="171" customFormat="1" x14ac:dyDescent="0.25">
      <c r="B548" s="8"/>
      <c r="C548" s="50"/>
      <c r="D548" s="51"/>
      <c r="E548" s="52"/>
      <c r="F548" s="52"/>
      <c r="G548" s="52"/>
      <c r="H548" s="53"/>
      <c r="I548" s="27"/>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row>
    <row r="549" spans="2:41" s="171" customFormat="1" x14ac:dyDescent="0.25">
      <c r="B549" s="8"/>
      <c r="C549" s="9"/>
      <c r="D549" s="54"/>
      <c r="E549" s="55"/>
      <c r="F549" s="44"/>
      <c r="G549" s="9"/>
      <c r="H549" s="44"/>
      <c r="I549" s="27"/>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row>
    <row r="550" spans="2:41" s="171" customFormat="1" ht="18.75" x14ac:dyDescent="0.3">
      <c r="B550" s="28"/>
      <c r="C550" s="21"/>
      <c r="D550" s="22"/>
      <c r="E550" s="48"/>
      <c r="F550" s="45"/>
      <c r="G550" s="22"/>
      <c r="H550" s="46"/>
      <c r="I550" s="29"/>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row>
    <row r="551" spans="2:41" s="171" customFormat="1" x14ac:dyDescent="0.25">
      <c r="B551" s="8"/>
      <c r="C551" s="23"/>
      <c r="D551" s="47"/>
      <c r="E551" s="48"/>
      <c r="F551" s="48"/>
      <c r="G551" s="24"/>
      <c r="H551" s="25"/>
      <c r="I551" s="27"/>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row>
    <row r="552" spans="2:41" s="171" customFormat="1" x14ac:dyDescent="0.25">
      <c r="B552" s="8"/>
      <c r="C552" s="23"/>
      <c r="D552" s="47"/>
      <c r="E552" s="48"/>
      <c r="F552" s="48"/>
      <c r="G552" s="24"/>
      <c r="H552" s="49"/>
      <c r="I552" s="27"/>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row>
    <row r="553" spans="2:41" s="171" customFormat="1" x14ac:dyDescent="0.25">
      <c r="B553" s="8"/>
      <c r="C553" s="23"/>
      <c r="D553" s="47"/>
      <c r="E553" s="48"/>
      <c r="F553" s="48"/>
      <c r="G553" s="24"/>
      <c r="H553" s="49"/>
      <c r="I553" s="27"/>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row>
    <row r="554" spans="2:41" s="171" customFormat="1" x14ac:dyDescent="0.25">
      <c r="B554" s="8"/>
      <c r="C554" s="23"/>
      <c r="D554" s="47"/>
      <c r="E554" s="48"/>
      <c r="F554" s="48"/>
      <c r="G554" s="24"/>
      <c r="H554" s="49"/>
      <c r="I554" s="27"/>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row>
    <row r="555" spans="2:41" s="171" customFormat="1" x14ac:dyDescent="0.25">
      <c r="B555" s="8"/>
      <c r="C555" s="50"/>
      <c r="D555" s="51"/>
      <c r="E555" s="52"/>
      <c r="F555" s="52"/>
      <c r="G555" s="52"/>
      <c r="H555" s="53"/>
      <c r="I555" s="27"/>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row>
    <row r="556" spans="2:41" s="171" customFormat="1" x14ac:dyDescent="0.25">
      <c r="B556" s="8"/>
      <c r="C556" s="9"/>
      <c r="D556" s="54"/>
      <c r="E556" s="55"/>
      <c r="F556" s="44"/>
      <c r="G556" s="9"/>
      <c r="H556" s="44"/>
      <c r="I556" s="27"/>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row>
    <row r="557" spans="2:41" s="171" customFormat="1" x14ac:dyDescent="0.25">
      <c r="B557" s="8"/>
      <c r="C557" s="21"/>
      <c r="D557" s="22"/>
      <c r="E557" s="48"/>
      <c r="F557" s="45"/>
      <c r="G557" s="22"/>
      <c r="H557" s="46"/>
      <c r="I557" s="27"/>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row>
    <row r="558" spans="2:41" s="171" customFormat="1" ht="18.75" x14ac:dyDescent="0.3">
      <c r="B558" s="28"/>
      <c r="C558" s="23"/>
      <c r="D558" s="47"/>
      <c r="E558" s="48"/>
      <c r="F558" s="48"/>
      <c r="G558" s="24"/>
      <c r="H558" s="25"/>
      <c r="I558" s="29"/>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row>
    <row r="559" spans="2:41" s="171" customFormat="1" x14ac:dyDescent="0.25">
      <c r="B559" s="8"/>
      <c r="C559" s="23"/>
      <c r="D559" s="47"/>
      <c r="E559" s="48"/>
      <c r="F559" s="48"/>
      <c r="G559" s="24"/>
      <c r="H559" s="49"/>
      <c r="I559" s="27"/>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row>
    <row r="560" spans="2:41" s="171" customFormat="1" x14ac:dyDescent="0.25">
      <c r="B560" s="8"/>
      <c r="C560" s="23"/>
      <c r="D560" s="47"/>
      <c r="E560" s="48"/>
      <c r="F560" s="48"/>
      <c r="G560" s="24"/>
      <c r="H560" s="49"/>
      <c r="I560" s="27"/>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row>
    <row r="561" spans="2:41" s="171" customFormat="1" x14ac:dyDescent="0.25">
      <c r="B561" s="8"/>
      <c r="C561" s="23"/>
      <c r="D561" s="47"/>
      <c r="E561" s="48"/>
      <c r="F561" s="48"/>
      <c r="G561" s="24"/>
      <c r="H561" s="49"/>
      <c r="I561" s="27"/>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row>
    <row r="562" spans="2:41" s="171" customFormat="1" x14ac:dyDescent="0.25">
      <c r="B562" s="8"/>
      <c r="C562" s="50"/>
      <c r="D562" s="51"/>
      <c r="E562" s="52"/>
      <c r="F562" s="52"/>
      <c r="G562" s="52"/>
      <c r="H562" s="53"/>
      <c r="I562" s="27"/>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row>
    <row r="563" spans="2:41" s="171" customFormat="1" x14ac:dyDescent="0.25">
      <c r="B563" s="8"/>
      <c r="C563" s="9"/>
      <c r="D563" s="54"/>
      <c r="E563" s="55"/>
      <c r="F563" s="44"/>
      <c r="G563" s="9"/>
      <c r="H563" s="44"/>
      <c r="I563" s="27"/>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row>
    <row r="564" spans="2:41" s="171" customFormat="1" x14ac:dyDescent="0.25">
      <c r="B564" s="8"/>
      <c r="C564" s="21"/>
      <c r="D564" s="22"/>
      <c r="E564" s="48"/>
      <c r="F564" s="45"/>
      <c r="G564" s="22"/>
      <c r="H564" s="46"/>
      <c r="I564" s="27"/>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row>
    <row r="565" spans="2:41" s="171" customFormat="1" x14ac:dyDescent="0.25">
      <c r="B565" s="8"/>
      <c r="C565" s="23"/>
      <c r="D565" s="47"/>
      <c r="E565" s="48"/>
      <c r="F565" s="48"/>
      <c r="G565" s="24"/>
      <c r="H565" s="25"/>
      <c r="I565" s="27"/>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row>
    <row r="566" spans="2:41" s="171" customFormat="1" ht="18.75" x14ac:dyDescent="0.3">
      <c r="B566" s="28"/>
      <c r="C566" s="23"/>
      <c r="D566" s="47"/>
      <c r="E566" s="48"/>
      <c r="F566" s="48"/>
      <c r="G566" s="24"/>
      <c r="H566" s="49"/>
      <c r="I566" s="29"/>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row>
    <row r="567" spans="2:41" s="171" customFormat="1" x14ac:dyDescent="0.25">
      <c r="B567" s="8"/>
      <c r="C567" s="23"/>
      <c r="D567" s="47"/>
      <c r="E567" s="48"/>
      <c r="F567" s="48"/>
      <c r="G567" s="24"/>
      <c r="H567" s="49"/>
      <c r="I567" s="27"/>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row>
    <row r="568" spans="2:41" s="171" customFormat="1" x14ac:dyDescent="0.25">
      <c r="B568" s="8"/>
      <c r="C568" s="23"/>
      <c r="D568" s="47"/>
      <c r="E568" s="48"/>
      <c r="F568" s="48"/>
      <c r="G568" s="24"/>
      <c r="H568" s="49"/>
      <c r="I568" s="27"/>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row>
    <row r="569" spans="2:41" s="171" customFormat="1" x14ac:dyDescent="0.25">
      <c r="B569" s="8"/>
      <c r="C569" s="50"/>
      <c r="D569" s="51"/>
      <c r="E569" s="52"/>
      <c r="F569" s="52"/>
      <c r="G569" s="52"/>
      <c r="H569" s="53"/>
      <c r="I569" s="27"/>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row>
    <row r="570" spans="2:41" s="171" customFormat="1" x14ac:dyDescent="0.25">
      <c r="B570" s="8"/>
      <c r="C570" s="9"/>
      <c r="D570" s="54"/>
      <c r="E570" s="55"/>
      <c r="F570" s="44"/>
      <c r="G570" s="9"/>
      <c r="H570" s="44"/>
      <c r="I570" s="27"/>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row>
    <row r="571" spans="2:41" s="171" customFormat="1" x14ac:dyDescent="0.25">
      <c r="B571" s="8"/>
      <c r="C571" s="21"/>
      <c r="D571" s="22"/>
      <c r="E571" s="48"/>
      <c r="F571" s="45"/>
      <c r="G571" s="22"/>
      <c r="H571" s="46"/>
      <c r="I571" s="27"/>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row>
    <row r="572" spans="2:41" s="171" customFormat="1" x14ac:dyDescent="0.25">
      <c r="B572" s="8"/>
      <c r="C572" s="23"/>
      <c r="D572" s="47"/>
      <c r="E572" s="48"/>
      <c r="F572" s="48"/>
      <c r="G572" s="24"/>
      <c r="H572" s="25"/>
      <c r="I572" s="27"/>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row>
    <row r="573" spans="2:41" s="171" customFormat="1" x14ac:dyDescent="0.25">
      <c r="B573" s="8"/>
      <c r="C573" s="23"/>
      <c r="D573" s="47"/>
      <c r="E573" s="48"/>
      <c r="F573" s="48"/>
      <c r="G573" s="24"/>
      <c r="H573" s="49"/>
      <c r="I573" s="27"/>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row>
    <row r="574" spans="2:41" s="171" customFormat="1" ht="18.75" x14ac:dyDescent="0.3">
      <c r="B574" s="28"/>
      <c r="C574" s="23"/>
      <c r="D574" s="47"/>
      <c r="E574" s="48"/>
      <c r="F574" s="48"/>
      <c r="G574" s="24"/>
      <c r="H574" s="49"/>
      <c r="I574" s="29"/>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row>
    <row r="575" spans="2:41" s="171" customFormat="1" x14ac:dyDescent="0.25">
      <c r="B575" s="8"/>
      <c r="C575" s="23"/>
      <c r="D575" s="47"/>
      <c r="E575" s="48"/>
      <c r="F575" s="48"/>
      <c r="G575" s="24"/>
      <c r="H575" s="49"/>
      <c r="I575" s="27"/>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row>
    <row r="576" spans="2:41" s="171" customFormat="1" x14ac:dyDescent="0.25">
      <c r="B576" s="8"/>
      <c r="C576" s="50"/>
      <c r="D576" s="51"/>
      <c r="E576" s="52"/>
      <c r="F576" s="52"/>
      <c r="G576" s="52"/>
      <c r="H576" s="53"/>
      <c r="I576" s="27"/>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row>
    <row r="577" spans="2:32" s="171" customFormat="1" x14ac:dyDescent="0.25">
      <c r="B577" s="8"/>
      <c r="C577" s="9"/>
      <c r="D577" s="54"/>
      <c r="E577" s="55"/>
      <c r="F577" s="44"/>
      <c r="G577" s="9"/>
      <c r="H577" s="44"/>
      <c r="I577" s="27"/>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row>
    <row r="578" spans="2:32" s="171" customFormat="1" x14ac:dyDescent="0.25">
      <c r="B578" s="8"/>
      <c r="C578" s="21"/>
      <c r="D578" s="22"/>
      <c r="E578" s="48"/>
      <c r="F578" s="45"/>
      <c r="G578" s="22"/>
      <c r="H578" s="46"/>
      <c r="I578" s="27"/>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row>
    <row r="579" spans="2:32" s="171" customFormat="1" x14ac:dyDescent="0.25">
      <c r="B579" s="8"/>
      <c r="C579" s="23"/>
      <c r="D579" s="47"/>
      <c r="E579" s="48"/>
      <c r="F579" s="48"/>
      <c r="G579" s="24"/>
      <c r="H579" s="25"/>
      <c r="I579" s="27"/>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row>
    <row r="580" spans="2:32" s="171" customFormat="1" x14ac:dyDescent="0.25">
      <c r="B580" s="8"/>
      <c r="C580" s="23"/>
      <c r="D580" s="47"/>
      <c r="E580" s="48"/>
      <c r="F580" s="48"/>
      <c r="G580" s="24"/>
      <c r="H580" s="49"/>
      <c r="I580" s="27"/>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row>
    <row r="581" spans="2:32" s="171" customFormat="1" x14ac:dyDescent="0.25">
      <c r="B581" s="8"/>
      <c r="C581" s="23"/>
      <c r="D581" s="47"/>
      <c r="E581" s="48"/>
      <c r="F581" s="48"/>
      <c r="G581" s="24"/>
      <c r="H581" s="49"/>
      <c r="I581" s="27"/>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row>
    <row r="582" spans="2:32" s="171" customFormat="1" ht="18.75" x14ac:dyDescent="0.3">
      <c r="B582" s="28"/>
      <c r="C582" s="23"/>
      <c r="D582" s="47"/>
      <c r="E582" s="48"/>
      <c r="F582" s="48"/>
      <c r="G582" s="24"/>
      <c r="H582" s="49"/>
      <c r="I582" s="29"/>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row>
    <row r="583" spans="2:32" s="171" customFormat="1" x14ac:dyDescent="0.25">
      <c r="B583" s="8"/>
      <c r="C583" s="50"/>
      <c r="D583" s="51"/>
      <c r="E583" s="52"/>
      <c r="F583" s="52"/>
      <c r="G583" s="52"/>
      <c r="H583" s="53"/>
      <c r="I583" s="27"/>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row>
    <row r="584" spans="2:32" s="171" customFormat="1" x14ac:dyDescent="0.25">
      <c r="B584" s="8"/>
      <c r="C584" s="9"/>
      <c r="D584" s="54"/>
      <c r="E584" s="55"/>
      <c r="F584" s="44"/>
      <c r="G584" s="9"/>
      <c r="H584" s="44"/>
      <c r="I584" s="27"/>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row>
    <row r="585" spans="2:32" s="171" customFormat="1" x14ac:dyDescent="0.25">
      <c r="B585" s="8"/>
      <c r="C585" s="21"/>
      <c r="D585" s="22"/>
      <c r="E585" s="48"/>
      <c r="F585" s="45"/>
      <c r="G585" s="22"/>
      <c r="H585" s="46"/>
      <c r="I585" s="27"/>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row>
    <row r="586" spans="2:32" s="171" customFormat="1" x14ac:dyDescent="0.25">
      <c r="B586" s="8"/>
      <c r="C586" s="23"/>
      <c r="D586" s="47"/>
      <c r="E586" s="48"/>
      <c r="F586" s="48"/>
      <c r="G586" s="24"/>
      <c r="H586" s="25"/>
      <c r="I586" s="27"/>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row>
    <row r="587" spans="2:32" s="171" customFormat="1" x14ac:dyDescent="0.25">
      <c r="B587" s="8"/>
      <c r="C587" s="23"/>
      <c r="D587" s="47"/>
      <c r="E587" s="48"/>
      <c r="F587" s="48"/>
      <c r="G587" s="24"/>
      <c r="H587" s="49"/>
      <c r="I587" s="27"/>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row>
    <row r="588" spans="2:32" s="171" customFormat="1" x14ac:dyDescent="0.25">
      <c r="B588" s="8"/>
      <c r="C588" s="23"/>
      <c r="D588" s="47"/>
      <c r="E588" s="48"/>
      <c r="F588" s="48"/>
      <c r="G588" s="24"/>
      <c r="H588" s="49"/>
      <c r="I588" s="27"/>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row>
    <row r="589" spans="2:32" s="171" customFormat="1" x14ac:dyDescent="0.25">
      <c r="B589" s="8"/>
      <c r="C589" s="23"/>
      <c r="D589" s="47"/>
      <c r="E589" s="48"/>
      <c r="F589" s="48"/>
      <c r="G589" s="24"/>
      <c r="H589" s="49"/>
      <c r="I589" s="27"/>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row>
    <row r="590" spans="2:32" s="171" customFormat="1" ht="18.75" x14ac:dyDescent="0.3">
      <c r="B590" s="28"/>
      <c r="C590" s="50"/>
      <c r="D590" s="51"/>
      <c r="E590" s="52"/>
      <c r="F590" s="52"/>
      <c r="G590" s="52"/>
      <c r="H590" s="53"/>
      <c r="I590" s="29"/>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row>
    <row r="591" spans="2:32" s="171" customFormat="1" x14ac:dyDescent="0.25">
      <c r="B591" s="8"/>
      <c r="C591" s="9"/>
      <c r="D591" s="54"/>
      <c r="E591" s="55"/>
      <c r="F591" s="44"/>
      <c r="G591" s="9"/>
      <c r="H591" s="44"/>
      <c r="I591" s="27"/>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row>
    <row r="592" spans="2:32" s="171" customFormat="1" x14ac:dyDescent="0.25">
      <c r="B592" s="8"/>
      <c r="C592" s="21"/>
      <c r="D592" s="22"/>
      <c r="E592" s="48"/>
      <c r="F592" s="45"/>
      <c r="G592" s="22"/>
      <c r="H592" s="46"/>
      <c r="I592" s="27"/>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row>
    <row r="593" spans="2:32" s="171" customFormat="1" x14ac:dyDescent="0.25">
      <c r="B593" s="8"/>
      <c r="C593" s="23"/>
      <c r="D593" s="47"/>
      <c r="E593" s="48"/>
      <c r="F593" s="48"/>
      <c r="G593" s="24"/>
      <c r="H593" s="25"/>
      <c r="I593" s="27"/>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row>
  </sheetData>
  <conditionalFormatting sqref="E137:E142">
    <cfRule type="cellIs" dxfId="108" priority="1" operator="equal">
      <formula>#REF!</formula>
    </cfRule>
  </conditionalFormatting>
  <conditionalFormatting sqref="E194:E268">
    <cfRule type="cellIs" dxfId="107" priority="15" operator="equal">
      <formula>#REF!</formula>
    </cfRule>
  </conditionalFormatting>
  <conditionalFormatting sqref="E143:E192 E273:E593">
    <cfRule type="cellIs" dxfId="106" priority="13" operator="equal">
      <formula>#REF!</formula>
    </cfRule>
  </conditionalFormatting>
  <conditionalFormatting sqref="F7">
    <cfRule type="cellIs" dxfId="105" priority="14" operator="equal">
      <formula>#REF!</formula>
    </cfRule>
  </conditionalFormatting>
  <conditionalFormatting sqref="E136">
    <cfRule type="cellIs" dxfId="104" priority="2" operator="equal">
      <formula>#REF!</formula>
    </cfRule>
  </conditionalFormatting>
  <conditionalFormatting sqref="E80">
    <cfRule type="cellIs" dxfId="103" priority="12" operator="equal">
      <formula>#REF!</formula>
    </cfRule>
  </conditionalFormatting>
  <conditionalFormatting sqref="E81:E86">
    <cfRule type="cellIs" dxfId="102" priority="11" operator="equal">
      <formula>#REF!</formula>
    </cfRule>
  </conditionalFormatting>
  <conditionalFormatting sqref="E87:E93">
    <cfRule type="cellIs" dxfId="101" priority="10" operator="equal">
      <formula>#REF!</formula>
    </cfRule>
  </conditionalFormatting>
  <conditionalFormatting sqref="E94">
    <cfRule type="cellIs" dxfId="100" priority="9" operator="equal">
      <formula>#REF!</formula>
    </cfRule>
  </conditionalFormatting>
  <conditionalFormatting sqref="E95:E100">
    <cfRule type="cellIs" dxfId="99" priority="8" operator="equal">
      <formula>#REF!</formula>
    </cfRule>
  </conditionalFormatting>
  <conditionalFormatting sqref="E101:E107">
    <cfRule type="cellIs" dxfId="98" priority="7" operator="equal">
      <formula>#REF!</formula>
    </cfRule>
  </conditionalFormatting>
  <conditionalFormatting sqref="E108">
    <cfRule type="cellIs" dxfId="97" priority="6" operator="equal">
      <formula>#REF!</formula>
    </cfRule>
  </conditionalFormatting>
  <conditionalFormatting sqref="E122">
    <cfRule type="cellIs" dxfId="96" priority="5" operator="equal">
      <formula>#REF!</formula>
    </cfRule>
  </conditionalFormatting>
  <conditionalFormatting sqref="E123:E128">
    <cfRule type="cellIs" dxfId="95" priority="4" operator="equal">
      <formula>#REF!</formula>
    </cfRule>
  </conditionalFormatting>
  <conditionalFormatting sqref="E129:E135">
    <cfRule type="cellIs" dxfId="94" priority="3" operator="equal">
      <formula>#REF!</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9">
    <tabColor theme="9" tint="0.59999389629810485"/>
  </sheetPr>
  <dimension ref="A1"/>
  <sheetViews>
    <sheetView workbookViewId="0">
      <selection activeCell="Q20" sqref="Q20"/>
    </sheetView>
  </sheetViews>
  <sheetFormatPr defaultColWidth="9.140625" defaultRowHeight="15" x14ac:dyDescent="0.25"/>
  <cols>
    <col min="1" max="16384" width="9.140625" style="171"/>
  </cols>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0"/>
  <dimension ref="B1:BI85"/>
  <sheetViews>
    <sheetView zoomScaleNormal="100" workbookViewId="0">
      <selection sqref="A1:XFD1"/>
    </sheetView>
  </sheetViews>
  <sheetFormatPr defaultColWidth="9.140625" defaultRowHeight="15" x14ac:dyDescent="0.25"/>
  <cols>
    <col min="1" max="1" width="9.140625" style="201"/>
    <col min="2" max="2" width="3.7109375" style="201" customWidth="1"/>
    <col min="3" max="3" width="22.42578125" style="201" bestFit="1" customWidth="1"/>
    <col min="4" max="4" width="17.85546875" style="201" customWidth="1"/>
    <col min="5" max="5" width="12.85546875" style="201" bestFit="1" customWidth="1"/>
    <col min="6" max="6" width="9.42578125" style="201" bestFit="1" customWidth="1"/>
    <col min="7" max="7" width="14.5703125" style="201" bestFit="1" customWidth="1"/>
    <col min="8" max="8" width="19.28515625" style="201" bestFit="1" customWidth="1"/>
    <col min="9" max="9" width="14.28515625" style="201" bestFit="1" customWidth="1"/>
    <col min="10" max="10" width="15.5703125" style="201" customWidth="1"/>
    <col min="11" max="11" width="19.140625" style="201" bestFit="1" customWidth="1"/>
    <col min="12" max="12" width="10.5703125" style="201" customWidth="1"/>
    <col min="13" max="13" width="18.85546875" style="201" bestFit="1" customWidth="1"/>
    <col min="14" max="14" width="17" style="201" bestFit="1" customWidth="1"/>
    <col min="15" max="15" width="11.5703125" style="201" bestFit="1" customWidth="1"/>
    <col min="16" max="16" width="8.28515625" style="201" customWidth="1"/>
    <col min="17" max="17" width="19" style="201" bestFit="1" customWidth="1"/>
    <col min="18" max="18" width="14.7109375" style="201" customWidth="1"/>
    <col min="19" max="19" width="15.28515625" style="201" bestFit="1" customWidth="1"/>
    <col min="20" max="20" width="18" style="201" bestFit="1" customWidth="1"/>
    <col min="21" max="21" width="21.85546875" style="201" customWidth="1"/>
    <col min="22" max="22" width="18" style="201" bestFit="1" customWidth="1"/>
    <col min="23" max="23" width="6.85546875" style="201" bestFit="1" customWidth="1"/>
    <col min="24" max="24" width="16.85546875" style="201" bestFit="1" customWidth="1"/>
    <col min="25" max="28" width="9.140625" style="201"/>
    <col min="29" max="29" width="11.5703125" style="201" bestFit="1" customWidth="1"/>
    <col min="30" max="31" width="9.140625" style="201"/>
    <col min="32" max="32" width="14.28515625" style="201" bestFit="1" customWidth="1"/>
    <col min="33" max="33" width="9.140625" style="201"/>
    <col min="34" max="34" width="9.5703125" style="201" bestFit="1" customWidth="1"/>
    <col min="35" max="38" width="9.140625" style="201"/>
    <col min="39" max="39" width="10.5703125" style="201" bestFit="1" customWidth="1"/>
    <col min="40" max="40" width="9.140625" style="201"/>
    <col min="41" max="41" width="13.7109375" style="201" bestFit="1" customWidth="1"/>
    <col min="42" max="42" width="10.5703125" style="201" bestFit="1" customWidth="1"/>
    <col min="43" max="16384" width="9.140625" style="201"/>
  </cols>
  <sheetData>
    <row r="1" spans="2:59" ht="45" customHeight="1" x14ac:dyDescent="0.4">
      <c r="B1" s="200" t="str">
        <f>"ELECTROLYSIS ("&amp;Parameters!$D$6&amp;")"</f>
        <v>ELECTROLYSIS (P15 Scenario 1)</v>
      </c>
    </row>
    <row r="2" spans="2:59" x14ac:dyDescent="0.25">
      <c r="B2" s="202"/>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row>
    <row r="3" spans="2:59" x14ac:dyDescent="0.25">
      <c r="B3" s="202"/>
      <c r="C3" s="202"/>
      <c r="D3" s="202"/>
      <c r="E3" s="202"/>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c r="BA3" s="202"/>
      <c r="BB3" s="202"/>
      <c r="BC3" s="202"/>
      <c r="BD3" s="202"/>
    </row>
    <row r="4" spans="2:59" x14ac:dyDescent="0.25">
      <c r="B4" s="202"/>
      <c r="C4" s="225" t="s">
        <v>579</v>
      </c>
      <c r="D4" s="898"/>
      <c r="E4" s="224"/>
      <c r="F4" s="224"/>
      <c r="G4" s="224"/>
      <c r="H4" s="224"/>
      <c r="I4" s="224"/>
      <c r="J4" s="223"/>
      <c r="K4" s="202"/>
      <c r="L4" s="225" t="s">
        <v>578</v>
      </c>
      <c r="M4" s="224"/>
      <c r="N4" s="224"/>
      <c r="O4" s="224"/>
      <c r="P4" s="223"/>
      <c r="Q4" s="202"/>
      <c r="R4" s="225" t="s">
        <v>577</v>
      </c>
      <c r="S4" s="224"/>
      <c r="T4" s="224"/>
      <c r="U4" s="224"/>
      <c r="V4" s="223"/>
      <c r="W4" s="202"/>
      <c r="X4" s="202"/>
      <c r="Y4" s="202"/>
      <c r="Z4" s="232"/>
      <c r="AA4" s="195"/>
      <c r="AB4" s="202"/>
      <c r="AC4" s="202"/>
      <c r="AD4" s="202"/>
      <c r="AE4" s="21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c r="BF4" s="202"/>
      <c r="BG4" s="202"/>
    </row>
    <row r="5" spans="2:59" x14ac:dyDescent="0.25">
      <c r="B5" s="202"/>
      <c r="C5" s="211"/>
      <c r="D5" s="210"/>
      <c r="E5" s="210"/>
      <c r="F5" s="210"/>
      <c r="G5" s="210"/>
      <c r="H5" s="210"/>
      <c r="I5" s="210"/>
      <c r="J5" s="208"/>
      <c r="K5" s="202"/>
      <c r="L5" s="211"/>
      <c r="M5" s="210"/>
      <c r="N5" s="210"/>
      <c r="O5" s="210"/>
      <c r="P5" s="208"/>
      <c r="Q5" s="202"/>
      <c r="R5" s="211"/>
      <c r="S5" s="210"/>
      <c r="T5" s="210"/>
      <c r="U5" s="210"/>
      <c r="V5" s="208"/>
      <c r="W5" s="202"/>
      <c r="X5" s="202"/>
      <c r="Y5" s="202"/>
      <c r="Z5" s="244"/>
      <c r="AA5" s="196"/>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E5" s="202"/>
      <c r="BF5" s="202"/>
      <c r="BG5" s="202"/>
    </row>
    <row r="6" spans="2:59" x14ac:dyDescent="0.25">
      <c r="B6" s="202"/>
      <c r="C6" s="211"/>
      <c r="D6" s="236" t="str">
        <f>Parameters!E270</f>
        <v>Size electrolyser</v>
      </c>
      <c r="E6" s="295">
        <f>Parameters!G270</f>
        <v>10</v>
      </c>
      <c r="F6" s="236" t="str">
        <f>Parameters!F270</f>
        <v>MW</v>
      </c>
      <c r="G6" s="210"/>
      <c r="H6" s="236"/>
      <c r="I6" s="236"/>
      <c r="J6" s="208"/>
      <c r="K6" s="202"/>
      <c r="L6" s="211"/>
      <c r="M6" s="210"/>
      <c r="N6" s="210"/>
      <c r="O6" s="210"/>
      <c r="P6" s="208"/>
      <c r="Q6" s="202"/>
      <c r="R6" s="211"/>
      <c r="S6" s="210"/>
      <c r="T6" s="210"/>
      <c r="U6" s="210"/>
      <c r="V6" s="208"/>
      <c r="W6" s="202"/>
      <c r="X6" s="202"/>
      <c r="Y6" s="202"/>
      <c r="Z6" s="244"/>
      <c r="AA6" s="196"/>
      <c r="AB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AZ6" s="202"/>
      <c r="BA6" s="202"/>
      <c r="BB6" s="202"/>
      <c r="BC6" s="202"/>
      <c r="BD6" s="202"/>
      <c r="BE6" s="202"/>
      <c r="BF6" s="202"/>
      <c r="BG6" s="202"/>
    </row>
    <row r="7" spans="2:59" x14ac:dyDescent="0.25">
      <c r="B7" s="202"/>
      <c r="C7" s="211"/>
      <c r="D7" s="414" t="str">
        <f>Parameters!E271</f>
        <v>Electricity benchmark price</v>
      </c>
      <c r="E7" s="897">
        <f>Parameters!G271</f>
        <v>40</v>
      </c>
      <c r="F7" s="239" t="str">
        <f>Parameters!F271</f>
        <v>€/MWh</v>
      </c>
      <c r="G7" s="210"/>
      <c r="H7" s="239"/>
      <c r="I7" s="239"/>
      <c r="J7" s="215"/>
      <c r="K7" s="202"/>
      <c r="L7" s="211"/>
      <c r="M7" s="239" t="s">
        <v>559</v>
      </c>
      <c r="N7" s="236"/>
      <c r="O7" s="236"/>
      <c r="P7" s="215"/>
      <c r="Q7" s="202"/>
      <c r="R7" s="211"/>
      <c r="S7" s="289" t="s">
        <v>559</v>
      </c>
      <c r="T7" s="240"/>
      <c r="U7" s="236"/>
      <c r="V7" s="215"/>
      <c r="W7" s="202"/>
      <c r="X7" s="202"/>
      <c r="Y7" s="202"/>
      <c r="Z7" s="197"/>
      <c r="AA7" s="196"/>
      <c r="AB7" s="202"/>
      <c r="AC7" s="202"/>
      <c r="AD7" s="202"/>
      <c r="AE7" s="202"/>
      <c r="AF7" s="202"/>
      <c r="AG7" s="202"/>
      <c r="AH7" s="202"/>
      <c r="AI7" s="202"/>
      <c r="AJ7" s="202"/>
      <c r="AK7" s="202"/>
      <c r="AL7" s="202"/>
      <c r="AM7" s="202"/>
      <c r="AN7" s="202"/>
      <c r="AO7" s="202"/>
      <c r="AP7" s="202"/>
      <c r="AQ7" s="202"/>
      <c r="AR7" s="202"/>
      <c r="AS7" s="202"/>
      <c r="AT7" s="202"/>
      <c r="AU7" s="202"/>
      <c r="AV7" s="202"/>
      <c r="AW7" s="202"/>
      <c r="AX7" s="202"/>
      <c r="AY7" s="202"/>
      <c r="AZ7" s="202"/>
      <c r="BA7" s="202"/>
      <c r="BB7" s="202"/>
      <c r="BC7" s="202"/>
      <c r="BD7" s="202"/>
      <c r="BE7" s="202"/>
      <c r="BF7" s="202"/>
      <c r="BG7" s="202"/>
    </row>
    <row r="8" spans="2:59" x14ac:dyDescent="0.25">
      <c r="B8" s="202"/>
      <c r="C8" s="211"/>
      <c r="D8" s="220" t="str">
        <f>Parameters!E284</f>
        <v>Hours below benchmark price</v>
      </c>
      <c r="E8" s="220">
        <f>Parameters!G284</f>
        <v>0.42894592162422679</v>
      </c>
      <c r="F8" s="891"/>
      <c r="G8" s="891"/>
      <c r="H8" s="239"/>
      <c r="I8" s="239"/>
      <c r="J8" s="215"/>
      <c r="K8" s="202"/>
      <c r="L8" s="211"/>
      <c r="M8" s="236" t="str">
        <f>Parameters!E294</f>
        <v>Power requirement desalination unit</v>
      </c>
      <c r="N8" s="243">
        <f>Parameters!G294</f>
        <v>8.9999999999999993E-3</v>
      </c>
      <c r="O8" s="267" t="str">
        <f>Parameters!F294</f>
        <v>kW / (litre/hour)</v>
      </c>
      <c r="P8" s="215"/>
      <c r="Q8" s="202"/>
      <c r="R8" s="211"/>
      <c r="S8" s="414" t="str">
        <f>I53</f>
        <v>Capex desalination unit</v>
      </c>
      <c r="T8" s="295">
        <f>J53</f>
        <v>84240.000000000015</v>
      </c>
      <c r="U8" s="239" t="str">
        <f t="shared" ref="U8" si="0">K53</f>
        <v>€</v>
      </c>
      <c r="V8" s="215"/>
      <c r="W8" s="202"/>
      <c r="X8" s="202"/>
      <c r="Y8" s="202"/>
      <c r="Z8" s="232"/>
      <c r="AA8" s="232"/>
      <c r="AB8" s="232"/>
      <c r="AC8" s="202"/>
      <c r="AD8" s="202"/>
      <c r="AE8" s="202"/>
      <c r="AF8" s="202"/>
      <c r="AG8" s="202"/>
      <c r="AH8" s="202"/>
      <c r="AI8" s="202"/>
      <c r="AJ8" s="202"/>
      <c r="AK8" s="202"/>
      <c r="AL8" s="202"/>
      <c r="AM8" s="202"/>
      <c r="AN8" s="202"/>
      <c r="AO8" s="202"/>
      <c r="AP8" s="202"/>
      <c r="AQ8" s="202"/>
      <c r="AR8" s="202"/>
      <c r="AS8" s="202"/>
      <c r="AT8" s="202"/>
      <c r="AU8" s="202"/>
      <c r="AV8" s="202"/>
      <c r="AW8" s="202"/>
      <c r="AX8" s="202"/>
      <c r="AY8" s="202"/>
      <c r="AZ8" s="202"/>
      <c r="BA8" s="202"/>
      <c r="BB8" s="202"/>
      <c r="BC8" s="202"/>
      <c r="BD8" s="202"/>
      <c r="BE8" s="202"/>
      <c r="BF8" s="202"/>
      <c r="BG8" s="202"/>
    </row>
    <row r="9" spans="2:59" x14ac:dyDescent="0.25">
      <c r="B9" s="202"/>
      <c r="C9" s="211"/>
      <c r="D9" s="302" t="str">
        <f>Parameters!E285</f>
        <v>Average price during period below benchmark</v>
      </c>
      <c r="E9" s="955">
        <f>Parameters!G285</f>
        <v>30.291688346263779</v>
      </c>
      <c r="F9" s="239" t="str">
        <f>Parameters!F285</f>
        <v>€/MWh</v>
      </c>
      <c r="G9" s="894"/>
      <c r="H9" s="237"/>
      <c r="I9" s="237"/>
      <c r="J9" s="208"/>
      <c r="K9" s="202"/>
      <c r="L9" s="211"/>
      <c r="M9" s="236" t="str">
        <f>Parameters!E274</f>
        <v>Fresh water infeed electrolyser</v>
      </c>
      <c r="N9" s="243">
        <f>Parameters!G274</f>
        <v>270</v>
      </c>
      <c r="O9" s="235" t="str">
        <f>Parameters!F274</f>
        <v>litre / MWh</v>
      </c>
      <c r="P9" s="208"/>
      <c r="Q9" s="202"/>
      <c r="R9" s="211"/>
      <c r="S9" s="414" t="str">
        <f>I54</f>
        <v>OPEX desalination unit</v>
      </c>
      <c r="T9" s="240">
        <f>J54</f>
        <v>2106.0000000000005</v>
      </c>
      <c r="U9" s="239" t="str">
        <f t="shared" ref="U9" si="1">K54</f>
        <v>€ / a</v>
      </c>
      <c r="V9" s="208"/>
      <c r="W9" s="202"/>
      <c r="X9" s="202"/>
      <c r="Y9" s="202"/>
      <c r="Z9" s="232"/>
      <c r="AA9" s="232"/>
      <c r="AB9" s="232"/>
      <c r="AC9" s="202"/>
      <c r="AD9" s="202"/>
      <c r="AE9" s="202"/>
      <c r="AF9" s="202"/>
      <c r="AG9" s="202"/>
      <c r="AH9" s="202"/>
      <c r="AI9" s="202"/>
      <c r="AJ9" s="202"/>
      <c r="AK9" s="202"/>
      <c r="AL9" s="202"/>
      <c r="AM9" s="202"/>
      <c r="AN9" s="202"/>
      <c r="AO9" s="202"/>
      <c r="AP9" s="202"/>
      <c r="AQ9" s="202"/>
      <c r="AR9" s="202"/>
      <c r="AS9" s="202"/>
      <c r="AT9" s="202"/>
      <c r="AU9" s="202"/>
      <c r="AV9" s="202"/>
      <c r="AW9" s="202"/>
      <c r="AX9" s="202"/>
      <c r="AY9" s="202"/>
      <c r="AZ9" s="202"/>
      <c r="BA9" s="202"/>
      <c r="BB9" s="202"/>
      <c r="BC9" s="202"/>
      <c r="BD9" s="202"/>
      <c r="BE9" s="202"/>
      <c r="BF9" s="202"/>
      <c r="BG9" s="202"/>
    </row>
    <row r="10" spans="2:59" x14ac:dyDescent="0.25">
      <c r="B10" s="202"/>
      <c r="C10" s="211"/>
      <c r="D10" s="236" t="str">
        <f>Parameters!E37</f>
        <v>Transport tariff</v>
      </c>
      <c r="E10" s="295">
        <f>Parameters!$G$37</f>
        <v>2</v>
      </c>
      <c r="F10" s="236" t="str">
        <f>Parameters!F37</f>
        <v>EUR / MWh</v>
      </c>
      <c r="G10" s="210"/>
      <c r="H10" s="237"/>
      <c r="I10" s="237"/>
      <c r="J10" s="208"/>
      <c r="K10" s="202"/>
      <c r="L10" s="211"/>
      <c r="M10" s="214"/>
      <c r="N10" s="241"/>
      <c r="O10" s="210"/>
      <c r="P10" s="208"/>
      <c r="Q10" s="238"/>
      <c r="R10" s="211"/>
      <c r="S10" s="236" t="str">
        <f>U44</f>
        <v>Energy requirement desalination unit</v>
      </c>
      <c r="T10" s="240">
        <f>V44</f>
        <v>91.308860444305907</v>
      </c>
      <c r="U10" s="239" t="str">
        <f>W44</f>
        <v>MWh/a</v>
      </c>
      <c r="V10" s="208"/>
      <c r="W10" s="202"/>
      <c r="X10" s="202"/>
      <c r="Y10" s="202"/>
      <c r="Z10" s="232"/>
      <c r="AA10" s="232"/>
      <c r="AB10" s="232"/>
      <c r="AC10" s="202"/>
      <c r="AD10" s="202"/>
      <c r="AE10" s="202"/>
      <c r="AF10" s="202"/>
      <c r="AG10" s="202"/>
      <c r="AH10" s="202"/>
      <c r="AI10" s="202"/>
      <c r="AJ10" s="202"/>
      <c r="AK10" s="202"/>
      <c r="AL10" s="202"/>
      <c r="AM10" s="202"/>
      <c r="AN10" s="202"/>
      <c r="AO10" s="202"/>
      <c r="AP10" s="202"/>
      <c r="AQ10" s="202"/>
      <c r="AR10" s="202"/>
      <c r="AS10" s="202"/>
      <c r="AT10" s="202"/>
      <c r="AU10" s="202"/>
      <c r="AV10" s="202"/>
      <c r="AW10" s="202"/>
      <c r="AX10" s="202"/>
      <c r="AY10" s="202"/>
      <c r="AZ10" s="202"/>
      <c r="BA10" s="202"/>
      <c r="BB10" s="202"/>
      <c r="BC10" s="202"/>
      <c r="BD10" s="202"/>
      <c r="BE10" s="202"/>
      <c r="BF10" s="202"/>
      <c r="BG10" s="202"/>
    </row>
    <row r="11" spans="2:59" x14ac:dyDescent="0.25">
      <c r="B11" s="202"/>
      <c r="C11" s="211"/>
      <c r="D11" s="414"/>
      <c r="E11" s="237"/>
      <c r="F11" s="237"/>
      <c r="G11" s="210"/>
      <c r="H11" s="237"/>
      <c r="I11" s="237"/>
      <c r="J11" s="208"/>
      <c r="K11" s="202"/>
      <c r="L11" s="211"/>
      <c r="M11" s="214"/>
      <c r="N11" s="241"/>
      <c r="O11" s="210"/>
      <c r="P11" s="208"/>
      <c r="Q11" s="238"/>
      <c r="R11" s="211"/>
      <c r="S11" s="236"/>
      <c r="T11" s="240"/>
      <c r="U11" s="239"/>
      <c r="V11" s="208"/>
      <c r="W11" s="202"/>
      <c r="X11" s="202"/>
      <c r="Y11" s="202"/>
      <c r="Z11" s="232"/>
      <c r="AA11" s="232"/>
      <c r="AB11" s="232"/>
      <c r="AC11" s="202"/>
      <c r="AD11" s="202"/>
      <c r="AE11" s="202"/>
      <c r="AF11" s="202"/>
      <c r="AG11" s="202"/>
      <c r="AH11" s="202"/>
      <c r="AI11" s="202"/>
      <c r="AJ11" s="202"/>
      <c r="AK11" s="202"/>
      <c r="AL11" s="202"/>
      <c r="AM11" s="202"/>
      <c r="AN11" s="202"/>
      <c r="AO11" s="202"/>
      <c r="AP11" s="202"/>
      <c r="AQ11" s="202"/>
      <c r="AR11" s="202"/>
      <c r="AS11" s="202"/>
      <c r="AT11" s="202"/>
      <c r="AU11" s="202"/>
      <c r="AV11" s="202"/>
      <c r="AW11" s="202"/>
      <c r="AX11" s="202"/>
      <c r="AY11" s="202"/>
      <c r="AZ11" s="202"/>
      <c r="BA11" s="202"/>
      <c r="BB11" s="202"/>
      <c r="BC11" s="202"/>
      <c r="BD11" s="202"/>
      <c r="BE11" s="202"/>
      <c r="BF11" s="202"/>
      <c r="BG11" s="202"/>
    </row>
    <row r="12" spans="2:59" x14ac:dyDescent="0.25">
      <c r="B12" s="202"/>
      <c r="C12" s="211"/>
      <c r="D12" s="414" t="str">
        <f>Parameters!E14</f>
        <v>Availability</v>
      </c>
      <c r="E12" s="237">
        <f>Parameters!G14</f>
        <v>8760</v>
      </c>
      <c r="F12" s="237" t="str">
        <f>Parameters!F14</f>
        <v>hours / a</v>
      </c>
      <c r="G12" s="210"/>
      <c r="H12" s="237"/>
      <c r="I12" s="237"/>
      <c r="J12" s="208"/>
      <c r="K12" s="202"/>
      <c r="L12" s="211"/>
      <c r="M12" s="236"/>
      <c r="N12" s="236"/>
      <c r="O12" s="236"/>
      <c r="P12" s="208"/>
      <c r="Q12" s="202"/>
      <c r="R12" s="211"/>
      <c r="S12" s="288" t="s">
        <v>589</v>
      </c>
      <c r="T12" s="236"/>
      <c r="U12" s="239"/>
      <c r="V12" s="208"/>
      <c r="W12" s="202"/>
      <c r="X12" s="202"/>
      <c r="Y12" s="202"/>
      <c r="Z12" s="232"/>
      <c r="AA12" s="232"/>
      <c r="AB12" s="202"/>
      <c r="AC12" s="202"/>
      <c r="AD12" s="202"/>
      <c r="AE12" s="202"/>
      <c r="AF12" s="202"/>
      <c r="AG12" s="202"/>
      <c r="AH12" s="202"/>
      <c r="AI12" s="202"/>
      <c r="AJ12" s="202"/>
      <c r="AK12" s="202"/>
      <c r="AL12" s="202"/>
      <c r="AM12" s="202"/>
      <c r="AN12" s="202"/>
      <c r="AO12" s="202"/>
      <c r="AP12" s="202"/>
      <c r="AQ12" s="202"/>
      <c r="AR12" s="202"/>
      <c r="AS12" s="202"/>
      <c r="AT12" s="202"/>
      <c r="AU12" s="202"/>
      <c r="AV12" s="202"/>
      <c r="AW12" s="202"/>
      <c r="AX12" s="202"/>
      <c r="AY12" s="202"/>
      <c r="AZ12" s="202"/>
      <c r="BA12" s="202"/>
      <c r="BB12" s="202"/>
      <c r="BC12" s="202"/>
      <c r="BD12" s="202"/>
      <c r="BE12" s="202"/>
      <c r="BF12" s="202"/>
      <c r="BG12" s="202"/>
    </row>
    <row r="13" spans="2:59" x14ac:dyDescent="0.25">
      <c r="B13" s="202"/>
      <c r="C13" s="211"/>
      <c r="D13" s="414"/>
      <c r="E13" s="237"/>
      <c r="F13" s="237"/>
      <c r="G13" s="210"/>
      <c r="H13" s="237"/>
      <c r="I13" s="237"/>
      <c r="J13" s="208"/>
      <c r="K13" s="202"/>
      <c r="L13" s="211"/>
      <c r="M13" s="236" t="str">
        <f>Parameters!E278</f>
        <v>ηtransformer</v>
      </c>
      <c r="N13" s="236">
        <f>Parameters!G278</f>
        <v>0.99</v>
      </c>
      <c r="O13" s="236"/>
      <c r="P13" s="208"/>
      <c r="Q13" s="202"/>
      <c r="R13" s="211"/>
      <c r="S13" s="236" t="str">
        <f t="shared" ref="S13:U15" si="2">I55</f>
        <v>Capex electrolyser</v>
      </c>
      <c r="T13" s="240">
        <f>J55</f>
        <v>7850000</v>
      </c>
      <c r="U13" s="239" t="str">
        <f t="shared" si="2"/>
        <v>€</v>
      </c>
      <c r="V13" s="208"/>
      <c r="W13" s="202"/>
      <c r="X13" s="202"/>
      <c r="Y13" s="202"/>
      <c r="Z13" s="232"/>
      <c r="AA13" s="232"/>
      <c r="AB13" s="202"/>
      <c r="AC13" s="202"/>
      <c r="AD13" s="238"/>
      <c r="AE13" s="202"/>
      <c r="AF13" s="202"/>
      <c r="AG13" s="202"/>
      <c r="AH13" s="202"/>
      <c r="AI13" s="202"/>
      <c r="AJ13" s="202"/>
      <c r="AK13" s="202"/>
      <c r="AL13" s="202"/>
      <c r="AM13" s="202"/>
      <c r="AN13" s="202"/>
      <c r="AO13" s="202"/>
      <c r="AP13" s="202"/>
      <c r="AQ13" s="202"/>
      <c r="AR13" s="202"/>
      <c r="AS13" s="202"/>
      <c r="AT13" s="202"/>
      <c r="AU13" s="202"/>
      <c r="AV13" s="202"/>
      <c r="AW13" s="202"/>
      <c r="AX13" s="202"/>
      <c r="AY13" s="202"/>
      <c r="AZ13" s="202"/>
      <c r="BA13" s="202"/>
      <c r="BB13" s="202"/>
      <c r="BC13" s="202"/>
      <c r="BD13" s="202"/>
      <c r="BE13" s="202"/>
      <c r="BF13" s="202"/>
      <c r="BG13" s="202"/>
    </row>
    <row r="14" spans="2:59" x14ac:dyDescent="0.25">
      <c r="B14" s="202"/>
      <c r="C14" s="211"/>
      <c r="D14" s="219" t="str">
        <f>Parameters!E272</f>
        <v>Efficiency electrolyser</v>
      </c>
      <c r="E14" s="423">
        <f>Parameters!G272</f>
        <v>50</v>
      </c>
      <c r="F14" s="219" t="str">
        <f>Parameters!F272</f>
        <v>kWhel / kg H2</v>
      </c>
      <c r="G14" s="210"/>
      <c r="H14" s="237"/>
      <c r="I14" s="237"/>
      <c r="J14" s="208"/>
      <c r="K14" s="202"/>
      <c r="L14" s="211"/>
      <c r="M14" s="236" t="str">
        <f>Parameters!E279</f>
        <v>ηconverter</v>
      </c>
      <c r="N14" s="236">
        <f>Parameters!G279</f>
        <v>0.96</v>
      </c>
      <c r="O14" s="235"/>
      <c r="P14" s="208"/>
      <c r="Q14" s="202"/>
      <c r="R14" s="211"/>
      <c r="S14" s="236" t="str">
        <f t="shared" si="2"/>
        <v>Opex electrolyser</v>
      </c>
      <c r="T14" s="240">
        <f>J56</f>
        <v>196250</v>
      </c>
      <c r="U14" s="239" t="str">
        <f t="shared" si="2"/>
        <v>€ / a</v>
      </c>
      <c r="V14" s="208"/>
      <c r="W14" s="202"/>
      <c r="X14" s="202"/>
      <c r="Y14" s="202"/>
      <c r="Z14" s="232"/>
      <c r="AA14" s="232"/>
      <c r="AB14" s="202"/>
      <c r="AC14" s="202"/>
      <c r="AD14" s="202"/>
      <c r="AE14" s="202"/>
      <c r="AF14" s="202"/>
      <c r="AG14" s="202"/>
      <c r="AH14" s="202"/>
      <c r="AI14" s="202"/>
      <c r="AJ14" s="202"/>
      <c r="AK14" s="202"/>
      <c r="AL14" s="202"/>
      <c r="AM14" s="202"/>
      <c r="AN14" s="202"/>
      <c r="AO14" s="202"/>
      <c r="AP14" s="202"/>
      <c r="AQ14" s="202"/>
      <c r="AR14" s="202"/>
      <c r="AS14" s="202"/>
      <c r="AT14" s="202"/>
      <c r="AU14" s="202"/>
      <c r="AV14" s="202"/>
      <c r="AW14" s="202"/>
      <c r="AX14" s="202"/>
      <c r="AY14" s="202"/>
      <c r="AZ14" s="202"/>
      <c r="BA14" s="202"/>
      <c r="BB14" s="202"/>
      <c r="BC14" s="202"/>
      <c r="BD14" s="202"/>
      <c r="BE14" s="202"/>
      <c r="BF14" s="202"/>
      <c r="BG14" s="202"/>
    </row>
    <row r="15" spans="2:59" x14ac:dyDescent="0.25">
      <c r="B15" s="202"/>
      <c r="C15" s="211"/>
      <c r="D15" s="219" t="str">
        <f>Parameters!E273</f>
        <v>Outlet pressure electrolyser</v>
      </c>
      <c r="E15" s="423">
        <f>Parameters!G273</f>
        <v>35</v>
      </c>
      <c r="F15" s="219" t="str">
        <f>Parameters!F273</f>
        <v>bar</v>
      </c>
      <c r="G15" s="210"/>
      <c r="H15" s="237"/>
      <c r="I15" s="237"/>
      <c r="J15" s="208"/>
      <c r="K15" s="202"/>
      <c r="L15" s="211"/>
      <c r="M15" s="236"/>
      <c r="N15" s="236"/>
      <c r="O15" s="235"/>
      <c r="P15" s="208"/>
      <c r="Q15" s="202"/>
      <c r="R15" s="211"/>
      <c r="S15" s="236" t="str">
        <f>I57</f>
        <v>Capex stack replacement</v>
      </c>
      <c r="T15" s="240">
        <f t="shared" ref="T15" si="3">J57</f>
        <v>3925000</v>
      </c>
      <c r="U15" s="239" t="str">
        <f t="shared" si="2"/>
        <v>EUR</v>
      </c>
      <c r="V15" s="208"/>
      <c r="W15" s="202"/>
      <c r="X15" s="202"/>
      <c r="Y15" s="202"/>
      <c r="Z15" s="232"/>
      <c r="AA15" s="232"/>
      <c r="AB15" s="202"/>
      <c r="AC15" s="202"/>
      <c r="AD15" s="202"/>
      <c r="AE15" s="202"/>
      <c r="AF15" s="202"/>
      <c r="AG15" s="202"/>
      <c r="AH15" s="202"/>
      <c r="AI15" s="202"/>
      <c r="AJ15" s="202"/>
      <c r="AK15" s="202"/>
      <c r="AL15" s="202"/>
      <c r="AM15" s="202"/>
      <c r="AN15" s="202"/>
      <c r="AO15" s="202"/>
      <c r="AP15" s="202"/>
      <c r="AQ15" s="202"/>
      <c r="AR15" s="202"/>
      <c r="AS15" s="202"/>
      <c r="AT15" s="202"/>
      <c r="AU15" s="202"/>
      <c r="AV15" s="202"/>
      <c r="AW15" s="202"/>
      <c r="AX15" s="202"/>
      <c r="AY15" s="202"/>
      <c r="AZ15" s="202"/>
      <c r="BA15" s="202"/>
      <c r="BB15" s="202"/>
      <c r="BC15" s="202"/>
      <c r="BD15" s="202"/>
      <c r="BE15" s="202"/>
      <c r="BF15" s="202"/>
      <c r="BG15" s="202"/>
    </row>
    <row r="16" spans="2:59" x14ac:dyDescent="0.25">
      <c r="B16" s="202"/>
      <c r="C16" s="211"/>
      <c r="D16" s="210" t="str">
        <f>Parameters!E275</f>
        <v>Lifetime system</v>
      </c>
      <c r="E16" s="890">
        <f>Parameters!G275</f>
        <v>20</v>
      </c>
      <c r="F16" s="891" t="str">
        <f>Parameters!F275</f>
        <v>a</v>
      </c>
      <c r="G16" s="891"/>
      <c r="H16" s="891"/>
      <c r="I16" s="891"/>
      <c r="J16" s="892"/>
      <c r="K16" s="202"/>
      <c r="L16" s="211"/>
      <c r="M16" s="236"/>
      <c r="N16" s="236"/>
      <c r="O16" s="235"/>
      <c r="P16" s="208"/>
      <c r="Q16" s="202"/>
      <c r="R16" s="211"/>
      <c r="S16" s="236" t="str">
        <f>I60</f>
        <v>Electricity costs electrolysis</v>
      </c>
      <c r="T16" s="414">
        <f>J60</f>
        <v>1138230.2649511963</v>
      </c>
      <c r="U16" s="237" t="str">
        <f>K60</f>
        <v>EUR/a</v>
      </c>
      <c r="V16" s="208"/>
      <c r="W16" s="202"/>
      <c r="X16" s="202"/>
      <c r="Y16" s="202"/>
      <c r="Z16" s="232"/>
      <c r="AA16" s="23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c r="BA16" s="202"/>
      <c r="BB16" s="202"/>
      <c r="BC16" s="202"/>
      <c r="BD16" s="202"/>
      <c r="BE16" s="202"/>
      <c r="BF16" s="202"/>
      <c r="BG16" s="202"/>
    </row>
    <row r="17" spans="2:61" x14ac:dyDescent="0.25">
      <c r="B17" s="202"/>
      <c r="C17" s="889"/>
      <c r="D17" s="246" t="str">
        <f>Parameters!E276</f>
        <v>Lifetime stack</v>
      </c>
      <c r="E17" s="1325">
        <f>Parameters!G276</f>
        <v>10</v>
      </c>
      <c r="F17" s="894" t="str">
        <f>Parameters!F276</f>
        <v>a</v>
      </c>
      <c r="G17" s="894"/>
      <c r="H17" s="894"/>
      <c r="I17" s="894"/>
      <c r="J17" s="895"/>
      <c r="K17" s="202"/>
      <c r="L17" s="211"/>
      <c r="M17" s="236"/>
      <c r="N17" s="236"/>
      <c r="O17" s="235"/>
      <c r="P17" s="208"/>
      <c r="Q17" s="202"/>
      <c r="R17" s="211"/>
      <c r="S17" s="236"/>
      <c r="T17" s="236"/>
      <c r="U17" s="239"/>
      <c r="V17" s="208"/>
      <c r="W17" s="202"/>
      <c r="X17" s="202"/>
      <c r="Y17" s="202"/>
      <c r="Z17" s="232"/>
      <c r="AA17" s="232"/>
      <c r="AB17" s="202"/>
      <c r="AC17" s="202"/>
      <c r="AD17" s="202"/>
      <c r="AE17" s="202"/>
      <c r="AF17" s="202"/>
      <c r="AG17" s="202"/>
      <c r="AH17" s="202"/>
      <c r="AI17" s="202"/>
      <c r="AJ17" s="202"/>
      <c r="AK17" s="202"/>
      <c r="AL17" s="202"/>
      <c r="AM17" s="202"/>
      <c r="AN17" s="202"/>
      <c r="AO17" s="202"/>
      <c r="AP17" s="202"/>
      <c r="AQ17" s="202"/>
      <c r="AR17" s="202"/>
      <c r="AS17" s="202"/>
      <c r="AT17" s="202"/>
      <c r="AU17" s="202"/>
      <c r="AV17" s="202"/>
      <c r="AW17" s="202"/>
      <c r="AX17" s="202"/>
      <c r="AY17" s="202"/>
      <c r="AZ17" s="202"/>
      <c r="BA17" s="202"/>
      <c r="BB17" s="202"/>
      <c r="BC17" s="202"/>
      <c r="BD17" s="202"/>
      <c r="BE17" s="202"/>
      <c r="BF17" s="202"/>
      <c r="BG17" s="202"/>
    </row>
    <row r="18" spans="2:61" x14ac:dyDescent="0.25">
      <c r="B18" s="202"/>
      <c r="C18" s="889"/>
      <c r="D18" s="246" t="str">
        <f>Parameters!E277</f>
        <v>Capex share stack</v>
      </c>
      <c r="E18" s="893">
        <f>Parameters!G277</f>
        <v>0.5</v>
      </c>
      <c r="F18" s="894" t="str">
        <f>Parameters!F277</f>
        <v>%</v>
      </c>
      <c r="G18" s="894"/>
      <c r="H18" s="894"/>
      <c r="I18" s="894"/>
      <c r="J18" s="895"/>
      <c r="K18" s="202"/>
      <c r="L18" s="211"/>
      <c r="M18" s="236"/>
      <c r="N18" s="236"/>
      <c r="O18" s="235"/>
      <c r="P18" s="208"/>
      <c r="Q18" s="202"/>
      <c r="R18" s="211"/>
      <c r="S18" s="236" t="str">
        <f t="shared" ref="S18:U19" si="4">M54</f>
        <v>Total electrolyser weigth</v>
      </c>
      <c r="T18" s="295">
        <f t="shared" si="4"/>
        <v>102</v>
      </c>
      <c r="U18" s="896" t="str">
        <f t="shared" si="4"/>
        <v>ton</v>
      </c>
      <c r="V18" s="208"/>
      <c r="W18" s="202"/>
      <c r="X18" s="202"/>
      <c r="Y18" s="202"/>
      <c r="Z18" s="232"/>
      <c r="AA18" s="232"/>
      <c r="AB18" s="202"/>
      <c r="AC18" s="202"/>
      <c r="AD18" s="202"/>
      <c r="AE18" s="202"/>
      <c r="AF18" s="202"/>
      <c r="AG18" s="202"/>
      <c r="AH18" s="202"/>
      <c r="AI18" s="202"/>
      <c r="AJ18" s="202"/>
      <c r="AK18" s="202"/>
      <c r="AL18" s="202"/>
      <c r="AM18" s="202"/>
      <c r="AN18" s="202"/>
      <c r="AO18" s="202"/>
      <c r="AP18" s="202"/>
      <c r="AQ18" s="202"/>
      <c r="AR18" s="202"/>
      <c r="AS18" s="202"/>
      <c r="AT18" s="202"/>
      <c r="AU18" s="202"/>
      <c r="AV18" s="202"/>
      <c r="AW18" s="202"/>
      <c r="AX18" s="202"/>
      <c r="AY18" s="202"/>
      <c r="AZ18" s="202"/>
      <c r="BA18" s="202"/>
      <c r="BB18" s="202"/>
      <c r="BC18" s="202"/>
      <c r="BD18" s="202"/>
      <c r="BE18" s="202"/>
      <c r="BF18" s="202"/>
      <c r="BG18" s="202"/>
    </row>
    <row r="19" spans="2:61" x14ac:dyDescent="0.25">
      <c r="B19" s="202"/>
      <c r="C19" s="889"/>
      <c r="D19" s="246"/>
      <c r="E19" s="893"/>
      <c r="F19" s="894"/>
      <c r="G19" s="894"/>
      <c r="H19" s="894"/>
      <c r="I19" s="894"/>
      <c r="J19" s="895"/>
      <c r="K19" s="202"/>
      <c r="L19" s="211"/>
      <c r="M19" s="236"/>
      <c r="N19" s="236"/>
      <c r="O19" s="235"/>
      <c r="P19" s="208"/>
      <c r="Q19" s="202"/>
      <c r="R19" s="211"/>
      <c r="S19" s="236" t="str">
        <f t="shared" si="4"/>
        <v>Total electrolyser area</v>
      </c>
      <c r="T19" s="295">
        <f t="shared" si="4"/>
        <v>148.5472</v>
      </c>
      <c r="U19" s="1062" t="str">
        <f t="shared" si="4"/>
        <v>m²</v>
      </c>
      <c r="V19" s="208"/>
      <c r="W19" s="202"/>
      <c r="X19" s="202"/>
      <c r="Y19" s="202"/>
      <c r="Z19" s="232"/>
      <c r="AA19" s="232"/>
      <c r="AB19" s="202"/>
      <c r="AC19" s="202"/>
      <c r="AD19" s="202"/>
      <c r="AE19" s="202"/>
      <c r="AF19" s="202"/>
      <c r="AG19" s="202"/>
      <c r="AH19" s="202"/>
      <c r="AI19" s="202"/>
      <c r="AJ19" s="202"/>
      <c r="AK19" s="202"/>
      <c r="AL19" s="202"/>
      <c r="AM19" s="202"/>
      <c r="AN19" s="202"/>
      <c r="AO19" s="202"/>
      <c r="AP19" s="202"/>
      <c r="AQ19" s="202"/>
      <c r="AR19" s="202"/>
      <c r="AS19" s="202"/>
      <c r="AT19" s="202"/>
      <c r="AU19" s="202"/>
      <c r="AV19" s="202"/>
      <c r="AW19" s="202"/>
      <c r="AX19" s="202"/>
      <c r="AY19" s="202"/>
      <c r="AZ19" s="202"/>
      <c r="BA19" s="202"/>
      <c r="BB19" s="202"/>
      <c r="BC19" s="202"/>
      <c r="BD19" s="202"/>
      <c r="BE19" s="202"/>
      <c r="BF19" s="202"/>
      <c r="BG19" s="202"/>
    </row>
    <row r="20" spans="2:61" x14ac:dyDescent="0.25">
      <c r="B20" s="202"/>
      <c r="C20" s="889"/>
      <c r="D20" s="246"/>
      <c r="E20" s="893"/>
      <c r="F20" s="894"/>
      <c r="G20" s="894"/>
      <c r="H20" s="894"/>
      <c r="I20" s="894"/>
      <c r="J20" s="895"/>
      <c r="K20" s="202"/>
      <c r="L20" s="211"/>
      <c r="M20" s="236"/>
      <c r="N20" s="236"/>
      <c r="O20" s="235"/>
      <c r="P20" s="208"/>
      <c r="Q20" s="202"/>
      <c r="R20" s="211"/>
      <c r="S20" s="236" t="str">
        <f>M57</f>
        <v>Total desalination unit area</v>
      </c>
      <c r="T20" s="295">
        <f t="shared" ref="T20:U20" si="5">N57</f>
        <v>3.8298856933808541</v>
      </c>
      <c r="U20" s="1063" t="str">
        <f t="shared" si="5"/>
        <v>m²</v>
      </c>
      <c r="V20" s="208"/>
      <c r="W20" s="202"/>
      <c r="X20" s="202"/>
      <c r="Y20" s="202"/>
      <c r="Z20" s="232"/>
      <c r="AA20" s="232"/>
      <c r="AB20" s="202"/>
      <c r="AC20" s="202"/>
      <c r="AD20" s="202"/>
      <c r="AE20" s="202"/>
      <c r="AF20" s="202"/>
      <c r="AG20" s="202"/>
      <c r="AH20" s="202"/>
      <c r="AI20" s="202"/>
      <c r="AJ20" s="202"/>
      <c r="AK20" s="202"/>
      <c r="AL20" s="202"/>
      <c r="AM20" s="202"/>
      <c r="AN20" s="202"/>
      <c r="AO20" s="202"/>
      <c r="AP20" s="202"/>
      <c r="AQ20" s="202"/>
      <c r="AR20" s="202"/>
      <c r="AS20" s="202"/>
      <c r="AT20" s="202"/>
      <c r="AU20" s="202"/>
      <c r="AV20" s="202"/>
      <c r="AW20" s="202"/>
      <c r="AX20" s="202"/>
      <c r="AY20" s="202"/>
      <c r="AZ20" s="202"/>
      <c r="BA20" s="202"/>
      <c r="BB20" s="202"/>
      <c r="BC20" s="202"/>
      <c r="BD20" s="202"/>
      <c r="BE20" s="202"/>
      <c r="BF20" s="202"/>
      <c r="BG20" s="202"/>
    </row>
    <row r="21" spans="2:61" x14ac:dyDescent="0.25">
      <c r="B21" s="202"/>
      <c r="C21" s="207"/>
      <c r="D21" s="206"/>
      <c r="E21" s="234"/>
      <c r="F21" s="234"/>
      <c r="G21" s="206"/>
      <c r="H21" s="206"/>
      <c r="I21" s="206"/>
      <c r="J21" s="204"/>
      <c r="K21" s="202"/>
      <c r="L21" s="207"/>
      <c r="M21" s="233"/>
      <c r="N21" s="233"/>
      <c r="O21" s="206"/>
      <c r="P21" s="204"/>
      <c r="Q21" s="202"/>
      <c r="R21" s="207"/>
      <c r="S21" s="234" t="str">
        <f t="shared" ref="S21:U21" si="6">M58</f>
        <v>Total desalination unit weight</v>
      </c>
      <c r="T21" s="1061">
        <f t="shared" si="6"/>
        <v>2.62979269030212</v>
      </c>
      <c r="U21" s="1064" t="str">
        <f t="shared" si="6"/>
        <v>ton</v>
      </c>
      <c r="V21" s="204"/>
      <c r="W21" s="202"/>
      <c r="X21" s="202"/>
      <c r="Y21" s="202"/>
      <c r="Z21" s="232"/>
      <c r="AA21" s="232"/>
      <c r="AB21" s="202"/>
      <c r="AC21" s="202"/>
      <c r="AD21" s="202"/>
      <c r="AE21" s="202"/>
      <c r="AF21" s="202"/>
      <c r="AG21" s="202"/>
      <c r="AH21" s="202"/>
      <c r="AI21" s="202"/>
      <c r="AJ21" s="202"/>
      <c r="AK21" s="202"/>
      <c r="AL21" s="202"/>
      <c r="AM21" s="202"/>
      <c r="AN21" s="202"/>
      <c r="AO21" s="202"/>
      <c r="AP21" s="202"/>
      <c r="AQ21" s="202"/>
      <c r="AR21" s="202"/>
      <c r="AS21" s="202"/>
      <c r="AT21" s="202"/>
      <c r="AU21" s="202"/>
      <c r="AV21" s="202"/>
      <c r="AW21" s="202"/>
      <c r="AX21" s="202"/>
      <c r="AY21" s="202"/>
      <c r="AZ21" s="202"/>
      <c r="BA21" s="202"/>
      <c r="BB21" s="202"/>
      <c r="BC21" s="202"/>
      <c r="BD21" s="202"/>
      <c r="BE21" s="202"/>
      <c r="BF21" s="202"/>
      <c r="BG21" s="202"/>
    </row>
    <row r="22" spans="2:61" x14ac:dyDescent="0.25">
      <c r="B22" s="202"/>
      <c r="C22" s="202"/>
      <c r="D22" s="202"/>
      <c r="E22" s="202"/>
      <c r="F22" s="202"/>
      <c r="G22" s="202"/>
      <c r="H22" s="202"/>
      <c r="I22" s="202"/>
      <c r="J22" s="202"/>
      <c r="K22" s="202"/>
      <c r="L22" s="202"/>
      <c r="M22" s="202"/>
      <c r="N22" s="202"/>
      <c r="O22" s="202"/>
      <c r="P22" s="202"/>
      <c r="Q22" s="212"/>
      <c r="R22" s="202"/>
      <c r="S22" s="202"/>
      <c r="T22" s="202"/>
      <c r="U22" s="202"/>
      <c r="V22" s="202"/>
      <c r="W22" s="232"/>
      <c r="X22" s="232"/>
      <c r="Y22" s="202"/>
      <c r="Z22" s="202"/>
      <c r="AA22" s="202"/>
      <c r="AB22" s="202"/>
      <c r="AC22" s="202"/>
      <c r="AD22" s="202"/>
      <c r="AE22" s="202"/>
      <c r="AF22" s="202"/>
      <c r="AG22" s="202"/>
      <c r="AH22" s="202"/>
      <c r="AI22" s="202"/>
      <c r="AJ22" s="202"/>
      <c r="AK22" s="202"/>
      <c r="AL22" s="202"/>
      <c r="AM22" s="202"/>
      <c r="AN22" s="202"/>
      <c r="AO22" s="202"/>
      <c r="AP22" s="202"/>
      <c r="AQ22" s="202"/>
      <c r="AR22" s="202"/>
      <c r="AS22" s="202"/>
      <c r="AT22" s="202"/>
      <c r="AU22" s="202"/>
      <c r="AV22" s="202"/>
      <c r="AW22" s="202"/>
      <c r="AX22" s="202"/>
      <c r="AY22" s="202"/>
      <c r="AZ22" s="202"/>
      <c r="BA22" s="202"/>
      <c r="BB22" s="202"/>
      <c r="BC22" s="202"/>
      <c r="BD22" s="202"/>
    </row>
    <row r="23" spans="2:61" ht="21" x14ac:dyDescent="0.35">
      <c r="B23" s="231"/>
      <c r="C23" s="231" t="s">
        <v>572</v>
      </c>
      <c r="D23" s="202"/>
      <c r="E23" s="202"/>
      <c r="F23" s="202"/>
      <c r="G23" s="230"/>
      <c r="H23" s="202"/>
      <c r="I23" s="202"/>
      <c r="J23" s="202"/>
      <c r="K23" s="202"/>
      <c r="L23" s="202"/>
      <c r="M23" s="202"/>
      <c r="N23" s="202"/>
      <c r="O23" s="202"/>
      <c r="P23" s="202"/>
      <c r="Q23" s="202"/>
      <c r="R23" s="202"/>
      <c r="S23" s="202"/>
      <c r="T23" s="202"/>
      <c r="U23" s="202"/>
      <c r="V23" s="202"/>
      <c r="W23" s="202"/>
      <c r="X23" s="202"/>
      <c r="Y23" s="202"/>
      <c r="Z23" s="229"/>
      <c r="AA23" s="229"/>
      <c r="AB23" s="229"/>
      <c r="AC23" s="229"/>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2"/>
      <c r="AZ23" s="202"/>
      <c r="BA23" s="202"/>
      <c r="BB23" s="202"/>
      <c r="BC23" s="202"/>
      <c r="BD23" s="202"/>
    </row>
    <row r="24" spans="2:61" x14ac:dyDescent="0.25">
      <c r="B24" s="202"/>
      <c r="C24" s="202"/>
      <c r="D24" s="202"/>
      <c r="E24" s="202"/>
      <c r="F24" s="202"/>
      <c r="G24" s="202"/>
      <c r="H24" s="202"/>
      <c r="I24" s="202"/>
      <c r="J24" s="202"/>
      <c r="K24" s="202"/>
      <c r="L24" s="202"/>
      <c r="M24" s="202"/>
      <c r="N24" s="202"/>
      <c r="O24" s="202"/>
      <c r="P24" s="202"/>
      <c r="Q24" s="202"/>
      <c r="R24" s="202"/>
      <c r="S24" s="202"/>
      <c r="T24" s="202"/>
      <c r="U24" s="202"/>
      <c r="V24" s="202"/>
      <c r="W24" s="202"/>
      <c r="X24" s="202"/>
      <c r="Y24" s="202"/>
      <c r="Z24" s="229"/>
      <c r="AA24" s="229"/>
      <c r="AB24" s="229"/>
      <c r="AC24" s="229"/>
      <c r="AD24" s="202"/>
      <c r="AE24" s="202"/>
      <c r="AF24" s="202"/>
      <c r="AG24" s="202"/>
      <c r="AH24" s="202"/>
      <c r="AI24" s="202"/>
      <c r="AJ24" s="202"/>
      <c r="AK24" s="202"/>
      <c r="AL24" s="202"/>
      <c r="AM24" s="202"/>
      <c r="AN24" s="202"/>
      <c r="AO24" s="202"/>
      <c r="AP24" s="202"/>
      <c r="AQ24" s="202"/>
      <c r="AR24" s="202"/>
      <c r="AS24" s="202"/>
      <c r="AT24" s="202"/>
      <c r="AU24" s="202"/>
      <c r="AV24" s="202"/>
      <c r="AW24" s="202"/>
      <c r="AX24" s="202"/>
      <c r="AY24" s="202"/>
      <c r="AZ24" s="202"/>
      <c r="BA24" s="202"/>
      <c r="BB24" s="202"/>
      <c r="BC24" s="202"/>
      <c r="BD24" s="202"/>
    </row>
    <row r="25" spans="2:61" x14ac:dyDescent="0.25">
      <c r="B25" s="229"/>
      <c r="C25" s="228" t="s">
        <v>571</v>
      </c>
      <c r="D25" s="227"/>
      <c r="E25" s="227"/>
      <c r="F25" s="226"/>
      <c r="G25" s="202"/>
      <c r="H25" s="228" t="s">
        <v>569</v>
      </c>
      <c r="I25" s="227"/>
      <c r="J25" s="227"/>
      <c r="K25" s="226"/>
      <c r="L25" s="202"/>
      <c r="M25" s="228" t="s">
        <v>571</v>
      </c>
      <c r="N25" s="227"/>
      <c r="O25" s="227"/>
      <c r="P25" s="226"/>
      <c r="Q25" s="202"/>
      <c r="R25" s="228" t="s">
        <v>569</v>
      </c>
      <c r="S25" s="227"/>
      <c r="T25" s="227"/>
      <c r="U25" s="226"/>
      <c r="V25" s="202"/>
      <c r="W25" s="228" t="s">
        <v>570</v>
      </c>
      <c r="X25" s="227"/>
      <c r="Y25" s="226"/>
      <c r="Z25" s="202"/>
      <c r="AA25" s="228" t="s">
        <v>569</v>
      </c>
      <c r="AB25" s="227"/>
      <c r="AC25" s="226"/>
      <c r="AD25" s="202"/>
      <c r="AE25" s="228" t="s">
        <v>656</v>
      </c>
      <c r="AF25" s="227"/>
      <c r="AG25" s="227"/>
      <c r="AH25" s="226"/>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c r="BF25" s="202"/>
      <c r="BG25" s="202"/>
      <c r="BH25" s="202"/>
      <c r="BI25" s="202"/>
    </row>
    <row r="26" spans="2:61" x14ac:dyDescent="0.25">
      <c r="B26" s="202"/>
      <c r="C26" s="202"/>
      <c r="D26" s="202"/>
      <c r="E26" s="202"/>
      <c r="F26" s="202"/>
      <c r="G26" s="202"/>
      <c r="H26" s="202"/>
      <c r="I26" s="202"/>
      <c r="J26" s="202"/>
      <c r="K26" s="202"/>
      <c r="L26" s="202"/>
      <c r="M26" s="202"/>
      <c r="N26" s="202"/>
      <c r="O26" s="202"/>
      <c r="P26" s="202"/>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U26" s="202"/>
      <c r="AV26" s="202"/>
      <c r="AW26" s="202"/>
      <c r="AX26" s="202"/>
      <c r="AY26" s="202"/>
      <c r="AZ26" s="202"/>
      <c r="BA26" s="202"/>
      <c r="BB26" s="202"/>
      <c r="BC26" s="202"/>
      <c r="BD26" s="202"/>
      <c r="BE26" s="202"/>
      <c r="BF26" s="202"/>
      <c r="BG26" s="202"/>
      <c r="BH26" s="202"/>
      <c r="BI26" s="202"/>
    </row>
    <row r="27" spans="2:61" x14ac:dyDescent="0.25">
      <c r="B27" s="202"/>
      <c r="C27" s="249" t="s">
        <v>648</v>
      </c>
      <c r="D27" s="224"/>
      <c r="E27" s="224"/>
      <c r="F27" s="223"/>
      <c r="G27" s="203"/>
      <c r="H27" s="225"/>
      <c r="I27" s="224"/>
      <c r="J27" s="224"/>
      <c r="K27" s="223"/>
      <c r="L27" s="202"/>
      <c r="M27" s="249" t="s">
        <v>648</v>
      </c>
      <c r="N27" s="224"/>
      <c r="O27" s="224"/>
      <c r="P27" s="223"/>
      <c r="Q27" s="202"/>
      <c r="R27" s="225"/>
      <c r="S27" s="224"/>
      <c r="T27" s="224"/>
      <c r="U27" s="223"/>
      <c r="V27" s="202"/>
      <c r="W27" s="225" t="s">
        <v>649</v>
      </c>
      <c r="X27" s="224"/>
      <c r="Y27" s="223"/>
      <c r="Z27" s="202"/>
      <c r="AA27" s="225"/>
      <c r="AB27" s="224"/>
      <c r="AC27" s="223"/>
      <c r="AD27" s="202"/>
      <c r="AE27" s="225" t="s">
        <v>567</v>
      </c>
      <c r="AF27" s="224"/>
      <c r="AG27" s="224"/>
      <c r="AH27" s="223"/>
      <c r="AI27" s="202"/>
      <c r="AJ27" s="202"/>
      <c r="AK27" s="202"/>
      <c r="AL27" s="202"/>
      <c r="AM27" s="202"/>
      <c r="AN27" s="202"/>
      <c r="AO27" s="202"/>
      <c r="AP27" s="202"/>
      <c r="AQ27" s="202"/>
      <c r="AR27" s="202"/>
      <c r="AS27" s="202"/>
      <c r="AT27" s="202"/>
      <c r="AU27" s="202"/>
      <c r="AV27" s="202"/>
      <c r="AW27" s="202"/>
      <c r="AX27" s="202"/>
      <c r="AY27" s="202"/>
      <c r="AZ27" s="202"/>
      <c r="BA27" s="202"/>
      <c r="BB27" s="202"/>
      <c r="BC27" s="202"/>
      <c r="BD27" s="202"/>
      <c r="BE27" s="202"/>
      <c r="BF27" s="202"/>
      <c r="BG27" s="202"/>
      <c r="BH27" s="202"/>
      <c r="BI27" s="202"/>
    </row>
    <row r="28" spans="2:61" ht="18" x14ac:dyDescent="0.35">
      <c r="B28" s="202"/>
      <c r="C28" s="222"/>
      <c r="D28" s="210"/>
      <c r="E28" s="210"/>
      <c r="F28" s="208"/>
      <c r="G28" s="202"/>
      <c r="H28" s="222"/>
      <c r="I28" s="260" t="str">
        <f>D7</f>
        <v>Electricity benchmark price</v>
      </c>
      <c r="J28" s="899">
        <f>E7</f>
        <v>40</v>
      </c>
      <c r="K28" s="900" t="str">
        <f>F7</f>
        <v>€/MWh</v>
      </c>
      <c r="L28" s="202"/>
      <c r="M28" s="222"/>
      <c r="N28" s="210"/>
      <c r="O28" s="210"/>
      <c r="P28" s="208"/>
      <c r="Q28" s="202"/>
      <c r="R28" s="222"/>
      <c r="S28" s="220" t="s">
        <v>652</v>
      </c>
      <c r="T28" s="302">
        <f>IFERROR(N29/(E6*8760),0)</f>
        <v>0.42894592162422679</v>
      </c>
      <c r="U28" s="208"/>
      <c r="V28" s="202"/>
      <c r="W28" s="222"/>
      <c r="X28" s="210"/>
      <c r="Y28" s="208"/>
      <c r="Z28" s="202"/>
      <c r="AA28" s="303" t="str">
        <f>D14</f>
        <v>Efficiency electrolyser</v>
      </c>
      <c r="AB28" s="299">
        <f>E14</f>
        <v>50</v>
      </c>
      <c r="AC28" s="208" t="s">
        <v>566</v>
      </c>
      <c r="AD28" s="202"/>
      <c r="AE28" s="304"/>
      <c r="AF28" s="213"/>
      <c r="AG28" s="210"/>
      <c r="AH28" s="208"/>
      <c r="AI28" s="202"/>
      <c r="AJ28" s="202"/>
      <c r="AK28" s="202"/>
      <c r="AL28" s="202"/>
      <c r="AM28" s="202"/>
      <c r="AN28" s="202"/>
      <c r="AO28" s="202"/>
      <c r="AP28" s="202"/>
      <c r="AQ28" s="202"/>
      <c r="AR28" s="202"/>
      <c r="AS28" s="202"/>
      <c r="AT28" s="202"/>
      <c r="AU28" s="202"/>
      <c r="AV28" s="202"/>
      <c r="AW28" s="202"/>
      <c r="AX28" s="202"/>
      <c r="AY28" s="202"/>
      <c r="AZ28" s="202"/>
      <c r="BA28" s="202"/>
      <c r="BB28" s="202"/>
      <c r="BC28" s="202"/>
      <c r="BD28" s="202"/>
      <c r="BE28" s="202"/>
      <c r="BF28" s="202"/>
      <c r="BG28" s="202"/>
      <c r="BH28" s="202"/>
      <c r="BI28" s="202"/>
    </row>
    <row r="29" spans="2:61" x14ac:dyDescent="0.25">
      <c r="B29" s="202"/>
      <c r="C29" s="887" t="str">
        <f>D6</f>
        <v>Size electrolyser</v>
      </c>
      <c r="D29" s="296">
        <f>E6</f>
        <v>10</v>
      </c>
      <c r="E29" s="888" t="str">
        <f>F6</f>
        <v>MW</v>
      </c>
      <c r="F29" s="208"/>
      <c r="G29" s="202"/>
      <c r="H29" s="222"/>
      <c r="I29" s="220" t="str">
        <f>D8</f>
        <v>Hours below benchmark price</v>
      </c>
      <c r="J29" s="220">
        <f>E8</f>
        <v>0.42894592162422679</v>
      </c>
      <c r="K29" s="208"/>
      <c r="L29" s="202"/>
      <c r="M29" s="887" t="s">
        <v>1201</v>
      </c>
      <c r="N29" s="296">
        <f>D29*E12*J29</f>
        <v>37575.662734282269</v>
      </c>
      <c r="O29" s="888" t="s">
        <v>836</v>
      </c>
      <c r="P29" s="208"/>
      <c r="Q29" s="202"/>
      <c r="R29" s="222"/>
      <c r="S29" s="220" t="str">
        <f>M13</f>
        <v>ηtransformer</v>
      </c>
      <c r="T29" s="220">
        <f>N13</f>
        <v>0.99</v>
      </c>
      <c r="U29" s="208"/>
      <c r="V29" s="202"/>
      <c r="W29" s="303" t="str">
        <f>M29</f>
        <v>Available electricity electrolysis</v>
      </c>
      <c r="X29" s="297">
        <f>N29*$T$29*$T$30</f>
        <v>35711.909862661865</v>
      </c>
      <c r="Y29" s="900" t="str">
        <f>O29</f>
        <v>MWh/a</v>
      </c>
      <c r="Z29" s="202"/>
      <c r="AA29" s="303"/>
      <c r="AB29" s="299"/>
      <c r="AC29" s="208"/>
      <c r="AD29" s="202"/>
      <c r="AE29" s="303" t="s">
        <v>565</v>
      </c>
      <c r="AF29" s="299">
        <f>IFERROR(X29*1000/AB28,0)</f>
        <v>714238.19725323736</v>
      </c>
      <c r="AG29" s="214" t="s">
        <v>657</v>
      </c>
      <c r="AH29" s="208"/>
      <c r="AI29" s="202"/>
      <c r="AJ29" s="202"/>
      <c r="AK29" s="202"/>
      <c r="AL29" s="202"/>
      <c r="AM29" s="202"/>
      <c r="AN29" s="202"/>
      <c r="AO29" s="202"/>
      <c r="AP29" s="202"/>
      <c r="AQ29" s="202"/>
      <c r="AR29" s="202"/>
      <c r="AS29" s="202"/>
      <c r="AT29" s="202"/>
      <c r="AU29" s="202"/>
      <c r="AV29" s="202"/>
      <c r="AW29" s="202"/>
      <c r="AX29" s="202"/>
      <c r="AY29" s="202"/>
      <c r="AZ29" s="202"/>
      <c r="BA29" s="202"/>
      <c r="BB29" s="202"/>
      <c r="BC29" s="202"/>
      <c r="BD29" s="202"/>
      <c r="BE29" s="202"/>
      <c r="BF29" s="202"/>
      <c r="BG29" s="202"/>
      <c r="BH29" s="202"/>
      <c r="BI29" s="202"/>
    </row>
    <row r="30" spans="2:61" x14ac:dyDescent="0.25">
      <c r="B30" s="202"/>
      <c r="C30" s="211"/>
      <c r="D30" s="210"/>
      <c r="E30" s="221"/>
      <c r="F30" s="208"/>
      <c r="G30" s="202"/>
      <c r="H30" s="211"/>
      <c r="I30" s="220"/>
      <c r="J30" s="246"/>
      <c r="K30" s="208"/>
      <c r="L30" s="202"/>
      <c r="M30" s="211"/>
      <c r="N30" s="210"/>
      <c r="O30" s="221"/>
      <c r="P30" s="208"/>
      <c r="Q30" s="202"/>
      <c r="R30" s="211"/>
      <c r="S30" s="220" t="str">
        <f>M14</f>
        <v>ηconverter</v>
      </c>
      <c r="T30" s="220">
        <f>N14</f>
        <v>0.96</v>
      </c>
      <c r="U30" s="208"/>
      <c r="V30" s="202"/>
      <c r="W30" s="211"/>
      <c r="X30" s="210"/>
      <c r="Y30" s="208"/>
      <c r="Z30" s="202"/>
      <c r="AA30" s="211"/>
      <c r="AB30" s="299"/>
      <c r="AC30" s="208"/>
      <c r="AD30" s="202"/>
      <c r="AE30" s="211" t="s">
        <v>875</v>
      </c>
      <c r="AF30" s="299">
        <f>IFERROR(E6*1000/3600/E14,0)</f>
        <v>5.5555555555555552E-2</v>
      </c>
      <c r="AG30" s="210" t="s">
        <v>658</v>
      </c>
      <c r="AH30" s="208"/>
      <c r="AI30" s="202"/>
      <c r="AJ30" s="202"/>
      <c r="AK30" s="202"/>
      <c r="AL30" s="202"/>
      <c r="AM30" s="202"/>
      <c r="AN30" s="202"/>
      <c r="AO30" s="202"/>
      <c r="AP30" s="202"/>
      <c r="AQ30" s="202"/>
      <c r="AR30" s="202"/>
      <c r="AS30" s="202"/>
      <c r="AT30" s="202"/>
      <c r="AU30" s="202"/>
      <c r="AV30" s="202"/>
      <c r="AW30" s="202"/>
      <c r="AX30" s="202"/>
      <c r="AY30" s="202"/>
      <c r="AZ30" s="202"/>
      <c r="BA30" s="202"/>
      <c r="BB30" s="202"/>
      <c r="BC30" s="202"/>
      <c r="BD30" s="202"/>
      <c r="BE30" s="202"/>
      <c r="BF30" s="202"/>
      <c r="BG30" s="202"/>
      <c r="BH30" s="202"/>
      <c r="BI30" s="202"/>
    </row>
    <row r="31" spans="2:61" x14ac:dyDescent="0.25">
      <c r="B31" s="202"/>
      <c r="C31" s="207"/>
      <c r="D31" s="234"/>
      <c r="E31" s="234"/>
      <c r="F31" s="204"/>
      <c r="G31" s="218"/>
      <c r="H31" s="207"/>
      <c r="I31" s="234"/>
      <c r="J31" s="234"/>
      <c r="K31" s="204"/>
      <c r="L31" s="202"/>
      <c r="M31" s="207"/>
      <c r="N31" s="234"/>
      <c r="O31" s="234"/>
      <c r="P31" s="204"/>
      <c r="Q31" s="202"/>
      <c r="R31" s="207"/>
      <c r="S31" s="234"/>
      <c r="T31" s="234"/>
      <c r="U31" s="204"/>
      <c r="V31" s="202"/>
      <c r="W31" s="207"/>
      <c r="X31" s="234"/>
      <c r="Y31" s="204"/>
      <c r="Z31" s="202"/>
      <c r="AA31" s="207"/>
      <c r="AB31" s="263"/>
      <c r="AC31" s="204"/>
      <c r="AD31" s="202"/>
      <c r="AE31" s="207"/>
      <c r="AF31" s="903"/>
      <c r="AG31" s="305"/>
      <c r="AH31" s="204"/>
      <c r="AI31" s="202"/>
      <c r="AJ31" s="203"/>
      <c r="AK31" s="202"/>
      <c r="AL31" s="202"/>
      <c r="AM31" s="202"/>
      <c r="AN31" s="202"/>
      <c r="AO31" s="202"/>
      <c r="AP31" s="202"/>
      <c r="AQ31" s="202"/>
      <c r="AR31" s="202"/>
      <c r="AS31" s="202"/>
      <c r="AT31" s="202"/>
      <c r="AU31" s="203"/>
      <c r="AV31" s="202"/>
      <c r="AW31" s="202"/>
      <c r="AX31" s="202"/>
      <c r="AY31" s="202"/>
      <c r="AZ31" s="202"/>
      <c r="BA31" s="202"/>
      <c r="BB31" s="202"/>
      <c r="BC31" s="202"/>
      <c r="BD31" s="202"/>
      <c r="BE31" s="202"/>
      <c r="BF31" s="202"/>
      <c r="BG31" s="202"/>
      <c r="BH31" s="202"/>
      <c r="BI31" s="202"/>
    </row>
    <row r="32" spans="2:61" x14ac:dyDescent="0.25">
      <c r="B32" s="202"/>
      <c r="C32" s="202"/>
      <c r="D32" s="202"/>
      <c r="E32" s="202"/>
      <c r="F32" s="202"/>
      <c r="G32" s="202"/>
      <c r="H32" s="202"/>
      <c r="I32" s="202"/>
      <c r="J32" s="202"/>
      <c r="K32" s="202"/>
      <c r="L32" s="202"/>
      <c r="M32" s="202"/>
      <c r="N32" s="202"/>
      <c r="O32" s="202"/>
      <c r="P32" s="202"/>
      <c r="Q32" s="202"/>
      <c r="R32" s="202"/>
      <c r="S32" s="202"/>
      <c r="T32" s="202"/>
      <c r="U32" s="202"/>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c r="AU32" s="202"/>
      <c r="AV32" s="202"/>
      <c r="AW32" s="202"/>
      <c r="AX32" s="202"/>
      <c r="AY32" s="202"/>
      <c r="AZ32" s="202"/>
      <c r="BA32" s="202"/>
      <c r="BB32" s="202"/>
      <c r="BC32" s="202"/>
      <c r="BD32" s="202"/>
      <c r="BE32" s="202"/>
      <c r="BF32" s="202"/>
      <c r="BG32" s="202"/>
      <c r="BH32" s="202"/>
      <c r="BI32" s="202"/>
    </row>
    <row r="33" spans="2:61" x14ac:dyDescent="0.25">
      <c r="B33" s="202"/>
      <c r="C33" s="202"/>
      <c r="D33" s="202"/>
      <c r="E33" s="202"/>
      <c r="F33" s="202"/>
      <c r="G33" s="202"/>
      <c r="H33" s="202"/>
      <c r="I33" s="202"/>
      <c r="J33" s="202"/>
      <c r="K33" s="202"/>
      <c r="L33" s="202"/>
      <c r="M33" s="202"/>
      <c r="N33" s="202"/>
      <c r="O33" s="202"/>
      <c r="P33" s="202"/>
      <c r="Q33" s="202"/>
      <c r="R33" s="228" t="s">
        <v>569</v>
      </c>
      <c r="S33" s="227"/>
      <c r="T33" s="227"/>
      <c r="U33" s="226"/>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c r="BA33" s="202"/>
      <c r="BB33" s="202"/>
      <c r="BC33" s="202"/>
      <c r="BD33" s="202"/>
      <c r="BE33" s="202"/>
      <c r="BF33" s="202"/>
      <c r="BG33" s="202"/>
      <c r="BH33" s="202"/>
      <c r="BI33" s="202"/>
    </row>
    <row r="34" spans="2:61" x14ac:dyDescent="0.25">
      <c r="B34" s="202"/>
      <c r="C34" s="202"/>
      <c r="D34" s="202"/>
      <c r="E34" s="202"/>
      <c r="F34" s="202"/>
      <c r="G34" s="202"/>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02"/>
      <c r="BB34" s="202"/>
      <c r="BC34" s="202"/>
      <c r="BD34" s="202"/>
      <c r="BE34" s="202"/>
      <c r="BF34" s="202"/>
      <c r="BG34" s="202"/>
      <c r="BH34" s="202"/>
      <c r="BI34" s="202"/>
    </row>
    <row r="35" spans="2:61" x14ac:dyDescent="0.25">
      <c r="B35" s="202"/>
      <c r="C35" s="202"/>
      <c r="D35" s="202"/>
      <c r="E35" s="202"/>
      <c r="F35" s="202"/>
      <c r="G35" s="202"/>
      <c r="H35" s="202"/>
      <c r="I35" s="202"/>
      <c r="J35" s="202"/>
      <c r="K35" s="202"/>
      <c r="L35" s="202"/>
      <c r="M35" s="202"/>
      <c r="N35" s="202"/>
      <c r="O35" s="202"/>
      <c r="P35" s="202"/>
      <c r="Q35" s="202"/>
      <c r="R35" s="225" t="s">
        <v>655</v>
      </c>
      <c r="S35" s="224"/>
      <c r="T35" s="224"/>
      <c r="U35" s="223"/>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c r="BA35" s="202"/>
      <c r="BB35" s="202"/>
      <c r="BC35" s="202"/>
      <c r="BD35" s="202"/>
      <c r="BE35" s="202"/>
      <c r="BF35" s="202"/>
      <c r="BG35" s="202"/>
      <c r="BH35" s="202"/>
      <c r="BI35" s="202"/>
    </row>
    <row r="36" spans="2:61" x14ac:dyDescent="0.25">
      <c r="B36" s="202"/>
      <c r="C36" s="202"/>
      <c r="D36" s="202"/>
      <c r="E36" s="202"/>
      <c r="F36" s="202"/>
      <c r="G36" s="202"/>
      <c r="H36" s="202"/>
      <c r="I36" s="202"/>
      <c r="J36" s="202"/>
      <c r="K36" s="202"/>
      <c r="L36" s="202"/>
      <c r="M36" s="202"/>
      <c r="N36" s="202"/>
      <c r="O36" s="202"/>
      <c r="P36" s="202"/>
      <c r="Q36" s="202"/>
      <c r="R36" s="304"/>
      <c r="S36" s="213"/>
      <c r="T36" s="213"/>
      <c r="U36" s="208"/>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AX36" s="202"/>
      <c r="AY36" s="202"/>
      <c r="AZ36" s="202"/>
      <c r="BA36" s="202"/>
      <c r="BB36" s="202"/>
      <c r="BC36" s="202"/>
      <c r="BD36" s="202"/>
      <c r="BE36" s="202"/>
      <c r="BF36" s="202"/>
      <c r="BG36" s="202"/>
      <c r="BH36" s="202"/>
      <c r="BI36" s="202"/>
    </row>
    <row r="37" spans="2:61" x14ac:dyDescent="0.25">
      <c r="B37" s="202"/>
      <c r="C37" s="202"/>
      <c r="D37" s="202"/>
      <c r="E37" s="202"/>
      <c r="F37" s="202"/>
      <c r="G37" s="202"/>
      <c r="H37" s="202"/>
      <c r="I37" s="202"/>
      <c r="J37" s="202"/>
      <c r="K37" s="202"/>
      <c r="L37" s="202"/>
      <c r="M37" s="202"/>
      <c r="N37" s="202"/>
      <c r="O37" s="202"/>
      <c r="P37" s="202"/>
      <c r="Q37" s="202"/>
      <c r="R37" s="304"/>
      <c r="S37" s="213" t="str">
        <f>C29</f>
        <v>Size electrolyser</v>
      </c>
      <c r="T37" s="299">
        <f>D29*E12-N29</f>
        <v>50024.337265717731</v>
      </c>
      <c r="U37" s="208" t="str">
        <f>E29</f>
        <v>MW</v>
      </c>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c r="BA37" s="202"/>
      <c r="BB37" s="202"/>
      <c r="BC37" s="202"/>
      <c r="BD37" s="202"/>
      <c r="BE37" s="202"/>
      <c r="BF37" s="202"/>
      <c r="BG37" s="202"/>
      <c r="BH37" s="202"/>
      <c r="BI37" s="202"/>
    </row>
    <row r="38" spans="2:61" x14ac:dyDescent="0.25">
      <c r="B38" s="202"/>
      <c r="C38" s="202"/>
      <c r="D38" s="202"/>
      <c r="E38" s="202"/>
      <c r="F38" s="202"/>
      <c r="G38" s="202"/>
      <c r="H38" s="202"/>
      <c r="I38" s="202"/>
      <c r="J38" s="202"/>
      <c r="K38" s="202"/>
      <c r="L38" s="202"/>
      <c r="M38" s="202"/>
      <c r="N38" s="202"/>
      <c r="O38" s="202"/>
      <c r="P38" s="202"/>
      <c r="Q38" s="202"/>
      <c r="R38" s="211"/>
      <c r="S38" s="214"/>
      <c r="T38" s="214"/>
      <c r="U38" s="208"/>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c r="BA38" s="202"/>
      <c r="BB38" s="202"/>
      <c r="BC38" s="202"/>
      <c r="BD38" s="202"/>
      <c r="BE38" s="202"/>
      <c r="BF38" s="202"/>
      <c r="BG38" s="202"/>
      <c r="BH38" s="202"/>
      <c r="BI38" s="202"/>
    </row>
    <row r="39" spans="2:61" x14ac:dyDescent="0.25">
      <c r="B39" s="202"/>
      <c r="C39" s="202"/>
      <c r="D39" s="202"/>
      <c r="E39" s="202"/>
      <c r="F39" s="202"/>
      <c r="G39" s="202"/>
      <c r="H39" s="202"/>
      <c r="I39" s="202"/>
      <c r="J39" s="202"/>
      <c r="K39" s="202"/>
      <c r="L39" s="202"/>
      <c r="M39" s="202"/>
      <c r="N39" s="202"/>
      <c r="O39" s="202"/>
      <c r="P39" s="202"/>
      <c r="Q39" s="202"/>
      <c r="R39" s="207"/>
      <c r="S39" s="263"/>
      <c r="T39" s="263"/>
      <c r="U39" s="204"/>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c r="BA39" s="202"/>
      <c r="BB39" s="202"/>
      <c r="BC39" s="202"/>
      <c r="BD39" s="202"/>
      <c r="BE39" s="202"/>
      <c r="BF39" s="202"/>
      <c r="BG39" s="202"/>
      <c r="BH39" s="202"/>
      <c r="BI39" s="202"/>
    </row>
    <row r="40" spans="2:61" x14ac:dyDescent="0.25">
      <c r="B40" s="202"/>
      <c r="C40" s="202"/>
      <c r="D40" s="202"/>
      <c r="E40" s="202"/>
      <c r="F40" s="202"/>
      <c r="G40" s="202"/>
      <c r="H40" s="202"/>
      <c r="I40" s="202"/>
      <c r="J40" s="202"/>
      <c r="K40" s="202"/>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c r="BA40" s="202"/>
      <c r="BB40" s="202"/>
      <c r="BC40" s="202"/>
      <c r="BD40" s="202"/>
    </row>
    <row r="41" spans="2:61" x14ac:dyDescent="0.25">
      <c r="B41" s="202"/>
      <c r="C41" s="228" t="s">
        <v>650</v>
      </c>
      <c r="D41" s="227"/>
      <c r="E41" s="227"/>
      <c r="F41" s="226"/>
      <c r="G41" s="202"/>
      <c r="H41" s="228" t="s">
        <v>621</v>
      </c>
      <c r="I41" s="227"/>
      <c r="J41" s="227"/>
      <c r="K41" s="226"/>
      <c r="L41" s="202"/>
      <c r="M41" s="228" t="s">
        <v>621</v>
      </c>
      <c r="N41" s="227"/>
      <c r="O41" s="226"/>
      <c r="P41" s="202"/>
      <c r="Q41" s="228" t="s">
        <v>621</v>
      </c>
      <c r="R41" s="227"/>
      <c r="S41" s="226"/>
      <c r="T41" s="202"/>
      <c r="U41" s="228" t="s">
        <v>651</v>
      </c>
      <c r="V41" s="227"/>
      <c r="W41" s="227"/>
      <c r="X41" s="226"/>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c r="AU41" s="202"/>
      <c r="AV41" s="202"/>
      <c r="AW41" s="202"/>
      <c r="AX41" s="202"/>
      <c r="AY41" s="202"/>
      <c r="AZ41" s="202"/>
      <c r="BA41" s="202"/>
      <c r="BB41" s="202"/>
      <c r="BC41" s="202"/>
      <c r="BD41" s="202"/>
    </row>
    <row r="42" spans="2:61" x14ac:dyDescent="0.25">
      <c r="B42" s="202"/>
      <c r="C42" s="202"/>
      <c r="D42" s="202"/>
      <c r="E42" s="202"/>
      <c r="F42" s="202"/>
      <c r="G42" s="202"/>
      <c r="H42" s="202"/>
      <c r="I42" s="202"/>
      <c r="J42" s="202"/>
      <c r="K42" s="202"/>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c r="AU42" s="202"/>
      <c r="AV42" s="202"/>
      <c r="AW42" s="202"/>
      <c r="AX42" s="202"/>
      <c r="AY42" s="202"/>
      <c r="AZ42" s="202"/>
      <c r="BA42" s="202"/>
      <c r="BB42" s="202"/>
      <c r="BC42" s="202"/>
      <c r="BD42" s="202"/>
    </row>
    <row r="43" spans="2:61" x14ac:dyDescent="0.25">
      <c r="B43" s="202"/>
      <c r="C43" s="249" t="s">
        <v>648</v>
      </c>
      <c r="D43" s="224"/>
      <c r="E43" s="224"/>
      <c r="F43" s="223"/>
      <c r="G43" s="202"/>
      <c r="H43" s="225"/>
      <c r="I43" s="224"/>
      <c r="J43" s="224"/>
      <c r="K43" s="223"/>
      <c r="L43" s="202"/>
      <c r="M43" s="225"/>
      <c r="N43" s="224"/>
      <c r="O43" s="223"/>
      <c r="P43" s="202"/>
      <c r="Q43" s="225"/>
      <c r="R43" s="224"/>
      <c r="S43" s="223"/>
      <c r="T43" s="202"/>
      <c r="U43" s="225"/>
      <c r="V43" s="224"/>
      <c r="W43" s="224"/>
      <c r="X43" s="223"/>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c r="BA43" s="202"/>
      <c r="BB43" s="202"/>
      <c r="BC43" s="202"/>
      <c r="BD43" s="202"/>
    </row>
    <row r="44" spans="2:61" x14ac:dyDescent="0.25">
      <c r="B44" s="202"/>
      <c r="C44" s="222"/>
      <c r="D44" s="210"/>
      <c r="E44" s="210"/>
      <c r="F44" s="208"/>
      <c r="G44" s="202"/>
      <c r="H44" s="222"/>
      <c r="I44" s="210"/>
      <c r="J44" s="210"/>
      <c r="K44" s="208"/>
      <c r="L44" s="202"/>
      <c r="M44" s="303" t="str">
        <f>I45</f>
        <v>Fresh water infeed electrolyser</v>
      </c>
      <c r="N44" s="297">
        <f>J45*D45</f>
        <v>10145428.938256212</v>
      </c>
      <c r="O44" s="208" t="s">
        <v>859</v>
      </c>
      <c r="P44" s="202"/>
      <c r="Q44" s="301" t="str">
        <f>M8</f>
        <v>Power requirement desalination unit</v>
      </c>
      <c r="R44" s="299">
        <f>N45*N8/1000</f>
        <v>2.4299999999999999E-2</v>
      </c>
      <c r="S44" s="208" t="s">
        <v>46</v>
      </c>
      <c r="T44" s="202"/>
      <c r="U44" s="303" t="str">
        <f>Parameters!E299</f>
        <v>Energy requirement desalination unit</v>
      </c>
      <c r="V44" s="297">
        <f>R44*E12*R45</f>
        <v>91.308860444305907</v>
      </c>
      <c r="W44" s="210" t="str">
        <f>Parameters!F299</f>
        <v>MWh/a</v>
      </c>
      <c r="X44" s="208"/>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c r="BA44" s="202"/>
      <c r="BB44" s="202"/>
      <c r="BC44" s="202"/>
      <c r="BD44" s="202"/>
    </row>
    <row r="45" spans="2:61" x14ac:dyDescent="0.25">
      <c r="B45" s="202"/>
      <c r="C45" s="887" t="str">
        <f>M29</f>
        <v>Available electricity electrolysis</v>
      </c>
      <c r="D45" s="296">
        <f>N29</f>
        <v>37575.662734282269</v>
      </c>
      <c r="E45" s="888" t="str">
        <f>O29</f>
        <v>MWh/a</v>
      </c>
      <c r="F45" s="208"/>
      <c r="G45" s="202"/>
      <c r="H45" s="222"/>
      <c r="I45" s="220" t="str">
        <f>M9</f>
        <v>Fresh water infeed electrolyser</v>
      </c>
      <c r="J45" s="299">
        <f>N9</f>
        <v>270</v>
      </c>
      <c r="K45" s="208" t="str">
        <f>O9</f>
        <v>litre / MWh</v>
      </c>
      <c r="L45" s="202"/>
      <c r="M45" s="298" t="s">
        <v>576</v>
      </c>
      <c r="N45" s="299">
        <f>E6*J45</f>
        <v>2700</v>
      </c>
      <c r="O45" s="208" t="s">
        <v>858</v>
      </c>
      <c r="P45" s="202"/>
      <c r="Q45" s="211" t="s">
        <v>654</v>
      </c>
      <c r="R45" s="302">
        <f>IFERROR(D45/(E6*8760),0)</f>
        <v>0.42894592162422679</v>
      </c>
      <c r="S45" s="208"/>
      <c r="T45" s="202"/>
      <c r="U45" s="303" t="str">
        <f t="shared" ref="U45:W46" si="7">M44</f>
        <v>Fresh water infeed electrolyser</v>
      </c>
      <c r="V45" s="297">
        <f t="shared" si="7"/>
        <v>10145428.938256212</v>
      </c>
      <c r="W45" s="210" t="str">
        <f t="shared" si="7"/>
        <v>litre/a</v>
      </c>
      <c r="X45" s="208"/>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c r="BA45" s="202"/>
      <c r="BB45" s="202"/>
      <c r="BC45" s="202"/>
      <c r="BD45" s="202"/>
    </row>
    <row r="46" spans="2:61" x14ac:dyDescent="0.25">
      <c r="B46" s="202"/>
      <c r="C46" s="211"/>
      <c r="D46" s="210"/>
      <c r="E46" s="221"/>
      <c r="F46" s="208"/>
      <c r="G46" s="202"/>
      <c r="H46" s="211"/>
      <c r="I46" s="220"/>
      <c r="J46" s="299"/>
      <c r="K46" s="208"/>
      <c r="L46" s="202"/>
      <c r="M46" s="211"/>
      <c r="N46" s="220"/>
      <c r="O46" s="208"/>
      <c r="P46" s="202"/>
      <c r="Q46" s="211"/>
      <c r="R46" s="220"/>
      <c r="S46" s="208"/>
      <c r="T46" s="202"/>
      <c r="U46" s="303" t="str">
        <f t="shared" si="7"/>
        <v>Max water infeed</v>
      </c>
      <c r="V46" s="297">
        <f t="shared" si="7"/>
        <v>2700</v>
      </c>
      <c r="W46" s="210" t="str">
        <f t="shared" si="7"/>
        <v>litre/h</v>
      </c>
      <c r="X46" s="208"/>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row>
    <row r="47" spans="2:61" x14ac:dyDescent="0.25">
      <c r="B47" s="202"/>
      <c r="C47" s="207"/>
      <c r="D47" s="234"/>
      <c r="E47" s="234"/>
      <c r="F47" s="204"/>
      <c r="G47" s="202"/>
      <c r="H47" s="207"/>
      <c r="I47" s="234"/>
      <c r="J47" s="234"/>
      <c r="K47" s="204"/>
      <c r="L47" s="202"/>
      <c r="M47" s="207"/>
      <c r="N47" s="234"/>
      <c r="O47" s="204"/>
      <c r="P47" s="202"/>
      <c r="Q47" s="207"/>
      <c r="R47" s="234"/>
      <c r="S47" s="204"/>
      <c r="T47" s="202"/>
      <c r="U47" s="207"/>
      <c r="V47" s="234"/>
      <c r="W47" s="234"/>
      <c r="X47" s="204"/>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2"/>
      <c r="AZ47" s="202"/>
      <c r="BA47" s="202"/>
      <c r="BB47" s="202"/>
      <c r="BC47" s="202"/>
      <c r="BD47" s="202"/>
    </row>
    <row r="48" spans="2:61" x14ac:dyDescent="0.25">
      <c r="B48" s="202"/>
      <c r="C48" s="202"/>
      <c r="D48" s="202"/>
      <c r="E48" s="202"/>
      <c r="F48" s="202"/>
      <c r="G48" s="202"/>
      <c r="H48" s="202"/>
      <c r="I48" s="202"/>
      <c r="J48" s="202"/>
      <c r="K48" s="202"/>
      <c r="L48" s="202"/>
      <c r="M48" s="202"/>
      <c r="N48" s="202"/>
      <c r="O48" s="202"/>
      <c r="P48" s="202"/>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c r="BA48" s="202"/>
      <c r="BB48" s="202"/>
      <c r="BC48" s="202"/>
      <c r="BD48" s="202"/>
    </row>
    <row r="49" spans="2:56" x14ac:dyDescent="0.25">
      <c r="B49" s="202"/>
      <c r="C49" s="202"/>
      <c r="D49" s="202"/>
      <c r="E49" s="202"/>
      <c r="F49" s="202"/>
      <c r="G49" s="202"/>
      <c r="H49" s="202"/>
      <c r="I49" s="202"/>
      <c r="J49" s="202"/>
      <c r="K49" s="202"/>
      <c r="L49" s="202"/>
      <c r="M49" s="202"/>
      <c r="N49" s="202"/>
      <c r="O49" s="202"/>
      <c r="P49" s="202"/>
      <c r="Q49" s="202"/>
      <c r="R49" s="202"/>
      <c r="S49" s="202"/>
      <c r="T49" s="202"/>
      <c r="U49" s="202"/>
      <c r="V49" s="202"/>
      <c r="W49" s="202"/>
      <c r="X49" s="202"/>
      <c r="Y49" s="202"/>
      <c r="Z49" s="202"/>
      <c r="AA49" s="202"/>
      <c r="AB49" s="202"/>
      <c r="AC49" s="202"/>
      <c r="AD49" s="202"/>
      <c r="AE49" s="202"/>
      <c r="AF49" s="202"/>
      <c r="AG49" s="202"/>
      <c r="AH49" s="202"/>
      <c r="AI49" s="202"/>
      <c r="AJ49" s="202"/>
      <c r="AK49" s="202"/>
      <c r="AL49" s="202"/>
      <c r="AM49" s="202"/>
      <c r="AN49" s="202"/>
      <c r="AO49" s="202"/>
      <c r="AP49" s="202"/>
      <c r="AQ49" s="202"/>
      <c r="AR49" s="202"/>
      <c r="AS49" s="202"/>
      <c r="AT49" s="202"/>
      <c r="AU49" s="202"/>
      <c r="AV49" s="202"/>
      <c r="AW49" s="202"/>
      <c r="AX49" s="202"/>
      <c r="AY49" s="202"/>
      <c r="AZ49" s="202"/>
      <c r="BA49" s="202"/>
      <c r="BB49" s="202"/>
      <c r="BC49" s="202"/>
      <c r="BD49" s="202"/>
    </row>
    <row r="50" spans="2:56" x14ac:dyDescent="0.25">
      <c r="B50" s="202"/>
      <c r="C50" s="228" t="s">
        <v>860</v>
      </c>
      <c r="D50" s="227"/>
      <c r="E50" s="227"/>
      <c r="F50" s="226"/>
      <c r="G50" s="202"/>
      <c r="H50" s="228" t="s">
        <v>860</v>
      </c>
      <c r="I50" s="227"/>
      <c r="J50" s="227"/>
      <c r="K50" s="226"/>
      <c r="L50" s="202"/>
      <c r="M50" s="228" t="s">
        <v>1239</v>
      </c>
      <c r="N50" s="227"/>
      <c r="O50" s="227"/>
      <c r="P50" s="226"/>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c r="AU50" s="202"/>
      <c r="AV50" s="202"/>
      <c r="AW50" s="202"/>
      <c r="AX50" s="202"/>
      <c r="AY50" s="202"/>
      <c r="AZ50" s="202"/>
      <c r="BA50" s="202"/>
      <c r="BB50" s="202"/>
      <c r="BC50" s="202"/>
      <c r="BD50" s="202"/>
    </row>
    <row r="51" spans="2:56" x14ac:dyDescent="0.25">
      <c r="B51" s="202"/>
      <c r="C51" s="202"/>
      <c r="D51" s="202"/>
      <c r="E51" s="202"/>
      <c r="F51" s="202"/>
      <c r="G51" s="202"/>
      <c r="H51" s="202"/>
      <c r="I51" s="202"/>
      <c r="J51" s="202"/>
      <c r="K51" s="202"/>
      <c r="L51" s="202"/>
      <c r="M51" s="202"/>
      <c r="N51" s="202"/>
      <c r="O51" s="202"/>
      <c r="P51" s="202"/>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c r="AU51" s="202"/>
      <c r="AV51" s="202"/>
      <c r="AW51" s="202"/>
      <c r="AX51" s="202"/>
      <c r="AY51" s="202"/>
      <c r="AZ51" s="202"/>
      <c r="BA51" s="202"/>
      <c r="BB51" s="202"/>
      <c r="BC51" s="202"/>
      <c r="BD51" s="202"/>
    </row>
    <row r="52" spans="2:56" x14ac:dyDescent="0.25">
      <c r="B52" s="202"/>
      <c r="C52" s="411"/>
      <c r="D52" s="224"/>
      <c r="E52" s="224"/>
      <c r="F52" s="223"/>
      <c r="G52" s="202"/>
      <c r="H52" s="411" t="s">
        <v>561</v>
      </c>
      <c r="I52" s="224"/>
      <c r="J52" s="224"/>
      <c r="K52" s="223"/>
      <c r="L52" s="202"/>
      <c r="M52" s="249" t="s">
        <v>1228</v>
      </c>
      <c r="N52" s="224"/>
      <c r="O52" s="224"/>
      <c r="P52" s="223"/>
      <c r="Q52" s="202"/>
      <c r="R52" s="202"/>
      <c r="S52" s="202"/>
      <c r="T52" s="202"/>
      <c r="U52" s="202"/>
      <c r="V52" s="202"/>
      <c r="W52" s="202"/>
      <c r="X52" s="202"/>
      <c r="Y52" s="202"/>
      <c r="Z52" s="202"/>
      <c r="AA52" s="202"/>
      <c r="AB52" s="202"/>
      <c r="AC52" s="202"/>
      <c r="AD52" s="202"/>
      <c r="AE52" s="202"/>
      <c r="AF52" s="202"/>
      <c r="AG52" s="202"/>
      <c r="AH52" s="202"/>
      <c r="AI52" s="202"/>
      <c r="AJ52" s="202"/>
      <c r="AK52" s="202"/>
      <c r="AL52" s="202"/>
      <c r="AM52" s="202"/>
      <c r="AN52" s="202"/>
      <c r="AO52" s="202"/>
      <c r="AP52" s="202"/>
      <c r="AQ52" s="202"/>
      <c r="AR52" s="202"/>
      <c r="AS52" s="202"/>
      <c r="AT52" s="202"/>
      <c r="AU52" s="202"/>
      <c r="AV52" s="202"/>
      <c r="AW52" s="202"/>
      <c r="AX52" s="202"/>
      <c r="AY52" s="202"/>
      <c r="AZ52" s="202"/>
      <c r="BA52" s="202"/>
      <c r="BB52" s="202"/>
      <c r="BC52" s="202"/>
      <c r="BD52" s="202"/>
    </row>
    <row r="53" spans="2:56" x14ac:dyDescent="0.25">
      <c r="B53" s="202"/>
      <c r="C53" s="217" t="str">
        <f>Parameters!E296</f>
        <v>Relative capex desalination unit</v>
      </c>
      <c r="D53" s="296">
        <f>Parameters!G296</f>
        <v>31.200000000000003</v>
      </c>
      <c r="E53" s="216" t="str">
        <f>Parameters!F296</f>
        <v>EUR / (litre/hour)</v>
      </c>
      <c r="F53" s="208"/>
      <c r="G53" s="202"/>
      <c r="H53" s="217"/>
      <c r="I53" s="413" t="str">
        <f>Parameters!E300</f>
        <v>Capex desalination unit</v>
      </c>
      <c r="J53" s="412">
        <f>D53*N45</f>
        <v>84240.000000000015</v>
      </c>
      <c r="K53" s="208" t="s">
        <v>23</v>
      </c>
      <c r="L53" s="202"/>
      <c r="M53" s="887" t="str">
        <f>D6</f>
        <v>Size electrolyser</v>
      </c>
      <c r="N53" s="416">
        <f>E6</f>
        <v>10</v>
      </c>
      <c r="O53" s="991" t="str">
        <f>F6</f>
        <v>MW</v>
      </c>
      <c r="P53" s="208"/>
      <c r="Q53" s="202"/>
      <c r="R53" s="202"/>
      <c r="S53" s="202"/>
      <c r="T53" s="202"/>
      <c r="U53" s="202"/>
      <c r="V53" s="202"/>
      <c r="W53" s="202"/>
      <c r="X53" s="202"/>
      <c r="Y53" s="202"/>
      <c r="Z53" s="202"/>
      <c r="AA53" s="202"/>
      <c r="AB53" s="202"/>
      <c r="AC53" s="202"/>
      <c r="AD53" s="202"/>
      <c r="AE53" s="202"/>
      <c r="AF53" s="202"/>
      <c r="AG53" s="202"/>
      <c r="AH53" s="202"/>
      <c r="AI53" s="202"/>
      <c r="AJ53" s="202"/>
      <c r="AK53" s="202"/>
      <c r="AL53" s="202"/>
      <c r="AM53" s="202"/>
      <c r="AN53" s="202"/>
      <c r="AO53" s="202"/>
      <c r="AP53" s="202"/>
      <c r="AQ53" s="202"/>
      <c r="AR53" s="202"/>
      <c r="AS53" s="202"/>
      <c r="AT53" s="202"/>
      <c r="AU53" s="202"/>
      <c r="AV53" s="202"/>
      <c r="AW53" s="202"/>
      <c r="AX53" s="202"/>
      <c r="AY53" s="202"/>
      <c r="AZ53" s="202"/>
      <c r="BA53" s="202"/>
      <c r="BB53" s="202"/>
      <c r="BC53" s="202"/>
      <c r="BD53" s="202"/>
    </row>
    <row r="54" spans="2:56" x14ac:dyDescent="0.25">
      <c r="B54" s="202"/>
      <c r="C54" s="217" t="str">
        <f>Parameters!E297</f>
        <v>Relative opex desalination unit</v>
      </c>
      <c r="D54" s="992">
        <f>Parameters!G297</f>
        <v>2.5000000000000001E-2</v>
      </c>
      <c r="E54" s="216" t="str">
        <f>Parameters!F297</f>
        <v>% of Capex</v>
      </c>
      <c r="F54" s="208"/>
      <c r="G54" s="202"/>
      <c r="H54" s="217"/>
      <c r="I54" s="413" t="str">
        <f>Parameters!E301</f>
        <v>OPEX desalination unit</v>
      </c>
      <c r="J54" s="412">
        <f>J53*D54</f>
        <v>2106.0000000000005</v>
      </c>
      <c r="K54" s="208" t="s">
        <v>774</v>
      </c>
      <c r="L54" s="202"/>
      <c r="M54" s="217" t="s">
        <v>1550</v>
      </c>
      <c r="N54" s="416">
        <f>N53*D68</f>
        <v>102</v>
      </c>
      <c r="O54" s="210" t="s">
        <v>112</v>
      </c>
      <c r="P54" s="208"/>
      <c r="Q54" s="202"/>
      <c r="R54" s="202"/>
      <c r="S54" s="202"/>
      <c r="T54" s="202"/>
      <c r="U54" s="202"/>
      <c r="V54" s="202"/>
      <c r="W54" s="202"/>
      <c r="X54" s="202"/>
      <c r="Y54" s="202"/>
      <c r="Z54" s="202"/>
      <c r="AA54" s="202"/>
      <c r="AB54" s="202"/>
      <c r="AC54" s="202"/>
      <c r="AD54" s="202"/>
      <c r="AE54" s="202"/>
      <c r="AF54" s="202"/>
      <c r="AG54" s="202"/>
      <c r="AH54" s="202"/>
      <c r="AI54" s="202"/>
      <c r="AJ54" s="202"/>
      <c r="AK54" s="202"/>
      <c r="AL54" s="202"/>
      <c r="AM54" s="202"/>
      <c r="AN54" s="202"/>
      <c r="AO54" s="202"/>
      <c r="AP54" s="202"/>
      <c r="AQ54" s="202"/>
      <c r="AR54" s="202"/>
      <c r="AS54" s="202"/>
      <c r="AT54" s="202"/>
      <c r="AU54" s="202"/>
      <c r="AV54" s="202"/>
      <c r="AW54" s="202"/>
      <c r="AX54" s="202"/>
      <c r="AY54" s="202"/>
      <c r="AZ54" s="202"/>
      <c r="BA54" s="202"/>
      <c r="BB54" s="202"/>
      <c r="BC54" s="202"/>
      <c r="BD54" s="202"/>
    </row>
    <row r="55" spans="2:56" x14ac:dyDescent="0.25">
      <c r="B55" s="202"/>
      <c r="C55" s="211" t="str">
        <f>Parameters!E282</f>
        <v>Relative capex electrolyser</v>
      </c>
      <c r="D55" s="297">
        <f>Parameters!G282</f>
        <v>785</v>
      </c>
      <c r="E55" s="216" t="str">
        <f>Parameters!F282</f>
        <v>EUR / kW</v>
      </c>
      <c r="F55" s="208"/>
      <c r="G55" s="202"/>
      <c r="H55" s="211"/>
      <c r="I55" s="413" t="str">
        <f>Parameters!E288</f>
        <v>Capex electrolyser</v>
      </c>
      <c r="J55" s="412">
        <f>D55*1000*E6</f>
        <v>7850000</v>
      </c>
      <c r="K55" s="208" t="s">
        <v>23</v>
      </c>
      <c r="L55" s="202"/>
      <c r="M55" s="301" t="s">
        <v>1551</v>
      </c>
      <c r="N55" s="416">
        <f>D67*N53</f>
        <v>148.5472</v>
      </c>
      <c r="O55" s="210" t="s">
        <v>810</v>
      </c>
      <c r="P55" s="208"/>
      <c r="Q55" s="202"/>
      <c r="R55" s="202"/>
      <c r="S55" s="202"/>
      <c r="T55" s="202"/>
      <c r="U55" s="202"/>
      <c r="V55" s="202"/>
      <c r="W55" s="202"/>
      <c r="X55" s="202"/>
      <c r="Y55" s="202"/>
      <c r="Z55" s="202"/>
      <c r="AA55" s="202"/>
      <c r="AB55" s="202"/>
      <c r="AC55" s="202"/>
      <c r="AD55" s="202"/>
      <c r="AE55" s="202"/>
      <c r="AF55" s="202"/>
      <c r="AG55" s="202"/>
      <c r="AH55" s="202"/>
      <c r="AI55" s="202"/>
      <c r="AJ55" s="202"/>
      <c r="AK55" s="202"/>
      <c r="AL55" s="202"/>
      <c r="AM55" s="202"/>
      <c r="AN55" s="202"/>
      <c r="AO55" s="202"/>
      <c r="AP55" s="202"/>
      <c r="AQ55" s="202"/>
      <c r="AR55" s="202"/>
      <c r="AS55" s="202"/>
      <c r="AT55" s="202"/>
      <c r="AU55" s="202"/>
      <c r="AV55" s="202"/>
      <c r="AW55" s="202"/>
      <c r="AX55" s="202"/>
      <c r="AY55" s="202"/>
      <c r="AZ55" s="202"/>
      <c r="BA55" s="202"/>
      <c r="BB55" s="202"/>
      <c r="BC55" s="202"/>
      <c r="BD55" s="202"/>
    </row>
    <row r="56" spans="2:56" x14ac:dyDescent="0.25">
      <c r="B56" s="202"/>
      <c r="C56" s="211" t="str">
        <f>Parameters!E283</f>
        <v>Relative opex electrolyser</v>
      </c>
      <c r="D56" s="297">
        <f>Parameters!G283</f>
        <v>2.5000000000000001E-2</v>
      </c>
      <c r="E56" s="216" t="str">
        <f>Parameters!F283</f>
        <v>% of Capex</v>
      </c>
      <c r="F56" s="208"/>
      <c r="G56" s="202"/>
      <c r="H56" s="211"/>
      <c r="I56" s="413" t="str">
        <f>Parameters!E290</f>
        <v>Opex electrolyser</v>
      </c>
      <c r="J56" s="412">
        <f>D56*J55</f>
        <v>196250</v>
      </c>
      <c r="K56" s="208" t="s">
        <v>774</v>
      </c>
      <c r="L56" s="202"/>
      <c r="M56" s="211"/>
      <c r="N56" s="416"/>
      <c r="O56" s="241"/>
      <c r="P56" s="208"/>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c r="BA56" s="202"/>
      <c r="BB56" s="202"/>
      <c r="BC56" s="202"/>
      <c r="BD56" s="202"/>
    </row>
    <row r="57" spans="2:56" x14ac:dyDescent="0.25">
      <c r="B57" s="202"/>
      <c r="C57" s="301" t="str">
        <f>D18</f>
        <v>Capex share stack</v>
      </c>
      <c r="D57" s="299">
        <f t="shared" ref="D57:E57" si="8">E18</f>
        <v>0.5</v>
      </c>
      <c r="E57" s="412" t="str">
        <f t="shared" si="8"/>
        <v>%</v>
      </c>
      <c r="F57" s="208"/>
      <c r="G57" s="202"/>
      <c r="H57" s="211"/>
      <c r="I57" s="214" t="str">
        <f>Parameters!E289</f>
        <v>Capex stack replacement</v>
      </c>
      <c r="J57" s="412">
        <f>D57*J55</f>
        <v>3925000</v>
      </c>
      <c r="K57" s="208" t="str">
        <f>Parameters!F289</f>
        <v>EUR</v>
      </c>
      <c r="L57" s="202"/>
      <c r="M57" s="211" t="s">
        <v>1552</v>
      </c>
      <c r="N57" s="299">
        <f>Parameters!J416*N45</f>
        <v>3.8298856933808541</v>
      </c>
      <c r="O57" s="412" t="s">
        <v>810</v>
      </c>
      <c r="P57" s="208"/>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c r="BA57" s="202"/>
      <c r="BB57" s="202"/>
      <c r="BC57" s="202"/>
      <c r="BD57" s="202"/>
    </row>
    <row r="58" spans="2:56" x14ac:dyDescent="0.25">
      <c r="B58" s="202"/>
      <c r="C58" s="211"/>
      <c r="D58" s="214"/>
      <c r="E58" s="412"/>
      <c r="F58" s="208"/>
      <c r="G58" s="202"/>
      <c r="H58" s="211"/>
      <c r="I58" s="214"/>
      <c r="J58" s="412"/>
      <c r="K58" s="208"/>
      <c r="L58" s="202"/>
      <c r="M58" s="211" t="s">
        <v>1553</v>
      </c>
      <c r="N58" s="299">
        <f>D72*N57</f>
        <v>2.62979269030212</v>
      </c>
      <c r="O58" s="412" t="s">
        <v>112</v>
      </c>
      <c r="P58" s="208"/>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c r="BD58" s="202"/>
    </row>
    <row r="59" spans="2:56" x14ac:dyDescent="0.25">
      <c r="B59" s="202"/>
      <c r="C59" s="211"/>
      <c r="D59" s="299"/>
      <c r="E59" s="412"/>
      <c r="F59" s="208"/>
      <c r="G59" s="202"/>
      <c r="H59" s="211"/>
      <c r="I59" s="214"/>
      <c r="J59" s="412"/>
      <c r="K59" s="208"/>
      <c r="L59" s="202"/>
      <c r="M59" s="211"/>
      <c r="N59" s="299"/>
      <c r="O59" s="412"/>
      <c r="P59" s="208"/>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c r="BA59" s="202"/>
      <c r="BB59" s="202"/>
      <c r="BC59" s="202"/>
      <c r="BD59" s="202"/>
    </row>
    <row r="60" spans="2:56" x14ac:dyDescent="0.25">
      <c r="B60" s="202"/>
      <c r="C60" s="301" t="str">
        <f>M29</f>
        <v>Available electricity electrolysis</v>
      </c>
      <c r="D60" s="260">
        <f>N29</f>
        <v>37575.662734282269</v>
      </c>
      <c r="E60" s="412" t="s">
        <v>836</v>
      </c>
      <c r="F60" s="208"/>
      <c r="G60" s="202"/>
      <c r="H60" s="211"/>
      <c r="I60" s="220" t="str">
        <f>Parameters!E291</f>
        <v>Electricity costs electrolysis</v>
      </c>
      <c r="J60" s="412">
        <f>D60*D61</f>
        <v>1138230.2649511963</v>
      </c>
      <c r="K60" s="208" t="s">
        <v>914</v>
      </c>
      <c r="L60" s="202"/>
      <c r="M60" s="207"/>
      <c r="N60" s="234"/>
      <c r="O60" s="692"/>
      <c r="P60" s="204"/>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c r="BA60" s="202"/>
      <c r="BB60" s="202"/>
      <c r="BC60" s="202"/>
      <c r="BD60" s="202"/>
    </row>
    <row r="61" spans="2:56" x14ac:dyDescent="0.25">
      <c r="B61" s="202"/>
      <c r="C61" s="301" t="str">
        <f>D9</f>
        <v>Average price during period below benchmark</v>
      </c>
      <c r="D61" s="299">
        <f t="shared" ref="D61:E61" si="9">E9</f>
        <v>30.291688346263779</v>
      </c>
      <c r="E61" s="412" t="str">
        <f t="shared" si="9"/>
        <v>€/MWh</v>
      </c>
      <c r="F61" s="208"/>
      <c r="G61" s="202"/>
      <c r="H61" s="211"/>
      <c r="I61" s="214"/>
      <c r="J61" s="412"/>
      <c r="K61" s="208"/>
      <c r="L61" s="202"/>
      <c r="M61" s="202"/>
      <c r="N61" s="202"/>
      <c r="O61" s="202"/>
      <c r="P61" s="202"/>
      <c r="Q61" s="202"/>
      <c r="R61" s="202"/>
      <c r="S61" s="202"/>
      <c r="T61" s="202"/>
      <c r="U61" s="202"/>
      <c r="V61" s="202"/>
      <c r="W61" s="202"/>
      <c r="X61" s="202"/>
      <c r="Y61" s="202"/>
      <c r="Z61" s="202"/>
      <c r="AA61" s="202"/>
      <c r="AB61" s="202"/>
      <c r="AC61" s="202"/>
      <c r="AD61" s="202"/>
      <c r="AE61" s="202"/>
      <c r="AF61" s="202"/>
      <c r="AG61" s="202"/>
      <c r="AH61" s="202"/>
      <c r="AI61" s="202"/>
      <c r="AJ61" s="202"/>
      <c r="AK61" s="202"/>
      <c r="AL61" s="202"/>
      <c r="AM61" s="202"/>
      <c r="AN61" s="202"/>
      <c r="AO61" s="202"/>
      <c r="AP61" s="202"/>
      <c r="AQ61" s="202"/>
      <c r="AR61" s="202"/>
      <c r="AS61" s="202"/>
      <c r="AT61" s="202"/>
      <c r="AU61" s="202"/>
      <c r="AV61" s="202"/>
      <c r="AW61" s="202"/>
      <c r="AX61" s="202"/>
      <c r="AY61" s="202"/>
      <c r="AZ61" s="202"/>
      <c r="BA61" s="202"/>
      <c r="BB61" s="202"/>
      <c r="BC61" s="202"/>
      <c r="BD61" s="202"/>
    </row>
    <row r="62" spans="2:56" x14ac:dyDescent="0.25">
      <c r="B62" s="202"/>
      <c r="C62" s="211"/>
      <c r="D62" s="416"/>
      <c r="E62" s="241"/>
      <c r="F62" s="208"/>
      <c r="G62" s="202"/>
      <c r="H62" s="211"/>
      <c r="I62" s="214"/>
      <c r="J62" s="412"/>
      <c r="K62" s="208"/>
      <c r="L62" s="202"/>
      <c r="M62" s="202"/>
      <c r="N62" s="202"/>
      <c r="O62" s="202"/>
      <c r="P62" s="202"/>
      <c r="Q62" s="202"/>
      <c r="R62" s="202"/>
      <c r="S62" s="202"/>
      <c r="T62" s="202"/>
      <c r="U62" s="202"/>
      <c r="V62" s="202"/>
      <c r="W62" s="202"/>
      <c r="X62" s="202"/>
      <c r="Y62" s="202"/>
      <c r="Z62" s="202"/>
      <c r="AA62" s="202"/>
      <c r="AB62" s="202"/>
      <c r="AC62" s="202"/>
      <c r="AD62" s="202"/>
      <c r="AE62" s="202"/>
      <c r="AF62" s="202"/>
      <c r="AG62" s="202"/>
      <c r="AH62" s="202"/>
      <c r="AI62" s="202"/>
      <c r="AJ62" s="202"/>
      <c r="AK62" s="202"/>
      <c r="AL62" s="202"/>
      <c r="AM62" s="202"/>
      <c r="AN62" s="202"/>
      <c r="AO62" s="202"/>
      <c r="AP62" s="202"/>
      <c r="AQ62" s="202"/>
      <c r="AR62" s="202"/>
      <c r="AS62" s="202"/>
      <c r="AT62" s="202"/>
      <c r="AU62" s="202"/>
      <c r="AV62" s="202"/>
      <c r="AW62" s="202"/>
      <c r="AX62" s="202"/>
      <c r="AY62" s="202"/>
      <c r="AZ62" s="202"/>
      <c r="BA62" s="202"/>
      <c r="BB62" s="202"/>
      <c r="BC62" s="202"/>
      <c r="BD62" s="202"/>
    </row>
    <row r="63" spans="2:56" x14ac:dyDescent="0.25">
      <c r="B63" s="202"/>
      <c r="C63" s="207"/>
      <c r="D63" s="205"/>
      <c r="E63" s="245"/>
      <c r="F63" s="204"/>
      <c r="G63" s="202"/>
      <c r="H63" s="207"/>
      <c r="I63" s="234"/>
      <c r="J63" s="692"/>
      <c r="K63" s="204"/>
      <c r="L63" s="202"/>
      <c r="M63" s="202"/>
      <c r="N63" s="202"/>
      <c r="O63" s="202"/>
      <c r="P63" s="202"/>
      <c r="Q63" s="202"/>
      <c r="R63" s="202"/>
      <c r="S63" s="202"/>
      <c r="T63" s="202"/>
      <c r="U63" s="202"/>
      <c r="V63" s="202"/>
      <c r="W63" s="202"/>
      <c r="X63" s="202"/>
      <c r="Y63" s="202"/>
      <c r="Z63" s="202"/>
      <c r="AA63" s="202"/>
      <c r="AB63" s="202"/>
      <c r="AC63" s="202"/>
      <c r="AD63" s="202"/>
      <c r="AE63" s="202"/>
      <c r="AF63" s="202"/>
      <c r="AG63" s="202"/>
      <c r="AH63" s="202"/>
      <c r="AI63" s="202"/>
      <c r="AJ63" s="202"/>
      <c r="AK63" s="202"/>
      <c r="AL63" s="202"/>
      <c r="AM63" s="202"/>
      <c r="AN63" s="202"/>
      <c r="AO63" s="202"/>
      <c r="AP63" s="202"/>
      <c r="AQ63" s="202"/>
      <c r="AR63" s="202"/>
      <c r="AS63" s="202"/>
      <c r="AT63" s="202"/>
      <c r="AU63" s="202"/>
      <c r="AV63" s="202"/>
      <c r="AW63" s="202"/>
      <c r="AX63" s="202"/>
      <c r="AY63" s="202"/>
      <c r="AZ63" s="202"/>
      <c r="BA63" s="202"/>
      <c r="BB63" s="202"/>
      <c r="BC63" s="202"/>
      <c r="BD63" s="202"/>
    </row>
    <row r="64" spans="2:56" x14ac:dyDescent="0.25">
      <c r="B64" s="202"/>
      <c r="C64" s="202"/>
      <c r="D64" s="202"/>
      <c r="E64" s="202"/>
      <c r="F64" s="202"/>
      <c r="G64" s="202"/>
      <c r="H64" s="202"/>
      <c r="I64" s="202"/>
      <c r="J64" s="202"/>
      <c r="K64" s="202"/>
      <c r="L64" s="202"/>
      <c r="M64" s="202"/>
      <c r="N64" s="202"/>
      <c r="O64" s="202"/>
      <c r="P64" s="202"/>
      <c r="Q64" s="202"/>
      <c r="R64" s="202"/>
      <c r="S64" s="202"/>
      <c r="T64" s="202"/>
      <c r="U64" s="202"/>
      <c r="V64" s="202"/>
      <c r="W64" s="202"/>
      <c r="X64" s="202"/>
      <c r="Y64" s="202"/>
      <c r="Z64" s="202"/>
      <c r="AA64" s="202"/>
      <c r="AB64" s="202"/>
      <c r="AC64" s="202"/>
      <c r="AD64" s="202"/>
      <c r="AE64" s="202"/>
      <c r="AF64" s="202"/>
      <c r="AG64" s="202"/>
      <c r="AH64" s="202"/>
      <c r="AI64" s="202"/>
      <c r="AJ64" s="202"/>
      <c r="AK64" s="202"/>
      <c r="AL64" s="202"/>
      <c r="AM64" s="202"/>
      <c r="AN64" s="202"/>
      <c r="AO64" s="202"/>
      <c r="AP64" s="202"/>
      <c r="AQ64" s="202"/>
      <c r="AR64" s="202"/>
      <c r="AS64" s="202"/>
      <c r="AT64" s="202"/>
      <c r="AU64" s="202"/>
      <c r="AV64" s="202"/>
      <c r="AW64" s="202"/>
      <c r="AX64" s="202"/>
      <c r="AY64" s="202"/>
      <c r="AZ64" s="202"/>
      <c r="BA64" s="202"/>
      <c r="BB64" s="202"/>
      <c r="BC64" s="202"/>
      <c r="BD64" s="202"/>
    </row>
    <row r="65" spans="2:56" x14ac:dyDescent="0.25">
      <c r="B65" s="202"/>
      <c r="C65" s="411" t="s">
        <v>83</v>
      </c>
      <c r="D65" s="224"/>
      <c r="E65" s="224"/>
      <c r="F65" s="223"/>
      <c r="G65" s="202"/>
      <c r="H65" s="202"/>
      <c r="I65" s="202"/>
      <c r="J65" s="202"/>
      <c r="K65" s="202"/>
      <c r="L65" s="202"/>
      <c r="M65" s="202"/>
      <c r="N65" s="202"/>
      <c r="O65" s="202"/>
      <c r="P65" s="202"/>
      <c r="Q65" s="202"/>
      <c r="R65" s="202"/>
      <c r="S65" s="202"/>
      <c r="T65" s="202"/>
      <c r="U65" s="202"/>
      <c r="V65" s="202"/>
      <c r="W65" s="202"/>
      <c r="X65" s="202"/>
      <c r="Y65" s="202"/>
      <c r="Z65" s="202"/>
      <c r="AA65" s="202"/>
      <c r="AB65" s="202"/>
      <c r="AC65" s="202"/>
      <c r="AD65" s="202"/>
      <c r="AE65" s="202"/>
      <c r="AF65" s="202"/>
      <c r="AG65" s="202"/>
      <c r="AH65" s="202"/>
      <c r="AI65" s="202"/>
      <c r="AJ65" s="202"/>
      <c r="AK65" s="202"/>
      <c r="AL65" s="202"/>
      <c r="AM65" s="202"/>
      <c r="AN65" s="202"/>
      <c r="AO65" s="202"/>
      <c r="AP65" s="202"/>
      <c r="AQ65" s="202"/>
      <c r="AR65" s="202"/>
      <c r="AS65" s="202"/>
      <c r="AT65" s="202"/>
      <c r="AU65" s="202"/>
      <c r="AV65" s="202"/>
      <c r="AW65" s="202"/>
      <c r="AX65" s="202"/>
      <c r="AY65" s="202"/>
      <c r="AZ65" s="202"/>
      <c r="BA65" s="202"/>
      <c r="BB65" s="202"/>
      <c r="BC65" s="202"/>
      <c r="BD65" s="202"/>
    </row>
    <row r="66" spans="2:56" x14ac:dyDescent="0.25">
      <c r="B66" s="202"/>
      <c r="C66" s="217" t="s">
        <v>589</v>
      </c>
      <c r="D66" s="296"/>
      <c r="E66" s="216"/>
      <c r="F66" s="208"/>
      <c r="G66" s="202"/>
      <c r="H66" s="202"/>
      <c r="I66" s="202"/>
      <c r="J66" s="202"/>
      <c r="K66" s="202"/>
      <c r="L66" s="202"/>
      <c r="M66" s="202"/>
      <c r="N66" s="202"/>
      <c r="O66" s="202"/>
      <c r="P66" s="202"/>
      <c r="Q66" s="202"/>
      <c r="R66" s="202"/>
      <c r="S66" s="202"/>
      <c r="T66" s="202"/>
      <c r="U66" s="202"/>
      <c r="V66" s="202"/>
      <c r="W66" s="202"/>
      <c r="X66" s="202"/>
      <c r="Y66" s="202"/>
      <c r="Z66" s="202"/>
      <c r="AA66" s="202"/>
      <c r="AB66" s="202"/>
      <c r="AC66" s="202"/>
      <c r="AD66" s="202"/>
      <c r="AE66" s="202"/>
      <c r="AF66" s="202"/>
      <c r="AG66" s="202"/>
      <c r="AH66" s="202"/>
      <c r="AI66" s="202"/>
      <c r="AJ66" s="202"/>
      <c r="AK66" s="202"/>
      <c r="AL66" s="202"/>
      <c r="AM66" s="202"/>
      <c r="AN66" s="202"/>
      <c r="AO66" s="202"/>
      <c r="AP66" s="202"/>
      <c r="AQ66" s="202"/>
      <c r="AR66" s="202"/>
      <c r="AS66" s="202"/>
      <c r="AT66" s="202"/>
      <c r="AU66" s="202"/>
      <c r="AV66" s="202"/>
      <c r="AW66" s="202"/>
      <c r="AX66" s="202"/>
      <c r="AY66" s="202"/>
      <c r="AZ66" s="202"/>
      <c r="BA66" s="202"/>
      <c r="BB66" s="202"/>
      <c r="BC66" s="202"/>
      <c r="BD66" s="202"/>
    </row>
    <row r="67" spans="2:56" x14ac:dyDescent="0.25">
      <c r="B67" s="202"/>
      <c r="C67" s="211" t="str">
        <f>Parameters!E281</f>
        <v>Relative electrolyser area</v>
      </c>
      <c r="D67" s="416">
        <f>Parameters!G281</f>
        <v>14.85472</v>
      </c>
      <c r="E67" s="241" t="str">
        <f>Parameters!F281</f>
        <v>m² / MW</v>
      </c>
      <c r="F67" s="208"/>
      <c r="G67" s="202"/>
      <c r="H67" s="202"/>
      <c r="I67" s="202"/>
      <c r="J67" s="202"/>
      <c r="K67" s="202"/>
      <c r="L67" s="202"/>
      <c r="M67" s="202"/>
      <c r="N67" s="202"/>
      <c r="O67" s="202"/>
      <c r="P67" s="202"/>
      <c r="Q67" s="202"/>
      <c r="R67" s="202"/>
      <c r="S67" s="202"/>
      <c r="T67" s="202"/>
      <c r="U67" s="202"/>
      <c r="V67" s="202"/>
      <c r="W67" s="202"/>
      <c r="X67" s="202"/>
      <c r="Y67" s="202"/>
      <c r="Z67" s="202"/>
      <c r="AA67" s="202"/>
      <c r="AB67" s="202"/>
      <c r="AC67" s="202"/>
      <c r="AD67" s="202"/>
      <c r="AE67" s="202"/>
      <c r="AF67" s="202"/>
      <c r="AG67" s="202"/>
      <c r="AH67" s="202"/>
      <c r="AI67" s="202"/>
      <c r="AJ67" s="202"/>
      <c r="AK67" s="202"/>
      <c r="AL67" s="202"/>
      <c r="AM67" s="202"/>
      <c r="AN67" s="202"/>
      <c r="AO67" s="202"/>
      <c r="AP67" s="202"/>
      <c r="AQ67" s="202"/>
      <c r="AR67" s="202"/>
      <c r="AS67" s="202"/>
      <c r="AT67" s="202"/>
      <c r="AU67" s="202"/>
      <c r="AV67" s="202"/>
      <c r="AW67" s="202"/>
      <c r="AX67" s="202"/>
      <c r="AY67" s="202"/>
      <c r="AZ67" s="202"/>
      <c r="BA67" s="202"/>
      <c r="BB67" s="202"/>
      <c r="BC67" s="202"/>
      <c r="BD67" s="202"/>
    </row>
    <row r="68" spans="2:56" x14ac:dyDescent="0.25">
      <c r="B68" s="202"/>
      <c r="C68" s="211" t="str">
        <f>Parameters!E280</f>
        <v>Relative electrolyser weight</v>
      </c>
      <c r="D68" s="416">
        <f>Parameters!G280</f>
        <v>10.199999999999999</v>
      </c>
      <c r="E68" s="241" t="str">
        <f>Parameters!F280</f>
        <v>ton / MW</v>
      </c>
      <c r="F68" s="208"/>
      <c r="G68" s="202"/>
      <c r="H68" s="202"/>
      <c r="I68" s="202"/>
      <c r="J68" s="202"/>
      <c r="K68" s="202"/>
      <c r="L68" s="202"/>
      <c r="M68" s="202"/>
      <c r="N68" s="202"/>
      <c r="O68" s="202"/>
      <c r="P68" s="202"/>
      <c r="Q68" s="202"/>
      <c r="R68" s="202"/>
      <c r="S68" s="202"/>
      <c r="T68" s="202"/>
      <c r="U68" s="202"/>
      <c r="V68" s="202"/>
      <c r="W68" s="202"/>
      <c r="X68" s="202"/>
      <c r="Y68" s="202"/>
      <c r="Z68" s="202"/>
      <c r="AA68" s="202"/>
      <c r="AB68" s="202"/>
      <c r="AC68" s="202"/>
      <c r="AD68" s="202"/>
      <c r="AE68" s="202"/>
      <c r="AF68" s="202"/>
      <c r="AG68" s="202"/>
      <c r="AH68" s="202"/>
      <c r="AI68" s="202"/>
      <c r="AJ68" s="202"/>
      <c r="AK68" s="202"/>
      <c r="AL68" s="202"/>
      <c r="AM68" s="202"/>
      <c r="AN68" s="202"/>
      <c r="AO68" s="202"/>
      <c r="AP68" s="202"/>
      <c r="AQ68" s="202"/>
      <c r="AR68" s="202"/>
      <c r="AS68" s="202"/>
      <c r="AT68" s="202"/>
      <c r="AU68" s="202"/>
      <c r="AV68" s="202"/>
      <c r="AW68" s="202"/>
      <c r="AX68" s="202"/>
      <c r="AY68" s="202"/>
      <c r="AZ68" s="202"/>
      <c r="BA68" s="202"/>
      <c r="BB68" s="202"/>
      <c r="BC68" s="202"/>
      <c r="BD68" s="202"/>
    </row>
    <row r="69" spans="2:56" x14ac:dyDescent="0.25">
      <c r="B69" s="202"/>
      <c r="C69" s="211"/>
      <c r="D69" s="416"/>
      <c r="E69" s="216"/>
      <c r="F69" s="208"/>
      <c r="G69" s="202"/>
      <c r="H69" s="202"/>
      <c r="I69" s="202"/>
      <c r="J69" s="202"/>
      <c r="K69" s="202"/>
      <c r="L69" s="202"/>
      <c r="M69" s="202"/>
      <c r="N69" s="202"/>
      <c r="O69" s="202"/>
      <c r="P69" s="202"/>
      <c r="Q69" s="202"/>
      <c r="R69" s="202"/>
      <c r="S69" s="202"/>
      <c r="T69" s="202"/>
      <c r="U69" s="202"/>
      <c r="V69" s="202"/>
      <c r="W69" s="202"/>
      <c r="X69" s="202"/>
      <c r="Y69" s="202"/>
      <c r="Z69" s="202"/>
      <c r="AA69" s="202"/>
      <c r="AB69" s="202"/>
      <c r="AC69" s="202"/>
      <c r="AD69" s="202"/>
      <c r="AE69" s="202"/>
      <c r="AF69" s="202"/>
      <c r="AG69" s="202"/>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row>
    <row r="70" spans="2:56" x14ac:dyDescent="0.25">
      <c r="B70" s="202"/>
      <c r="C70" s="211" t="s">
        <v>1246</v>
      </c>
      <c r="D70" s="299"/>
      <c r="E70" s="412"/>
      <c r="F70" s="208"/>
      <c r="G70" s="202"/>
      <c r="H70" s="202"/>
      <c r="I70" s="202"/>
      <c r="J70" s="202"/>
      <c r="K70" s="202"/>
      <c r="L70" s="202"/>
      <c r="M70" s="202"/>
      <c r="N70" s="202"/>
      <c r="O70" s="202"/>
      <c r="P70" s="202"/>
      <c r="Q70" s="202"/>
      <c r="R70" s="202"/>
      <c r="S70" s="202"/>
      <c r="T70" s="202"/>
      <c r="U70" s="202"/>
      <c r="V70" s="202"/>
      <c r="W70" s="202"/>
      <c r="X70" s="202"/>
      <c r="Y70" s="202"/>
      <c r="Z70" s="202"/>
      <c r="AA70" s="202"/>
      <c r="AB70" s="202"/>
      <c r="AC70" s="202"/>
      <c r="AD70" s="202"/>
      <c r="AE70" s="202"/>
      <c r="AF70" s="202"/>
      <c r="AG70" s="202"/>
      <c r="AH70" s="202"/>
      <c r="AI70" s="202"/>
      <c r="AJ70" s="202"/>
      <c r="AK70" s="202"/>
      <c r="AL70" s="202"/>
      <c r="AM70" s="202"/>
      <c r="AN70" s="202"/>
      <c r="AO70" s="202"/>
      <c r="AP70" s="202"/>
      <c r="AQ70" s="202"/>
      <c r="AR70" s="202"/>
      <c r="AS70" s="202"/>
      <c r="AT70" s="202"/>
      <c r="AU70" s="202"/>
      <c r="AV70" s="202"/>
      <c r="AW70" s="202"/>
      <c r="AX70" s="202"/>
      <c r="AY70" s="202"/>
      <c r="AZ70" s="202"/>
      <c r="BA70" s="202"/>
      <c r="BB70" s="202"/>
      <c r="BC70" s="202"/>
      <c r="BD70" s="202"/>
    </row>
    <row r="71" spans="2:56" x14ac:dyDescent="0.25">
      <c r="B71" s="202"/>
      <c r="C71" s="211" t="str">
        <f>Parameters!E295</f>
        <v>Relative area desalination unit</v>
      </c>
      <c r="D71" s="977">
        <f>Parameters!G295</f>
        <v>1.4184761827336497E-3</v>
      </c>
      <c r="E71" s="412" t="str">
        <f>Parameters!F295</f>
        <v>m² / (litre/hour)</v>
      </c>
      <c r="F71" s="208"/>
      <c r="G71" s="202"/>
      <c r="H71" s="202"/>
      <c r="I71" s="202"/>
      <c r="J71" s="202"/>
      <c r="K71" s="202"/>
      <c r="L71" s="202"/>
      <c r="M71" s="202"/>
      <c r="N71" s="202"/>
      <c r="O71" s="202"/>
      <c r="P71" s="202"/>
      <c r="Q71" s="202"/>
      <c r="R71" s="202"/>
      <c r="S71" s="202"/>
      <c r="T71" s="202"/>
      <c r="U71" s="202"/>
      <c r="V71" s="202"/>
      <c r="W71" s="202"/>
      <c r="X71" s="202"/>
      <c r="Y71" s="202"/>
      <c r="Z71" s="202"/>
      <c r="AA71" s="202"/>
      <c r="AB71" s="202"/>
      <c r="AC71" s="202"/>
      <c r="AD71" s="202"/>
      <c r="AE71" s="202"/>
      <c r="AF71" s="202"/>
      <c r="AG71" s="202"/>
      <c r="AH71" s="202"/>
      <c r="AI71" s="202"/>
      <c r="AJ71" s="202"/>
      <c r="AK71" s="202"/>
      <c r="AL71" s="202"/>
      <c r="AM71" s="202"/>
      <c r="AN71" s="202"/>
      <c r="AO71" s="202"/>
      <c r="AP71" s="202"/>
      <c r="AQ71" s="202"/>
      <c r="AR71" s="202"/>
      <c r="AS71" s="202"/>
      <c r="AT71" s="202"/>
      <c r="AU71" s="202"/>
      <c r="AV71" s="202"/>
      <c r="AW71" s="202"/>
      <c r="AX71" s="202"/>
      <c r="AY71" s="202"/>
      <c r="AZ71" s="202"/>
      <c r="BA71" s="202"/>
      <c r="BB71" s="202"/>
      <c r="BC71" s="202"/>
      <c r="BD71" s="202"/>
    </row>
    <row r="72" spans="2:56" x14ac:dyDescent="0.25">
      <c r="B72" s="202"/>
      <c r="C72" s="211" t="s">
        <v>1247</v>
      </c>
      <c r="D72" s="260">
        <f>IFERROR(N54/N55,0)</f>
        <v>0.68665043837918183</v>
      </c>
      <c r="E72" s="412" t="s">
        <v>1248</v>
      </c>
      <c r="F72" s="208"/>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row>
    <row r="73" spans="2:56" x14ac:dyDescent="0.25">
      <c r="B73" s="202"/>
      <c r="C73" s="211"/>
      <c r="D73" s="299"/>
      <c r="E73" s="412"/>
      <c r="F73" s="208"/>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row>
    <row r="74" spans="2:56" x14ac:dyDescent="0.25">
      <c r="B74" s="202"/>
      <c r="C74" s="211"/>
      <c r="D74" s="416"/>
      <c r="E74" s="241"/>
      <c r="F74" s="208"/>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row>
    <row r="75" spans="2:56" x14ac:dyDescent="0.25">
      <c r="B75" s="202"/>
      <c r="C75" s="207"/>
      <c r="D75" s="205"/>
      <c r="E75" s="245"/>
      <c r="F75" s="204"/>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row>
    <row r="76" spans="2:56" x14ac:dyDescent="0.25">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row>
    <row r="77" spans="2:56" x14ac:dyDescent="0.25">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row>
    <row r="78" spans="2:56" x14ac:dyDescent="0.25">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row>
    <row r="79" spans="2:56" x14ac:dyDescent="0.25">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row>
    <row r="80" spans="2:56" x14ac:dyDescent="0.25">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row>
    <row r="81" spans="2:56" x14ac:dyDescent="0.25">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row>
    <row r="82" spans="2:56" x14ac:dyDescent="0.25">
      <c r="B82" s="202"/>
      <c r="C82" s="202"/>
      <c r="D82" s="202"/>
      <c r="E82" s="202"/>
      <c r="F82" s="202"/>
      <c r="G82" s="202"/>
      <c r="H82" s="202"/>
      <c r="I82" s="202"/>
      <c r="J82" s="202"/>
      <c r="K82" s="202"/>
      <c r="L82" s="202"/>
      <c r="M82" s="202"/>
      <c r="N82" s="202"/>
      <c r="O82" s="202"/>
      <c r="P82" s="202"/>
      <c r="Q82" s="202"/>
      <c r="R82" s="202"/>
      <c r="S82" s="202"/>
      <c r="T82" s="202"/>
      <c r="U82" s="202"/>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row>
    <row r="83" spans="2:56" x14ac:dyDescent="0.25">
      <c r="B83" s="202"/>
      <c r="C83" s="202"/>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row>
    <row r="84" spans="2:56" x14ac:dyDescent="0.25">
      <c r="B84" s="202"/>
      <c r="C84" s="202"/>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row>
    <row r="85" spans="2:56" x14ac:dyDescent="0.25">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row>
  </sheetData>
  <pageMargins left="0.7" right="0.7" top="0.75" bottom="0.75" header="0.3" footer="0.3"/>
  <pageSetup paperSize="9" orientation="portrait" horizontalDpi="4294967295" verticalDpi="4294967295"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1"/>
  <dimension ref="B1:BE51"/>
  <sheetViews>
    <sheetView workbookViewId="0">
      <selection activeCell="B2" sqref="B2"/>
    </sheetView>
  </sheetViews>
  <sheetFormatPr defaultColWidth="9.140625" defaultRowHeight="15" x14ac:dyDescent="0.25"/>
  <cols>
    <col min="1" max="1" width="9.140625" style="201"/>
    <col min="2" max="2" width="3.7109375" style="201" customWidth="1"/>
    <col min="3" max="3" width="29.7109375" style="201" customWidth="1"/>
    <col min="4" max="4" width="16.140625" style="201" customWidth="1"/>
    <col min="5" max="5" width="18.7109375" style="201" bestFit="1" customWidth="1"/>
    <col min="6" max="6" width="9.140625" style="201"/>
    <col min="7" max="7" width="14.28515625" style="201" bestFit="1" customWidth="1"/>
    <col min="8" max="8" width="18.7109375" style="201" bestFit="1" customWidth="1"/>
    <col min="9" max="9" width="23" style="201" bestFit="1" customWidth="1"/>
    <col min="10" max="10" width="39.7109375" style="201" customWidth="1"/>
    <col min="11" max="11" width="8" style="201" bestFit="1" customWidth="1"/>
    <col min="12" max="12" width="9.5703125" style="201" bestFit="1" customWidth="1"/>
    <col min="13" max="13" width="8.7109375" style="201" customWidth="1"/>
    <col min="14" max="14" width="13.28515625" style="201" bestFit="1" customWidth="1"/>
    <col min="15" max="15" width="12" style="201" bestFit="1" customWidth="1"/>
    <col min="16" max="16" width="22.85546875" style="201" bestFit="1" customWidth="1"/>
    <col min="17" max="17" width="14.28515625" style="201" bestFit="1" customWidth="1"/>
    <col min="18" max="18" width="15.5703125" style="201" customWidth="1"/>
    <col min="19" max="19" width="5.28515625" style="201" bestFit="1" customWidth="1"/>
    <col min="20" max="20" width="14.42578125" style="201" customWidth="1"/>
    <col min="21" max="21" width="9.140625" style="201"/>
    <col min="22" max="23" width="14.28515625" style="201" bestFit="1" customWidth="1"/>
    <col min="24" max="29" width="9.140625" style="201"/>
    <col min="30" max="30" width="9.85546875" style="201" bestFit="1" customWidth="1"/>
    <col min="31" max="16384" width="9.140625" style="201"/>
  </cols>
  <sheetData>
    <row r="1" spans="2:57" ht="45" customHeight="1" x14ac:dyDescent="0.4">
      <c r="B1" s="200" t="str">
        <f>"PLATFORM ("&amp;Parameters!$D$6&amp;")"</f>
        <v>PLATFORM (P15 Scenario 1)</v>
      </c>
    </row>
    <row r="2" spans="2:57" x14ac:dyDescent="0.25">
      <c r="B2" s="202"/>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c r="BE2" s="202"/>
    </row>
    <row r="3" spans="2:57" x14ac:dyDescent="0.25">
      <c r="B3" s="202"/>
      <c r="C3" s="202"/>
      <c r="D3" s="202"/>
      <c r="E3" s="202"/>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c r="BA3" s="202"/>
      <c r="BB3" s="202"/>
      <c r="BC3" s="202"/>
      <c r="BD3" s="202"/>
      <c r="BE3" s="202"/>
    </row>
    <row r="4" spans="2:57" x14ac:dyDescent="0.25">
      <c r="B4" s="202"/>
      <c r="C4" s="225"/>
      <c r="D4" s="224"/>
      <c r="E4" s="224"/>
      <c r="F4" s="224"/>
      <c r="G4" s="223"/>
      <c r="H4" s="202"/>
      <c r="I4" s="225" t="str">
        <f>C5</f>
        <v>Compressor variables</v>
      </c>
      <c r="J4" s="224"/>
      <c r="K4" s="224"/>
      <c r="L4" s="224"/>
      <c r="M4" s="223"/>
      <c r="N4" s="202"/>
      <c r="O4" s="225" t="s">
        <v>577</v>
      </c>
      <c r="P4" s="224"/>
      <c r="Q4" s="224"/>
      <c r="R4" s="224"/>
      <c r="S4" s="223"/>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row>
    <row r="5" spans="2:57" x14ac:dyDescent="0.25">
      <c r="B5" s="202"/>
      <c r="C5" s="222" t="s">
        <v>583</v>
      </c>
      <c r="D5" s="255"/>
      <c r="E5" s="255"/>
      <c r="F5" s="210"/>
      <c r="G5" s="208"/>
      <c r="H5" s="202"/>
      <c r="I5" s="211"/>
      <c r="J5" s="214" t="str">
        <f>Parameters!E304</f>
        <v>Inlet pressure compressor</v>
      </c>
      <c r="K5" s="260">
        <f>Parameters!G304</f>
        <v>35</v>
      </c>
      <c r="L5" s="210" t="str">
        <f>Parameters!F304</f>
        <v>bar</v>
      </c>
      <c r="M5" s="208"/>
      <c r="N5" s="202"/>
      <c r="O5" s="211"/>
      <c r="P5" s="255" t="str">
        <f>H44</f>
        <v>Capex compressor</v>
      </c>
      <c r="Q5" s="256">
        <f>I44</f>
        <v>182583.79147250275</v>
      </c>
      <c r="R5" s="254" t="str">
        <f t="shared" ref="R5:R6" si="0">J44</f>
        <v>EUR2014</v>
      </c>
      <c r="S5" s="208"/>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E5" s="202"/>
    </row>
    <row r="6" spans="2:57" x14ac:dyDescent="0.25">
      <c r="B6" s="202"/>
      <c r="C6" s="211"/>
      <c r="D6" s="254"/>
      <c r="E6" s="254"/>
      <c r="F6" s="255"/>
      <c r="G6" s="208"/>
      <c r="H6" s="202"/>
      <c r="I6" s="211"/>
      <c r="J6" s="214" t="str">
        <f>Parameters!E305</f>
        <v xml:space="preserve">Outlet pressure of the compressor </v>
      </c>
      <c r="K6" s="260">
        <f>Parameters!G305</f>
        <v>100</v>
      </c>
      <c r="L6" s="210" t="str">
        <f>Parameters!F305</f>
        <v>bar</v>
      </c>
      <c r="M6" s="208"/>
      <c r="N6" s="202"/>
      <c r="O6" s="211"/>
      <c r="P6" s="255" t="str">
        <f>H45</f>
        <v>Opex compressor</v>
      </c>
      <c r="Q6" s="256">
        <f>I45</f>
        <v>4564.5947868125686</v>
      </c>
      <c r="R6" s="254" t="str">
        <f t="shared" si="0"/>
        <v>EUR / a</v>
      </c>
      <c r="S6" s="208"/>
      <c r="T6" s="202"/>
      <c r="U6" s="202"/>
      <c r="V6" s="202"/>
      <c r="W6" s="202"/>
      <c r="X6" s="202"/>
      <c r="Y6" s="202"/>
      <c r="Z6" s="202"/>
      <c r="AA6" s="202"/>
      <c r="AB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AZ6" s="202"/>
      <c r="BA6" s="202"/>
      <c r="BB6" s="202"/>
      <c r="BC6" s="202"/>
      <c r="BD6" s="202"/>
      <c r="BE6" s="202"/>
    </row>
    <row r="7" spans="2:57" x14ac:dyDescent="0.25">
      <c r="B7" s="202"/>
      <c r="C7" s="211" t="str">
        <f>Parameters!E315</f>
        <v>Capacity compressor</v>
      </c>
      <c r="D7" s="418">
        <f>(D10)*(($K$13*$K$8*$K$12)/($K$10*$K$11))*(($K$7*$K$9)/($K$9-1))*(($K$6/$K$5)^(($K$9-1)/($K$9*$K$7))-1)/1000</f>
        <v>9.5417069806848193E-2</v>
      </c>
      <c r="E7" s="251" t="str">
        <f>Parameters!F315</f>
        <v>MW</v>
      </c>
      <c r="F7" s="255"/>
      <c r="G7" s="208"/>
      <c r="H7" s="202"/>
      <c r="I7" s="211"/>
      <c r="J7" s="214" t="str">
        <f>Parameters!E306</f>
        <v>Number of compressor stages,</v>
      </c>
      <c r="K7" s="214">
        <f>Parameters!G306</f>
        <v>2</v>
      </c>
      <c r="L7" s="210" t="str">
        <f>Parameters!F306</f>
        <v>-</v>
      </c>
      <c r="M7" s="208"/>
      <c r="N7" s="202"/>
      <c r="O7" s="211"/>
      <c r="P7" s="255" t="str">
        <f>M34</f>
        <v>Electricity demand H2 compressor</v>
      </c>
      <c r="Q7" s="256">
        <f>N34</f>
        <v>358.53596341555954</v>
      </c>
      <c r="R7" s="254" t="str">
        <f>O34</f>
        <v>MWh/a</v>
      </c>
      <c r="S7" s="208"/>
      <c r="T7" s="202"/>
      <c r="U7" s="202"/>
      <c r="V7" s="202"/>
      <c r="W7" s="202"/>
      <c r="X7" s="202"/>
      <c r="Y7" s="202"/>
      <c r="Z7" s="202"/>
      <c r="AA7" s="202"/>
      <c r="AB7" s="202"/>
      <c r="AC7" s="202"/>
      <c r="AD7" s="202"/>
      <c r="AE7" s="202"/>
      <c r="AF7" s="202"/>
      <c r="AG7" s="202"/>
      <c r="AH7" s="202"/>
      <c r="AI7" s="202"/>
      <c r="AJ7" s="202"/>
      <c r="AK7" s="202"/>
      <c r="AL7" s="202"/>
      <c r="AM7" s="202"/>
      <c r="AN7" s="202"/>
      <c r="AO7" s="202"/>
      <c r="AP7" s="202"/>
      <c r="AQ7" s="202"/>
      <c r="AR7" s="202"/>
      <c r="AS7" s="202"/>
      <c r="AT7" s="202"/>
      <c r="AU7" s="202"/>
      <c r="AV7" s="202"/>
      <c r="AW7" s="202"/>
      <c r="AX7" s="202"/>
      <c r="AY7" s="202"/>
      <c r="AZ7" s="202"/>
      <c r="BA7" s="202"/>
      <c r="BB7" s="202"/>
      <c r="BC7" s="202"/>
      <c r="BD7" s="202"/>
      <c r="BE7" s="202"/>
    </row>
    <row r="8" spans="2:57" x14ac:dyDescent="0.25">
      <c r="B8" s="202"/>
      <c r="C8" s="211" t="str">
        <f>Parameters!E310</f>
        <v>Losses compressor</v>
      </c>
      <c r="D8" s="258">
        <f>Parameters!G310</f>
        <v>3.8E-3</v>
      </c>
      <c r="E8" s="251"/>
      <c r="F8" s="255"/>
      <c r="G8" s="208"/>
      <c r="H8" s="202"/>
      <c r="I8" s="211"/>
      <c r="J8" s="214" t="str">
        <f>Parameters!E307</f>
        <v>Inlet temperature of the compressor</v>
      </c>
      <c r="K8" s="214">
        <f>Parameters!G307</f>
        <v>273</v>
      </c>
      <c r="L8" s="210" t="str">
        <f>Parameters!F307</f>
        <v>K</v>
      </c>
      <c r="M8" s="208"/>
      <c r="N8" s="202"/>
      <c r="O8" s="211"/>
      <c r="P8" s="255"/>
      <c r="Q8" s="694"/>
      <c r="R8" s="255"/>
      <c r="S8" s="208"/>
      <c r="T8" s="202"/>
      <c r="U8" s="202"/>
      <c r="V8" s="202"/>
      <c r="W8" s="202"/>
      <c r="X8" s="202"/>
      <c r="Y8" s="202"/>
      <c r="Z8" s="202"/>
      <c r="AA8" s="202"/>
      <c r="AB8" s="202"/>
      <c r="AC8" s="202"/>
      <c r="AD8" s="202"/>
      <c r="AE8" s="202"/>
      <c r="AF8" s="202"/>
      <c r="AG8" s="202"/>
      <c r="AH8" s="202"/>
      <c r="AI8" s="202"/>
      <c r="AJ8" s="202"/>
      <c r="AK8" s="202"/>
      <c r="AL8" s="202"/>
      <c r="AM8" s="202"/>
      <c r="AN8" s="202"/>
      <c r="AO8" s="202"/>
      <c r="AP8" s="202"/>
      <c r="AQ8" s="202"/>
      <c r="AR8" s="202"/>
      <c r="AS8" s="202"/>
      <c r="AT8" s="202"/>
      <c r="AU8" s="202"/>
      <c r="AV8" s="202"/>
      <c r="AW8" s="202"/>
      <c r="AX8" s="202"/>
      <c r="AY8" s="202"/>
      <c r="AZ8" s="202"/>
      <c r="BA8" s="202"/>
      <c r="BB8" s="202"/>
      <c r="BC8" s="202"/>
      <c r="BD8" s="202"/>
      <c r="BE8" s="202"/>
    </row>
    <row r="9" spans="2:57" x14ac:dyDescent="0.25">
      <c r="B9" s="202"/>
      <c r="C9" s="211"/>
      <c r="D9" s="418"/>
      <c r="E9" s="251"/>
      <c r="F9" s="255"/>
      <c r="G9" s="208"/>
      <c r="H9" s="202"/>
      <c r="I9" s="211"/>
      <c r="J9" s="214" t="str">
        <f>Parameters!E386</f>
        <v>Diatomic constant factor</v>
      </c>
      <c r="K9" s="214">
        <f>Parameters!G386</f>
        <v>1.4</v>
      </c>
      <c r="L9" s="210" t="str">
        <f>Parameters!F386</f>
        <v>-</v>
      </c>
      <c r="M9" s="208"/>
      <c r="N9" s="202"/>
      <c r="O9" s="211"/>
      <c r="P9" s="693" t="str">
        <f>M46</f>
        <v>Total area compressor</v>
      </c>
      <c r="Q9" s="694">
        <f t="shared" ref="Q9:R9" si="1">N46</f>
        <v>7.6119462157450011</v>
      </c>
      <c r="R9" s="695" t="str">
        <f t="shared" si="1"/>
        <v>m²</v>
      </c>
      <c r="S9" s="208"/>
      <c r="T9" s="202"/>
      <c r="U9" s="202"/>
      <c r="V9" s="202"/>
      <c r="W9" s="202"/>
      <c r="X9" s="202"/>
      <c r="Y9" s="202"/>
      <c r="Z9" s="202"/>
      <c r="AA9" s="202"/>
      <c r="AB9" s="202"/>
      <c r="AC9" s="202"/>
      <c r="AD9" s="202"/>
      <c r="AE9" s="202"/>
      <c r="AF9" s="202"/>
      <c r="AG9" s="202"/>
      <c r="AH9" s="202"/>
      <c r="AI9" s="202"/>
      <c r="AJ9" s="202"/>
      <c r="AK9" s="202"/>
      <c r="AL9" s="202"/>
      <c r="AM9" s="202"/>
      <c r="AN9" s="202"/>
      <c r="AO9" s="202"/>
      <c r="AP9" s="202"/>
      <c r="AQ9" s="202"/>
      <c r="AR9" s="202"/>
      <c r="AS9" s="202"/>
      <c r="AT9" s="202"/>
      <c r="AU9" s="202"/>
      <c r="AV9" s="202"/>
      <c r="AW9" s="202"/>
      <c r="AX9" s="202"/>
      <c r="AY9" s="202"/>
      <c r="AZ9" s="202"/>
      <c r="BA9" s="202"/>
      <c r="BB9" s="202"/>
      <c r="BC9" s="202"/>
      <c r="BD9" s="202"/>
      <c r="BE9" s="202"/>
    </row>
    <row r="10" spans="2:57" x14ac:dyDescent="0.25">
      <c r="B10" s="202"/>
      <c r="C10" s="211" t="str">
        <f>'ELECTROLYSIS S'!AE30</f>
        <v>Max. hydrogen output electrolysis</v>
      </c>
      <c r="D10" s="418">
        <f>'ELECTROLYSIS S'!AF30</f>
        <v>5.5555555555555552E-2</v>
      </c>
      <c r="E10" s="254" t="str">
        <f>'ELECTROLYSIS S'!AG30</f>
        <v>kg / s</v>
      </c>
      <c r="F10" s="255"/>
      <c r="G10" s="208"/>
      <c r="H10" s="202"/>
      <c r="I10" s="211"/>
      <c r="J10" s="214" t="str">
        <f>Parameters!E387</f>
        <v>Molecular mass H2</v>
      </c>
      <c r="K10" s="255">
        <f>Parameters!G387</f>
        <v>2.0158</v>
      </c>
      <c r="L10" s="254" t="str">
        <f>Parameters!F387</f>
        <v>g / mol</v>
      </c>
      <c r="M10" s="208"/>
      <c r="N10" s="202"/>
      <c r="O10" s="211"/>
      <c r="P10" s="693" t="str">
        <f t="shared" ref="P10:R10" si="2">M47</f>
        <v>Total weight compressor</v>
      </c>
      <c r="Q10" s="694">
        <f t="shared" si="2"/>
        <v>0.90395118764382509</v>
      </c>
      <c r="R10" s="695" t="str">
        <f t="shared" si="2"/>
        <v>t</v>
      </c>
      <c r="S10" s="208"/>
      <c r="T10" s="202"/>
      <c r="U10" s="202"/>
      <c r="V10" s="202"/>
      <c r="W10" s="202"/>
      <c r="X10" s="202"/>
      <c r="Y10" s="202"/>
      <c r="Z10" s="202"/>
      <c r="AA10" s="202"/>
      <c r="AB10" s="202"/>
      <c r="AC10" s="202"/>
      <c r="AD10" s="202"/>
      <c r="AE10" s="202"/>
      <c r="AF10" s="202"/>
      <c r="AG10" s="202"/>
      <c r="AH10" s="202"/>
      <c r="AI10" s="202"/>
      <c r="AJ10" s="202"/>
      <c r="AK10" s="202"/>
      <c r="AL10" s="202"/>
      <c r="AM10" s="202"/>
      <c r="AN10" s="202"/>
      <c r="AO10" s="202"/>
      <c r="AP10" s="202"/>
      <c r="AQ10" s="202"/>
      <c r="AR10" s="202"/>
      <c r="AS10" s="202"/>
      <c r="AT10" s="202"/>
      <c r="AU10" s="202"/>
      <c r="AV10" s="202"/>
      <c r="AW10" s="202"/>
      <c r="AX10" s="202"/>
      <c r="AY10" s="202"/>
      <c r="AZ10" s="202"/>
      <c r="BA10" s="202"/>
      <c r="BB10" s="202"/>
      <c r="BC10" s="202"/>
      <c r="BD10" s="202"/>
      <c r="BE10" s="202"/>
    </row>
    <row r="11" spans="2:57" x14ac:dyDescent="0.25">
      <c r="B11" s="202"/>
      <c r="C11" s="211"/>
      <c r="D11" s="255"/>
      <c r="E11" s="418"/>
      <c r="F11" s="255"/>
      <c r="G11" s="208"/>
      <c r="H11" s="202"/>
      <c r="I11" s="211"/>
      <c r="J11" s="255" t="str">
        <f>Parameters!E429</f>
        <v>Compressor efficiency</v>
      </c>
      <c r="K11" s="252">
        <f>Parameters!G429</f>
        <v>0.75</v>
      </c>
      <c r="L11" s="254" t="str">
        <f>Parameters!F429</f>
        <v>%</v>
      </c>
      <c r="M11" s="208"/>
      <c r="N11" s="202"/>
      <c r="O11" s="211"/>
      <c r="P11" s="255"/>
      <c r="Q11" s="694"/>
      <c r="R11" s="255"/>
      <c r="S11" s="208"/>
      <c r="T11" s="202"/>
      <c r="U11" s="202"/>
      <c r="V11" s="202"/>
      <c r="W11" s="202"/>
      <c r="X11" s="202"/>
      <c r="Y11" s="202"/>
      <c r="Z11" s="202"/>
      <c r="AA11" s="202"/>
      <c r="AB11" s="202"/>
      <c r="AC11" s="202"/>
      <c r="AD11" s="202"/>
      <c r="AE11" s="202"/>
      <c r="AF11" s="202"/>
      <c r="AG11" s="202"/>
      <c r="AH11" s="202"/>
      <c r="AI11" s="202"/>
      <c r="AJ11" s="202"/>
      <c r="AK11" s="202"/>
      <c r="AL11" s="202"/>
      <c r="AM11" s="202"/>
      <c r="AN11" s="202"/>
      <c r="AO11" s="202"/>
      <c r="AP11" s="202"/>
      <c r="AQ11" s="202"/>
      <c r="AR11" s="202"/>
      <c r="AS11" s="202"/>
      <c r="AT11" s="202"/>
      <c r="AU11" s="202"/>
      <c r="AV11" s="202"/>
      <c r="AW11" s="202"/>
      <c r="AX11" s="202"/>
      <c r="AY11" s="202"/>
      <c r="AZ11" s="202"/>
      <c r="BA11" s="202"/>
      <c r="BB11" s="202"/>
      <c r="BC11" s="202"/>
      <c r="BD11" s="202"/>
      <c r="BE11" s="202"/>
    </row>
    <row r="12" spans="2:57" x14ac:dyDescent="0.25">
      <c r="B12" s="202"/>
      <c r="C12" s="211" t="str">
        <f>Parameters!E14</f>
        <v>Availability</v>
      </c>
      <c r="D12" s="418">
        <f>Parameters!G14</f>
        <v>8760</v>
      </c>
      <c r="E12" s="254" t="str">
        <f>Parameters!F14</f>
        <v>hours / a</v>
      </c>
      <c r="F12" s="255"/>
      <c r="G12" s="208"/>
      <c r="H12" s="202"/>
      <c r="I12" s="211"/>
      <c r="J12" s="255" t="str">
        <f>Parameters!E388</f>
        <v>Universal constant of ideal gas</v>
      </c>
      <c r="K12" s="256">
        <f>Parameters!G388</f>
        <v>8.3144597999999998</v>
      </c>
      <c r="L12" s="254" t="str">
        <f>Parameters!F388</f>
        <v>J / (mol*K)</v>
      </c>
      <c r="M12" s="208"/>
      <c r="N12" s="202"/>
      <c r="O12" s="211"/>
      <c r="P12" s="255"/>
      <c r="Q12" s="694"/>
      <c r="R12" s="255"/>
      <c r="S12" s="208"/>
      <c r="T12" s="202"/>
      <c r="U12" s="202"/>
      <c r="V12" s="202"/>
      <c r="W12" s="202"/>
      <c r="X12" s="202"/>
      <c r="Y12" s="202"/>
      <c r="Z12" s="202"/>
      <c r="AA12" s="202"/>
      <c r="AB12" s="202"/>
      <c r="AC12" s="202"/>
      <c r="AD12" s="202"/>
      <c r="AE12" s="202"/>
      <c r="AF12" s="202"/>
      <c r="AG12" s="202"/>
      <c r="AH12" s="202"/>
      <c r="AI12" s="202"/>
      <c r="AJ12" s="202"/>
      <c r="AK12" s="202"/>
      <c r="AL12" s="202"/>
      <c r="AM12" s="202"/>
      <c r="AN12" s="202"/>
      <c r="AO12" s="202"/>
      <c r="AP12" s="202"/>
      <c r="AQ12" s="202"/>
      <c r="AR12" s="202"/>
      <c r="AS12" s="202"/>
      <c r="AT12" s="202"/>
      <c r="AU12" s="202"/>
      <c r="AV12" s="202"/>
      <c r="AW12" s="202"/>
      <c r="AX12" s="202"/>
      <c r="AY12" s="202"/>
      <c r="AZ12" s="202"/>
      <c r="BA12" s="202"/>
      <c r="BB12" s="202"/>
      <c r="BC12" s="202"/>
      <c r="BD12" s="202"/>
      <c r="BE12" s="202"/>
    </row>
    <row r="13" spans="2:57" x14ac:dyDescent="0.25">
      <c r="B13" s="202"/>
      <c r="C13" s="211"/>
      <c r="D13" s="255"/>
      <c r="E13" s="418"/>
      <c r="F13" s="255"/>
      <c r="G13" s="208"/>
      <c r="H13" s="202"/>
      <c r="I13" s="211"/>
      <c r="J13" s="255" t="str">
        <f>Parameters!E389</f>
        <v>Dimensionless compressibility factor</v>
      </c>
      <c r="K13" s="255">
        <f>Parameters!G389</f>
        <v>1.01</v>
      </c>
      <c r="L13" s="257" t="str">
        <f>Parameters!F389</f>
        <v>-</v>
      </c>
      <c r="M13" s="208"/>
      <c r="N13" s="202"/>
      <c r="O13" s="211"/>
      <c r="P13" s="255"/>
      <c r="Q13" s="694"/>
      <c r="R13" s="255"/>
      <c r="S13" s="208"/>
      <c r="T13" s="202"/>
      <c r="U13" s="202"/>
      <c r="V13" s="202"/>
      <c r="W13" s="202"/>
      <c r="X13" s="202"/>
      <c r="Y13" s="202"/>
      <c r="Z13" s="202"/>
      <c r="AA13" s="202"/>
      <c r="AB13" s="202"/>
      <c r="AC13" s="202"/>
      <c r="AD13" s="202"/>
      <c r="AE13" s="202"/>
      <c r="AF13" s="202"/>
      <c r="AG13" s="202"/>
      <c r="AH13" s="202"/>
      <c r="AI13" s="202"/>
      <c r="AJ13" s="202"/>
      <c r="AK13" s="202"/>
      <c r="AL13" s="202"/>
      <c r="AM13" s="202"/>
      <c r="AN13" s="202"/>
      <c r="AO13" s="202"/>
      <c r="AP13" s="202"/>
      <c r="AQ13" s="202"/>
      <c r="AR13" s="202"/>
      <c r="AS13" s="202"/>
      <c r="AT13" s="202"/>
      <c r="AU13" s="202"/>
      <c r="AV13" s="202"/>
      <c r="AW13" s="202"/>
      <c r="AX13" s="202"/>
      <c r="AY13" s="202"/>
      <c r="AZ13" s="202"/>
      <c r="BA13" s="202"/>
      <c r="BB13" s="202"/>
      <c r="BC13" s="202"/>
      <c r="BD13" s="202"/>
      <c r="BE13" s="202"/>
    </row>
    <row r="14" spans="2:57" x14ac:dyDescent="0.25">
      <c r="B14" s="202"/>
      <c r="C14" s="211"/>
      <c r="D14" s="255"/>
      <c r="E14" s="418"/>
      <c r="F14" s="255"/>
      <c r="G14" s="208"/>
      <c r="H14" s="202"/>
      <c r="I14" s="211"/>
      <c r="J14" s="255" t="str">
        <f>Parameters!E430</f>
        <v>Driver thermal efficiency</v>
      </c>
      <c r="K14" s="252">
        <f>Parameters!G430</f>
        <v>0.9</v>
      </c>
      <c r="L14" s="254" t="str">
        <f>Parameters!F430</f>
        <v>%</v>
      </c>
      <c r="M14" s="208"/>
      <c r="N14" s="202"/>
      <c r="O14" s="211"/>
      <c r="P14" s="255"/>
      <c r="Q14" s="694"/>
      <c r="R14" s="255"/>
      <c r="S14" s="208"/>
      <c r="T14" s="202"/>
      <c r="U14" s="202"/>
      <c r="V14" s="202"/>
      <c r="W14" s="202"/>
      <c r="X14" s="202"/>
      <c r="Y14" s="202"/>
      <c r="Z14" s="202"/>
      <c r="AA14" s="202"/>
      <c r="AB14" s="202"/>
      <c r="AC14" s="202"/>
      <c r="AD14" s="202"/>
      <c r="AE14" s="202"/>
      <c r="AF14" s="202"/>
      <c r="AG14" s="202"/>
      <c r="AH14" s="202"/>
      <c r="AI14" s="202"/>
      <c r="AJ14" s="202"/>
      <c r="AK14" s="202"/>
      <c r="AL14" s="202"/>
      <c r="AM14" s="202"/>
      <c r="AN14" s="202"/>
      <c r="AO14" s="202"/>
      <c r="AP14" s="202"/>
      <c r="AQ14" s="202"/>
      <c r="AR14" s="202"/>
      <c r="AS14" s="202"/>
      <c r="AT14" s="202"/>
      <c r="AU14" s="202"/>
      <c r="AV14" s="202"/>
      <c r="AW14" s="202"/>
      <c r="AX14" s="202"/>
      <c r="AY14" s="202"/>
      <c r="AZ14" s="202"/>
      <c r="BA14" s="202"/>
      <c r="BB14" s="202"/>
      <c r="BC14" s="202"/>
      <c r="BD14" s="202"/>
      <c r="BE14" s="202"/>
    </row>
    <row r="15" spans="2:57" x14ac:dyDescent="0.25">
      <c r="B15" s="202"/>
      <c r="C15" s="211"/>
      <c r="D15" s="255"/>
      <c r="E15" s="418"/>
      <c r="F15" s="255"/>
      <c r="G15" s="208"/>
      <c r="H15" s="202"/>
      <c r="I15" s="211"/>
      <c r="J15" s="418" t="str">
        <f>Parameters!E385</f>
        <v>Density H2</v>
      </c>
      <c r="K15" s="418">
        <f>Parameters!G385</f>
        <v>8.9899999999999994E-2</v>
      </c>
      <c r="L15" s="254" t="str">
        <f>Parameters!F385</f>
        <v>kg / Nm³</v>
      </c>
      <c r="M15" s="208"/>
      <c r="N15" s="202"/>
      <c r="O15" s="211"/>
      <c r="P15" s="255"/>
      <c r="Q15" s="255"/>
      <c r="R15" s="255"/>
      <c r="S15" s="208"/>
      <c r="T15" s="202"/>
      <c r="U15" s="202"/>
      <c r="V15" s="202"/>
      <c r="W15" s="202"/>
      <c r="X15" s="202"/>
      <c r="Y15" s="202"/>
      <c r="Z15" s="202"/>
      <c r="AA15" s="202"/>
      <c r="AB15" s="202"/>
      <c r="AC15" s="202"/>
      <c r="AD15" s="202"/>
      <c r="AE15" s="202"/>
      <c r="AF15" s="202"/>
      <c r="AG15" s="202"/>
      <c r="AH15" s="202"/>
      <c r="AI15" s="202"/>
      <c r="AJ15" s="202"/>
      <c r="AK15" s="202"/>
      <c r="AL15" s="202"/>
      <c r="AM15" s="202"/>
      <c r="AN15" s="202"/>
      <c r="AO15" s="202"/>
      <c r="AP15" s="202"/>
      <c r="AQ15" s="202"/>
      <c r="AR15" s="202"/>
      <c r="AS15" s="202"/>
      <c r="AT15" s="202"/>
      <c r="AU15" s="202"/>
      <c r="AV15" s="202"/>
      <c r="AW15" s="202"/>
      <c r="AX15" s="202"/>
      <c r="AY15" s="202"/>
      <c r="AZ15" s="202"/>
      <c r="BA15" s="202"/>
      <c r="BB15" s="202"/>
      <c r="BC15" s="202"/>
      <c r="BD15" s="202"/>
      <c r="BE15" s="202"/>
    </row>
    <row r="16" spans="2:57" x14ac:dyDescent="0.25">
      <c r="B16" s="202"/>
      <c r="C16" s="211"/>
      <c r="D16" s="255"/>
      <c r="E16" s="418"/>
      <c r="F16" s="254"/>
      <c r="G16" s="208"/>
      <c r="H16" s="202"/>
      <c r="I16" s="211"/>
      <c r="J16" s="255"/>
      <c r="K16" s="255"/>
      <c r="L16" s="254"/>
      <c r="M16" s="208"/>
      <c r="N16" s="202"/>
      <c r="O16" s="211"/>
      <c r="P16" s="418"/>
      <c r="Q16" s="252"/>
      <c r="R16" s="251"/>
      <c r="S16" s="208"/>
      <c r="T16" s="202"/>
      <c r="U16" s="202"/>
      <c r="V16" s="202"/>
      <c r="W16" s="202"/>
      <c r="X16" s="202"/>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c r="BA16" s="202"/>
      <c r="BB16" s="202"/>
      <c r="BC16" s="202"/>
      <c r="BD16" s="202"/>
      <c r="BE16" s="202"/>
    </row>
    <row r="17" spans="2:57" x14ac:dyDescent="0.25">
      <c r="B17" s="202"/>
      <c r="C17" s="207"/>
      <c r="D17" s="206"/>
      <c r="E17" s="206"/>
      <c r="F17" s="206"/>
      <c r="G17" s="204"/>
      <c r="H17" s="202"/>
      <c r="I17" s="207"/>
      <c r="J17" s="263" t="str">
        <f>Parameters!E383</f>
        <v>LHV H2</v>
      </c>
      <c r="K17" s="206">
        <f>Parameters!G383</f>
        <v>33.33</v>
      </c>
      <c r="L17" s="206" t="str">
        <f>Parameters!F383</f>
        <v>kWh/kg</v>
      </c>
      <c r="M17" s="204"/>
      <c r="N17" s="202"/>
      <c r="O17" s="207"/>
      <c r="P17" s="206"/>
      <c r="Q17" s="250"/>
      <c r="R17" s="206"/>
      <c r="S17" s="204"/>
      <c r="T17" s="202"/>
      <c r="U17" s="202"/>
      <c r="V17" s="202"/>
      <c r="W17" s="202"/>
      <c r="X17" s="202"/>
      <c r="Y17" s="202"/>
      <c r="Z17" s="202"/>
      <c r="AA17" s="202"/>
      <c r="AB17" s="202"/>
      <c r="AC17" s="202"/>
      <c r="AD17" s="202"/>
      <c r="AE17" s="202"/>
      <c r="AF17" s="202"/>
      <c r="AG17" s="202"/>
      <c r="AH17" s="202"/>
      <c r="AI17" s="202"/>
      <c r="AJ17" s="202"/>
      <c r="AK17" s="202"/>
      <c r="AL17" s="202"/>
      <c r="AM17" s="202"/>
      <c r="AN17" s="202"/>
      <c r="AO17" s="202"/>
      <c r="AP17" s="202"/>
      <c r="AQ17" s="202"/>
      <c r="AR17" s="202"/>
      <c r="AS17" s="202"/>
      <c r="AT17" s="202"/>
      <c r="AU17" s="202"/>
      <c r="AV17" s="202"/>
      <c r="AW17" s="202"/>
      <c r="AX17" s="202"/>
      <c r="AY17" s="202"/>
      <c r="AZ17" s="202"/>
      <c r="BA17" s="202"/>
      <c r="BB17" s="202"/>
      <c r="BC17" s="202"/>
      <c r="BD17" s="202"/>
      <c r="BE17" s="202"/>
    </row>
    <row r="18" spans="2:57" x14ac:dyDescent="0.25">
      <c r="B18" s="202"/>
      <c r="C18" s="202"/>
      <c r="D18" s="202"/>
      <c r="E18" s="202"/>
      <c r="F18" s="202"/>
      <c r="G18" s="202"/>
      <c r="H18" s="202"/>
      <c r="I18" s="202"/>
      <c r="J18" s="202"/>
      <c r="K18" s="202"/>
      <c r="L18" s="202"/>
      <c r="M18" s="202"/>
      <c r="N18" s="202"/>
      <c r="O18" s="202"/>
      <c r="P18" s="202"/>
      <c r="Q18" s="212"/>
      <c r="R18" s="212"/>
      <c r="S18" s="202"/>
      <c r="T18" s="202"/>
      <c r="U18" s="202"/>
      <c r="V18" s="202"/>
      <c r="W18" s="202"/>
      <c r="X18" s="202"/>
      <c r="Y18" s="202"/>
      <c r="Z18" s="202"/>
      <c r="AA18" s="202"/>
      <c r="AB18" s="202"/>
      <c r="AC18" s="202"/>
      <c r="AD18" s="202"/>
      <c r="AE18" s="202"/>
      <c r="AF18" s="202"/>
      <c r="AG18" s="202"/>
      <c r="AH18" s="202"/>
      <c r="AI18" s="202"/>
      <c r="AJ18" s="202"/>
      <c r="AK18" s="202"/>
      <c r="AL18" s="202"/>
      <c r="AM18" s="202"/>
      <c r="AN18" s="202"/>
      <c r="AO18" s="202"/>
      <c r="AP18" s="202"/>
      <c r="AQ18" s="202"/>
      <c r="AR18" s="202"/>
      <c r="AS18" s="202"/>
      <c r="AT18" s="202"/>
      <c r="AU18" s="202"/>
      <c r="AV18" s="202"/>
      <c r="AW18" s="202"/>
      <c r="AX18" s="202"/>
      <c r="AY18" s="202"/>
      <c r="AZ18" s="202"/>
      <c r="BA18" s="202"/>
      <c r="BB18" s="202"/>
      <c r="BC18" s="202"/>
      <c r="BD18" s="202"/>
      <c r="BE18" s="202"/>
    </row>
    <row r="19" spans="2:57" ht="21" x14ac:dyDescent="0.35">
      <c r="B19" s="231"/>
      <c r="C19" s="231" t="s">
        <v>572</v>
      </c>
      <c r="D19" s="202"/>
      <c r="E19" s="202"/>
      <c r="F19" s="202"/>
      <c r="G19" s="202"/>
      <c r="H19" s="202"/>
      <c r="I19" s="202"/>
      <c r="J19" s="202"/>
      <c r="K19" s="202"/>
      <c r="L19" s="202"/>
      <c r="M19" s="202"/>
      <c r="N19" s="202"/>
      <c r="O19" s="202"/>
      <c r="P19" s="202"/>
      <c r="Q19" s="212"/>
      <c r="R19" s="202"/>
      <c r="S19" s="202"/>
      <c r="T19" s="202"/>
      <c r="U19" s="202"/>
      <c r="V19" s="202"/>
      <c r="W19" s="202"/>
      <c r="X19" s="202"/>
      <c r="Y19" s="202"/>
      <c r="Z19" s="202"/>
      <c r="AA19" s="202"/>
      <c r="AB19" s="202"/>
      <c r="AC19" s="202"/>
      <c r="AD19" s="202"/>
      <c r="AE19" s="202"/>
      <c r="AF19" s="202"/>
      <c r="AG19" s="202"/>
      <c r="AH19" s="202"/>
      <c r="AI19" s="202"/>
      <c r="AJ19" s="202"/>
      <c r="AK19" s="202"/>
      <c r="AL19" s="202"/>
      <c r="AM19" s="202"/>
      <c r="AN19" s="202"/>
      <c r="AO19" s="202"/>
      <c r="AP19" s="202"/>
      <c r="AQ19" s="202"/>
      <c r="AR19" s="202"/>
      <c r="AS19" s="202"/>
      <c r="AT19" s="202"/>
      <c r="AU19" s="202"/>
      <c r="AV19" s="202"/>
      <c r="AW19" s="202"/>
      <c r="AX19" s="202"/>
      <c r="AY19" s="202"/>
      <c r="AZ19" s="202"/>
      <c r="BA19" s="202"/>
      <c r="BB19" s="202"/>
      <c r="BC19" s="202"/>
      <c r="BD19" s="202"/>
      <c r="BE19" s="202"/>
    </row>
    <row r="20" spans="2:57" x14ac:dyDescent="0.25">
      <c r="B20" s="202"/>
      <c r="C20" s="202"/>
      <c r="D20" s="202"/>
      <c r="E20" s="202"/>
      <c r="F20" s="202"/>
      <c r="G20" s="202"/>
      <c r="H20" s="202"/>
      <c r="I20" s="202"/>
      <c r="J20" s="202"/>
      <c r="K20" s="202"/>
      <c r="L20" s="202"/>
      <c r="M20" s="202"/>
      <c r="N20" s="202"/>
      <c r="O20" s="202"/>
      <c r="P20" s="202"/>
      <c r="Q20" s="202"/>
      <c r="R20" s="202"/>
      <c r="S20" s="202"/>
      <c r="T20" s="202"/>
      <c r="U20" s="202"/>
      <c r="V20" s="202"/>
      <c r="W20" s="202"/>
      <c r="X20" s="202"/>
      <c r="Y20" s="202"/>
      <c r="Z20" s="202"/>
      <c r="AA20" s="202"/>
      <c r="AB20" s="202"/>
      <c r="AC20" s="202"/>
      <c r="AD20" s="202"/>
      <c r="AE20" s="202"/>
      <c r="AF20" s="202"/>
      <c r="AG20" s="202"/>
      <c r="AH20" s="202"/>
      <c r="AI20" s="202"/>
      <c r="AJ20" s="202"/>
      <c r="AK20" s="202"/>
      <c r="AL20" s="202"/>
      <c r="AM20" s="202"/>
      <c r="AN20" s="202"/>
      <c r="AO20" s="202"/>
      <c r="AP20" s="202"/>
      <c r="AQ20" s="202"/>
      <c r="AR20" s="202"/>
      <c r="AS20" s="202"/>
      <c r="AT20" s="202"/>
      <c r="AU20" s="202"/>
      <c r="AV20" s="202"/>
      <c r="AW20" s="202"/>
      <c r="AX20" s="202"/>
      <c r="AY20" s="202"/>
      <c r="AZ20" s="202"/>
      <c r="BA20" s="202"/>
      <c r="BB20" s="202"/>
      <c r="BC20" s="202"/>
      <c r="BD20" s="202"/>
      <c r="BE20" s="202"/>
    </row>
    <row r="21" spans="2:57" x14ac:dyDescent="0.25">
      <c r="B21" s="229"/>
      <c r="C21" s="228" t="s">
        <v>571</v>
      </c>
      <c r="D21" s="227"/>
      <c r="E21" s="227"/>
      <c r="F21" s="226"/>
      <c r="G21" s="202"/>
      <c r="H21" s="228" t="s">
        <v>569</v>
      </c>
      <c r="I21" s="227"/>
      <c r="J21" s="227"/>
      <c r="K21" s="226"/>
      <c r="L21" s="202"/>
      <c r="M21" s="228" t="s">
        <v>568</v>
      </c>
      <c r="N21" s="227"/>
      <c r="O21" s="227"/>
      <c r="P21" s="226"/>
      <c r="Q21" s="202"/>
      <c r="R21" s="202"/>
      <c r="S21" s="202"/>
      <c r="T21" s="202"/>
      <c r="U21" s="202"/>
      <c r="V21" s="202"/>
      <c r="W21" s="202"/>
      <c r="X21" s="202"/>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c r="AU21" s="202"/>
      <c r="AV21" s="202"/>
      <c r="AW21" s="202"/>
      <c r="AX21" s="202"/>
      <c r="AY21" s="202"/>
      <c r="AZ21" s="202"/>
      <c r="BA21" s="202"/>
      <c r="BB21" s="202"/>
      <c r="BC21" s="202"/>
      <c r="BD21" s="202"/>
      <c r="BE21" s="202"/>
    </row>
    <row r="22" spans="2:57" x14ac:dyDescent="0.25">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c r="Z22" s="202"/>
      <c r="AA22" s="202"/>
      <c r="AB22" s="202"/>
      <c r="AC22" s="202"/>
      <c r="AD22" s="202"/>
      <c r="AE22" s="202"/>
      <c r="AF22" s="202"/>
      <c r="AG22" s="202"/>
      <c r="AH22" s="202"/>
      <c r="AI22" s="202"/>
      <c r="AJ22" s="202"/>
      <c r="AK22" s="202"/>
      <c r="AL22" s="202"/>
      <c r="AM22" s="202"/>
      <c r="AN22" s="202"/>
      <c r="AO22" s="202"/>
      <c r="AP22" s="202"/>
      <c r="AQ22" s="202"/>
      <c r="AR22" s="202"/>
      <c r="AS22" s="202"/>
      <c r="AT22" s="202"/>
      <c r="AU22" s="202"/>
      <c r="AV22" s="202"/>
      <c r="AW22" s="202"/>
      <c r="AX22" s="202"/>
      <c r="AY22" s="202"/>
      <c r="AZ22" s="202"/>
      <c r="BA22" s="202"/>
      <c r="BB22" s="202"/>
      <c r="BC22" s="202"/>
      <c r="BD22" s="202"/>
      <c r="BE22" s="202"/>
    </row>
    <row r="23" spans="2:57" x14ac:dyDescent="0.25">
      <c r="B23" s="202"/>
      <c r="C23" s="249" t="str">
        <f>'ELECTROLYSIS S'!AE27</f>
        <v>Hydrogen production to compressor</v>
      </c>
      <c r="D23" s="224"/>
      <c r="E23" s="224"/>
      <c r="F23" s="223"/>
      <c r="G23" s="202"/>
      <c r="H23" s="225"/>
      <c r="I23" s="224"/>
      <c r="J23" s="224"/>
      <c r="K23" s="223"/>
      <c r="L23" s="202"/>
      <c r="M23" s="225" t="s">
        <v>580</v>
      </c>
      <c r="N23" s="224"/>
      <c r="O23" s="224"/>
      <c r="P23" s="223"/>
      <c r="Q23" s="202"/>
      <c r="R23" s="202"/>
      <c r="S23" s="202"/>
      <c r="T23" s="202"/>
      <c r="U23" s="202"/>
      <c r="V23" s="202"/>
      <c r="W23" s="202"/>
      <c r="X23" s="202"/>
      <c r="Y23" s="202"/>
      <c r="Z23" s="202"/>
      <c r="AA23" s="202"/>
      <c r="AB23" s="202"/>
      <c r="AC23" s="202"/>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2"/>
      <c r="AZ23" s="202"/>
      <c r="BA23" s="202"/>
      <c r="BB23" s="202"/>
      <c r="BC23" s="202"/>
      <c r="BD23" s="202"/>
      <c r="BE23" s="202"/>
    </row>
    <row r="24" spans="2:57" x14ac:dyDescent="0.25">
      <c r="B24" s="202"/>
      <c r="C24" s="248"/>
      <c r="D24" s="210"/>
      <c r="E24" s="210"/>
      <c r="F24" s="208"/>
      <c r="G24" s="202"/>
      <c r="H24" s="222"/>
      <c r="I24" s="210"/>
      <c r="J24" s="210"/>
      <c r="K24" s="208"/>
      <c r="L24" s="202"/>
      <c r="M24" s="222"/>
      <c r="N24" s="210"/>
      <c r="O24" s="210"/>
      <c r="P24" s="208"/>
      <c r="Q24" s="202"/>
      <c r="R24" s="202"/>
      <c r="S24" s="202"/>
      <c r="T24" s="202"/>
      <c r="U24" s="202"/>
      <c r="V24" s="202"/>
      <c r="W24" s="202"/>
      <c r="X24" s="202"/>
      <c r="Y24" s="202"/>
      <c r="Z24" s="202"/>
      <c r="AA24" s="202"/>
      <c r="AB24" s="202"/>
      <c r="AC24" s="202"/>
      <c r="AD24" s="202"/>
      <c r="AE24" s="202"/>
      <c r="AF24" s="202"/>
      <c r="AG24" s="202"/>
      <c r="AH24" s="202"/>
      <c r="AI24" s="202"/>
      <c r="AJ24" s="202"/>
      <c r="AK24" s="202"/>
      <c r="AL24" s="202"/>
      <c r="AM24" s="202"/>
      <c r="AN24" s="202"/>
      <c r="AO24" s="202"/>
      <c r="AP24" s="202"/>
      <c r="AQ24" s="202"/>
      <c r="AR24" s="202"/>
      <c r="AS24" s="202"/>
      <c r="AT24" s="202"/>
      <c r="AU24" s="202"/>
      <c r="AV24" s="202"/>
      <c r="AW24" s="202"/>
      <c r="AX24" s="202"/>
      <c r="AY24" s="202"/>
      <c r="AZ24" s="202"/>
      <c r="BA24" s="202"/>
      <c r="BB24" s="202"/>
      <c r="BC24" s="202"/>
      <c r="BD24" s="202"/>
      <c r="BE24" s="202"/>
    </row>
    <row r="25" spans="2:57" x14ac:dyDescent="0.25">
      <c r="B25" s="202"/>
      <c r="C25" s="306"/>
      <c r="D25" s="210"/>
      <c r="E25" s="210"/>
      <c r="F25" s="208"/>
      <c r="G25" s="202"/>
      <c r="H25" s="222"/>
      <c r="I25" s="210"/>
      <c r="J25" s="210"/>
      <c r="K25" s="208"/>
      <c r="L25" s="202"/>
      <c r="M25" s="222"/>
      <c r="N25" s="210"/>
      <c r="O25" s="210"/>
      <c r="P25" s="208"/>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row>
    <row r="26" spans="2:57" x14ac:dyDescent="0.25">
      <c r="B26" s="202"/>
      <c r="C26" s="301" t="str">
        <f>'ELECTROLYSIS S'!AE29</f>
        <v>Hydrogen produced</v>
      </c>
      <c r="D26" s="297">
        <f>'ELECTROLYSIS S'!AF29</f>
        <v>714238.19725323736</v>
      </c>
      <c r="E26" s="210" t="str">
        <f>'ELECTROLYSIS S'!AG29</f>
        <v>kg/a</v>
      </c>
      <c r="F26" s="208"/>
      <c r="G26" s="202"/>
      <c r="H26" s="211"/>
      <c r="I26" s="219" t="str">
        <f>C8</f>
        <v>Losses compressor</v>
      </c>
      <c r="J26" s="247">
        <f>D8</f>
        <v>3.8E-3</v>
      </c>
      <c r="K26" s="208"/>
      <c r="L26" s="202"/>
      <c r="M26" s="211" t="s">
        <v>580</v>
      </c>
      <c r="N26" s="297">
        <f>D26*(1-$J$26)</f>
        <v>711524.09210367501</v>
      </c>
      <c r="O26" s="210" t="str">
        <f>E26</f>
        <v>kg/a</v>
      </c>
      <c r="P26" s="208"/>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U26" s="202"/>
      <c r="AV26" s="202"/>
      <c r="AW26" s="202"/>
      <c r="AX26" s="202"/>
      <c r="AY26" s="202"/>
      <c r="AZ26" s="202"/>
      <c r="BA26" s="202"/>
      <c r="BB26" s="202"/>
      <c r="BC26" s="202"/>
      <c r="BD26" s="202"/>
      <c r="BE26" s="202"/>
    </row>
    <row r="27" spans="2:57" x14ac:dyDescent="0.25">
      <c r="B27" s="202"/>
      <c r="C27" s="211"/>
      <c r="D27" s="210"/>
      <c r="E27" s="241"/>
      <c r="F27" s="208"/>
      <c r="G27" s="202"/>
      <c r="H27" s="211"/>
      <c r="I27" s="214"/>
      <c r="J27" s="247"/>
      <c r="K27" s="208"/>
      <c r="L27" s="202"/>
      <c r="M27" s="211"/>
      <c r="N27" s="210"/>
      <c r="O27" s="416"/>
      <c r="P27" s="208"/>
      <c r="Q27" s="202"/>
      <c r="R27" s="202"/>
      <c r="S27" s="202"/>
      <c r="T27" s="202"/>
      <c r="U27" s="202"/>
      <c r="V27" s="202"/>
      <c r="W27" s="202"/>
      <c r="X27" s="202"/>
      <c r="Y27" s="202"/>
      <c r="Z27" s="202"/>
      <c r="AA27" s="202"/>
      <c r="AB27" s="202"/>
      <c r="AC27" s="202"/>
      <c r="AD27" s="202"/>
      <c r="AE27" s="202"/>
      <c r="AF27" s="202"/>
      <c r="AG27" s="202"/>
      <c r="AH27" s="202"/>
      <c r="AI27" s="202"/>
      <c r="AJ27" s="202"/>
      <c r="AK27" s="202"/>
      <c r="AL27" s="202"/>
      <c r="AM27" s="202"/>
      <c r="AN27" s="202"/>
      <c r="AO27" s="202"/>
      <c r="AP27" s="202"/>
      <c r="AQ27" s="202"/>
      <c r="AR27" s="202"/>
      <c r="AS27" s="202"/>
      <c r="AT27" s="202"/>
      <c r="AU27" s="202"/>
      <c r="AV27" s="202"/>
      <c r="AW27" s="202"/>
      <c r="AX27" s="202"/>
      <c r="AY27" s="202"/>
      <c r="AZ27" s="202"/>
      <c r="BA27" s="202"/>
      <c r="BB27" s="202"/>
      <c r="BC27" s="202"/>
      <c r="BD27" s="202"/>
      <c r="BE27" s="202"/>
    </row>
    <row r="28" spans="2:57" x14ac:dyDescent="0.25">
      <c r="B28" s="202"/>
      <c r="C28" s="211"/>
      <c r="D28" s="210"/>
      <c r="E28" s="241"/>
      <c r="F28" s="208"/>
      <c r="G28" s="202"/>
      <c r="H28" s="211"/>
      <c r="I28" s="214" t="str">
        <f>C12</f>
        <v>Availability</v>
      </c>
      <c r="J28" s="297">
        <f>D12</f>
        <v>8760</v>
      </c>
      <c r="K28" s="208"/>
      <c r="L28" s="202"/>
      <c r="M28" s="211"/>
      <c r="N28" s="210"/>
      <c r="O28" s="416"/>
      <c r="P28" s="208"/>
      <c r="Q28" s="202"/>
      <c r="R28" s="202"/>
      <c r="S28" s="202"/>
      <c r="T28" s="202"/>
      <c r="U28" s="202"/>
      <c r="V28" s="202"/>
      <c r="W28" s="202"/>
      <c r="X28" s="202"/>
      <c r="Y28" s="202"/>
      <c r="Z28" s="202"/>
      <c r="AA28" s="202"/>
      <c r="AB28" s="202"/>
      <c r="AC28" s="202"/>
      <c r="AD28" s="202"/>
      <c r="AE28" s="202"/>
      <c r="AF28" s="202"/>
      <c r="AG28" s="202"/>
      <c r="AH28" s="202"/>
      <c r="AI28" s="202"/>
      <c r="AJ28" s="202"/>
      <c r="AK28" s="202"/>
      <c r="AL28" s="202"/>
      <c r="AM28" s="202"/>
      <c r="AN28" s="202"/>
      <c r="AO28" s="202"/>
      <c r="AP28" s="202"/>
      <c r="AQ28" s="202"/>
      <c r="AR28" s="202"/>
      <c r="AS28" s="202"/>
      <c r="AT28" s="202"/>
      <c r="AU28" s="202"/>
      <c r="AV28" s="202"/>
      <c r="AW28" s="202"/>
      <c r="AX28" s="202"/>
      <c r="AY28" s="202"/>
      <c r="AZ28" s="202"/>
      <c r="BA28" s="202"/>
      <c r="BB28" s="202"/>
      <c r="BC28" s="202"/>
      <c r="BD28" s="202"/>
      <c r="BE28" s="202"/>
    </row>
    <row r="29" spans="2:57" x14ac:dyDescent="0.25">
      <c r="B29" s="202"/>
      <c r="C29" s="207"/>
      <c r="D29" s="206"/>
      <c r="E29" s="245"/>
      <c r="F29" s="204"/>
      <c r="G29" s="202"/>
      <c r="H29" s="207"/>
      <c r="I29" s="206"/>
      <c r="J29" s="205"/>
      <c r="K29" s="204"/>
      <c r="L29" s="202"/>
      <c r="M29" s="207"/>
      <c r="N29" s="206"/>
      <c r="O29" s="205"/>
      <c r="P29" s="204"/>
      <c r="Q29" s="202"/>
      <c r="R29" s="202"/>
      <c r="S29" s="202"/>
      <c r="T29" s="202"/>
      <c r="U29" s="202"/>
      <c r="V29" s="202"/>
      <c r="W29" s="202"/>
      <c r="X29" s="202"/>
      <c r="Y29" s="202"/>
      <c r="Z29" s="202"/>
      <c r="AA29" s="202"/>
      <c r="AB29" s="202"/>
      <c r="AC29" s="202"/>
      <c r="AD29" s="202"/>
      <c r="AE29" s="202"/>
      <c r="AF29" s="202"/>
      <c r="AG29" s="202"/>
      <c r="AH29" s="202"/>
      <c r="AI29" s="202"/>
      <c r="AJ29" s="202"/>
      <c r="AK29" s="202"/>
      <c r="AL29" s="202"/>
      <c r="AM29" s="202"/>
      <c r="AN29" s="202"/>
      <c r="AO29" s="202"/>
      <c r="AP29" s="202"/>
      <c r="AQ29" s="202"/>
      <c r="AR29" s="202"/>
      <c r="AS29" s="202"/>
      <c r="AT29" s="202"/>
      <c r="AU29" s="202"/>
      <c r="AV29" s="202"/>
      <c r="AW29" s="202"/>
      <c r="AX29" s="202"/>
      <c r="AY29" s="202"/>
      <c r="AZ29" s="202"/>
      <c r="BA29" s="202"/>
      <c r="BB29" s="202"/>
      <c r="BC29" s="202"/>
      <c r="BD29" s="202"/>
      <c r="BE29" s="202"/>
    </row>
    <row r="30" spans="2:57" x14ac:dyDescent="0.25">
      <c r="B30" s="202"/>
      <c r="C30" s="202"/>
      <c r="D30" s="202"/>
      <c r="E30" s="202"/>
      <c r="F30" s="202"/>
      <c r="G30" s="202"/>
      <c r="H30" s="202"/>
      <c r="I30" s="202"/>
      <c r="J30" s="202"/>
      <c r="K30" s="202"/>
      <c r="L30" s="202"/>
      <c r="M30" s="202"/>
      <c r="N30" s="202"/>
      <c r="O30" s="202"/>
      <c r="P30" s="202"/>
      <c r="Q30" s="202"/>
      <c r="R30" s="202"/>
      <c r="S30" s="202"/>
      <c r="T30" s="202"/>
      <c r="U30" s="202"/>
      <c r="V30" s="202"/>
      <c r="W30" s="202"/>
      <c r="X30" s="202"/>
      <c r="Y30" s="202"/>
      <c r="Z30" s="202"/>
      <c r="AA30" s="202"/>
      <c r="AB30" s="202"/>
      <c r="AC30" s="202"/>
      <c r="AD30" s="202"/>
      <c r="AE30" s="202"/>
      <c r="AF30" s="202"/>
      <c r="AG30" s="202"/>
      <c r="AH30" s="202"/>
      <c r="AI30" s="202"/>
      <c r="AJ30" s="202"/>
      <c r="AK30" s="202"/>
      <c r="AL30" s="202"/>
      <c r="AM30" s="202"/>
      <c r="AN30" s="202"/>
      <c r="AO30" s="202"/>
      <c r="AP30" s="202"/>
      <c r="AQ30" s="202"/>
      <c r="AR30" s="202"/>
      <c r="AS30" s="202"/>
      <c r="AT30" s="202"/>
      <c r="AU30" s="202"/>
      <c r="AV30" s="202"/>
      <c r="AW30" s="202"/>
      <c r="AX30" s="202"/>
      <c r="AY30" s="202"/>
      <c r="AZ30" s="202"/>
      <c r="BA30" s="202"/>
      <c r="BB30" s="202"/>
      <c r="BC30" s="202"/>
      <c r="BD30" s="202"/>
      <c r="BE30" s="202"/>
    </row>
    <row r="31" spans="2:57" x14ac:dyDescent="0.25">
      <c r="B31" s="202"/>
      <c r="C31" s="228" t="s">
        <v>659</v>
      </c>
      <c r="D31" s="227"/>
      <c r="E31" s="227"/>
      <c r="F31" s="226"/>
      <c r="G31" s="202"/>
      <c r="H31" s="228" t="s">
        <v>621</v>
      </c>
      <c r="I31" s="227"/>
      <c r="J31" s="227"/>
      <c r="K31" s="226"/>
      <c r="L31" s="202"/>
      <c r="M31" s="228" t="s">
        <v>660</v>
      </c>
      <c r="N31" s="227"/>
      <c r="O31" s="227"/>
      <c r="P31" s="226"/>
      <c r="Q31" s="202"/>
      <c r="R31" s="202"/>
      <c r="S31" s="202"/>
      <c r="T31" s="202"/>
      <c r="U31" s="202"/>
      <c r="V31" s="202"/>
      <c r="W31" s="202"/>
      <c r="X31" s="202"/>
      <c r="Y31" s="202"/>
      <c r="Z31" s="202"/>
      <c r="AA31" s="202"/>
      <c r="AB31" s="202"/>
      <c r="AC31" s="202"/>
      <c r="AD31" s="202"/>
      <c r="AE31" s="202"/>
      <c r="AF31" s="202"/>
      <c r="AG31" s="202"/>
      <c r="AH31" s="202"/>
      <c r="AI31" s="202"/>
      <c r="AJ31" s="202"/>
      <c r="AK31" s="202"/>
      <c r="AL31" s="202"/>
      <c r="AM31" s="202"/>
      <c r="AN31" s="202"/>
      <c r="AO31" s="202"/>
      <c r="AP31" s="202"/>
      <c r="AQ31" s="202"/>
      <c r="AR31" s="202"/>
      <c r="AS31" s="202"/>
      <c r="AT31" s="202"/>
      <c r="AU31" s="202"/>
      <c r="AV31" s="202"/>
      <c r="AW31" s="202"/>
      <c r="AX31" s="202"/>
      <c r="AY31" s="202"/>
      <c r="AZ31" s="202"/>
      <c r="BA31" s="202"/>
      <c r="BB31" s="202"/>
      <c r="BC31" s="202"/>
      <c r="BD31" s="202"/>
      <c r="BE31" s="202"/>
    </row>
    <row r="32" spans="2:57" x14ac:dyDescent="0.25">
      <c r="B32" s="202"/>
      <c r="C32" s="202"/>
      <c r="D32" s="202"/>
      <c r="E32" s="202"/>
      <c r="F32" s="202"/>
      <c r="G32" s="202"/>
      <c r="H32" s="202"/>
      <c r="I32" s="202"/>
      <c r="J32" s="202"/>
      <c r="K32" s="202"/>
      <c r="L32" s="202"/>
      <c r="M32" s="202"/>
      <c r="N32" s="202"/>
      <c r="O32" s="202"/>
      <c r="P32" s="202"/>
      <c r="Q32" s="202"/>
      <c r="R32" s="202"/>
      <c r="S32" s="202"/>
      <c r="T32" s="202"/>
      <c r="U32" s="202"/>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c r="AU32" s="202"/>
      <c r="AV32" s="202"/>
      <c r="AW32" s="202"/>
      <c r="AX32" s="202"/>
      <c r="AY32" s="202"/>
      <c r="AZ32" s="202"/>
      <c r="BA32" s="202"/>
      <c r="BB32" s="202"/>
      <c r="BC32" s="202"/>
      <c r="BD32" s="202"/>
      <c r="BE32" s="202"/>
    </row>
    <row r="33" spans="2:57" x14ac:dyDescent="0.25">
      <c r="B33" s="202"/>
      <c r="C33" s="249" t="str">
        <f>C23</f>
        <v>Hydrogen production to compressor</v>
      </c>
      <c r="D33" s="224"/>
      <c r="E33" s="224"/>
      <c r="F33" s="223"/>
      <c r="G33" s="202"/>
      <c r="H33" s="225"/>
      <c r="I33" s="224"/>
      <c r="J33" s="224"/>
      <c r="K33" s="223"/>
      <c r="L33" s="202"/>
      <c r="M33" s="225"/>
      <c r="N33" s="224"/>
      <c r="O33" s="224"/>
      <c r="P33" s="223"/>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c r="BA33" s="202"/>
      <c r="BB33" s="202"/>
      <c r="BC33" s="202"/>
      <c r="BD33" s="202"/>
      <c r="BE33" s="202"/>
    </row>
    <row r="34" spans="2:57" x14ac:dyDescent="0.25">
      <c r="B34" s="202"/>
      <c r="C34" s="248"/>
      <c r="D34" s="210"/>
      <c r="E34" s="210"/>
      <c r="F34" s="208"/>
      <c r="G34" s="202"/>
      <c r="H34" s="222" t="str">
        <f>C7</f>
        <v>Capacity compressor</v>
      </c>
      <c r="I34" s="297">
        <f>D7</f>
        <v>9.5417069806848193E-2</v>
      </c>
      <c r="J34" s="210" t="str">
        <f>E7</f>
        <v>MW</v>
      </c>
      <c r="K34" s="208"/>
      <c r="L34" s="202"/>
      <c r="M34" s="298" t="str">
        <f>Parameters!E316</f>
        <v>Electricity demand H2 compressor</v>
      </c>
      <c r="N34" s="297">
        <f>I34*8760*I35</f>
        <v>358.53596341555954</v>
      </c>
      <c r="O34" s="210" t="str">
        <f>Parameters!F316</f>
        <v>MWh/a</v>
      </c>
      <c r="P34" s="208"/>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02"/>
      <c r="BB34" s="202"/>
      <c r="BC34" s="202"/>
      <c r="BD34" s="202"/>
      <c r="BE34" s="202"/>
    </row>
    <row r="35" spans="2:57" x14ac:dyDescent="0.25">
      <c r="B35" s="202"/>
      <c r="C35" s="248"/>
      <c r="D35" s="210"/>
      <c r="E35" s="210"/>
      <c r="F35" s="208"/>
      <c r="G35" s="202"/>
      <c r="H35" s="300" t="str">
        <f>'ELECTROLYSIS S'!S28</f>
        <v>Capacity factor electrolyser</v>
      </c>
      <c r="I35" s="302">
        <f>'ELECTROLYSIS S'!T28</f>
        <v>0.42894592162422679</v>
      </c>
      <c r="J35" s="210"/>
      <c r="K35" s="208"/>
      <c r="L35" s="202"/>
      <c r="M35" s="300"/>
      <c r="N35" s="302"/>
      <c r="O35" s="210"/>
      <c r="P35" s="208"/>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c r="BA35" s="202"/>
      <c r="BB35" s="202"/>
      <c r="BC35" s="202"/>
      <c r="BD35" s="202"/>
      <c r="BE35" s="202"/>
    </row>
    <row r="36" spans="2:57" x14ac:dyDescent="0.25">
      <c r="B36" s="202"/>
      <c r="C36" s="301" t="str">
        <f>C26</f>
        <v>Hydrogen produced</v>
      </c>
      <c r="D36" s="297">
        <f>D26</f>
        <v>714238.19725323736</v>
      </c>
      <c r="E36" s="210" t="str">
        <f>E26</f>
        <v>kg/a</v>
      </c>
      <c r="F36" s="208"/>
      <c r="G36" s="202"/>
      <c r="H36" s="211"/>
      <c r="I36" s="219"/>
      <c r="J36" s="247"/>
      <c r="K36" s="208"/>
      <c r="L36" s="202"/>
      <c r="M36" s="211"/>
      <c r="N36" s="219"/>
      <c r="O36" s="247"/>
      <c r="P36" s="208"/>
      <c r="Q36" s="202"/>
      <c r="R36" s="202"/>
      <c r="S36" s="202"/>
      <c r="T36" s="202"/>
      <c r="U36" s="202"/>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AX36" s="202"/>
      <c r="AY36" s="202"/>
      <c r="AZ36" s="202"/>
      <c r="BA36" s="202"/>
      <c r="BB36" s="202"/>
      <c r="BC36" s="202"/>
      <c r="BD36" s="202"/>
      <c r="BE36" s="202"/>
    </row>
    <row r="37" spans="2:57" x14ac:dyDescent="0.25">
      <c r="B37" s="202"/>
      <c r="C37" s="211"/>
      <c r="D37" s="416"/>
      <c r="E37" s="241"/>
      <c r="F37" s="208"/>
      <c r="G37" s="202"/>
      <c r="H37" s="211"/>
      <c r="I37" s="214"/>
      <c r="J37" s="247"/>
      <c r="K37" s="208"/>
      <c r="L37" s="202"/>
      <c r="M37" s="211"/>
      <c r="N37" s="214"/>
      <c r="O37" s="247"/>
      <c r="P37" s="208"/>
      <c r="Q37" s="202"/>
      <c r="R37" s="202"/>
      <c r="S37" s="202"/>
      <c r="T37" s="202"/>
      <c r="U37" s="202"/>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c r="BA37" s="202"/>
      <c r="BB37" s="202"/>
      <c r="BC37" s="202"/>
      <c r="BD37" s="202"/>
      <c r="BE37" s="202"/>
    </row>
    <row r="38" spans="2:57" x14ac:dyDescent="0.25">
      <c r="B38" s="202"/>
      <c r="C38" s="211"/>
      <c r="D38" s="210"/>
      <c r="E38" s="241"/>
      <c r="F38" s="208"/>
      <c r="G38" s="202"/>
      <c r="H38" s="211"/>
      <c r="I38" s="214"/>
      <c r="J38" s="246"/>
      <c r="K38" s="208"/>
      <c r="L38" s="202"/>
      <c r="M38" s="211"/>
      <c r="N38" s="214"/>
      <c r="O38" s="246"/>
      <c r="P38" s="208"/>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c r="BA38" s="202"/>
      <c r="BB38" s="202"/>
      <c r="BC38" s="202"/>
      <c r="BD38" s="202"/>
      <c r="BE38" s="202"/>
    </row>
    <row r="39" spans="2:57" x14ac:dyDescent="0.25">
      <c r="B39" s="202"/>
      <c r="C39" s="207"/>
      <c r="D39" s="206"/>
      <c r="E39" s="245"/>
      <c r="F39" s="204"/>
      <c r="G39" s="202"/>
      <c r="H39" s="207"/>
      <c r="I39" s="206"/>
      <c r="J39" s="205"/>
      <c r="K39" s="204"/>
      <c r="L39" s="202"/>
      <c r="M39" s="207"/>
      <c r="N39" s="206"/>
      <c r="O39" s="205"/>
      <c r="P39" s="204"/>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c r="BA39" s="202"/>
      <c r="BB39" s="202"/>
      <c r="BC39" s="202"/>
      <c r="BD39" s="202"/>
      <c r="BE39" s="202"/>
    </row>
    <row r="40" spans="2:57" x14ac:dyDescent="0.25">
      <c r="B40" s="202"/>
      <c r="C40" s="202"/>
      <c r="D40" s="202"/>
      <c r="E40" s="202"/>
      <c r="F40" s="202"/>
      <c r="G40" s="202"/>
      <c r="H40" s="202"/>
      <c r="I40" s="202"/>
      <c r="J40" s="202"/>
      <c r="K40" s="202"/>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c r="BA40" s="202"/>
      <c r="BB40" s="202"/>
      <c r="BC40" s="202"/>
      <c r="BD40" s="202"/>
      <c r="BE40" s="202"/>
    </row>
    <row r="41" spans="2:57" x14ac:dyDescent="0.25">
      <c r="B41" s="202"/>
      <c r="C41" s="228" t="s">
        <v>860</v>
      </c>
      <c r="D41" s="227"/>
      <c r="E41" s="227"/>
      <c r="F41" s="226"/>
      <c r="G41" s="202"/>
      <c r="H41" s="228" t="s">
        <v>860</v>
      </c>
      <c r="I41" s="227"/>
      <c r="J41" s="227"/>
      <c r="K41" s="226"/>
      <c r="L41" s="202"/>
      <c r="M41" s="228" t="s">
        <v>1239</v>
      </c>
      <c r="N41" s="227"/>
      <c r="O41" s="227"/>
      <c r="P41" s="226"/>
      <c r="Q41" s="202"/>
      <c r="R41" s="202"/>
      <c r="S41" s="202"/>
      <c r="T41" s="202"/>
      <c r="U41" s="202"/>
      <c r="V41" s="202"/>
      <c r="W41" s="202"/>
      <c r="X41" s="202"/>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c r="AU41" s="202"/>
      <c r="AV41" s="202"/>
      <c r="AW41" s="202"/>
      <c r="AX41" s="202"/>
      <c r="AY41" s="202"/>
      <c r="AZ41" s="202"/>
      <c r="BA41" s="202"/>
      <c r="BB41" s="202"/>
      <c r="BC41" s="202"/>
      <c r="BD41" s="202"/>
      <c r="BE41" s="202"/>
    </row>
    <row r="42" spans="2:57" x14ac:dyDescent="0.25">
      <c r="B42" s="202"/>
      <c r="C42" s="202"/>
      <c r="D42" s="202"/>
      <c r="E42" s="202"/>
      <c r="F42" s="202"/>
      <c r="G42" s="202"/>
      <c r="H42" s="202"/>
      <c r="I42" s="202"/>
      <c r="J42" s="202"/>
      <c r="K42" s="202"/>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c r="AU42" s="202"/>
      <c r="AV42" s="202"/>
      <c r="AW42" s="202"/>
      <c r="AX42" s="202"/>
      <c r="AY42" s="202"/>
      <c r="AZ42" s="202"/>
      <c r="BA42" s="202"/>
      <c r="BB42" s="202"/>
      <c r="BC42" s="202"/>
      <c r="BD42" s="202"/>
      <c r="BE42" s="202"/>
    </row>
    <row r="43" spans="2:57" x14ac:dyDescent="0.25">
      <c r="B43" s="202"/>
      <c r="C43" s="249" t="s">
        <v>560</v>
      </c>
      <c r="D43" s="224"/>
      <c r="E43" s="224"/>
      <c r="F43" s="223"/>
      <c r="G43" s="202"/>
      <c r="H43" s="249" t="s">
        <v>560</v>
      </c>
      <c r="I43" s="224"/>
      <c r="J43" s="224"/>
      <c r="K43" s="223"/>
      <c r="L43" s="202"/>
      <c r="M43" s="411" t="str">
        <f>H34</f>
        <v>Capacity compressor</v>
      </c>
      <c r="N43" s="426">
        <f t="shared" ref="N43:O43" si="3">I34</f>
        <v>9.5417069806848193E-2</v>
      </c>
      <c r="O43" s="224" t="str">
        <f t="shared" si="3"/>
        <v>MW</v>
      </c>
      <c r="P43" s="223"/>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c r="BA43" s="202"/>
      <c r="BB43" s="202"/>
      <c r="BC43" s="202"/>
      <c r="BD43" s="202"/>
      <c r="BE43" s="202"/>
    </row>
    <row r="44" spans="2:57" ht="18" x14ac:dyDescent="0.35">
      <c r="B44" s="202"/>
      <c r="C44" s="217" t="str">
        <f>Parameters!E311</f>
        <v>Relative capex compressor</v>
      </c>
      <c r="D44" s="416">
        <f>Parameters!G311</f>
        <v>1913.5338345864661</v>
      </c>
      <c r="E44" s="210" t="str">
        <f>Parameters!F311</f>
        <v>EUR2014 / kW</v>
      </c>
      <c r="F44" s="208"/>
      <c r="G44" s="202"/>
      <c r="H44" s="217" t="str">
        <f>Parameters!E317</f>
        <v>Capex compressor</v>
      </c>
      <c r="I44" s="416">
        <f>D44*1000*D7</f>
        <v>182583.79147250275</v>
      </c>
      <c r="J44" s="210" t="s">
        <v>586</v>
      </c>
      <c r="K44" s="208"/>
      <c r="L44" s="202"/>
      <c r="M44" s="217" t="str">
        <f>Parameters!E313</f>
        <v>Relative area compressor</v>
      </c>
      <c r="N44" s="297">
        <f>Parameters!G313</f>
        <v>79.775518480642788</v>
      </c>
      <c r="O44" s="297" t="str">
        <f>Parameters!F313</f>
        <v>m²/MW</v>
      </c>
      <c r="P44" s="208"/>
      <c r="Q44" s="202"/>
      <c r="R44" s="202"/>
      <c r="S44" s="202"/>
      <c r="T44" s="202"/>
      <c r="U44" s="202"/>
      <c r="V44" s="202"/>
      <c r="W44" s="202"/>
      <c r="X44" s="202"/>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c r="BA44" s="202"/>
      <c r="BB44" s="202"/>
      <c r="BC44" s="202"/>
      <c r="BD44" s="202"/>
      <c r="BE44" s="202"/>
    </row>
    <row r="45" spans="2:57" x14ac:dyDescent="0.25">
      <c r="B45" s="202"/>
      <c r="C45" s="217" t="str">
        <f>Parameters!E312</f>
        <v>Relative opex compressor</v>
      </c>
      <c r="D45" s="419">
        <f>Parameters!G312</f>
        <v>2.5000000000000001E-2</v>
      </c>
      <c r="E45" s="210" t="str">
        <f>Parameters!F312</f>
        <v>%</v>
      </c>
      <c r="F45" s="208"/>
      <c r="G45" s="202"/>
      <c r="H45" s="217" t="str">
        <f>Parameters!E318</f>
        <v>Opex compressor</v>
      </c>
      <c r="I45" s="416">
        <f>D45*I44</f>
        <v>4564.5947868125686</v>
      </c>
      <c r="J45" s="210" t="s">
        <v>862</v>
      </c>
      <c r="K45" s="208"/>
      <c r="L45" s="202"/>
      <c r="M45" s="217" t="str">
        <f>Parameters!E314</f>
        <v>Relative weight compressor</v>
      </c>
      <c r="N45" s="297">
        <f>Parameters!G314</f>
        <v>9.4736842105263168</v>
      </c>
      <c r="O45" s="297" t="str">
        <f>Parameters!F314</f>
        <v>ton/MW</v>
      </c>
      <c r="P45" s="208"/>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c r="BA45" s="202"/>
      <c r="BB45" s="202"/>
      <c r="BC45" s="202"/>
      <c r="BD45" s="202"/>
      <c r="BE45" s="202"/>
    </row>
    <row r="46" spans="2:57" x14ac:dyDescent="0.25">
      <c r="B46" s="202"/>
      <c r="C46" s="217"/>
      <c r="D46" s="297"/>
      <c r="E46" s="297"/>
      <c r="F46" s="208"/>
      <c r="G46" s="202"/>
      <c r="H46" s="301"/>
      <c r="I46" s="297"/>
      <c r="J46" s="210"/>
      <c r="K46" s="208"/>
      <c r="L46" s="202"/>
      <c r="M46" s="301" t="s">
        <v>1558</v>
      </c>
      <c r="N46" s="297">
        <f>N44*N43</f>
        <v>7.6119462157450011</v>
      </c>
      <c r="O46" s="297" t="s">
        <v>810</v>
      </c>
      <c r="P46" s="208"/>
      <c r="Q46" s="202"/>
      <c r="R46" s="202"/>
      <c r="S46" s="202"/>
      <c r="T46" s="202"/>
      <c r="U46" s="202"/>
      <c r="V46" s="202"/>
      <c r="W46" s="202"/>
      <c r="X46" s="202"/>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2"/>
    </row>
    <row r="47" spans="2:57" x14ac:dyDescent="0.25">
      <c r="B47" s="202"/>
      <c r="C47" s="211"/>
      <c r="D47" s="210"/>
      <c r="E47" s="241"/>
      <c r="F47" s="208"/>
      <c r="G47" s="202"/>
      <c r="H47" s="211"/>
      <c r="I47" s="210"/>
      <c r="J47" s="241"/>
      <c r="K47" s="208"/>
      <c r="L47" s="202"/>
      <c r="M47" s="211" t="s">
        <v>1559</v>
      </c>
      <c r="N47" s="297">
        <f>N45*N43</f>
        <v>0.90395118764382509</v>
      </c>
      <c r="O47" s="297" t="s">
        <v>1540</v>
      </c>
      <c r="P47" s="208"/>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2"/>
      <c r="AZ47" s="202"/>
      <c r="BA47" s="202"/>
      <c r="BB47" s="202"/>
      <c r="BC47" s="202"/>
      <c r="BD47" s="202"/>
      <c r="BE47" s="202"/>
    </row>
    <row r="48" spans="2:57" x14ac:dyDescent="0.25">
      <c r="B48" s="202"/>
      <c r="C48" s="211"/>
      <c r="D48" s="210"/>
      <c r="E48" s="241"/>
      <c r="F48" s="208"/>
      <c r="G48" s="202"/>
      <c r="H48" s="211"/>
      <c r="I48" s="210"/>
      <c r="J48" s="241"/>
      <c r="K48" s="208"/>
      <c r="L48" s="202"/>
      <c r="M48" s="211"/>
      <c r="N48" s="416"/>
      <c r="O48" s="241"/>
      <c r="P48" s="208"/>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c r="BA48" s="202"/>
      <c r="BB48" s="202"/>
      <c r="BC48" s="202"/>
      <c r="BD48" s="202"/>
      <c r="BE48" s="202"/>
    </row>
    <row r="49" spans="2:57" x14ac:dyDescent="0.25">
      <c r="B49" s="202"/>
      <c r="C49" s="207"/>
      <c r="D49" s="206"/>
      <c r="E49" s="245"/>
      <c r="F49" s="204"/>
      <c r="G49" s="202"/>
      <c r="H49" s="207"/>
      <c r="I49" s="206"/>
      <c r="J49" s="245"/>
      <c r="K49" s="204"/>
      <c r="L49" s="202"/>
      <c r="M49" s="207"/>
      <c r="N49" s="205"/>
      <c r="O49" s="245"/>
      <c r="P49" s="204"/>
      <c r="Q49" s="202"/>
      <c r="R49" s="202"/>
      <c r="S49" s="202"/>
      <c r="T49" s="202"/>
      <c r="U49" s="202"/>
      <c r="V49" s="202"/>
      <c r="W49" s="202"/>
      <c r="X49" s="202"/>
      <c r="Y49" s="202"/>
      <c r="Z49" s="202"/>
      <c r="AA49" s="202"/>
      <c r="AB49" s="202"/>
      <c r="AC49" s="202"/>
      <c r="AD49" s="202"/>
      <c r="AE49" s="202"/>
      <c r="AF49" s="202"/>
      <c r="AG49" s="202"/>
      <c r="AH49" s="202"/>
      <c r="AI49" s="202"/>
      <c r="AJ49" s="202"/>
      <c r="AK49" s="202"/>
      <c r="AL49" s="202"/>
      <c r="AM49" s="202"/>
      <c r="AN49" s="202"/>
      <c r="AO49" s="202"/>
      <c r="AP49" s="202"/>
      <c r="AQ49" s="202"/>
      <c r="AR49" s="202"/>
      <c r="AS49" s="202"/>
      <c r="AT49" s="202"/>
      <c r="AU49" s="202"/>
      <c r="AV49" s="202"/>
      <c r="AW49" s="202"/>
      <c r="AX49" s="202"/>
      <c r="AY49" s="202"/>
      <c r="AZ49" s="202"/>
      <c r="BA49" s="202"/>
      <c r="BB49" s="202"/>
      <c r="BC49" s="202"/>
      <c r="BD49" s="202"/>
      <c r="BE49" s="202"/>
    </row>
    <row r="50" spans="2:57" x14ac:dyDescent="0.25">
      <c r="B50" s="202"/>
      <c r="C50" s="202"/>
      <c r="D50" s="202"/>
      <c r="E50" s="202"/>
      <c r="F50" s="202"/>
      <c r="G50" s="202"/>
      <c r="H50" s="202"/>
      <c r="I50" s="202"/>
      <c r="J50" s="202"/>
      <c r="K50" s="202"/>
      <c r="L50" s="202"/>
      <c r="M50" s="202"/>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c r="AU50" s="202"/>
      <c r="AV50" s="202"/>
      <c r="AW50" s="202"/>
      <c r="AX50" s="202"/>
      <c r="AY50" s="202"/>
      <c r="AZ50" s="202"/>
      <c r="BA50" s="202"/>
      <c r="BB50" s="202"/>
      <c r="BC50" s="202"/>
      <c r="BD50" s="202"/>
      <c r="BE50" s="202"/>
    </row>
    <row r="51" spans="2:57" x14ac:dyDescent="0.25">
      <c r="B51" s="202"/>
      <c r="C51" s="202"/>
      <c r="D51" s="202"/>
      <c r="E51" s="202"/>
      <c r="F51" s="202"/>
      <c r="G51" s="202"/>
      <c r="H51" s="202"/>
      <c r="I51" s="202"/>
      <c r="J51" s="202"/>
      <c r="K51" s="202"/>
      <c r="L51" s="202"/>
      <c r="M51" s="202"/>
      <c r="N51" s="202"/>
      <c r="O51" s="202"/>
      <c r="P51" s="202"/>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c r="AU51" s="202"/>
      <c r="AV51" s="202"/>
      <c r="AW51" s="202"/>
      <c r="AX51" s="202"/>
      <c r="AY51" s="202"/>
      <c r="AZ51" s="202"/>
      <c r="BA51" s="202"/>
      <c r="BB51" s="202"/>
      <c r="BC51" s="202"/>
      <c r="BD51" s="202"/>
      <c r="BE51" s="202"/>
    </row>
  </sheetData>
  <pageMargins left="0.7" right="0.7" top="0.75" bottom="0.75" header="0.3" footer="0.3"/>
  <pageSetup paperSize="9" orientation="portrait" horizontalDpi="4294967295" verticalDpi="4294967295"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2"/>
  <dimension ref="B1:AZ67"/>
  <sheetViews>
    <sheetView workbookViewId="0">
      <selection activeCell="B2" sqref="B2"/>
    </sheetView>
  </sheetViews>
  <sheetFormatPr defaultColWidth="9.140625" defaultRowHeight="15" x14ac:dyDescent="0.25"/>
  <cols>
    <col min="1" max="1" width="9.140625" style="201"/>
    <col min="2" max="2" width="3.7109375" style="201" customWidth="1"/>
    <col min="3" max="3" width="19" style="201" customWidth="1"/>
    <col min="4" max="4" width="23.85546875" style="201" customWidth="1"/>
    <col min="5" max="5" width="12.5703125" style="201" bestFit="1" customWidth="1"/>
    <col min="6" max="6" width="9.28515625" style="201" customWidth="1"/>
    <col min="7" max="7" width="9.140625" style="201"/>
    <col min="8" max="8" width="14.28515625" style="201" bestFit="1" customWidth="1"/>
    <col min="9" max="9" width="47.42578125" style="201" customWidth="1"/>
    <col min="10" max="10" width="9.28515625" style="201" customWidth="1"/>
    <col min="11" max="11" width="9.140625" style="201"/>
    <col min="12" max="12" width="5.42578125" style="201" customWidth="1"/>
    <col min="13" max="13" width="9.140625" style="201"/>
    <col min="14" max="14" width="17.140625" style="201" customWidth="1"/>
    <col min="15" max="15" width="18.85546875" style="201" bestFit="1" customWidth="1"/>
    <col min="16" max="17" width="9.140625" style="201"/>
    <col min="18" max="18" width="24.28515625" style="201" bestFit="1" customWidth="1"/>
    <col min="19" max="19" width="4.5703125" style="201" bestFit="1" customWidth="1"/>
    <col min="20" max="24" width="9.140625" style="201"/>
    <col min="25" max="25" width="13.28515625" style="201" bestFit="1" customWidth="1"/>
    <col min="26" max="16384" width="9.140625" style="201"/>
  </cols>
  <sheetData>
    <row r="1" spans="2:52" ht="45" customHeight="1" x14ac:dyDescent="0.4">
      <c r="B1" s="200" t="str">
        <f>"H2 PIPELINE ("&amp;Parameters!$D$6&amp;")"</f>
        <v>H2 PIPELINE (P15 Scenario 1)</v>
      </c>
    </row>
    <row r="2" spans="2:52" x14ac:dyDescent="0.25">
      <c r="B2" s="202"/>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row>
    <row r="3" spans="2:52" x14ac:dyDescent="0.25">
      <c r="B3" s="202"/>
      <c r="C3" s="202"/>
      <c r="D3" s="202"/>
      <c r="E3" s="202"/>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row>
    <row r="4" spans="2:52" x14ac:dyDescent="0.25">
      <c r="B4" s="202"/>
      <c r="C4" s="225" t="s">
        <v>579</v>
      </c>
      <c r="D4" s="224"/>
      <c r="E4" s="270" t="str">
        <f>Parameters!E321</f>
        <v>Distribution pipeline system</v>
      </c>
      <c r="F4" s="223" t="str">
        <f>Parameters!G321</f>
        <v>existing</v>
      </c>
      <c r="G4" s="202"/>
      <c r="H4" s="225" t="s">
        <v>579</v>
      </c>
      <c r="I4" s="224"/>
      <c r="J4" s="224"/>
      <c r="K4" s="223"/>
      <c r="L4" s="202"/>
      <c r="M4" s="225" t="s">
        <v>577</v>
      </c>
      <c r="N4" s="224"/>
      <c r="O4" s="224"/>
      <c r="P4" s="223"/>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row>
    <row r="5" spans="2:52" x14ac:dyDescent="0.25">
      <c r="B5" s="202"/>
      <c r="C5" s="211"/>
      <c r="D5" s="210"/>
      <c r="E5" s="210"/>
      <c r="F5" s="208"/>
      <c r="G5" s="202"/>
      <c r="H5" s="211"/>
      <c r="I5" s="219"/>
      <c r="J5" s="219"/>
      <c r="K5" s="208"/>
      <c r="L5" s="202"/>
      <c r="M5" s="211"/>
      <c r="N5" s="219"/>
      <c r="O5" s="219"/>
      <c r="P5" s="208"/>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row>
    <row r="6" spans="2:52" x14ac:dyDescent="0.25">
      <c r="B6" s="202"/>
      <c r="C6" s="211"/>
      <c r="D6" s="219" t="str">
        <f>Parameters!E322</f>
        <v>Distance hub to shore</v>
      </c>
      <c r="E6" s="243">
        <f>Parameters!G322</f>
        <v>40</v>
      </c>
      <c r="F6" s="208" t="str">
        <f>Parameters!F322</f>
        <v>km</v>
      </c>
      <c r="G6" s="202"/>
      <c r="H6" s="211"/>
      <c r="I6" s="243" t="str">
        <f>Parameters!E264</f>
        <v>Density H2</v>
      </c>
      <c r="J6" s="243">
        <f>Parameters!G264</f>
        <v>8.9899999999999994E-2</v>
      </c>
      <c r="K6" s="208" t="str">
        <f>Parameters!F264</f>
        <v>kg / Nm³</v>
      </c>
      <c r="L6" s="202"/>
      <c r="M6" s="211"/>
      <c r="N6" s="269"/>
      <c r="O6" s="241"/>
      <c r="P6" s="208"/>
      <c r="Q6" s="202"/>
      <c r="R6" s="202"/>
      <c r="S6" s="202"/>
      <c r="T6" s="202"/>
      <c r="U6" s="202"/>
      <c r="V6" s="202"/>
      <c r="W6" s="202"/>
      <c r="X6" s="202"/>
      <c r="Y6" s="202"/>
      <c r="Z6" s="202"/>
      <c r="AA6" s="202"/>
      <c r="AB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AZ6" s="202"/>
    </row>
    <row r="7" spans="2:52" x14ac:dyDescent="0.25">
      <c r="B7" s="202"/>
      <c r="C7" s="211"/>
      <c r="D7" s="243" t="str">
        <f>IF($F$4="New",Parameters!E325,IF($F$4="Existing",Parameters!E324))</f>
        <v>Pipeline losses (existing pipeline)</v>
      </c>
      <c r="E7" s="421">
        <f>IF($F$4="New",Parameters!G325,IF($F$4="Existing",Parameters!G324))</f>
        <v>0.01</v>
      </c>
      <c r="F7" s="208"/>
      <c r="G7" s="202"/>
      <c r="H7" s="211"/>
      <c r="I7" s="264" t="str">
        <f>Parameters!E349</f>
        <v>Dimensionless coefficient of friction (Darcy-Weisbach friction factor)</v>
      </c>
      <c r="J7" s="268">
        <f>Parameters!G349</f>
        <v>1.4E-2</v>
      </c>
      <c r="K7" s="208"/>
      <c r="L7" s="202"/>
      <c r="M7" s="211"/>
      <c r="N7" s="219" t="str">
        <f t="shared" ref="N7:O9" si="0">H39</f>
        <v>Capex existing pipeline</v>
      </c>
      <c r="O7" s="243">
        <f t="shared" si="0"/>
        <v>0</v>
      </c>
      <c r="P7" s="208" t="str">
        <f t="shared" ref="P7:P9" si="1">J39</f>
        <v>EUR 2014</v>
      </c>
      <c r="Q7" s="202"/>
      <c r="R7" s="202"/>
      <c r="S7" s="202"/>
      <c r="T7" s="202"/>
      <c r="U7" s="202"/>
      <c r="V7" s="202"/>
      <c r="W7" s="202"/>
      <c r="X7" s="202"/>
      <c r="Y7" s="202"/>
      <c r="Z7" s="202"/>
      <c r="AA7" s="202"/>
      <c r="AB7" s="202"/>
      <c r="AC7" s="202"/>
      <c r="AD7" s="202"/>
      <c r="AE7" s="202"/>
      <c r="AF7" s="202"/>
      <c r="AG7" s="202"/>
      <c r="AH7" s="202"/>
      <c r="AI7" s="202"/>
      <c r="AJ7" s="202"/>
      <c r="AK7" s="202"/>
      <c r="AL7" s="202"/>
      <c r="AM7" s="202"/>
      <c r="AN7" s="202"/>
      <c r="AO7" s="202"/>
      <c r="AP7" s="202"/>
      <c r="AQ7" s="202"/>
      <c r="AR7" s="202"/>
      <c r="AS7" s="202"/>
      <c r="AT7" s="202"/>
      <c r="AU7" s="202"/>
      <c r="AV7" s="202"/>
      <c r="AW7" s="202"/>
      <c r="AX7" s="202"/>
      <c r="AY7" s="202"/>
      <c r="AZ7" s="202"/>
    </row>
    <row r="8" spans="2:52" x14ac:dyDescent="0.25">
      <c r="B8" s="202"/>
      <c r="C8" s="211"/>
      <c r="D8" s="219" t="str">
        <f>Parameters!E346</f>
        <v>Inlet pressure pipeline</v>
      </c>
      <c r="E8" s="243">
        <f>Parameters!G346</f>
        <v>100</v>
      </c>
      <c r="F8" s="208" t="str">
        <f>Parameters!F346</f>
        <v>bar</v>
      </c>
      <c r="G8" s="202"/>
      <c r="H8" s="211"/>
      <c r="I8" s="264" t="str">
        <f>Parameters!E268</f>
        <v>Dimensionless compressibility factor</v>
      </c>
      <c r="J8" s="422">
        <f>Parameters!G268</f>
        <v>1.01</v>
      </c>
      <c r="K8" s="265"/>
      <c r="L8" s="202"/>
      <c r="M8" s="211"/>
      <c r="N8" s="219" t="str">
        <f t="shared" si="0"/>
        <v>Opex existing pipeline</v>
      </c>
      <c r="O8" s="243">
        <f t="shared" si="0"/>
        <v>0</v>
      </c>
      <c r="P8" s="208" t="str">
        <f t="shared" si="1"/>
        <v>EUR / a</v>
      </c>
      <c r="Q8" s="202"/>
      <c r="R8" s="202"/>
      <c r="S8" s="202"/>
      <c r="T8" s="202"/>
      <c r="U8" s="202"/>
      <c r="V8" s="202"/>
      <c r="W8" s="202"/>
      <c r="X8" s="202"/>
      <c r="Y8" s="202"/>
      <c r="Z8" s="202"/>
      <c r="AA8" s="202"/>
      <c r="AB8" s="202"/>
      <c r="AC8" s="202"/>
      <c r="AD8" s="202"/>
      <c r="AE8" s="202"/>
      <c r="AF8" s="202"/>
      <c r="AG8" s="202"/>
      <c r="AH8" s="202"/>
      <c r="AI8" s="202"/>
      <c r="AJ8" s="202"/>
      <c r="AK8" s="202"/>
      <c r="AL8" s="202"/>
      <c r="AM8" s="202"/>
      <c r="AN8" s="202"/>
      <c r="AO8" s="202"/>
      <c r="AP8" s="202"/>
      <c r="AQ8" s="202"/>
      <c r="AR8" s="202"/>
      <c r="AS8" s="202"/>
      <c r="AT8" s="202"/>
      <c r="AU8" s="202"/>
      <c r="AV8" s="202"/>
      <c r="AW8" s="202"/>
      <c r="AX8" s="202"/>
      <c r="AY8" s="202"/>
      <c r="AZ8" s="202"/>
    </row>
    <row r="9" spans="2:52" x14ac:dyDescent="0.25">
      <c r="B9" s="202"/>
      <c r="C9" s="211"/>
      <c r="D9" s="219" t="str">
        <f>Parameters!E323</f>
        <v>Outlet pressure pipeline</v>
      </c>
      <c r="E9" s="243">
        <f>Parameters!G323</f>
        <v>80</v>
      </c>
      <c r="F9" s="208" t="str">
        <f>Parameters!F323</f>
        <v>bar</v>
      </c>
      <c r="G9" s="202"/>
      <c r="H9" s="211"/>
      <c r="I9" s="264" t="str">
        <f>Parameters!E347</f>
        <v>Gas mean temperature (seawater)</v>
      </c>
      <c r="J9" s="243">
        <f>Parameters!G347</f>
        <v>277.39999999999998</v>
      </c>
      <c r="K9" s="265" t="str">
        <f>Parameters!F347</f>
        <v>K</v>
      </c>
      <c r="L9" s="202"/>
      <c r="M9" s="266"/>
      <c r="N9" s="219" t="str">
        <f t="shared" si="0"/>
        <v>Opex existing pipeline</v>
      </c>
      <c r="O9" s="243">
        <f t="shared" si="0"/>
        <v>475912.4294622835</v>
      </c>
      <c r="P9" s="208" t="str">
        <f t="shared" si="1"/>
        <v>EUR/a</v>
      </c>
      <c r="Q9" s="202"/>
      <c r="R9" s="202"/>
      <c r="S9" s="202"/>
      <c r="T9" s="202"/>
      <c r="U9" s="202"/>
      <c r="V9" s="202"/>
      <c r="W9" s="202"/>
      <c r="X9" s="202"/>
      <c r="Y9" s="202"/>
      <c r="Z9" s="202"/>
      <c r="AA9" s="202"/>
      <c r="AB9" s="202"/>
      <c r="AC9" s="202"/>
      <c r="AD9" s="202"/>
      <c r="AE9" s="202"/>
      <c r="AF9" s="202"/>
      <c r="AG9" s="202"/>
      <c r="AH9" s="202"/>
      <c r="AI9" s="202"/>
      <c r="AJ9" s="202"/>
      <c r="AK9" s="202"/>
      <c r="AL9" s="202"/>
      <c r="AM9" s="202"/>
      <c r="AN9" s="202"/>
      <c r="AO9" s="202"/>
      <c r="AP9" s="202"/>
      <c r="AQ9" s="202"/>
      <c r="AR9" s="202"/>
      <c r="AS9" s="202"/>
      <c r="AT9" s="202"/>
      <c r="AU9" s="202"/>
      <c r="AV9" s="202"/>
      <c r="AW9" s="202"/>
      <c r="AX9" s="202"/>
      <c r="AY9" s="202"/>
      <c r="AZ9" s="202"/>
    </row>
    <row r="10" spans="2:52" x14ac:dyDescent="0.25">
      <c r="B10" s="202"/>
      <c r="C10" s="211"/>
      <c r="D10" s="219" t="str">
        <f>Parameters!E348</f>
        <v>Pipeline diameter</v>
      </c>
      <c r="E10" s="243">
        <f>((((O16/$J$6)/(0.0129*SQRT($E$8^2-$E$9^2)))^2)*$J$7*$J$8*$J$9*$E$6*$J$10)^(1/5)</f>
        <v>38.990645473674547</v>
      </c>
      <c r="F10" s="208" t="str">
        <f>Parameters!F348</f>
        <v>mm</v>
      </c>
      <c r="G10" s="202"/>
      <c r="H10" s="211"/>
      <c r="I10" s="264" t="str">
        <f>Parameters!E263</f>
        <v>Relative density hydrogen to air</v>
      </c>
      <c r="J10" s="423">
        <f>Parameters!G263</f>
        <v>6.9522852060938833E-2</v>
      </c>
      <c r="K10" s="265"/>
      <c r="L10" s="202"/>
      <c r="M10" s="211"/>
      <c r="N10" s="219" t="str">
        <f>H43</f>
        <v>Cost of hydrogen extraction (admix)</v>
      </c>
      <c r="O10" s="422">
        <f>I43</f>
        <v>136257.29564214934</v>
      </c>
      <c r="P10" s="1038" t="str">
        <f>J43</f>
        <v>EUR/a</v>
      </c>
      <c r="Q10" s="202"/>
      <c r="R10" s="202"/>
      <c r="S10" s="202"/>
      <c r="T10" s="202"/>
      <c r="U10" s="202"/>
      <c r="V10" s="202"/>
      <c r="W10" s="202"/>
      <c r="X10" s="202"/>
      <c r="Y10" s="202"/>
      <c r="Z10" s="202"/>
      <c r="AA10" s="202"/>
      <c r="AB10" s="202"/>
      <c r="AC10" s="202"/>
      <c r="AD10" s="202"/>
      <c r="AE10" s="202"/>
      <c r="AF10" s="202"/>
      <c r="AG10" s="202"/>
      <c r="AH10" s="202"/>
      <c r="AI10" s="202"/>
      <c r="AJ10" s="202"/>
      <c r="AK10" s="202"/>
      <c r="AL10" s="202"/>
      <c r="AM10" s="202"/>
      <c r="AN10" s="202"/>
      <c r="AO10" s="202"/>
      <c r="AP10" s="202"/>
      <c r="AQ10" s="202"/>
      <c r="AR10" s="202"/>
      <c r="AS10" s="202"/>
      <c r="AT10" s="202"/>
      <c r="AU10" s="202"/>
      <c r="AV10" s="202"/>
      <c r="AW10" s="202"/>
      <c r="AX10" s="202"/>
      <c r="AY10" s="202"/>
      <c r="AZ10" s="202"/>
    </row>
    <row r="11" spans="2:52" x14ac:dyDescent="0.25">
      <c r="B11" s="202"/>
      <c r="C11" s="211"/>
      <c r="D11" s="214" t="str">
        <f>'H2 COMPRESSION S'!C10</f>
        <v>Max. hydrogen output electrolysis</v>
      </c>
      <c r="E11" s="241">
        <f>'H2 COMPRESSION S'!D10</f>
        <v>5.5555555555555552E-2</v>
      </c>
      <c r="F11" s="208" t="str">
        <f>'H2 COMPRESSION S'!E10</f>
        <v>kg / s</v>
      </c>
      <c r="G11" s="202"/>
      <c r="H11" s="211"/>
      <c r="I11" s="264"/>
      <c r="J11" s="264"/>
      <c r="K11" s="208"/>
      <c r="L11" s="202"/>
      <c r="M11" s="211"/>
      <c r="N11" s="210"/>
      <c r="O11" s="416"/>
      <c r="P11" s="208"/>
      <c r="Q11" s="202"/>
      <c r="R11" s="202"/>
      <c r="S11" s="202"/>
      <c r="T11" s="202"/>
      <c r="U11" s="202"/>
      <c r="V11" s="202"/>
      <c r="W11" s="202"/>
      <c r="X11" s="202"/>
      <c r="Y11" s="202"/>
      <c r="Z11" s="202"/>
      <c r="AA11" s="202"/>
      <c r="AB11" s="202"/>
      <c r="AC11" s="202"/>
      <c r="AD11" s="202"/>
      <c r="AE11" s="202"/>
      <c r="AF11" s="202"/>
      <c r="AG11" s="202"/>
      <c r="AH11" s="202"/>
      <c r="AI11" s="202"/>
      <c r="AJ11" s="202"/>
      <c r="AK11" s="202"/>
      <c r="AL11" s="202"/>
      <c r="AM11" s="202"/>
      <c r="AN11" s="202"/>
      <c r="AO11" s="202"/>
      <c r="AP11" s="202"/>
      <c r="AQ11" s="202"/>
      <c r="AR11" s="202"/>
      <c r="AS11" s="202"/>
      <c r="AT11" s="202"/>
      <c r="AU11" s="202"/>
      <c r="AV11" s="202"/>
      <c r="AW11" s="202"/>
      <c r="AX11" s="202"/>
      <c r="AY11" s="202"/>
      <c r="AZ11" s="202"/>
    </row>
    <row r="12" spans="2:52" x14ac:dyDescent="0.25">
      <c r="B12" s="202"/>
      <c r="C12" s="211"/>
      <c r="D12" s="214"/>
      <c r="E12" s="241"/>
      <c r="F12" s="208"/>
      <c r="G12" s="202"/>
      <c r="H12" s="211"/>
      <c r="I12" s="243" t="str">
        <f>Parameters!E344</f>
        <v>Hydrogen recovery factor separation (admix)</v>
      </c>
      <c r="J12" s="1036">
        <f>Parameters!G344</f>
        <v>0.8</v>
      </c>
      <c r="K12" s="208"/>
      <c r="L12" s="202"/>
      <c r="M12" s="211"/>
      <c r="N12" s="210" t="str">
        <f>Parameters!E354</f>
        <v>Capex H2 pipeline crossings &amp; landing</v>
      </c>
      <c r="O12" s="416">
        <f>SUM(I45:I51)</f>
        <v>0</v>
      </c>
      <c r="P12" s="208" t="str">
        <f>Parameters!F354</f>
        <v>EUR</v>
      </c>
      <c r="Q12" s="202"/>
      <c r="R12" s="202"/>
      <c r="S12" s="202"/>
      <c r="T12" s="202"/>
      <c r="U12" s="202"/>
      <c r="V12" s="202"/>
      <c r="W12" s="202"/>
      <c r="X12" s="202"/>
      <c r="Y12" s="202"/>
      <c r="Z12" s="202"/>
      <c r="AA12" s="202"/>
      <c r="AB12" s="202"/>
      <c r="AC12" s="202"/>
      <c r="AD12" s="202"/>
      <c r="AE12" s="202"/>
      <c r="AF12" s="202"/>
      <c r="AG12" s="202"/>
      <c r="AH12" s="202"/>
      <c r="AI12" s="202"/>
      <c r="AJ12" s="202"/>
      <c r="AK12" s="202"/>
      <c r="AL12" s="202"/>
      <c r="AM12" s="202"/>
      <c r="AN12" s="202"/>
      <c r="AO12" s="202"/>
      <c r="AP12" s="202"/>
      <c r="AQ12" s="202"/>
      <c r="AR12" s="202"/>
      <c r="AS12" s="202"/>
      <c r="AT12" s="202"/>
      <c r="AU12" s="202"/>
      <c r="AV12" s="202"/>
      <c r="AW12" s="202"/>
      <c r="AX12" s="202"/>
      <c r="AY12" s="202"/>
      <c r="AZ12" s="202"/>
    </row>
    <row r="13" spans="2:52" x14ac:dyDescent="0.25">
      <c r="B13" s="202"/>
      <c r="C13" s="211"/>
      <c r="D13" s="214" t="str">
        <f>Parameters!E329</f>
        <v>Trenching to beach</v>
      </c>
      <c r="E13" s="214">
        <f>Parameters!G329</f>
        <v>0</v>
      </c>
      <c r="F13" s="208"/>
      <c r="G13" s="202"/>
      <c r="H13" s="211"/>
      <c r="I13" s="243"/>
      <c r="J13" s="243"/>
      <c r="K13" s="208"/>
      <c r="L13" s="202"/>
      <c r="M13" s="211"/>
      <c r="N13" s="210"/>
      <c r="O13" s="297"/>
      <c r="P13" s="208"/>
      <c r="Q13" s="202"/>
      <c r="R13" s="202"/>
      <c r="S13" s="202"/>
      <c r="T13" s="202"/>
      <c r="U13" s="202"/>
      <c r="V13" s="202"/>
      <c r="W13" s="202"/>
      <c r="X13" s="202"/>
      <c r="Y13" s="202"/>
      <c r="Z13" s="202"/>
      <c r="AA13" s="202"/>
      <c r="AB13" s="202"/>
      <c r="AC13" s="202"/>
      <c r="AD13" s="202"/>
      <c r="AE13" s="202"/>
      <c r="AF13" s="202"/>
      <c r="AG13" s="202"/>
      <c r="AH13" s="202"/>
      <c r="AI13" s="202"/>
      <c r="AJ13" s="202"/>
      <c r="AK13" s="202"/>
      <c r="AL13" s="202"/>
      <c r="AM13" s="202"/>
      <c r="AN13" s="202"/>
      <c r="AO13" s="202"/>
      <c r="AP13" s="202"/>
      <c r="AQ13" s="202"/>
      <c r="AR13" s="202"/>
      <c r="AS13" s="202"/>
      <c r="AT13" s="202"/>
      <c r="AU13" s="202"/>
      <c r="AV13" s="202"/>
      <c r="AW13" s="202"/>
      <c r="AX13" s="202"/>
      <c r="AY13" s="202"/>
      <c r="AZ13" s="202"/>
    </row>
    <row r="14" spans="2:52" x14ac:dyDescent="0.25">
      <c r="B14" s="202"/>
      <c r="C14" s="211"/>
      <c r="D14" s="214" t="str">
        <f>Parameters!E330</f>
        <v>Onshore - Road</v>
      </c>
      <c r="E14" s="214">
        <f>Parameters!G330</f>
        <v>0</v>
      </c>
      <c r="F14" s="208"/>
      <c r="G14" s="202"/>
      <c r="H14" s="211"/>
      <c r="I14" s="243"/>
      <c r="J14" s="243"/>
      <c r="K14" s="208"/>
      <c r="L14" s="202"/>
      <c r="M14" s="211"/>
      <c r="N14" s="210"/>
      <c r="O14" s="210"/>
      <c r="P14" s="208"/>
      <c r="Q14" s="202"/>
      <c r="R14" s="202"/>
      <c r="S14" s="202"/>
      <c r="T14" s="202"/>
      <c r="U14" s="202"/>
      <c r="V14" s="202"/>
      <c r="W14" s="202"/>
      <c r="X14" s="202"/>
      <c r="Y14" s="202"/>
      <c r="Z14" s="202"/>
      <c r="AA14" s="202"/>
      <c r="AB14" s="202"/>
      <c r="AC14" s="202"/>
      <c r="AD14" s="202"/>
      <c r="AE14" s="202"/>
      <c r="AF14" s="202"/>
      <c r="AG14" s="202"/>
      <c r="AH14" s="202"/>
      <c r="AI14" s="202"/>
      <c r="AJ14" s="202"/>
      <c r="AK14" s="202"/>
      <c r="AL14" s="202"/>
      <c r="AM14" s="202"/>
      <c r="AN14" s="202"/>
      <c r="AO14" s="202"/>
      <c r="AP14" s="202"/>
      <c r="AQ14" s="202"/>
      <c r="AR14" s="202"/>
      <c r="AS14" s="202"/>
      <c r="AT14" s="202"/>
      <c r="AU14" s="202"/>
      <c r="AV14" s="202"/>
      <c r="AW14" s="202"/>
      <c r="AX14" s="202"/>
      <c r="AY14" s="202"/>
      <c r="AZ14" s="202"/>
    </row>
    <row r="15" spans="2:52" x14ac:dyDescent="0.25">
      <c r="B15" s="202"/>
      <c r="C15" s="211"/>
      <c r="D15" s="214" t="str">
        <f>Parameters!E331</f>
        <v>Onshore - Pipeline</v>
      </c>
      <c r="E15" s="214">
        <f>Parameters!G331</f>
        <v>0</v>
      </c>
      <c r="F15" s="208"/>
      <c r="G15" s="202"/>
      <c r="H15" s="211"/>
      <c r="I15" s="243"/>
      <c r="J15" s="243"/>
      <c r="K15" s="208"/>
      <c r="L15" s="202"/>
      <c r="M15" s="211"/>
      <c r="N15" s="210"/>
      <c r="O15" s="210"/>
      <c r="P15" s="208"/>
      <c r="Q15" s="202"/>
      <c r="R15" s="202"/>
      <c r="S15" s="202"/>
      <c r="T15" s="202"/>
      <c r="U15" s="202"/>
      <c r="V15" s="202"/>
      <c r="W15" s="202"/>
      <c r="X15" s="202"/>
      <c r="Y15" s="202"/>
      <c r="Z15" s="202"/>
      <c r="AA15" s="202"/>
      <c r="AB15" s="202"/>
      <c r="AC15" s="202"/>
      <c r="AD15" s="202"/>
      <c r="AE15" s="202"/>
      <c r="AF15" s="202"/>
      <c r="AG15" s="202"/>
      <c r="AH15" s="202"/>
      <c r="AI15" s="202"/>
      <c r="AJ15" s="202"/>
      <c r="AK15" s="202"/>
      <c r="AL15" s="202"/>
      <c r="AM15" s="202"/>
      <c r="AN15" s="202"/>
      <c r="AO15" s="202"/>
      <c r="AP15" s="202"/>
      <c r="AQ15" s="202"/>
      <c r="AR15" s="202"/>
      <c r="AS15" s="202"/>
      <c r="AT15" s="202"/>
      <c r="AU15" s="202"/>
      <c r="AV15" s="202"/>
      <c r="AW15" s="202"/>
      <c r="AX15" s="202"/>
      <c r="AY15" s="202"/>
      <c r="AZ15" s="202"/>
    </row>
    <row r="16" spans="2:52" x14ac:dyDescent="0.25">
      <c r="B16" s="202"/>
      <c r="C16" s="211"/>
      <c r="D16" s="214" t="str">
        <f>Parameters!E332</f>
        <v>Onshore - Other</v>
      </c>
      <c r="E16" s="214">
        <f>Parameters!G332</f>
        <v>0</v>
      </c>
      <c r="F16" s="208"/>
      <c r="G16" s="202"/>
      <c r="H16" s="211"/>
      <c r="I16" s="243"/>
      <c r="J16" s="243"/>
      <c r="K16" s="208"/>
      <c r="L16" s="202"/>
      <c r="M16" s="211"/>
      <c r="N16" s="307" t="str">
        <f>Parameters!E345</f>
        <v>Hydrogen capacity</v>
      </c>
      <c r="O16" s="416">
        <f>E11*3600</f>
        <v>200</v>
      </c>
      <c r="P16" s="208" t="str">
        <f>Parameters!F345</f>
        <v>kg/h</v>
      </c>
      <c r="Q16" s="202"/>
      <c r="R16" s="202"/>
      <c r="S16" s="202"/>
      <c r="T16" s="202"/>
      <c r="U16" s="202"/>
      <c r="V16" s="202"/>
      <c r="W16" s="202"/>
      <c r="X16" s="202"/>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row>
    <row r="17" spans="2:52" x14ac:dyDescent="0.25">
      <c r="B17" s="202"/>
      <c r="C17" s="211"/>
      <c r="D17" s="214" t="str">
        <f>Parameters!E333</f>
        <v>Offshore - Pipeline</v>
      </c>
      <c r="E17" s="214">
        <f>Parameters!G333</f>
        <v>0</v>
      </c>
      <c r="F17" s="208"/>
      <c r="G17" s="202"/>
      <c r="H17" s="211"/>
      <c r="I17" s="243"/>
      <c r="J17" s="243"/>
      <c r="K17" s="208"/>
      <c r="L17" s="202"/>
      <c r="M17" s="211"/>
      <c r="N17" s="210"/>
      <c r="O17" s="210"/>
      <c r="P17" s="208"/>
      <c r="Q17" s="202"/>
      <c r="R17" s="202"/>
      <c r="S17" s="202"/>
      <c r="T17" s="202"/>
      <c r="U17" s="202"/>
      <c r="V17" s="202"/>
      <c r="W17" s="202"/>
      <c r="X17" s="202"/>
      <c r="Y17" s="202"/>
      <c r="Z17" s="202"/>
      <c r="AA17" s="202"/>
      <c r="AB17" s="202"/>
      <c r="AC17" s="202"/>
      <c r="AD17" s="202"/>
      <c r="AE17" s="202"/>
      <c r="AF17" s="202"/>
      <c r="AG17" s="202"/>
      <c r="AH17" s="202"/>
      <c r="AI17" s="202"/>
      <c r="AJ17" s="202"/>
      <c r="AK17" s="202"/>
      <c r="AL17" s="202"/>
      <c r="AM17" s="202"/>
      <c r="AN17" s="202"/>
      <c r="AO17" s="202"/>
      <c r="AP17" s="202"/>
      <c r="AQ17" s="202"/>
      <c r="AR17" s="202"/>
      <c r="AS17" s="202"/>
      <c r="AT17" s="202"/>
      <c r="AU17" s="202"/>
      <c r="AV17" s="202"/>
      <c r="AW17" s="202"/>
      <c r="AX17" s="202"/>
      <c r="AY17" s="202"/>
      <c r="AZ17" s="202"/>
    </row>
    <row r="18" spans="2:52" x14ac:dyDescent="0.25">
      <c r="B18" s="202"/>
      <c r="C18" s="211"/>
      <c r="D18" s="214" t="str">
        <f>Parameters!E334</f>
        <v>Submarine cables</v>
      </c>
      <c r="E18" s="214">
        <f>Parameters!G334</f>
        <v>0</v>
      </c>
      <c r="F18" s="208"/>
      <c r="G18" s="202"/>
      <c r="H18" s="211"/>
      <c r="I18" s="243"/>
      <c r="J18" s="243"/>
      <c r="K18" s="208"/>
      <c r="L18" s="202"/>
      <c r="M18" s="211"/>
      <c r="N18" s="210"/>
      <c r="O18" s="210"/>
      <c r="P18" s="208"/>
      <c r="Q18" s="202"/>
      <c r="R18" s="202"/>
      <c r="S18" s="202"/>
      <c r="T18" s="202"/>
      <c r="U18" s="202"/>
      <c r="V18" s="202"/>
      <c r="W18" s="202"/>
      <c r="X18" s="202"/>
      <c r="Y18" s="202"/>
      <c r="Z18" s="202"/>
      <c r="AA18" s="202"/>
      <c r="AB18" s="202"/>
      <c r="AC18" s="202"/>
      <c r="AD18" s="202"/>
      <c r="AE18" s="202"/>
      <c r="AF18" s="202"/>
      <c r="AG18" s="202"/>
      <c r="AH18" s="202"/>
      <c r="AI18" s="202"/>
      <c r="AJ18" s="202"/>
      <c r="AK18" s="202"/>
      <c r="AL18" s="202"/>
      <c r="AM18" s="202"/>
      <c r="AN18" s="202"/>
      <c r="AO18" s="202"/>
      <c r="AP18" s="202"/>
      <c r="AQ18" s="202"/>
      <c r="AR18" s="202"/>
      <c r="AS18" s="202"/>
      <c r="AT18" s="202"/>
      <c r="AU18" s="202"/>
      <c r="AV18" s="202"/>
      <c r="AW18" s="202"/>
      <c r="AX18" s="202"/>
      <c r="AY18" s="202"/>
      <c r="AZ18" s="202"/>
    </row>
    <row r="19" spans="2:52" x14ac:dyDescent="0.25">
      <c r="B19" s="202"/>
      <c r="C19" s="211"/>
      <c r="D19" s="214" t="str">
        <f>Parameters!E335</f>
        <v>Offshore – shipping lane</v>
      </c>
      <c r="E19" s="214">
        <f>Parameters!G335</f>
        <v>0</v>
      </c>
      <c r="F19" s="208"/>
      <c r="G19" s="202"/>
      <c r="H19" s="211"/>
      <c r="I19" s="243"/>
      <c r="J19" s="243"/>
      <c r="K19" s="208"/>
      <c r="L19" s="202"/>
      <c r="M19" s="211"/>
      <c r="N19" s="210"/>
      <c r="O19" s="210"/>
      <c r="P19" s="208"/>
      <c r="Q19" s="202"/>
      <c r="R19" s="202"/>
      <c r="S19" s="202"/>
      <c r="T19" s="202"/>
      <c r="U19" s="202"/>
      <c r="V19" s="202"/>
      <c r="W19" s="202"/>
      <c r="X19" s="202"/>
      <c r="Y19" s="202"/>
      <c r="Z19" s="202"/>
      <c r="AA19" s="202"/>
      <c r="AB19" s="202"/>
      <c r="AC19" s="202"/>
      <c r="AD19" s="202"/>
      <c r="AE19" s="202"/>
      <c r="AF19" s="202"/>
      <c r="AG19" s="202"/>
      <c r="AH19" s="202"/>
      <c r="AI19" s="202"/>
      <c r="AJ19" s="202"/>
      <c r="AK19" s="202"/>
      <c r="AL19" s="202"/>
      <c r="AM19" s="202"/>
      <c r="AN19" s="202"/>
      <c r="AO19" s="202"/>
      <c r="AP19" s="202"/>
      <c r="AQ19" s="202"/>
      <c r="AR19" s="202"/>
      <c r="AS19" s="202"/>
      <c r="AT19" s="202"/>
      <c r="AU19" s="202"/>
      <c r="AV19" s="202"/>
      <c r="AW19" s="202"/>
      <c r="AX19" s="202"/>
      <c r="AY19" s="202"/>
      <c r="AZ19" s="202"/>
    </row>
    <row r="20" spans="2:52" x14ac:dyDescent="0.25">
      <c r="B20" s="202"/>
      <c r="C20" s="207"/>
      <c r="D20" s="263"/>
      <c r="E20" s="245"/>
      <c r="F20" s="204"/>
      <c r="G20" s="202"/>
      <c r="H20" s="207"/>
      <c r="I20" s="263"/>
      <c r="J20" s="245"/>
      <c r="K20" s="204"/>
      <c r="L20" s="202"/>
      <c r="M20" s="207"/>
      <c r="N20" s="206"/>
      <c r="O20" s="206"/>
      <c r="P20" s="204"/>
      <c r="Q20" s="202"/>
      <c r="R20" s="202"/>
      <c r="S20" s="202"/>
      <c r="T20" s="202"/>
      <c r="U20" s="202"/>
      <c r="V20" s="202"/>
      <c r="W20" s="202"/>
      <c r="X20" s="202"/>
      <c r="Y20" s="202"/>
      <c r="Z20" s="202"/>
      <c r="AA20" s="202"/>
      <c r="AB20" s="202"/>
      <c r="AC20" s="202"/>
      <c r="AD20" s="202"/>
      <c r="AE20" s="202"/>
      <c r="AF20" s="202"/>
      <c r="AG20" s="202"/>
      <c r="AH20" s="202"/>
      <c r="AI20" s="202"/>
      <c r="AJ20" s="202"/>
      <c r="AK20" s="202"/>
      <c r="AL20" s="202"/>
      <c r="AM20" s="202"/>
      <c r="AN20" s="202"/>
      <c r="AO20" s="202"/>
      <c r="AP20" s="202"/>
      <c r="AQ20" s="202"/>
      <c r="AR20" s="202"/>
      <c r="AS20" s="202"/>
      <c r="AT20" s="202"/>
      <c r="AU20" s="202"/>
      <c r="AV20" s="202"/>
      <c r="AW20" s="202"/>
      <c r="AX20" s="202"/>
      <c r="AY20" s="202"/>
      <c r="AZ20" s="202"/>
    </row>
    <row r="21" spans="2:52" x14ac:dyDescent="0.25">
      <c r="B21" s="202"/>
      <c r="C21" s="202"/>
      <c r="D21" s="202"/>
      <c r="E21" s="202"/>
      <c r="F21" s="202"/>
      <c r="G21" s="202"/>
      <c r="H21" s="202"/>
      <c r="I21" s="202"/>
      <c r="J21" s="202"/>
      <c r="K21" s="202"/>
      <c r="L21" s="202"/>
      <c r="M21" s="202"/>
      <c r="N21" s="202"/>
      <c r="O21" s="202"/>
      <c r="P21" s="202"/>
      <c r="Q21" s="202"/>
      <c r="R21" s="202"/>
      <c r="S21" s="202"/>
      <c r="T21" s="202"/>
      <c r="U21" s="202"/>
      <c r="V21" s="202"/>
      <c r="W21" s="202"/>
      <c r="X21" s="202"/>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c r="AU21" s="202"/>
      <c r="AV21" s="202"/>
      <c r="AW21" s="202"/>
      <c r="AX21" s="202"/>
      <c r="AY21" s="202"/>
      <c r="AZ21" s="202"/>
    </row>
    <row r="22" spans="2:52" x14ac:dyDescent="0.25">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c r="Z22" s="202"/>
      <c r="AA22" s="202"/>
      <c r="AB22" s="202"/>
      <c r="AC22" s="202"/>
      <c r="AD22" s="202"/>
      <c r="AE22" s="202"/>
      <c r="AF22" s="202"/>
      <c r="AG22" s="202"/>
      <c r="AH22" s="202"/>
      <c r="AI22" s="202"/>
      <c r="AJ22" s="202"/>
      <c r="AK22" s="202"/>
      <c r="AL22" s="202"/>
      <c r="AM22" s="202"/>
      <c r="AN22" s="202"/>
      <c r="AO22" s="202"/>
      <c r="AP22" s="202"/>
      <c r="AQ22" s="202"/>
      <c r="AR22" s="202"/>
      <c r="AS22" s="202"/>
      <c r="AT22" s="202"/>
      <c r="AU22" s="202"/>
      <c r="AV22" s="202"/>
      <c r="AW22" s="202"/>
      <c r="AX22" s="202"/>
      <c r="AY22" s="202"/>
      <c r="AZ22" s="202"/>
    </row>
    <row r="23" spans="2:52" ht="21" x14ac:dyDescent="0.35">
      <c r="B23" s="231"/>
      <c r="C23" s="231" t="s">
        <v>572</v>
      </c>
      <c r="D23" s="202"/>
      <c r="E23" s="202"/>
      <c r="F23" s="202"/>
      <c r="G23" s="202"/>
      <c r="H23" s="202"/>
      <c r="I23" s="202"/>
      <c r="J23" s="202"/>
      <c r="K23" s="202"/>
      <c r="L23" s="202"/>
      <c r="M23" s="202"/>
      <c r="N23" s="202"/>
      <c r="O23" s="202"/>
      <c r="P23" s="202"/>
      <c r="Q23" s="202"/>
      <c r="R23" s="202"/>
      <c r="S23" s="202"/>
      <c r="T23" s="202"/>
      <c r="U23" s="202"/>
      <c r="V23" s="202"/>
      <c r="W23" s="202"/>
      <c r="X23" s="202"/>
      <c r="Y23" s="202"/>
      <c r="Z23" s="202"/>
      <c r="AA23" s="202"/>
      <c r="AB23" s="202"/>
      <c r="AC23" s="202"/>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2"/>
      <c r="AZ23" s="202"/>
    </row>
    <row r="24" spans="2:52" x14ac:dyDescent="0.25">
      <c r="B24" s="202"/>
      <c r="C24" s="202"/>
      <c r="D24" s="202"/>
      <c r="E24" s="202"/>
      <c r="F24" s="202"/>
      <c r="G24" s="202"/>
      <c r="H24" s="202"/>
      <c r="I24" s="202"/>
      <c r="J24" s="202"/>
      <c r="K24" s="202"/>
      <c r="L24" s="202"/>
      <c r="M24" s="202"/>
      <c r="N24" s="202"/>
      <c r="O24" s="202"/>
      <c r="P24" s="202"/>
      <c r="Q24" s="202"/>
      <c r="R24" s="202"/>
      <c r="S24" s="202"/>
      <c r="T24" s="202"/>
      <c r="U24" s="202"/>
      <c r="V24" s="202"/>
      <c r="W24" s="202"/>
      <c r="X24" s="202"/>
      <c r="Y24" s="202"/>
      <c r="Z24" s="202"/>
      <c r="AA24" s="202"/>
      <c r="AB24" s="202"/>
      <c r="AC24" s="202"/>
      <c r="AD24" s="202"/>
      <c r="AE24" s="202"/>
      <c r="AF24" s="202"/>
      <c r="AG24" s="202"/>
      <c r="AH24" s="202"/>
      <c r="AI24" s="202"/>
      <c r="AJ24" s="202"/>
      <c r="AK24" s="202"/>
      <c r="AL24" s="202"/>
      <c r="AM24" s="202"/>
      <c r="AN24" s="202"/>
      <c r="AO24" s="202"/>
      <c r="AP24" s="202"/>
      <c r="AQ24" s="202"/>
      <c r="AR24" s="202"/>
      <c r="AS24" s="202"/>
      <c r="AT24" s="202"/>
      <c r="AU24" s="202"/>
      <c r="AV24" s="202"/>
      <c r="AW24" s="202"/>
      <c r="AX24" s="202"/>
      <c r="AY24" s="202"/>
      <c r="AZ24" s="202"/>
    </row>
    <row r="25" spans="2:52" x14ac:dyDescent="0.25">
      <c r="B25" s="229"/>
      <c r="C25" s="228" t="s">
        <v>571</v>
      </c>
      <c r="D25" s="227"/>
      <c r="E25" s="227"/>
      <c r="F25" s="226"/>
      <c r="G25" s="202"/>
      <c r="H25" s="228" t="s">
        <v>569</v>
      </c>
      <c r="I25" s="227"/>
      <c r="J25" s="227"/>
      <c r="K25" s="226"/>
      <c r="L25" s="202"/>
      <c r="M25" s="228" t="s">
        <v>1487</v>
      </c>
      <c r="N25" s="227"/>
      <c r="O25" s="227"/>
      <c r="P25" s="226"/>
      <c r="Q25" s="202"/>
      <c r="R25" s="228" t="s">
        <v>569</v>
      </c>
      <c r="S25" s="227"/>
      <c r="T25" s="227"/>
      <c r="U25" s="226"/>
      <c r="V25" s="202"/>
      <c r="W25" s="228" t="s">
        <v>568</v>
      </c>
      <c r="X25" s="227"/>
      <c r="Y25" s="227"/>
      <c r="Z25" s="226"/>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row>
    <row r="26" spans="2:52" x14ac:dyDescent="0.25">
      <c r="B26" s="202"/>
      <c r="C26" s="202"/>
      <c r="D26" s="202"/>
      <c r="E26" s="202"/>
      <c r="F26" s="202"/>
      <c r="G26" s="202"/>
      <c r="H26" s="202"/>
      <c r="I26" s="202"/>
      <c r="J26" s="202"/>
      <c r="K26" s="202"/>
      <c r="L26" s="202"/>
      <c r="M26" s="202"/>
      <c r="N26" s="202"/>
      <c r="O26" s="202"/>
      <c r="P26" s="202"/>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U26" s="202"/>
      <c r="AV26" s="202"/>
      <c r="AW26" s="202"/>
      <c r="AX26" s="202"/>
      <c r="AY26" s="202"/>
      <c r="AZ26" s="202"/>
    </row>
    <row r="27" spans="2:52" x14ac:dyDescent="0.25">
      <c r="B27" s="202"/>
      <c r="C27" s="249" t="str">
        <f>'H2 COMPRESSION S'!M23</f>
        <v>Hydrogen compressed</v>
      </c>
      <c r="D27" s="224"/>
      <c r="E27" s="224"/>
      <c r="F27" s="223"/>
      <c r="G27" s="202"/>
      <c r="H27" s="225"/>
      <c r="I27" s="224"/>
      <c r="J27" s="224"/>
      <c r="K27" s="223"/>
      <c r="L27" s="202"/>
      <c r="M27" s="225" t="s">
        <v>584</v>
      </c>
      <c r="N27" s="224"/>
      <c r="O27" s="224"/>
      <c r="P27" s="223"/>
      <c r="Q27" s="202"/>
      <c r="R27" s="225" t="s">
        <v>1488</v>
      </c>
      <c r="S27" s="224"/>
      <c r="T27" s="224"/>
      <c r="U27" s="223"/>
      <c r="V27" s="202"/>
      <c r="W27" s="225" t="s">
        <v>584</v>
      </c>
      <c r="X27" s="224"/>
      <c r="Y27" s="224"/>
      <c r="Z27" s="223"/>
      <c r="AA27" s="202"/>
      <c r="AB27" s="202"/>
      <c r="AC27" s="202"/>
      <c r="AD27" s="202"/>
      <c r="AE27" s="202"/>
      <c r="AF27" s="202"/>
      <c r="AG27" s="202"/>
      <c r="AH27" s="202"/>
      <c r="AI27" s="202"/>
      <c r="AJ27" s="202"/>
      <c r="AK27" s="202"/>
      <c r="AL27" s="202"/>
      <c r="AM27" s="202"/>
      <c r="AN27" s="202"/>
      <c r="AO27" s="202"/>
      <c r="AP27" s="202"/>
      <c r="AQ27" s="202"/>
      <c r="AR27" s="202"/>
      <c r="AS27" s="202"/>
      <c r="AT27" s="202"/>
      <c r="AU27" s="202"/>
      <c r="AV27" s="202"/>
      <c r="AW27" s="202"/>
      <c r="AX27" s="202"/>
      <c r="AY27" s="202"/>
      <c r="AZ27" s="202"/>
    </row>
    <row r="28" spans="2:52" x14ac:dyDescent="0.25">
      <c r="B28" s="202"/>
      <c r="C28" s="211" t="str">
        <f>'H2 COMPRESSION S'!M26</f>
        <v>Hydrogen compressed</v>
      </c>
      <c r="D28" s="297">
        <f>'H2 COMPRESSION S'!N26</f>
        <v>711524.09210367501</v>
      </c>
      <c r="E28" s="210" t="str">
        <f>'H2 COMPRESSION S'!O26</f>
        <v>kg/a</v>
      </c>
      <c r="F28" s="208"/>
      <c r="G28" s="202"/>
      <c r="H28" s="211"/>
      <c r="I28" s="219"/>
      <c r="J28" s="262"/>
      <c r="K28" s="208"/>
      <c r="L28" s="202"/>
      <c r="M28" s="211"/>
      <c r="N28" s="210"/>
      <c r="O28" s="210"/>
      <c r="P28" s="208"/>
      <c r="Q28" s="202"/>
      <c r="R28" s="211"/>
      <c r="S28" s="219"/>
      <c r="T28" s="262"/>
      <c r="U28" s="208"/>
      <c r="V28" s="202"/>
      <c r="W28" s="211"/>
      <c r="X28" s="210"/>
      <c r="Y28" s="210"/>
      <c r="Z28" s="208"/>
      <c r="AA28" s="202"/>
      <c r="AB28" s="202"/>
      <c r="AC28" s="202"/>
      <c r="AD28" s="202"/>
      <c r="AE28" s="202"/>
      <c r="AF28" s="202"/>
      <c r="AG28" s="202"/>
      <c r="AH28" s="202"/>
      <c r="AI28" s="202"/>
      <c r="AJ28" s="202"/>
      <c r="AK28" s="202"/>
      <c r="AL28" s="202"/>
      <c r="AM28" s="202"/>
      <c r="AN28" s="202"/>
      <c r="AO28" s="202"/>
      <c r="AP28" s="202"/>
      <c r="AQ28" s="202"/>
      <c r="AR28" s="202"/>
      <c r="AS28" s="202"/>
      <c r="AT28" s="202"/>
      <c r="AU28" s="202"/>
      <c r="AV28" s="202"/>
      <c r="AW28" s="202"/>
      <c r="AX28" s="202"/>
      <c r="AY28" s="202"/>
      <c r="AZ28" s="202"/>
    </row>
    <row r="29" spans="2:52" x14ac:dyDescent="0.25">
      <c r="B29" s="202"/>
      <c r="C29" s="211"/>
      <c r="D29" s="210"/>
      <c r="E29" s="241"/>
      <c r="F29" s="208"/>
      <c r="G29" s="202"/>
      <c r="H29" s="211"/>
      <c r="I29" s="214" t="str">
        <f>D6</f>
        <v>Distance hub to shore</v>
      </c>
      <c r="J29" s="416">
        <f>E6</f>
        <v>40</v>
      </c>
      <c r="K29" s="208" t="str">
        <f>F6</f>
        <v>km</v>
      </c>
      <c r="L29" s="202"/>
      <c r="M29" s="211"/>
      <c r="N29" s="214" t="str">
        <f>Parameters!E352</f>
        <v>Hydrogen transported</v>
      </c>
      <c r="O29" s="416">
        <f>D28*(1-$J$30)</f>
        <v>704408.8511826382</v>
      </c>
      <c r="P29" s="208" t="str">
        <f>Parameters!F352</f>
        <v>kg / a</v>
      </c>
      <c r="Q29" s="202"/>
      <c r="R29" s="1037" t="str">
        <f>I12</f>
        <v>Hydrogen recovery factor separation (admix)</v>
      </c>
      <c r="S29" s="220">
        <f>IF($F$4="existing",J12,IF($F$4="new",100%,"Add new Scenario"))</f>
        <v>0.8</v>
      </c>
      <c r="T29" s="416"/>
      <c r="U29" s="208"/>
      <c r="V29" s="202"/>
      <c r="W29" s="211"/>
      <c r="X29" s="214" t="str">
        <f>N29</f>
        <v>Hydrogen transported</v>
      </c>
      <c r="Y29" s="416">
        <f>O29*S29</f>
        <v>563527.08094611054</v>
      </c>
      <c r="Z29" s="208" t="str">
        <f>P29</f>
        <v>kg / a</v>
      </c>
      <c r="AA29" s="202"/>
      <c r="AB29" s="202"/>
      <c r="AC29" s="202"/>
      <c r="AD29" s="202"/>
      <c r="AE29" s="202"/>
      <c r="AF29" s="202"/>
      <c r="AG29" s="202"/>
      <c r="AH29" s="202"/>
      <c r="AI29" s="202"/>
      <c r="AJ29" s="202"/>
      <c r="AK29" s="202"/>
      <c r="AL29" s="202"/>
      <c r="AM29" s="202"/>
      <c r="AN29" s="202"/>
      <c r="AO29" s="202"/>
      <c r="AP29" s="202"/>
      <c r="AQ29" s="202"/>
      <c r="AR29" s="202"/>
      <c r="AS29" s="202"/>
      <c r="AT29" s="202"/>
      <c r="AU29" s="202"/>
      <c r="AV29" s="202"/>
      <c r="AW29" s="202"/>
      <c r="AX29" s="202"/>
      <c r="AY29" s="202"/>
      <c r="AZ29" s="202"/>
    </row>
    <row r="30" spans="2:52" x14ac:dyDescent="0.25">
      <c r="B30" s="202"/>
      <c r="C30" s="211"/>
      <c r="D30" s="210"/>
      <c r="E30" s="241"/>
      <c r="F30" s="208"/>
      <c r="G30" s="202"/>
      <c r="H30" s="211"/>
      <c r="I30" s="214" t="str">
        <f>D7</f>
        <v>Pipeline losses (existing pipeline)</v>
      </c>
      <c r="J30" s="261">
        <f>E7</f>
        <v>0.01</v>
      </c>
      <c r="K30" s="208"/>
      <c r="L30" s="202"/>
      <c r="M30" s="211"/>
      <c r="N30" s="210"/>
      <c r="O30" s="416"/>
      <c r="P30" s="208"/>
      <c r="Q30" s="202"/>
      <c r="R30" s="211"/>
      <c r="S30" s="214"/>
      <c r="T30" s="261"/>
      <c r="U30" s="208"/>
      <c r="V30" s="202"/>
      <c r="W30" s="211"/>
      <c r="X30" s="210"/>
      <c r="Y30" s="416"/>
      <c r="Z30" s="208"/>
      <c r="AA30" s="202"/>
      <c r="AB30" s="202"/>
      <c r="AC30" s="202"/>
      <c r="AD30" s="202"/>
      <c r="AE30" s="202"/>
      <c r="AF30" s="202"/>
      <c r="AG30" s="202"/>
      <c r="AH30" s="202"/>
      <c r="AI30" s="202"/>
      <c r="AJ30" s="202"/>
      <c r="AK30" s="202"/>
      <c r="AL30" s="202"/>
      <c r="AM30" s="202"/>
      <c r="AN30" s="202"/>
      <c r="AO30" s="202"/>
      <c r="AP30" s="202"/>
      <c r="AQ30" s="202"/>
      <c r="AR30" s="202"/>
      <c r="AS30" s="202"/>
      <c r="AT30" s="202"/>
      <c r="AU30" s="202"/>
      <c r="AV30" s="202"/>
      <c r="AW30" s="202"/>
      <c r="AX30" s="202"/>
      <c r="AY30" s="202"/>
      <c r="AZ30" s="202"/>
    </row>
    <row r="31" spans="2:52" x14ac:dyDescent="0.25">
      <c r="B31" s="202"/>
      <c r="C31" s="207"/>
      <c r="D31" s="206"/>
      <c r="E31" s="245"/>
      <c r="F31" s="204"/>
      <c r="G31" s="202"/>
      <c r="H31" s="207"/>
      <c r="I31" s="206"/>
      <c r="J31" s="245"/>
      <c r="K31" s="204"/>
      <c r="L31" s="202"/>
      <c r="M31" s="207"/>
      <c r="N31" s="206"/>
      <c r="O31" s="205"/>
      <c r="P31" s="204"/>
      <c r="Q31" s="202"/>
      <c r="R31" s="207"/>
      <c r="S31" s="206"/>
      <c r="T31" s="245"/>
      <c r="U31" s="204"/>
      <c r="V31" s="202"/>
      <c r="W31" s="207"/>
      <c r="X31" s="206"/>
      <c r="Y31" s="205"/>
      <c r="Z31" s="204"/>
      <c r="AA31" s="202"/>
      <c r="AB31" s="202"/>
      <c r="AC31" s="202"/>
      <c r="AD31" s="202"/>
      <c r="AE31" s="202"/>
      <c r="AF31" s="202"/>
      <c r="AG31" s="202"/>
      <c r="AH31" s="202"/>
      <c r="AI31" s="202"/>
      <c r="AJ31" s="202"/>
      <c r="AK31" s="202"/>
      <c r="AL31" s="202"/>
      <c r="AM31" s="202"/>
      <c r="AN31" s="202"/>
      <c r="AO31" s="202"/>
      <c r="AP31" s="202"/>
      <c r="AQ31" s="202"/>
      <c r="AR31" s="202"/>
      <c r="AS31" s="202"/>
      <c r="AT31" s="202"/>
      <c r="AU31" s="202"/>
      <c r="AV31" s="202"/>
      <c r="AW31" s="202"/>
      <c r="AX31" s="202"/>
      <c r="AY31" s="202"/>
      <c r="AZ31" s="202"/>
    </row>
    <row r="32" spans="2:52" x14ac:dyDescent="0.25">
      <c r="B32" s="202"/>
      <c r="C32" s="202"/>
      <c r="D32" s="202"/>
      <c r="E32" s="202"/>
      <c r="F32" s="202"/>
      <c r="G32" s="202"/>
      <c r="H32" s="202"/>
      <c r="I32" s="202"/>
      <c r="J32" s="202"/>
      <c r="K32" s="202"/>
      <c r="L32" s="202"/>
      <c r="M32" s="202"/>
      <c r="N32" s="202"/>
      <c r="O32" s="202"/>
      <c r="P32" s="202"/>
      <c r="Q32" s="202"/>
      <c r="R32" s="202"/>
      <c r="S32" s="202"/>
      <c r="T32" s="202"/>
      <c r="U32" s="202"/>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c r="AU32" s="202"/>
      <c r="AV32" s="202"/>
      <c r="AW32" s="202"/>
      <c r="AX32" s="202"/>
      <c r="AY32" s="202"/>
      <c r="AZ32" s="202"/>
    </row>
    <row r="33" spans="2:52" x14ac:dyDescent="0.25">
      <c r="B33" s="202"/>
      <c r="C33" s="202"/>
      <c r="D33" s="202"/>
      <c r="E33" s="202"/>
      <c r="F33" s="202"/>
      <c r="G33" s="202"/>
      <c r="H33" s="202"/>
      <c r="I33" s="202"/>
      <c r="J33" s="202"/>
      <c r="K33" s="202"/>
      <c r="L33" s="202"/>
      <c r="M33" s="202"/>
      <c r="N33" s="202"/>
      <c r="O33" s="202"/>
      <c r="P33" s="202"/>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row>
    <row r="34" spans="2:52" ht="21" x14ac:dyDescent="0.35">
      <c r="B34" s="202"/>
      <c r="C34" s="231" t="s">
        <v>877</v>
      </c>
      <c r="D34" s="202"/>
      <c r="E34" s="202"/>
      <c r="F34" s="202"/>
      <c r="G34" s="202"/>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row>
    <row r="35" spans="2:52" x14ac:dyDescent="0.25">
      <c r="B35" s="202"/>
      <c r="C35" s="202"/>
      <c r="D35" s="202"/>
      <c r="E35" s="202"/>
      <c r="F35" s="202"/>
      <c r="G35" s="202"/>
      <c r="H35" s="202"/>
      <c r="I35" s="202"/>
      <c r="J35" s="202"/>
      <c r="K35" s="202"/>
      <c r="L35" s="202"/>
      <c r="M35" s="202"/>
      <c r="N35" s="202"/>
      <c r="O35" s="202"/>
      <c r="P35" s="202"/>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row>
    <row r="36" spans="2:52" x14ac:dyDescent="0.25">
      <c r="B36" s="202"/>
      <c r="C36" s="202"/>
      <c r="D36" s="202"/>
      <c r="E36" s="202"/>
      <c r="F36" s="202"/>
      <c r="G36" s="202"/>
      <c r="H36" s="202"/>
      <c r="I36" s="202"/>
      <c r="J36" s="202"/>
      <c r="K36" s="202"/>
      <c r="L36" s="202"/>
      <c r="M36" s="202"/>
      <c r="N36" s="202"/>
      <c r="O36" s="202"/>
      <c r="P36" s="202"/>
      <c r="Q36" s="202"/>
      <c r="R36" s="202"/>
      <c r="S36" s="202"/>
      <c r="T36" s="202"/>
      <c r="U36" s="202"/>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AX36" s="202"/>
      <c r="AY36" s="202"/>
      <c r="AZ36" s="202"/>
    </row>
    <row r="37" spans="2:52" x14ac:dyDescent="0.25">
      <c r="B37" s="202"/>
      <c r="C37" s="228" t="s">
        <v>878</v>
      </c>
      <c r="D37" s="227"/>
      <c r="E37" s="227"/>
      <c r="F37" s="226"/>
      <c r="G37" s="202"/>
      <c r="H37" s="228" t="s">
        <v>9</v>
      </c>
      <c r="I37" s="227"/>
      <c r="J37" s="227"/>
      <c r="K37" s="226"/>
      <c r="L37" s="202"/>
      <c r="M37" s="202"/>
      <c r="N37" s="202"/>
      <c r="O37" s="202"/>
      <c r="P37" s="202"/>
      <c r="Q37" s="202"/>
      <c r="R37" s="202"/>
      <c r="S37" s="202"/>
      <c r="T37" s="202"/>
      <c r="U37" s="202"/>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row>
    <row r="38" spans="2:52" x14ac:dyDescent="0.25">
      <c r="B38" s="202"/>
      <c r="C38" s="202"/>
      <c r="D38" s="202"/>
      <c r="E38" s="202"/>
      <c r="F38" s="202"/>
      <c r="G38" s="202"/>
      <c r="H38" s="202"/>
      <c r="I38" s="202"/>
      <c r="J38" s="202"/>
      <c r="K38" s="202"/>
      <c r="L38" s="202"/>
      <c r="M38" s="202"/>
      <c r="N38" s="202"/>
      <c r="O38" s="202"/>
      <c r="P38" s="202"/>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row>
    <row r="39" spans="2:52" ht="18" x14ac:dyDescent="0.35">
      <c r="B39" s="202"/>
      <c r="C39" s="411" t="str">
        <f>Parameters!E350</f>
        <v>Capex existing pipeline</v>
      </c>
      <c r="D39" s="424">
        <f>IF($F$4="new",Parameters!G326,0)</f>
        <v>0</v>
      </c>
      <c r="E39" s="425" t="s">
        <v>587</v>
      </c>
      <c r="F39" s="223"/>
      <c r="G39" s="202"/>
      <c r="H39" s="411" t="str">
        <f>C39</f>
        <v>Capex existing pipeline</v>
      </c>
      <c r="I39" s="426">
        <f>D39*E6</f>
        <v>0</v>
      </c>
      <c r="J39" s="425" t="s">
        <v>880</v>
      </c>
      <c r="K39" s="223"/>
      <c r="L39" s="202"/>
      <c r="M39" s="202"/>
      <c r="N39" s="202"/>
      <c r="O39" s="202"/>
      <c r="P39" s="202"/>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row>
    <row r="40" spans="2:52" x14ac:dyDescent="0.25">
      <c r="B40" s="202"/>
      <c r="C40" s="211" t="str">
        <f>Parameters!E351</f>
        <v>Opex existing pipeline</v>
      </c>
      <c r="D40" s="302">
        <f>Parameters!G328</f>
        <v>0.02</v>
      </c>
      <c r="E40" s="210"/>
      <c r="F40" s="208"/>
      <c r="G40" s="202"/>
      <c r="H40" s="211" t="str">
        <f>C40</f>
        <v>Opex existing pipeline</v>
      </c>
      <c r="I40" s="297">
        <f>I39*D40</f>
        <v>0</v>
      </c>
      <c r="J40" s="210" t="s">
        <v>862</v>
      </c>
      <c r="K40" s="208"/>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row>
    <row r="41" spans="2:52" x14ac:dyDescent="0.25">
      <c r="B41" s="202"/>
      <c r="C41" s="211" t="str">
        <f>Parameters!E327</f>
        <v>Opex existing pipeline</v>
      </c>
      <c r="D41" s="296">
        <f>Parameters!G326*E6*D40</f>
        <v>475912.4294622835</v>
      </c>
      <c r="E41" s="241" t="str">
        <f>Parameters!F448</f>
        <v>EUR/a</v>
      </c>
      <c r="F41" s="208"/>
      <c r="G41" s="202"/>
      <c r="H41" s="211" t="str">
        <f>C41</f>
        <v>Opex existing pipeline</v>
      </c>
      <c r="I41" s="297">
        <f>D41</f>
        <v>475912.4294622835</v>
      </c>
      <c r="J41" s="241" t="str">
        <f t="shared" ref="J41" si="2">E41</f>
        <v>EUR/a</v>
      </c>
      <c r="K41" s="208"/>
      <c r="L41" s="202"/>
      <c r="M41" s="202"/>
      <c r="N41" s="202"/>
      <c r="O41" s="202"/>
      <c r="P41" s="202"/>
      <c r="Q41" s="202"/>
      <c r="R41" s="202"/>
      <c r="S41" s="202"/>
      <c r="T41" s="202"/>
      <c r="U41" s="202"/>
      <c r="V41" s="202"/>
      <c r="W41" s="202"/>
      <c r="X41" s="202"/>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c r="AU41" s="202"/>
      <c r="AV41" s="202"/>
      <c r="AW41" s="202"/>
      <c r="AX41" s="202"/>
      <c r="AY41" s="202"/>
      <c r="AZ41" s="202"/>
    </row>
    <row r="42" spans="2:52" x14ac:dyDescent="0.25">
      <c r="B42" s="202"/>
      <c r="C42" s="211"/>
      <c r="D42" s="296"/>
      <c r="E42" s="241"/>
      <c r="F42" s="208"/>
      <c r="G42" s="202"/>
      <c r="H42" s="211"/>
      <c r="I42" s="297"/>
      <c r="J42" s="241"/>
      <c r="K42" s="208"/>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c r="AU42" s="202"/>
      <c r="AV42" s="202"/>
      <c r="AW42" s="202"/>
      <c r="AX42" s="202"/>
      <c r="AY42" s="202"/>
      <c r="AZ42" s="202"/>
    </row>
    <row r="43" spans="2:52" x14ac:dyDescent="0.25">
      <c r="B43" s="202"/>
      <c r="C43" s="211" t="str">
        <f>Parameters!E343</f>
        <v>Relative cost of hydrogen separation (admix)</v>
      </c>
      <c r="D43" s="296">
        <f>IF($F$4="existing",Parameters!$G$343,IF($F$4="new",0,"Add new Scenario"))</f>
        <v>0.24179369590079999</v>
      </c>
      <c r="E43" s="241" t="str">
        <f>Parameters!F343</f>
        <v>EUR/kg H2</v>
      </c>
      <c r="F43" s="208"/>
      <c r="G43" s="202"/>
      <c r="H43" s="211" t="str">
        <f>Parameters!E353</f>
        <v>Cost of hydrogen extraction (admix)</v>
      </c>
      <c r="I43" s="297">
        <f>D43*Y29</f>
        <v>136257.29564214934</v>
      </c>
      <c r="J43" s="241" t="str">
        <f>Parameters!F353</f>
        <v>EUR/a</v>
      </c>
      <c r="K43" s="208"/>
      <c r="L43" s="202"/>
      <c r="M43" s="202"/>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row>
    <row r="44" spans="2:52" x14ac:dyDescent="0.25">
      <c r="B44" s="202"/>
      <c r="C44" s="211"/>
      <c r="D44" s="297"/>
      <c r="E44" s="241"/>
      <c r="F44" s="208"/>
      <c r="G44" s="202"/>
      <c r="H44" s="211"/>
      <c r="I44" s="297"/>
      <c r="J44" s="241"/>
      <c r="K44" s="208"/>
      <c r="L44" s="202"/>
      <c r="M44" s="202"/>
      <c r="N44" s="202"/>
      <c r="O44" s="202"/>
      <c r="P44" s="202"/>
      <c r="Q44" s="202"/>
      <c r="R44" s="202"/>
      <c r="S44" s="202"/>
      <c r="T44" s="202"/>
      <c r="U44" s="202"/>
      <c r="V44" s="202"/>
      <c r="W44" s="202"/>
      <c r="X44" s="202"/>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row>
    <row r="45" spans="2:52" x14ac:dyDescent="0.25">
      <c r="B45" s="202"/>
      <c r="C45" s="211" t="str">
        <f>Parameters!E336</f>
        <v>Costs trenching to beach</v>
      </c>
      <c r="D45" s="297">
        <f>Parameters!G336</f>
        <v>7000000</v>
      </c>
      <c r="E45" s="241" t="str">
        <f>Parameters!F336</f>
        <v>EUR / crossing</v>
      </c>
      <c r="F45" s="208"/>
      <c r="G45" s="202"/>
      <c r="H45" s="211" t="str">
        <f>C45</f>
        <v>Costs trenching to beach</v>
      </c>
      <c r="I45" s="297">
        <f t="shared" ref="I45:I51" si="3">D45*E13</f>
        <v>0</v>
      </c>
      <c r="J45" s="241" t="s">
        <v>562</v>
      </c>
      <c r="K45" s="208"/>
      <c r="L45" s="202"/>
      <c r="M45" s="202"/>
      <c r="N45" s="202"/>
      <c r="O45" s="202"/>
      <c r="P45" s="202"/>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row>
    <row r="46" spans="2:52" x14ac:dyDescent="0.25">
      <c r="B46" s="202"/>
      <c r="C46" s="211" t="str">
        <f>Parameters!E337</f>
        <v>Costs onshore - road</v>
      </c>
      <c r="D46" s="297">
        <f>Parameters!G337</f>
        <v>4000000</v>
      </c>
      <c r="E46" s="241" t="str">
        <f>Parameters!F337</f>
        <v>EUR / crossing</v>
      </c>
      <c r="F46" s="208"/>
      <c r="G46" s="202"/>
      <c r="H46" s="211" t="str">
        <f t="shared" ref="H46:H51" si="4">C46</f>
        <v>Costs onshore - road</v>
      </c>
      <c r="I46" s="297">
        <f t="shared" si="3"/>
        <v>0</v>
      </c>
      <c r="J46" s="241" t="s">
        <v>562</v>
      </c>
      <c r="K46" s="208"/>
      <c r="L46" s="202"/>
      <c r="M46" s="202"/>
      <c r="N46" s="202"/>
      <c r="O46" s="202"/>
      <c r="P46" s="202"/>
      <c r="Q46" s="202"/>
      <c r="R46" s="202"/>
      <c r="S46" s="202"/>
      <c r="T46" s="202"/>
      <c r="U46" s="202"/>
      <c r="V46" s="202"/>
      <c r="W46" s="202"/>
      <c r="X46" s="202"/>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row>
    <row r="47" spans="2:52" x14ac:dyDescent="0.25">
      <c r="B47" s="202"/>
      <c r="C47" s="211" t="str">
        <f>Parameters!E338</f>
        <v>Costs onshore - pipeline</v>
      </c>
      <c r="D47" s="297">
        <f>Parameters!G338</f>
        <v>4000000</v>
      </c>
      <c r="E47" s="241" t="str">
        <f>Parameters!F338</f>
        <v>EUR / crossing</v>
      </c>
      <c r="F47" s="208"/>
      <c r="G47" s="202"/>
      <c r="H47" s="211" t="str">
        <f t="shared" si="4"/>
        <v>Costs onshore - pipeline</v>
      </c>
      <c r="I47" s="297">
        <f t="shared" si="3"/>
        <v>0</v>
      </c>
      <c r="J47" s="241" t="s">
        <v>562</v>
      </c>
      <c r="K47" s="208"/>
      <c r="L47" s="202"/>
      <c r="M47" s="202"/>
      <c r="N47" s="202"/>
      <c r="O47" s="202"/>
      <c r="P47" s="202"/>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2"/>
      <c r="AZ47" s="202"/>
    </row>
    <row r="48" spans="2:52" x14ac:dyDescent="0.25">
      <c r="B48" s="202"/>
      <c r="C48" s="211" t="str">
        <f>Parameters!E339</f>
        <v>Costs onshore - other</v>
      </c>
      <c r="D48" s="297">
        <f>Parameters!G339</f>
        <v>4000000</v>
      </c>
      <c r="E48" s="241" t="str">
        <f>Parameters!F339</f>
        <v>EUR / crossing</v>
      </c>
      <c r="F48" s="208"/>
      <c r="G48" s="202"/>
      <c r="H48" s="211" t="str">
        <f t="shared" si="4"/>
        <v>Costs onshore - other</v>
      </c>
      <c r="I48" s="297">
        <f t="shared" si="3"/>
        <v>0</v>
      </c>
      <c r="J48" s="241" t="s">
        <v>562</v>
      </c>
      <c r="K48" s="208"/>
      <c r="L48" s="202"/>
      <c r="M48" s="202"/>
      <c r="N48" s="202"/>
      <c r="O48" s="202"/>
      <c r="P48" s="202"/>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row>
    <row r="49" spans="2:52" x14ac:dyDescent="0.25">
      <c r="B49" s="202"/>
      <c r="C49" s="211" t="str">
        <f>Parameters!E340</f>
        <v>Costs offshore - pipeline</v>
      </c>
      <c r="D49" s="297">
        <f>Parameters!G340</f>
        <v>6000000</v>
      </c>
      <c r="E49" s="241" t="str">
        <f>Parameters!F340</f>
        <v>EUR / crossing</v>
      </c>
      <c r="F49" s="208"/>
      <c r="G49" s="202"/>
      <c r="H49" s="211" t="str">
        <f t="shared" si="4"/>
        <v>Costs offshore - pipeline</v>
      </c>
      <c r="I49" s="297">
        <f t="shared" si="3"/>
        <v>0</v>
      </c>
      <c r="J49" s="241" t="s">
        <v>562</v>
      </c>
      <c r="K49" s="208"/>
      <c r="L49" s="202"/>
      <c r="M49" s="202"/>
      <c r="N49" s="202"/>
      <c r="O49" s="202"/>
      <c r="P49" s="202"/>
      <c r="Q49" s="202"/>
      <c r="R49" s="202"/>
      <c r="S49" s="202"/>
      <c r="T49" s="202"/>
      <c r="U49" s="202"/>
      <c r="V49" s="202"/>
      <c r="W49" s="202"/>
      <c r="X49" s="202"/>
      <c r="Y49" s="202"/>
      <c r="Z49" s="202"/>
      <c r="AA49" s="202"/>
      <c r="AB49" s="202"/>
      <c r="AC49" s="202"/>
      <c r="AD49" s="202"/>
      <c r="AE49" s="202"/>
      <c r="AF49" s="202"/>
      <c r="AG49" s="202"/>
      <c r="AH49" s="202"/>
      <c r="AI49" s="202"/>
      <c r="AJ49" s="202"/>
      <c r="AK49" s="202"/>
      <c r="AL49" s="202"/>
      <c r="AM49" s="202"/>
      <c r="AN49" s="202"/>
      <c r="AO49" s="202"/>
      <c r="AP49" s="202"/>
      <c r="AQ49" s="202"/>
      <c r="AR49" s="202"/>
      <c r="AS49" s="202"/>
      <c r="AT49" s="202"/>
      <c r="AU49" s="202"/>
      <c r="AV49" s="202"/>
      <c r="AW49" s="202"/>
      <c r="AX49" s="202"/>
      <c r="AY49" s="202"/>
      <c r="AZ49" s="202"/>
    </row>
    <row r="50" spans="2:52" x14ac:dyDescent="0.25">
      <c r="B50" s="202"/>
      <c r="C50" s="211" t="str">
        <f>Parameters!E341</f>
        <v>Costs submarine cables</v>
      </c>
      <c r="D50" s="297">
        <f>Parameters!G341</f>
        <v>6000000</v>
      </c>
      <c r="E50" s="241" t="str">
        <f>Parameters!F341</f>
        <v>EUR / crossing</v>
      </c>
      <c r="F50" s="208"/>
      <c r="G50" s="202"/>
      <c r="H50" s="211" t="str">
        <f t="shared" si="4"/>
        <v>Costs submarine cables</v>
      </c>
      <c r="I50" s="297">
        <f t="shared" si="3"/>
        <v>0</v>
      </c>
      <c r="J50" s="241" t="s">
        <v>562</v>
      </c>
      <c r="K50" s="208"/>
      <c r="L50" s="202"/>
      <c r="M50" s="202"/>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c r="AU50" s="202"/>
      <c r="AV50" s="202"/>
      <c r="AW50" s="202"/>
      <c r="AX50" s="202"/>
      <c r="AY50" s="202"/>
      <c r="AZ50" s="202"/>
    </row>
    <row r="51" spans="2:52" x14ac:dyDescent="0.25">
      <c r="B51" s="202"/>
      <c r="C51" s="211" t="str">
        <f>Parameters!E342</f>
        <v>Costs offshore – shipping lane</v>
      </c>
      <c r="D51" s="297">
        <f>Parameters!G342</f>
        <v>11000000</v>
      </c>
      <c r="E51" s="241" t="str">
        <f>Parameters!F342</f>
        <v>EUR / crossing</v>
      </c>
      <c r="F51" s="208"/>
      <c r="G51" s="202"/>
      <c r="H51" s="211" t="str">
        <f t="shared" si="4"/>
        <v>Costs offshore – shipping lane</v>
      </c>
      <c r="I51" s="297">
        <f t="shared" si="3"/>
        <v>0</v>
      </c>
      <c r="J51" s="241" t="s">
        <v>562</v>
      </c>
      <c r="K51" s="208"/>
      <c r="L51" s="202"/>
      <c r="M51" s="202"/>
      <c r="N51" s="202"/>
      <c r="O51" s="202"/>
      <c r="P51" s="202"/>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c r="AU51" s="202"/>
      <c r="AV51" s="202"/>
      <c r="AW51" s="202"/>
      <c r="AX51" s="202"/>
      <c r="AY51" s="202"/>
      <c r="AZ51" s="202"/>
    </row>
    <row r="52" spans="2:52" x14ac:dyDescent="0.25">
      <c r="B52" s="202"/>
      <c r="C52" s="211"/>
      <c r="D52" s="297"/>
      <c r="E52" s="241"/>
      <c r="F52" s="208"/>
      <c r="G52" s="202"/>
      <c r="H52" s="211"/>
      <c r="I52" s="297"/>
      <c r="J52" s="241"/>
      <c r="K52" s="208"/>
      <c r="L52" s="202"/>
      <c r="M52" s="202"/>
      <c r="N52" s="202"/>
      <c r="O52" s="202"/>
      <c r="P52" s="202"/>
      <c r="Q52" s="202"/>
      <c r="R52" s="202"/>
      <c r="S52" s="202"/>
      <c r="T52" s="202"/>
      <c r="U52" s="202"/>
      <c r="V52" s="202"/>
      <c r="W52" s="202"/>
      <c r="X52" s="202"/>
      <c r="Y52" s="202"/>
      <c r="Z52" s="202"/>
      <c r="AA52" s="202"/>
      <c r="AB52" s="202"/>
      <c r="AC52" s="202"/>
      <c r="AD52" s="202"/>
      <c r="AE52" s="202"/>
      <c r="AF52" s="202"/>
      <c r="AG52" s="202"/>
      <c r="AH52" s="202"/>
      <c r="AI52" s="202"/>
      <c r="AJ52" s="202"/>
      <c r="AK52" s="202"/>
      <c r="AL52" s="202"/>
      <c r="AM52" s="202"/>
      <c r="AN52" s="202"/>
      <c r="AO52" s="202"/>
      <c r="AP52" s="202"/>
      <c r="AQ52" s="202"/>
      <c r="AR52" s="202"/>
      <c r="AS52" s="202"/>
      <c r="AT52" s="202"/>
      <c r="AU52" s="202"/>
      <c r="AV52" s="202"/>
      <c r="AW52" s="202"/>
      <c r="AX52" s="202"/>
      <c r="AY52" s="202"/>
      <c r="AZ52" s="202"/>
    </row>
    <row r="53" spans="2:52" x14ac:dyDescent="0.25">
      <c r="B53" s="202"/>
      <c r="C53" s="211"/>
      <c r="D53" s="297"/>
      <c r="E53" s="241"/>
      <c r="F53" s="208"/>
      <c r="G53" s="202"/>
      <c r="H53" s="211"/>
      <c r="I53" s="297"/>
      <c r="J53" s="241"/>
      <c r="K53" s="208"/>
      <c r="L53" s="202"/>
      <c r="M53" s="202"/>
      <c r="N53" s="202"/>
      <c r="O53" s="202"/>
      <c r="P53" s="202"/>
      <c r="Q53" s="202"/>
      <c r="R53" s="202"/>
      <c r="S53" s="202"/>
      <c r="T53" s="202"/>
      <c r="U53" s="202"/>
      <c r="V53" s="202"/>
      <c r="W53" s="202"/>
      <c r="X53" s="202"/>
      <c r="Y53" s="202"/>
      <c r="Z53" s="202"/>
      <c r="AA53" s="202"/>
      <c r="AB53" s="202"/>
      <c r="AC53" s="202"/>
      <c r="AD53" s="202"/>
      <c r="AE53" s="202"/>
      <c r="AF53" s="202"/>
      <c r="AG53" s="202"/>
      <c r="AH53" s="202"/>
      <c r="AI53" s="202"/>
      <c r="AJ53" s="202"/>
      <c r="AK53" s="202"/>
      <c r="AL53" s="202"/>
      <c r="AM53" s="202"/>
      <c r="AN53" s="202"/>
      <c r="AO53" s="202"/>
      <c r="AP53" s="202"/>
      <c r="AQ53" s="202"/>
      <c r="AR53" s="202"/>
      <c r="AS53" s="202"/>
      <c r="AT53" s="202"/>
      <c r="AU53" s="202"/>
      <c r="AV53" s="202"/>
      <c r="AW53" s="202"/>
      <c r="AX53" s="202"/>
      <c r="AY53" s="202"/>
      <c r="AZ53" s="202"/>
    </row>
    <row r="54" spans="2:52" x14ac:dyDescent="0.25">
      <c r="B54" s="202"/>
      <c r="C54" s="211"/>
      <c r="D54" s="297"/>
      <c r="E54" s="241"/>
      <c r="F54" s="208"/>
      <c r="G54" s="202"/>
      <c r="H54" s="211"/>
      <c r="I54" s="297"/>
      <c r="J54" s="241"/>
      <c r="K54" s="208"/>
      <c r="L54" s="202"/>
      <c r="M54" s="202"/>
      <c r="N54" s="202"/>
      <c r="O54" s="202"/>
      <c r="P54" s="202"/>
      <c r="Q54" s="202"/>
      <c r="R54" s="202"/>
      <c r="S54" s="202"/>
      <c r="T54" s="202"/>
      <c r="U54" s="202"/>
      <c r="V54" s="202"/>
      <c r="W54" s="202"/>
      <c r="X54" s="202"/>
      <c r="Y54" s="202"/>
      <c r="Z54" s="202"/>
      <c r="AA54" s="202"/>
      <c r="AB54" s="202"/>
      <c r="AC54" s="202"/>
      <c r="AD54" s="202"/>
      <c r="AE54" s="202"/>
      <c r="AF54" s="202"/>
      <c r="AG54" s="202"/>
      <c r="AH54" s="202"/>
      <c r="AI54" s="202"/>
      <c r="AJ54" s="202"/>
      <c r="AK54" s="202"/>
      <c r="AL54" s="202"/>
      <c r="AM54" s="202"/>
      <c r="AN54" s="202"/>
      <c r="AO54" s="202"/>
      <c r="AP54" s="202"/>
      <c r="AQ54" s="202"/>
      <c r="AR54" s="202"/>
      <c r="AS54" s="202"/>
      <c r="AT54" s="202"/>
      <c r="AU54" s="202"/>
      <c r="AV54" s="202"/>
      <c r="AW54" s="202"/>
      <c r="AX54" s="202"/>
      <c r="AY54" s="202"/>
      <c r="AZ54" s="202"/>
    </row>
    <row r="55" spans="2:52" x14ac:dyDescent="0.25">
      <c r="B55" s="202"/>
      <c r="C55" s="211"/>
      <c r="D55" s="297"/>
      <c r="E55" s="241"/>
      <c r="F55" s="208"/>
      <c r="G55" s="202"/>
      <c r="H55" s="211"/>
      <c r="I55" s="297"/>
      <c r="J55" s="241"/>
      <c r="K55" s="208"/>
      <c r="L55" s="202"/>
      <c r="M55" s="202"/>
      <c r="N55" s="202"/>
      <c r="O55" s="202"/>
      <c r="P55" s="202"/>
      <c r="Q55" s="202"/>
      <c r="R55" s="202"/>
      <c r="S55" s="202"/>
      <c r="T55" s="202"/>
      <c r="U55" s="202"/>
      <c r="V55" s="202"/>
      <c r="W55" s="202"/>
      <c r="X55" s="202"/>
      <c r="Y55" s="202"/>
      <c r="Z55" s="202"/>
      <c r="AA55" s="202"/>
      <c r="AB55" s="202"/>
      <c r="AC55" s="202"/>
      <c r="AD55" s="202"/>
      <c r="AE55" s="202"/>
      <c r="AF55" s="202"/>
      <c r="AG55" s="202"/>
      <c r="AH55" s="202"/>
      <c r="AI55" s="202"/>
      <c r="AJ55" s="202"/>
      <c r="AK55" s="202"/>
      <c r="AL55" s="202"/>
      <c r="AM55" s="202"/>
      <c r="AN55" s="202"/>
      <c r="AO55" s="202"/>
      <c r="AP55" s="202"/>
      <c r="AQ55" s="202"/>
      <c r="AR55" s="202"/>
      <c r="AS55" s="202"/>
      <c r="AT55" s="202"/>
      <c r="AU55" s="202"/>
      <c r="AV55" s="202"/>
      <c r="AW55" s="202"/>
      <c r="AX55" s="202"/>
      <c r="AY55" s="202"/>
      <c r="AZ55" s="202"/>
    </row>
    <row r="56" spans="2:52" x14ac:dyDescent="0.25">
      <c r="B56" s="202"/>
      <c r="C56" s="211"/>
      <c r="D56" s="297"/>
      <c r="E56" s="241"/>
      <c r="F56" s="208"/>
      <c r="G56" s="202"/>
      <c r="H56" s="211"/>
      <c r="I56" s="297"/>
      <c r="J56" s="241"/>
      <c r="K56" s="208"/>
      <c r="L56" s="202"/>
      <c r="M56" s="202"/>
      <c r="N56" s="202"/>
      <c r="O56" s="202"/>
      <c r="P56" s="202"/>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row>
    <row r="57" spans="2:52" x14ac:dyDescent="0.25">
      <c r="B57" s="202"/>
      <c r="C57" s="207"/>
      <c r="D57" s="206"/>
      <c r="E57" s="245"/>
      <c r="F57" s="204"/>
      <c r="G57" s="202"/>
      <c r="H57" s="207"/>
      <c r="I57" s="206"/>
      <c r="J57" s="245"/>
      <c r="K57" s="204"/>
      <c r="L57" s="202"/>
      <c r="M57" s="202"/>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row>
    <row r="58" spans="2:52" x14ac:dyDescent="0.25">
      <c r="B58" s="202"/>
      <c r="C58" s="202"/>
      <c r="D58" s="202"/>
      <c r="E58" s="202"/>
      <c r="F58" s="202"/>
      <c r="G58" s="202"/>
      <c r="H58" s="202"/>
      <c r="I58" s="202"/>
      <c r="J58" s="202"/>
      <c r="K58" s="202"/>
      <c r="L58" s="202"/>
      <c r="M58" s="202"/>
      <c r="N58" s="202"/>
      <c r="O58" s="202"/>
      <c r="P58" s="202"/>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row>
    <row r="59" spans="2:52" x14ac:dyDescent="0.25">
      <c r="B59" s="202"/>
      <c r="C59" s="202"/>
      <c r="D59" s="202"/>
      <c r="E59" s="202"/>
      <c r="F59" s="202"/>
      <c r="G59" s="202"/>
      <c r="H59" s="202"/>
      <c r="I59" s="202"/>
      <c r="J59" s="202"/>
      <c r="K59" s="202"/>
      <c r="L59" s="202"/>
      <c r="M59" s="202"/>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row>
    <row r="60" spans="2:52" x14ac:dyDescent="0.25">
      <c r="B60" s="202"/>
      <c r="C60" s="202"/>
      <c r="D60" s="202"/>
      <c r="E60" s="202"/>
      <c r="F60" s="202"/>
      <c r="G60" s="202"/>
      <c r="H60" s="202"/>
      <c r="I60" s="202"/>
      <c r="J60" s="202"/>
      <c r="K60" s="202"/>
      <c r="L60" s="202"/>
      <c r="M60" s="202"/>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row>
    <row r="61" spans="2:52" x14ac:dyDescent="0.25">
      <c r="B61" s="202"/>
      <c r="C61" s="202"/>
      <c r="D61" s="202"/>
      <c r="E61" s="202"/>
      <c r="F61" s="202"/>
      <c r="G61" s="202"/>
      <c r="H61" s="202"/>
      <c r="I61" s="202"/>
      <c r="J61" s="202"/>
      <c r="K61" s="202"/>
      <c r="L61" s="202"/>
      <c r="M61" s="202"/>
      <c r="N61" s="202"/>
      <c r="O61" s="202"/>
      <c r="P61" s="202"/>
      <c r="Q61" s="202"/>
      <c r="R61" s="202"/>
      <c r="S61" s="202"/>
      <c r="T61" s="202"/>
      <c r="U61" s="202"/>
      <c r="V61" s="202"/>
      <c r="W61" s="202"/>
      <c r="X61" s="202"/>
      <c r="Y61" s="202"/>
      <c r="Z61" s="202"/>
      <c r="AA61" s="202"/>
      <c r="AB61" s="202"/>
      <c r="AC61" s="202"/>
      <c r="AD61" s="202"/>
      <c r="AE61" s="202"/>
      <c r="AF61" s="202"/>
      <c r="AG61" s="202"/>
      <c r="AH61" s="202"/>
      <c r="AI61" s="202"/>
      <c r="AJ61" s="202"/>
      <c r="AK61" s="202"/>
      <c r="AL61" s="202"/>
      <c r="AM61" s="202"/>
      <c r="AN61" s="202"/>
      <c r="AO61" s="202"/>
      <c r="AP61" s="202"/>
      <c r="AQ61" s="202"/>
      <c r="AR61" s="202"/>
      <c r="AS61" s="202"/>
      <c r="AT61" s="202"/>
      <c r="AU61" s="202"/>
      <c r="AV61" s="202"/>
      <c r="AW61" s="202"/>
      <c r="AX61" s="202"/>
      <c r="AY61" s="202"/>
      <c r="AZ61" s="202"/>
    </row>
    <row r="62" spans="2:52" x14ac:dyDescent="0.25">
      <c r="B62" s="202"/>
      <c r="C62" s="202"/>
      <c r="D62" s="202"/>
      <c r="E62" s="202"/>
      <c r="F62" s="202"/>
      <c r="G62" s="202"/>
      <c r="H62" s="202"/>
      <c r="I62" s="202"/>
      <c r="J62" s="202"/>
      <c r="K62" s="202"/>
      <c r="L62" s="202"/>
      <c r="M62" s="202"/>
      <c r="N62" s="202"/>
      <c r="O62" s="202"/>
      <c r="P62" s="202"/>
      <c r="Q62" s="202"/>
      <c r="R62" s="202"/>
      <c r="S62" s="202"/>
      <c r="T62" s="202"/>
      <c r="U62" s="202"/>
      <c r="V62" s="202"/>
      <c r="W62" s="202"/>
      <c r="X62" s="202"/>
      <c r="Y62" s="202"/>
      <c r="Z62" s="202"/>
      <c r="AA62" s="202"/>
      <c r="AB62" s="202"/>
      <c r="AC62" s="202"/>
      <c r="AD62" s="202"/>
      <c r="AE62" s="202"/>
      <c r="AF62" s="202"/>
      <c r="AG62" s="202"/>
      <c r="AH62" s="202"/>
      <c r="AI62" s="202"/>
      <c r="AJ62" s="202"/>
      <c r="AK62" s="202"/>
      <c r="AL62" s="202"/>
      <c r="AM62" s="202"/>
      <c r="AN62" s="202"/>
      <c r="AO62" s="202"/>
      <c r="AP62" s="202"/>
      <c r="AQ62" s="202"/>
      <c r="AR62" s="202"/>
      <c r="AS62" s="202"/>
      <c r="AT62" s="202"/>
      <c r="AU62" s="202"/>
      <c r="AV62" s="202"/>
      <c r="AW62" s="202"/>
      <c r="AX62" s="202"/>
      <c r="AY62" s="202"/>
      <c r="AZ62" s="202"/>
    </row>
    <row r="63" spans="2:52" x14ac:dyDescent="0.25">
      <c r="B63" s="202"/>
      <c r="C63" s="202"/>
      <c r="D63" s="202"/>
      <c r="E63" s="202"/>
      <c r="F63" s="202"/>
      <c r="G63" s="202"/>
      <c r="H63" s="202"/>
      <c r="I63" s="202"/>
      <c r="J63" s="202"/>
      <c r="K63" s="202"/>
      <c r="L63" s="202"/>
      <c r="M63" s="202"/>
      <c r="N63" s="202"/>
      <c r="O63" s="202"/>
      <c r="P63" s="202"/>
      <c r="Q63" s="202"/>
      <c r="R63" s="202"/>
      <c r="S63" s="202"/>
      <c r="T63" s="202"/>
      <c r="U63" s="202"/>
      <c r="V63" s="202"/>
      <c r="W63" s="202"/>
      <c r="X63" s="202"/>
      <c r="Y63" s="202"/>
      <c r="Z63" s="202"/>
      <c r="AA63" s="202"/>
      <c r="AB63" s="202"/>
      <c r="AC63" s="202"/>
      <c r="AD63" s="202"/>
      <c r="AE63" s="202"/>
      <c r="AF63" s="202"/>
      <c r="AG63" s="202"/>
      <c r="AH63" s="202"/>
      <c r="AI63" s="202"/>
      <c r="AJ63" s="202"/>
      <c r="AK63" s="202"/>
      <c r="AL63" s="202"/>
      <c r="AM63" s="202"/>
      <c r="AN63" s="202"/>
      <c r="AO63" s="202"/>
      <c r="AP63" s="202"/>
      <c r="AQ63" s="202"/>
      <c r="AR63" s="202"/>
      <c r="AS63" s="202"/>
      <c r="AT63" s="202"/>
      <c r="AU63" s="202"/>
      <c r="AV63" s="202"/>
      <c r="AW63" s="202"/>
      <c r="AX63" s="202"/>
      <c r="AY63" s="202"/>
      <c r="AZ63" s="202"/>
    </row>
    <row r="64" spans="2:52" x14ac:dyDescent="0.25">
      <c r="B64" s="202"/>
      <c r="C64" s="202"/>
      <c r="D64" s="202"/>
      <c r="E64" s="202"/>
      <c r="F64" s="202"/>
      <c r="G64" s="202"/>
      <c r="H64" s="202"/>
      <c r="I64" s="202"/>
      <c r="J64" s="202"/>
      <c r="K64" s="202"/>
      <c r="L64" s="202"/>
      <c r="M64" s="202"/>
      <c r="N64" s="202"/>
      <c r="O64" s="202"/>
      <c r="P64" s="202"/>
      <c r="Q64" s="202"/>
      <c r="R64" s="202"/>
      <c r="S64" s="202"/>
      <c r="T64" s="202"/>
      <c r="U64" s="202"/>
      <c r="V64" s="202"/>
      <c r="W64" s="202"/>
      <c r="X64" s="202"/>
      <c r="Y64" s="202"/>
      <c r="Z64" s="202"/>
      <c r="AA64" s="202"/>
      <c r="AB64" s="202"/>
      <c r="AC64" s="202"/>
      <c r="AD64" s="202"/>
      <c r="AE64" s="202"/>
      <c r="AF64" s="202"/>
      <c r="AG64" s="202"/>
      <c r="AH64" s="202"/>
      <c r="AI64" s="202"/>
      <c r="AJ64" s="202"/>
      <c r="AK64" s="202"/>
      <c r="AL64" s="202"/>
      <c r="AM64" s="202"/>
      <c r="AN64" s="202"/>
      <c r="AO64" s="202"/>
      <c r="AP64" s="202"/>
      <c r="AQ64" s="202"/>
      <c r="AR64" s="202"/>
      <c r="AS64" s="202"/>
      <c r="AT64" s="202"/>
      <c r="AU64" s="202"/>
      <c r="AV64" s="202"/>
      <c r="AW64" s="202"/>
      <c r="AX64" s="202"/>
      <c r="AY64" s="202"/>
      <c r="AZ64" s="202"/>
    </row>
    <row r="65" spans="2:52" x14ac:dyDescent="0.25">
      <c r="B65" s="202"/>
      <c r="C65" s="202"/>
      <c r="D65" s="202"/>
      <c r="E65" s="202"/>
      <c r="F65" s="202"/>
      <c r="G65" s="202"/>
      <c r="H65" s="202"/>
      <c r="I65" s="202"/>
      <c r="J65" s="202"/>
      <c r="K65" s="202"/>
      <c r="L65" s="202"/>
      <c r="M65" s="202"/>
      <c r="N65" s="202"/>
      <c r="O65" s="202"/>
      <c r="P65" s="202"/>
      <c r="Q65" s="202"/>
      <c r="R65" s="202"/>
      <c r="S65" s="202"/>
      <c r="T65" s="202"/>
      <c r="U65" s="202"/>
      <c r="V65" s="202"/>
      <c r="W65" s="202"/>
      <c r="X65" s="202"/>
      <c r="Y65" s="202"/>
      <c r="Z65" s="202"/>
      <c r="AA65" s="202"/>
      <c r="AB65" s="202"/>
      <c r="AC65" s="202"/>
      <c r="AD65" s="202"/>
      <c r="AE65" s="202"/>
      <c r="AF65" s="202"/>
      <c r="AG65" s="202"/>
      <c r="AH65" s="202"/>
      <c r="AI65" s="202"/>
      <c r="AJ65" s="202"/>
      <c r="AK65" s="202"/>
      <c r="AL65" s="202"/>
      <c r="AM65" s="202"/>
      <c r="AN65" s="202"/>
      <c r="AO65" s="202"/>
      <c r="AP65" s="202"/>
      <c r="AQ65" s="202"/>
      <c r="AR65" s="202"/>
      <c r="AS65" s="202"/>
      <c r="AT65" s="202"/>
      <c r="AU65" s="202"/>
      <c r="AV65" s="202"/>
      <c r="AW65" s="202"/>
      <c r="AX65" s="202"/>
      <c r="AY65" s="202"/>
      <c r="AZ65" s="202"/>
    </row>
    <row r="66" spans="2:52" x14ac:dyDescent="0.25">
      <c r="B66" s="202"/>
      <c r="C66" s="202"/>
      <c r="D66" s="202"/>
      <c r="E66" s="202"/>
      <c r="F66" s="202"/>
      <c r="G66" s="202"/>
      <c r="H66" s="202"/>
      <c r="I66" s="202"/>
      <c r="J66" s="202"/>
      <c r="K66" s="202"/>
      <c r="L66" s="202"/>
      <c r="M66" s="202"/>
      <c r="N66" s="202"/>
      <c r="O66" s="202"/>
      <c r="P66" s="202"/>
      <c r="Q66" s="202"/>
      <c r="R66" s="202"/>
      <c r="S66" s="202"/>
      <c r="T66" s="202"/>
      <c r="U66" s="202"/>
      <c r="V66" s="202"/>
      <c r="W66" s="202"/>
      <c r="X66" s="202"/>
      <c r="Y66" s="202"/>
      <c r="Z66" s="202"/>
      <c r="AA66" s="202"/>
      <c r="AB66" s="202"/>
      <c r="AC66" s="202"/>
      <c r="AD66" s="202"/>
      <c r="AE66" s="202"/>
      <c r="AF66" s="202"/>
      <c r="AG66" s="202"/>
      <c r="AH66" s="202"/>
      <c r="AI66" s="202"/>
      <c r="AJ66" s="202"/>
      <c r="AK66" s="202"/>
      <c r="AL66" s="202"/>
      <c r="AM66" s="202"/>
      <c r="AN66" s="202"/>
      <c r="AO66" s="202"/>
      <c r="AP66" s="202"/>
      <c r="AQ66" s="202"/>
      <c r="AR66" s="202"/>
      <c r="AS66" s="202"/>
      <c r="AT66" s="202"/>
      <c r="AU66" s="202"/>
      <c r="AV66" s="202"/>
      <c r="AW66" s="202"/>
      <c r="AX66" s="202"/>
      <c r="AY66" s="202"/>
      <c r="AZ66" s="202"/>
    </row>
    <row r="67" spans="2:52" x14ac:dyDescent="0.25">
      <c r="B67" s="202"/>
      <c r="C67" s="202"/>
      <c r="D67" s="202"/>
      <c r="E67" s="202"/>
      <c r="F67" s="202"/>
      <c r="G67" s="202"/>
      <c r="H67" s="202"/>
      <c r="I67" s="202"/>
      <c r="J67" s="202"/>
      <c r="K67" s="202"/>
      <c r="L67" s="202"/>
      <c r="M67" s="202"/>
      <c r="N67" s="202"/>
      <c r="O67" s="202"/>
      <c r="P67" s="202"/>
      <c r="Q67" s="202"/>
      <c r="R67" s="202"/>
      <c r="S67" s="202"/>
      <c r="T67" s="202"/>
      <c r="U67" s="202"/>
      <c r="V67" s="202"/>
      <c r="W67" s="202"/>
      <c r="X67" s="202"/>
      <c r="Y67" s="202"/>
      <c r="Z67" s="202"/>
      <c r="AA67" s="202"/>
      <c r="AB67" s="202"/>
      <c r="AC67" s="202"/>
      <c r="AD67" s="202"/>
      <c r="AE67" s="202"/>
      <c r="AF67" s="202"/>
      <c r="AG67" s="202"/>
      <c r="AH67" s="202"/>
      <c r="AI67" s="202"/>
      <c r="AJ67" s="202"/>
      <c r="AK67" s="202"/>
      <c r="AL67" s="202"/>
      <c r="AM67" s="202"/>
      <c r="AN67" s="202"/>
      <c r="AO67" s="202"/>
      <c r="AP67" s="202"/>
      <c r="AQ67" s="202"/>
      <c r="AR67" s="202"/>
      <c r="AS67" s="202"/>
      <c r="AT67" s="202"/>
      <c r="AU67" s="202"/>
      <c r="AV67" s="202"/>
      <c r="AW67" s="202"/>
      <c r="AX67" s="202"/>
      <c r="AY67" s="202"/>
      <c r="AZ67" s="202"/>
    </row>
  </sheetData>
  <pageMargins left="0.7" right="0.7" top="0.75" bottom="0.75" header="0.3" footer="0.3"/>
  <pageSetup paperSize="9" orientation="portrait" horizontalDpi="4294967295" verticalDpi="4294967295"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3"/>
  <dimension ref="A1:AO595"/>
  <sheetViews>
    <sheetView zoomScale="80" zoomScaleNormal="80" workbookViewId="0">
      <selection activeCell="B2" sqref="B2"/>
    </sheetView>
  </sheetViews>
  <sheetFormatPr defaultColWidth="8.85546875" defaultRowHeight="15" x14ac:dyDescent="0.25"/>
  <cols>
    <col min="1" max="1" width="9.28515625" style="3" customWidth="1"/>
    <col min="2" max="2" width="8.85546875" style="171"/>
    <col min="3" max="3" width="55.42578125" style="171" customWidth="1"/>
    <col min="4" max="4" width="20.5703125" style="171" customWidth="1"/>
    <col min="5" max="5" width="21.85546875" style="171" customWidth="1"/>
    <col min="6" max="6" width="17.85546875" style="171" customWidth="1"/>
    <col min="7" max="7" width="29.7109375" style="171" customWidth="1"/>
    <col min="8" max="8" width="22" style="171" bestFit="1" customWidth="1"/>
    <col min="9" max="9" width="12.7109375" style="171" bestFit="1" customWidth="1"/>
    <col min="10" max="10" width="11.42578125" style="171" customWidth="1"/>
    <col min="11" max="11" width="24.85546875" style="171" bestFit="1" customWidth="1"/>
    <col min="12" max="12" width="15.28515625" style="171" bestFit="1" customWidth="1"/>
    <col min="13" max="14" width="13" style="171" customWidth="1"/>
    <col min="15" max="15" width="20.85546875" style="171" customWidth="1"/>
    <col min="16" max="16" width="14" style="171" bestFit="1" customWidth="1"/>
    <col min="17" max="17" width="34.140625" style="171" customWidth="1"/>
    <col min="18" max="18" width="16.28515625" style="171" customWidth="1"/>
    <col min="19" max="19" width="25" style="171" customWidth="1"/>
    <col min="20" max="20" width="33.7109375" style="171" bestFit="1" customWidth="1"/>
    <col min="21" max="21" width="10" style="171" customWidth="1"/>
    <col min="22" max="22" width="31.28515625" style="171" bestFit="1" customWidth="1"/>
    <col min="23" max="16384" width="8.85546875" style="171"/>
  </cols>
  <sheetData>
    <row r="1" spans="1:41" s="3" customFormat="1" ht="54" customHeight="1" x14ac:dyDescent="0.65">
      <c r="A1" s="30"/>
      <c r="B1" s="179" t="str">
        <f>"PLATFORM ("&amp;Parameters!$D$6&amp;")"</f>
        <v>PLATFORM (P15 Scenario 1)</v>
      </c>
    </row>
    <row r="2" spans="1:41" s="165" customFormat="1" x14ac:dyDescent="0.25">
      <c r="A2" s="164"/>
      <c r="B2" s="172"/>
      <c r="C2" s="173"/>
      <c r="D2" s="173"/>
      <c r="E2" s="173"/>
      <c r="F2" s="173"/>
      <c r="G2" s="173"/>
      <c r="H2" s="151"/>
      <c r="I2" s="151"/>
      <c r="J2" s="151"/>
      <c r="K2" s="58"/>
      <c r="L2" s="58"/>
      <c r="M2" s="58"/>
      <c r="N2" s="58"/>
      <c r="O2" s="58"/>
      <c r="P2" s="58"/>
      <c r="Q2" s="58"/>
      <c r="R2" s="58"/>
      <c r="S2" s="58"/>
      <c r="T2" s="58"/>
      <c r="U2" s="58"/>
      <c r="V2" s="58"/>
      <c r="W2" s="58"/>
      <c r="X2" s="58"/>
      <c r="Y2" s="58"/>
      <c r="Z2" s="58"/>
      <c r="AA2" s="59"/>
      <c r="AB2" s="164"/>
      <c r="AC2" s="164"/>
      <c r="AD2" s="164"/>
      <c r="AE2" s="164"/>
      <c r="AF2" s="164"/>
      <c r="AG2" s="164"/>
      <c r="AH2" s="164"/>
      <c r="AI2" s="164"/>
      <c r="AJ2" s="164"/>
      <c r="AK2" s="164"/>
      <c r="AL2" s="164"/>
      <c r="AM2" s="164"/>
      <c r="AN2" s="164"/>
      <c r="AO2" s="164"/>
    </row>
    <row r="3" spans="1:41" x14ac:dyDescent="0.25">
      <c r="B3" s="13"/>
      <c r="C3" s="39" t="s">
        <v>1</v>
      </c>
      <c r="D3" s="40"/>
      <c r="E3" s="41"/>
      <c r="F3" s="57"/>
      <c r="G3" s="39" t="s">
        <v>2</v>
      </c>
      <c r="H3" s="40"/>
      <c r="I3" s="41"/>
      <c r="J3" s="14"/>
      <c r="K3" s="14"/>
      <c r="L3" s="14"/>
      <c r="M3" s="14"/>
      <c r="N3" s="14"/>
      <c r="O3" s="14"/>
      <c r="P3" s="14"/>
      <c r="Q3" s="14"/>
      <c r="R3" s="14"/>
      <c r="S3" s="14"/>
      <c r="T3" s="14"/>
      <c r="U3" s="14"/>
      <c r="V3" s="14"/>
      <c r="W3" s="14"/>
      <c r="X3" s="14"/>
      <c r="Y3" s="14"/>
      <c r="Z3" s="14"/>
      <c r="AA3" s="15"/>
      <c r="AB3" s="3"/>
      <c r="AC3" s="3"/>
      <c r="AD3" s="3"/>
      <c r="AE3" s="3"/>
      <c r="AF3" s="3"/>
      <c r="AG3" s="3"/>
      <c r="AH3" s="3"/>
      <c r="AI3" s="3"/>
      <c r="AJ3" s="3"/>
      <c r="AK3" s="3"/>
      <c r="AL3" s="3"/>
      <c r="AM3" s="3"/>
      <c r="AN3" s="3"/>
      <c r="AO3" s="3"/>
    </row>
    <row r="4" spans="1:41" x14ac:dyDescent="0.25">
      <c r="B4" s="13"/>
      <c r="C4" s="14"/>
      <c r="D4" s="14"/>
      <c r="E4" s="14"/>
      <c r="F4" s="56"/>
      <c r="G4" s="14"/>
      <c r="H4" s="14"/>
      <c r="I4" s="14"/>
      <c r="J4" s="56"/>
      <c r="K4" s="14"/>
      <c r="L4" s="14"/>
      <c r="M4" s="14"/>
      <c r="N4" s="14"/>
      <c r="O4" s="16"/>
      <c r="P4" s="14"/>
      <c r="Q4" s="16"/>
      <c r="R4" s="16"/>
      <c r="S4" s="16"/>
      <c r="T4" s="16"/>
      <c r="U4" s="14"/>
      <c r="V4" s="14"/>
      <c r="W4" s="14"/>
      <c r="X4" s="14"/>
      <c r="Y4" s="14"/>
      <c r="Z4" s="14"/>
      <c r="AA4" s="15"/>
      <c r="AB4" s="3"/>
      <c r="AC4" s="3"/>
      <c r="AD4" s="3"/>
      <c r="AE4" s="3"/>
      <c r="AF4" s="129">
        <v>3</v>
      </c>
      <c r="AG4" s="120">
        <v>6</v>
      </c>
      <c r="AH4" s="120">
        <v>9</v>
      </c>
      <c r="AI4" s="3"/>
      <c r="AJ4" s="3"/>
      <c r="AK4" s="3"/>
      <c r="AL4" s="3"/>
      <c r="AM4" s="3"/>
      <c r="AN4" s="3"/>
      <c r="AO4" s="3"/>
    </row>
    <row r="5" spans="1:41" s="141" customFormat="1" x14ac:dyDescent="0.25">
      <c r="A5" s="138"/>
      <c r="B5" s="139"/>
      <c r="C5" s="32" t="str">
        <f>Parameters!E355</f>
        <v>Platform selection</v>
      </c>
      <c r="D5" s="699" t="str">
        <f>Parameters!G355</f>
        <v>P15-D</v>
      </c>
      <c r="E5" s="34"/>
      <c r="F5" s="144"/>
      <c r="G5" s="122" t="str">
        <f t="shared" ref="G5:I6" si="0">G21</f>
        <v>Capex adjustments H2 on platform</v>
      </c>
      <c r="H5" s="86">
        <f t="shared" si="0"/>
        <v>0</v>
      </c>
      <c r="I5" s="34" t="str">
        <f t="shared" si="0"/>
        <v>EUR</v>
      </c>
      <c r="J5" s="56"/>
      <c r="K5" s="144"/>
      <c r="L5" s="144"/>
      <c r="M5" s="144"/>
      <c r="N5" s="144"/>
      <c r="O5" s="144"/>
      <c r="P5" s="16"/>
      <c r="Q5" s="16"/>
      <c r="R5" s="16"/>
      <c r="S5" s="73"/>
      <c r="T5" s="73"/>
      <c r="U5" s="16"/>
      <c r="V5" s="73"/>
      <c r="W5" s="14"/>
      <c r="X5" s="16"/>
      <c r="Y5" s="16"/>
      <c r="Z5" s="16"/>
      <c r="AA5" s="140"/>
      <c r="AB5" s="138"/>
      <c r="AC5" s="138"/>
      <c r="AD5" s="138"/>
      <c r="AE5" s="138"/>
      <c r="AF5" s="142">
        <v>2</v>
      </c>
      <c r="AG5" s="142">
        <v>3</v>
      </c>
      <c r="AH5" s="142">
        <v>5</v>
      </c>
      <c r="AI5" s="138"/>
      <c r="AJ5" s="138"/>
      <c r="AK5" s="138"/>
      <c r="AL5" s="138"/>
      <c r="AM5" s="138"/>
      <c r="AN5" s="138"/>
      <c r="AO5" s="138"/>
    </row>
    <row r="6" spans="1:41" x14ac:dyDescent="0.25">
      <c r="B6" s="13"/>
      <c r="C6" s="168" t="str">
        <f>Parameters!E356</f>
        <v>Additional platforms required</v>
      </c>
      <c r="D6" s="92">
        <f>Parameters!G356</f>
        <v>0</v>
      </c>
      <c r="E6" s="169"/>
      <c r="F6" s="56"/>
      <c r="G6" s="108" t="str">
        <f t="shared" si="0"/>
        <v>Opex platform</v>
      </c>
      <c r="H6" s="81">
        <f>H22</f>
        <v>0</v>
      </c>
      <c r="I6" s="35" t="str">
        <f t="shared" si="0"/>
        <v>EUR / a</v>
      </c>
      <c r="J6" s="56"/>
      <c r="K6" s="14"/>
      <c r="L6" s="14"/>
      <c r="M6" s="14"/>
      <c r="N6" s="14"/>
      <c r="O6" s="16"/>
      <c r="P6" s="14"/>
      <c r="Q6" s="16"/>
      <c r="R6" s="16"/>
      <c r="S6" s="16"/>
      <c r="T6" s="16"/>
      <c r="U6" s="14"/>
      <c r="V6" s="16"/>
      <c r="W6" s="14"/>
      <c r="X6" s="14"/>
      <c r="Y6" s="14"/>
      <c r="Z6" s="14"/>
      <c r="AA6" s="15"/>
      <c r="AB6" s="3"/>
      <c r="AC6" s="3"/>
      <c r="AD6" s="3"/>
      <c r="AE6" s="3"/>
      <c r="AF6" s="120">
        <v>6</v>
      </c>
      <c r="AG6" s="120">
        <v>9</v>
      </c>
      <c r="AH6" s="120">
        <v>12</v>
      </c>
      <c r="AI6" s="3"/>
      <c r="AJ6" s="3"/>
      <c r="AK6" s="3"/>
      <c r="AL6" s="3"/>
      <c r="AM6" s="3"/>
      <c r="AN6" s="3"/>
      <c r="AO6" s="3"/>
    </row>
    <row r="7" spans="1:41" x14ac:dyDescent="0.25">
      <c r="B7" s="13"/>
      <c r="C7" s="6"/>
      <c r="D7" s="92"/>
      <c r="E7" s="35"/>
      <c r="F7" s="14"/>
      <c r="G7" s="108" t="str">
        <f>G24</f>
        <v>Total capex new platforms (SH2)</v>
      </c>
      <c r="H7" s="81">
        <f t="shared" ref="H7:I7" si="1">H24</f>
        <v>0</v>
      </c>
      <c r="I7" s="35" t="str">
        <f t="shared" si="1"/>
        <v>EUR</v>
      </c>
      <c r="J7" s="56"/>
      <c r="K7" s="56"/>
      <c r="L7" s="56"/>
      <c r="M7" s="56"/>
      <c r="N7" s="56"/>
      <c r="O7" s="56"/>
      <c r="P7" s="14"/>
      <c r="Q7" s="14"/>
      <c r="R7" s="14"/>
      <c r="S7" s="14"/>
      <c r="T7" s="14"/>
      <c r="U7" s="14"/>
      <c r="V7" s="14"/>
      <c r="W7" s="14"/>
      <c r="X7" s="14"/>
      <c r="Y7" s="14"/>
      <c r="Z7" s="14"/>
      <c r="AA7" s="15"/>
      <c r="AB7" s="3"/>
      <c r="AC7" s="3"/>
      <c r="AD7" s="3"/>
      <c r="AE7" s="3"/>
      <c r="AF7" s="129">
        <v>1.1000000000000001</v>
      </c>
      <c r="AG7" s="3"/>
      <c r="AH7" s="3"/>
      <c r="AI7" s="3"/>
      <c r="AJ7" s="3"/>
      <c r="AK7" s="3"/>
      <c r="AL7" s="3"/>
      <c r="AM7" s="3"/>
      <c r="AN7" s="3"/>
      <c r="AO7" s="3"/>
    </row>
    <row r="8" spans="1:41" ht="15" customHeight="1" x14ac:dyDescent="0.25">
      <c r="B8" s="13"/>
      <c r="C8" s="6"/>
      <c r="D8" s="92"/>
      <c r="E8" s="35"/>
      <c r="F8" s="56"/>
      <c r="G8" s="6"/>
      <c r="H8" s="94"/>
      <c r="I8" s="35"/>
      <c r="J8" s="56"/>
      <c r="K8" s="56"/>
      <c r="L8" s="56"/>
      <c r="M8" s="56"/>
      <c r="N8" s="56"/>
      <c r="O8" s="56"/>
      <c r="P8" s="14"/>
      <c r="Q8" s="14"/>
      <c r="R8" s="14"/>
      <c r="S8" s="14"/>
      <c r="T8" s="14"/>
      <c r="U8" s="14"/>
      <c r="V8" s="14"/>
      <c r="W8" s="14"/>
      <c r="X8" s="14"/>
      <c r="Y8" s="14"/>
      <c r="Z8" s="14"/>
      <c r="AA8" s="15"/>
      <c r="AB8" s="3"/>
      <c r="AC8" s="3"/>
      <c r="AD8" s="3"/>
      <c r="AE8" s="3"/>
      <c r="AF8" s="3"/>
      <c r="AG8" s="3"/>
      <c r="AH8" s="3"/>
      <c r="AI8" s="3"/>
      <c r="AJ8" s="3"/>
      <c r="AK8" s="3"/>
      <c r="AL8" s="3"/>
      <c r="AM8" s="3"/>
      <c r="AN8" s="3"/>
      <c r="AO8" s="3"/>
    </row>
    <row r="9" spans="1:41" x14ac:dyDescent="0.25">
      <c r="B9" s="13"/>
      <c r="C9" s="6"/>
      <c r="D9" s="92"/>
      <c r="E9" s="35"/>
      <c r="F9" s="56"/>
      <c r="G9" s="6" t="str">
        <f t="shared" ref="G9:I10" si="2">G35</f>
        <v>Capex cable (H2)</v>
      </c>
      <c r="H9" s="81">
        <f t="shared" si="2"/>
        <v>18820682.115318585</v>
      </c>
      <c r="I9" s="112" t="str">
        <f t="shared" si="2"/>
        <v>EUR</v>
      </c>
      <c r="J9" s="56"/>
      <c r="K9" s="56"/>
      <c r="L9" s="56"/>
      <c r="M9" s="56"/>
      <c r="N9" s="56"/>
      <c r="O9" s="56"/>
      <c r="P9" s="14"/>
      <c r="Q9" s="14"/>
      <c r="R9" s="14"/>
      <c r="S9" s="14"/>
      <c r="T9" s="14"/>
      <c r="U9" s="14"/>
      <c r="V9" s="14"/>
      <c r="W9" s="14"/>
      <c r="X9" s="14"/>
      <c r="Y9" s="14"/>
      <c r="Z9" s="14"/>
      <c r="AA9" s="15"/>
      <c r="AB9" s="3"/>
      <c r="AC9" s="3"/>
      <c r="AD9" s="3"/>
      <c r="AE9" s="3"/>
      <c r="AF9" s="3"/>
      <c r="AG9" s="3"/>
      <c r="AH9" s="3"/>
      <c r="AI9" s="3"/>
      <c r="AJ9" s="3"/>
      <c r="AK9" s="3"/>
      <c r="AL9" s="3"/>
      <c r="AM9" s="3"/>
      <c r="AN9" s="3"/>
      <c r="AO9" s="3"/>
    </row>
    <row r="10" spans="1:41" x14ac:dyDescent="0.25">
      <c r="B10" s="13"/>
      <c r="C10" s="6" t="str">
        <f>Parameters!E42</f>
        <v>Cable length</v>
      </c>
      <c r="D10" s="145">
        <f>Parameters!G42</f>
        <v>37.799999999999997</v>
      </c>
      <c r="E10" s="35" t="str">
        <f>Parameters!F42</f>
        <v>km</v>
      </c>
      <c r="F10" s="56"/>
      <c r="G10" s="6" t="str">
        <f t="shared" si="2"/>
        <v>Opex cable (H2)</v>
      </c>
      <c r="H10" s="81">
        <f t="shared" si="2"/>
        <v>0</v>
      </c>
      <c r="I10" s="112" t="str">
        <f t="shared" si="2"/>
        <v>EUR/a</v>
      </c>
      <c r="J10" s="56"/>
      <c r="K10" s="56"/>
      <c r="L10" s="56"/>
      <c r="M10" s="56"/>
      <c r="N10" s="56"/>
      <c r="O10" s="56"/>
      <c r="P10" s="14"/>
      <c r="Q10" s="14"/>
      <c r="R10" s="14"/>
      <c r="S10" s="14"/>
      <c r="T10" s="14"/>
      <c r="U10" s="14"/>
      <c r="V10" s="14"/>
      <c r="W10" s="14"/>
      <c r="X10" s="14"/>
      <c r="Y10" s="14"/>
      <c r="Z10" s="14"/>
      <c r="AA10" s="15"/>
      <c r="AB10" s="3"/>
      <c r="AC10" s="3"/>
      <c r="AD10" s="3"/>
      <c r="AE10" s="3"/>
      <c r="AF10" s="3"/>
      <c r="AG10" s="3"/>
      <c r="AH10" s="3"/>
      <c r="AI10" s="3"/>
      <c r="AJ10" s="3"/>
      <c r="AK10" s="3"/>
      <c r="AL10" s="3"/>
      <c r="AM10" s="3"/>
      <c r="AN10" s="3"/>
      <c r="AO10" s="3"/>
    </row>
    <row r="11" spans="1:41" x14ac:dyDescent="0.25">
      <c r="B11" s="13"/>
      <c r="C11" s="6"/>
      <c r="D11" s="92"/>
      <c r="E11" s="35"/>
      <c r="F11" s="56"/>
      <c r="G11" s="6"/>
      <c r="H11" s="81"/>
      <c r="I11" s="35"/>
      <c r="J11" s="56"/>
      <c r="K11" s="56"/>
      <c r="L11" s="56"/>
      <c r="M11" s="56"/>
      <c r="N11" s="56"/>
      <c r="O11" s="56"/>
      <c r="P11" s="14"/>
      <c r="Q11" s="14"/>
      <c r="R11" s="14"/>
      <c r="S11" s="14"/>
      <c r="T11" s="14"/>
      <c r="U11" s="14"/>
      <c r="V11" s="14"/>
      <c r="W11" s="14"/>
      <c r="X11" s="14"/>
      <c r="Y11" s="14"/>
      <c r="Z11" s="14"/>
      <c r="AA11" s="15"/>
      <c r="AB11" s="3"/>
      <c r="AC11" s="3"/>
      <c r="AD11" s="3"/>
      <c r="AE11" s="3"/>
      <c r="AF11" s="3"/>
      <c r="AG11" s="3"/>
      <c r="AH11" s="3"/>
      <c r="AI11" s="3"/>
      <c r="AJ11" s="3"/>
      <c r="AK11" s="3"/>
      <c r="AL11" s="3"/>
      <c r="AM11" s="3"/>
      <c r="AN11" s="3"/>
      <c r="AO11" s="3"/>
    </row>
    <row r="12" spans="1:41" x14ac:dyDescent="0.25">
      <c r="B12" s="13"/>
      <c r="C12" s="108" t="str">
        <f>Parameters!E358</f>
        <v>Existing electric connection</v>
      </c>
      <c r="D12" s="83">
        <f>Parameters!G358</f>
        <v>20</v>
      </c>
      <c r="E12" s="35" t="str">
        <f>Parameters!F358</f>
        <v>MW</v>
      </c>
      <c r="F12" s="56"/>
      <c r="G12" s="6" t="str">
        <f>K37</f>
        <v>Total area electrical equipment</v>
      </c>
      <c r="H12" s="81">
        <f t="shared" ref="H12:I12" si="3">L37</f>
        <v>93.942442079261383</v>
      </c>
      <c r="I12" s="35" t="str">
        <f t="shared" si="3"/>
        <v>m²</v>
      </c>
      <c r="J12" s="56"/>
      <c r="K12" s="56"/>
      <c r="L12" s="56"/>
      <c r="M12" s="56"/>
      <c r="N12" s="56"/>
      <c r="O12" s="56"/>
      <c r="P12" s="14"/>
      <c r="Q12" s="14"/>
      <c r="R12" s="14"/>
      <c r="S12" s="14"/>
      <c r="T12" s="14"/>
      <c r="U12" s="14"/>
      <c r="V12" s="14"/>
      <c r="W12" s="14"/>
      <c r="X12" s="14"/>
      <c r="Y12" s="14"/>
      <c r="Z12" s="14"/>
      <c r="AA12" s="15"/>
      <c r="AB12" s="3"/>
      <c r="AC12" s="3"/>
      <c r="AD12" s="3"/>
      <c r="AE12" s="3"/>
      <c r="AF12" s="3"/>
      <c r="AG12" s="3"/>
      <c r="AH12" s="3"/>
      <c r="AI12" s="3"/>
      <c r="AJ12" s="3"/>
      <c r="AK12" s="3"/>
      <c r="AL12" s="3"/>
      <c r="AM12" s="3"/>
      <c r="AN12" s="3"/>
      <c r="AO12" s="3"/>
    </row>
    <row r="13" spans="1:41" x14ac:dyDescent="0.25">
      <c r="B13" s="13"/>
      <c r="C13" s="108" t="str">
        <f>Parameters!E359</f>
        <v>Additional electric connection</v>
      </c>
      <c r="D13" s="83">
        <f>Parameters!G359</f>
        <v>10.11971706980685</v>
      </c>
      <c r="E13" s="35" t="str">
        <f>Parameters!F359</f>
        <v>MW</v>
      </c>
      <c r="F13" s="56"/>
      <c r="G13" s="6" t="str">
        <f t="shared" ref="G13:I13" si="4">K38</f>
        <v>Total weight electrical equipment</v>
      </c>
      <c r="H13" s="81">
        <f t="shared" si="4"/>
        <v>6.5852094832108952</v>
      </c>
      <c r="I13" s="35" t="str">
        <f t="shared" si="4"/>
        <v>t</v>
      </c>
      <c r="J13" s="56"/>
      <c r="K13" s="56"/>
      <c r="L13" s="56"/>
      <c r="M13" s="56"/>
      <c r="N13" s="56"/>
      <c r="O13" s="56"/>
      <c r="P13" s="14"/>
      <c r="Q13" s="14"/>
      <c r="R13" s="14"/>
      <c r="S13" s="14"/>
      <c r="T13" s="14"/>
      <c r="U13" s="14"/>
      <c r="V13" s="14"/>
      <c r="W13" s="14"/>
      <c r="X13" s="14"/>
      <c r="Y13" s="14"/>
      <c r="Z13" s="14"/>
      <c r="AA13" s="15"/>
      <c r="AB13" s="3"/>
      <c r="AC13" s="3"/>
      <c r="AD13" s="3"/>
      <c r="AE13" s="3"/>
      <c r="AF13" s="3"/>
      <c r="AG13" s="3"/>
      <c r="AH13" s="3"/>
      <c r="AI13" s="3"/>
      <c r="AJ13" s="3"/>
      <c r="AK13" s="3"/>
      <c r="AL13" s="3"/>
      <c r="AM13" s="3"/>
      <c r="AN13" s="3"/>
      <c r="AO13" s="3"/>
    </row>
    <row r="14" spans="1:41" x14ac:dyDescent="0.25">
      <c r="B14" s="13"/>
      <c r="C14" s="6"/>
      <c r="D14" s="167"/>
      <c r="E14" s="35"/>
      <c r="F14" s="56"/>
      <c r="G14" s="6"/>
      <c r="H14" s="94"/>
      <c r="I14" s="35"/>
      <c r="J14" s="56"/>
      <c r="K14" s="56"/>
      <c r="L14" s="56"/>
      <c r="M14" s="56"/>
      <c r="N14" s="56"/>
      <c r="O14" s="56"/>
      <c r="P14" s="14"/>
      <c r="Q14" s="14"/>
      <c r="R14" s="14"/>
      <c r="S14" s="14"/>
      <c r="T14" s="14"/>
      <c r="U14" s="14"/>
      <c r="V14" s="14"/>
      <c r="W14" s="14"/>
      <c r="X14" s="14"/>
      <c r="Y14" s="14"/>
      <c r="Z14" s="14"/>
      <c r="AA14" s="15"/>
      <c r="AB14" s="3"/>
      <c r="AC14" s="3"/>
      <c r="AD14" s="3"/>
      <c r="AE14" s="3"/>
      <c r="AF14" s="3"/>
      <c r="AG14" s="3"/>
      <c r="AH14" s="3"/>
      <c r="AI14" s="3"/>
      <c r="AJ14" s="3"/>
      <c r="AK14" s="3"/>
      <c r="AL14" s="3"/>
      <c r="AM14" s="3"/>
      <c r="AN14" s="3"/>
      <c r="AO14" s="3"/>
    </row>
    <row r="15" spans="1:41" x14ac:dyDescent="0.25">
      <c r="B15" s="13"/>
      <c r="C15" s="6"/>
      <c r="D15" s="167"/>
      <c r="E15" s="35"/>
      <c r="F15" s="56"/>
      <c r="G15" s="6"/>
      <c r="H15" s="94"/>
      <c r="I15" s="35"/>
      <c r="J15" s="56"/>
      <c r="K15" s="56"/>
      <c r="L15" s="56"/>
      <c r="M15" s="56"/>
      <c r="N15" s="56"/>
      <c r="O15" s="56"/>
      <c r="P15" s="14"/>
      <c r="Q15" s="14"/>
      <c r="R15" s="14"/>
      <c r="S15" s="14"/>
      <c r="T15" s="14"/>
      <c r="U15" s="14"/>
      <c r="V15" s="14"/>
      <c r="W15" s="14"/>
      <c r="X15" s="14"/>
      <c r="Y15" s="14"/>
      <c r="Z15" s="14"/>
      <c r="AA15" s="15"/>
      <c r="AB15" s="3"/>
      <c r="AC15" s="3"/>
      <c r="AD15" s="3"/>
      <c r="AE15" s="3"/>
      <c r="AF15" s="3"/>
      <c r="AG15" s="3"/>
      <c r="AH15" s="3"/>
      <c r="AI15" s="3"/>
      <c r="AJ15" s="3"/>
      <c r="AK15" s="3"/>
      <c r="AL15" s="3"/>
      <c r="AM15" s="3"/>
      <c r="AN15" s="3"/>
      <c r="AO15" s="3"/>
    </row>
    <row r="16" spans="1:41" x14ac:dyDescent="0.25">
      <c r="B16" s="13"/>
      <c r="C16" s="108" t="str">
        <f>Parameters!E43</f>
        <v>Cable CAPEX: One-off, demand-driven or lease contracat</v>
      </c>
      <c r="D16" s="167" t="str">
        <f>Parameters!G43</f>
        <v>Demand driven</v>
      </c>
      <c r="E16" s="149"/>
      <c r="F16" s="5"/>
      <c r="G16" s="6"/>
      <c r="H16" s="94"/>
      <c r="I16" s="35"/>
      <c r="J16" s="5"/>
      <c r="K16" s="5"/>
      <c r="L16" s="5"/>
      <c r="M16" s="5"/>
      <c r="N16" s="14"/>
      <c r="O16" s="14"/>
      <c r="P16" s="14"/>
      <c r="Q16" s="14"/>
      <c r="R16" s="14"/>
      <c r="S16" s="14"/>
      <c r="T16" s="14"/>
      <c r="U16" s="14"/>
      <c r="V16" s="14"/>
      <c r="W16" s="14"/>
      <c r="X16" s="14"/>
      <c r="Y16" s="14"/>
      <c r="Z16" s="14"/>
      <c r="AA16" s="15"/>
      <c r="AB16" s="3"/>
      <c r="AC16" s="3"/>
      <c r="AD16" s="3"/>
      <c r="AE16" s="3"/>
      <c r="AF16" s="3"/>
      <c r="AG16" s="3"/>
      <c r="AH16" s="3"/>
      <c r="AI16" s="3"/>
      <c r="AJ16" s="3"/>
      <c r="AK16" s="3"/>
      <c r="AL16" s="3"/>
      <c r="AM16" s="3"/>
      <c r="AN16" s="3"/>
      <c r="AO16" s="3"/>
    </row>
    <row r="17" spans="1:41" x14ac:dyDescent="0.25">
      <c r="B17" s="13"/>
      <c r="C17" s="153"/>
      <c r="D17" s="177"/>
      <c r="E17" s="150"/>
      <c r="F17" s="5"/>
      <c r="G17" s="36"/>
      <c r="H17" s="97"/>
      <c r="I17" s="38"/>
      <c r="J17" s="5"/>
      <c r="K17" s="5"/>
      <c r="L17" s="5"/>
      <c r="M17" s="5"/>
      <c r="N17" s="14"/>
      <c r="O17" s="14"/>
      <c r="P17" s="14"/>
      <c r="Q17" s="14"/>
      <c r="R17" s="14"/>
      <c r="S17" s="14"/>
      <c r="T17" s="14"/>
      <c r="U17" s="14"/>
      <c r="V17" s="14"/>
      <c r="W17" s="14"/>
      <c r="X17" s="14"/>
      <c r="Y17" s="14"/>
      <c r="Z17" s="14"/>
      <c r="AA17" s="15"/>
      <c r="AB17" s="3"/>
      <c r="AC17" s="3"/>
      <c r="AD17" s="3"/>
      <c r="AE17" s="3"/>
      <c r="AF17" s="3"/>
      <c r="AG17" s="3"/>
      <c r="AH17" s="3"/>
      <c r="AI17" s="3"/>
      <c r="AJ17" s="3"/>
      <c r="AK17" s="3"/>
      <c r="AL17" s="3"/>
      <c r="AM17" s="3"/>
      <c r="AN17" s="3"/>
      <c r="AO17" s="3"/>
    </row>
    <row r="18" spans="1:41" x14ac:dyDescent="0.25">
      <c r="B18" s="13"/>
      <c r="C18" s="5"/>
      <c r="D18" s="5"/>
      <c r="E18" s="5"/>
      <c r="F18" s="14"/>
      <c r="G18" s="5"/>
      <c r="H18" s="5"/>
      <c r="I18" s="5"/>
      <c r="J18" s="5"/>
      <c r="K18" s="5"/>
      <c r="L18" s="5"/>
      <c r="M18" s="5"/>
      <c r="N18" s="14"/>
      <c r="O18" s="14"/>
      <c r="P18" s="14"/>
      <c r="Q18" s="14"/>
      <c r="R18" s="14"/>
      <c r="S18" s="14"/>
      <c r="T18" s="14"/>
      <c r="U18" s="14"/>
      <c r="V18" s="14"/>
      <c r="W18" s="14"/>
      <c r="X18" s="14"/>
      <c r="Y18" s="14"/>
      <c r="Z18" s="14"/>
      <c r="AA18" s="15"/>
      <c r="AB18" s="3"/>
      <c r="AC18" s="3"/>
      <c r="AD18" s="3"/>
      <c r="AE18" s="3"/>
      <c r="AF18" s="3"/>
      <c r="AG18" s="3"/>
      <c r="AH18" s="3"/>
      <c r="AI18" s="3"/>
      <c r="AJ18" s="3"/>
      <c r="AK18" s="3"/>
      <c r="AL18" s="3"/>
      <c r="AM18" s="3"/>
      <c r="AN18" s="3"/>
      <c r="AO18" s="3"/>
    </row>
    <row r="19" spans="1:41" x14ac:dyDescent="0.25">
      <c r="B19" s="13"/>
      <c r="C19" s="148" t="s">
        <v>1693</v>
      </c>
      <c r="D19" s="40"/>
      <c r="E19" s="41"/>
      <c r="F19" s="14"/>
      <c r="G19" s="148" t="s">
        <v>1693</v>
      </c>
      <c r="H19" s="40"/>
      <c r="I19" s="41"/>
      <c r="J19" s="5"/>
      <c r="K19" s="5"/>
      <c r="L19" s="5"/>
      <c r="M19" s="5"/>
      <c r="N19" s="14"/>
      <c r="O19" s="14"/>
      <c r="P19" s="14"/>
      <c r="Q19" s="14"/>
      <c r="R19" s="14"/>
      <c r="S19" s="14"/>
      <c r="T19" s="5"/>
      <c r="U19" s="14"/>
      <c r="V19" s="5"/>
      <c r="W19" s="5"/>
      <c r="X19" s="14"/>
      <c r="Y19" s="14"/>
      <c r="Z19" s="14"/>
      <c r="AA19" s="15"/>
      <c r="AB19" s="3"/>
      <c r="AC19" s="3"/>
      <c r="AD19" s="3"/>
      <c r="AE19" s="3"/>
      <c r="AF19" s="3"/>
      <c r="AG19" s="3"/>
      <c r="AH19" s="3"/>
      <c r="AI19" s="3"/>
      <c r="AJ19" s="3"/>
      <c r="AK19" s="3"/>
      <c r="AL19" s="3"/>
      <c r="AM19" s="3"/>
      <c r="AN19" s="3"/>
      <c r="AO19" s="3"/>
    </row>
    <row r="20" spans="1:41" x14ac:dyDescent="0.25">
      <c r="B20" s="13"/>
      <c r="C20" s="14"/>
      <c r="D20" s="14"/>
      <c r="E20" s="14"/>
      <c r="F20" s="14"/>
      <c r="G20" s="14"/>
      <c r="H20" s="14"/>
      <c r="I20" s="14"/>
      <c r="J20" s="5"/>
      <c r="K20" s="5"/>
      <c r="L20" s="5"/>
      <c r="M20" s="5"/>
      <c r="N20" s="14"/>
      <c r="O20" s="14"/>
      <c r="P20" s="14"/>
      <c r="Q20" s="14"/>
      <c r="R20" s="14"/>
      <c r="S20" s="14"/>
      <c r="T20" s="5"/>
      <c r="U20" s="14"/>
      <c r="V20" s="5"/>
      <c r="W20" s="5"/>
      <c r="X20" s="14"/>
      <c r="Y20" s="14"/>
      <c r="Z20" s="14"/>
      <c r="AA20" s="15"/>
      <c r="AB20" s="3"/>
      <c r="AC20" s="3"/>
      <c r="AD20" s="3"/>
      <c r="AE20" s="3"/>
      <c r="AF20" s="3"/>
      <c r="AG20" s="3"/>
      <c r="AH20" s="3"/>
      <c r="AI20" s="3"/>
      <c r="AJ20" s="3"/>
      <c r="AK20" s="3"/>
      <c r="AL20" s="3"/>
      <c r="AM20" s="3"/>
      <c r="AN20" s="3"/>
      <c r="AO20" s="3"/>
    </row>
    <row r="21" spans="1:41" x14ac:dyDescent="0.25">
      <c r="B21" s="13"/>
      <c r="C21" s="122"/>
      <c r="D21" s="86"/>
      <c r="E21" s="427"/>
      <c r="F21" s="14"/>
      <c r="G21" s="32" t="str">
        <f>Parameters!E365</f>
        <v>Capex adjustments H2 on platform</v>
      </c>
      <c r="H21" s="86">
        <f>Parameters!G365</f>
        <v>0</v>
      </c>
      <c r="I21" s="427" t="str">
        <f>Parameters!F365</f>
        <v>EUR</v>
      </c>
      <c r="J21" s="5"/>
      <c r="K21" s="5"/>
      <c r="L21" s="5"/>
      <c r="M21" s="5"/>
      <c r="N21" s="14"/>
      <c r="O21" s="14"/>
      <c r="P21" s="14"/>
      <c r="Q21" s="14"/>
      <c r="R21" s="14"/>
      <c r="S21" s="14"/>
      <c r="T21" s="5"/>
      <c r="U21" s="14"/>
      <c r="V21" s="5"/>
      <c r="W21" s="5"/>
      <c r="X21" s="14"/>
      <c r="Y21" s="14"/>
      <c r="Z21" s="14"/>
      <c r="AA21" s="15"/>
      <c r="AB21" s="3"/>
      <c r="AC21" s="3"/>
      <c r="AD21" s="3"/>
      <c r="AE21" s="3"/>
      <c r="AF21" s="3"/>
      <c r="AG21" s="3"/>
      <c r="AH21" s="3"/>
      <c r="AI21" s="3"/>
      <c r="AJ21" s="3"/>
      <c r="AK21" s="3"/>
      <c r="AL21" s="3"/>
      <c r="AM21" s="3"/>
      <c r="AN21" s="3"/>
      <c r="AO21" s="3"/>
    </row>
    <row r="22" spans="1:41" x14ac:dyDescent="0.25">
      <c r="B22" s="91"/>
      <c r="C22" s="6" t="str">
        <f>Parameters!E357</f>
        <v>Relative capex platforms</v>
      </c>
      <c r="D22" s="92">
        <f>Parameters!G357</f>
        <v>40000000</v>
      </c>
      <c r="E22" s="35" t="str">
        <f>Parameters!F357</f>
        <v>EUR/platform</v>
      </c>
      <c r="F22" s="14"/>
      <c r="G22" s="6" t="str">
        <f>Parameters!E367</f>
        <v>Opex platform</v>
      </c>
      <c r="H22" s="81">
        <f>Parameters!G367</f>
        <v>0</v>
      </c>
      <c r="I22" s="35" t="str">
        <f>Parameters!F367</f>
        <v>EUR / a</v>
      </c>
      <c r="J22" s="5"/>
      <c r="K22" s="5"/>
      <c r="L22" s="5"/>
      <c r="M22" s="5"/>
      <c r="N22" s="14"/>
      <c r="O22" s="14"/>
      <c r="P22" s="14"/>
      <c r="Q22" s="14"/>
      <c r="R22" s="14"/>
      <c r="S22" s="14"/>
      <c r="T22" s="5"/>
      <c r="U22" s="14"/>
      <c r="V22" s="5"/>
      <c r="W22" s="5"/>
      <c r="X22" s="14"/>
      <c r="Y22" s="14"/>
      <c r="Z22" s="14"/>
      <c r="AA22" s="15"/>
      <c r="AB22" s="3"/>
      <c r="AC22" s="3"/>
      <c r="AD22" s="3"/>
      <c r="AE22" s="3"/>
      <c r="AF22" s="3"/>
      <c r="AG22" s="3"/>
      <c r="AH22" s="3"/>
      <c r="AI22" s="3"/>
      <c r="AJ22" s="3"/>
      <c r="AK22" s="3"/>
      <c r="AL22" s="3"/>
      <c r="AM22" s="3"/>
      <c r="AN22" s="3"/>
      <c r="AO22" s="3"/>
    </row>
    <row r="23" spans="1:41" x14ac:dyDescent="0.25">
      <c r="B23" s="13"/>
      <c r="C23" s="6"/>
      <c r="D23" s="92"/>
      <c r="E23" s="35"/>
      <c r="F23" s="14"/>
      <c r="G23" s="6"/>
      <c r="H23" s="81"/>
      <c r="I23" s="35"/>
      <c r="J23" s="5"/>
      <c r="K23" s="5"/>
      <c r="L23" s="5"/>
      <c r="M23" s="5"/>
      <c r="N23" s="14"/>
      <c r="O23" s="14"/>
      <c r="P23" s="14"/>
      <c r="Q23" s="14"/>
      <c r="R23" s="14"/>
      <c r="S23" s="14"/>
      <c r="T23" s="14"/>
      <c r="U23" s="14"/>
      <c r="V23" s="14"/>
      <c r="W23" s="14"/>
      <c r="X23" s="14"/>
      <c r="Y23" s="14"/>
      <c r="Z23" s="14"/>
      <c r="AA23" s="15"/>
      <c r="AB23" s="3"/>
      <c r="AC23" s="3"/>
      <c r="AD23" s="3"/>
      <c r="AE23" s="3"/>
      <c r="AF23" s="3"/>
      <c r="AG23" s="3"/>
      <c r="AH23" s="3"/>
      <c r="AI23" s="3"/>
      <c r="AJ23" s="3"/>
      <c r="AK23" s="3"/>
      <c r="AL23" s="3"/>
      <c r="AM23" s="3"/>
      <c r="AN23" s="3"/>
      <c r="AO23" s="3"/>
    </row>
    <row r="24" spans="1:41" x14ac:dyDescent="0.25">
      <c r="B24" s="13"/>
      <c r="C24" s="6"/>
      <c r="D24" s="92"/>
      <c r="E24" s="35"/>
      <c r="F24" s="14"/>
      <c r="G24" s="6" t="s">
        <v>1695</v>
      </c>
      <c r="H24" s="81">
        <f>D22*$D$6</f>
        <v>0</v>
      </c>
      <c r="I24" s="35" t="s">
        <v>562</v>
      </c>
      <c r="J24" s="5"/>
      <c r="K24" s="5"/>
      <c r="L24" s="5"/>
      <c r="M24" s="5"/>
      <c r="N24" s="14"/>
      <c r="O24" s="14"/>
      <c r="P24" s="14"/>
      <c r="Q24" s="14"/>
      <c r="R24" s="14"/>
      <c r="S24" s="14"/>
      <c r="T24" s="14"/>
      <c r="U24" s="14"/>
      <c r="V24" s="14"/>
      <c r="W24" s="14"/>
      <c r="X24" s="14"/>
      <c r="Y24" s="14"/>
      <c r="Z24" s="14"/>
      <c r="AA24" s="15"/>
      <c r="AB24" s="3"/>
      <c r="AC24" s="3"/>
      <c r="AD24" s="3"/>
      <c r="AE24" s="3"/>
      <c r="AF24" s="3"/>
      <c r="AG24" s="3"/>
      <c r="AH24" s="3"/>
      <c r="AI24" s="3"/>
      <c r="AJ24" s="3"/>
      <c r="AK24" s="3"/>
      <c r="AL24" s="3"/>
      <c r="AM24" s="3"/>
      <c r="AN24" s="3"/>
      <c r="AO24" s="3"/>
    </row>
    <row r="25" spans="1:41" x14ac:dyDescent="0.25">
      <c r="B25" s="13"/>
      <c r="C25" s="6"/>
      <c r="D25" s="92"/>
      <c r="E25" s="35"/>
      <c r="F25" s="14"/>
      <c r="G25" s="6"/>
      <c r="H25" s="94"/>
      <c r="I25" s="84"/>
      <c r="J25" s="5"/>
      <c r="K25" s="5"/>
      <c r="L25" s="5"/>
      <c r="M25" s="5"/>
      <c r="N25" s="14"/>
      <c r="O25" s="14"/>
      <c r="P25" s="14"/>
      <c r="Q25" s="14"/>
      <c r="R25" s="14"/>
      <c r="S25" s="14"/>
      <c r="T25" s="14"/>
      <c r="U25" s="14"/>
      <c r="V25" s="14"/>
      <c r="W25" s="14"/>
      <c r="X25" s="14"/>
      <c r="Y25" s="14"/>
      <c r="Z25" s="14"/>
      <c r="AA25" s="15"/>
      <c r="AB25" s="3"/>
      <c r="AC25" s="3"/>
      <c r="AD25" s="3"/>
      <c r="AE25" s="3"/>
      <c r="AF25" s="3"/>
      <c r="AG25" s="3"/>
      <c r="AH25" s="3"/>
      <c r="AI25" s="3"/>
      <c r="AJ25" s="3"/>
      <c r="AK25" s="3"/>
      <c r="AL25" s="3"/>
      <c r="AM25" s="3"/>
      <c r="AN25" s="3"/>
      <c r="AO25" s="3"/>
    </row>
    <row r="26" spans="1:41" x14ac:dyDescent="0.25">
      <c r="B26" s="13"/>
      <c r="C26" s="6"/>
      <c r="D26" s="93"/>
      <c r="E26" s="84"/>
      <c r="F26" s="14"/>
      <c r="G26" s="6"/>
      <c r="H26" s="93"/>
      <c r="I26" s="84"/>
      <c r="J26" s="5"/>
      <c r="K26" s="5"/>
      <c r="L26" s="5"/>
      <c r="M26" s="5"/>
      <c r="N26" s="14"/>
      <c r="O26" s="14"/>
      <c r="P26" s="14"/>
      <c r="Q26" s="14"/>
      <c r="R26" s="14"/>
      <c r="S26" s="14"/>
      <c r="T26" s="14"/>
      <c r="U26" s="14"/>
      <c r="V26" s="14"/>
      <c r="W26" s="14"/>
      <c r="X26" s="14"/>
      <c r="Y26" s="14"/>
      <c r="Z26" s="14"/>
      <c r="AA26" s="15"/>
      <c r="AB26" s="3"/>
      <c r="AC26" s="3"/>
      <c r="AD26" s="3"/>
      <c r="AE26" s="3"/>
      <c r="AF26" s="3"/>
      <c r="AG26" s="3"/>
      <c r="AH26" s="3"/>
      <c r="AI26" s="3"/>
      <c r="AJ26" s="3"/>
      <c r="AK26" s="3"/>
      <c r="AL26" s="3"/>
      <c r="AM26" s="3"/>
      <c r="AN26" s="3"/>
      <c r="AO26" s="3"/>
    </row>
    <row r="27" spans="1:41" x14ac:dyDescent="0.25">
      <c r="B27" s="13"/>
      <c r="C27" s="152"/>
      <c r="D27" s="166"/>
      <c r="E27" s="96"/>
      <c r="F27" s="14"/>
      <c r="G27" s="6"/>
      <c r="H27" s="178"/>
      <c r="I27" s="96"/>
      <c r="J27" s="5"/>
      <c r="K27" s="5"/>
      <c r="L27" s="5"/>
      <c r="M27" s="5"/>
      <c r="N27" s="14"/>
      <c r="O27" s="14"/>
      <c r="P27" s="14"/>
      <c r="Q27" s="14"/>
      <c r="R27" s="14"/>
      <c r="S27" s="14"/>
      <c r="T27" s="14"/>
      <c r="U27" s="14"/>
      <c r="V27" s="14"/>
      <c r="W27" s="14"/>
      <c r="X27" s="14"/>
      <c r="Y27" s="14"/>
      <c r="Z27" s="14"/>
      <c r="AA27" s="15"/>
      <c r="AB27" s="3"/>
      <c r="AC27" s="3"/>
      <c r="AD27" s="3"/>
      <c r="AE27" s="3"/>
      <c r="AF27" s="3"/>
      <c r="AG27" s="3"/>
      <c r="AH27" s="3"/>
      <c r="AI27" s="3"/>
      <c r="AJ27" s="3"/>
      <c r="AK27" s="3"/>
      <c r="AL27" s="3"/>
      <c r="AM27" s="3"/>
      <c r="AN27" s="3"/>
      <c r="AO27" s="3"/>
    </row>
    <row r="28" spans="1:41" x14ac:dyDescent="0.25">
      <c r="B28" s="13"/>
      <c r="C28" s="6"/>
      <c r="D28" s="119"/>
      <c r="E28" s="96"/>
      <c r="F28" s="14"/>
      <c r="G28" s="6"/>
      <c r="H28" s="119"/>
      <c r="I28" s="96"/>
      <c r="J28" s="5"/>
      <c r="K28" s="5"/>
      <c r="L28" s="5"/>
      <c r="M28" s="5"/>
      <c r="N28" s="14"/>
      <c r="O28" s="14"/>
      <c r="P28" s="14"/>
      <c r="Q28" s="14"/>
      <c r="R28" s="14"/>
      <c r="S28" s="14"/>
      <c r="T28" s="14"/>
      <c r="U28" s="14"/>
      <c r="V28" s="14"/>
      <c r="W28" s="14"/>
      <c r="X28" s="14"/>
      <c r="Y28" s="14"/>
      <c r="Z28" s="14"/>
      <c r="AA28" s="15"/>
      <c r="AB28" s="3"/>
      <c r="AC28" s="3"/>
      <c r="AD28" s="3"/>
      <c r="AE28" s="3"/>
      <c r="AF28" s="3"/>
      <c r="AG28" s="3"/>
      <c r="AH28" s="3"/>
      <c r="AI28" s="3"/>
      <c r="AJ28" s="3"/>
      <c r="AK28" s="3"/>
      <c r="AL28" s="3"/>
      <c r="AM28" s="3"/>
      <c r="AN28" s="3"/>
      <c r="AO28" s="3"/>
    </row>
    <row r="29" spans="1:41" x14ac:dyDescent="0.25">
      <c r="B29" s="13"/>
      <c r="C29" s="6"/>
      <c r="D29" s="93"/>
      <c r="E29" s="96"/>
      <c r="F29" s="14"/>
      <c r="G29" s="6"/>
      <c r="H29" s="93"/>
      <c r="I29" s="96"/>
      <c r="J29" s="5"/>
      <c r="K29" s="5"/>
      <c r="L29" s="5"/>
      <c r="M29" s="5"/>
      <c r="N29" s="14"/>
      <c r="O29" s="14"/>
      <c r="P29" s="14"/>
      <c r="Q29" s="14"/>
      <c r="R29" s="14"/>
      <c r="S29" s="14"/>
      <c r="T29" s="14"/>
      <c r="U29" s="14"/>
      <c r="V29" s="14"/>
      <c r="W29" s="14"/>
      <c r="X29" s="14"/>
      <c r="Y29" s="14"/>
      <c r="Z29" s="14"/>
      <c r="AA29" s="15"/>
      <c r="AB29" s="3"/>
      <c r="AC29" s="3"/>
      <c r="AD29" s="3"/>
      <c r="AE29" s="3"/>
      <c r="AF29" s="3"/>
      <c r="AG29" s="3"/>
      <c r="AH29" s="3"/>
      <c r="AI29" s="3"/>
      <c r="AJ29" s="3"/>
      <c r="AK29" s="3"/>
      <c r="AL29" s="3"/>
      <c r="AM29" s="3"/>
      <c r="AN29" s="3"/>
      <c r="AO29" s="3"/>
    </row>
    <row r="30" spans="1:41" x14ac:dyDescent="0.25">
      <c r="B30" s="13"/>
      <c r="C30" s="36"/>
      <c r="D30" s="106"/>
      <c r="E30" s="174"/>
      <c r="F30" s="14"/>
      <c r="G30" s="36"/>
      <c r="H30" s="106"/>
      <c r="I30" s="174"/>
      <c r="J30" s="5"/>
      <c r="K30" s="5"/>
      <c r="L30" s="5"/>
      <c r="M30" s="5"/>
      <c r="N30" s="14"/>
      <c r="O30" s="14"/>
      <c r="P30" s="14"/>
      <c r="Q30" s="14"/>
      <c r="R30" s="14"/>
      <c r="S30" s="14"/>
      <c r="T30" s="14"/>
      <c r="U30" s="14"/>
      <c r="V30" s="14"/>
      <c r="W30" s="14"/>
      <c r="X30" s="14"/>
      <c r="Y30" s="14"/>
      <c r="Z30" s="14"/>
      <c r="AA30" s="15"/>
      <c r="AB30" s="3"/>
      <c r="AC30" s="3"/>
      <c r="AD30" s="3"/>
      <c r="AE30" s="3"/>
      <c r="AF30" s="3"/>
      <c r="AG30" s="3"/>
      <c r="AH30" s="3"/>
      <c r="AI30" s="3"/>
      <c r="AJ30" s="3"/>
      <c r="AK30" s="3"/>
      <c r="AL30" s="3"/>
      <c r="AM30" s="3"/>
      <c r="AN30" s="3"/>
      <c r="AO30" s="3"/>
    </row>
    <row r="31" spans="1:41" s="127" customFormat="1" x14ac:dyDescent="0.25">
      <c r="A31" s="125"/>
      <c r="B31" s="126"/>
      <c r="C31" s="5"/>
      <c r="D31" s="5"/>
      <c r="E31" s="5"/>
      <c r="F31" s="158"/>
      <c r="G31" s="158"/>
      <c r="H31" s="158"/>
      <c r="I31" s="158"/>
      <c r="J31" s="17"/>
      <c r="K31" s="17"/>
      <c r="L31" s="17"/>
      <c r="M31" s="17"/>
      <c r="N31" s="17"/>
      <c r="O31" s="17"/>
      <c r="P31" s="17"/>
      <c r="Q31" s="17"/>
      <c r="R31" s="17"/>
      <c r="S31" s="17"/>
      <c r="T31" s="17"/>
      <c r="U31" s="17"/>
      <c r="V31" s="17"/>
      <c r="W31" s="17"/>
      <c r="X31" s="17"/>
      <c r="Y31" s="17"/>
      <c r="Z31" s="17"/>
      <c r="AA31" s="131"/>
      <c r="AB31" s="125"/>
      <c r="AC31" s="125"/>
      <c r="AD31" s="125"/>
      <c r="AE31" s="125"/>
      <c r="AF31" s="125"/>
      <c r="AG31" s="125"/>
      <c r="AH31" s="125"/>
      <c r="AI31" s="125"/>
      <c r="AJ31" s="125"/>
      <c r="AK31" s="125"/>
      <c r="AL31" s="125"/>
      <c r="AM31" s="125"/>
      <c r="AN31" s="125"/>
      <c r="AO31" s="125"/>
    </row>
    <row r="32" spans="1:41" x14ac:dyDescent="0.25">
      <c r="B32" s="13"/>
      <c r="C32" s="39" t="s">
        <v>746</v>
      </c>
      <c r="D32" s="40"/>
      <c r="E32" s="41"/>
      <c r="F32" s="5"/>
      <c r="G32" s="39" t="s">
        <v>746</v>
      </c>
      <c r="H32" s="40"/>
      <c r="I32" s="41"/>
      <c r="J32" s="14"/>
      <c r="K32" s="39" t="s">
        <v>83</v>
      </c>
      <c r="L32" s="40"/>
      <c r="M32" s="41"/>
      <c r="N32" s="14"/>
      <c r="O32" s="14"/>
      <c r="P32" s="14"/>
      <c r="Q32" s="14"/>
      <c r="R32" s="14"/>
      <c r="S32" s="14"/>
      <c r="T32" s="14"/>
      <c r="U32" s="14"/>
      <c r="V32" s="14"/>
      <c r="W32" s="14"/>
      <c r="X32" s="14"/>
      <c r="Y32" s="14"/>
      <c r="Z32" s="14"/>
      <c r="AA32" s="15"/>
      <c r="AB32" s="3"/>
      <c r="AC32" s="3"/>
      <c r="AD32" s="3"/>
      <c r="AE32" s="3"/>
      <c r="AF32" s="3"/>
      <c r="AG32" s="3"/>
      <c r="AH32" s="3"/>
      <c r="AI32" s="3"/>
      <c r="AJ32" s="3"/>
      <c r="AK32" s="3"/>
      <c r="AL32" s="3"/>
      <c r="AM32" s="3"/>
      <c r="AN32" s="3"/>
      <c r="AO32" s="3"/>
    </row>
    <row r="33" spans="2:41" x14ac:dyDescent="0.25">
      <c r="B33" s="13"/>
      <c r="C33" s="14"/>
      <c r="D33" s="14"/>
      <c r="E33" s="14"/>
      <c r="F33" s="5"/>
      <c r="G33" s="14"/>
      <c r="H33" s="14"/>
      <c r="I33" s="14"/>
      <c r="J33" s="14"/>
      <c r="K33" s="14"/>
      <c r="L33" s="14"/>
      <c r="M33" s="14"/>
      <c r="N33" s="14"/>
      <c r="O33" s="14"/>
      <c r="P33" s="14"/>
      <c r="Q33" s="14"/>
      <c r="R33" s="14"/>
      <c r="S33" s="14"/>
      <c r="T33" s="14"/>
      <c r="U33" s="14"/>
      <c r="V33" s="14"/>
      <c r="W33" s="14"/>
      <c r="X33" s="14"/>
      <c r="Y33" s="14"/>
      <c r="Z33" s="14"/>
      <c r="AA33" s="15"/>
      <c r="AB33" s="3"/>
      <c r="AC33" s="3"/>
      <c r="AD33" s="3"/>
      <c r="AE33" s="3"/>
      <c r="AF33" s="3"/>
      <c r="AG33" s="3"/>
      <c r="AH33" s="3"/>
      <c r="AI33" s="3"/>
      <c r="AJ33" s="3"/>
      <c r="AK33" s="3"/>
      <c r="AL33" s="3"/>
      <c r="AM33" s="3"/>
      <c r="AN33" s="3"/>
      <c r="AO33" s="3"/>
    </row>
    <row r="34" spans="2:41" x14ac:dyDescent="0.25">
      <c r="B34" s="13"/>
      <c r="C34" s="32"/>
      <c r="D34" s="33"/>
      <c r="E34" s="34"/>
      <c r="F34" s="5"/>
      <c r="G34" s="32"/>
      <c r="H34" s="33"/>
      <c r="I34" s="34"/>
      <c r="J34" s="14"/>
      <c r="K34" s="32" t="str">
        <f>C13</f>
        <v>Additional electric connection</v>
      </c>
      <c r="L34" s="86">
        <f t="shared" ref="L34:M34" si="5">D13</f>
        <v>10.11971706980685</v>
      </c>
      <c r="M34" s="34" t="str">
        <f t="shared" si="5"/>
        <v>MW</v>
      </c>
      <c r="N34" s="14"/>
      <c r="O34" s="14"/>
      <c r="P34" s="14"/>
      <c r="Q34" s="14"/>
      <c r="R34" s="14"/>
      <c r="S34" s="14"/>
      <c r="T34" s="14"/>
      <c r="U34" s="14"/>
      <c r="V34" s="14"/>
      <c r="W34" s="14"/>
      <c r="X34" s="14"/>
      <c r="Y34" s="14"/>
      <c r="Z34" s="14"/>
      <c r="AA34" s="15"/>
      <c r="AB34" s="3"/>
      <c r="AC34" s="3"/>
      <c r="AD34" s="3"/>
      <c r="AE34" s="3"/>
      <c r="AF34" s="3"/>
      <c r="AG34" s="3"/>
      <c r="AH34" s="3"/>
      <c r="AI34" s="3"/>
      <c r="AJ34" s="3"/>
      <c r="AK34" s="3"/>
      <c r="AL34" s="3"/>
      <c r="AM34" s="3"/>
      <c r="AN34" s="3"/>
      <c r="AO34" s="3"/>
    </row>
    <row r="35" spans="2:41" x14ac:dyDescent="0.25">
      <c r="B35" s="13"/>
      <c r="C35" s="6" t="str">
        <f>Parameters!$E$38</f>
        <v>Cable cost constant</v>
      </c>
      <c r="D35" s="348">
        <f>Parameters!$G$38*ROUNDUP($D$13/E_cable_costs!$D$163,0)</f>
        <v>7853400</v>
      </c>
      <c r="E35" s="704" t="str">
        <f>Parameters!$F$38</f>
        <v>EUR</v>
      </c>
      <c r="F35" s="5"/>
      <c r="G35" s="6" t="str">
        <f>Parameters!E363</f>
        <v>Capex cable (H2)</v>
      </c>
      <c r="H35" s="348">
        <f>IF($D$16="One-off",0,D35+D38*D10+((D37+D36*D13)*D10))</f>
        <v>18820682.115318585</v>
      </c>
      <c r="I35" s="701" t="str">
        <f>E35</f>
        <v>EUR</v>
      </c>
      <c r="J35" s="14"/>
      <c r="K35" s="6" t="str">
        <f>Parameters!E360</f>
        <v>Specific area electrical equipment</v>
      </c>
      <c r="L35" s="348">
        <f>Parameters!G360</f>
        <v>9.2831095406360422</v>
      </c>
      <c r="M35" s="701" t="str">
        <f>Parameters!F360</f>
        <v>m²/MW</v>
      </c>
      <c r="N35" s="14"/>
      <c r="O35" s="14"/>
      <c r="P35" s="14"/>
      <c r="Q35" s="14"/>
      <c r="R35" s="14"/>
      <c r="S35" s="14"/>
      <c r="T35" s="14"/>
      <c r="U35" s="14"/>
      <c r="V35" s="14"/>
      <c r="W35" s="14"/>
      <c r="X35" s="14"/>
      <c r="Y35" s="14"/>
      <c r="Z35" s="14"/>
      <c r="AA35" s="15"/>
      <c r="AB35" s="3"/>
      <c r="AC35" s="3"/>
      <c r="AD35" s="3"/>
      <c r="AE35" s="3"/>
      <c r="AF35" s="3"/>
      <c r="AG35" s="3"/>
      <c r="AH35" s="3"/>
      <c r="AI35" s="3"/>
      <c r="AJ35" s="3"/>
      <c r="AK35" s="3"/>
      <c r="AL35" s="3"/>
      <c r="AM35" s="3"/>
      <c r="AN35" s="3"/>
      <c r="AO35" s="3"/>
    </row>
    <row r="36" spans="2:41" ht="14.45" customHeight="1" x14ac:dyDescent="0.25">
      <c r="B36" s="13"/>
      <c r="C36" s="6" t="str">
        <f>Parameters!$E$39</f>
        <v>Cable supply coefficient 1</v>
      </c>
      <c r="D36" s="348">
        <f>Parameters!$G$39</f>
        <v>2820</v>
      </c>
      <c r="E36" s="704" t="str">
        <f>Parameters!$F$39</f>
        <v>EUR/(MW*km)</v>
      </c>
      <c r="F36" s="5"/>
      <c r="G36" s="6" t="str">
        <f>Parameters!E364</f>
        <v>Opex cable (H2)</v>
      </c>
      <c r="H36" s="700">
        <f>IF($D$16="One-off",0,D39*H35)</f>
        <v>0</v>
      </c>
      <c r="I36" s="702" t="str">
        <f>Parameters!F364</f>
        <v>EUR/a</v>
      </c>
      <c r="J36" s="14"/>
      <c r="K36" s="6" t="str">
        <f>Parameters!E361</f>
        <v>Specific weight electrical equipment</v>
      </c>
      <c r="L36" s="348">
        <f>Parameters!G361</f>
        <v>0.65073059234615382</v>
      </c>
      <c r="M36" s="701" t="str">
        <f>Parameters!F361</f>
        <v>ton / MW</v>
      </c>
      <c r="N36" s="14"/>
      <c r="O36" s="14"/>
      <c r="P36" s="14"/>
      <c r="Q36" s="14"/>
      <c r="R36" s="14"/>
      <c r="S36" s="14"/>
      <c r="T36" s="14"/>
      <c r="U36" s="14"/>
      <c r="V36" s="14"/>
      <c r="W36" s="14"/>
      <c r="X36" s="14"/>
      <c r="Y36" s="14"/>
      <c r="Z36" s="14"/>
      <c r="AA36" s="15"/>
      <c r="AB36" s="3"/>
      <c r="AC36" s="3"/>
      <c r="AD36" s="3"/>
      <c r="AE36" s="3"/>
      <c r="AF36" s="3"/>
      <c r="AG36" s="3"/>
      <c r="AH36" s="3"/>
      <c r="AI36" s="3"/>
      <c r="AJ36" s="3"/>
      <c r="AK36" s="3"/>
      <c r="AL36" s="3"/>
      <c r="AM36" s="3"/>
      <c r="AN36" s="3"/>
      <c r="AO36" s="3"/>
    </row>
    <row r="37" spans="2:41" x14ac:dyDescent="0.25">
      <c r="B37" s="13"/>
      <c r="C37" s="6" t="str">
        <f>Parameters!$E$40</f>
        <v>Cable supply coefficient 2</v>
      </c>
      <c r="D37" s="348">
        <f>Parameters!$G$40*ROUNDUP($D$13/E_cable_costs!$D$163,0)</f>
        <v>140000</v>
      </c>
      <c r="E37" s="704" t="str">
        <f>Parameters!$F$40</f>
        <v>EUR/(MW*km)</v>
      </c>
      <c r="F37" s="5"/>
      <c r="G37" s="6"/>
      <c r="H37" s="72"/>
      <c r="I37" s="35"/>
      <c r="J37" s="14"/>
      <c r="K37" s="6" t="s">
        <v>1546</v>
      </c>
      <c r="L37" s="81">
        <f>L35*$L$34</f>
        <v>93.942442079261383</v>
      </c>
      <c r="M37" s="35" t="s">
        <v>810</v>
      </c>
      <c r="N37" s="14"/>
      <c r="O37" s="14"/>
      <c r="P37" s="14"/>
      <c r="Q37" s="14"/>
      <c r="R37" s="14"/>
      <c r="S37" s="14"/>
      <c r="T37" s="14"/>
      <c r="U37" s="14"/>
      <c r="V37" s="14"/>
      <c r="W37" s="14"/>
      <c r="X37" s="14"/>
      <c r="Y37" s="14"/>
      <c r="Z37" s="14"/>
      <c r="AA37" s="15"/>
      <c r="AB37" s="3"/>
      <c r="AC37" s="3"/>
      <c r="AD37" s="3"/>
      <c r="AE37" s="3"/>
      <c r="AF37" s="3"/>
      <c r="AG37" s="3"/>
      <c r="AH37" s="3"/>
      <c r="AI37" s="3"/>
      <c r="AJ37" s="3"/>
      <c r="AK37" s="3"/>
      <c r="AL37" s="3"/>
      <c r="AM37" s="3"/>
      <c r="AN37" s="3"/>
      <c r="AO37" s="3"/>
    </row>
    <row r="38" spans="2:41" x14ac:dyDescent="0.25">
      <c r="B38" s="13"/>
      <c r="C38" s="6" t="str">
        <f>Parameters!$E$41</f>
        <v>Cable cost coefficient 1</v>
      </c>
      <c r="D38" s="348">
        <f>Parameters!$G$41*ROUNDUP($D$13/E_cable_costs!$D$163,0)</f>
        <v>121602.13636363637</v>
      </c>
      <c r="E38" s="704" t="str">
        <f>Parameters!$F$41</f>
        <v>EUR/km</v>
      </c>
      <c r="F38" s="5"/>
      <c r="G38" s="6"/>
      <c r="H38" s="347"/>
      <c r="I38" s="703"/>
      <c r="J38" s="14"/>
      <c r="K38" s="6" t="s">
        <v>1547</v>
      </c>
      <c r="L38" s="81">
        <f>L36*$L$34</f>
        <v>6.5852094832108952</v>
      </c>
      <c r="M38" s="703" t="s">
        <v>1540</v>
      </c>
      <c r="N38" s="14"/>
      <c r="O38" s="14"/>
      <c r="P38" s="14"/>
      <c r="Q38" s="14"/>
      <c r="R38" s="14"/>
      <c r="S38" s="14"/>
      <c r="T38" s="14"/>
      <c r="U38" s="14"/>
      <c r="V38" s="14"/>
      <c r="W38" s="14"/>
      <c r="X38" s="14"/>
      <c r="Y38" s="14"/>
      <c r="Z38" s="14"/>
      <c r="AA38" s="15"/>
      <c r="AB38" s="3"/>
      <c r="AC38" s="3"/>
      <c r="AD38" s="3"/>
      <c r="AE38" s="3"/>
      <c r="AF38" s="3"/>
      <c r="AG38" s="3"/>
      <c r="AH38" s="3"/>
      <c r="AI38" s="3"/>
      <c r="AJ38" s="3"/>
      <c r="AK38" s="3"/>
      <c r="AL38" s="3"/>
      <c r="AM38" s="3"/>
      <c r="AN38" s="3"/>
      <c r="AO38" s="3"/>
    </row>
    <row r="39" spans="2:41" x14ac:dyDescent="0.25">
      <c r="B39" s="13"/>
      <c r="C39" s="6" t="str">
        <f>Parameters!E362</f>
        <v>Relative opex cable</v>
      </c>
      <c r="D39" s="978">
        <f>Parameters!G362</f>
        <v>0</v>
      </c>
      <c r="E39" s="704" t="str">
        <f>Parameters!F362</f>
        <v>% of Capex</v>
      </c>
      <c r="F39" s="5"/>
      <c r="G39" s="6"/>
      <c r="H39" s="43"/>
      <c r="I39" s="35"/>
      <c r="J39" s="14"/>
      <c r="K39" s="6"/>
      <c r="L39" s="43"/>
      <c r="M39" s="35"/>
      <c r="N39" s="14"/>
      <c r="O39" s="14"/>
      <c r="P39" s="14"/>
      <c r="Q39" s="14"/>
      <c r="R39" s="14"/>
      <c r="S39" s="14"/>
      <c r="T39" s="14"/>
      <c r="U39" s="14"/>
      <c r="V39" s="14"/>
      <c r="W39" s="14"/>
      <c r="X39" s="14"/>
      <c r="Y39" s="14"/>
      <c r="Z39" s="14"/>
      <c r="AA39" s="15"/>
      <c r="AB39" s="3"/>
      <c r="AC39" s="3"/>
      <c r="AD39" s="3"/>
      <c r="AE39" s="3"/>
      <c r="AF39" s="3"/>
      <c r="AG39" s="3"/>
      <c r="AH39" s="3"/>
      <c r="AI39" s="3"/>
      <c r="AJ39" s="3"/>
      <c r="AK39" s="3"/>
      <c r="AL39" s="3"/>
      <c r="AM39" s="3"/>
      <c r="AN39" s="3"/>
      <c r="AO39" s="3"/>
    </row>
    <row r="40" spans="2:41" x14ac:dyDescent="0.25">
      <c r="B40" s="13"/>
      <c r="C40" s="36"/>
      <c r="D40" s="37"/>
      <c r="E40" s="38"/>
      <c r="F40" s="5"/>
      <c r="G40" s="36"/>
      <c r="H40" s="37"/>
      <c r="I40" s="38"/>
      <c r="J40" s="14"/>
      <c r="K40" s="36"/>
      <c r="L40" s="37"/>
      <c r="M40" s="38"/>
      <c r="N40" s="14"/>
      <c r="O40" s="14"/>
      <c r="P40" s="14"/>
      <c r="Q40" s="14"/>
      <c r="R40" s="14"/>
      <c r="S40" s="14"/>
      <c r="T40" s="14"/>
      <c r="U40" s="14"/>
      <c r="V40" s="14"/>
      <c r="W40" s="14"/>
      <c r="X40" s="14"/>
      <c r="Y40" s="14"/>
      <c r="Z40" s="14"/>
      <c r="AA40" s="15"/>
      <c r="AB40" s="3"/>
      <c r="AC40" s="3"/>
      <c r="AD40" s="3"/>
      <c r="AE40" s="3"/>
      <c r="AF40" s="3"/>
      <c r="AG40" s="3"/>
      <c r="AH40" s="3"/>
      <c r="AI40" s="3"/>
      <c r="AJ40" s="3"/>
      <c r="AK40" s="3"/>
      <c r="AL40" s="3"/>
      <c r="AM40" s="3"/>
      <c r="AN40" s="3"/>
      <c r="AO40" s="3"/>
    </row>
    <row r="41" spans="2:41" ht="18.75" x14ac:dyDescent="0.3">
      <c r="B41" s="67"/>
      <c r="C41" s="5"/>
      <c r="D41" s="5"/>
      <c r="E41" s="5"/>
      <c r="F41" s="5"/>
      <c r="G41" s="5"/>
      <c r="H41" s="5"/>
      <c r="I41" s="5"/>
      <c r="J41" s="14"/>
      <c r="K41" s="14"/>
      <c r="L41" s="14"/>
      <c r="M41" s="14"/>
      <c r="N41" s="14"/>
      <c r="O41" s="14"/>
      <c r="P41" s="14"/>
      <c r="Q41" s="14"/>
      <c r="R41" s="14"/>
      <c r="S41" s="14"/>
      <c r="T41" s="14"/>
      <c r="U41" s="14"/>
      <c r="V41" s="14"/>
      <c r="W41" s="14"/>
      <c r="X41" s="14"/>
      <c r="Y41" s="14"/>
      <c r="Z41" s="14"/>
      <c r="AA41" s="15"/>
      <c r="AB41" s="3"/>
      <c r="AC41" s="3"/>
      <c r="AD41" s="3"/>
      <c r="AE41" s="3"/>
      <c r="AF41" s="3"/>
      <c r="AG41" s="3"/>
      <c r="AH41" s="3"/>
      <c r="AI41" s="3"/>
      <c r="AJ41" s="3"/>
      <c r="AK41" s="3"/>
      <c r="AL41" s="3"/>
      <c r="AM41" s="3"/>
      <c r="AN41" s="3"/>
      <c r="AO41" s="3"/>
    </row>
    <row r="42" spans="2:41" x14ac:dyDescent="0.25">
      <c r="B42" s="13"/>
      <c r="C42" s="5"/>
      <c r="D42" s="158"/>
      <c r="E42" s="5"/>
      <c r="F42" s="5"/>
      <c r="G42" s="5"/>
      <c r="H42" s="14"/>
      <c r="I42" s="14"/>
      <c r="J42" s="14"/>
      <c r="K42" s="14"/>
      <c r="L42" s="14"/>
      <c r="M42" s="14"/>
      <c r="N42" s="14"/>
      <c r="O42" s="14"/>
      <c r="P42" s="14"/>
      <c r="Q42" s="14"/>
      <c r="R42" s="14"/>
      <c r="S42" s="14"/>
      <c r="T42" s="14"/>
      <c r="U42" s="14"/>
      <c r="V42" s="14"/>
      <c r="W42" s="14"/>
      <c r="X42" s="14"/>
      <c r="Y42" s="14"/>
      <c r="Z42" s="14"/>
      <c r="AA42" s="15"/>
      <c r="AB42" s="3"/>
      <c r="AC42" s="3"/>
      <c r="AD42" s="3"/>
      <c r="AE42" s="3"/>
      <c r="AF42" s="3"/>
      <c r="AG42" s="3"/>
      <c r="AH42" s="3"/>
      <c r="AI42" s="3"/>
      <c r="AJ42" s="3"/>
      <c r="AK42" s="3"/>
      <c r="AL42" s="3"/>
      <c r="AM42" s="3"/>
      <c r="AN42" s="3"/>
      <c r="AO42" s="3"/>
    </row>
    <row r="43" spans="2:41" x14ac:dyDescent="0.25">
      <c r="B43" s="13"/>
      <c r="C43" s="5"/>
      <c r="D43" s="158"/>
      <c r="E43" s="158"/>
      <c r="F43" s="158"/>
      <c r="G43" s="158"/>
      <c r="H43" s="158"/>
      <c r="I43" s="14"/>
      <c r="J43" s="14"/>
      <c r="K43" s="14"/>
      <c r="L43" s="14"/>
      <c r="M43" s="14"/>
      <c r="N43" s="14"/>
      <c r="O43" s="14"/>
      <c r="P43" s="14"/>
      <c r="Q43" s="14"/>
      <c r="R43" s="14"/>
      <c r="S43" s="14"/>
      <c r="T43" s="14"/>
      <c r="U43" s="14"/>
      <c r="V43" s="14"/>
      <c r="W43" s="14"/>
      <c r="X43" s="14"/>
      <c r="Y43" s="14"/>
      <c r="Z43" s="14"/>
      <c r="AA43" s="15"/>
      <c r="AB43" s="3"/>
      <c r="AC43" s="3"/>
      <c r="AD43" s="3"/>
      <c r="AE43" s="3"/>
      <c r="AF43" s="3"/>
      <c r="AG43" s="3"/>
      <c r="AH43" s="3"/>
      <c r="AI43" s="3"/>
      <c r="AJ43" s="3"/>
      <c r="AK43" s="3"/>
      <c r="AL43" s="3"/>
      <c r="AM43" s="3"/>
      <c r="AN43" s="3"/>
      <c r="AO43" s="3"/>
    </row>
    <row r="44" spans="2:41" x14ac:dyDescent="0.25">
      <c r="B44" s="13"/>
      <c r="C44" s="5"/>
      <c r="D44" s="158"/>
      <c r="E44" s="158"/>
      <c r="F44" s="158"/>
      <c r="G44" s="158"/>
      <c r="H44" s="158"/>
      <c r="I44" s="14"/>
      <c r="J44" s="14"/>
      <c r="K44" s="14"/>
      <c r="L44" s="14"/>
      <c r="M44" s="14"/>
      <c r="N44" s="14"/>
      <c r="O44" s="14"/>
      <c r="P44" s="14"/>
      <c r="Q44" s="14"/>
      <c r="R44" s="14"/>
      <c r="S44" s="14"/>
      <c r="T44" s="14"/>
      <c r="U44" s="14"/>
      <c r="V44" s="14"/>
      <c r="W44" s="14"/>
      <c r="X44" s="14"/>
      <c r="Y44" s="14"/>
      <c r="Z44" s="14"/>
      <c r="AA44" s="15"/>
      <c r="AB44" s="3"/>
      <c r="AC44" s="3"/>
      <c r="AD44" s="3"/>
      <c r="AE44" s="3"/>
      <c r="AF44" s="3"/>
      <c r="AG44" s="3"/>
      <c r="AH44" s="3"/>
      <c r="AI44" s="3"/>
      <c r="AJ44" s="3"/>
      <c r="AK44" s="3"/>
      <c r="AL44" s="3"/>
      <c r="AM44" s="3"/>
      <c r="AN44" s="3"/>
      <c r="AO44" s="3"/>
    </row>
    <row r="45" spans="2:41" x14ac:dyDescent="0.25">
      <c r="B45" s="13"/>
      <c r="C45" s="5"/>
      <c r="D45" s="158"/>
      <c r="E45" s="5"/>
      <c r="F45" s="5"/>
      <c r="G45" s="5"/>
      <c r="H45" s="14"/>
      <c r="I45" s="14"/>
      <c r="J45" s="14"/>
      <c r="K45" s="14"/>
      <c r="L45" s="14"/>
      <c r="M45" s="14"/>
      <c r="N45" s="14"/>
      <c r="O45" s="14"/>
      <c r="P45" s="14"/>
      <c r="Q45" s="14"/>
      <c r="R45" s="14"/>
      <c r="S45" s="14"/>
      <c r="T45" s="14"/>
      <c r="U45" s="14"/>
      <c r="V45" s="14"/>
      <c r="W45" s="14"/>
      <c r="X45" s="14"/>
      <c r="Y45" s="14"/>
      <c r="Z45" s="14"/>
      <c r="AA45" s="15"/>
      <c r="AB45" s="3"/>
      <c r="AC45" s="3"/>
      <c r="AD45" s="3"/>
      <c r="AE45" s="3"/>
      <c r="AF45" s="3"/>
      <c r="AG45" s="3"/>
      <c r="AH45" s="3"/>
      <c r="AI45" s="3"/>
      <c r="AJ45" s="3"/>
      <c r="AK45" s="3"/>
      <c r="AL45" s="3"/>
      <c r="AM45" s="3"/>
      <c r="AN45" s="3"/>
      <c r="AO45" s="3"/>
    </row>
    <row r="46" spans="2:41" x14ac:dyDescent="0.25">
      <c r="B46" s="13"/>
      <c r="C46" s="185"/>
      <c r="D46" s="187"/>
      <c r="E46" s="185"/>
      <c r="F46" s="185"/>
      <c r="G46" s="185"/>
      <c r="H46" s="185"/>
      <c r="I46" s="14"/>
      <c r="J46" s="14"/>
      <c r="K46" s="14"/>
      <c r="L46" s="14"/>
      <c r="M46" s="14"/>
      <c r="N46" s="14"/>
      <c r="O46" s="14"/>
      <c r="P46" s="14"/>
      <c r="Q46" s="14"/>
      <c r="R46" s="14"/>
      <c r="S46" s="14"/>
      <c r="T46" s="14"/>
      <c r="U46" s="14"/>
      <c r="V46" s="14"/>
      <c r="W46" s="14"/>
      <c r="X46" s="14"/>
      <c r="Y46" s="14"/>
      <c r="Z46" s="14"/>
      <c r="AA46" s="15"/>
      <c r="AB46" s="3"/>
      <c r="AC46" s="3"/>
      <c r="AD46" s="3"/>
      <c r="AE46" s="3"/>
      <c r="AF46" s="3"/>
      <c r="AG46" s="3"/>
      <c r="AH46" s="3"/>
      <c r="AI46" s="3"/>
      <c r="AJ46" s="3"/>
      <c r="AK46" s="3"/>
      <c r="AL46" s="3"/>
      <c r="AM46" s="3"/>
      <c r="AN46" s="3"/>
      <c r="AO46" s="3"/>
    </row>
    <row r="47" spans="2:41" x14ac:dyDescent="0.25">
      <c r="B47" s="13"/>
      <c r="C47" s="132"/>
      <c r="D47" s="124"/>
      <c r="E47" s="134"/>
      <c r="F47" s="134"/>
      <c r="G47" s="134"/>
      <c r="H47" s="14"/>
      <c r="I47" s="14"/>
      <c r="J47" s="14"/>
      <c r="K47" s="14"/>
      <c r="L47" s="14"/>
      <c r="M47" s="14"/>
      <c r="N47" s="14"/>
      <c r="O47" s="14"/>
      <c r="P47" s="14"/>
      <c r="Q47" s="14"/>
      <c r="R47" s="14"/>
      <c r="S47" s="14"/>
      <c r="T47" s="14"/>
      <c r="U47" s="14"/>
      <c r="V47" s="14"/>
      <c r="W47" s="14"/>
      <c r="X47" s="14"/>
      <c r="Y47" s="14"/>
      <c r="Z47" s="14"/>
      <c r="AA47" s="15"/>
      <c r="AB47" s="3"/>
      <c r="AC47" s="3"/>
      <c r="AD47" s="3"/>
      <c r="AE47" s="3"/>
      <c r="AF47" s="3"/>
      <c r="AG47" s="3"/>
      <c r="AH47" s="3"/>
      <c r="AI47" s="3"/>
      <c r="AJ47" s="3"/>
      <c r="AK47" s="3"/>
      <c r="AL47" s="3"/>
      <c r="AM47" s="3"/>
      <c r="AN47" s="3"/>
      <c r="AO47" s="3"/>
    </row>
    <row r="48" spans="2:41" ht="18.75" x14ac:dyDescent="0.3">
      <c r="B48" s="67"/>
      <c r="C48" s="132"/>
      <c r="D48" s="134"/>
      <c r="E48" s="134"/>
      <c r="F48" s="134"/>
      <c r="G48" s="134"/>
      <c r="H48" s="14"/>
      <c r="I48" s="14"/>
      <c r="J48" s="14"/>
      <c r="K48" s="14"/>
      <c r="L48" s="14"/>
      <c r="M48" s="14"/>
      <c r="N48" s="14"/>
      <c r="O48" s="14"/>
      <c r="P48" s="14"/>
      <c r="Q48" s="14"/>
      <c r="R48" s="14"/>
      <c r="S48" s="14"/>
      <c r="T48" s="14"/>
      <c r="U48" s="14"/>
      <c r="V48" s="14"/>
      <c r="W48" s="14"/>
      <c r="X48" s="14"/>
      <c r="Y48" s="14"/>
      <c r="Z48" s="14"/>
      <c r="AA48" s="15"/>
      <c r="AB48" s="3"/>
      <c r="AC48" s="3"/>
      <c r="AD48" s="3"/>
      <c r="AE48" s="3"/>
      <c r="AF48" s="3"/>
      <c r="AG48" s="3"/>
      <c r="AH48" s="3"/>
      <c r="AI48" s="3"/>
      <c r="AJ48" s="3"/>
      <c r="AK48" s="3"/>
      <c r="AL48" s="3"/>
      <c r="AM48" s="3"/>
      <c r="AN48" s="3"/>
      <c r="AO48" s="3"/>
    </row>
    <row r="49" spans="2:41" x14ac:dyDescent="0.25">
      <c r="B49" s="13"/>
      <c r="C49" s="14"/>
      <c r="D49" s="14"/>
      <c r="E49" s="14"/>
      <c r="F49" s="14"/>
      <c r="G49" s="14"/>
      <c r="H49" s="14"/>
      <c r="I49" s="14"/>
      <c r="J49" s="14"/>
      <c r="K49" s="14"/>
      <c r="L49" s="14"/>
      <c r="M49" s="14"/>
      <c r="N49" s="14"/>
      <c r="O49" s="14"/>
      <c r="P49" s="14"/>
      <c r="Q49" s="14"/>
      <c r="R49" s="14"/>
      <c r="S49" s="14"/>
      <c r="T49" s="14"/>
      <c r="U49" s="14"/>
      <c r="V49" s="14"/>
      <c r="W49" s="14"/>
      <c r="X49" s="14"/>
      <c r="Y49" s="14"/>
      <c r="Z49" s="14"/>
      <c r="AA49" s="15"/>
      <c r="AB49" s="3"/>
      <c r="AC49" s="3"/>
      <c r="AD49" s="3"/>
      <c r="AE49" s="3"/>
      <c r="AF49" s="3"/>
      <c r="AG49" s="3"/>
      <c r="AH49" s="3"/>
      <c r="AI49" s="3"/>
      <c r="AJ49" s="3"/>
      <c r="AK49" s="3"/>
      <c r="AL49" s="3"/>
      <c r="AM49" s="3"/>
      <c r="AN49" s="3"/>
      <c r="AO49" s="3"/>
    </row>
    <row r="50" spans="2:41" x14ac:dyDescent="0.25">
      <c r="B50" s="13"/>
      <c r="C50" s="14"/>
      <c r="D50" s="14"/>
      <c r="E50" s="14"/>
      <c r="F50" s="14"/>
      <c r="G50" s="14"/>
      <c r="H50" s="14"/>
      <c r="I50" s="14"/>
      <c r="J50" s="14"/>
      <c r="K50" s="14"/>
      <c r="L50" s="14"/>
      <c r="M50" s="14"/>
      <c r="N50" s="14"/>
      <c r="O50" s="14"/>
      <c r="P50" s="14"/>
      <c r="Q50" s="14"/>
      <c r="R50" s="14"/>
      <c r="S50" s="14"/>
      <c r="T50" s="14"/>
      <c r="U50" s="14"/>
      <c r="V50" s="14"/>
      <c r="W50" s="14"/>
      <c r="X50" s="14"/>
      <c r="Y50" s="14"/>
      <c r="Z50" s="14"/>
      <c r="AA50" s="15"/>
      <c r="AB50" s="3"/>
      <c r="AC50" s="3"/>
      <c r="AD50" s="3"/>
      <c r="AE50" s="3"/>
      <c r="AF50" s="3"/>
      <c r="AG50" s="3"/>
      <c r="AH50" s="3"/>
      <c r="AI50" s="3"/>
      <c r="AJ50" s="3"/>
      <c r="AK50" s="3"/>
      <c r="AL50" s="3"/>
      <c r="AM50" s="3"/>
      <c r="AN50" s="3"/>
      <c r="AO50" s="3"/>
    </row>
    <row r="51" spans="2:41" x14ac:dyDescent="0.25">
      <c r="B51" s="13"/>
      <c r="C51" s="14"/>
      <c r="D51" s="14"/>
      <c r="E51" s="14"/>
      <c r="F51" s="14"/>
      <c r="G51" s="14"/>
      <c r="H51" s="14"/>
      <c r="I51" s="14"/>
      <c r="J51" s="14"/>
      <c r="K51" s="14"/>
      <c r="L51" s="14"/>
      <c r="M51" s="14"/>
      <c r="N51" s="14"/>
      <c r="O51" s="14"/>
      <c r="P51" s="14"/>
      <c r="Q51" s="14"/>
      <c r="R51" s="14"/>
      <c r="S51" s="14"/>
      <c r="T51" s="14"/>
      <c r="U51" s="14"/>
      <c r="V51" s="14"/>
      <c r="W51" s="14"/>
      <c r="X51" s="14"/>
      <c r="Y51" s="14"/>
      <c r="Z51" s="14"/>
      <c r="AA51" s="15"/>
      <c r="AB51" s="3"/>
      <c r="AC51" s="3"/>
      <c r="AD51" s="3"/>
      <c r="AE51" s="3"/>
      <c r="AF51" s="3"/>
      <c r="AG51" s="3"/>
      <c r="AH51" s="3"/>
      <c r="AI51" s="3"/>
      <c r="AJ51" s="3"/>
      <c r="AK51" s="3"/>
      <c r="AL51" s="3"/>
      <c r="AM51" s="3"/>
      <c r="AN51" s="3"/>
      <c r="AO51" s="3"/>
    </row>
    <row r="52" spans="2:41" x14ac:dyDescent="0.25">
      <c r="B52" s="13"/>
      <c r="C52" s="14"/>
      <c r="D52" s="14"/>
      <c r="E52" s="14"/>
      <c r="F52" s="14"/>
      <c r="G52" s="14"/>
      <c r="H52" s="14"/>
      <c r="I52" s="14"/>
      <c r="J52" s="14"/>
      <c r="K52" s="14"/>
      <c r="L52" s="14"/>
      <c r="M52" s="14"/>
      <c r="N52" s="14"/>
      <c r="O52" s="14"/>
      <c r="P52" s="14"/>
      <c r="Q52" s="14"/>
      <c r="R52" s="14"/>
      <c r="S52" s="14"/>
      <c r="T52" s="14"/>
      <c r="U52" s="14"/>
      <c r="V52" s="14"/>
      <c r="W52" s="14"/>
      <c r="X52" s="14"/>
      <c r="Y52" s="14"/>
      <c r="Z52" s="14"/>
      <c r="AA52" s="15"/>
      <c r="AB52" s="3"/>
      <c r="AC52" s="3"/>
      <c r="AD52" s="3"/>
      <c r="AE52" s="3"/>
      <c r="AF52" s="3"/>
      <c r="AG52" s="3"/>
      <c r="AH52" s="3"/>
      <c r="AI52" s="3"/>
      <c r="AJ52" s="3"/>
      <c r="AK52" s="3"/>
      <c r="AL52" s="3"/>
      <c r="AM52" s="3"/>
      <c r="AN52" s="3"/>
      <c r="AO52" s="3"/>
    </row>
    <row r="53" spans="2:41" x14ac:dyDescent="0.25">
      <c r="B53" s="13"/>
      <c r="C53" s="14"/>
      <c r="D53" s="14"/>
      <c r="E53" s="14"/>
      <c r="F53" s="14"/>
      <c r="G53" s="14"/>
      <c r="H53" s="14"/>
      <c r="I53" s="14"/>
      <c r="J53" s="14"/>
      <c r="K53" s="14"/>
      <c r="L53" s="14"/>
      <c r="M53" s="14"/>
      <c r="N53" s="14"/>
      <c r="O53" s="14"/>
      <c r="P53" s="14"/>
      <c r="Q53" s="14"/>
      <c r="R53" s="14"/>
      <c r="S53" s="14"/>
      <c r="T53" s="14"/>
      <c r="U53" s="14"/>
      <c r="V53" s="14"/>
      <c r="W53" s="14"/>
      <c r="X53" s="14"/>
      <c r="Y53" s="14"/>
      <c r="Z53" s="14"/>
      <c r="AA53" s="15"/>
      <c r="AB53" s="3"/>
      <c r="AC53" s="3"/>
      <c r="AD53" s="3"/>
      <c r="AE53" s="3"/>
      <c r="AF53" s="3"/>
      <c r="AG53" s="3"/>
      <c r="AH53" s="3"/>
      <c r="AI53" s="3"/>
      <c r="AJ53" s="3"/>
      <c r="AK53" s="3"/>
      <c r="AL53" s="3"/>
      <c r="AM53" s="3"/>
      <c r="AN53" s="3"/>
      <c r="AO53" s="3"/>
    </row>
    <row r="54" spans="2:41" x14ac:dyDescent="0.25">
      <c r="B54" s="13"/>
      <c r="C54" s="14"/>
      <c r="D54" s="14"/>
      <c r="E54" s="14"/>
      <c r="F54" s="14"/>
      <c r="G54" s="14"/>
      <c r="H54" s="14"/>
      <c r="I54" s="14"/>
      <c r="J54" s="14"/>
      <c r="K54" s="14"/>
      <c r="L54" s="14"/>
      <c r="M54" s="14"/>
      <c r="N54" s="14"/>
      <c r="O54" s="14"/>
      <c r="P54" s="14"/>
      <c r="Q54" s="14"/>
      <c r="R54" s="14"/>
      <c r="S54" s="14"/>
      <c r="T54" s="14"/>
      <c r="U54" s="14"/>
      <c r="V54" s="14"/>
      <c r="W54" s="14"/>
      <c r="X54" s="14"/>
      <c r="Y54" s="14"/>
      <c r="Z54" s="14"/>
      <c r="AA54" s="15"/>
      <c r="AB54" s="3"/>
      <c r="AC54" s="3"/>
      <c r="AD54" s="3"/>
      <c r="AE54" s="3"/>
      <c r="AF54" s="3"/>
      <c r="AG54" s="3"/>
      <c r="AH54" s="3"/>
      <c r="AI54" s="3"/>
      <c r="AJ54" s="3"/>
      <c r="AK54" s="3"/>
      <c r="AL54" s="3"/>
      <c r="AM54" s="3"/>
      <c r="AN54" s="3"/>
      <c r="AO54" s="3"/>
    </row>
    <row r="55" spans="2:41" x14ac:dyDescent="0.25">
      <c r="B55" s="13"/>
      <c r="C55" s="14"/>
      <c r="D55" s="14"/>
      <c r="E55" s="14"/>
      <c r="F55" s="14"/>
      <c r="G55" s="14"/>
      <c r="H55" s="14"/>
      <c r="I55" s="14"/>
      <c r="J55" s="14"/>
      <c r="K55" s="14"/>
      <c r="L55" s="14"/>
      <c r="M55" s="14"/>
      <c r="N55" s="14"/>
      <c r="O55" s="14"/>
      <c r="P55" s="14"/>
      <c r="Q55" s="14"/>
      <c r="R55" s="14"/>
      <c r="S55" s="14"/>
      <c r="T55" s="14"/>
      <c r="U55" s="14"/>
      <c r="V55" s="14"/>
      <c r="W55" s="14"/>
      <c r="X55" s="14"/>
      <c r="Y55" s="14"/>
      <c r="Z55" s="14"/>
      <c r="AA55" s="15"/>
      <c r="AB55" s="3"/>
      <c r="AC55" s="3"/>
      <c r="AD55" s="3"/>
      <c r="AE55" s="3"/>
      <c r="AF55" s="3"/>
      <c r="AG55" s="3"/>
      <c r="AH55" s="3"/>
      <c r="AI55" s="3"/>
      <c r="AJ55" s="3"/>
      <c r="AK55" s="3"/>
      <c r="AL55" s="3"/>
      <c r="AM55" s="3"/>
      <c r="AN55" s="3"/>
      <c r="AO55" s="3"/>
    </row>
    <row r="56" spans="2:41" x14ac:dyDescent="0.25">
      <c r="B56" s="13"/>
      <c r="C56" s="14"/>
      <c r="D56" s="14"/>
      <c r="E56" s="14"/>
      <c r="F56" s="14"/>
      <c r="G56" s="14"/>
      <c r="H56" s="14"/>
      <c r="I56" s="14"/>
      <c r="J56" s="14"/>
      <c r="K56" s="14"/>
      <c r="L56" s="14"/>
      <c r="M56" s="14"/>
      <c r="N56" s="14"/>
      <c r="O56" s="14"/>
      <c r="P56" s="14"/>
      <c r="Q56" s="14"/>
      <c r="R56" s="14"/>
      <c r="S56" s="14"/>
      <c r="T56" s="14"/>
      <c r="U56" s="14"/>
      <c r="V56" s="14"/>
      <c r="W56" s="14"/>
      <c r="X56" s="14"/>
      <c r="Y56" s="14"/>
      <c r="Z56" s="14"/>
      <c r="AA56" s="15"/>
      <c r="AB56" s="3"/>
      <c r="AC56" s="3"/>
      <c r="AD56" s="3"/>
      <c r="AE56" s="3"/>
      <c r="AF56" s="3"/>
      <c r="AG56" s="3"/>
      <c r="AH56" s="3"/>
      <c r="AI56" s="3"/>
      <c r="AJ56" s="3"/>
      <c r="AK56" s="3"/>
      <c r="AL56" s="3"/>
      <c r="AM56" s="3"/>
      <c r="AN56" s="3"/>
      <c r="AO56" s="3"/>
    </row>
    <row r="57" spans="2:41" x14ac:dyDescent="0.25">
      <c r="B57" s="13"/>
      <c r="C57" s="14"/>
      <c r="D57" s="14"/>
      <c r="E57" s="14"/>
      <c r="F57" s="14"/>
      <c r="G57" s="14"/>
      <c r="H57" s="14"/>
      <c r="I57" s="14"/>
      <c r="J57" s="14"/>
      <c r="K57" s="14"/>
      <c r="L57" s="14"/>
      <c r="M57" s="14"/>
      <c r="N57" s="14"/>
      <c r="O57" s="14"/>
      <c r="P57" s="14"/>
      <c r="Q57" s="14"/>
      <c r="R57" s="14"/>
      <c r="S57" s="14"/>
      <c r="T57" s="14"/>
      <c r="U57" s="14"/>
      <c r="V57" s="14"/>
      <c r="W57" s="14"/>
      <c r="X57" s="14"/>
      <c r="Y57" s="14"/>
      <c r="Z57" s="14"/>
      <c r="AA57" s="15"/>
      <c r="AB57" s="3"/>
      <c r="AC57" s="3"/>
      <c r="AD57" s="3"/>
      <c r="AE57" s="3"/>
      <c r="AF57" s="3"/>
      <c r="AG57" s="3"/>
      <c r="AH57" s="3"/>
      <c r="AI57" s="3"/>
      <c r="AJ57" s="3"/>
      <c r="AK57" s="3"/>
      <c r="AL57" s="3"/>
      <c r="AM57" s="3"/>
      <c r="AN57" s="3"/>
      <c r="AO57" s="3"/>
    </row>
    <row r="58" spans="2:41" x14ac:dyDescent="0.25">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5"/>
      <c r="AB58" s="3"/>
      <c r="AC58" s="3"/>
      <c r="AD58" s="3"/>
      <c r="AE58" s="3"/>
      <c r="AF58" s="3"/>
      <c r="AG58" s="3"/>
      <c r="AH58" s="3"/>
      <c r="AI58" s="3"/>
      <c r="AJ58" s="3"/>
      <c r="AK58" s="3"/>
      <c r="AL58" s="3"/>
      <c r="AM58" s="3"/>
      <c r="AN58" s="3"/>
      <c r="AO58" s="3"/>
    </row>
    <row r="59" spans="2:41" x14ac:dyDescent="0.25">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5"/>
      <c r="AB59" s="3"/>
      <c r="AC59" s="3"/>
      <c r="AD59" s="3"/>
      <c r="AE59" s="3"/>
      <c r="AF59" s="3"/>
      <c r="AG59" s="3"/>
      <c r="AH59" s="3"/>
      <c r="AI59" s="3"/>
      <c r="AJ59" s="3"/>
      <c r="AK59" s="3"/>
      <c r="AL59" s="3"/>
      <c r="AM59" s="3"/>
      <c r="AN59" s="3"/>
      <c r="AO59" s="3"/>
    </row>
    <row r="60" spans="2:41" x14ac:dyDescent="0.25">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5"/>
      <c r="AB60" s="3"/>
      <c r="AC60" s="3"/>
      <c r="AD60" s="3"/>
      <c r="AE60" s="3"/>
      <c r="AF60" s="3"/>
      <c r="AG60" s="3"/>
      <c r="AH60" s="3"/>
      <c r="AI60" s="3"/>
      <c r="AJ60" s="3"/>
      <c r="AK60" s="3"/>
      <c r="AL60" s="3"/>
      <c r="AM60" s="3"/>
      <c r="AN60" s="3"/>
      <c r="AO60" s="3"/>
    </row>
    <row r="61" spans="2:41" ht="15" customHeight="1" x14ac:dyDescent="0.3">
      <c r="B61" s="67"/>
      <c r="C61" s="14"/>
      <c r="D61" s="14"/>
      <c r="E61" s="14"/>
      <c r="F61" s="14"/>
      <c r="G61" s="14"/>
      <c r="H61" s="14"/>
      <c r="I61" s="14"/>
      <c r="J61" s="14"/>
      <c r="K61" s="14"/>
      <c r="L61" s="14"/>
      <c r="M61" s="14"/>
      <c r="N61" s="14"/>
      <c r="O61" s="14"/>
      <c r="P61" s="14"/>
      <c r="Q61" s="14"/>
      <c r="R61" s="14"/>
      <c r="S61" s="14"/>
      <c r="T61" s="14"/>
      <c r="U61" s="14"/>
      <c r="V61" s="14"/>
      <c r="W61" s="14"/>
      <c r="X61" s="14"/>
      <c r="Y61" s="14"/>
      <c r="Z61" s="14"/>
      <c r="AA61" s="15"/>
      <c r="AB61" s="3"/>
      <c r="AC61" s="3"/>
      <c r="AD61" s="3"/>
      <c r="AE61" s="3"/>
      <c r="AF61" s="3"/>
      <c r="AG61" s="3"/>
      <c r="AH61" s="3"/>
      <c r="AI61" s="3"/>
      <c r="AJ61" s="3"/>
      <c r="AK61" s="3"/>
      <c r="AL61" s="3"/>
      <c r="AM61" s="3"/>
      <c r="AN61" s="3"/>
      <c r="AO61" s="3"/>
    </row>
    <row r="62" spans="2:41" x14ac:dyDescent="0.25">
      <c r="B62" s="13"/>
      <c r="C62" s="14"/>
      <c r="D62" s="14"/>
      <c r="E62" s="14"/>
      <c r="F62" s="14"/>
      <c r="G62" s="14"/>
      <c r="H62" s="14"/>
      <c r="I62" s="14"/>
      <c r="J62" s="14"/>
      <c r="K62" s="14"/>
      <c r="L62" s="14"/>
      <c r="M62" s="14"/>
      <c r="N62" s="14"/>
      <c r="O62" s="14"/>
      <c r="P62" s="14"/>
      <c r="Q62" s="14"/>
      <c r="R62" s="14"/>
      <c r="S62" s="14"/>
      <c r="T62" s="14"/>
      <c r="U62" s="14"/>
      <c r="V62" s="14"/>
      <c r="W62" s="14"/>
      <c r="X62" s="14"/>
      <c r="Y62" s="14"/>
      <c r="Z62" s="14"/>
      <c r="AA62" s="15"/>
      <c r="AB62" s="3"/>
      <c r="AC62" s="3"/>
      <c r="AD62" s="3"/>
      <c r="AE62" s="3"/>
      <c r="AF62" s="3"/>
      <c r="AG62" s="3"/>
      <c r="AH62" s="3"/>
      <c r="AI62" s="3"/>
      <c r="AJ62" s="3"/>
      <c r="AK62" s="3"/>
      <c r="AL62" s="3"/>
      <c r="AM62" s="3"/>
      <c r="AN62" s="3"/>
      <c r="AO62" s="3"/>
    </row>
    <row r="63" spans="2:41" x14ac:dyDescent="0.25">
      <c r="B63" s="13"/>
      <c r="C63" s="14"/>
      <c r="D63" s="14"/>
      <c r="E63" s="14"/>
      <c r="F63" s="14"/>
      <c r="G63" s="14"/>
      <c r="H63" s="14"/>
      <c r="I63" s="14"/>
      <c r="J63" s="14"/>
      <c r="K63" s="14"/>
      <c r="L63" s="14"/>
      <c r="M63" s="14"/>
      <c r="N63" s="14"/>
      <c r="O63" s="14"/>
      <c r="P63" s="14"/>
      <c r="Q63" s="14"/>
      <c r="R63" s="14"/>
      <c r="S63" s="14"/>
      <c r="T63" s="14"/>
      <c r="U63" s="14"/>
      <c r="V63" s="14"/>
      <c r="W63" s="14"/>
      <c r="X63" s="14"/>
      <c r="Y63" s="14"/>
      <c r="Z63" s="14"/>
      <c r="AA63" s="15"/>
      <c r="AB63" s="3"/>
      <c r="AC63" s="3"/>
      <c r="AD63" s="3"/>
      <c r="AE63" s="3"/>
      <c r="AF63" s="3"/>
      <c r="AG63" s="3"/>
      <c r="AH63" s="3"/>
      <c r="AI63" s="3"/>
      <c r="AJ63" s="3"/>
      <c r="AK63" s="3"/>
      <c r="AL63" s="3"/>
      <c r="AM63" s="3"/>
      <c r="AN63" s="3"/>
      <c r="AO63" s="3"/>
    </row>
    <row r="64" spans="2:41" x14ac:dyDescent="0.25">
      <c r="B64" s="13"/>
      <c r="C64" s="14"/>
      <c r="D64" s="14"/>
      <c r="E64" s="14"/>
      <c r="F64" s="14"/>
      <c r="G64" s="14"/>
      <c r="H64" s="14"/>
      <c r="I64" s="14"/>
      <c r="J64" s="14"/>
      <c r="K64" s="14"/>
      <c r="L64" s="14"/>
      <c r="M64" s="14"/>
      <c r="N64" s="14"/>
      <c r="O64" s="14"/>
      <c r="P64" s="14"/>
      <c r="Q64" s="14"/>
      <c r="R64" s="14"/>
      <c r="S64" s="14"/>
      <c r="T64" s="14"/>
      <c r="U64" s="14"/>
      <c r="V64" s="14"/>
      <c r="W64" s="14"/>
      <c r="X64" s="14"/>
      <c r="Y64" s="14"/>
      <c r="Z64" s="14"/>
      <c r="AA64" s="15"/>
      <c r="AB64" s="3"/>
      <c r="AC64" s="3"/>
      <c r="AD64" s="3"/>
      <c r="AE64" s="3"/>
      <c r="AF64" s="3"/>
      <c r="AG64" s="3"/>
      <c r="AH64" s="3"/>
      <c r="AI64" s="3"/>
      <c r="AJ64" s="3"/>
      <c r="AK64" s="3"/>
      <c r="AL64" s="3"/>
      <c r="AM64" s="3"/>
      <c r="AN64" s="3"/>
      <c r="AO64" s="3"/>
    </row>
    <row r="65" spans="2:41" x14ac:dyDescent="0.25">
      <c r="B65" s="13"/>
      <c r="C65" s="14"/>
      <c r="D65" s="14"/>
      <c r="E65" s="14"/>
      <c r="F65" s="14"/>
      <c r="G65" s="14"/>
      <c r="H65" s="14"/>
      <c r="I65" s="14"/>
      <c r="J65" s="14"/>
      <c r="K65" s="14"/>
      <c r="L65" s="14"/>
      <c r="M65" s="14"/>
      <c r="N65" s="14"/>
      <c r="O65" s="14"/>
      <c r="P65" s="14"/>
      <c r="Q65" s="14"/>
      <c r="R65" s="14"/>
      <c r="S65" s="14"/>
      <c r="T65" s="14"/>
      <c r="U65" s="14"/>
      <c r="V65" s="14"/>
      <c r="W65" s="14"/>
      <c r="X65" s="14"/>
      <c r="Y65" s="14"/>
      <c r="Z65" s="14"/>
      <c r="AA65" s="15"/>
      <c r="AB65" s="3"/>
      <c r="AC65" s="3"/>
      <c r="AD65" s="3"/>
      <c r="AE65" s="3"/>
      <c r="AF65" s="3"/>
      <c r="AG65" s="3"/>
      <c r="AH65" s="3"/>
      <c r="AI65" s="3"/>
      <c r="AJ65" s="3"/>
      <c r="AK65" s="3"/>
      <c r="AL65" s="3"/>
      <c r="AM65" s="3"/>
      <c r="AN65" s="3"/>
      <c r="AO65" s="3"/>
    </row>
    <row r="66" spans="2:41" x14ac:dyDescent="0.25">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5"/>
      <c r="AB66" s="3"/>
      <c r="AC66" s="3"/>
      <c r="AD66" s="3"/>
      <c r="AE66" s="3"/>
      <c r="AF66" s="3"/>
      <c r="AG66" s="3"/>
      <c r="AH66" s="3"/>
      <c r="AI66" s="3"/>
      <c r="AJ66" s="3"/>
      <c r="AK66" s="3"/>
      <c r="AL66" s="3"/>
      <c r="AM66" s="3"/>
      <c r="AN66" s="3"/>
      <c r="AO66" s="3"/>
    </row>
    <row r="67" spans="2:41" x14ac:dyDescent="0.25">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5"/>
      <c r="AB67" s="3"/>
      <c r="AC67" s="3"/>
      <c r="AD67" s="3"/>
      <c r="AE67" s="3"/>
      <c r="AF67" s="3"/>
      <c r="AG67" s="3"/>
      <c r="AH67" s="3"/>
      <c r="AI67" s="3"/>
      <c r="AJ67" s="3"/>
      <c r="AK67" s="3"/>
      <c r="AL67" s="3"/>
      <c r="AM67" s="3"/>
      <c r="AN67" s="3"/>
      <c r="AO67" s="3"/>
    </row>
    <row r="68" spans="2:41" x14ac:dyDescent="0.25">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5"/>
      <c r="AB68" s="3"/>
      <c r="AC68" s="3"/>
      <c r="AD68" s="3"/>
      <c r="AE68" s="3"/>
      <c r="AF68" s="3"/>
      <c r="AG68" s="3"/>
      <c r="AH68" s="3"/>
      <c r="AI68" s="3"/>
      <c r="AJ68" s="3"/>
      <c r="AK68" s="3"/>
      <c r="AL68" s="3"/>
      <c r="AM68" s="3"/>
      <c r="AN68" s="3"/>
      <c r="AO68" s="3"/>
    </row>
    <row r="69" spans="2:41" x14ac:dyDescent="0.25">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5"/>
      <c r="AB69" s="3"/>
      <c r="AC69" s="3"/>
      <c r="AD69" s="3"/>
      <c r="AE69" s="3"/>
      <c r="AF69" s="3"/>
      <c r="AG69" s="3"/>
      <c r="AH69" s="3"/>
      <c r="AI69" s="3"/>
      <c r="AJ69" s="3"/>
      <c r="AK69" s="3"/>
      <c r="AL69" s="3"/>
      <c r="AM69" s="3"/>
      <c r="AN69" s="3"/>
      <c r="AO69" s="3"/>
    </row>
    <row r="70" spans="2:41" x14ac:dyDescent="0.25">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5"/>
      <c r="AB70" s="3"/>
      <c r="AC70" s="3"/>
      <c r="AD70" s="3"/>
      <c r="AE70" s="3"/>
      <c r="AF70" s="3"/>
      <c r="AG70" s="3"/>
      <c r="AH70" s="3"/>
      <c r="AI70" s="3"/>
      <c r="AJ70" s="3"/>
      <c r="AK70" s="3"/>
      <c r="AL70" s="3"/>
      <c r="AM70" s="3"/>
      <c r="AN70" s="3"/>
      <c r="AO70" s="3"/>
    </row>
    <row r="71" spans="2:41" x14ac:dyDescent="0.25">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5"/>
      <c r="AB71" s="3"/>
      <c r="AC71" s="3"/>
      <c r="AD71" s="3"/>
      <c r="AE71" s="3"/>
      <c r="AF71" s="3"/>
      <c r="AG71" s="3"/>
      <c r="AH71" s="3"/>
      <c r="AI71" s="3"/>
      <c r="AJ71" s="3"/>
      <c r="AK71" s="3"/>
      <c r="AL71" s="3"/>
      <c r="AM71" s="3"/>
      <c r="AN71" s="3"/>
      <c r="AO71" s="3"/>
    </row>
    <row r="72" spans="2:41" x14ac:dyDescent="0.25">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5"/>
      <c r="AB72" s="3"/>
      <c r="AC72" s="3"/>
      <c r="AD72" s="3"/>
      <c r="AE72" s="3"/>
      <c r="AF72" s="3"/>
      <c r="AG72" s="3"/>
      <c r="AH72" s="3"/>
      <c r="AI72" s="3"/>
      <c r="AJ72" s="3"/>
      <c r="AK72" s="3"/>
      <c r="AL72" s="3"/>
      <c r="AM72" s="3"/>
      <c r="AN72" s="3"/>
      <c r="AO72" s="3"/>
    </row>
    <row r="73" spans="2:41" x14ac:dyDescent="0.25">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5"/>
      <c r="AB73" s="3"/>
      <c r="AC73" s="3"/>
      <c r="AD73" s="3"/>
      <c r="AE73" s="3"/>
      <c r="AF73" s="3"/>
      <c r="AG73" s="3"/>
      <c r="AH73" s="3"/>
      <c r="AI73" s="3"/>
      <c r="AJ73" s="3"/>
      <c r="AK73" s="3"/>
      <c r="AL73" s="3"/>
      <c r="AM73" s="3"/>
      <c r="AN73" s="3"/>
      <c r="AO73" s="3"/>
    </row>
    <row r="74" spans="2:41" x14ac:dyDescent="0.25">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5"/>
      <c r="AB74" s="3"/>
      <c r="AC74" s="3"/>
      <c r="AD74" s="3"/>
      <c r="AE74" s="3"/>
      <c r="AF74" s="3"/>
      <c r="AG74" s="3"/>
      <c r="AH74" s="3"/>
      <c r="AI74" s="3"/>
      <c r="AJ74" s="3"/>
      <c r="AK74" s="3"/>
      <c r="AL74" s="3"/>
      <c r="AM74" s="3"/>
      <c r="AN74" s="3"/>
      <c r="AO74" s="3"/>
    </row>
    <row r="75" spans="2:41" x14ac:dyDescent="0.25">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5"/>
      <c r="AB75" s="3"/>
      <c r="AC75" s="3"/>
      <c r="AD75" s="3"/>
      <c r="AE75" s="3"/>
      <c r="AF75" s="3"/>
      <c r="AG75" s="3"/>
      <c r="AH75" s="3"/>
      <c r="AI75" s="3"/>
      <c r="AJ75" s="3"/>
      <c r="AK75" s="3"/>
      <c r="AL75" s="3"/>
      <c r="AM75" s="3"/>
      <c r="AN75" s="3"/>
      <c r="AO75" s="3"/>
    </row>
    <row r="76" spans="2:41" x14ac:dyDescent="0.25">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5"/>
      <c r="AB76" s="3"/>
      <c r="AC76" s="3"/>
      <c r="AD76" s="3"/>
      <c r="AE76" s="3"/>
      <c r="AF76" s="3"/>
      <c r="AG76" s="3"/>
      <c r="AH76" s="3"/>
      <c r="AI76" s="3"/>
      <c r="AJ76" s="3"/>
      <c r="AK76" s="3"/>
      <c r="AL76" s="3"/>
      <c r="AM76" s="3"/>
      <c r="AN76" s="3"/>
      <c r="AO76" s="3"/>
    </row>
    <row r="77" spans="2:41" x14ac:dyDescent="0.25">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5"/>
      <c r="AB77" s="3"/>
      <c r="AC77" s="3"/>
      <c r="AD77" s="3"/>
      <c r="AE77" s="3"/>
      <c r="AF77" s="3"/>
      <c r="AG77" s="3"/>
      <c r="AH77" s="3"/>
      <c r="AI77" s="3"/>
      <c r="AJ77" s="3"/>
      <c r="AK77" s="3"/>
      <c r="AL77" s="3"/>
      <c r="AM77" s="3"/>
      <c r="AN77" s="3"/>
      <c r="AO77" s="3"/>
    </row>
    <row r="78" spans="2:41" x14ac:dyDescent="0.25">
      <c r="B78" s="13"/>
      <c r="C78" s="135"/>
      <c r="D78" s="14"/>
      <c r="E78" s="14"/>
      <c r="F78" s="14"/>
      <c r="G78" s="14"/>
      <c r="H78" s="14"/>
      <c r="I78" s="14"/>
      <c r="J78" s="14"/>
      <c r="K78" s="14"/>
      <c r="L78" s="14"/>
      <c r="M78" s="14"/>
      <c r="N78" s="14"/>
      <c r="O78" s="14"/>
      <c r="P78" s="14"/>
      <c r="Q78" s="14"/>
      <c r="R78" s="14"/>
      <c r="S78" s="14"/>
      <c r="T78" s="14"/>
      <c r="U78" s="14"/>
      <c r="V78" s="14"/>
      <c r="W78" s="14"/>
      <c r="X78" s="14"/>
      <c r="Y78" s="14"/>
      <c r="Z78" s="14"/>
      <c r="AA78" s="15"/>
      <c r="AB78" s="3"/>
      <c r="AC78" s="3"/>
      <c r="AD78" s="3"/>
      <c r="AE78" s="3"/>
      <c r="AF78" s="3"/>
      <c r="AG78" s="3"/>
      <c r="AH78" s="3"/>
      <c r="AI78" s="3"/>
      <c r="AJ78" s="3"/>
      <c r="AK78" s="3"/>
      <c r="AL78" s="3"/>
      <c r="AM78" s="3"/>
      <c r="AN78" s="3"/>
      <c r="AO78" s="3"/>
    </row>
    <row r="79" spans="2:41" x14ac:dyDescent="0.25">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5"/>
      <c r="AB79" s="3"/>
      <c r="AC79" s="3"/>
      <c r="AD79" s="3"/>
      <c r="AE79" s="3"/>
      <c r="AF79" s="3"/>
      <c r="AG79" s="3"/>
      <c r="AH79" s="3"/>
      <c r="AI79" s="3"/>
      <c r="AJ79" s="3"/>
      <c r="AK79" s="3"/>
      <c r="AL79" s="3"/>
      <c r="AM79" s="3"/>
      <c r="AN79" s="3"/>
      <c r="AO79" s="3"/>
    </row>
    <row r="80" spans="2:41" x14ac:dyDescent="0.25">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5"/>
      <c r="AB80" s="3"/>
      <c r="AC80" s="3"/>
      <c r="AD80" s="3"/>
      <c r="AE80" s="3"/>
      <c r="AF80" s="3"/>
      <c r="AG80" s="3"/>
      <c r="AH80" s="3"/>
      <c r="AI80" s="3"/>
      <c r="AJ80" s="3"/>
      <c r="AK80" s="3"/>
      <c r="AL80" s="3"/>
      <c r="AM80" s="3"/>
      <c r="AN80" s="3"/>
      <c r="AO80" s="3"/>
    </row>
    <row r="81" spans="2:41" x14ac:dyDescent="0.25">
      <c r="B81" s="13"/>
      <c r="C81" s="135"/>
      <c r="D81" s="14"/>
      <c r="E81" s="14"/>
      <c r="F81" s="14"/>
      <c r="G81" s="14"/>
      <c r="H81" s="14"/>
      <c r="I81" s="14"/>
      <c r="J81" s="14"/>
      <c r="K81" s="14"/>
      <c r="L81" s="14"/>
      <c r="M81" s="14"/>
      <c r="N81" s="14"/>
      <c r="O81" s="14"/>
      <c r="P81" s="14"/>
      <c r="Q81" s="14"/>
      <c r="R81" s="14"/>
      <c r="S81" s="14"/>
      <c r="T81" s="14"/>
      <c r="U81" s="14"/>
      <c r="V81" s="14"/>
      <c r="W81" s="14"/>
      <c r="X81" s="14"/>
      <c r="Y81" s="14"/>
      <c r="Z81" s="14"/>
      <c r="AA81" s="15"/>
      <c r="AB81" s="3"/>
      <c r="AC81" s="3"/>
      <c r="AD81" s="3"/>
      <c r="AE81" s="3"/>
      <c r="AF81" s="3"/>
      <c r="AG81" s="3"/>
      <c r="AH81" s="3"/>
      <c r="AI81" s="3"/>
      <c r="AJ81" s="3"/>
      <c r="AK81" s="3"/>
      <c r="AL81" s="3"/>
      <c r="AM81" s="3"/>
      <c r="AN81" s="3"/>
      <c r="AO81" s="3"/>
    </row>
    <row r="82" spans="2:41" ht="18.75" x14ac:dyDescent="0.3">
      <c r="B82" s="67"/>
      <c r="C82" s="14"/>
      <c r="D82" s="60"/>
      <c r="E82" s="56"/>
      <c r="F82" s="56"/>
      <c r="G82" s="14"/>
      <c r="H82" s="56"/>
      <c r="I82" s="74"/>
      <c r="J82" s="14"/>
      <c r="K82" s="14"/>
      <c r="L82" s="14"/>
      <c r="M82" s="14"/>
      <c r="N82" s="14"/>
      <c r="O82" s="14"/>
      <c r="P82" s="14"/>
      <c r="Q82" s="14"/>
      <c r="R82" s="14"/>
      <c r="S82" s="14"/>
      <c r="T82" s="14"/>
      <c r="U82" s="14"/>
      <c r="V82" s="14"/>
      <c r="W82" s="14"/>
      <c r="X82" s="14"/>
      <c r="Y82" s="14"/>
      <c r="Z82" s="14"/>
      <c r="AA82" s="15"/>
      <c r="AB82" s="3"/>
      <c r="AC82" s="3"/>
      <c r="AD82" s="3"/>
      <c r="AE82" s="3"/>
      <c r="AF82" s="3"/>
      <c r="AG82" s="3"/>
      <c r="AH82" s="3"/>
      <c r="AI82" s="3"/>
      <c r="AJ82" s="3"/>
      <c r="AK82" s="3"/>
      <c r="AL82" s="3"/>
      <c r="AM82" s="3"/>
      <c r="AN82" s="3"/>
      <c r="AO82" s="3"/>
    </row>
    <row r="83" spans="2:41" x14ac:dyDescent="0.25">
      <c r="B83" s="13"/>
      <c r="C83" s="14"/>
      <c r="D83" s="14"/>
      <c r="E83" s="56"/>
      <c r="F83" s="56"/>
      <c r="G83" s="14"/>
      <c r="H83" s="56"/>
      <c r="I83" s="14"/>
      <c r="J83" s="14"/>
      <c r="K83" s="14"/>
      <c r="L83" s="14"/>
      <c r="M83" s="14"/>
      <c r="N83" s="14"/>
      <c r="O83" s="14"/>
      <c r="P83" s="14"/>
      <c r="Q83" s="14"/>
      <c r="R83" s="14"/>
      <c r="S83" s="14"/>
      <c r="T83" s="14"/>
      <c r="U83" s="14"/>
      <c r="V83" s="14"/>
      <c r="W83" s="14"/>
      <c r="X83" s="14"/>
      <c r="Y83" s="14"/>
      <c r="Z83" s="14"/>
      <c r="AA83" s="15"/>
      <c r="AB83" s="3"/>
      <c r="AC83" s="3"/>
      <c r="AD83" s="3"/>
      <c r="AE83" s="3"/>
      <c r="AF83" s="3"/>
      <c r="AG83" s="3"/>
      <c r="AH83" s="3"/>
      <c r="AI83" s="3"/>
      <c r="AJ83" s="3"/>
      <c r="AK83" s="3"/>
      <c r="AL83" s="3"/>
      <c r="AM83" s="3"/>
      <c r="AN83" s="3"/>
      <c r="AO83" s="3"/>
    </row>
    <row r="84" spans="2:41" x14ac:dyDescent="0.25">
      <c r="B84" s="13"/>
      <c r="C84" s="136"/>
      <c r="D84" s="60"/>
      <c r="E84" s="56"/>
      <c r="F84" s="56"/>
      <c r="G84" s="57"/>
      <c r="H84" s="14"/>
      <c r="I84" s="14"/>
      <c r="J84" s="14"/>
      <c r="K84" s="14"/>
      <c r="L84" s="14"/>
      <c r="M84" s="14"/>
      <c r="N84" s="14"/>
      <c r="O84" s="14"/>
      <c r="P84" s="14"/>
      <c r="Q84" s="14"/>
      <c r="R84" s="14"/>
      <c r="S84" s="14"/>
      <c r="T84" s="14"/>
      <c r="U84" s="14"/>
      <c r="V84" s="14"/>
      <c r="W84" s="14"/>
      <c r="X84" s="14"/>
      <c r="Y84" s="14"/>
      <c r="Z84" s="14"/>
      <c r="AA84" s="15"/>
      <c r="AB84" s="3"/>
      <c r="AC84" s="3"/>
      <c r="AD84" s="3"/>
      <c r="AE84" s="3"/>
      <c r="AF84" s="3"/>
      <c r="AG84" s="3"/>
      <c r="AH84" s="3"/>
      <c r="AI84" s="3"/>
      <c r="AJ84" s="3"/>
      <c r="AK84" s="3"/>
      <c r="AL84" s="3"/>
      <c r="AM84" s="3"/>
      <c r="AN84" s="3"/>
      <c r="AO84" s="3"/>
    </row>
    <row r="85" spans="2:41" x14ac:dyDescent="0.25">
      <c r="B85" s="13"/>
      <c r="C85" s="14"/>
      <c r="D85" s="60"/>
      <c r="E85" s="56"/>
      <c r="F85" s="56"/>
      <c r="G85" s="128"/>
      <c r="H85" s="56"/>
      <c r="I85" s="14"/>
      <c r="J85" s="14"/>
      <c r="K85" s="14"/>
      <c r="L85" s="14"/>
      <c r="M85" s="14"/>
      <c r="N85" s="14"/>
      <c r="O85" s="14"/>
      <c r="P85" s="14"/>
      <c r="Q85" s="14"/>
      <c r="R85" s="14"/>
      <c r="S85" s="14"/>
      <c r="T85" s="14"/>
      <c r="U85" s="14"/>
      <c r="V85" s="14"/>
      <c r="W85" s="14"/>
      <c r="X85" s="14"/>
      <c r="Y85" s="14"/>
      <c r="Z85" s="14"/>
      <c r="AA85" s="15"/>
      <c r="AB85" s="3"/>
      <c r="AC85" s="3"/>
      <c r="AD85" s="3"/>
      <c r="AE85" s="3"/>
      <c r="AF85" s="3"/>
      <c r="AG85" s="3"/>
      <c r="AH85" s="3"/>
      <c r="AI85" s="3"/>
      <c r="AJ85" s="3"/>
      <c r="AK85" s="3"/>
      <c r="AL85" s="3"/>
      <c r="AM85" s="3"/>
      <c r="AN85" s="3"/>
      <c r="AO85" s="3"/>
    </row>
    <row r="86" spans="2:41" x14ac:dyDescent="0.25">
      <c r="B86" s="13"/>
      <c r="C86" s="14"/>
      <c r="D86" s="60"/>
      <c r="E86" s="56"/>
      <c r="F86" s="56"/>
      <c r="G86" s="14"/>
      <c r="H86" s="56"/>
      <c r="I86" s="14"/>
      <c r="J86" s="14"/>
      <c r="K86" s="14"/>
      <c r="L86" s="14"/>
      <c r="M86" s="14"/>
      <c r="N86" s="14"/>
      <c r="O86" s="14"/>
      <c r="P86" s="14"/>
      <c r="Q86" s="14"/>
      <c r="R86" s="14"/>
      <c r="S86" s="14"/>
      <c r="T86" s="14"/>
      <c r="U86" s="14"/>
      <c r="V86" s="14"/>
      <c r="W86" s="14"/>
      <c r="X86" s="14"/>
      <c r="Y86" s="14"/>
      <c r="Z86" s="14"/>
      <c r="AA86" s="15"/>
      <c r="AB86" s="3"/>
      <c r="AC86" s="3"/>
      <c r="AD86" s="3"/>
      <c r="AE86" s="3"/>
      <c r="AF86" s="3"/>
      <c r="AG86" s="3"/>
      <c r="AH86" s="3"/>
      <c r="AI86" s="3"/>
      <c r="AJ86" s="3"/>
      <c r="AK86" s="3"/>
      <c r="AL86" s="3"/>
      <c r="AM86" s="3"/>
      <c r="AN86" s="3"/>
      <c r="AO86" s="3"/>
    </row>
    <row r="87" spans="2:41" x14ac:dyDescent="0.25">
      <c r="B87" s="13"/>
      <c r="C87" s="14"/>
      <c r="D87" s="60"/>
      <c r="E87" s="56"/>
      <c r="F87" s="56"/>
      <c r="G87" s="14"/>
      <c r="H87" s="56"/>
      <c r="I87" s="14"/>
      <c r="J87" s="14"/>
      <c r="K87" s="14"/>
      <c r="L87" s="14"/>
      <c r="M87" s="14"/>
      <c r="N87" s="14"/>
      <c r="O87" s="14"/>
      <c r="P87" s="14"/>
      <c r="Q87" s="14"/>
      <c r="R87" s="14"/>
      <c r="S87" s="14"/>
      <c r="T87" s="14"/>
      <c r="U87" s="14"/>
      <c r="V87" s="14"/>
      <c r="W87" s="14"/>
      <c r="X87" s="14"/>
      <c r="Y87" s="14"/>
      <c r="Z87" s="14"/>
      <c r="AA87" s="15"/>
      <c r="AB87" s="3"/>
      <c r="AC87" s="3"/>
      <c r="AD87" s="3"/>
      <c r="AE87" s="3"/>
      <c r="AF87" s="3"/>
      <c r="AG87" s="3"/>
      <c r="AH87" s="3"/>
      <c r="AI87" s="3"/>
      <c r="AJ87" s="3"/>
      <c r="AK87" s="3"/>
      <c r="AL87" s="3"/>
      <c r="AM87" s="3"/>
      <c r="AN87" s="3"/>
      <c r="AO87" s="3"/>
    </row>
    <row r="88" spans="2:41" x14ac:dyDescent="0.25">
      <c r="B88" s="13"/>
      <c r="C88" s="56"/>
      <c r="D88" s="60"/>
      <c r="E88" s="56"/>
      <c r="F88" s="56"/>
      <c r="G88" s="56"/>
      <c r="H88" s="56"/>
      <c r="I88" s="14"/>
      <c r="J88" s="14"/>
      <c r="K88" s="14"/>
      <c r="L88" s="14"/>
      <c r="M88" s="14"/>
      <c r="N88" s="14"/>
      <c r="O88" s="14"/>
      <c r="P88" s="14"/>
      <c r="Q88" s="14"/>
      <c r="R88" s="14"/>
      <c r="S88" s="14"/>
      <c r="T88" s="14"/>
      <c r="U88" s="14"/>
      <c r="V88" s="14"/>
      <c r="W88" s="14"/>
      <c r="X88" s="14"/>
      <c r="Y88" s="14"/>
      <c r="Z88" s="14"/>
      <c r="AA88" s="15"/>
      <c r="AB88" s="3"/>
      <c r="AC88" s="3"/>
      <c r="AD88" s="3"/>
      <c r="AE88" s="3"/>
      <c r="AF88" s="3"/>
      <c r="AG88" s="3"/>
      <c r="AH88" s="3"/>
      <c r="AI88" s="3"/>
      <c r="AJ88" s="3"/>
      <c r="AK88" s="3"/>
      <c r="AL88" s="3"/>
      <c r="AM88" s="3"/>
      <c r="AN88" s="3"/>
      <c r="AO88" s="3"/>
    </row>
    <row r="89" spans="2:41" x14ac:dyDescent="0.25">
      <c r="B89" s="13"/>
      <c r="C89" s="14"/>
      <c r="D89" s="60"/>
      <c r="E89" s="56"/>
      <c r="F89" s="56"/>
      <c r="G89" s="14"/>
      <c r="H89" s="56"/>
      <c r="I89" s="14"/>
      <c r="J89" s="14"/>
      <c r="K89" s="14"/>
      <c r="L89" s="14"/>
      <c r="M89" s="14"/>
      <c r="N89" s="14"/>
      <c r="O89" s="14"/>
      <c r="P89" s="14"/>
      <c r="Q89" s="14"/>
      <c r="R89" s="14"/>
      <c r="S89" s="14"/>
      <c r="T89" s="14"/>
      <c r="U89" s="14"/>
      <c r="V89" s="14"/>
      <c r="W89" s="14"/>
      <c r="X89" s="14"/>
      <c r="Y89" s="14"/>
      <c r="Z89" s="14"/>
      <c r="AA89" s="15"/>
      <c r="AB89" s="3"/>
      <c r="AC89" s="3"/>
      <c r="AD89" s="3"/>
      <c r="AE89" s="3"/>
      <c r="AF89" s="3"/>
      <c r="AG89" s="3"/>
      <c r="AH89" s="3"/>
      <c r="AI89" s="3"/>
      <c r="AJ89" s="3"/>
      <c r="AK89" s="3"/>
      <c r="AL89" s="3"/>
      <c r="AM89" s="3"/>
      <c r="AN89" s="3"/>
      <c r="AO89" s="3"/>
    </row>
    <row r="90" spans="2:41" x14ac:dyDescent="0.25">
      <c r="B90" s="13"/>
      <c r="C90" s="14"/>
      <c r="D90" s="14"/>
      <c r="E90" s="56"/>
      <c r="F90" s="56"/>
      <c r="G90" s="14"/>
      <c r="H90" s="56"/>
      <c r="I90" s="14"/>
      <c r="J90" s="14"/>
      <c r="K90" s="14"/>
      <c r="L90" s="14"/>
      <c r="M90" s="14"/>
      <c r="N90" s="14"/>
      <c r="O90" s="14"/>
      <c r="P90" s="14"/>
      <c r="Q90" s="14"/>
      <c r="R90" s="14"/>
      <c r="S90" s="14"/>
      <c r="T90" s="14"/>
      <c r="U90" s="14"/>
      <c r="V90" s="14"/>
      <c r="W90" s="14"/>
      <c r="X90" s="14"/>
      <c r="Y90" s="14"/>
      <c r="Z90" s="14"/>
      <c r="AA90" s="15"/>
      <c r="AB90" s="3"/>
      <c r="AC90" s="3"/>
      <c r="AD90" s="3"/>
      <c r="AE90" s="3"/>
      <c r="AF90" s="3"/>
      <c r="AG90" s="3"/>
      <c r="AH90" s="3"/>
      <c r="AI90" s="3"/>
      <c r="AJ90" s="3"/>
      <c r="AK90" s="3"/>
      <c r="AL90" s="3"/>
      <c r="AM90" s="3"/>
      <c r="AN90" s="3"/>
      <c r="AO90" s="3"/>
    </row>
    <row r="91" spans="2:41" x14ac:dyDescent="0.25">
      <c r="B91" s="13"/>
      <c r="C91" s="14"/>
      <c r="D91" s="60"/>
      <c r="E91" s="56"/>
      <c r="F91" s="56"/>
      <c r="G91" s="57"/>
      <c r="H91" s="14"/>
      <c r="I91" s="14"/>
      <c r="J91" s="14"/>
      <c r="K91" s="14"/>
      <c r="L91" s="14"/>
      <c r="M91" s="14"/>
      <c r="N91" s="14"/>
      <c r="O91" s="14"/>
      <c r="P91" s="14"/>
      <c r="Q91" s="14"/>
      <c r="R91" s="14"/>
      <c r="S91" s="14"/>
      <c r="T91" s="14"/>
      <c r="U91" s="14"/>
      <c r="V91" s="14"/>
      <c r="W91" s="14"/>
      <c r="X91" s="14"/>
      <c r="Y91" s="14"/>
      <c r="Z91" s="14"/>
      <c r="AA91" s="15"/>
      <c r="AB91" s="3"/>
      <c r="AC91" s="3"/>
      <c r="AD91" s="3"/>
      <c r="AE91" s="3"/>
      <c r="AF91" s="3"/>
      <c r="AG91" s="3"/>
      <c r="AH91" s="3"/>
      <c r="AI91" s="3"/>
      <c r="AJ91" s="3"/>
      <c r="AK91" s="3"/>
      <c r="AL91" s="3"/>
      <c r="AM91" s="3"/>
      <c r="AN91" s="3"/>
      <c r="AO91" s="3"/>
    </row>
    <row r="92" spans="2:41" x14ac:dyDescent="0.25">
      <c r="B92" s="13"/>
      <c r="C92" s="14"/>
      <c r="D92" s="60"/>
      <c r="E92" s="56"/>
      <c r="F92" s="56"/>
      <c r="G92" s="128"/>
      <c r="H92" s="56"/>
      <c r="I92" s="14"/>
      <c r="J92" s="14"/>
      <c r="K92" s="14"/>
      <c r="L92" s="14"/>
      <c r="M92" s="14"/>
      <c r="N92" s="14"/>
      <c r="O92" s="14"/>
      <c r="P92" s="14"/>
      <c r="Q92" s="14"/>
      <c r="R92" s="14"/>
      <c r="S92" s="14"/>
      <c r="T92" s="14"/>
      <c r="U92" s="14"/>
      <c r="V92" s="14"/>
      <c r="W92" s="14"/>
      <c r="X92" s="14"/>
      <c r="Y92" s="14"/>
      <c r="Z92" s="14"/>
      <c r="AA92" s="15"/>
      <c r="AB92" s="3"/>
      <c r="AC92" s="3"/>
      <c r="AD92" s="3"/>
      <c r="AE92" s="3"/>
      <c r="AF92" s="3"/>
      <c r="AG92" s="3"/>
      <c r="AH92" s="3"/>
      <c r="AI92" s="3"/>
      <c r="AJ92" s="3"/>
      <c r="AK92" s="3"/>
      <c r="AL92" s="3"/>
      <c r="AM92" s="3"/>
      <c r="AN92" s="3"/>
      <c r="AO92" s="3"/>
    </row>
    <row r="93" spans="2:41" x14ac:dyDescent="0.25">
      <c r="B93" s="13"/>
      <c r="C93" s="14"/>
      <c r="D93" s="60"/>
      <c r="E93" s="56"/>
      <c r="F93" s="56"/>
      <c r="G93" s="14"/>
      <c r="H93" s="56"/>
      <c r="I93" s="14"/>
      <c r="J93" s="14"/>
      <c r="K93" s="14"/>
      <c r="L93" s="14"/>
      <c r="M93" s="14"/>
      <c r="N93" s="14"/>
      <c r="O93" s="14"/>
      <c r="P93" s="14"/>
      <c r="Q93" s="14"/>
      <c r="R93" s="14"/>
      <c r="S93" s="14"/>
      <c r="T93" s="14"/>
      <c r="U93" s="14"/>
      <c r="V93" s="14"/>
      <c r="W93" s="14"/>
      <c r="X93" s="14"/>
      <c r="Y93" s="14"/>
      <c r="Z93" s="14"/>
      <c r="AA93" s="15"/>
      <c r="AB93" s="3"/>
      <c r="AC93" s="3"/>
      <c r="AD93" s="3"/>
      <c r="AE93" s="3"/>
      <c r="AF93" s="3"/>
      <c r="AG93" s="3"/>
      <c r="AH93" s="3"/>
      <c r="AI93" s="3"/>
      <c r="AJ93" s="3"/>
      <c r="AK93" s="3"/>
      <c r="AL93" s="3"/>
      <c r="AM93" s="3"/>
      <c r="AN93" s="3"/>
      <c r="AO93" s="3"/>
    </row>
    <row r="94" spans="2:41" x14ac:dyDescent="0.25">
      <c r="B94" s="13"/>
      <c r="C94" s="14"/>
      <c r="D94" s="60"/>
      <c r="E94" s="56"/>
      <c r="F94" s="56"/>
      <c r="G94" s="14"/>
      <c r="H94" s="56"/>
      <c r="I94" s="14"/>
      <c r="J94" s="14"/>
      <c r="K94" s="14"/>
      <c r="L94" s="14"/>
      <c r="M94" s="14"/>
      <c r="N94" s="14"/>
      <c r="O94" s="14"/>
      <c r="P94" s="14"/>
      <c r="Q94" s="14"/>
      <c r="R94" s="14"/>
      <c r="S94" s="14"/>
      <c r="T94" s="14"/>
      <c r="U94" s="14"/>
      <c r="V94" s="14"/>
      <c r="W94" s="14"/>
      <c r="X94" s="14"/>
      <c r="Y94" s="14"/>
      <c r="Z94" s="14"/>
      <c r="AA94" s="15"/>
      <c r="AB94" s="3"/>
      <c r="AC94" s="3"/>
      <c r="AD94" s="3"/>
      <c r="AE94" s="3"/>
      <c r="AF94" s="3"/>
      <c r="AG94" s="3"/>
      <c r="AH94" s="3"/>
      <c r="AI94" s="3"/>
      <c r="AJ94" s="3"/>
      <c r="AK94" s="3"/>
      <c r="AL94" s="3"/>
      <c r="AM94" s="3"/>
      <c r="AN94" s="3"/>
      <c r="AO94" s="3"/>
    </row>
    <row r="95" spans="2:41" x14ac:dyDescent="0.25">
      <c r="B95" s="13"/>
      <c r="C95" s="56"/>
      <c r="D95" s="60"/>
      <c r="E95" s="56"/>
      <c r="F95" s="56"/>
      <c r="G95" s="56"/>
      <c r="H95" s="56"/>
      <c r="I95" s="14"/>
      <c r="J95" s="14"/>
      <c r="K95" s="14"/>
      <c r="L95" s="14"/>
      <c r="M95" s="14"/>
      <c r="N95" s="14"/>
      <c r="O95" s="14"/>
      <c r="P95" s="14"/>
      <c r="Q95" s="14"/>
      <c r="R95" s="14"/>
      <c r="S95" s="14"/>
      <c r="T95" s="14"/>
      <c r="U95" s="14"/>
      <c r="V95" s="14"/>
      <c r="W95" s="14"/>
      <c r="X95" s="14"/>
      <c r="Y95" s="14"/>
      <c r="Z95" s="14"/>
      <c r="AA95" s="15"/>
      <c r="AB95" s="3"/>
      <c r="AC95" s="3"/>
      <c r="AD95" s="3"/>
      <c r="AE95" s="3"/>
      <c r="AF95" s="3"/>
      <c r="AG95" s="3"/>
      <c r="AH95" s="3"/>
      <c r="AI95" s="3"/>
      <c r="AJ95" s="3"/>
      <c r="AK95" s="3"/>
      <c r="AL95" s="3"/>
      <c r="AM95" s="3"/>
      <c r="AN95" s="3"/>
      <c r="AO95" s="3"/>
    </row>
    <row r="96" spans="2:41" ht="18.75" x14ac:dyDescent="0.3">
      <c r="B96" s="67"/>
      <c r="C96" s="14"/>
      <c r="D96" s="60"/>
      <c r="E96" s="56"/>
      <c r="F96" s="56"/>
      <c r="G96" s="14"/>
      <c r="H96" s="56"/>
      <c r="I96" s="74"/>
      <c r="J96" s="14"/>
      <c r="K96" s="14"/>
      <c r="L96" s="14"/>
      <c r="M96" s="14"/>
      <c r="N96" s="14"/>
      <c r="O96" s="14"/>
      <c r="P96" s="14"/>
      <c r="Q96" s="14"/>
      <c r="R96" s="14"/>
      <c r="S96" s="14"/>
      <c r="T96" s="14"/>
      <c r="U96" s="14"/>
      <c r="V96" s="14"/>
      <c r="W96" s="14"/>
      <c r="X96" s="14"/>
      <c r="Y96" s="14"/>
      <c r="Z96" s="14"/>
      <c r="AA96" s="15"/>
      <c r="AB96" s="3"/>
      <c r="AC96" s="3"/>
      <c r="AD96" s="3"/>
      <c r="AE96" s="3"/>
      <c r="AF96" s="3"/>
      <c r="AG96" s="3"/>
      <c r="AH96" s="3"/>
      <c r="AI96" s="3"/>
      <c r="AJ96" s="3"/>
      <c r="AK96" s="3"/>
      <c r="AL96" s="3"/>
      <c r="AM96" s="3"/>
      <c r="AN96" s="3"/>
      <c r="AO96" s="3"/>
    </row>
    <row r="97" spans="2:41" x14ac:dyDescent="0.25">
      <c r="B97" s="13"/>
      <c r="C97" s="14"/>
      <c r="D97" s="14"/>
      <c r="E97" s="56"/>
      <c r="F97" s="56"/>
      <c r="G97" s="14"/>
      <c r="H97" s="56"/>
      <c r="I97" s="14"/>
      <c r="J97" s="14"/>
      <c r="K97" s="14"/>
      <c r="L97" s="14"/>
      <c r="M97" s="14"/>
      <c r="N97" s="14"/>
      <c r="O97" s="14"/>
      <c r="P97" s="14"/>
      <c r="Q97" s="14"/>
      <c r="R97" s="14"/>
      <c r="S97" s="14"/>
      <c r="T97" s="14"/>
      <c r="U97" s="14"/>
      <c r="V97" s="14"/>
      <c r="W97" s="14"/>
      <c r="X97" s="14"/>
      <c r="Y97" s="14"/>
      <c r="Z97" s="14"/>
      <c r="AA97" s="15"/>
      <c r="AB97" s="3"/>
      <c r="AC97" s="3"/>
      <c r="AD97" s="3"/>
      <c r="AE97" s="3"/>
      <c r="AF97" s="3"/>
      <c r="AG97" s="3"/>
      <c r="AH97" s="3"/>
      <c r="AI97" s="3"/>
      <c r="AJ97" s="3"/>
      <c r="AK97" s="3"/>
      <c r="AL97" s="3"/>
      <c r="AM97" s="3"/>
      <c r="AN97" s="3"/>
      <c r="AO97" s="3"/>
    </row>
    <row r="98" spans="2:41" x14ac:dyDescent="0.25">
      <c r="B98" s="13"/>
      <c r="C98" s="14"/>
      <c r="D98" s="60"/>
      <c r="E98" s="56"/>
      <c r="F98" s="56"/>
      <c r="G98" s="57"/>
      <c r="H98" s="14"/>
      <c r="I98" s="14"/>
      <c r="J98" s="14"/>
      <c r="K98" s="14"/>
      <c r="L98" s="14"/>
      <c r="M98" s="14"/>
      <c r="N98" s="14"/>
      <c r="O98" s="14"/>
      <c r="P98" s="14"/>
      <c r="Q98" s="14"/>
      <c r="R98" s="14"/>
      <c r="S98" s="14"/>
      <c r="T98" s="14"/>
      <c r="U98" s="14"/>
      <c r="V98" s="14"/>
      <c r="W98" s="14"/>
      <c r="X98" s="14"/>
      <c r="Y98" s="14"/>
      <c r="Z98" s="14"/>
      <c r="AA98" s="15"/>
      <c r="AB98" s="3"/>
      <c r="AC98" s="3"/>
      <c r="AD98" s="3"/>
      <c r="AE98" s="3"/>
      <c r="AF98" s="3"/>
      <c r="AG98" s="3"/>
      <c r="AH98" s="3"/>
      <c r="AI98" s="3"/>
      <c r="AJ98" s="3"/>
      <c r="AK98" s="3"/>
      <c r="AL98" s="3"/>
      <c r="AM98" s="3"/>
      <c r="AN98" s="3"/>
      <c r="AO98" s="3"/>
    </row>
    <row r="99" spans="2:41" x14ac:dyDescent="0.25">
      <c r="B99" s="13"/>
      <c r="C99" s="14"/>
      <c r="D99" s="60"/>
      <c r="E99" s="56"/>
      <c r="F99" s="56"/>
      <c r="G99" s="128"/>
      <c r="H99" s="56"/>
      <c r="I99" s="14"/>
      <c r="J99" s="14"/>
      <c r="K99" s="14"/>
      <c r="L99" s="14"/>
      <c r="M99" s="14"/>
      <c r="N99" s="14"/>
      <c r="O99" s="14"/>
      <c r="P99" s="14"/>
      <c r="Q99" s="14"/>
      <c r="R99" s="14"/>
      <c r="S99" s="14"/>
      <c r="T99" s="14"/>
      <c r="U99" s="14"/>
      <c r="V99" s="14"/>
      <c r="W99" s="14"/>
      <c r="X99" s="14"/>
      <c r="Y99" s="14"/>
      <c r="Z99" s="14"/>
      <c r="AA99" s="15"/>
      <c r="AB99" s="3"/>
      <c r="AC99" s="3"/>
      <c r="AD99" s="3"/>
      <c r="AE99" s="3"/>
      <c r="AF99" s="3"/>
      <c r="AG99" s="3"/>
      <c r="AH99" s="3"/>
      <c r="AI99" s="3"/>
      <c r="AJ99" s="3"/>
      <c r="AK99" s="3"/>
      <c r="AL99" s="3"/>
      <c r="AM99" s="3"/>
      <c r="AN99" s="3"/>
      <c r="AO99" s="3"/>
    </row>
    <row r="100" spans="2:41" x14ac:dyDescent="0.25">
      <c r="B100" s="13"/>
      <c r="C100" s="14"/>
      <c r="D100" s="60"/>
      <c r="E100" s="56"/>
      <c r="F100" s="56"/>
      <c r="G100" s="14"/>
      <c r="H100" s="56"/>
      <c r="I100" s="14"/>
      <c r="J100" s="14"/>
      <c r="K100" s="14"/>
      <c r="L100" s="14"/>
      <c r="M100" s="14"/>
      <c r="N100" s="14"/>
      <c r="O100" s="14"/>
      <c r="P100" s="14"/>
      <c r="Q100" s="14"/>
      <c r="R100" s="14"/>
      <c r="S100" s="14"/>
      <c r="T100" s="14"/>
      <c r="U100" s="14"/>
      <c r="V100" s="14"/>
      <c r="W100" s="14"/>
      <c r="X100" s="14"/>
      <c r="Y100" s="14"/>
      <c r="Z100" s="14"/>
      <c r="AA100" s="15"/>
      <c r="AB100" s="3"/>
      <c r="AC100" s="3"/>
      <c r="AD100" s="3"/>
      <c r="AE100" s="3"/>
      <c r="AF100" s="3"/>
      <c r="AG100" s="3"/>
      <c r="AH100" s="3"/>
      <c r="AI100" s="3"/>
      <c r="AJ100" s="3"/>
      <c r="AK100" s="3"/>
      <c r="AL100" s="3"/>
      <c r="AM100" s="3"/>
      <c r="AN100" s="3"/>
      <c r="AO100" s="3"/>
    </row>
    <row r="101" spans="2:41" x14ac:dyDescent="0.25">
      <c r="B101" s="13"/>
      <c r="C101" s="14"/>
      <c r="D101" s="60"/>
      <c r="E101" s="56"/>
      <c r="F101" s="56"/>
      <c r="G101" s="14"/>
      <c r="H101" s="56"/>
      <c r="I101" s="14"/>
      <c r="J101" s="14"/>
      <c r="K101" s="14"/>
      <c r="L101" s="14"/>
      <c r="M101" s="14"/>
      <c r="N101" s="14"/>
      <c r="O101" s="14"/>
      <c r="P101" s="14"/>
      <c r="Q101" s="14"/>
      <c r="R101" s="14"/>
      <c r="S101" s="14"/>
      <c r="T101" s="14"/>
      <c r="U101" s="14"/>
      <c r="V101" s="14"/>
      <c r="W101" s="14"/>
      <c r="X101" s="14"/>
      <c r="Y101" s="14"/>
      <c r="Z101" s="14"/>
      <c r="AA101" s="15"/>
      <c r="AB101" s="3"/>
      <c r="AC101" s="3"/>
      <c r="AD101" s="3"/>
      <c r="AE101" s="3"/>
      <c r="AF101" s="3"/>
      <c r="AG101" s="3"/>
      <c r="AH101" s="3"/>
      <c r="AI101" s="3"/>
      <c r="AJ101" s="3"/>
      <c r="AK101" s="3"/>
      <c r="AL101" s="3"/>
      <c r="AM101" s="3"/>
      <c r="AN101" s="3"/>
      <c r="AO101" s="3"/>
    </row>
    <row r="102" spans="2:41" x14ac:dyDescent="0.25">
      <c r="B102" s="13"/>
      <c r="C102" s="56"/>
      <c r="D102" s="60"/>
      <c r="E102" s="56"/>
      <c r="F102" s="56"/>
      <c r="G102" s="56"/>
      <c r="H102" s="56"/>
      <c r="I102" s="14"/>
      <c r="J102" s="14"/>
      <c r="K102" s="14"/>
      <c r="L102" s="14"/>
      <c r="M102" s="14"/>
      <c r="N102" s="14"/>
      <c r="O102" s="14"/>
      <c r="P102" s="14"/>
      <c r="Q102" s="14"/>
      <c r="R102" s="14"/>
      <c r="S102" s="14"/>
      <c r="T102" s="14"/>
      <c r="U102" s="14"/>
      <c r="V102" s="14"/>
      <c r="W102" s="14"/>
      <c r="X102" s="14"/>
      <c r="Y102" s="14"/>
      <c r="Z102" s="14"/>
      <c r="AA102" s="15"/>
      <c r="AB102" s="3"/>
      <c r="AC102" s="3"/>
      <c r="AD102" s="3"/>
      <c r="AE102" s="3"/>
      <c r="AF102" s="3"/>
      <c r="AG102" s="3"/>
      <c r="AH102" s="3"/>
      <c r="AI102" s="3"/>
      <c r="AJ102" s="3"/>
      <c r="AK102" s="3"/>
      <c r="AL102" s="3"/>
      <c r="AM102" s="3"/>
      <c r="AN102" s="3"/>
      <c r="AO102" s="3"/>
    </row>
    <row r="103" spans="2:41" x14ac:dyDescent="0.25">
      <c r="B103" s="13"/>
      <c r="C103" s="14"/>
      <c r="D103" s="60"/>
      <c r="E103" s="56"/>
      <c r="F103" s="56"/>
      <c r="G103" s="14"/>
      <c r="H103" s="56"/>
      <c r="I103" s="14"/>
      <c r="J103" s="14"/>
      <c r="K103" s="14"/>
      <c r="L103" s="14"/>
      <c r="M103" s="14"/>
      <c r="N103" s="14"/>
      <c r="O103" s="14"/>
      <c r="P103" s="14"/>
      <c r="Q103" s="14"/>
      <c r="R103" s="14"/>
      <c r="S103" s="14"/>
      <c r="T103" s="14"/>
      <c r="U103" s="14"/>
      <c r="V103" s="14"/>
      <c r="W103" s="14"/>
      <c r="X103" s="14"/>
      <c r="Y103" s="14"/>
      <c r="Z103" s="14"/>
      <c r="AA103" s="15"/>
      <c r="AB103" s="3"/>
      <c r="AC103" s="3"/>
      <c r="AD103" s="3"/>
      <c r="AE103" s="3"/>
      <c r="AF103" s="3"/>
      <c r="AG103" s="3"/>
      <c r="AH103" s="3"/>
      <c r="AI103" s="3"/>
      <c r="AJ103" s="3"/>
      <c r="AK103" s="3"/>
      <c r="AL103" s="3"/>
      <c r="AM103" s="3"/>
      <c r="AN103" s="3"/>
      <c r="AO103" s="3"/>
    </row>
    <row r="104" spans="2:41" x14ac:dyDescent="0.25">
      <c r="B104" s="13"/>
      <c r="C104" s="14"/>
      <c r="D104" s="14"/>
      <c r="E104" s="56"/>
      <c r="F104" s="56"/>
      <c r="G104" s="14"/>
      <c r="H104" s="56"/>
      <c r="I104" s="14"/>
      <c r="J104" s="14"/>
      <c r="K104" s="14"/>
      <c r="L104" s="14"/>
      <c r="M104" s="14"/>
      <c r="N104" s="14"/>
      <c r="O104" s="14"/>
      <c r="P104" s="14"/>
      <c r="Q104" s="14"/>
      <c r="R104" s="14"/>
      <c r="S104" s="14"/>
      <c r="T104" s="14"/>
      <c r="U104" s="14"/>
      <c r="V104" s="14"/>
      <c r="W104" s="14"/>
      <c r="X104" s="14"/>
      <c r="Y104" s="14"/>
      <c r="Z104" s="14"/>
      <c r="AA104" s="15"/>
      <c r="AB104" s="3"/>
      <c r="AC104" s="3"/>
      <c r="AD104" s="3"/>
      <c r="AE104" s="3"/>
      <c r="AF104" s="3"/>
      <c r="AG104" s="3"/>
      <c r="AH104" s="3"/>
      <c r="AI104" s="3"/>
      <c r="AJ104" s="3"/>
      <c r="AK104" s="3"/>
      <c r="AL104" s="3"/>
      <c r="AM104" s="3"/>
      <c r="AN104" s="3"/>
      <c r="AO104" s="3"/>
    </row>
    <row r="105" spans="2:41" x14ac:dyDescent="0.25">
      <c r="B105" s="13"/>
      <c r="C105" s="14"/>
      <c r="D105" s="60"/>
      <c r="E105" s="56"/>
      <c r="F105" s="56"/>
      <c r="G105" s="57"/>
      <c r="H105" s="14"/>
      <c r="I105" s="14"/>
      <c r="J105" s="14"/>
      <c r="K105" s="14"/>
      <c r="L105" s="14"/>
      <c r="M105" s="14"/>
      <c r="N105" s="14"/>
      <c r="O105" s="14"/>
      <c r="P105" s="14"/>
      <c r="Q105" s="14"/>
      <c r="R105" s="14"/>
      <c r="S105" s="14"/>
      <c r="T105" s="14"/>
      <c r="U105" s="14"/>
      <c r="V105" s="14"/>
      <c r="W105" s="14"/>
      <c r="X105" s="14"/>
      <c r="Y105" s="14"/>
      <c r="Z105" s="14"/>
      <c r="AA105" s="15"/>
      <c r="AB105" s="3"/>
      <c r="AC105" s="3"/>
      <c r="AD105" s="3"/>
      <c r="AE105" s="3"/>
      <c r="AF105" s="3"/>
      <c r="AG105" s="3"/>
      <c r="AH105" s="3"/>
      <c r="AI105" s="3"/>
      <c r="AJ105" s="3"/>
      <c r="AK105" s="3"/>
      <c r="AL105" s="3"/>
      <c r="AM105" s="3"/>
      <c r="AN105" s="3"/>
      <c r="AO105" s="3"/>
    </row>
    <row r="106" spans="2:41" x14ac:dyDescent="0.25">
      <c r="B106" s="13"/>
      <c r="C106" s="14"/>
      <c r="D106" s="60"/>
      <c r="E106" s="56"/>
      <c r="F106" s="56"/>
      <c r="G106" s="128"/>
      <c r="H106" s="56"/>
      <c r="I106" s="14"/>
      <c r="J106" s="14"/>
      <c r="K106" s="14"/>
      <c r="L106" s="14"/>
      <c r="M106" s="14"/>
      <c r="N106" s="14"/>
      <c r="O106" s="14"/>
      <c r="P106" s="14"/>
      <c r="Q106" s="14"/>
      <c r="R106" s="14"/>
      <c r="S106" s="14"/>
      <c r="T106" s="14"/>
      <c r="U106" s="14"/>
      <c r="V106" s="14"/>
      <c r="W106" s="14"/>
      <c r="X106" s="14"/>
      <c r="Y106" s="14"/>
      <c r="Z106" s="14"/>
      <c r="AA106" s="15"/>
      <c r="AB106" s="3"/>
      <c r="AC106" s="3"/>
      <c r="AD106" s="3"/>
      <c r="AE106" s="3"/>
      <c r="AF106" s="3"/>
      <c r="AG106" s="3"/>
      <c r="AH106" s="3"/>
      <c r="AI106" s="3"/>
      <c r="AJ106" s="3"/>
      <c r="AK106" s="3"/>
      <c r="AL106" s="3"/>
      <c r="AM106" s="3"/>
      <c r="AN106" s="3"/>
      <c r="AO106" s="3"/>
    </row>
    <row r="107" spans="2:41" x14ac:dyDescent="0.25">
      <c r="B107" s="13"/>
      <c r="C107" s="14"/>
      <c r="D107" s="60"/>
      <c r="E107" s="56"/>
      <c r="F107" s="56"/>
      <c r="G107" s="14"/>
      <c r="H107" s="56"/>
      <c r="I107" s="14"/>
      <c r="J107" s="14"/>
      <c r="K107" s="14"/>
      <c r="L107" s="14"/>
      <c r="M107" s="14"/>
      <c r="N107" s="14"/>
      <c r="O107" s="14"/>
      <c r="P107" s="14"/>
      <c r="Q107" s="14"/>
      <c r="R107" s="14"/>
      <c r="S107" s="14"/>
      <c r="T107" s="14"/>
      <c r="U107" s="14"/>
      <c r="V107" s="14"/>
      <c r="W107" s="14"/>
      <c r="X107" s="14"/>
      <c r="Y107" s="14"/>
      <c r="Z107" s="14"/>
      <c r="AA107" s="15"/>
      <c r="AB107" s="3"/>
      <c r="AC107" s="3"/>
      <c r="AD107" s="3"/>
      <c r="AE107" s="3"/>
      <c r="AF107" s="3"/>
      <c r="AG107" s="3"/>
      <c r="AH107" s="3"/>
      <c r="AI107" s="3"/>
      <c r="AJ107" s="3"/>
      <c r="AK107" s="3"/>
      <c r="AL107" s="3"/>
      <c r="AM107" s="3"/>
      <c r="AN107" s="3"/>
      <c r="AO107" s="3"/>
    </row>
    <row r="108" spans="2:41" x14ac:dyDescent="0.25">
      <c r="B108" s="13"/>
      <c r="C108" s="14"/>
      <c r="D108" s="60"/>
      <c r="E108" s="56"/>
      <c r="F108" s="56"/>
      <c r="G108" s="14"/>
      <c r="H108" s="56"/>
      <c r="I108" s="14"/>
      <c r="J108" s="14"/>
      <c r="K108" s="14"/>
      <c r="L108" s="14"/>
      <c r="M108" s="14"/>
      <c r="N108" s="14"/>
      <c r="O108" s="14"/>
      <c r="P108" s="14"/>
      <c r="Q108" s="14"/>
      <c r="R108" s="14"/>
      <c r="S108" s="14"/>
      <c r="T108" s="14"/>
      <c r="U108" s="14"/>
      <c r="V108" s="14"/>
      <c r="W108" s="14"/>
      <c r="X108" s="14"/>
      <c r="Y108" s="14"/>
      <c r="Z108" s="14"/>
      <c r="AA108" s="15"/>
      <c r="AB108" s="3"/>
      <c r="AC108" s="3"/>
      <c r="AD108" s="3"/>
      <c r="AE108" s="3"/>
      <c r="AF108" s="3"/>
      <c r="AG108" s="3"/>
      <c r="AH108" s="3"/>
      <c r="AI108" s="3"/>
      <c r="AJ108" s="3"/>
      <c r="AK108" s="3"/>
      <c r="AL108" s="3"/>
      <c r="AM108" s="3"/>
      <c r="AN108" s="3"/>
      <c r="AO108" s="3"/>
    </row>
    <row r="109" spans="2:41" x14ac:dyDescent="0.25">
      <c r="B109" s="13"/>
      <c r="C109" s="56"/>
      <c r="D109" s="60"/>
      <c r="E109" s="56"/>
      <c r="F109" s="56"/>
      <c r="G109" s="56"/>
      <c r="H109" s="56"/>
      <c r="I109" s="14"/>
      <c r="J109" s="14"/>
      <c r="K109" s="14"/>
      <c r="L109" s="14"/>
      <c r="M109" s="14"/>
      <c r="N109" s="14"/>
      <c r="O109" s="14"/>
      <c r="P109" s="14"/>
      <c r="Q109" s="14"/>
      <c r="R109" s="14"/>
      <c r="S109" s="14"/>
      <c r="T109" s="14"/>
      <c r="U109" s="14"/>
      <c r="V109" s="14"/>
      <c r="W109" s="14"/>
      <c r="X109" s="14"/>
      <c r="Y109" s="14"/>
      <c r="Z109" s="14"/>
      <c r="AA109" s="15"/>
      <c r="AB109" s="3"/>
      <c r="AC109" s="3"/>
      <c r="AD109" s="3"/>
      <c r="AE109" s="3"/>
      <c r="AF109" s="3"/>
      <c r="AG109" s="3"/>
      <c r="AH109" s="3"/>
      <c r="AI109" s="3"/>
      <c r="AJ109" s="3"/>
      <c r="AK109" s="3"/>
      <c r="AL109" s="3"/>
      <c r="AM109" s="3"/>
      <c r="AN109" s="3"/>
      <c r="AO109" s="3"/>
    </row>
    <row r="110" spans="2:41" ht="18.75" x14ac:dyDescent="0.3">
      <c r="B110" s="67"/>
      <c r="C110" s="14"/>
      <c r="D110" s="60"/>
      <c r="E110" s="56"/>
      <c r="F110" s="56"/>
      <c r="G110" s="14"/>
      <c r="H110" s="56"/>
      <c r="I110" s="74"/>
      <c r="J110" s="14"/>
      <c r="K110" s="14"/>
      <c r="L110" s="14"/>
      <c r="M110" s="14"/>
      <c r="N110" s="14"/>
      <c r="O110" s="14"/>
      <c r="P110" s="14"/>
      <c r="Q110" s="14"/>
      <c r="R110" s="14"/>
      <c r="S110" s="14"/>
      <c r="T110" s="14"/>
      <c r="U110" s="14"/>
      <c r="V110" s="14"/>
      <c r="W110" s="14"/>
      <c r="X110" s="14"/>
      <c r="Y110" s="14"/>
      <c r="Z110" s="14"/>
      <c r="AA110" s="15"/>
      <c r="AB110" s="3"/>
      <c r="AC110" s="3"/>
      <c r="AD110" s="3"/>
      <c r="AE110" s="3"/>
      <c r="AF110" s="3"/>
      <c r="AG110" s="3"/>
      <c r="AH110" s="3"/>
      <c r="AI110" s="3"/>
      <c r="AJ110" s="3"/>
      <c r="AK110" s="3"/>
      <c r="AL110" s="3"/>
      <c r="AM110" s="3"/>
      <c r="AN110" s="3"/>
      <c r="AO110" s="3"/>
    </row>
    <row r="111" spans="2:41" x14ac:dyDescent="0.25">
      <c r="B111" s="13"/>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5"/>
      <c r="AB111" s="3"/>
      <c r="AC111" s="3"/>
      <c r="AD111" s="3"/>
      <c r="AE111" s="3"/>
      <c r="AF111" s="3"/>
      <c r="AG111" s="3"/>
      <c r="AH111" s="3"/>
      <c r="AI111" s="3"/>
      <c r="AJ111" s="3"/>
      <c r="AK111" s="3"/>
      <c r="AL111" s="3"/>
      <c r="AM111" s="3"/>
      <c r="AN111" s="3"/>
      <c r="AO111" s="3"/>
    </row>
    <row r="112" spans="2:41" x14ac:dyDescent="0.25">
      <c r="B112" s="13"/>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5"/>
      <c r="AB112" s="3"/>
      <c r="AC112" s="3"/>
      <c r="AD112" s="3"/>
      <c r="AE112" s="3"/>
      <c r="AF112" s="3"/>
      <c r="AG112" s="3"/>
      <c r="AH112" s="3"/>
      <c r="AI112" s="3"/>
      <c r="AJ112" s="3"/>
      <c r="AK112" s="3"/>
      <c r="AL112" s="3"/>
      <c r="AM112" s="3"/>
      <c r="AN112" s="3"/>
      <c r="AO112" s="3"/>
    </row>
    <row r="113" spans="2:41" x14ac:dyDescent="0.25">
      <c r="B113" s="13"/>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5"/>
      <c r="AB113" s="3"/>
      <c r="AC113" s="3"/>
      <c r="AD113" s="3"/>
      <c r="AE113" s="3"/>
      <c r="AF113" s="3"/>
      <c r="AG113" s="3"/>
      <c r="AH113" s="3"/>
      <c r="AI113" s="3"/>
      <c r="AJ113" s="3"/>
      <c r="AK113" s="3"/>
      <c r="AL113" s="3"/>
      <c r="AM113" s="3"/>
      <c r="AN113" s="3"/>
      <c r="AO113" s="3"/>
    </row>
    <row r="114" spans="2:41" x14ac:dyDescent="0.25">
      <c r="B114" s="13"/>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5"/>
      <c r="AB114" s="3"/>
      <c r="AC114" s="3"/>
      <c r="AD114" s="3"/>
      <c r="AE114" s="3"/>
      <c r="AF114" s="3"/>
      <c r="AG114" s="3"/>
      <c r="AH114" s="3"/>
      <c r="AI114" s="3"/>
      <c r="AJ114" s="3"/>
      <c r="AK114" s="3"/>
      <c r="AL114" s="3"/>
      <c r="AM114" s="3"/>
      <c r="AN114" s="3"/>
      <c r="AO114" s="3"/>
    </row>
    <row r="115" spans="2:41" x14ac:dyDescent="0.25">
      <c r="B115" s="13"/>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5"/>
      <c r="AB115" s="3"/>
      <c r="AC115" s="3"/>
      <c r="AD115" s="3"/>
      <c r="AE115" s="3"/>
      <c r="AF115" s="3"/>
      <c r="AG115" s="3"/>
      <c r="AH115" s="3"/>
      <c r="AI115" s="3"/>
      <c r="AJ115" s="3"/>
      <c r="AK115" s="3"/>
      <c r="AL115" s="3"/>
      <c r="AM115" s="3"/>
      <c r="AN115" s="3"/>
      <c r="AO115" s="3"/>
    </row>
    <row r="116" spans="2:41" x14ac:dyDescent="0.25">
      <c r="B116" s="13"/>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5"/>
      <c r="AB116" s="3"/>
      <c r="AC116" s="3"/>
      <c r="AD116" s="3"/>
      <c r="AE116" s="3"/>
      <c r="AF116" s="3"/>
      <c r="AG116" s="3"/>
      <c r="AH116" s="3"/>
      <c r="AI116" s="3"/>
      <c r="AJ116" s="3"/>
      <c r="AK116" s="3"/>
      <c r="AL116" s="3"/>
      <c r="AM116" s="3"/>
      <c r="AN116" s="3"/>
      <c r="AO116" s="3"/>
    </row>
    <row r="117" spans="2:41" x14ac:dyDescent="0.25">
      <c r="B117" s="13"/>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5"/>
      <c r="AB117" s="3"/>
      <c r="AC117" s="3"/>
      <c r="AD117" s="3"/>
      <c r="AE117" s="3"/>
      <c r="AF117" s="3"/>
      <c r="AG117" s="3"/>
      <c r="AH117" s="3"/>
      <c r="AI117" s="3"/>
      <c r="AJ117" s="3"/>
      <c r="AK117" s="3"/>
      <c r="AL117" s="3"/>
      <c r="AM117" s="3"/>
      <c r="AN117" s="3"/>
      <c r="AO117" s="3"/>
    </row>
    <row r="118" spans="2:41" x14ac:dyDescent="0.25">
      <c r="B118" s="13"/>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5"/>
      <c r="AB118" s="3"/>
      <c r="AC118" s="3"/>
      <c r="AD118" s="3"/>
      <c r="AE118" s="3"/>
      <c r="AF118" s="3"/>
      <c r="AG118" s="3"/>
      <c r="AH118" s="3"/>
      <c r="AI118" s="3"/>
      <c r="AJ118" s="3"/>
      <c r="AK118" s="3"/>
      <c r="AL118" s="3"/>
      <c r="AM118" s="3"/>
      <c r="AN118" s="3"/>
      <c r="AO118" s="3"/>
    </row>
    <row r="119" spans="2:41" ht="15.4" customHeight="1" x14ac:dyDescent="0.25">
      <c r="B119" s="13"/>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5"/>
      <c r="AB119" s="3"/>
      <c r="AC119" s="3"/>
      <c r="AD119" s="3"/>
      <c r="AE119" s="3"/>
      <c r="AF119" s="3"/>
      <c r="AG119" s="3"/>
      <c r="AH119" s="3"/>
      <c r="AI119" s="3"/>
      <c r="AJ119" s="3"/>
      <c r="AK119" s="3"/>
      <c r="AL119" s="3"/>
      <c r="AM119" s="3"/>
      <c r="AN119" s="3"/>
      <c r="AO119" s="3"/>
    </row>
    <row r="120" spans="2:41" x14ac:dyDescent="0.25">
      <c r="B120" s="13"/>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5"/>
      <c r="AB120" s="3"/>
      <c r="AC120" s="3"/>
      <c r="AD120" s="3"/>
      <c r="AE120" s="3"/>
      <c r="AF120" s="3"/>
      <c r="AG120" s="3"/>
      <c r="AH120" s="3"/>
      <c r="AI120" s="3"/>
      <c r="AJ120" s="3"/>
      <c r="AK120" s="3"/>
      <c r="AL120" s="3"/>
      <c r="AM120" s="3"/>
      <c r="AN120" s="3"/>
      <c r="AO120" s="3"/>
    </row>
    <row r="121" spans="2:41" x14ac:dyDescent="0.25">
      <c r="B121" s="13"/>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5"/>
      <c r="AB121" s="3"/>
      <c r="AC121" s="3"/>
      <c r="AD121" s="3"/>
      <c r="AE121" s="3"/>
      <c r="AF121" s="3"/>
      <c r="AG121" s="3"/>
      <c r="AH121" s="3"/>
      <c r="AI121" s="3"/>
      <c r="AJ121" s="3"/>
      <c r="AK121" s="3"/>
      <c r="AL121" s="3"/>
      <c r="AM121" s="3"/>
      <c r="AN121" s="3"/>
      <c r="AO121" s="3"/>
    </row>
    <row r="122" spans="2:41" x14ac:dyDescent="0.25">
      <c r="B122" s="13"/>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5"/>
      <c r="AB122" s="3"/>
      <c r="AC122" s="3"/>
      <c r="AD122" s="3"/>
      <c r="AE122" s="3"/>
      <c r="AF122" s="3"/>
      <c r="AG122" s="3"/>
      <c r="AH122" s="3"/>
      <c r="AI122" s="3"/>
      <c r="AJ122" s="3"/>
      <c r="AK122" s="3"/>
      <c r="AL122" s="3"/>
      <c r="AM122" s="3"/>
      <c r="AN122" s="3"/>
      <c r="AO122" s="3"/>
    </row>
    <row r="123" spans="2:41" x14ac:dyDescent="0.25">
      <c r="B123" s="13"/>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5"/>
      <c r="AB123" s="3"/>
      <c r="AC123" s="3"/>
      <c r="AD123" s="3"/>
      <c r="AE123" s="3"/>
      <c r="AF123" s="3"/>
      <c r="AG123" s="3"/>
      <c r="AH123" s="3"/>
      <c r="AI123" s="3"/>
      <c r="AJ123" s="3"/>
      <c r="AK123" s="3"/>
      <c r="AL123" s="3"/>
      <c r="AM123" s="3"/>
      <c r="AN123" s="3"/>
      <c r="AO123" s="3"/>
    </row>
    <row r="124" spans="2:41" ht="18.75" x14ac:dyDescent="0.3">
      <c r="B124" s="67"/>
      <c r="C124" s="14"/>
      <c r="D124" s="60"/>
      <c r="E124" s="56"/>
      <c r="F124" s="56"/>
      <c r="G124" s="14"/>
      <c r="H124" s="56"/>
      <c r="I124" s="74"/>
      <c r="J124" s="14"/>
      <c r="K124" s="14"/>
      <c r="L124" s="14"/>
      <c r="M124" s="14"/>
      <c r="N124" s="14"/>
      <c r="O124" s="14"/>
      <c r="P124" s="14"/>
      <c r="Q124" s="14"/>
      <c r="R124" s="14"/>
      <c r="S124" s="14"/>
      <c r="T124" s="14"/>
      <c r="U124" s="14"/>
      <c r="V124" s="14"/>
      <c r="W124" s="14"/>
      <c r="X124" s="14"/>
      <c r="Y124" s="14"/>
      <c r="Z124" s="14"/>
      <c r="AA124" s="15"/>
      <c r="AB124" s="3"/>
      <c r="AC124" s="3"/>
      <c r="AD124" s="3"/>
      <c r="AE124" s="3"/>
      <c r="AF124" s="3"/>
      <c r="AG124" s="3"/>
      <c r="AH124" s="3"/>
      <c r="AI124" s="3"/>
      <c r="AJ124" s="3"/>
      <c r="AK124" s="3"/>
      <c r="AL124" s="3"/>
      <c r="AM124" s="3"/>
      <c r="AN124" s="3"/>
      <c r="AO124" s="3"/>
    </row>
    <row r="125" spans="2:41" x14ac:dyDescent="0.25">
      <c r="B125" s="13"/>
      <c r="C125" s="14"/>
      <c r="D125" s="14"/>
      <c r="E125" s="56"/>
      <c r="F125" s="56"/>
      <c r="G125" s="14"/>
      <c r="H125" s="56"/>
      <c r="I125" s="14"/>
      <c r="J125" s="14"/>
      <c r="K125" s="14"/>
      <c r="L125" s="14"/>
      <c r="M125" s="14"/>
      <c r="N125" s="14"/>
      <c r="O125" s="14"/>
      <c r="P125" s="14"/>
      <c r="Q125" s="14"/>
      <c r="R125" s="14"/>
      <c r="S125" s="14"/>
      <c r="T125" s="14"/>
      <c r="U125" s="14"/>
      <c r="V125" s="14"/>
      <c r="W125" s="14"/>
      <c r="X125" s="14"/>
      <c r="Y125" s="14"/>
      <c r="Z125" s="14"/>
      <c r="AA125" s="15"/>
      <c r="AB125" s="3"/>
      <c r="AC125" s="3"/>
      <c r="AD125" s="3"/>
      <c r="AE125" s="3"/>
      <c r="AF125" s="3"/>
      <c r="AG125" s="3"/>
      <c r="AH125" s="3"/>
      <c r="AI125" s="3"/>
      <c r="AJ125" s="3"/>
      <c r="AK125" s="3"/>
      <c r="AL125" s="3"/>
      <c r="AM125" s="3"/>
      <c r="AN125" s="3"/>
      <c r="AO125" s="3"/>
    </row>
    <row r="126" spans="2:41" x14ac:dyDescent="0.25">
      <c r="B126" s="13"/>
      <c r="C126" s="14"/>
      <c r="D126" s="60"/>
      <c r="E126" s="56"/>
      <c r="F126" s="56"/>
      <c r="G126" s="57"/>
      <c r="H126" s="14"/>
      <c r="I126" s="14"/>
      <c r="J126" s="14"/>
      <c r="K126" s="14"/>
      <c r="L126" s="14"/>
      <c r="M126" s="14"/>
      <c r="N126" s="14"/>
      <c r="O126" s="14"/>
      <c r="P126" s="14"/>
      <c r="Q126" s="14"/>
      <c r="R126" s="14"/>
      <c r="S126" s="14"/>
      <c r="T126" s="14"/>
      <c r="U126" s="14"/>
      <c r="V126" s="14"/>
      <c r="W126" s="14"/>
      <c r="X126" s="14"/>
      <c r="Y126" s="14"/>
      <c r="Z126" s="14"/>
      <c r="AA126" s="15"/>
      <c r="AB126" s="3"/>
      <c r="AC126" s="3"/>
      <c r="AD126" s="3"/>
      <c r="AE126" s="3"/>
      <c r="AF126" s="3"/>
      <c r="AG126" s="3"/>
      <c r="AH126" s="3"/>
      <c r="AI126" s="3"/>
      <c r="AJ126" s="3"/>
      <c r="AK126" s="3"/>
      <c r="AL126" s="3"/>
      <c r="AM126" s="3"/>
      <c r="AN126" s="3"/>
      <c r="AO126" s="3"/>
    </row>
    <row r="127" spans="2:41" x14ac:dyDescent="0.25">
      <c r="B127" s="13"/>
      <c r="C127" s="14"/>
      <c r="D127" s="60"/>
      <c r="E127" s="56"/>
      <c r="F127" s="56"/>
      <c r="G127" s="128"/>
      <c r="H127" s="56"/>
      <c r="I127" s="14"/>
      <c r="J127" s="14"/>
      <c r="K127" s="14"/>
      <c r="L127" s="14"/>
      <c r="M127" s="14"/>
      <c r="N127" s="14"/>
      <c r="O127" s="14"/>
      <c r="P127" s="14"/>
      <c r="Q127" s="14"/>
      <c r="R127" s="14"/>
      <c r="S127" s="14"/>
      <c r="T127" s="14"/>
      <c r="U127" s="14"/>
      <c r="V127" s="14"/>
      <c r="W127" s="14"/>
      <c r="X127" s="14"/>
      <c r="Y127" s="14"/>
      <c r="Z127" s="14"/>
      <c r="AA127" s="15"/>
      <c r="AB127" s="3"/>
      <c r="AC127" s="3"/>
      <c r="AD127" s="3"/>
      <c r="AE127" s="3"/>
      <c r="AF127" s="3"/>
      <c r="AG127" s="3"/>
      <c r="AH127" s="3"/>
      <c r="AI127" s="3"/>
      <c r="AJ127" s="3"/>
      <c r="AK127" s="3"/>
      <c r="AL127" s="3"/>
      <c r="AM127" s="3"/>
      <c r="AN127" s="3"/>
      <c r="AO127" s="3"/>
    </row>
    <row r="128" spans="2:41" x14ac:dyDescent="0.25">
      <c r="B128" s="13"/>
      <c r="C128" s="14"/>
      <c r="D128" s="60"/>
      <c r="E128" s="56"/>
      <c r="F128" s="56"/>
      <c r="G128" s="14"/>
      <c r="H128" s="56"/>
      <c r="I128" s="14"/>
      <c r="J128" s="14"/>
      <c r="K128" s="14"/>
      <c r="L128" s="14"/>
      <c r="M128" s="14"/>
      <c r="N128" s="14"/>
      <c r="O128" s="14"/>
      <c r="P128" s="14"/>
      <c r="Q128" s="14"/>
      <c r="R128" s="14"/>
      <c r="S128" s="14"/>
      <c r="T128" s="14"/>
      <c r="U128" s="14"/>
      <c r="V128" s="14"/>
      <c r="W128" s="14"/>
      <c r="X128" s="14"/>
      <c r="Y128" s="14"/>
      <c r="Z128" s="14"/>
      <c r="AA128" s="15"/>
      <c r="AB128" s="3"/>
      <c r="AC128" s="3"/>
      <c r="AD128" s="3"/>
      <c r="AE128" s="3"/>
      <c r="AF128" s="3"/>
      <c r="AG128" s="3"/>
      <c r="AH128" s="3"/>
      <c r="AI128" s="3"/>
      <c r="AJ128" s="3"/>
      <c r="AK128" s="3"/>
      <c r="AL128" s="3"/>
      <c r="AM128" s="3"/>
      <c r="AN128" s="3"/>
      <c r="AO128" s="3"/>
    </row>
    <row r="129" spans="2:41" x14ac:dyDescent="0.25">
      <c r="B129" s="13"/>
      <c r="C129" s="14"/>
      <c r="D129" s="60"/>
      <c r="E129" s="56"/>
      <c r="F129" s="56"/>
      <c r="G129" s="14"/>
      <c r="H129" s="56"/>
      <c r="I129" s="14"/>
      <c r="J129" s="14"/>
      <c r="K129" s="14"/>
      <c r="L129" s="14"/>
      <c r="M129" s="14"/>
      <c r="N129" s="14"/>
      <c r="O129" s="14"/>
      <c r="P129" s="14"/>
      <c r="Q129" s="14"/>
      <c r="R129" s="14"/>
      <c r="S129" s="14"/>
      <c r="T129" s="14"/>
      <c r="U129" s="14"/>
      <c r="V129" s="14"/>
      <c r="W129" s="14"/>
      <c r="X129" s="14"/>
      <c r="Y129" s="14"/>
      <c r="Z129" s="14"/>
      <c r="AA129" s="15"/>
      <c r="AB129" s="3"/>
      <c r="AC129" s="3"/>
      <c r="AD129" s="3"/>
      <c r="AE129" s="3"/>
      <c r="AF129" s="3"/>
      <c r="AG129" s="3"/>
      <c r="AH129" s="3"/>
      <c r="AI129" s="3"/>
      <c r="AJ129" s="3"/>
      <c r="AK129" s="3"/>
      <c r="AL129" s="3"/>
      <c r="AM129" s="3"/>
      <c r="AN129" s="3"/>
      <c r="AO129" s="3"/>
    </row>
    <row r="130" spans="2:41" x14ac:dyDescent="0.25">
      <c r="B130" s="13"/>
      <c r="C130" s="56"/>
      <c r="D130" s="60"/>
      <c r="E130" s="56"/>
      <c r="F130" s="56"/>
      <c r="G130" s="56"/>
      <c r="H130" s="56"/>
      <c r="I130" s="14"/>
      <c r="J130" s="14"/>
      <c r="K130" s="14"/>
      <c r="L130" s="14"/>
      <c r="M130" s="14"/>
      <c r="N130" s="14"/>
      <c r="O130" s="14"/>
      <c r="P130" s="14"/>
      <c r="Q130" s="14"/>
      <c r="R130" s="14"/>
      <c r="S130" s="14"/>
      <c r="T130" s="14"/>
      <c r="U130" s="14"/>
      <c r="V130" s="14"/>
      <c r="W130" s="14"/>
      <c r="X130" s="14"/>
      <c r="Y130" s="14"/>
      <c r="Z130" s="14"/>
      <c r="AA130" s="15"/>
      <c r="AB130" s="3"/>
      <c r="AC130" s="3"/>
      <c r="AD130" s="3"/>
      <c r="AE130" s="3"/>
      <c r="AF130" s="3"/>
      <c r="AG130" s="3"/>
      <c r="AH130" s="3"/>
      <c r="AI130" s="3"/>
      <c r="AJ130" s="3"/>
      <c r="AK130" s="3"/>
      <c r="AL130" s="3"/>
      <c r="AM130" s="3"/>
      <c r="AN130" s="3"/>
      <c r="AO130" s="3"/>
    </row>
    <row r="131" spans="2:41" x14ac:dyDescent="0.25">
      <c r="B131" s="13"/>
      <c r="C131" s="14"/>
      <c r="D131" s="60"/>
      <c r="E131" s="56"/>
      <c r="F131" s="56"/>
      <c r="G131" s="14"/>
      <c r="H131" s="56"/>
      <c r="I131" s="14"/>
      <c r="J131" s="14"/>
      <c r="K131" s="14"/>
      <c r="L131" s="14"/>
      <c r="M131" s="14"/>
      <c r="N131" s="14"/>
      <c r="O131" s="14"/>
      <c r="P131" s="14"/>
      <c r="Q131" s="14"/>
      <c r="R131" s="14"/>
      <c r="S131" s="14"/>
      <c r="T131" s="14"/>
      <c r="U131" s="14"/>
      <c r="V131" s="14"/>
      <c r="W131" s="14"/>
      <c r="X131" s="14"/>
      <c r="Y131" s="14"/>
      <c r="Z131" s="14"/>
      <c r="AA131" s="15"/>
      <c r="AB131" s="3"/>
      <c r="AC131" s="3"/>
      <c r="AD131" s="3"/>
      <c r="AE131" s="3"/>
      <c r="AF131" s="3"/>
      <c r="AG131" s="3"/>
      <c r="AH131" s="3"/>
      <c r="AI131" s="3"/>
      <c r="AJ131" s="3"/>
      <c r="AK131" s="3"/>
      <c r="AL131" s="3"/>
      <c r="AM131" s="3"/>
      <c r="AN131" s="3"/>
      <c r="AO131" s="3"/>
    </row>
    <row r="132" spans="2:41" x14ac:dyDescent="0.25">
      <c r="B132" s="13"/>
      <c r="C132" s="14"/>
      <c r="D132" s="14"/>
      <c r="E132" s="56"/>
      <c r="F132" s="56"/>
      <c r="G132" s="14"/>
      <c r="H132" s="56"/>
      <c r="I132" s="14"/>
      <c r="J132" s="14"/>
      <c r="K132" s="14"/>
      <c r="L132" s="14"/>
      <c r="M132" s="14"/>
      <c r="N132" s="14"/>
      <c r="O132" s="14"/>
      <c r="P132" s="14"/>
      <c r="Q132" s="14"/>
      <c r="R132" s="14"/>
      <c r="S132" s="14"/>
      <c r="T132" s="14"/>
      <c r="U132" s="14"/>
      <c r="V132" s="14"/>
      <c r="W132" s="14"/>
      <c r="X132" s="14"/>
      <c r="Y132" s="14"/>
      <c r="Z132" s="14"/>
      <c r="AA132" s="15"/>
      <c r="AB132" s="3"/>
      <c r="AC132" s="3"/>
      <c r="AD132" s="3"/>
      <c r="AE132" s="3"/>
      <c r="AF132" s="3"/>
      <c r="AG132" s="3"/>
      <c r="AH132" s="3"/>
      <c r="AI132" s="3"/>
      <c r="AJ132" s="3"/>
      <c r="AK132" s="3"/>
      <c r="AL132" s="3"/>
      <c r="AM132" s="3"/>
      <c r="AN132" s="3"/>
      <c r="AO132" s="3"/>
    </row>
    <row r="133" spans="2:41" x14ac:dyDescent="0.25">
      <c r="B133" s="13"/>
      <c r="C133" s="14"/>
      <c r="D133" s="60"/>
      <c r="E133" s="56"/>
      <c r="F133" s="56"/>
      <c r="G133" s="57"/>
      <c r="H133" s="14"/>
      <c r="I133" s="14"/>
      <c r="J133" s="14"/>
      <c r="K133" s="14"/>
      <c r="L133" s="14"/>
      <c r="M133" s="14"/>
      <c r="N133" s="14"/>
      <c r="O133" s="14"/>
      <c r="P133" s="14"/>
      <c r="Q133" s="14"/>
      <c r="R133" s="14"/>
      <c r="S133" s="14"/>
      <c r="T133" s="14"/>
      <c r="U133" s="14"/>
      <c r="V133" s="14"/>
      <c r="W133" s="14"/>
      <c r="X133" s="14"/>
      <c r="Y133" s="14"/>
      <c r="Z133" s="14"/>
      <c r="AA133" s="15"/>
      <c r="AB133" s="3"/>
      <c r="AC133" s="3"/>
      <c r="AD133" s="3"/>
      <c r="AE133" s="3"/>
      <c r="AF133" s="3"/>
      <c r="AG133" s="3"/>
      <c r="AH133" s="3"/>
      <c r="AI133" s="3"/>
      <c r="AJ133" s="3"/>
      <c r="AK133" s="3"/>
      <c r="AL133" s="3"/>
      <c r="AM133" s="3"/>
      <c r="AN133" s="3"/>
      <c r="AO133" s="3"/>
    </row>
    <row r="134" spans="2:41" x14ac:dyDescent="0.25">
      <c r="B134" s="13"/>
      <c r="C134" s="14"/>
      <c r="D134" s="60"/>
      <c r="E134" s="56"/>
      <c r="F134" s="56"/>
      <c r="G134" s="128"/>
      <c r="H134" s="56"/>
      <c r="I134" s="14"/>
      <c r="J134" s="14"/>
      <c r="K134" s="14"/>
      <c r="L134" s="14"/>
      <c r="M134" s="14"/>
      <c r="N134" s="14"/>
      <c r="O134" s="14"/>
      <c r="P134" s="14"/>
      <c r="Q134" s="14"/>
      <c r="R134" s="14"/>
      <c r="S134" s="14"/>
      <c r="T134" s="14"/>
      <c r="U134" s="14"/>
      <c r="V134" s="14"/>
      <c r="W134" s="14"/>
      <c r="X134" s="14"/>
      <c r="Y134" s="14"/>
      <c r="Z134" s="14"/>
      <c r="AA134" s="15"/>
      <c r="AB134" s="3"/>
      <c r="AC134" s="3"/>
      <c r="AD134" s="3"/>
      <c r="AE134" s="3"/>
      <c r="AF134" s="3"/>
      <c r="AG134" s="3"/>
      <c r="AH134" s="3"/>
      <c r="AI134" s="3"/>
      <c r="AJ134" s="3"/>
      <c r="AK134" s="3"/>
      <c r="AL134" s="3"/>
      <c r="AM134" s="3"/>
      <c r="AN134" s="3"/>
      <c r="AO134" s="3"/>
    </row>
    <row r="135" spans="2:41" x14ac:dyDescent="0.25">
      <c r="B135" s="13"/>
      <c r="C135" s="14"/>
      <c r="D135" s="60"/>
      <c r="E135" s="56"/>
      <c r="F135" s="56"/>
      <c r="G135" s="14"/>
      <c r="H135" s="56"/>
      <c r="I135" s="14"/>
      <c r="J135" s="14"/>
      <c r="K135" s="14"/>
      <c r="L135" s="14"/>
      <c r="M135" s="14"/>
      <c r="N135" s="14"/>
      <c r="O135" s="14"/>
      <c r="P135" s="14"/>
      <c r="Q135" s="14"/>
      <c r="R135" s="14"/>
      <c r="S135" s="14"/>
      <c r="T135" s="14"/>
      <c r="U135" s="14"/>
      <c r="V135" s="14"/>
      <c r="W135" s="14"/>
      <c r="X135" s="14"/>
      <c r="Y135" s="14"/>
      <c r="Z135" s="14"/>
      <c r="AA135" s="15"/>
      <c r="AB135" s="3"/>
      <c r="AC135" s="3"/>
      <c r="AD135" s="3"/>
      <c r="AE135" s="3"/>
      <c r="AF135" s="3"/>
      <c r="AG135" s="3"/>
      <c r="AH135" s="3"/>
      <c r="AI135" s="3"/>
      <c r="AJ135" s="3"/>
      <c r="AK135" s="3"/>
      <c r="AL135" s="3"/>
      <c r="AM135" s="3"/>
      <c r="AN135" s="3"/>
      <c r="AO135" s="3"/>
    </row>
    <row r="136" spans="2:41" x14ac:dyDescent="0.25">
      <c r="B136" s="13"/>
      <c r="C136" s="14"/>
      <c r="D136" s="60"/>
      <c r="E136" s="56"/>
      <c r="F136" s="56"/>
      <c r="G136" s="14"/>
      <c r="H136" s="56"/>
      <c r="I136" s="14"/>
      <c r="J136" s="14"/>
      <c r="K136" s="14"/>
      <c r="L136" s="14"/>
      <c r="M136" s="14"/>
      <c r="N136" s="14"/>
      <c r="O136" s="14"/>
      <c r="P136" s="14"/>
      <c r="Q136" s="14"/>
      <c r="R136" s="14"/>
      <c r="S136" s="14"/>
      <c r="T136" s="14"/>
      <c r="U136" s="14"/>
      <c r="V136" s="14"/>
      <c r="W136" s="14"/>
      <c r="X136" s="14"/>
      <c r="Y136" s="14"/>
      <c r="Z136" s="14"/>
      <c r="AA136" s="15"/>
      <c r="AB136" s="3"/>
      <c r="AC136" s="3"/>
      <c r="AD136" s="3"/>
      <c r="AE136" s="3"/>
      <c r="AF136" s="3"/>
      <c r="AG136" s="3"/>
      <c r="AH136" s="3"/>
      <c r="AI136" s="3"/>
      <c r="AJ136" s="3"/>
      <c r="AK136" s="3"/>
      <c r="AL136" s="3"/>
      <c r="AM136" s="3"/>
      <c r="AN136" s="3"/>
      <c r="AO136" s="3"/>
    </row>
    <row r="137" spans="2:41" x14ac:dyDescent="0.25">
      <c r="B137" s="13"/>
      <c r="C137" s="56"/>
      <c r="D137" s="60"/>
      <c r="E137" s="56"/>
      <c r="F137" s="56"/>
      <c r="G137" s="56"/>
      <c r="H137" s="56"/>
      <c r="I137" s="14"/>
      <c r="J137" s="14"/>
      <c r="K137" s="14"/>
      <c r="L137" s="14"/>
      <c r="M137" s="14"/>
      <c r="N137" s="14"/>
      <c r="O137" s="14"/>
      <c r="P137" s="14"/>
      <c r="Q137" s="14"/>
      <c r="R137" s="14"/>
      <c r="S137" s="14"/>
      <c r="T137" s="14"/>
      <c r="U137" s="14"/>
      <c r="V137" s="14"/>
      <c r="W137" s="14"/>
      <c r="X137" s="14"/>
      <c r="Y137" s="14"/>
      <c r="Z137" s="14"/>
      <c r="AA137" s="15"/>
      <c r="AB137" s="3"/>
      <c r="AC137" s="3"/>
      <c r="AD137" s="3"/>
      <c r="AE137" s="3"/>
      <c r="AF137" s="3"/>
      <c r="AG137" s="3"/>
      <c r="AH137" s="3"/>
      <c r="AI137" s="3"/>
      <c r="AJ137" s="3"/>
      <c r="AK137" s="3"/>
      <c r="AL137" s="3"/>
      <c r="AM137" s="3"/>
      <c r="AN137" s="3"/>
      <c r="AO137" s="3"/>
    </row>
    <row r="138" spans="2:41" ht="18.75" x14ac:dyDescent="0.3">
      <c r="B138" s="67"/>
      <c r="C138" s="14"/>
      <c r="D138" s="60"/>
      <c r="E138" s="56"/>
      <c r="F138" s="56"/>
      <c r="G138" s="14"/>
      <c r="H138" s="56"/>
      <c r="I138" s="74"/>
      <c r="J138" s="14"/>
      <c r="K138" s="14"/>
      <c r="L138" s="14"/>
      <c r="M138" s="14"/>
      <c r="N138" s="14"/>
      <c r="O138" s="14"/>
      <c r="P138" s="14"/>
      <c r="Q138" s="14"/>
      <c r="R138" s="14"/>
      <c r="S138" s="14"/>
      <c r="T138" s="14"/>
      <c r="U138" s="14"/>
      <c r="V138" s="14"/>
      <c r="W138" s="14"/>
      <c r="X138" s="14"/>
      <c r="Y138" s="14"/>
      <c r="Z138" s="14"/>
      <c r="AA138" s="15"/>
      <c r="AB138" s="3"/>
      <c r="AC138" s="3"/>
      <c r="AD138" s="3"/>
      <c r="AE138" s="3"/>
      <c r="AF138" s="3"/>
      <c r="AG138" s="3"/>
      <c r="AH138" s="3"/>
      <c r="AI138" s="3"/>
      <c r="AJ138" s="3"/>
      <c r="AK138" s="3"/>
      <c r="AL138" s="3"/>
      <c r="AM138" s="3"/>
      <c r="AN138" s="3"/>
      <c r="AO138" s="3"/>
    </row>
    <row r="139" spans="2:41" x14ac:dyDescent="0.25">
      <c r="B139" s="13"/>
      <c r="C139" s="14"/>
      <c r="D139" s="14"/>
      <c r="E139" s="56"/>
      <c r="F139" s="56"/>
      <c r="G139" s="14"/>
      <c r="H139" s="56"/>
      <c r="I139" s="14"/>
      <c r="J139" s="14"/>
      <c r="K139" s="14"/>
      <c r="L139" s="14"/>
      <c r="M139" s="14"/>
      <c r="N139" s="14"/>
      <c r="O139" s="14"/>
      <c r="P139" s="14"/>
      <c r="Q139" s="14"/>
      <c r="R139" s="14"/>
      <c r="S139" s="14"/>
      <c r="T139" s="14"/>
      <c r="U139" s="14"/>
      <c r="V139" s="14"/>
      <c r="W139" s="14"/>
      <c r="X139" s="14"/>
      <c r="Y139" s="14"/>
      <c r="Z139" s="14"/>
      <c r="AA139" s="15"/>
      <c r="AB139" s="3"/>
      <c r="AC139" s="3"/>
      <c r="AD139" s="3"/>
      <c r="AE139" s="3"/>
      <c r="AF139" s="3"/>
      <c r="AG139" s="3"/>
      <c r="AH139" s="3"/>
      <c r="AI139" s="3"/>
      <c r="AJ139" s="3"/>
      <c r="AK139" s="3"/>
      <c r="AL139" s="3"/>
      <c r="AM139" s="3"/>
      <c r="AN139" s="3"/>
      <c r="AO139" s="3"/>
    </row>
    <row r="140" spans="2:41" x14ac:dyDescent="0.25">
      <c r="B140" s="13"/>
      <c r="C140" s="14"/>
      <c r="D140" s="60"/>
      <c r="E140" s="56"/>
      <c r="F140" s="56"/>
      <c r="G140" s="57"/>
      <c r="H140" s="14"/>
      <c r="I140" s="14"/>
      <c r="J140" s="14"/>
      <c r="K140" s="14"/>
      <c r="L140" s="14"/>
      <c r="M140" s="14"/>
      <c r="N140" s="14"/>
      <c r="O140" s="14"/>
      <c r="P140" s="14"/>
      <c r="Q140" s="14"/>
      <c r="R140" s="14"/>
      <c r="S140" s="14"/>
      <c r="T140" s="14"/>
      <c r="U140" s="14"/>
      <c r="V140" s="14"/>
      <c r="W140" s="14"/>
      <c r="X140" s="14"/>
      <c r="Y140" s="14"/>
      <c r="Z140" s="14"/>
      <c r="AA140" s="15"/>
      <c r="AB140" s="3"/>
      <c r="AC140" s="3"/>
      <c r="AD140" s="3"/>
      <c r="AE140" s="3"/>
      <c r="AF140" s="3"/>
      <c r="AG140" s="3"/>
      <c r="AH140" s="3"/>
      <c r="AI140" s="3"/>
      <c r="AJ140" s="3"/>
      <c r="AK140" s="3"/>
      <c r="AL140" s="3"/>
      <c r="AM140" s="3"/>
      <c r="AN140" s="3"/>
      <c r="AO140" s="3"/>
    </row>
    <row r="141" spans="2:41" x14ac:dyDescent="0.25">
      <c r="B141" s="13"/>
      <c r="C141" s="14"/>
      <c r="D141" s="60"/>
      <c r="E141" s="56"/>
      <c r="F141" s="56"/>
      <c r="G141" s="128"/>
      <c r="H141" s="56"/>
      <c r="I141" s="14"/>
      <c r="J141" s="14"/>
      <c r="K141" s="14"/>
      <c r="L141" s="14"/>
      <c r="M141" s="14"/>
      <c r="N141" s="14"/>
      <c r="O141" s="14"/>
      <c r="P141" s="14"/>
      <c r="Q141" s="14"/>
      <c r="R141" s="14"/>
      <c r="S141" s="14"/>
      <c r="T141" s="14"/>
      <c r="U141" s="14"/>
      <c r="V141" s="14"/>
      <c r="W141" s="14"/>
      <c r="X141" s="14"/>
      <c r="Y141" s="14"/>
      <c r="Z141" s="14"/>
      <c r="AA141" s="15"/>
      <c r="AB141" s="3"/>
      <c r="AC141" s="3"/>
      <c r="AD141" s="3"/>
      <c r="AE141" s="3"/>
      <c r="AF141" s="3"/>
      <c r="AG141" s="3"/>
      <c r="AH141" s="3"/>
      <c r="AI141" s="3"/>
      <c r="AJ141" s="3"/>
      <c r="AK141" s="3"/>
      <c r="AL141" s="3"/>
      <c r="AM141" s="3"/>
      <c r="AN141" s="3"/>
      <c r="AO141" s="3"/>
    </row>
    <row r="142" spans="2:41" x14ac:dyDescent="0.25">
      <c r="B142" s="13"/>
      <c r="C142" s="14"/>
      <c r="D142" s="60"/>
      <c r="E142" s="56"/>
      <c r="F142" s="56"/>
      <c r="G142" s="14"/>
      <c r="H142" s="56"/>
      <c r="I142" s="14"/>
      <c r="J142" s="14"/>
      <c r="K142" s="14"/>
      <c r="L142" s="14"/>
      <c r="M142" s="14"/>
      <c r="N142" s="14"/>
      <c r="O142" s="14"/>
      <c r="P142" s="14"/>
      <c r="Q142" s="14"/>
      <c r="R142" s="14"/>
      <c r="S142" s="14"/>
      <c r="T142" s="14"/>
      <c r="U142" s="14"/>
      <c r="V142" s="14"/>
      <c r="W142" s="14"/>
      <c r="X142" s="14"/>
      <c r="Y142" s="14"/>
      <c r="Z142" s="14"/>
      <c r="AA142" s="15"/>
      <c r="AB142" s="3"/>
      <c r="AC142" s="3"/>
      <c r="AD142" s="3"/>
      <c r="AE142" s="3"/>
      <c r="AF142" s="3"/>
      <c r="AG142" s="3"/>
      <c r="AH142" s="3"/>
      <c r="AI142" s="3"/>
      <c r="AJ142" s="3"/>
      <c r="AK142" s="3"/>
      <c r="AL142" s="3"/>
      <c r="AM142" s="3"/>
      <c r="AN142" s="3"/>
      <c r="AO142" s="3"/>
    </row>
    <row r="143" spans="2:41" x14ac:dyDescent="0.25">
      <c r="B143" s="13"/>
      <c r="C143" s="14"/>
      <c r="D143" s="60"/>
      <c r="E143" s="56"/>
      <c r="F143" s="56"/>
      <c r="G143" s="14"/>
      <c r="H143" s="56"/>
      <c r="I143" s="14"/>
      <c r="J143" s="14"/>
      <c r="K143" s="14"/>
      <c r="L143" s="14"/>
      <c r="M143" s="14"/>
      <c r="N143" s="14"/>
      <c r="O143" s="14"/>
      <c r="P143" s="14"/>
      <c r="Q143" s="14"/>
      <c r="R143" s="14"/>
      <c r="S143" s="14"/>
      <c r="T143" s="14"/>
      <c r="U143" s="14"/>
      <c r="V143" s="14"/>
      <c r="W143" s="14"/>
      <c r="X143" s="14"/>
      <c r="Y143" s="14"/>
      <c r="Z143" s="14"/>
      <c r="AA143" s="15"/>
      <c r="AB143" s="3"/>
      <c r="AC143" s="3"/>
      <c r="AD143" s="3"/>
      <c r="AE143" s="3"/>
      <c r="AF143" s="3"/>
      <c r="AG143" s="3"/>
      <c r="AH143" s="3"/>
      <c r="AI143" s="3"/>
      <c r="AJ143" s="3"/>
      <c r="AK143" s="3"/>
      <c r="AL143" s="3"/>
      <c r="AM143" s="3"/>
      <c r="AN143" s="3"/>
      <c r="AO143" s="3"/>
    </row>
    <row r="144" spans="2:41" x14ac:dyDescent="0.25">
      <c r="B144" s="13"/>
      <c r="C144" s="56"/>
      <c r="D144" s="60"/>
      <c r="E144" s="56"/>
      <c r="F144" s="56"/>
      <c r="G144" s="56"/>
      <c r="H144" s="56"/>
      <c r="I144" s="14"/>
      <c r="J144" s="14"/>
      <c r="K144" s="14"/>
      <c r="L144" s="14"/>
      <c r="M144" s="14"/>
      <c r="N144" s="14"/>
      <c r="O144" s="14"/>
      <c r="P144" s="14"/>
      <c r="Q144" s="14"/>
      <c r="R144" s="14"/>
      <c r="S144" s="14"/>
      <c r="T144" s="14"/>
      <c r="U144" s="14"/>
      <c r="V144" s="14"/>
      <c r="W144" s="14"/>
      <c r="X144" s="14"/>
      <c r="Y144" s="14"/>
      <c r="Z144" s="14"/>
      <c r="AA144" s="15"/>
      <c r="AB144" s="3"/>
      <c r="AC144" s="3"/>
      <c r="AD144" s="3"/>
      <c r="AE144" s="3"/>
      <c r="AF144" s="3"/>
      <c r="AG144" s="3"/>
      <c r="AH144" s="3"/>
      <c r="AI144" s="3"/>
      <c r="AJ144" s="3"/>
      <c r="AK144" s="3"/>
      <c r="AL144" s="3"/>
      <c r="AM144" s="3"/>
      <c r="AN144" s="3"/>
      <c r="AO144" s="3"/>
    </row>
    <row r="145" spans="2:41" x14ac:dyDescent="0.25">
      <c r="B145" s="13"/>
      <c r="C145" s="14"/>
      <c r="D145" s="60"/>
      <c r="E145" s="56"/>
      <c r="F145" s="56"/>
      <c r="G145" s="14"/>
      <c r="H145" s="56"/>
      <c r="I145" s="14"/>
      <c r="J145" s="14"/>
      <c r="K145" s="14"/>
      <c r="L145" s="14"/>
      <c r="M145" s="14"/>
      <c r="N145" s="14"/>
      <c r="O145" s="14"/>
      <c r="P145" s="14"/>
      <c r="Q145" s="14"/>
      <c r="R145" s="14"/>
      <c r="S145" s="14"/>
      <c r="T145" s="14"/>
      <c r="U145" s="14"/>
      <c r="V145" s="14"/>
      <c r="W145" s="14"/>
      <c r="X145" s="14"/>
      <c r="Y145" s="14"/>
      <c r="Z145" s="14"/>
      <c r="AA145" s="15"/>
      <c r="AB145" s="3"/>
      <c r="AC145" s="3"/>
      <c r="AD145" s="3"/>
      <c r="AE145" s="3"/>
      <c r="AF145" s="3"/>
      <c r="AG145" s="3"/>
      <c r="AH145" s="3"/>
      <c r="AI145" s="3"/>
      <c r="AJ145" s="3"/>
      <c r="AK145" s="3"/>
      <c r="AL145" s="3"/>
      <c r="AM145" s="3"/>
      <c r="AN145" s="3"/>
      <c r="AO145" s="3"/>
    </row>
    <row r="146" spans="2:41" x14ac:dyDescent="0.25">
      <c r="B146" s="13"/>
      <c r="C146" s="14"/>
      <c r="D146" s="14"/>
      <c r="E146" s="56"/>
      <c r="F146" s="56"/>
      <c r="G146" s="14"/>
      <c r="H146" s="56"/>
      <c r="I146" s="14"/>
      <c r="J146" s="14"/>
      <c r="K146" s="14"/>
      <c r="L146" s="14"/>
      <c r="M146" s="14"/>
      <c r="N146" s="14"/>
      <c r="O146" s="14"/>
      <c r="P146" s="14"/>
      <c r="Q146" s="14"/>
      <c r="R146" s="14"/>
      <c r="S146" s="14"/>
      <c r="T146" s="14"/>
      <c r="U146" s="14"/>
      <c r="V146" s="14"/>
      <c r="W146" s="14"/>
      <c r="X146" s="14"/>
      <c r="Y146" s="14"/>
      <c r="Z146" s="14"/>
      <c r="AA146" s="15"/>
      <c r="AB146" s="3"/>
      <c r="AC146" s="3"/>
      <c r="AD146" s="3"/>
      <c r="AE146" s="3"/>
      <c r="AF146" s="3"/>
      <c r="AG146" s="3"/>
      <c r="AH146" s="3"/>
      <c r="AI146" s="3"/>
      <c r="AJ146" s="3"/>
      <c r="AK146" s="3"/>
      <c r="AL146" s="3"/>
      <c r="AM146" s="3"/>
      <c r="AN146" s="3"/>
      <c r="AO146" s="3"/>
    </row>
    <row r="147" spans="2:41" x14ac:dyDescent="0.25">
      <c r="B147" s="13"/>
      <c r="C147" s="14"/>
      <c r="D147" s="60"/>
      <c r="E147" s="56"/>
      <c r="F147" s="56"/>
      <c r="G147" s="14"/>
      <c r="H147" s="14"/>
      <c r="I147" s="14"/>
      <c r="J147" s="14"/>
      <c r="K147" s="14"/>
      <c r="L147" s="14"/>
      <c r="M147" s="14"/>
      <c r="N147" s="14"/>
      <c r="O147" s="14"/>
      <c r="P147" s="14"/>
      <c r="Q147" s="14"/>
      <c r="R147" s="14"/>
      <c r="S147" s="14"/>
      <c r="T147" s="14"/>
      <c r="U147" s="14"/>
      <c r="V147" s="14"/>
      <c r="W147" s="14"/>
      <c r="X147" s="14"/>
      <c r="Y147" s="14"/>
      <c r="Z147" s="14"/>
      <c r="AA147" s="15"/>
      <c r="AB147" s="3"/>
      <c r="AC147" s="3"/>
      <c r="AD147" s="3"/>
      <c r="AE147" s="3"/>
      <c r="AF147" s="3"/>
      <c r="AG147" s="3"/>
      <c r="AH147" s="3"/>
      <c r="AI147" s="3"/>
      <c r="AJ147" s="3"/>
      <c r="AK147" s="3"/>
      <c r="AL147" s="3"/>
      <c r="AM147" s="3"/>
      <c r="AN147" s="3"/>
      <c r="AO147" s="3"/>
    </row>
    <row r="148" spans="2:41" x14ac:dyDescent="0.25">
      <c r="B148" s="13"/>
      <c r="C148" s="14"/>
      <c r="D148" s="60"/>
      <c r="E148" s="56"/>
      <c r="F148" s="56"/>
      <c r="G148" s="14"/>
      <c r="H148" s="56"/>
      <c r="I148" s="14"/>
      <c r="J148" s="14"/>
      <c r="K148" s="14"/>
      <c r="L148" s="14"/>
      <c r="M148" s="14"/>
      <c r="N148" s="14"/>
      <c r="O148" s="14"/>
      <c r="P148" s="14"/>
      <c r="Q148" s="14"/>
      <c r="R148" s="14"/>
      <c r="S148" s="14"/>
      <c r="T148" s="14"/>
      <c r="U148" s="14"/>
      <c r="V148" s="14"/>
      <c r="W148" s="14"/>
      <c r="X148" s="14"/>
      <c r="Y148" s="14"/>
      <c r="Z148" s="14"/>
      <c r="AA148" s="15"/>
      <c r="AB148" s="3"/>
      <c r="AC148" s="3"/>
      <c r="AD148" s="3"/>
      <c r="AE148" s="3"/>
      <c r="AF148" s="3"/>
      <c r="AG148" s="3"/>
      <c r="AH148" s="3"/>
      <c r="AI148" s="3"/>
      <c r="AJ148" s="3"/>
      <c r="AK148" s="3"/>
      <c r="AL148" s="3"/>
      <c r="AM148" s="3"/>
      <c r="AN148" s="3"/>
      <c r="AO148" s="3"/>
    </row>
    <row r="149" spans="2:41" x14ac:dyDescent="0.25">
      <c r="B149" s="13"/>
      <c r="C149" s="14"/>
      <c r="D149" s="60"/>
      <c r="E149" s="56"/>
      <c r="F149" s="56"/>
      <c r="G149" s="14"/>
      <c r="H149" s="56"/>
      <c r="I149" s="14"/>
      <c r="J149" s="14"/>
      <c r="K149" s="14"/>
      <c r="L149" s="14"/>
      <c r="M149" s="14"/>
      <c r="N149" s="14"/>
      <c r="O149" s="14"/>
      <c r="P149" s="14"/>
      <c r="Q149" s="14"/>
      <c r="R149" s="14"/>
      <c r="S149" s="14"/>
      <c r="T149" s="14"/>
      <c r="U149" s="14"/>
      <c r="V149" s="14"/>
      <c r="W149" s="14"/>
      <c r="X149" s="14"/>
      <c r="Y149" s="14"/>
      <c r="Z149" s="14"/>
      <c r="AA149" s="15"/>
      <c r="AB149" s="3"/>
      <c r="AC149" s="3"/>
      <c r="AD149" s="3"/>
      <c r="AE149" s="3"/>
      <c r="AF149" s="3"/>
      <c r="AG149" s="3"/>
      <c r="AH149" s="3"/>
      <c r="AI149" s="3"/>
      <c r="AJ149" s="3"/>
      <c r="AK149" s="3"/>
      <c r="AL149" s="3"/>
      <c r="AM149" s="3"/>
      <c r="AN149" s="3"/>
      <c r="AO149" s="3"/>
    </row>
    <row r="150" spans="2:41" x14ac:dyDescent="0.25">
      <c r="B150" s="13"/>
      <c r="C150" s="14"/>
      <c r="D150" s="60"/>
      <c r="E150" s="56"/>
      <c r="F150" s="56"/>
      <c r="G150" s="14"/>
      <c r="H150" s="56"/>
      <c r="I150" s="14"/>
      <c r="J150" s="14"/>
      <c r="K150" s="14"/>
      <c r="L150" s="14"/>
      <c r="M150" s="14"/>
      <c r="N150" s="14"/>
      <c r="O150" s="14"/>
      <c r="P150" s="14"/>
      <c r="Q150" s="14"/>
      <c r="R150" s="14"/>
      <c r="S150" s="14"/>
      <c r="T150" s="14"/>
      <c r="U150" s="14"/>
      <c r="V150" s="14"/>
      <c r="W150" s="14"/>
      <c r="X150" s="14"/>
      <c r="Y150" s="14"/>
      <c r="Z150" s="14"/>
      <c r="AA150" s="15"/>
      <c r="AB150" s="3"/>
      <c r="AC150" s="3"/>
      <c r="AD150" s="3"/>
      <c r="AE150" s="3"/>
      <c r="AF150" s="3"/>
      <c r="AG150" s="3"/>
      <c r="AH150" s="3"/>
      <c r="AI150" s="3"/>
      <c r="AJ150" s="3"/>
      <c r="AK150" s="3"/>
      <c r="AL150" s="3"/>
      <c r="AM150" s="3"/>
      <c r="AN150" s="3"/>
      <c r="AO150" s="3"/>
    </row>
    <row r="151" spans="2:41" x14ac:dyDescent="0.25">
      <c r="B151" s="13"/>
      <c r="C151" s="56"/>
      <c r="D151" s="60"/>
      <c r="E151" s="56"/>
      <c r="F151" s="56"/>
      <c r="G151" s="56"/>
      <c r="H151" s="56"/>
      <c r="I151" s="14"/>
      <c r="J151" s="14"/>
      <c r="K151" s="14"/>
      <c r="L151" s="14"/>
      <c r="M151" s="14"/>
      <c r="N151" s="14"/>
      <c r="O151" s="14"/>
      <c r="P151" s="14"/>
      <c r="Q151" s="14"/>
      <c r="R151" s="14"/>
      <c r="S151" s="14"/>
      <c r="T151" s="14"/>
      <c r="U151" s="14"/>
      <c r="V151" s="14"/>
      <c r="W151" s="14"/>
      <c r="X151" s="14"/>
      <c r="Y151" s="14"/>
      <c r="Z151" s="14"/>
      <c r="AA151" s="15"/>
      <c r="AB151" s="3"/>
      <c r="AC151" s="3"/>
      <c r="AD151" s="3"/>
      <c r="AE151" s="3"/>
      <c r="AF151" s="3"/>
      <c r="AG151" s="3"/>
      <c r="AH151" s="3"/>
      <c r="AI151" s="3"/>
      <c r="AJ151" s="3"/>
      <c r="AK151" s="3"/>
      <c r="AL151" s="3"/>
      <c r="AM151" s="3"/>
      <c r="AN151" s="3"/>
      <c r="AO151" s="3"/>
    </row>
    <row r="152" spans="2:41" ht="18.75" x14ac:dyDescent="0.3">
      <c r="B152" s="67"/>
      <c r="C152" s="14"/>
      <c r="D152" s="60"/>
      <c r="E152" s="56"/>
      <c r="F152" s="56"/>
      <c r="G152" s="14"/>
      <c r="H152" s="56"/>
      <c r="I152" s="74"/>
      <c r="J152" s="14"/>
      <c r="K152" s="14"/>
      <c r="L152" s="14"/>
      <c r="M152" s="14"/>
      <c r="N152" s="14"/>
      <c r="O152" s="14"/>
      <c r="P152" s="14"/>
      <c r="Q152" s="14"/>
      <c r="R152" s="14"/>
      <c r="S152" s="14"/>
      <c r="T152" s="14"/>
      <c r="U152" s="14"/>
      <c r="V152" s="14"/>
      <c r="W152" s="14"/>
      <c r="X152" s="14"/>
      <c r="Y152" s="14"/>
      <c r="Z152" s="14"/>
      <c r="AA152" s="15"/>
      <c r="AB152" s="3"/>
      <c r="AC152" s="3"/>
      <c r="AD152" s="3"/>
      <c r="AE152" s="3"/>
      <c r="AF152" s="3"/>
      <c r="AG152" s="3"/>
      <c r="AH152" s="3"/>
      <c r="AI152" s="3"/>
      <c r="AJ152" s="3"/>
      <c r="AK152" s="3"/>
      <c r="AL152" s="3"/>
      <c r="AM152" s="3"/>
      <c r="AN152" s="3"/>
      <c r="AO152" s="3"/>
    </row>
    <row r="153" spans="2:41" x14ac:dyDescent="0.25">
      <c r="B153" s="13"/>
      <c r="C153" s="14"/>
      <c r="D153" s="14"/>
      <c r="E153" s="56"/>
      <c r="F153" s="56"/>
      <c r="G153" s="14"/>
      <c r="H153" s="56"/>
      <c r="I153" s="14"/>
      <c r="J153" s="14"/>
      <c r="K153" s="14"/>
      <c r="L153" s="14"/>
      <c r="M153" s="14"/>
      <c r="N153" s="14"/>
      <c r="O153" s="14"/>
      <c r="P153" s="14"/>
      <c r="Q153" s="14"/>
      <c r="R153" s="14"/>
      <c r="S153" s="14"/>
      <c r="T153" s="14"/>
      <c r="U153" s="14"/>
      <c r="V153" s="14"/>
      <c r="W153" s="14"/>
      <c r="X153" s="14"/>
      <c r="Y153" s="14"/>
      <c r="Z153" s="14"/>
      <c r="AA153" s="15"/>
      <c r="AB153" s="3"/>
      <c r="AC153" s="3"/>
      <c r="AD153" s="3"/>
      <c r="AE153" s="3"/>
      <c r="AF153" s="3"/>
      <c r="AG153" s="3"/>
      <c r="AH153" s="3"/>
      <c r="AI153" s="3"/>
      <c r="AJ153" s="3"/>
      <c r="AK153" s="3"/>
      <c r="AL153" s="3"/>
      <c r="AM153" s="3"/>
      <c r="AN153" s="3"/>
      <c r="AO153" s="3"/>
    </row>
    <row r="154" spans="2:41" x14ac:dyDescent="0.25">
      <c r="B154" s="13"/>
      <c r="C154" s="14"/>
      <c r="D154" s="60"/>
      <c r="E154" s="56"/>
      <c r="F154" s="56"/>
      <c r="G154" s="14"/>
      <c r="H154" s="14"/>
      <c r="I154" s="14"/>
      <c r="J154" s="14"/>
      <c r="K154" s="14"/>
      <c r="L154" s="14"/>
      <c r="M154" s="14"/>
      <c r="N154" s="14"/>
      <c r="O154" s="14"/>
      <c r="P154" s="14"/>
      <c r="Q154" s="14"/>
      <c r="R154" s="14"/>
      <c r="S154" s="14"/>
      <c r="T154" s="14"/>
      <c r="U154" s="14"/>
      <c r="V154" s="14"/>
      <c r="W154" s="14"/>
      <c r="X154" s="14"/>
      <c r="Y154" s="14"/>
      <c r="Z154" s="14"/>
      <c r="AA154" s="15"/>
      <c r="AB154" s="3"/>
      <c r="AC154" s="3"/>
      <c r="AD154" s="3"/>
      <c r="AE154" s="3"/>
      <c r="AF154" s="3"/>
      <c r="AG154" s="3"/>
      <c r="AH154" s="3"/>
      <c r="AI154" s="3"/>
      <c r="AJ154" s="3"/>
      <c r="AK154" s="3"/>
      <c r="AL154" s="3"/>
      <c r="AM154" s="3"/>
      <c r="AN154" s="3"/>
      <c r="AO154" s="3"/>
    </row>
    <row r="155" spans="2:41" x14ac:dyDescent="0.25">
      <c r="B155" s="13"/>
      <c r="C155" s="14"/>
      <c r="D155" s="60"/>
      <c r="E155" s="56"/>
      <c r="F155" s="56"/>
      <c r="G155" s="14"/>
      <c r="H155" s="56"/>
      <c r="I155" s="14"/>
      <c r="J155" s="14"/>
      <c r="K155" s="14"/>
      <c r="L155" s="14"/>
      <c r="M155" s="14"/>
      <c r="N155" s="14"/>
      <c r="O155" s="14"/>
      <c r="P155" s="14"/>
      <c r="Q155" s="14"/>
      <c r="R155" s="14"/>
      <c r="S155" s="14"/>
      <c r="T155" s="14"/>
      <c r="U155" s="14"/>
      <c r="V155" s="14"/>
      <c r="W155" s="14"/>
      <c r="X155" s="14"/>
      <c r="Y155" s="14"/>
      <c r="Z155" s="14"/>
      <c r="AA155" s="15"/>
      <c r="AB155" s="3"/>
      <c r="AC155" s="3"/>
      <c r="AD155" s="3"/>
      <c r="AE155" s="3"/>
      <c r="AF155" s="3"/>
      <c r="AG155" s="3"/>
      <c r="AH155" s="3"/>
      <c r="AI155" s="3"/>
      <c r="AJ155" s="3"/>
      <c r="AK155" s="3"/>
      <c r="AL155" s="3"/>
      <c r="AM155" s="3"/>
      <c r="AN155" s="3"/>
      <c r="AO155" s="3"/>
    </row>
    <row r="156" spans="2:41" x14ac:dyDescent="0.25">
      <c r="B156" s="13"/>
      <c r="C156" s="14"/>
      <c r="D156" s="60"/>
      <c r="E156" s="56"/>
      <c r="F156" s="56"/>
      <c r="G156" s="14"/>
      <c r="H156" s="56"/>
      <c r="I156" s="14"/>
      <c r="J156" s="14"/>
      <c r="K156" s="14"/>
      <c r="L156" s="14"/>
      <c r="M156" s="14"/>
      <c r="N156" s="14"/>
      <c r="O156" s="14"/>
      <c r="P156" s="14"/>
      <c r="Q156" s="14"/>
      <c r="R156" s="14"/>
      <c r="S156" s="14"/>
      <c r="T156" s="14"/>
      <c r="U156" s="14"/>
      <c r="V156" s="14"/>
      <c r="W156" s="14"/>
      <c r="X156" s="14"/>
      <c r="Y156" s="14"/>
      <c r="Z156" s="14"/>
      <c r="AA156" s="15"/>
      <c r="AB156" s="3"/>
      <c r="AC156" s="3"/>
      <c r="AD156" s="3"/>
      <c r="AE156" s="3"/>
      <c r="AF156" s="3"/>
      <c r="AG156" s="3"/>
      <c r="AH156" s="3"/>
      <c r="AI156" s="3"/>
      <c r="AJ156" s="3"/>
      <c r="AK156" s="3"/>
      <c r="AL156" s="3"/>
      <c r="AM156" s="3"/>
      <c r="AN156" s="3"/>
      <c r="AO156" s="3"/>
    </row>
    <row r="157" spans="2:41" x14ac:dyDescent="0.25">
      <c r="B157" s="13"/>
      <c r="C157" s="14"/>
      <c r="D157" s="60"/>
      <c r="E157" s="56"/>
      <c r="F157" s="56"/>
      <c r="G157" s="14"/>
      <c r="H157" s="56"/>
      <c r="I157" s="14"/>
      <c r="J157" s="14"/>
      <c r="K157" s="14"/>
      <c r="L157" s="14"/>
      <c r="M157" s="14"/>
      <c r="N157" s="14"/>
      <c r="O157" s="14"/>
      <c r="P157" s="14"/>
      <c r="Q157" s="14"/>
      <c r="R157" s="14"/>
      <c r="S157" s="14"/>
      <c r="T157" s="14"/>
      <c r="U157" s="14"/>
      <c r="V157" s="14"/>
      <c r="W157" s="14"/>
      <c r="X157" s="14"/>
      <c r="Y157" s="14"/>
      <c r="Z157" s="14"/>
      <c r="AA157" s="15"/>
      <c r="AB157" s="3"/>
      <c r="AC157" s="3"/>
      <c r="AD157" s="3"/>
      <c r="AE157" s="3"/>
      <c r="AF157" s="3"/>
      <c r="AG157" s="3"/>
      <c r="AH157" s="3"/>
      <c r="AI157" s="3"/>
      <c r="AJ157" s="3"/>
      <c r="AK157" s="3"/>
      <c r="AL157" s="3"/>
      <c r="AM157" s="3"/>
      <c r="AN157" s="3"/>
      <c r="AO157" s="3"/>
    </row>
    <row r="158" spans="2:41" x14ac:dyDescent="0.25">
      <c r="B158" s="13"/>
      <c r="C158" s="56"/>
      <c r="D158" s="60"/>
      <c r="E158" s="56"/>
      <c r="F158" s="56"/>
      <c r="G158" s="56"/>
      <c r="H158" s="56"/>
      <c r="I158" s="14"/>
      <c r="J158" s="14"/>
      <c r="K158" s="14"/>
      <c r="L158" s="14"/>
      <c r="M158" s="14"/>
      <c r="N158" s="14"/>
      <c r="O158" s="14"/>
      <c r="P158" s="14"/>
      <c r="Q158" s="14"/>
      <c r="R158" s="14"/>
      <c r="S158" s="14"/>
      <c r="T158" s="14"/>
      <c r="U158" s="14"/>
      <c r="V158" s="14"/>
      <c r="W158" s="14"/>
      <c r="X158" s="14"/>
      <c r="Y158" s="14"/>
      <c r="Z158" s="14"/>
      <c r="AA158" s="15"/>
      <c r="AB158" s="3"/>
      <c r="AC158" s="3"/>
      <c r="AD158" s="3"/>
      <c r="AE158" s="3"/>
      <c r="AF158" s="3"/>
      <c r="AG158" s="3"/>
      <c r="AH158" s="3"/>
      <c r="AI158" s="3"/>
      <c r="AJ158" s="3"/>
      <c r="AK158" s="3"/>
      <c r="AL158" s="3"/>
      <c r="AM158" s="3"/>
      <c r="AN158" s="3"/>
      <c r="AO158" s="3"/>
    </row>
    <row r="159" spans="2:41" x14ac:dyDescent="0.25">
      <c r="B159" s="13"/>
      <c r="C159" s="14"/>
      <c r="D159" s="60"/>
      <c r="E159" s="56"/>
      <c r="F159" s="56"/>
      <c r="G159" s="14"/>
      <c r="H159" s="56"/>
      <c r="I159" s="14"/>
      <c r="J159" s="14"/>
      <c r="K159" s="14"/>
      <c r="L159" s="14"/>
      <c r="M159" s="14"/>
      <c r="N159" s="14"/>
      <c r="O159" s="14"/>
      <c r="P159" s="14"/>
      <c r="Q159" s="14"/>
      <c r="R159" s="14"/>
      <c r="S159" s="14"/>
      <c r="T159" s="14"/>
      <c r="U159" s="14"/>
      <c r="V159" s="14"/>
      <c r="W159" s="14"/>
      <c r="X159" s="14"/>
      <c r="Y159" s="14"/>
      <c r="Z159" s="14"/>
      <c r="AA159" s="15"/>
      <c r="AB159" s="3"/>
      <c r="AC159" s="3"/>
      <c r="AD159" s="3"/>
      <c r="AE159" s="3"/>
      <c r="AF159" s="3"/>
      <c r="AG159" s="3"/>
      <c r="AH159" s="3"/>
      <c r="AI159" s="3"/>
      <c r="AJ159" s="3"/>
      <c r="AK159" s="3"/>
      <c r="AL159" s="3"/>
      <c r="AM159" s="3"/>
      <c r="AN159" s="3"/>
      <c r="AO159" s="3"/>
    </row>
    <row r="160" spans="2:41" ht="18.75" x14ac:dyDescent="0.3">
      <c r="B160" s="67"/>
      <c r="C160" s="14"/>
      <c r="D160" s="14"/>
      <c r="E160" s="56"/>
      <c r="F160" s="56"/>
      <c r="G160" s="14"/>
      <c r="H160" s="56"/>
      <c r="I160" s="74"/>
      <c r="J160" s="14"/>
      <c r="K160" s="14"/>
      <c r="L160" s="14"/>
      <c r="M160" s="14"/>
      <c r="N160" s="14"/>
      <c r="O160" s="14"/>
      <c r="P160" s="14"/>
      <c r="Q160" s="14"/>
      <c r="R160" s="14"/>
      <c r="S160" s="14"/>
      <c r="T160" s="14"/>
      <c r="U160" s="14"/>
      <c r="V160" s="14"/>
      <c r="W160" s="14"/>
      <c r="X160" s="14"/>
      <c r="Y160" s="14"/>
      <c r="Z160" s="14"/>
      <c r="AA160" s="15"/>
      <c r="AB160" s="3"/>
      <c r="AC160" s="3"/>
      <c r="AD160" s="3"/>
      <c r="AE160" s="3"/>
      <c r="AF160" s="3"/>
      <c r="AG160" s="3"/>
      <c r="AH160" s="3"/>
      <c r="AI160" s="3"/>
      <c r="AJ160" s="3"/>
      <c r="AK160" s="3"/>
      <c r="AL160" s="3"/>
      <c r="AM160" s="3"/>
      <c r="AN160" s="3"/>
      <c r="AO160" s="3"/>
    </row>
    <row r="161" spans="2:41" x14ac:dyDescent="0.25">
      <c r="B161" s="13"/>
      <c r="C161" s="14"/>
      <c r="D161" s="60"/>
      <c r="E161" s="56"/>
      <c r="F161" s="56"/>
      <c r="G161" s="14"/>
      <c r="H161" s="14"/>
      <c r="I161" s="14"/>
      <c r="J161" s="14"/>
      <c r="K161" s="14"/>
      <c r="L161" s="14"/>
      <c r="M161" s="14"/>
      <c r="N161" s="14"/>
      <c r="O161" s="14"/>
      <c r="P161" s="14"/>
      <c r="Q161" s="14"/>
      <c r="R161" s="14"/>
      <c r="S161" s="14"/>
      <c r="T161" s="14"/>
      <c r="U161" s="14"/>
      <c r="V161" s="14"/>
      <c r="W161" s="14"/>
      <c r="X161" s="14"/>
      <c r="Y161" s="14"/>
      <c r="Z161" s="14"/>
      <c r="AA161" s="15"/>
      <c r="AB161" s="3"/>
      <c r="AC161" s="3"/>
      <c r="AD161" s="3"/>
      <c r="AE161" s="3"/>
      <c r="AF161" s="3"/>
      <c r="AG161" s="3"/>
      <c r="AH161" s="3"/>
      <c r="AI161" s="3"/>
      <c r="AJ161" s="3"/>
      <c r="AK161" s="3"/>
      <c r="AL161" s="3"/>
      <c r="AM161" s="3"/>
      <c r="AN161" s="3"/>
      <c r="AO161" s="3"/>
    </row>
    <row r="162" spans="2:41" x14ac:dyDescent="0.25">
      <c r="B162" s="13"/>
      <c r="C162" s="14"/>
      <c r="D162" s="60"/>
      <c r="E162" s="56"/>
      <c r="F162" s="56"/>
      <c r="G162" s="14"/>
      <c r="H162" s="56"/>
      <c r="I162" s="14"/>
      <c r="J162" s="14"/>
      <c r="K162" s="14"/>
      <c r="L162" s="14"/>
      <c r="M162" s="14"/>
      <c r="N162" s="14"/>
      <c r="O162" s="14"/>
      <c r="P162" s="14"/>
      <c r="Q162" s="14"/>
      <c r="R162" s="14"/>
      <c r="S162" s="14"/>
      <c r="T162" s="14"/>
      <c r="U162" s="14"/>
      <c r="V162" s="14"/>
      <c r="W162" s="14"/>
      <c r="X162" s="14"/>
      <c r="Y162" s="14"/>
      <c r="Z162" s="14"/>
      <c r="AA162" s="15"/>
      <c r="AB162" s="3"/>
      <c r="AC162" s="3"/>
      <c r="AD162" s="3"/>
      <c r="AE162" s="3"/>
      <c r="AF162" s="3"/>
      <c r="AG162" s="3"/>
      <c r="AH162" s="3"/>
      <c r="AI162" s="3"/>
      <c r="AJ162" s="3"/>
      <c r="AK162" s="3"/>
      <c r="AL162" s="3"/>
      <c r="AM162" s="3"/>
      <c r="AN162" s="3"/>
      <c r="AO162" s="3"/>
    </row>
    <row r="163" spans="2:41" x14ac:dyDescent="0.25">
      <c r="B163" s="13"/>
      <c r="C163" s="14"/>
      <c r="D163" s="60"/>
      <c r="E163" s="56"/>
      <c r="F163" s="56"/>
      <c r="G163" s="14"/>
      <c r="H163" s="56"/>
      <c r="I163" s="14"/>
      <c r="J163" s="14"/>
      <c r="K163" s="14"/>
      <c r="L163" s="14"/>
      <c r="M163" s="14"/>
      <c r="N163" s="14"/>
      <c r="O163" s="14"/>
      <c r="P163" s="14"/>
      <c r="Q163" s="14"/>
      <c r="R163" s="14"/>
      <c r="S163" s="14"/>
      <c r="T163" s="14"/>
      <c r="U163" s="14"/>
      <c r="V163" s="14"/>
      <c r="W163" s="14"/>
      <c r="X163" s="14"/>
      <c r="Y163" s="14"/>
      <c r="Z163" s="14"/>
      <c r="AA163" s="15"/>
      <c r="AB163" s="3"/>
      <c r="AC163" s="3"/>
      <c r="AD163" s="3"/>
      <c r="AE163" s="3"/>
      <c r="AF163" s="3"/>
      <c r="AG163" s="3"/>
      <c r="AH163" s="3"/>
      <c r="AI163" s="3"/>
      <c r="AJ163" s="3"/>
      <c r="AK163" s="3"/>
      <c r="AL163" s="3"/>
      <c r="AM163" s="3"/>
      <c r="AN163" s="3"/>
      <c r="AO163" s="3"/>
    </row>
    <row r="164" spans="2:41" x14ac:dyDescent="0.25">
      <c r="B164" s="13"/>
      <c r="C164" s="14"/>
      <c r="D164" s="60"/>
      <c r="E164" s="56"/>
      <c r="F164" s="56"/>
      <c r="G164" s="14"/>
      <c r="H164" s="56"/>
      <c r="I164" s="14"/>
      <c r="J164" s="14"/>
      <c r="K164" s="14"/>
      <c r="L164" s="14"/>
      <c r="M164" s="14"/>
      <c r="N164" s="14"/>
      <c r="O164" s="14"/>
      <c r="P164" s="14"/>
      <c r="Q164" s="14"/>
      <c r="R164" s="14"/>
      <c r="S164" s="14"/>
      <c r="T164" s="14"/>
      <c r="U164" s="14"/>
      <c r="V164" s="14"/>
      <c r="W164" s="14"/>
      <c r="X164" s="14"/>
      <c r="Y164" s="14"/>
      <c r="Z164" s="14"/>
      <c r="AA164" s="15"/>
      <c r="AB164" s="3"/>
      <c r="AC164" s="3"/>
      <c r="AD164" s="3"/>
      <c r="AE164" s="3"/>
      <c r="AF164" s="3"/>
      <c r="AG164" s="3"/>
      <c r="AH164" s="3"/>
      <c r="AI164" s="3"/>
      <c r="AJ164" s="3"/>
      <c r="AK164" s="3"/>
      <c r="AL164" s="3"/>
      <c r="AM164" s="3"/>
      <c r="AN164" s="3"/>
      <c r="AO164" s="3"/>
    </row>
    <row r="165" spans="2:41" x14ac:dyDescent="0.25">
      <c r="B165" s="13"/>
      <c r="C165" s="56"/>
      <c r="D165" s="60"/>
      <c r="E165" s="56"/>
      <c r="F165" s="56"/>
      <c r="G165" s="56"/>
      <c r="H165" s="56"/>
      <c r="I165" s="14"/>
      <c r="J165" s="14"/>
      <c r="K165" s="14"/>
      <c r="L165" s="14"/>
      <c r="M165" s="14"/>
      <c r="N165" s="14"/>
      <c r="O165" s="14"/>
      <c r="P165" s="14"/>
      <c r="Q165" s="14"/>
      <c r="R165" s="14"/>
      <c r="S165" s="14"/>
      <c r="T165" s="14"/>
      <c r="U165" s="14"/>
      <c r="V165" s="14"/>
      <c r="W165" s="14"/>
      <c r="X165" s="14"/>
      <c r="Y165" s="14"/>
      <c r="Z165" s="14"/>
      <c r="AA165" s="15"/>
      <c r="AB165" s="3"/>
      <c r="AC165" s="3"/>
      <c r="AD165" s="3"/>
      <c r="AE165" s="3"/>
      <c r="AF165" s="3"/>
      <c r="AG165" s="3"/>
      <c r="AH165" s="3"/>
      <c r="AI165" s="3"/>
      <c r="AJ165" s="3"/>
      <c r="AK165" s="3"/>
      <c r="AL165" s="3"/>
      <c r="AM165" s="3"/>
      <c r="AN165" s="3"/>
      <c r="AO165" s="3"/>
    </row>
    <row r="166" spans="2:41" x14ac:dyDescent="0.25">
      <c r="B166" s="13"/>
      <c r="C166" s="14"/>
      <c r="D166" s="60"/>
      <c r="E166" s="56"/>
      <c r="F166" s="56"/>
      <c r="G166" s="14"/>
      <c r="H166" s="56"/>
      <c r="I166" s="14"/>
      <c r="J166" s="14"/>
      <c r="K166" s="14"/>
      <c r="L166" s="14"/>
      <c r="M166" s="14"/>
      <c r="N166" s="14"/>
      <c r="O166" s="14"/>
      <c r="P166" s="14"/>
      <c r="Q166" s="14"/>
      <c r="R166" s="14"/>
      <c r="S166" s="14"/>
      <c r="T166" s="14"/>
      <c r="U166" s="14"/>
      <c r="V166" s="14"/>
      <c r="W166" s="14"/>
      <c r="X166" s="14"/>
      <c r="Y166" s="14"/>
      <c r="Z166" s="14"/>
      <c r="AA166" s="15"/>
      <c r="AB166" s="3"/>
      <c r="AC166" s="3"/>
      <c r="AD166" s="3"/>
      <c r="AE166" s="3"/>
      <c r="AF166" s="3"/>
      <c r="AG166" s="3"/>
      <c r="AH166" s="3"/>
      <c r="AI166" s="3"/>
      <c r="AJ166" s="3"/>
      <c r="AK166" s="3"/>
      <c r="AL166" s="3"/>
      <c r="AM166" s="3"/>
      <c r="AN166" s="3"/>
      <c r="AO166" s="3"/>
    </row>
    <row r="167" spans="2:41" x14ac:dyDescent="0.25">
      <c r="B167" s="13"/>
      <c r="C167" s="14"/>
      <c r="D167" s="14"/>
      <c r="E167" s="56"/>
      <c r="F167" s="56"/>
      <c r="G167" s="14"/>
      <c r="H167" s="56"/>
      <c r="I167" s="14"/>
      <c r="J167" s="14"/>
      <c r="K167" s="14"/>
      <c r="L167" s="14"/>
      <c r="M167" s="14"/>
      <c r="N167" s="14"/>
      <c r="O167" s="14"/>
      <c r="P167" s="14"/>
      <c r="Q167" s="14"/>
      <c r="R167" s="14"/>
      <c r="S167" s="14"/>
      <c r="T167" s="14"/>
      <c r="U167" s="14"/>
      <c r="V167" s="14"/>
      <c r="W167" s="14"/>
      <c r="X167" s="14"/>
      <c r="Y167" s="14"/>
      <c r="Z167" s="14"/>
      <c r="AA167" s="15"/>
      <c r="AB167" s="3"/>
      <c r="AC167" s="3"/>
      <c r="AD167" s="3"/>
      <c r="AE167" s="3"/>
      <c r="AF167" s="3"/>
      <c r="AG167" s="3"/>
      <c r="AH167" s="3"/>
      <c r="AI167" s="3"/>
      <c r="AJ167" s="3"/>
      <c r="AK167" s="3"/>
      <c r="AL167" s="3"/>
      <c r="AM167" s="3"/>
      <c r="AN167" s="3"/>
      <c r="AO167" s="3"/>
    </row>
    <row r="168" spans="2:41" ht="18.75" x14ac:dyDescent="0.3">
      <c r="B168" s="67"/>
      <c r="C168" s="14"/>
      <c r="D168" s="60"/>
      <c r="E168" s="56"/>
      <c r="F168" s="56"/>
      <c r="G168" s="14"/>
      <c r="H168" s="14"/>
      <c r="I168" s="74"/>
      <c r="J168" s="14"/>
      <c r="K168" s="14"/>
      <c r="L168" s="14"/>
      <c r="M168" s="14"/>
      <c r="N168" s="14"/>
      <c r="O168" s="14"/>
      <c r="P168" s="14"/>
      <c r="Q168" s="14"/>
      <c r="R168" s="14"/>
      <c r="S168" s="14"/>
      <c r="T168" s="14"/>
      <c r="U168" s="14"/>
      <c r="V168" s="14"/>
      <c r="W168" s="14"/>
      <c r="X168" s="14"/>
      <c r="Y168" s="14"/>
      <c r="Z168" s="14"/>
      <c r="AA168" s="15"/>
      <c r="AB168" s="3"/>
      <c r="AC168" s="3"/>
      <c r="AD168" s="3"/>
      <c r="AE168" s="3"/>
      <c r="AF168" s="3"/>
      <c r="AG168" s="3"/>
      <c r="AH168" s="3"/>
      <c r="AI168" s="3"/>
      <c r="AJ168" s="3"/>
      <c r="AK168" s="3"/>
      <c r="AL168" s="3"/>
      <c r="AM168" s="3"/>
      <c r="AN168" s="3"/>
      <c r="AO168" s="3"/>
    </row>
    <row r="169" spans="2:41" x14ac:dyDescent="0.25">
      <c r="B169" s="13"/>
      <c r="C169" s="14"/>
      <c r="D169" s="60"/>
      <c r="E169" s="56"/>
      <c r="F169" s="56"/>
      <c r="G169" s="14"/>
      <c r="H169" s="56"/>
      <c r="I169" s="14"/>
      <c r="J169" s="14"/>
      <c r="K169" s="14"/>
      <c r="L169" s="14"/>
      <c r="M169" s="14"/>
      <c r="N169" s="14"/>
      <c r="O169" s="14"/>
      <c r="P169" s="14"/>
      <c r="Q169" s="14"/>
      <c r="R169" s="14"/>
      <c r="S169" s="14"/>
      <c r="T169" s="14"/>
      <c r="U169" s="14"/>
      <c r="V169" s="14"/>
      <c r="W169" s="14"/>
      <c r="X169" s="14"/>
      <c r="Y169" s="14"/>
      <c r="Z169" s="14"/>
      <c r="AA169" s="15"/>
      <c r="AB169" s="3"/>
      <c r="AC169" s="3"/>
      <c r="AD169" s="3"/>
      <c r="AE169" s="3"/>
      <c r="AF169" s="3"/>
      <c r="AG169" s="3"/>
      <c r="AH169" s="3"/>
      <c r="AI169" s="3"/>
      <c r="AJ169" s="3"/>
      <c r="AK169" s="3"/>
      <c r="AL169" s="3"/>
      <c r="AM169" s="3"/>
      <c r="AN169" s="3"/>
      <c r="AO169" s="3"/>
    </row>
    <row r="170" spans="2:41" x14ac:dyDescent="0.25">
      <c r="B170" s="13"/>
      <c r="C170" s="14"/>
      <c r="D170" s="60"/>
      <c r="E170" s="56"/>
      <c r="F170" s="56"/>
      <c r="G170" s="14"/>
      <c r="H170" s="56"/>
      <c r="I170" s="14"/>
      <c r="J170" s="14"/>
      <c r="K170" s="14"/>
      <c r="L170" s="14"/>
      <c r="M170" s="14"/>
      <c r="N170" s="14"/>
      <c r="O170" s="14"/>
      <c r="P170" s="14"/>
      <c r="Q170" s="14"/>
      <c r="R170" s="14"/>
      <c r="S170" s="14"/>
      <c r="T170" s="14"/>
      <c r="U170" s="14"/>
      <c r="V170" s="14"/>
      <c r="W170" s="14"/>
      <c r="X170" s="14"/>
      <c r="Y170" s="14"/>
      <c r="Z170" s="14"/>
      <c r="AA170" s="15"/>
      <c r="AB170" s="3"/>
      <c r="AC170" s="3"/>
      <c r="AD170" s="3"/>
      <c r="AE170" s="3"/>
      <c r="AF170" s="3"/>
      <c r="AG170" s="3"/>
      <c r="AH170" s="3"/>
      <c r="AI170" s="3"/>
      <c r="AJ170" s="3"/>
      <c r="AK170" s="3"/>
      <c r="AL170" s="3"/>
      <c r="AM170" s="3"/>
      <c r="AN170" s="3"/>
      <c r="AO170" s="3"/>
    </row>
    <row r="171" spans="2:41" x14ac:dyDescent="0.25">
      <c r="B171" s="13"/>
      <c r="C171" s="14"/>
      <c r="D171" s="60"/>
      <c r="E171" s="56"/>
      <c r="F171" s="56"/>
      <c r="G171" s="14"/>
      <c r="H171" s="56"/>
      <c r="I171" s="14"/>
      <c r="J171" s="14"/>
      <c r="K171" s="14"/>
      <c r="L171" s="14"/>
      <c r="M171" s="14"/>
      <c r="N171" s="14"/>
      <c r="O171" s="14"/>
      <c r="P171" s="14"/>
      <c r="Q171" s="14"/>
      <c r="R171" s="14"/>
      <c r="S171" s="14"/>
      <c r="T171" s="14"/>
      <c r="U171" s="14"/>
      <c r="V171" s="14"/>
      <c r="W171" s="14"/>
      <c r="X171" s="14"/>
      <c r="Y171" s="14"/>
      <c r="Z171" s="14"/>
      <c r="AA171" s="15"/>
      <c r="AB171" s="3"/>
      <c r="AC171" s="3"/>
      <c r="AD171" s="3"/>
      <c r="AE171" s="3"/>
      <c r="AF171" s="3"/>
      <c r="AG171" s="3"/>
      <c r="AH171" s="3"/>
      <c r="AI171" s="3"/>
      <c r="AJ171" s="3"/>
      <c r="AK171" s="3"/>
      <c r="AL171" s="3"/>
      <c r="AM171" s="3"/>
      <c r="AN171" s="3"/>
      <c r="AO171" s="3"/>
    </row>
    <row r="172" spans="2:41" x14ac:dyDescent="0.25">
      <c r="B172" s="13"/>
      <c r="C172" s="56"/>
      <c r="D172" s="60"/>
      <c r="E172" s="56"/>
      <c r="F172" s="56"/>
      <c r="G172" s="56"/>
      <c r="H172" s="56"/>
      <c r="I172" s="14"/>
      <c r="J172" s="14"/>
      <c r="K172" s="14"/>
      <c r="L172" s="14"/>
      <c r="M172" s="14"/>
      <c r="N172" s="14"/>
      <c r="O172" s="14"/>
      <c r="P172" s="14"/>
      <c r="Q172" s="14"/>
      <c r="R172" s="14"/>
      <c r="S172" s="14"/>
      <c r="T172" s="14"/>
      <c r="U172" s="14"/>
      <c r="V172" s="14"/>
      <c r="W172" s="14"/>
      <c r="X172" s="14"/>
      <c r="Y172" s="14"/>
      <c r="Z172" s="14"/>
      <c r="AA172" s="15"/>
      <c r="AB172" s="3"/>
      <c r="AC172" s="3"/>
      <c r="AD172" s="3"/>
      <c r="AE172" s="3"/>
      <c r="AF172" s="3"/>
      <c r="AG172" s="3"/>
      <c r="AH172" s="3"/>
      <c r="AI172" s="3"/>
      <c r="AJ172" s="3"/>
      <c r="AK172" s="3"/>
      <c r="AL172" s="3"/>
      <c r="AM172" s="3"/>
      <c r="AN172" s="3"/>
      <c r="AO172" s="3"/>
    </row>
    <row r="173" spans="2:41" x14ac:dyDescent="0.25">
      <c r="B173" s="13"/>
      <c r="C173" s="14"/>
      <c r="D173" s="60"/>
      <c r="E173" s="56"/>
      <c r="F173" s="56"/>
      <c r="G173" s="14"/>
      <c r="H173" s="56"/>
      <c r="I173" s="14"/>
      <c r="J173" s="14"/>
      <c r="K173" s="14"/>
      <c r="L173" s="14"/>
      <c r="M173" s="14"/>
      <c r="N173" s="14"/>
      <c r="O173" s="14"/>
      <c r="P173" s="14"/>
      <c r="Q173" s="14"/>
      <c r="R173" s="14"/>
      <c r="S173" s="14"/>
      <c r="T173" s="14"/>
      <c r="U173" s="14"/>
      <c r="V173" s="14"/>
      <c r="W173" s="14"/>
      <c r="X173" s="14"/>
      <c r="Y173" s="14"/>
      <c r="Z173" s="14"/>
      <c r="AA173" s="15"/>
      <c r="AB173" s="3"/>
      <c r="AC173" s="3"/>
      <c r="AD173" s="3"/>
      <c r="AE173" s="3"/>
      <c r="AF173" s="3"/>
      <c r="AG173" s="3"/>
      <c r="AH173" s="3"/>
      <c r="AI173" s="3"/>
      <c r="AJ173" s="3"/>
      <c r="AK173" s="3"/>
      <c r="AL173" s="3"/>
      <c r="AM173" s="3"/>
      <c r="AN173" s="3"/>
      <c r="AO173" s="3"/>
    </row>
    <row r="174" spans="2:41" x14ac:dyDescent="0.25">
      <c r="B174" s="13"/>
      <c r="C174" s="14"/>
      <c r="D174" s="14"/>
      <c r="E174" s="56"/>
      <c r="F174" s="56"/>
      <c r="G174" s="14"/>
      <c r="H174" s="56"/>
      <c r="I174" s="14"/>
      <c r="J174" s="14"/>
      <c r="K174" s="14"/>
      <c r="L174" s="14"/>
      <c r="M174" s="14"/>
      <c r="N174" s="14"/>
      <c r="O174" s="14"/>
      <c r="P174" s="14"/>
      <c r="Q174" s="14"/>
      <c r="R174" s="14"/>
      <c r="S174" s="14"/>
      <c r="T174" s="14"/>
      <c r="U174" s="14"/>
      <c r="V174" s="14"/>
      <c r="W174" s="14"/>
      <c r="X174" s="14"/>
      <c r="Y174" s="14"/>
      <c r="Z174" s="14"/>
      <c r="AA174" s="15"/>
      <c r="AB174" s="3"/>
      <c r="AC174" s="3"/>
      <c r="AD174" s="3"/>
      <c r="AE174" s="3"/>
      <c r="AF174" s="3"/>
      <c r="AG174" s="3"/>
      <c r="AH174" s="3"/>
      <c r="AI174" s="3"/>
      <c r="AJ174" s="3"/>
      <c r="AK174" s="3"/>
      <c r="AL174" s="3"/>
      <c r="AM174" s="3"/>
      <c r="AN174" s="3"/>
      <c r="AO174" s="3"/>
    </row>
    <row r="175" spans="2:41" x14ac:dyDescent="0.25">
      <c r="B175" s="13"/>
      <c r="C175" s="14"/>
      <c r="D175" s="60"/>
      <c r="E175" s="56"/>
      <c r="F175" s="56"/>
      <c r="G175" s="14"/>
      <c r="H175" s="14"/>
      <c r="I175" s="14"/>
      <c r="J175" s="14"/>
      <c r="K175" s="14"/>
      <c r="L175" s="14"/>
      <c r="M175" s="14"/>
      <c r="N175" s="14"/>
      <c r="O175" s="14"/>
      <c r="P175" s="14"/>
      <c r="Q175" s="14"/>
      <c r="R175" s="14"/>
      <c r="S175" s="14"/>
      <c r="T175" s="14"/>
      <c r="U175" s="14"/>
      <c r="V175" s="14"/>
      <c r="W175" s="14"/>
      <c r="X175" s="14"/>
      <c r="Y175" s="14"/>
      <c r="Z175" s="14"/>
      <c r="AA175" s="15"/>
      <c r="AB175" s="3"/>
      <c r="AC175" s="3"/>
      <c r="AD175" s="3"/>
      <c r="AE175" s="3"/>
      <c r="AF175" s="3"/>
      <c r="AG175" s="3"/>
      <c r="AH175" s="3"/>
      <c r="AI175" s="3"/>
      <c r="AJ175" s="3"/>
      <c r="AK175" s="3"/>
      <c r="AL175" s="3"/>
      <c r="AM175" s="3"/>
      <c r="AN175" s="3"/>
      <c r="AO175" s="3"/>
    </row>
    <row r="176" spans="2:41" ht="18.75" x14ac:dyDescent="0.3">
      <c r="B176" s="67"/>
      <c r="C176" s="14"/>
      <c r="D176" s="60"/>
      <c r="E176" s="56"/>
      <c r="F176" s="56"/>
      <c r="G176" s="14"/>
      <c r="H176" s="56"/>
      <c r="I176" s="74"/>
      <c r="J176" s="14"/>
      <c r="K176" s="14"/>
      <c r="L176" s="14"/>
      <c r="M176" s="14"/>
      <c r="N176" s="14"/>
      <c r="O176" s="14"/>
      <c r="P176" s="14"/>
      <c r="Q176" s="14"/>
      <c r="R176" s="14"/>
      <c r="S176" s="14"/>
      <c r="T176" s="14"/>
      <c r="U176" s="14"/>
      <c r="V176" s="14"/>
      <c r="W176" s="14"/>
      <c r="X176" s="14"/>
      <c r="Y176" s="14"/>
      <c r="Z176" s="14"/>
      <c r="AA176" s="15"/>
      <c r="AB176" s="3"/>
      <c r="AC176" s="3"/>
      <c r="AD176" s="3"/>
      <c r="AE176" s="3"/>
      <c r="AF176" s="3"/>
      <c r="AG176" s="3"/>
      <c r="AH176" s="3"/>
      <c r="AI176" s="3"/>
      <c r="AJ176" s="3"/>
      <c r="AK176" s="3"/>
      <c r="AL176" s="3"/>
      <c r="AM176" s="3"/>
      <c r="AN176" s="3"/>
      <c r="AO176" s="3"/>
    </row>
    <row r="177" spans="2:41" x14ac:dyDescent="0.25">
      <c r="B177" s="13"/>
      <c r="C177" s="14"/>
      <c r="D177" s="60"/>
      <c r="E177" s="56"/>
      <c r="F177" s="56"/>
      <c r="G177" s="14"/>
      <c r="H177" s="56"/>
      <c r="I177" s="14"/>
      <c r="J177" s="14"/>
      <c r="K177" s="14"/>
      <c r="L177" s="14"/>
      <c r="M177" s="14"/>
      <c r="N177" s="14"/>
      <c r="O177" s="14"/>
      <c r="P177" s="14"/>
      <c r="Q177" s="14"/>
      <c r="R177" s="14"/>
      <c r="S177" s="14"/>
      <c r="T177" s="14"/>
      <c r="U177" s="14"/>
      <c r="V177" s="14"/>
      <c r="W177" s="14"/>
      <c r="X177" s="14"/>
      <c r="Y177" s="14"/>
      <c r="Z177" s="14"/>
      <c r="AA177" s="15"/>
      <c r="AB177" s="3"/>
      <c r="AC177" s="3"/>
      <c r="AD177" s="3"/>
      <c r="AE177" s="3"/>
      <c r="AF177" s="3"/>
      <c r="AG177" s="3"/>
      <c r="AH177" s="3"/>
      <c r="AI177" s="3"/>
      <c r="AJ177" s="3"/>
      <c r="AK177" s="3"/>
      <c r="AL177" s="3"/>
      <c r="AM177" s="3"/>
      <c r="AN177" s="3"/>
      <c r="AO177" s="3"/>
    </row>
    <row r="178" spans="2:41" x14ac:dyDescent="0.25">
      <c r="B178" s="13"/>
      <c r="C178" s="14"/>
      <c r="D178" s="60"/>
      <c r="E178" s="56"/>
      <c r="F178" s="56"/>
      <c r="G178" s="14"/>
      <c r="H178" s="56"/>
      <c r="I178" s="14"/>
      <c r="J178" s="14"/>
      <c r="K178" s="14"/>
      <c r="L178" s="14"/>
      <c r="M178" s="14"/>
      <c r="N178" s="14"/>
      <c r="O178" s="14"/>
      <c r="P178" s="14"/>
      <c r="Q178" s="14"/>
      <c r="R178" s="14"/>
      <c r="S178" s="14"/>
      <c r="T178" s="14"/>
      <c r="U178" s="14"/>
      <c r="V178" s="14"/>
      <c r="W178" s="14"/>
      <c r="X178" s="14"/>
      <c r="Y178" s="14"/>
      <c r="Z178" s="14"/>
      <c r="AA178" s="15"/>
      <c r="AB178" s="3"/>
      <c r="AC178" s="3"/>
      <c r="AD178" s="3"/>
      <c r="AE178" s="3"/>
      <c r="AF178" s="3"/>
      <c r="AG178" s="3"/>
      <c r="AH178" s="3"/>
      <c r="AI178" s="3"/>
      <c r="AJ178" s="3"/>
      <c r="AK178" s="3"/>
      <c r="AL178" s="3"/>
      <c r="AM178" s="3"/>
      <c r="AN178" s="3"/>
      <c r="AO178" s="3"/>
    </row>
    <row r="179" spans="2:41" x14ac:dyDescent="0.25">
      <c r="B179" s="13"/>
      <c r="C179" s="56"/>
      <c r="D179" s="60"/>
      <c r="E179" s="56"/>
      <c r="F179" s="56"/>
      <c r="G179" s="56"/>
      <c r="H179" s="56"/>
      <c r="I179" s="14"/>
      <c r="J179" s="14"/>
      <c r="K179" s="14"/>
      <c r="L179" s="14"/>
      <c r="M179" s="14"/>
      <c r="N179" s="14"/>
      <c r="O179" s="14"/>
      <c r="P179" s="14"/>
      <c r="Q179" s="14"/>
      <c r="R179" s="14"/>
      <c r="S179" s="14"/>
      <c r="T179" s="14"/>
      <c r="U179" s="14"/>
      <c r="V179" s="14"/>
      <c r="W179" s="14"/>
      <c r="X179" s="14"/>
      <c r="Y179" s="14"/>
      <c r="Z179" s="14"/>
      <c r="AA179" s="15"/>
      <c r="AB179" s="3"/>
      <c r="AC179" s="3"/>
      <c r="AD179" s="3"/>
      <c r="AE179" s="3"/>
      <c r="AF179" s="3"/>
      <c r="AG179" s="3"/>
      <c r="AH179" s="3"/>
      <c r="AI179" s="3"/>
      <c r="AJ179" s="3"/>
      <c r="AK179" s="3"/>
      <c r="AL179" s="3"/>
      <c r="AM179" s="3"/>
      <c r="AN179" s="3"/>
      <c r="AO179" s="3"/>
    </row>
    <row r="180" spans="2:41" x14ac:dyDescent="0.25">
      <c r="B180" s="13"/>
      <c r="C180" s="14"/>
      <c r="D180" s="60"/>
      <c r="E180" s="56"/>
      <c r="F180" s="56"/>
      <c r="G180" s="14"/>
      <c r="H180" s="56"/>
      <c r="I180" s="14"/>
      <c r="J180" s="14"/>
      <c r="K180" s="14"/>
      <c r="L180" s="14"/>
      <c r="M180" s="14"/>
      <c r="N180" s="14"/>
      <c r="O180" s="14"/>
      <c r="P180" s="14"/>
      <c r="Q180" s="14"/>
      <c r="R180" s="14"/>
      <c r="S180" s="14"/>
      <c r="T180" s="14"/>
      <c r="U180" s="14"/>
      <c r="V180" s="14"/>
      <c r="W180" s="14"/>
      <c r="X180" s="14"/>
      <c r="Y180" s="14"/>
      <c r="Z180" s="14"/>
      <c r="AA180" s="15"/>
      <c r="AB180" s="3"/>
      <c r="AC180" s="3"/>
      <c r="AD180" s="3"/>
      <c r="AE180" s="3"/>
      <c r="AF180" s="3"/>
      <c r="AG180" s="3"/>
      <c r="AH180" s="3"/>
      <c r="AI180" s="3"/>
      <c r="AJ180" s="3"/>
      <c r="AK180" s="3"/>
      <c r="AL180" s="3"/>
      <c r="AM180" s="3"/>
      <c r="AN180" s="3"/>
      <c r="AO180" s="3"/>
    </row>
    <row r="181" spans="2:41" x14ac:dyDescent="0.25">
      <c r="B181" s="13"/>
      <c r="C181" s="14"/>
      <c r="D181" s="14"/>
      <c r="E181" s="56"/>
      <c r="F181" s="56"/>
      <c r="G181" s="14"/>
      <c r="H181" s="56"/>
      <c r="I181" s="14"/>
      <c r="J181" s="14"/>
      <c r="K181" s="14"/>
      <c r="L181" s="14"/>
      <c r="M181" s="14"/>
      <c r="N181" s="14"/>
      <c r="O181" s="14"/>
      <c r="P181" s="14"/>
      <c r="Q181" s="14"/>
      <c r="R181" s="14"/>
      <c r="S181" s="14"/>
      <c r="T181" s="14"/>
      <c r="U181" s="14"/>
      <c r="V181" s="14"/>
      <c r="W181" s="14"/>
      <c r="X181" s="14"/>
      <c r="Y181" s="14"/>
      <c r="Z181" s="14"/>
      <c r="AA181" s="15"/>
      <c r="AB181" s="3"/>
      <c r="AC181" s="3"/>
      <c r="AD181" s="3"/>
      <c r="AE181" s="3"/>
      <c r="AF181" s="3"/>
      <c r="AG181" s="3"/>
      <c r="AH181" s="3"/>
      <c r="AI181" s="3"/>
      <c r="AJ181" s="3"/>
      <c r="AK181" s="3"/>
      <c r="AL181" s="3"/>
      <c r="AM181" s="3"/>
      <c r="AN181" s="3"/>
      <c r="AO181" s="3"/>
    </row>
    <row r="182" spans="2:41" x14ac:dyDescent="0.25">
      <c r="B182" s="13"/>
      <c r="C182" s="14"/>
      <c r="D182" s="60"/>
      <c r="E182" s="56"/>
      <c r="F182" s="56"/>
      <c r="G182" s="14"/>
      <c r="H182" s="14"/>
      <c r="I182" s="14"/>
      <c r="J182" s="14"/>
      <c r="K182" s="14"/>
      <c r="L182" s="14"/>
      <c r="M182" s="14"/>
      <c r="N182" s="14"/>
      <c r="O182" s="14"/>
      <c r="P182" s="14"/>
      <c r="Q182" s="14"/>
      <c r="R182" s="14"/>
      <c r="S182" s="14"/>
      <c r="T182" s="14"/>
      <c r="U182" s="14"/>
      <c r="V182" s="14"/>
      <c r="W182" s="14"/>
      <c r="X182" s="14"/>
      <c r="Y182" s="14"/>
      <c r="Z182" s="14"/>
      <c r="AA182" s="15"/>
      <c r="AB182" s="3"/>
      <c r="AC182" s="3"/>
      <c r="AD182" s="3"/>
      <c r="AE182" s="3"/>
      <c r="AF182" s="3"/>
      <c r="AG182" s="3"/>
      <c r="AH182" s="3"/>
      <c r="AI182" s="3"/>
      <c r="AJ182" s="3"/>
      <c r="AK182" s="3"/>
      <c r="AL182" s="3"/>
      <c r="AM182" s="3"/>
      <c r="AN182" s="3"/>
      <c r="AO182" s="3"/>
    </row>
    <row r="183" spans="2:41" x14ac:dyDescent="0.25">
      <c r="B183" s="13"/>
      <c r="C183" s="14"/>
      <c r="D183" s="60"/>
      <c r="E183" s="56"/>
      <c r="F183" s="56"/>
      <c r="G183" s="14"/>
      <c r="H183" s="56"/>
      <c r="I183" s="14"/>
      <c r="J183" s="14"/>
      <c r="K183" s="14"/>
      <c r="L183" s="14"/>
      <c r="M183" s="14"/>
      <c r="N183" s="14"/>
      <c r="O183" s="14"/>
      <c r="P183" s="14"/>
      <c r="Q183" s="14"/>
      <c r="R183" s="14"/>
      <c r="S183" s="14"/>
      <c r="T183" s="14"/>
      <c r="U183" s="14"/>
      <c r="V183" s="14"/>
      <c r="W183" s="14"/>
      <c r="X183" s="14"/>
      <c r="Y183" s="14"/>
      <c r="Z183" s="14"/>
      <c r="AA183" s="15"/>
      <c r="AB183" s="3"/>
      <c r="AC183" s="3"/>
      <c r="AD183" s="3"/>
      <c r="AE183" s="3"/>
      <c r="AF183" s="3"/>
      <c r="AG183" s="3"/>
      <c r="AH183" s="3"/>
      <c r="AI183" s="3"/>
      <c r="AJ183" s="3"/>
      <c r="AK183" s="3"/>
      <c r="AL183" s="3"/>
      <c r="AM183" s="3"/>
      <c r="AN183" s="3"/>
      <c r="AO183" s="3"/>
    </row>
    <row r="184" spans="2:41" ht="18.75" x14ac:dyDescent="0.3">
      <c r="B184" s="67"/>
      <c r="C184" s="14"/>
      <c r="D184" s="60"/>
      <c r="E184" s="56"/>
      <c r="F184" s="56"/>
      <c r="G184" s="14"/>
      <c r="H184" s="56"/>
      <c r="I184" s="74"/>
      <c r="J184" s="14"/>
      <c r="K184" s="14"/>
      <c r="L184" s="14"/>
      <c r="M184" s="14"/>
      <c r="N184" s="14"/>
      <c r="O184" s="14"/>
      <c r="P184" s="14"/>
      <c r="Q184" s="14"/>
      <c r="R184" s="14"/>
      <c r="S184" s="14"/>
      <c r="T184" s="14"/>
      <c r="U184" s="14"/>
      <c r="V184" s="14"/>
      <c r="W184" s="14"/>
      <c r="X184" s="14"/>
      <c r="Y184" s="14"/>
      <c r="Z184" s="14"/>
      <c r="AA184" s="15"/>
      <c r="AB184" s="3"/>
      <c r="AC184" s="3"/>
      <c r="AD184" s="3"/>
      <c r="AE184" s="3"/>
      <c r="AF184" s="3"/>
      <c r="AG184" s="3"/>
      <c r="AH184" s="3"/>
      <c r="AI184" s="3"/>
      <c r="AJ184" s="3"/>
      <c r="AK184" s="3"/>
      <c r="AL184" s="3"/>
      <c r="AM184" s="3"/>
      <c r="AN184" s="3"/>
      <c r="AO184" s="3"/>
    </row>
    <row r="185" spans="2:41" x14ac:dyDescent="0.25">
      <c r="B185" s="13"/>
      <c r="C185" s="14"/>
      <c r="D185" s="60"/>
      <c r="E185" s="56"/>
      <c r="F185" s="56"/>
      <c r="G185" s="14"/>
      <c r="H185" s="56"/>
      <c r="I185" s="14"/>
      <c r="J185" s="14"/>
      <c r="K185" s="14"/>
      <c r="L185" s="14"/>
      <c r="M185" s="14"/>
      <c r="N185" s="14"/>
      <c r="O185" s="14"/>
      <c r="P185" s="14"/>
      <c r="Q185" s="14"/>
      <c r="R185" s="14"/>
      <c r="S185" s="14"/>
      <c r="T185" s="14"/>
      <c r="U185" s="14"/>
      <c r="V185" s="14"/>
      <c r="W185" s="14"/>
      <c r="X185" s="14"/>
      <c r="Y185" s="14"/>
      <c r="Z185" s="14"/>
      <c r="AA185" s="15"/>
      <c r="AB185" s="3"/>
      <c r="AC185" s="3"/>
      <c r="AD185" s="3"/>
      <c r="AE185" s="3"/>
      <c r="AF185" s="3"/>
      <c r="AG185" s="3"/>
      <c r="AH185" s="3"/>
      <c r="AI185" s="3"/>
      <c r="AJ185" s="3"/>
      <c r="AK185" s="3"/>
      <c r="AL185" s="3"/>
      <c r="AM185" s="3"/>
      <c r="AN185" s="3"/>
      <c r="AO185" s="3"/>
    </row>
    <row r="186" spans="2:41" x14ac:dyDescent="0.25">
      <c r="B186" s="13"/>
      <c r="C186" s="56"/>
      <c r="D186" s="60"/>
      <c r="E186" s="56"/>
      <c r="F186" s="56"/>
      <c r="G186" s="56"/>
      <c r="H186" s="56"/>
      <c r="I186" s="14"/>
      <c r="J186" s="14"/>
      <c r="K186" s="14"/>
      <c r="L186" s="14"/>
      <c r="M186" s="14"/>
      <c r="N186" s="14"/>
      <c r="O186" s="14"/>
      <c r="P186" s="14"/>
      <c r="Q186" s="14"/>
      <c r="R186" s="14"/>
      <c r="S186" s="14"/>
      <c r="T186" s="14"/>
      <c r="U186" s="14"/>
      <c r="V186" s="14"/>
      <c r="W186" s="14"/>
      <c r="X186" s="14"/>
      <c r="Y186" s="14"/>
      <c r="Z186" s="14"/>
      <c r="AA186" s="15"/>
      <c r="AB186" s="3"/>
      <c r="AC186" s="3"/>
      <c r="AD186" s="3"/>
      <c r="AE186" s="3"/>
      <c r="AF186" s="3"/>
      <c r="AG186" s="3"/>
      <c r="AH186" s="3"/>
      <c r="AI186" s="3"/>
      <c r="AJ186" s="3"/>
      <c r="AK186" s="3"/>
      <c r="AL186" s="3"/>
      <c r="AM186" s="3"/>
      <c r="AN186" s="3"/>
      <c r="AO186" s="3"/>
    </row>
    <row r="187" spans="2:41" x14ac:dyDescent="0.25">
      <c r="B187" s="13"/>
      <c r="C187" s="14"/>
      <c r="D187" s="60"/>
      <c r="E187" s="56"/>
      <c r="F187" s="56"/>
      <c r="G187" s="14"/>
      <c r="H187" s="56"/>
      <c r="I187" s="14"/>
      <c r="J187" s="14"/>
      <c r="K187" s="14"/>
      <c r="L187" s="14"/>
      <c r="M187" s="14"/>
      <c r="N187" s="14"/>
      <c r="O187" s="14"/>
      <c r="P187" s="14"/>
      <c r="Q187" s="14"/>
      <c r="R187" s="14"/>
      <c r="S187" s="14"/>
      <c r="T187" s="14"/>
      <c r="U187" s="14"/>
      <c r="V187" s="14"/>
      <c r="W187" s="14"/>
      <c r="X187" s="14"/>
      <c r="Y187" s="14"/>
      <c r="Z187" s="14"/>
      <c r="AA187" s="15"/>
      <c r="AB187" s="3"/>
      <c r="AC187" s="3"/>
      <c r="AD187" s="3"/>
      <c r="AE187" s="3"/>
      <c r="AF187" s="3"/>
      <c r="AG187" s="3"/>
      <c r="AH187" s="3"/>
      <c r="AI187" s="3"/>
      <c r="AJ187" s="3"/>
      <c r="AK187" s="3"/>
      <c r="AL187" s="3"/>
      <c r="AM187" s="3"/>
      <c r="AN187" s="3"/>
      <c r="AO187" s="3"/>
    </row>
    <row r="188" spans="2:41" x14ac:dyDescent="0.25">
      <c r="B188" s="13"/>
      <c r="C188" s="14"/>
      <c r="D188" s="14"/>
      <c r="E188" s="56"/>
      <c r="F188" s="56"/>
      <c r="G188" s="14"/>
      <c r="H188" s="56"/>
      <c r="I188" s="14"/>
      <c r="J188" s="14"/>
      <c r="K188" s="14"/>
      <c r="L188" s="14"/>
      <c r="M188" s="14"/>
      <c r="N188" s="14"/>
      <c r="O188" s="14"/>
      <c r="P188" s="14"/>
      <c r="Q188" s="14"/>
      <c r="R188" s="14"/>
      <c r="S188" s="14"/>
      <c r="T188" s="14"/>
      <c r="U188" s="14"/>
      <c r="V188" s="14"/>
      <c r="W188" s="14"/>
      <c r="X188" s="14"/>
      <c r="Y188" s="14"/>
      <c r="Z188" s="14"/>
      <c r="AA188" s="15"/>
      <c r="AB188" s="3"/>
      <c r="AC188" s="3"/>
      <c r="AD188" s="3"/>
      <c r="AE188" s="3"/>
      <c r="AF188" s="3"/>
      <c r="AG188" s="3"/>
      <c r="AH188" s="3"/>
      <c r="AI188" s="3"/>
      <c r="AJ188" s="3"/>
      <c r="AK188" s="3"/>
      <c r="AL188" s="3"/>
      <c r="AM188" s="3"/>
      <c r="AN188" s="3"/>
      <c r="AO188" s="3"/>
    </row>
    <row r="189" spans="2:41" x14ac:dyDescent="0.25">
      <c r="B189" s="13"/>
      <c r="C189" s="14"/>
      <c r="D189" s="60"/>
      <c r="E189" s="56"/>
      <c r="F189" s="56"/>
      <c r="G189" s="14"/>
      <c r="H189" s="14"/>
      <c r="I189" s="14"/>
      <c r="J189" s="14"/>
      <c r="K189" s="14"/>
      <c r="L189" s="14"/>
      <c r="M189" s="14"/>
      <c r="N189" s="14"/>
      <c r="O189" s="14"/>
      <c r="P189" s="14"/>
      <c r="Q189" s="14"/>
      <c r="R189" s="14"/>
      <c r="S189" s="14"/>
      <c r="T189" s="14"/>
      <c r="U189" s="14"/>
      <c r="V189" s="14"/>
      <c r="W189" s="14"/>
      <c r="X189" s="14"/>
      <c r="Y189" s="14"/>
      <c r="Z189" s="14"/>
      <c r="AA189" s="15"/>
      <c r="AB189" s="3"/>
      <c r="AC189" s="3"/>
      <c r="AD189" s="3"/>
      <c r="AE189" s="3"/>
      <c r="AF189" s="3"/>
      <c r="AG189" s="3"/>
      <c r="AH189" s="3"/>
      <c r="AI189" s="3"/>
      <c r="AJ189" s="3"/>
      <c r="AK189" s="3"/>
      <c r="AL189" s="3"/>
      <c r="AM189" s="3"/>
      <c r="AN189" s="3"/>
      <c r="AO189" s="3"/>
    </row>
    <row r="190" spans="2:41" x14ac:dyDescent="0.25">
      <c r="B190" s="13"/>
      <c r="C190" s="14"/>
      <c r="D190" s="60"/>
      <c r="E190" s="56"/>
      <c r="F190" s="56"/>
      <c r="G190" s="14"/>
      <c r="H190" s="56"/>
      <c r="I190" s="14"/>
      <c r="J190" s="14"/>
      <c r="K190" s="14"/>
      <c r="L190" s="14"/>
      <c r="M190" s="14"/>
      <c r="N190" s="14"/>
      <c r="O190" s="14"/>
      <c r="P190" s="14"/>
      <c r="Q190" s="14"/>
      <c r="R190" s="14"/>
      <c r="S190" s="14"/>
      <c r="T190" s="14"/>
      <c r="U190" s="14"/>
      <c r="V190" s="14"/>
      <c r="W190" s="14"/>
      <c r="X190" s="14"/>
      <c r="Y190" s="14"/>
      <c r="Z190" s="14"/>
      <c r="AA190" s="15"/>
      <c r="AB190" s="3"/>
      <c r="AC190" s="3"/>
      <c r="AD190" s="3"/>
      <c r="AE190" s="3"/>
      <c r="AF190" s="3"/>
      <c r="AG190" s="3"/>
      <c r="AH190" s="3"/>
      <c r="AI190" s="3"/>
      <c r="AJ190" s="3"/>
      <c r="AK190" s="3"/>
      <c r="AL190" s="3"/>
      <c r="AM190" s="3"/>
      <c r="AN190" s="3"/>
      <c r="AO190" s="3"/>
    </row>
    <row r="191" spans="2:41" x14ac:dyDescent="0.25">
      <c r="B191" s="13"/>
      <c r="C191" s="14"/>
      <c r="D191" s="60"/>
      <c r="E191" s="56"/>
      <c r="F191" s="56"/>
      <c r="G191" s="14"/>
      <c r="H191" s="56"/>
      <c r="I191" s="14"/>
      <c r="J191" s="14"/>
      <c r="K191" s="14"/>
      <c r="L191" s="14"/>
      <c r="M191" s="14"/>
      <c r="N191" s="14"/>
      <c r="O191" s="14"/>
      <c r="P191" s="14"/>
      <c r="Q191" s="14"/>
      <c r="R191" s="14"/>
      <c r="S191" s="14"/>
      <c r="T191" s="14"/>
      <c r="U191" s="14"/>
      <c r="V191" s="14"/>
      <c r="W191" s="14"/>
      <c r="X191" s="14"/>
      <c r="Y191" s="14"/>
      <c r="Z191" s="14"/>
      <c r="AA191" s="15"/>
      <c r="AB191" s="3"/>
      <c r="AC191" s="3"/>
      <c r="AD191" s="3"/>
      <c r="AE191" s="3"/>
      <c r="AF191" s="3"/>
      <c r="AG191" s="3"/>
      <c r="AH191" s="3"/>
      <c r="AI191" s="3"/>
      <c r="AJ191" s="3"/>
      <c r="AK191" s="3"/>
      <c r="AL191" s="3"/>
      <c r="AM191" s="3"/>
      <c r="AN191" s="3"/>
      <c r="AO191" s="3"/>
    </row>
    <row r="192" spans="2:41" ht="18.75" x14ac:dyDescent="0.3">
      <c r="B192" s="67"/>
      <c r="C192" s="14"/>
      <c r="D192" s="60"/>
      <c r="E192" s="56"/>
      <c r="F192" s="56"/>
      <c r="G192" s="14"/>
      <c r="H192" s="56"/>
      <c r="I192" s="74"/>
      <c r="J192" s="14"/>
      <c r="K192" s="14"/>
      <c r="L192" s="14"/>
      <c r="M192" s="14"/>
      <c r="N192" s="14"/>
      <c r="O192" s="14"/>
      <c r="P192" s="14"/>
      <c r="Q192" s="14"/>
      <c r="R192" s="14"/>
      <c r="S192" s="14"/>
      <c r="T192" s="14"/>
      <c r="U192" s="14"/>
      <c r="V192" s="14"/>
      <c r="W192" s="14"/>
      <c r="X192" s="14"/>
      <c r="Y192" s="14"/>
      <c r="Z192" s="14"/>
      <c r="AA192" s="15"/>
      <c r="AB192" s="3"/>
      <c r="AC192" s="3"/>
      <c r="AD192" s="3"/>
      <c r="AE192" s="3"/>
      <c r="AF192" s="3"/>
      <c r="AG192" s="3"/>
      <c r="AH192" s="3"/>
      <c r="AI192" s="3"/>
      <c r="AJ192" s="3"/>
      <c r="AK192" s="3"/>
      <c r="AL192" s="3"/>
      <c r="AM192" s="3"/>
      <c r="AN192" s="3"/>
      <c r="AO192" s="3"/>
    </row>
    <row r="193" spans="2:41" x14ac:dyDescent="0.25">
      <c r="B193" s="13"/>
      <c r="C193" s="56"/>
      <c r="D193" s="60"/>
      <c r="E193" s="56"/>
      <c r="F193" s="56"/>
      <c r="G193" s="56"/>
      <c r="H193" s="56"/>
      <c r="I193" s="14"/>
      <c r="J193" s="14"/>
      <c r="K193" s="14"/>
      <c r="L193" s="14"/>
      <c r="M193" s="14"/>
      <c r="N193" s="14"/>
      <c r="O193" s="14"/>
      <c r="P193" s="14"/>
      <c r="Q193" s="14"/>
      <c r="R193" s="14"/>
      <c r="S193" s="14"/>
      <c r="T193" s="14"/>
      <c r="U193" s="14"/>
      <c r="V193" s="14"/>
      <c r="W193" s="14"/>
      <c r="X193" s="14"/>
      <c r="Y193" s="14"/>
      <c r="Z193" s="14"/>
      <c r="AA193" s="15"/>
      <c r="AB193" s="3"/>
      <c r="AC193" s="3"/>
      <c r="AD193" s="3"/>
      <c r="AE193" s="3"/>
      <c r="AF193" s="3"/>
      <c r="AG193" s="3"/>
      <c r="AH193" s="3"/>
      <c r="AI193" s="3"/>
      <c r="AJ193" s="3"/>
      <c r="AK193" s="3"/>
      <c r="AL193" s="3"/>
      <c r="AM193" s="3"/>
      <c r="AN193" s="3"/>
      <c r="AO193" s="3"/>
    </row>
    <row r="194" spans="2:41" x14ac:dyDescent="0.25">
      <c r="B194" s="13"/>
      <c r="C194" s="14"/>
      <c r="D194" s="60"/>
      <c r="E194" s="56"/>
      <c r="F194" s="56"/>
      <c r="G194" s="14"/>
      <c r="H194" s="56"/>
      <c r="I194" s="14"/>
      <c r="J194" s="14"/>
      <c r="K194" s="14"/>
      <c r="L194" s="14"/>
      <c r="M194" s="14"/>
      <c r="N194" s="14"/>
      <c r="O194" s="14"/>
      <c r="P194" s="14"/>
      <c r="Q194" s="14"/>
      <c r="R194" s="14"/>
      <c r="S194" s="14"/>
      <c r="T194" s="14"/>
      <c r="U194" s="14"/>
      <c r="V194" s="14"/>
      <c r="W194" s="14"/>
      <c r="X194" s="14"/>
      <c r="Y194" s="14"/>
      <c r="Z194" s="14"/>
      <c r="AA194" s="15"/>
      <c r="AB194" s="3"/>
      <c r="AC194" s="3"/>
      <c r="AD194" s="3"/>
      <c r="AE194" s="3"/>
      <c r="AF194" s="3"/>
      <c r="AG194" s="3"/>
      <c r="AH194" s="3"/>
      <c r="AI194" s="3"/>
      <c r="AJ194" s="3"/>
      <c r="AK194" s="3"/>
      <c r="AL194" s="3"/>
      <c r="AM194" s="3"/>
      <c r="AN194" s="3"/>
      <c r="AO194" s="3"/>
    </row>
    <row r="195" spans="2:41" x14ac:dyDescent="0.25">
      <c r="B195" s="13"/>
      <c r="C195" s="14"/>
      <c r="D195" s="14"/>
      <c r="E195" s="14"/>
      <c r="F195" s="14"/>
      <c r="G195" s="14"/>
      <c r="H195" s="56"/>
      <c r="I195" s="14"/>
      <c r="J195" s="14"/>
      <c r="K195" s="14"/>
      <c r="L195" s="14"/>
      <c r="M195" s="14"/>
      <c r="N195" s="14"/>
      <c r="O195" s="14"/>
      <c r="P195" s="14"/>
      <c r="Q195" s="14"/>
      <c r="R195" s="14"/>
      <c r="S195" s="14"/>
      <c r="T195" s="14"/>
      <c r="U195" s="14"/>
      <c r="V195" s="14"/>
      <c r="W195" s="14"/>
      <c r="X195" s="14"/>
      <c r="Y195" s="14"/>
      <c r="Z195" s="14"/>
      <c r="AA195" s="15"/>
      <c r="AB195" s="3"/>
      <c r="AC195" s="3"/>
      <c r="AD195" s="3"/>
      <c r="AE195" s="3"/>
      <c r="AF195" s="3"/>
      <c r="AG195" s="3"/>
      <c r="AH195" s="3"/>
      <c r="AI195" s="3"/>
      <c r="AJ195" s="3"/>
      <c r="AK195" s="3"/>
      <c r="AL195" s="3"/>
      <c r="AM195" s="3"/>
      <c r="AN195" s="3"/>
      <c r="AO195" s="3"/>
    </row>
    <row r="196" spans="2:41" x14ac:dyDescent="0.25">
      <c r="B196" s="13"/>
      <c r="C196" s="14"/>
      <c r="D196" s="60"/>
      <c r="E196" s="56"/>
      <c r="F196" s="56"/>
      <c r="G196" s="14"/>
      <c r="H196" s="14"/>
      <c r="I196" s="14"/>
      <c r="J196" s="14"/>
      <c r="K196" s="14"/>
      <c r="L196" s="14"/>
      <c r="M196" s="14"/>
      <c r="N196" s="14"/>
      <c r="O196" s="14"/>
      <c r="P196" s="14"/>
      <c r="Q196" s="14"/>
      <c r="R196" s="14"/>
      <c r="S196" s="14"/>
      <c r="T196" s="14"/>
      <c r="U196" s="14"/>
      <c r="V196" s="14"/>
      <c r="W196" s="14"/>
      <c r="X196" s="14"/>
      <c r="Y196" s="14"/>
      <c r="Z196" s="14"/>
      <c r="AA196" s="15"/>
      <c r="AB196" s="3"/>
      <c r="AC196" s="3"/>
      <c r="AD196" s="3"/>
      <c r="AE196" s="3"/>
      <c r="AF196" s="3"/>
      <c r="AG196" s="3"/>
      <c r="AH196" s="3"/>
      <c r="AI196" s="3"/>
      <c r="AJ196" s="3"/>
      <c r="AK196" s="3"/>
      <c r="AL196" s="3"/>
      <c r="AM196" s="3"/>
      <c r="AN196" s="3"/>
      <c r="AO196" s="3"/>
    </row>
    <row r="197" spans="2:41" x14ac:dyDescent="0.25">
      <c r="B197" s="13"/>
      <c r="C197" s="14"/>
      <c r="D197" s="60"/>
      <c r="E197" s="56"/>
      <c r="F197" s="56"/>
      <c r="G197" s="14"/>
      <c r="H197" s="56"/>
      <c r="I197" s="14"/>
      <c r="J197" s="14"/>
      <c r="K197" s="14"/>
      <c r="L197" s="14"/>
      <c r="M197" s="14"/>
      <c r="N197" s="14"/>
      <c r="O197" s="14"/>
      <c r="P197" s="14"/>
      <c r="Q197" s="14"/>
      <c r="R197" s="14"/>
      <c r="S197" s="14"/>
      <c r="T197" s="14"/>
      <c r="U197" s="14"/>
      <c r="V197" s="14"/>
      <c r="W197" s="14"/>
      <c r="X197" s="14"/>
      <c r="Y197" s="14"/>
      <c r="Z197" s="14"/>
      <c r="AA197" s="15"/>
      <c r="AB197" s="3"/>
      <c r="AC197" s="3"/>
      <c r="AD197" s="3"/>
      <c r="AE197" s="3"/>
      <c r="AF197" s="3"/>
      <c r="AG197" s="3"/>
      <c r="AH197" s="3"/>
      <c r="AI197" s="3"/>
      <c r="AJ197" s="3"/>
      <c r="AK197" s="3"/>
      <c r="AL197" s="3"/>
      <c r="AM197" s="3"/>
      <c r="AN197" s="3"/>
      <c r="AO197" s="3"/>
    </row>
    <row r="198" spans="2:41" x14ac:dyDescent="0.25">
      <c r="B198" s="13"/>
      <c r="C198" s="14"/>
      <c r="D198" s="60"/>
      <c r="E198" s="56"/>
      <c r="F198" s="56"/>
      <c r="G198" s="14"/>
      <c r="H198" s="56"/>
      <c r="I198" s="14"/>
      <c r="J198" s="14"/>
      <c r="K198" s="14"/>
      <c r="L198" s="14"/>
      <c r="M198" s="14"/>
      <c r="N198" s="14"/>
      <c r="O198" s="14"/>
      <c r="P198" s="14"/>
      <c r="Q198" s="14"/>
      <c r="R198" s="14"/>
      <c r="S198" s="14"/>
      <c r="T198" s="14"/>
      <c r="U198" s="14"/>
      <c r="V198" s="14"/>
      <c r="W198" s="14"/>
      <c r="X198" s="14"/>
      <c r="Y198" s="14"/>
      <c r="Z198" s="14"/>
      <c r="AA198" s="15"/>
      <c r="AB198" s="3"/>
      <c r="AC198" s="3"/>
      <c r="AD198" s="3"/>
      <c r="AE198" s="3"/>
      <c r="AF198" s="3"/>
      <c r="AG198" s="3"/>
      <c r="AH198" s="3"/>
      <c r="AI198" s="3"/>
      <c r="AJ198" s="3"/>
      <c r="AK198" s="3"/>
      <c r="AL198" s="3"/>
      <c r="AM198" s="3"/>
      <c r="AN198" s="3"/>
      <c r="AO198" s="3"/>
    </row>
    <row r="199" spans="2:41" x14ac:dyDescent="0.25">
      <c r="B199" s="13"/>
      <c r="C199" s="14"/>
      <c r="D199" s="60"/>
      <c r="E199" s="56"/>
      <c r="F199" s="56"/>
      <c r="G199" s="14"/>
      <c r="H199" s="56"/>
      <c r="I199" s="14"/>
      <c r="J199" s="14"/>
      <c r="K199" s="14"/>
      <c r="L199" s="14"/>
      <c r="M199" s="14"/>
      <c r="N199" s="14"/>
      <c r="O199" s="14"/>
      <c r="P199" s="14"/>
      <c r="Q199" s="14"/>
      <c r="R199" s="14"/>
      <c r="S199" s="14"/>
      <c r="T199" s="14"/>
      <c r="U199" s="14"/>
      <c r="V199" s="14"/>
      <c r="W199" s="14"/>
      <c r="X199" s="14"/>
      <c r="Y199" s="14"/>
      <c r="Z199" s="14"/>
      <c r="AA199" s="15"/>
      <c r="AB199" s="3"/>
      <c r="AC199" s="3"/>
      <c r="AD199" s="3"/>
      <c r="AE199" s="3"/>
      <c r="AF199" s="3"/>
      <c r="AG199" s="3"/>
      <c r="AH199" s="3"/>
      <c r="AI199" s="3"/>
      <c r="AJ199" s="3"/>
      <c r="AK199" s="3"/>
      <c r="AL199" s="3"/>
      <c r="AM199" s="3"/>
      <c r="AN199" s="3"/>
      <c r="AO199" s="3"/>
    </row>
    <row r="200" spans="2:41" x14ac:dyDescent="0.25">
      <c r="B200" s="13"/>
      <c r="C200" s="14"/>
      <c r="D200" s="60"/>
      <c r="E200" s="56"/>
      <c r="F200" s="56"/>
      <c r="G200" s="14"/>
      <c r="H200" s="56"/>
      <c r="I200" s="14"/>
      <c r="J200" s="14"/>
      <c r="K200" s="14"/>
      <c r="L200" s="14"/>
      <c r="M200" s="14"/>
      <c r="N200" s="14"/>
      <c r="O200" s="14"/>
      <c r="P200" s="14"/>
      <c r="Q200" s="14"/>
      <c r="R200" s="14"/>
      <c r="S200" s="14"/>
      <c r="T200" s="14"/>
      <c r="U200" s="14"/>
      <c r="V200" s="14"/>
      <c r="W200" s="14"/>
      <c r="X200" s="14"/>
      <c r="Y200" s="14"/>
      <c r="Z200" s="14"/>
      <c r="AA200" s="15"/>
      <c r="AB200" s="3"/>
      <c r="AC200" s="3"/>
      <c r="AD200" s="3"/>
      <c r="AE200" s="3"/>
      <c r="AF200" s="3"/>
      <c r="AG200" s="3"/>
      <c r="AH200" s="3"/>
      <c r="AI200" s="3"/>
      <c r="AJ200" s="3"/>
      <c r="AK200" s="3"/>
      <c r="AL200" s="3"/>
      <c r="AM200" s="3"/>
      <c r="AN200" s="3"/>
      <c r="AO200" s="3"/>
    </row>
    <row r="201" spans="2:41" x14ac:dyDescent="0.25">
      <c r="B201" s="13"/>
      <c r="C201" s="14"/>
      <c r="D201" s="60"/>
      <c r="E201" s="56"/>
      <c r="F201" s="56"/>
      <c r="G201" s="14"/>
      <c r="H201" s="56"/>
      <c r="I201" s="14"/>
      <c r="J201" s="14"/>
      <c r="K201" s="14"/>
      <c r="L201" s="14"/>
      <c r="M201" s="14"/>
      <c r="N201" s="14"/>
      <c r="O201" s="14"/>
      <c r="P201" s="14"/>
      <c r="Q201" s="14"/>
      <c r="R201" s="14"/>
      <c r="S201" s="14"/>
      <c r="T201" s="14"/>
      <c r="U201" s="14"/>
      <c r="V201" s="14"/>
      <c r="W201" s="14"/>
      <c r="X201" s="14"/>
      <c r="Y201" s="14"/>
      <c r="Z201" s="14"/>
      <c r="AA201" s="15"/>
      <c r="AB201" s="3"/>
      <c r="AC201" s="3"/>
      <c r="AD201" s="3"/>
      <c r="AE201" s="3"/>
      <c r="AF201" s="3"/>
      <c r="AG201" s="3"/>
      <c r="AH201" s="3"/>
      <c r="AI201" s="3"/>
      <c r="AJ201" s="3"/>
      <c r="AK201" s="3"/>
      <c r="AL201" s="3"/>
      <c r="AM201" s="3"/>
      <c r="AN201" s="3"/>
      <c r="AO201" s="3"/>
    </row>
    <row r="202" spans="2:41" x14ac:dyDescent="0.25">
      <c r="B202" s="13"/>
      <c r="C202" s="14"/>
      <c r="D202" s="14"/>
      <c r="E202" s="56"/>
      <c r="F202" s="56"/>
      <c r="G202" s="14"/>
      <c r="H202" s="56"/>
      <c r="I202" s="14"/>
      <c r="J202" s="14"/>
      <c r="K202" s="14"/>
      <c r="L202" s="14"/>
      <c r="M202" s="14"/>
      <c r="N202" s="14"/>
      <c r="O202" s="14"/>
      <c r="P202" s="14"/>
      <c r="Q202" s="14"/>
      <c r="R202" s="14"/>
      <c r="S202" s="14"/>
      <c r="T202" s="14"/>
      <c r="U202" s="14"/>
      <c r="V202" s="14"/>
      <c r="W202" s="14"/>
      <c r="X202" s="14"/>
      <c r="Y202" s="14"/>
      <c r="Z202" s="14"/>
      <c r="AA202" s="15"/>
      <c r="AB202" s="3"/>
      <c r="AC202" s="3"/>
      <c r="AD202" s="3"/>
      <c r="AE202" s="3"/>
      <c r="AF202" s="3"/>
      <c r="AG202" s="3"/>
      <c r="AH202" s="3"/>
      <c r="AI202" s="3"/>
      <c r="AJ202" s="3"/>
      <c r="AK202" s="3"/>
      <c r="AL202" s="3"/>
      <c r="AM202" s="3"/>
      <c r="AN202" s="3"/>
      <c r="AO202" s="3"/>
    </row>
    <row r="203" spans="2:41" x14ac:dyDescent="0.25">
      <c r="B203" s="13"/>
      <c r="C203" s="14"/>
      <c r="D203" s="60"/>
      <c r="E203" s="56"/>
      <c r="F203" s="56"/>
      <c r="G203" s="14"/>
      <c r="H203" s="14"/>
      <c r="I203" s="14"/>
      <c r="J203" s="14"/>
      <c r="K203" s="14"/>
      <c r="L203" s="14"/>
      <c r="M203" s="14"/>
      <c r="N203" s="14"/>
      <c r="O203" s="14"/>
      <c r="P203" s="14"/>
      <c r="Q203" s="14"/>
      <c r="R203" s="14"/>
      <c r="S203" s="14"/>
      <c r="T203" s="14"/>
      <c r="U203" s="14"/>
      <c r="V203" s="14"/>
      <c r="W203" s="14"/>
      <c r="X203" s="14"/>
      <c r="Y203" s="14"/>
      <c r="Z203" s="14"/>
      <c r="AA203" s="15"/>
      <c r="AB203" s="3"/>
      <c r="AC203" s="3"/>
      <c r="AD203" s="3"/>
      <c r="AE203" s="3"/>
      <c r="AF203" s="3"/>
      <c r="AG203" s="3"/>
      <c r="AH203" s="3"/>
      <c r="AI203" s="3"/>
      <c r="AJ203" s="3"/>
      <c r="AK203" s="3"/>
      <c r="AL203" s="3"/>
      <c r="AM203" s="3"/>
      <c r="AN203" s="3"/>
      <c r="AO203" s="3"/>
    </row>
    <row r="204" spans="2:41" x14ac:dyDescent="0.25">
      <c r="B204" s="13"/>
      <c r="C204" s="14"/>
      <c r="D204" s="60"/>
      <c r="E204" s="56"/>
      <c r="F204" s="56"/>
      <c r="G204" s="14"/>
      <c r="H204" s="56"/>
      <c r="I204" s="14"/>
      <c r="J204" s="14"/>
      <c r="K204" s="14"/>
      <c r="L204" s="14"/>
      <c r="M204" s="14"/>
      <c r="N204" s="14"/>
      <c r="O204" s="14"/>
      <c r="P204" s="14"/>
      <c r="Q204" s="14"/>
      <c r="R204" s="14"/>
      <c r="S204" s="14"/>
      <c r="T204" s="14"/>
      <c r="U204" s="14"/>
      <c r="V204" s="14"/>
      <c r="W204" s="14"/>
      <c r="X204" s="14"/>
      <c r="Y204" s="14"/>
      <c r="Z204" s="14"/>
      <c r="AA204" s="15"/>
      <c r="AB204" s="3"/>
      <c r="AC204" s="3"/>
      <c r="AD204" s="3"/>
      <c r="AE204" s="3"/>
      <c r="AF204" s="3"/>
      <c r="AG204" s="3"/>
      <c r="AH204" s="3"/>
      <c r="AI204" s="3"/>
      <c r="AJ204" s="3"/>
      <c r="AK204" s="3"/>
      <c r="AL204" s="3"/>
      <c r="AM204" s="3"/>
      <c r="AN204" s="3"/>
      <c r="AO204" s="3"/>
    </row>
    <row r="205" spans="2:41" x14ac:dyDescent="0.25">
      <c r="B205" s="13"/>
      <c r="C205" s="14"/>
      <c r="D205" s="60"/>
      <c r="E205" s="56"/>
      <c r="F205" s="56"/>
      <c r="G205" s="14"/>
      <c r="H205" s="56"/>
      <c r="I205" s="14"/>
      <c r="J205" s="14"/>
      <c r="K205" s="14"/>
      <c r="L205" s="14"/>
      <c r="M205" s="14"/>
      <c r="N205" s="14"/>
      <c r="O205" s="14"/>
      <c r="P205" s="14"/>
      <c r="Q205" s="14"/>
      <c r="R205" s="14"/>
      <c r="S205" s="14"/>
      <c r="T205" s="14"/>
      <c r="U205" s="14"/>
      <c r="V205" s="14"/>
      <c r="W205" s="14"/>
      <c r="X205" s="14"/>
      <c r="Y205" s="14"/>
      <c r="Z205" s="14"/>
      <c r="AA205" s="15"/>
      <c r="AB205" s="3"/>
      <c r="AC205" s="3"/>
      <c r="AD205" s="3"/>
      <c r="AE205" s="3"/>
      <c r="AF205" s="3"/>
      <c r="AG205" s="3"/>
      <c r="AH205" s="3"/>
      <c r="AI205" s="3"/>
      <c r="AJ205" s="3"/>
      <c r="AK205" s="3"/>
      <c r="AL205" s="3"/>
      <c r="AM205" s="3"/>
      <c r="AN205" s="3"/>
      <c r="AO205" s="3"/>
    </row>
    <row r="206" spans="2:41" x14ac:dyDescent="0.25">
      <c r="B206" s="13"/>
      <c r="C206" s="14"/>
      <c r="D206" s="60"/>
      <c r="E206" s="56"/>
      <c r="F206" s="56"/>
      <c r="G206" s="14"/>
      <c r="H206" s="56"/>
      <c r="I206" s="14"/>
      <c r="J206" s="14"/>
      <c r="K206" s="14"/>
      <c r="L206" s="14"/>
      <c r="M206" s="14"/>
      <c r="N206" s="14"/>
      <c r="O206" s="14"/>
      <c r="P206" s="14"/>
      <c r="Q206" s="14"/>
      <c r="R206" s="14"/>
      <c r="S206" s="14"/>
      <c r="T206" s="14"/>
      <c r="U206" s="14"/>
      <c r="V206" s="14"/>
      <c r="W206" s="14"/>
      <c r="X206" s="14"/>
      <c r="Y206" s="14"/>
      <c r="Z206" s="14"/>
      <c r="AA206" s="15"/>
      <c r="AB206" s="3"/>
      <c r="AC206" s="3"/>
      <c r="AD206" s="3"/>
      <c r="AE206" s="3"/>
      <c r="AF206" s="3"/>
      <c r="AG206" s="3"/>
      <c r="AH206" s="3"/>
      <c r="AI206" s="3"/>
      <c r="AJ206" s="3"/>
      <c r="AK206" s="3"/>
      <c r="AL206" s="3"/>
      <c r="AM206" s="3"/>
      <c r="AN206" s="3"/>
      <c r="AO206" s="3"/>
    </row>
    <row r="207" spans="2:41" x14ac:dyDescent="0.25">
      <c r="B207" s="70"/>
      <c r="C207" s="56"/>
      <c r="D207" s="60"/>
      <c r="E207" s="56"/>
      <c r="F207" s="56"/>
      <c r="G207" s="56"/>
      <c r="H207" s="56"/>
      <c r="I207" s="42"/>
      <c r="J207" s="14"/>
      <c r="K207" s="14"/>
      <c r="L207" s="14"/>
      <c r="M207" s="14"/>
      <c r="N207" s="14"/>
      <c r="O207" s="14"/>
      <c r="P207" s="14"/>
      <c r="Q207" s="14"/>
      <c r="R207" s="14"/>
      <c r="S207" s="14"/>
      <c r="T207" s="14"/>
      <c r="U207" s="14"/>
      <c r="V207" s="14"/>
      <c r="W207" s="14"/>
      <c r="X207" s="14"/>
      <c r="Y207" s="14"/>
      <c r="Z207" s="14"/>
      <c r="AA207" s="15"/>
      <c r="AB207" s="3"/>
      <c r="AC207" s="3"/>
      <c r="AD207" s="3"/>
      <c r="AE207" s="3"/>
      <c r="AF207" s="3"/>
      <c r="AG207" s="3"/>
      <c r="AH207" s="3"/>
      <c r="AI207" s="3"/>
      <c r="AJ207" s="3"/>
      <c r="AK207" s="3"/>
      <c r="AL207" s="3"/>
      <c r="AM207" s="3"/>
      <c r="AN207" s="3"/>
      <c r="AO207" s="3"/>
    </row>
    <row r="208" spans="2:41" ht="18.75" x14ac:dyDescent="0.3">
      <c r="B208" s="67"/>
      <c r="C208" s="14"/>
      <c r="D208" s="60"/>
      <c r="E208" s="56"/>
      <c r="F208" s="56"/>
      <c r="G208" s="14"/>
      <c r="H208" s="56"/>
      <c r="I208" s="74"/>
      <c r="J208" s="14"/>
      <c r="K208" s="14"/>
      <c r="L208" s="14"/>
      <c r="M208" s="14"/>
      <c r="N208" s="14"/>
      <c r="O208" s="14"/>
      <c r="P208" s="14"/>
      <c r="Q208" s="14"/>
      <c r="R208" s="14"/>
      <c r="S208" s="14"/>
      <c r="T208" s="14"/>
      <c r="U208" s="14"/>
      <c r="V208" s="14"/>
      <c r="W208" s="14"/>
      <c r="X208" s="14"/>
      <c r="Y208" s="14"/>
      <c r="Z208" s="14"/>
      <c r="AA208" s="15"/>
      <c r="AB208" s="3"/>
      <c r="AC208" s="3"/>
      <c r="AD208" s="3"/>
      <c r="AE208" s="3"/>
      <c r="AF208" s="3"/>
      <c r="AG208" s="3"/>
      <c r="AH208" s="3"/>
      <c r="AI208" s="3"/>
      <c r="AJ208" s="3"/>
      <c r="AK208" s="3"/>
      <c r="AL208" s="3"/>
      <c r="AM208" s="3"/>
      <c r="AN208" s="3"/>
      <c r="AO208" s="3"/>
    </row>
    <row r="209" spans="2:41" x14ac:dyDescent="0.25">
      <c r="B209" s="13"/>
      <c r="C209" s="14"/>
      <c r="D209" s="14"/>
      <c r="E209" s="56"/>
      <c r="F209" s="56"/>
      <c r="G209" s="14"/>
      <c r="H209" s="56"/>
      <c r="I209" s="14"/>
      <c r="J209" s="14"/>
      <c r="K209" s="14"/>
      <c r="L209" s="14"/>
      <c r="M209" s="14"/>
      <c r="N209" s="14"/>
      <c r="O209" s="14"/>
      <c r="P209" s="14"/>
      <c r="Q209" s="14"/>
      <c r="R209" s="14"/>
      <c r="S209" s="14"/>
      <c r="T209" s="14"/>
      <c r="U209" s="14"/>
      <c r="V209" s="14"/>
      <c r="W209" s="14"/>
      <c r="X209" s="14"/>
      <c r="Y209" s="14"/>
      <c r="Z209" s="14"/>
      <c r="AA209" s="15"/>
      <c r="AB209" s="3"/>
      <c r="AC209" s="3"/>
      <c r="AD209" s="3"/>
      <c r="AE209" s="3"/>
      <c r="AF209" s="3"/>
      <c r="AG209" s="3"/>
      <c r="AH209" s="3"/>
      <c r="AI209" s="3"/>
      <c r="AJ209" s="3"/>
      <c r="AK209" s="3"/>
      <c r="AL209" s="3"/>
      <c r="AM209" s="3"/>
      <c r="AN209" s="3"/>
      <c r="AO209" s="3"/>
    </row>
    <row r="210" spans="2:41" x14ac:dyDescent="0.25">
      <c r="B210" s="13"/>
      <c r="C210" s="14"/>
      <c r="D210" s="60"/>
      <c r="E210" s="56"/>
      <c r="F210" s="56"/>
      <c r="G210" s="14"/>
      <c r="H210" s="14"/>
      <c r="I210" s="14"/>
      <c r="J210" s="14"/>
      <c r="K210" s="14"/>
      <c r="L210" s="14"/>
      <c r="M210" s="14"/>
      <c r="N210" s="14"/>
      <c r="O210" s="14"/>
      <c r="P210" s="14"/>
      <c r="Q210" s="14"/>
      <c r="R210" s="14"/>
      <c r="S210" s="14"/>
      <c r="T210" s="14"/>
      <c r="U210" s="14"/>
      <c r="V210" s="14"/>
      <c r="W210" s="14"/>
      <c r="X210" s="14"/>
      <c r="Y210" s="14"/>
      <c r="Z210" s="14"/>
      <c r="AA210" s="15"/>
      <c r="AB210" s="3"/>
      <c r="AC210" s="3"/>
      <c r="AD210" s="3"/>
      <c r="AE210" s="3"/>
      <c r="AF210" s="3"/>
      <c r="AG210" s="3"/>
      <c r="AH210" s="3"/>
      <c r="AI210" s="3"/>
      <c r="AJ210" s="3"/>
      <c r="AK210" s="3"/>
      <c r="AL210" s="3"/>
      <c r="AM210" s="3"/>
      <c r="AN210" s="3"/>
      <c r="AO210" s="3"/>
    </row>
    <row r="211" spans="2:41" x14ac:dyDescent="0.25">
      <c r="B211" s="13"/>
      <c r="C211" s="14"/>
      <c r="D211" s="60"/>
      <c r="E211" s="56"/>
      <c r="F211" s="56"/>
      <c r="G211" s="14"/>
      <c r="H211" s="56"/>
      <c r="I211" s="14"/>
      <c r="J211" s="14"/>
      <c r="K211" s="14"/>
      <c r="L211" s="14"/>
      <c r="M211" s="14"/>
      <c r="N211" s="14"/>
      <c r="O211" s="14"/>
      <c r="P211" s="14"/>
      <c r="Q211" s="14"/>
      <c r="R211" s="14"/>
      <c r="S211" s="14"/>
      <c r="T211" s="14"/>
      <c r="U211" s="14"/>
      <c r="V211" s="14"/>
      <c r="W211" s="14"/>
      <c r="X211" s="14"/>
      <c r="Y211" s="14"/>
      <c r="Z211" s="14"/>
      <c r="AA211" s="15"/>
      <c r="AB211" s="3"/>
      <c r="AC211" s="3"/>
      <c r="AD211" s="3"/>
      <c r="AE211" s="3"/>
      <c r="AF211" s="3"/>
      <c r="AG211" s="3"/>
      <c r="AH211" s="3"/>
      <c r="AI211" s="3"/>
      <c r="AJ211" s="3"/>
      <c r="AK211" s="3"/>
      <c r="AL211" s="3"/>
      <c r="AM211" s="3"/>
      <c r="AN211" s="3"/>
      <c r="AO211" s="3"/>
    </row>
    <row r="212" spans="2:41" x14ac:dyDescent="0.25">
      <c r="B212" s="13"/>
      <c r="C212" s="14"/>
      <c r="D212" s="60"/>
      <c r="E212" s="56"/>
      <c r="F212" s="56"/>
      <c r="G212" s="14"/>
      <c r="H212" s="56"/>
      <c r="I212" s="14"/>
      <c r="J212" s="14"/>
      <c r="K212" s="14"/>
      <c r="L212" s="14"/>
      <c r="M212" s="14"/>
      <c r="N212" s="14"/>
      <c r="O212" s="14"/>
      <c r="P212" s="14"/>
      <c r="Q212" s="14"/>
      <c r="R212" s="14"/>
      <c r="S212" s="14"/>
      <c r="T212" s="14"/>
      <c r="U212" s="14"/>
      <c r="V212" s="14"/>
      <c r="W212" s="14"/>
      <c r="X212" s="14"/>
      <c r="Y212" s="14"/>
      <c r="Z212" s="14"/>
      <c r="AA212" s="15"/>
      <c r="AB212" s="3"/>
      <c r="AC212" s="3"/>
      <c r="AD212" s="3"/>
      <c r="AE212" s="3"/>
      <c r="AF212" s="3"/>
      <c r="AG212" s="3"/>
      <c r="AH212" s="3"/>
      <c r="AI212" s="3"/>
      <c r="AJ212" s="3"/>
      <c r="AK212" s="3"/>
      <c r="AL212" s="3"/>
      <c r="AM212" s="3"/>
      <c r="AN212" s="3"/>
      <c r="AO212" s="3"/>
    </row>
    <row r="213" spans="2:41" x14ac:dyDescent="0.25">
      <c r="B213" s="13"/>
      <c r="C213" s="14"/>
      <c r="D213" s="60"/>
      <c r="E213" s="56"/>
      <c r="F213" s="56"/>
      <c r="G213" s="14"/>
      <c r="H213" s="56"/>
      <c r="I213" s="14"/>
      <c r="J213" s="14"/>
      <c r="K213" s="14"/>
      <c r="L213" s="14"/>
      <c r="M213" s="14"/>
      <c r="N213" s="14"/>
      <c r="O213" s="14"/>
      <c r="P213" s="14"/>
      <c r="Q213" s="14"/>
      <c r="R213" s="14"/>
      <c r="S213" s="14"/>
      <c r="T213" s="14"/>
      <c r="U213" s="14"/>
      <c r="V213" s="14"/>
      <c r="W213" s="14"/>
      <c r="X213" s="14"/>
      <c r="Y213" s="14"/>
      <c r="Z213" s="14"/>
      <c r="AA213" s="15"/>
      <c r="AB213" s="3"/>
      <c r="AC213" s="3"/>
      <c r="AD213" s="3"/>
      <c r="AE213" s="3"/>
      <c r="AF213" s="3"/>
      <c r="AG213" s="3"/>
      <c r="AH213" s="3"/>
      <c r="AI213" s="3"/>
      <c r="AJ213" s="3"/>
      <c r="AK213" s="3"/>
      <c r="AL213" s="3"/>
      <c r="AM213" s="3"/>
      <c r="AN213" s="3"/>
      <c r="AO213" s="3"/>
    </row>
    <row r="214" spans="2:41" x14ac:dyDescent="0.25">
      <c r="B214" s="13"/>
      <c r="C214" s="14"/>
      <c r="D214" s="60"/>
      <c r="E214" s="56"/>
      <c r="F214" s="56"/>
      <c r="G214" s="14"/>
      <c r="H214" s="56"/>
      <c r="I214" s="14"/>
      <c r="J214" s="14"/>
      <c r="K214" s="14"/>
      <c r="L214" s="14"/>
      <c r="M214" s="14"/>
      <c r="N214" s="14"/>
      <c r="O214" s="14"/>
      <c r="P214" s="14"/>
      <c r="Q214" s="14"/>
      <c r="R214" s="14"/>
      <c r="S214" s="14"/>
      <c r="T214" s="14"/>
      <c r="U214" s="14"/>
      <c r="V214" s="14"/>
      <c r="W214" s="14"/>
      <c r="X214" s="14"/>
      <c r="Y214" s="14"/>
      <c r="Z214" s="14"/>
      <c r="AA214" s="15"/>
      <c r="AB214" s="3"/>
      <c r="AC214" s="3"/>
      <c r="AD214" s="3"/>
      <c r="AE214" s="3"/>
      <c r="AF214" s="3"/>
      <c r="AG214" s="3"/>
      <c r="AH214" s="3"/>
      <c r="AI214" s="3"/>
      <c r="AJ214" s="3"/>
      <c r="AK214" s="3"/>
      <c r="AL214" s="3"/>
      <c r="AM214" s="3"/>
      <c r="AN214" s="3"/>
      <c r="AO214" s="3"/>
    </row>
    <row r="215" spans="2:41" x14ac:dyDescent="0.25">
      <c r="B215" s="13"/>
      <c r="C215" s="14"/>
      <c r="D215" s="60"/>
      <c r="E215" s="56"/>
      <c r="F215" s="56"/>
      <c r="G215" s="14"/>
      <c r="H215" s="56"/>
      <c r="I215" s="14"/>
      <c r="J215" s="14"/>
      <c r="K215" s="14"/>
      <c r="L215" s="14"/>
      <c r="M215" s="14"/>
      <c r="N215" s="14"/>
      <c r="O215" s="14"/>
      <c r="P215" s="14"/>
      <c r="Q215" s="14"/>
      <c r="R215" s="14"/>
      <c r="S215" s="14"/>
      <c r="T215" s="14"/>
      <c r="U215" s="14"/>
      <c r="V215" s="14"/>
      <c r="W215" s="14"/>
      <c r="X215" s="14"/>
      <c r="Y215" s="14"/>
      <c r="Z215" s="14"/>
      <c r="AA215" s="15"/>
      <c r="AB215" s="3"/>
      <c r="AC215" s="3"/>
      <c r="AD215" s="3"/>
      <c r="AE215" s="3"/>
      <c r="AF215" s="3"/>
      <c r="AG215" s="3"/>
      <c r="AH215" s="3"/>
      <c r="AI215" s="3"/>
      <c r="AJ215" s="3"/>
      <c r="AK215" s="3"/>
      <c r="AL215" s="3"/>
      <c r="AM215" s="3"/>
      <c r="AN215" s="3"/>
      <c r="AO215" s="3"/>
    </row>
    <row r="216" spans="2:41" x14ac:dyDescent="0.25">
      <c r="B216" s="13"/>
      <c r="C216" s="14"/>
      <c r="D216" s="14"/>
      <c r="E216" s="56"/>
      <c r="F216" s="56"/>
      <c r="G216" s="14"/>
      <c r="H216" s="56"/>
      <c r="I216" s="14"/>
      <c r="J216" s="14"/>
      <c r="K216" s="14"/>
      <c r="L216" s="14"/>
      <c r="M216" s="14"/>
      <c r="N216" s="14"/>
      <c r="O216" s="14"/>
      <c r="P216" s="14"/>
      <c r="Q216" s="14"/>
      <c r="R216" s="14"/>
      <c r="S216" s="14"/>
      <c r="T216" s="14"/>
      <c r="U216" s="14"/>
      <c r="V216" s="14"/>
      <c r="W216" s="14"/>
      <c r="X216" s="14"/>
      <c r="Y216" s="14"/>
      <c r="Z216" s="14"/>
      <c r="AA216" s="15"/>
      <c r="AB216" s="3"/>
      <c r="AC216" s="3"/>
      <c r="AD216" s="3"/>
      <c r="AE216" s="3"/>
      <c r="AF216" s="3"/>
      <c r="AG216" s="3"/>
      <c r="AH216" s="3"/>
      <c r="AI216" s="3"/>
      <c r="AJ216" s="3"/>
      <c r="AK216" s="3"/>
      <c r="AL216" s="3"/>
      <c r="AM216" s="3"/>
      <c r="AN216" s="3"/>
      <c r="AO216" s="3"/>
    </row>
    <row r="217" spans="2:41" x14ac:dyDescent="0.25">
      <c r="B217" s="13"/>
      <c r="C217" s="14"/>
      <c r="D217" s="60"/>
      <c r="E217" s="56"/>
      <c r="F217" s="56"/>
      <c r="G217" s="14"/>
      <c r="H217" s="14"/>
      <c r="I217" s="14"/>
      <c r="J217" s="14"/>
      <c r="K217" s="14"/>
      <c r="L217" s="14"/>
      <c r="M217" s="14"/>
      <c r="N217" s="14"/>
      <c r="O217" s="14"/>
      <c r="P217" s="14"/>
      <c r="Q217" s="14"/>
      <c r="R217" s="14"/>
      <c r="S217" s="14"/>
      <c r="T217" s="14"/>
      <c r="U217" s="14"/>
      <c r="V217" s="14"/>
      <c r="W217" s="14"/>
      <c r="X217" s="14"/>
      <c r="Y217" s="14"/>
      <c r="Z217" s="14"/>
      <c r="AA217" s="15"/>
      <c r="AB217" s="3"/>
      <c r="AC217" s="3"/>
      <c r="AD217" s="3"/>
      <c r="AE217" s="3"/>
      <c r="AF217" s="3"/>
      <c r="AG217" s="3"/>
      <c r="AH217" s="3"/>
      <c r="AI217" s="3"/>
      <c r="AJ217" s="3"/>
      <c r="AK217" s="3"/>
      <c r="AL217" s="3"/>
      <c r="AM217" s="3"/>
      <c r="AN217" s="3"/>
      <c r="AO217" s="3"/>
    </row>
    <row r="218" spans="2:41" x14ac:dyDescent="0.25">
      <c r="B218" s="13"/>
      <c r="C218" s="14"/>
      <c r="D218" s="60"/>
      <c r="E218" s="56"/>
      <c r="F218" s="56"/>
      <c r="G218" s="14"/>
      <c r="H218" s="56"/>
      <c r="I218" s="14"/>
      <c r="J218" s="14"/>
      <c r="K218" s="14"/>
      <c r="L218" s="14"/>
      <c r="M218" s="14"/>
      <c r="N218" s="14"/>
      <c r="O218" s="14"/>
      <c r="P218" s="14"/>
      <c r="Q218" s="14"/>
      <c r="R218" s="14"/>
      <c r="S218" s="14"/>
      <c r="T218" s="14"/>
      <c r="U218" s="14"/>
      <c r="V218" s="14"/>
      <c r="W218" s="14"/>
      <c r="X218" s="14"/>
      <c r="Y218" s="14"/>
      <c r="Z218" s="14"/>
      <c r="AA218" s="15"/>
      <c r="AB218" s="3"/>
      <c r="AC218" s="3"/>
      <c r="AD218" s="3"/>
      <c r="AE218" s="3"/>
      <c r="AF218" s="3"/>
      <c r="AG218" s="3"/>
      <c r="AH218" s="3"/>
      <c r="AI218" s="3"/>
      <c r="AJ218" s="3"/>
      <c r="AK218" s="3"/>
      <c r="AL218" s="3"/>
      <c r="AM218" s="3"/>
      <c r="AN218" s="3"/>
      <c r="AO218" s="3"/>
    </row>
    <row r="219" spans="2:41" x14ac:dyDescent="0.25">
      <c r="B219" s="13"/>
      <c r="C219" s="14"/>
      <c r="D219" s="60"/>
      <c r="E219" s="56"/>
      <c r="F219" s="56"/>
      <c r="G219" s="14"/>
      <c r="H219" s="56"/>
      <c r="I219" s="14"/>
      <c r="J219" s="14"/>
      <c r="K219" s="14"/>
      <c r="L219" s="14"/>
      <c r="M219" s="14"/>
      <c r="N219" s="14"/>
      <c r="O219" s="14"/>
      <c r="P219" s="14"/>
      <c r="Q219" s="14"/>
      <c r="R219" s="14"/>
      <c r="S219" s="14"/>
      <c r="T219" s="14"/>
      <c r="U219" s="14"/>
      <c r="V219" s="14"/>
      <c r="W219" s="14"/>
      <c r="X219" s="14"/>
      <c r="Y219" s="14"/>
      <c r="Z219" s="14"/>
      <c r="AA219" s="15"/>
      <c r="AB219" s="3"/>
      <c r="AC219" s="3"/>
      <c r="AD219" s="3"/>
      <c r="AE219" s="3"/>
      <c r="AF219" s="3"/>
      <c r="AG219" s="3"/>
      <c r="AH219" s="3"/>
      <c r="AI219" s="3"/>
      <c r="AJ219" s="3"/>
      <c r="AK219" s="3"/>
      <c r="AL219" s="3"/>
      <c r="AM219" s="3"/>
      <c r="AN219" s="3"/>
      <c r="AO219" s="3"/>
    </row>
    <row r="220" spans="2:41" x14ac:dyDescent="0.25">
      <c r="B220" s="13"/>
      <c r="C220" s="14"/>
      <c r="D220" s="60"/>
      <c r="E220" s="56"/>
      <c r="F220" s="56"/>
      <c r="G220" s="14"/>
      <c r="H220" s="56"/>
      <c r="I220" s="14"/>
      <c r="J220" s="14"/>
      <c r="K220" s="14"/>
      <c r="L220" s="14"/>
      <c r="M220" s="14"/>
      <c r="N220" s="14"/>
      <c r="O220" s="14"/>
      <c r="P220" s="14"/>
      <c r="Q220" s="14"/>
      <c r="R220" s="14"/>
      <c r="S220" s="14"/>
      <c r="T220" s="14"/>
      <c r="U220" s="14"/>
      <c r="V220" s="14"/>
      <c r="W220" s="14"/>
      <c r="X220" s="14"/>
      <c r="Y220" s="14"/>
      <c r="Z220" s="14"/>
      <c r="AA220" s="15"/>
      <c r="AB220" s="3"/>
      <c r="AC220" s="3"/>
      <c r="AD220" s="3"/>
      <c r="AE220" s="3"/>
      <c r="AF220" s="3"/>
      <c r="AG220" s="3"/>
      <c r="AH220" s="3"/>
      <c r="AI220" s="3"/>
      <c r="AJ220" s="3"/>
      <c r="AK220" s="3"/>
      <c r="AL220" s="3"/>
      <c r="AM220" s="3"/>
      <c r="AN220" s="3"/>
      <c r="AO220" s="3"/>
    </row>
    <row r="221" spans="2:41" x14ac:dyDescent="0.25">
      <c r="B221" s="70"/>
      <c r="C221" s="56"/>
      <c r="D221" s="60"/>
      <c r="E221" s="56"/>
      <c r="F221" s="56"/>
      <c r="G221" s="56"/>
      <c r="H221" s="56"/>
      <c r="I221" s="42"/>
      <c r="J221" s="14"/>
      <c r="K221" s="14"/>
      <c r="L221" s="14"/>
      <c r="M221" s="14"/>
      <c r="N221" s="14"/>
      <c r="O221" s="14"/>
      <c r="P221" s="14"/>
      <c r="Q221" s="14"/>
      <c r="R221" s="14"/>
      <c r="S221" s="14"/>
      <c r="T221" s="14"/>
      <c r="U221" s="14"/>
      <c r="V221" s="14"/>
      <c r="W221" s="14"/>
      <c r="X221" s="14"/>
      <c r="Y221" s="14"/>
      <c r="Z221" s="14"/>
      <c r="AA221" s="15"/>
      <c r="AB221" s="3"/>
      <c r="AC221" s="3"/>
      <c r="AD221" s="3"/>
      <c r="AE221" s="3"/>
      <c r="AF221" s="3"/>
      <c r="AG221" s="3"/>
      <c r="AH221" s="3"/>
      <c r="AI221" s="3"/>
      <c r="AJ221" s="3"/>
      <c r="AK221" s="3"/>
      <c r="AL221" s="3"/>
      <c r="AM221" s="3"/>
      <c r="AN221" s="3"/>
      <c r="AO221" s="3"/>
    </row>
    <row r="222" spans="2:41" x14ac:dyDescent="0.25">
      <c r="B222" s="13"/>
      <c r="C222" s="14"/>
      <c r="D222" s="60"/>
      <c r="E222" s="56"/>
      <c r="F222" s="56"/>
      <c r="G222" s="14"/>
      <c r="H222" s="56"/>
      <c r="I222" s="14"/>
      <c r="J222" s="14"/>
      <c r="K222" s="14"/>
      <c r="L222" s="14"/>
      <c r="M222" s="14"/>
      <c r="N222" s="14"/>
      <c r="O222" s="14"/>
      <c r="P222" s="14"/>
      <c r="Q222" s="14"/>
      <c r="R222" s="14"/>
      <c r="S222" s="14"/>
      <c r="T222" s="14"/>
      <c r="U222" s="14"/>
      <c r="V222" s="14"/>
      <c r="W222" s="14"/>
      <c r="X222" s="14"/>
      <c r="Y222" s="14"/>
      <c r="Z222" s="14"/>
      <c r="AA222" s="15"/>
      <c r="AB222" s="3"/>
      <c r="AC222" s="3"/>
      <c r="AD222" s="3"/>
      <c r="AE222" s="3"/>
      <c r="AF222" s="3"/>
      <c r="AG222" s="3"/>
      <c r="AH222" s="3"/>
      <c r="AI222" s="3"/>
      <c r="AJ222" s="3"/>
      <c r="AK222" s="3"/>
      <c r="AL222" s="3"/>
      <c r="AM222" s="3"/>
      <c r="AN222" s="3"/>
      <c r="AO222" s="3"/>
    </row>
    <row r="223" spans="2:41" x14ac:dyDescent="0.25">
      <c r="B223" s="13"/>
      <c r="C223" s="14"/>
      <c r="D223" s="14"/>
      <c r="E223" s="56"/>
      <c r="F223" s="56"/>
      <c r="G223" s="14"/>
      <c r="H223" s="56"/>
      <c r="I223" s="14"/>
      <c r="J223" s="14"/>
      <c r="K223" s="14"/>
      <c r="L223" s="14"/>
      <c r="M223" s="14"/>
      <c r="N223" s="14"/>
      <c r="O223" s="14"/>
      <c r="P223" s="14"/>
      <c r="Q223" s="14"/>
      <c r="R223" s="14"/>
      <c r="S223" s="14"/>
      <c r="T223" s="14"/>
      <c r="U223" s="14"/>
      <c r="V223" s="14"/>
      <c r="W223" s="14"/>
      <c r="X223" s="14"/>
      <c r="Y223" s="14"/>
      <c r="Z223" s="14"/>
      <c r="AA223" s="15"/>
      <c r="AB223" s="3"/>
      <c r="AC223" s="3"/>
      <c r="AD223" s="3"/>
      <c r="AE223" s="3"/>
      <c r="AF223" s="3"/>
      <c r="AG223" s="3"/>
      <c r="AH223" s="3"/>
      <c r="AI223" s="3"/>
      <c r="AJ223" s="3"/>
      <c r="AK223" s="3"/>
      <c r="AL223" s="3"/>
      <c r="AM223" s="3"/>
      <c r="AN223" s="3"/>
      <c r="AO223" s="3"/>
    </row>
    <row r="224" spans="2:41" x14ac:dyDescent="0.25">
      <c r="B224" s="13"/>
      <c r="C224" s="14"/>
      <c r="D224" s="60"/>
      <c r="E224" s="56"/>
      <c r="F224" s="56"/>
      <c r="G224" s="14"/>
      <c r="H224" s="14"/>
      <c r="I224" s="14"/>
      <c r="J224" s="14"/>
      <c r="K224" s="14"/>
      <c r="L224" s="14"/>
      <c r="M224" s="14"/>
      <c r="N224" s="14"/>
      <c r="O224" s="14"/>
      <c r="P224" s="14"/>
      <c r="Q224" s="14"/>
      <c r="R224" s="14"/>
      <c r="S224" s="14"/>
      <c r="T224" s="14"/>
      <c r="U224" s="14"/>
      <c r="V224" s="14"/>
      <c r="W224" s="14"/>
      <c r="X224" s="14"/>
      <c r="Y224" s="14"/>
      <c r="Z224" s="14"/>
      <c r="AA224" s="15"/>
      <c r="AB224" s="3"/>
      <c r="AC224" s="3"/>
      <c r="AD224" s="3"/>
      <c r="AE224" s="3"/>
      <c r="AF224" s="3"/>
      <c r="AG224" s="3"/>
      <c r="AH224" s="3"/>
      <c r="AI224" s="3"/>
      <c r="AJ224" s="3"/>
      <c r="AK224" s="3"/>
      <c r="AL224" s="3"/>
      <c r="AM224" s="3"/>
      <c r="AN224" s="3"/>
      <c r="AO224" s="3"/>
    </row>
    <row r="225" spans="2:41" x14ac:dyDescent="0.25">
      <c r="B225" s="13"/>
      <c r="C225" s="14"/>
      <c r="D225" s="60"/>
      <c r="E225" s="56"/>
      <c r="F225" s="56"/>
      <c r="G225" s="14"/>
      <c r="H225" s="56"/>
      <c r="I225" s="14"/>
      <c r="J225" s="14"/>
      <c r="K225" s="14"/>
      <c r="L225" s="14"/>
      <c r="M225" s="14"/>
      <c r="N225" s="14"/>
      <c r="O225" s="14"/>
      <c r="P225" s="14"/>
      <c r="Q225" s="14"/>
      <c r="R225" s="14"/>
      <c r="S225" s="14"/>
      <c r="T225" s="14"/>
      <c r="U225" s="14"/>
      <c r="V225" s="14"/>
      <c r="W225" s="14"/>
      <c r="X225" s="14"/>
      <c r="Y225" s="14"/>
      <c r="Z225" s="14"/>
      <c r="AA225" s="15"/>
      <c r="AB225" s="3"/>
      <c r="AC225" s="3"/>
      <c r="AD225" s="3"/>
      <c r="AE225" s="3"/>
      <c r="AF225" s="3"/>
      <c r="AG225" s="3"/>
      <c r="AH225" s="3"/>
      <c r="AI225" s="3"/>
      <c r="AJ225" s="3"/>
      <c r="AK225" s="3"/>
      <c r="AL225" s="3"/>
      <c r="AM225" s="3"/>
      <c r="AN225" s="3"/>
      <c r="AO225" s="3"/>
    </row>
    <row r="226" spans="2:41" x14ac:dyDescent="0.25">
      <c r="B226" s="13"/>
      <c r="C226" s="14"/>
      <c r="D226" s="60"/>
      <c r="E226" s="56"/>
      <c r="F226" s="56"/>
      <c r="G226" s="14"/>
      <c r="H226" s="56"/>
      <c r="I226" s="14"/>
      <c r="J226" s="14"/>
      <c r="K226" s="14"/>
      <c r="L226" s="14"/>
      <c r="M226" s="14"/>
      <c r="N226" s="14"/>
      <c r="O226" s="14"/>
      <c r="P226" s="14"/>
      <c r="Q226" s="14"/>
      <c r="R226" s="14"/>
      <c r="S226" s="14"/>
      <c r="T226" s="14"/>
      <c r="U226" s="14"/>
      <c r="V226" s="14"/>
      <c r="W226" s="14"/>
      <c r="X226" s="14"/>
      <c r="Y226" s="14"/>
      <c r="Z226" s="14"/>
      <c r="AA226" s="15"/>
      <c r="AB226" s="3"/>
      <c r="AC226" s="3"/>
      <c r="AD226" s="3"/>
      <c r="AE226" s="3"/>
      <c r="AF226" s="3"/>
      <c r="AG226" s="3"/>
      <c r="AH226" s="3"/>
      <c r="AI226" s="3"/>
      <c r="AJ226" s="3"/>
      <c r="AK226" s="3"/>
      <c r="AL226" s="3"/>
      <c r="AM226" s="3"/>
      <c r="AN226" s="3"/>
      <c r="AO226" s="3"/>
    </row>
    <row r="227" spans="2:41" x14ac:dyDescent="0.25">
      <c r="B227" s="13"/>
      <c r="C227" s="14"/>
      <c r="D227" s="60"/>
      <c r="E227" s="56"/>
      <c r="F227" s="56"/>
      <c r="G227" s="14"/>
      <c r="H227" s="56"/>
      <c r="I227" s="14"/>
      <c r="J227" s="14"/>
      <c r="K227" s="14"/>
      <c r="L227" s="14"/>
      <c r="M227" s="14"/>
      <c r="N227" s="14"/>
      <c r="O227" s="14"/>
      <c r="P227" s="14"/>
      <c r="Q227" s="14"/>
      <c r="R227" s="14"/>
      <c r="S227" s="14"/>
      <c r="T227" s="14"/>
      <c r="U227" s="14"/>
      <c r="V227" s="14"/>
      <c r="W227" s="14"/>
      <c r="X227" s="14"/>
      <c r="Y227" s="14"/>
      <c r="Z227" s="14"/>
      <c r="AA227" s="15"/>
      <c r="AB227" s="3"/>
      <c r="AC227" s="3"/>
      <c r="AD227" s="3"/>
      <c r="AE227" s="3"/>
      <c r="AF227" s="3"/>
      <c r="AG227" s="3"/>
      <c r="AH227" s="3"/>
      <c r="AI227" s="3"/>
      <c r="AJ227" s="3"/>
      <c r="AK227" s="3"/>
      <c r="AL227" s="3"/>
      <c r="AM227" s="3"/>
      <c r="AN227" s="3"/>
      <c r="AO227" s="3"/>
    </row>
    <row r="228" spans="2:41" x14ac:dyDescent="0.25">
      <c r="B228" s="70"/>
      <c r="C228" s="56"/>
      <c r="D228" s="60"/>
      <c r="E228" s="56"/>
      <c r="F228" s="56"/>
      <c r="G228" s="56"/>
      <c r="H228" s="56"/>
      <c r="I228" s="42"/>
      <c r="J228" s="14"/>
      <c r="K228" s="14"/>
      <c r="L228" s="14"/>
      <c r="M228" s="14"/>
      <c r="N228" s="14"/>
      <c r="O228" s="14"/>
      <c r="P228" s="14"/>
      <c r="Q228" s="14"/>
      <c r="R228" s="14"/>
      <c r="S228" s="14"/>
      <c r="T228" s="14"/>
      <c r="U228" s="14"/>
      <c r="V228" s="14"/>
      <c r="W228" s="14"/>
      <c r="X228" s="14"/>
      <c r="Y228" s="14"/>
      <c r="Z228" s="14"/>
      <c r="AA228" s="15"/>
      <c r="AB228" s="3"/>
      <c r="AC228" s="3"/>
      <c r="AD228" s="3"/>
      <c r="AE228" s="3"/>
      <c r="AF228" s="3"/>
      <c r="AG228" s="3"/>
      <c r="AH228" s="3"/>
      <c r="AI228" s="3"/>
      <c r="AJ228" s="3"/>
      <c r="AK228" s="3"/>
      <c r="AL228" s="3"/>
      <c r="AM228" s="3"/>
      <c r="AN228" s="3"/>
      <c r="AO228" s="3"/>
    </row>
    <row r="229" spans="2:41" x14ac:dyDescent="0.25">
      <c r="B229" s="70"/>
      <c r="C229" s="56"/>
      <c r="D229" s="60"/>
      <c r="E229" s="56"/>
      <c r="F229" s="56"/>
      <c r="G229" s="56"/>
      <c r="H229" s="56"/>
      <c r="I229" s="42"/>
      <c r="J229" s="14"/>
      <c r="K229" s="14"/>
      <c r="L229" s="14"/>
      <c r="M229" s="14"/>
      <c r="N229" s="14"/>
      <c r="O229" s="14"/>
      <c r="P229" s="14"/>
      <c r="Q229" s="14"/>
      <c r="R229" s="14"/>
      <c r="S229" s="14"/>
      <c r="T229" s="14"/>
      <c r="U229" s="14"/>
      <c r="V229" s="14"/>
      <c r="W229" s="14"/>
      <c r="X229" s="14"/>
      <c r="Y229" s="14"/>
      <c r="Z229" s="14"/>
      <c r="AA229" s="15"/>
      <c r="AB229" s="3"/>
      <c r="AC229" s="3"/>
      <c r="AD229" s="3"/>
      <c r="AE229" s="3"/>
      <c r="AF229" s="3"/>
      <c r="AG229" s="3"/>
      <c r="AH229" s="3"/>
      <c r="AI229" s="3"/>
      <c r="AJ229" s="3"/>
      <c r="AK229" s="3"/>
      <c r="AL229" s="3"/>
      <c r="AM229" s="3"/>
      <c r="AN229" s="3"/>
      <c r="AO229" s="3"/>
    </row>
    <row r="230" spans="2:41" x14ac:dyDescent="0.25">
      <c r="B230" s="13"/>
      <c r="C230" s="14"/>
      <c r="D230" s="14"/>
      <c r="E230" s="56"/>
      <c r="F230" s="56"/>
      <c r="G230" s="14"/>
      <c r="H230" s="56"/>
      <c r="I230" s="14"/>
      <c r="J230" s="14"/>
      <c r="K230" s="14"/>
      <c r="L230" s="14"/>
      <c r="M230" s="14"/>
      <c r="N230" s="14"/>
      <c r="O230" s="14"/>
      <c r="P230" s="14"/>
      <c r="Q230" s="14"/>
      <c r="R230" s="14"/>
      <c r="S230" s="14"/>
      <c r="T230" s="14"/>
      <c r="U230" s="14"/>
      <c r="V230" s="14"/>
      <c r="W230" s="14"/>
      <c r="X230" s="14"/>
      <c r="Y230" s="14"/>
      <c r="Z230" s="14"/>
      <c r="AA230" s="15"/>
      <c r="AB230" s="3"/>
      <c r="AC230" s="3"/>
      <c r="AD230" s="3"/>
      <c r="AE230" s="3"/>
      <c r="AF230" s="3"/>
      <c r="AG230" s="3"/>
      <c r="AH230" s="3"/>
      <c r="AI230" s="3"/>
      <c r="AJ230" s="3"/>
      <c r="AK230" s="3"/>
      <c r="AL230" s="3"/>
      <c r="AM230" s="3"/>
      <c r="AN230" s="3"/>
      <c r="AO230" s="3"/>
    </row>
    <row r="231" spans="2:41" x14ac:dyDescent="0.25">
      <c r="B231" s="13"/>
      <c r="C231" s="14"/>
      <c r="D231" s="60"/>
      <c r="E231" s="56"/>
      <c r="F231" s="56"/>
      <c r="G231" s="14"/>
      <c r="H231" s="56"/>
      <c r="I231" s="14"/>
      <c r="J231" s="14"/>
      <c r="K231" s="14"/>
      <c r="L231" s="14"/>
      <c r="M231" s="14"/>
      <c r="N231" s="14"/>
      <c r="O231" s="14"/>
      <c r="P231" s="14"/>
      <c r="Q231" s="14"/>
      <c r="R231" s="14"/>
      <c r="S231" s="14"/>
      <c r="T231" s="14"/>
      <c r="U231" s="14"/>
      <c r="V231" s="14"/>
      <c r="W231" s="14"/>
      <c r="X231" s="14"/>
      <c r="Y231" s="14"/>
      <c r="Z231" s="14"/>
      <c r="AA231" s="15"/>
      <c r="AB231" s="3"/>
      <c r="AC231" s="3"/>
      <c r="AD231" s="3"/>
      <c r="AE231" s="3"/>
      <c r="AF231" s="3"/>
      <c r="AG231" s="3"/>
      <c r="AH231" s="3"/>
      <c r="AI231" s="3"/>
      <c r="AJ231" s="3"/>
      <c r="AK231" s="3"/>
      <c r="AL231" s="3"/>
      <c r="AM231" s="3"/>
      <c r="AN231" s="3"/>
      <c r="AO231" s="3"/>
    </row>
    <row r="232" spans="2:41" x14ac:dyDescent="0.25">
      <c r="B232" s="13"/>
      <c r="C232" s="14"/>
      <c r="D232" s="60"/>
      <c r="E232" s="56"/>
      <c r="F232" s="56"/>
      <c r="G232" s="14"/>
      <c r="H232" s="56"/>
      <c r="I232" s="14"/>
      <c r="J232" s="14"/>
      <c r="K232" s="14"/>
      <c r="L232" s="14"/>
      <c r="M232" s="14"/>
      <c r="N232" s="14"/>
      <c r="O232" s="14"/>
      <c r="P232" s="14"/>
      <c r="Q232" s="14"/>
      <c r="R232" s="14"/>
      <c r="S232" s="14"/>
      <c r="T232" s="14"/>
      <c r="U232" s="14"/>
      <c r="V232" s="14"/>
      <c r="W232" s="14"/>
      <c r="X232" s="14"/>
      <c r="Y232" s="14"/>
      <c r="Z232" s="14"/>
      <c r="AA232" s="15"/>
      <c r="AB232" s="3"/>
      <c r="AC232" s="3"/>
      <c r="AD232" s="3"/>
      <c r="AE232" s="3"/>
      <c r="AF232" s="3"/>
      <c r="AG232" s="3"/>
      <c r="AH232" s="3"/>
      <c r="AI232" s="3"/>
      <c r="AJ232" s="3"/>
      <c r="AK232" s="3"/>
      <c r="AL232" s="3"/>
      <c r="AM232" s="3"/>
      <c r="AN232" s="3"/>
      <c r="AO232" s="3"/>
    </row>
    <row r="233" spans="2:41" x14ac:dyDescent="0.25">
      <c r="B233" s="13"/>
      <c r="C233" s="14"/>
      <c r="D233" s="60"/>
      <c r="E233" s="56"/>
      <c r="F233" s="56"/>
      <c r="G233" s="14"/>
      <c r="H233" s="56"/>
      <c r="I233" s="14"/>
      <c r="J233" s="14"/>
      <c r="K233" s="14"/>
      <c r="L233" s="14"/>
      <c r="M233" s="14"/>
      <c r="N233" s="14"/>
      <c r="O233" s="14"/>
      <c r="P233" s="14"/>
      <c r="Q233" s="14"/>
      <c r="R233" s="14"/>
      <c r="S233" s="14"/>
      <c r="T233" s="14"/>
      <c r="U233" s="14"/>
      <c r="V233" s="14"/>
      <c r="W233" s="14"/>
      <c r="X233" s="14"/>
      <c r="Y233" s="14"/>
      <c r="Z233" s="14"/>
      <c r="AA233" s="15"/>
      <c r="AB233" s="3"/>
      <c r="AC233" s="3"/>
      <c r="AD233" s="3"/>
      <c r="AE233" s="3"/>
      <c r="AF233" s="3"/>
      <c r="AG233" s="3"/>
      <c r="AH233" s="3"/>
      <c r="AI233" s="3"/>
      <c r="AJ233" s="3"/>
      <c r="AK233" s="3"/>
      <c r="AL233" s="3"/>
      <c r="AM233" s="3"/>
      <c r="AN233" s="3"/>
      <c r="AO233" s="3"/>
    </row>
    <row r="234" spans="2:41" x14ac:dyDescent="0.25">
      <c r="B234" s="13"/>
      <c r="C234" s="14"/>
      <c r="D234" s="60"/>
      <c r="E234" s="56"/>
      <c r="F234" s="56"/>
      <c r="G234" s="14"/>
      <c r="H234" s="56"/>
      <c r="I234" s="14"/>
      <c r="J234" s="14"/>
      <c r="K234" s="14"/>
      <c r="L234" s="14"/>
      <c r="M234" s="14"/>
      <c r="N234" s="14"/>
      <c r="O234" s="14"/>
      <c r="P234" s="14"/>
      <c r="Q234" s="14"/>
      <c r="R234" s="14"/>
      <c r="S234" s="14"/>
      <c r="T234" s="14"/>
      <c r="U234" s="14"/>
      <c r="V234" s="14"/>
      <c r="W234" s="14"/>
      <c r="X234" s="14"/>
      <c r="Y234" s="14"/>
      <c r="Z234" s="14"/>
      <c r="AA234" s="15"/>
      <c r="AB234" s="3"/>
      <c r="AC234" s="3"/>
      <c r="AD234" s="3"/>
      <c r="AE234" s="3"/>
      <c r="AF234" s="3"/>
      <c r="AG234" s="3"/>
      <c r="AH234" s="3"/>
      <c r="AI234" s="3"/>
      <c r="AJ234" s="3"/>
      <c r="AK234" s="3"/>
      <c r="AL234" s="3"/>
      <c r="AM234" s="3"/>
      <c r="AN234" s="3"/>
      <c r="AO234" s="3"/>
    </row>
    <row r="235" spans="2:41" x14ac:dyDescent="0.25">
      <c r="B235" s="13"/>
      <c r="C235" s="14"/>
      <c r="D235" s="60"/>
      <c r="E235" s="56"/>
      <c r="F235" s="56"/>
      <c r="G235" s="128"/>
      <c r="H235" s="56"/>
      <c r="I235" s="14"/>
      <c r="J235" s="14"/>
      <c r="K235" s="14"/>
      <c r="L235" s="14"/>
      <c r="M235" s="14"/>
      <c r="N235" s="14"/>
      <c r="O235" s="14"/>
      <c r="P235" s="14"/>
      <c r="Q235" s="14"/>
      <c r="R235" s="14"/>
      <c r="S235" s="14"/>
      <c r="T235" s="14"/>
      <c r="U235" s="14"/>
      <c r="V235" s="14"/>
      <c r="W235" s="14"/>
      <c r="X235" s="14"/>
      <c r="Y235" s="14"/>
      <c r="Z235" s="14"/>
      <c r="AA235" s="15"/>
      <c r="AB235" s="3"/>
      <c r="AC235" s="3"/>
      <c r="AD235" s="3"/>
      <c r="AE235" s="3"/>
      <c r="AF235" s="3"/>
      <c r="AG235" s="3"/>
      <c r="AH235" s="3"/>
      <c r="AI235" s="3"/>
      <c r="AJ235" s="3"/>
      <c r="AK235" s="3"/>
      <c r="AL235" s="3"/>
      <c r="AM235" s="3"/>
      <c r="AN235" s="3"/>
      <c r="AO235" s="3"/>
    </row>
    <row r="236" spans="2:41" x14ac:dyDescent="0.25">
      <c r="B236" s="13"/>
      <c r="C236" s="14"/>
      <c r="D236" s="60"/>
      <c r="E236" s="56"/>
      <c r="F236" s="56"/>
      <c r="G236" s="14"/>
      <c r="H236" s="56"/>
      <c r="I236" s="14"/>
      <c r="J236" s="14"/>
      <c r="K236" s="14"/>
      <c r="L236" s="14"/>
      <c r="M236" s="14"/>
      <c r="N236" s="14"/>
      <c r="O236" s="14"/>
      <c r="P236" s="14"/>
      <c r="Q236" s="14"/>
      <c r="R236" s="14"/>
      <c r="S236" s="14"/>
      <c r="T236" s="14"/>
      <c r="U236" s="14"/>
      <c r="V236" s="14"/>
      <c r="W236" s="14"/>
      <c r="X236" s="14"/>
      <c r="Y236" s="14"/>
      <c r="Z236" s="14"/>
      <c r="AA236" s="15"/>
      <c r="AB236" s="3"/>
      <c r="AC236" s="3"/>
      <c r="AD236" s="3"/>
      <c r="AE236" s="3"/>
      <c r="AF236" s="3"/>
      <c r="AG236" s="3"/>
      <c r="AH236" s="3"/>
      <c r="AI236" s="3"/>
      <c r="AJ236" s="3"/>
      <c r="AK236" s="3"/>
      <c r="AL236" s="3"/>
      <c r="AM236" s="3"/>
      <c r="AN236" s="3"/>
      <c r="AO236" s="3"/>
    </row>
    <row r="237" spans="2:41" x14ac:dyDescent="0.25">
      <c r="B237" s="13"/>
      <c r="C237" s="14"/>
      <c r="D237" s="14"/>
      <c r="E237" s="56"/>
      <c r="F237" s="56"/>
      <c r="G237" s="14"/>
      <c r="H237" s="56"/>
      <c r="I237" s="14"/>
      <c r="J237" s="14"/>
      <c r="K237" s="14"/>
      <c r="L237" s="14"/>
      <c r="M237" s="14"/>
      <c r="N237" s="14"/>
      <c r="O237" s="14"/>
      <c r="P237" s="14"/>
      <c r="Q237" s="14"/>
      <c r="R237" s="14"/>
      <c r="S237" s="14"/>
      <c r="T237" s="14"/>
      <c r="U237" s="14"/>
      <c r="V237" s="14"/>
      <c r="W237" s="14"/>
      <c r="X237" s="14"/>
      <c r="Y237" s="14"/>
      <c r="Z237" s="14"/>
      <c r="AA237" s="15"/>
      <c r="AB237" s="3"/>
      <c r="AC237" s="3"/>
      <c r="AD237" s="3"/>
      <c r="AE237" s="3"/>
      <c r="AF237" s="3"/>
      <c r="AG237" s="3"/>
      <c r="AH237" s="3"/>
      <c r="AI237" s="3"/>
      <c r="AJ237" s="3"/>
      <c r="AK237" s="3"/>
      <c r="AL237" s="3"/>
      <c r="AM237" s="3"/>
      <c r="AN237" s="3"/>
      <c r="AO237" s="3"/>
    </row>
    <row r="238" spans="2:41" x14ac:dyDescent="0.25">
      <c r="B238" s="13"/>
      <c r="C238" s="14"/>
      <c r="D238" s="60"/>
      <c r="E238" s="56"/>
      <c r="F238" s="56"/>
      <c r="G238" s="14"/>
      <c r="H238" s="56"/>
      <c r="I238" s="14"/>
      <c r="J238" s="14"/>
      <c r="K238" s="14"/>
      <c r="L238" s="14"/>
      <c r="M238" s="14"/>
      <c r="N238" s="14"/>
      <c r="O238" s="14"/>
      <c r="P238" s="14"/>
      <c r="Q238" s="14"/>
      <c r="R238" s="14"/>
      <c r="S238" s="14"/>
      <c r="T238" s="14"/>
      <c r="U238" s="14"/>
      <c r="V238" s="14"/>
      <c r="W238" s="14"/>
      <c r="X238" s="14"/>
      <c r="Y238" s="14"/>
      <c r="Z238" s="14"/>
      <c r="AA238" s="15"/>
      <c r="AB238" s="3"/>
      <c r="AC238" s="3"/>
      <c r="AD238" s="3"/>
      <c r="AE238" s="3"/>
      <c r="AF238" s="3"/>
      <c r="AG238" s="3"/>
      <c r="AH238" s="3"/>
      <c r="AI238" s="3"/>
      <c r="AJ238" s="3"/>
      <c r="AK238" s="3"/>
      <c r="AL238" s="3"/>
      <c r="AM238" s="3"/>
      <c r="AN238" s="3"/>
      <c r="AO238" s="3"/>
    </row>
    <row r="239" spans="2:41" x14ac:dyDescent="0.25">
      <c r="B239" s="13"/>
      <c r="C239" s="14"/>
      <c r="D239" s="60"/>
      <c r="E239" s="56"/>
      <c r="F239" s="56"/>
      <c r="G239" s="14"/>
      <c r="H239" s="56"/>
      <c r="I239" s="14"/>
      <c r="J239" s="14"/>
      <c r="K239" s="14"/>
      <c r="L239" s="14"/>
      <c r="M239" s="14"/>
      <c r="N239" s="14"/>
      <c r="O239" s="14"/>
      <c r="P239" s="14"/>
      <c r="Q239" s="14"/>
      <c r="R239" s="14"/>
      <c r="S239" s="14"/>
      <c r="T239" s="14"/>
      <c r="U239" s="14"/>
      <c r="V239" s="14"/>
      <c r="W239" s="14"/>
      <c r="X239" s="14"/>
      <c r="Y239" s="14"/>
      <c r="Z239" s="14"/>
      <c r="AA239" s="15"/>
      <c r="AB239" s="3"/>
      <c r="AC239" s="3"/>
      <c r="AD239" s="3"/>
      <c r="AE239" s="3"/>
      <c r="AF239" s="3"/>
      <c r="AG239" s="3"/>
      <c r="AH239" s="3"/>
      <c r="AI239" s="3"/>
      <c r="AJ239" s="3"/>
      <c r="AK239" s="3"/>
      <c r="AL239" s="3"/>
      <c r="AM239" s="3"/>
      <c r="AN239" s="3"/>
      <c r="AO239" s="3"/>
    </row>
    <row r="240" spans="2:41" x14ac:dyDescent="0.25">
      <c r="B240" s="13"/>
      <c r="C240" s="14"/>
      <c r="D240" s="60"/>
      <c r="E240" s="56"/>
      <c r="F240" s="56"/>
      <c r="G240" s="14"/>
      <c r="H240" s="56"/>
      <c r="I240" s="14"/>
      <c r="J240" s="14"/>
      <c r="K240" s="14"/>
      <c r="L240" s="14"/>
      <c r="M240" s="14"/>
      <c r="N240" s="14"/>
      <c r="O240" s="14"/>
      <c r="P240" s="14"/>
      <c r="Q240" s="14"/>
      <c r="R240" s="14"/>
      <c r="S240" s="14"/>
      <c r="T240" s="14"/>
      <c r="U240" s="14"/>
      <c r="V240" s="14"/>
      <c r="W240" s="14"/>
      <c r="X240" s="14"/>
      <c r="Y240" s="14"/>
      <c r="Z240" s="14"/>
      <c r="AA240" s="15"/>
      <c r="AB240" s="3"/>
      <c r="AC240" s="3"/>
      <c r="AD240" s="3"/>
      <c r="AE240" s="3"/>
      <c r="AF240" s="3"/>
      <c r="AG240" s="3"/>
      <c r="AH240" s="3"/>
      <c r="AI240" s="3"/>
      <c r="AJ240" s="3"/>
      <c r="AK240" s="3"/>
      <c r="AL240" s="3"/>
      <c r="AM240" s="3"/>
      <c r="AN240" s="3"/>
      <c r="AO240" s="3"/>
    </row>
    <row r="241" spans="2:41" x14ac:dyDescent="0.25">
      <c r="B241" s="13"/>
      <c r="C241" s="14"/>
      <c r="D241" s="60"/>
      <c r="E241" s="56"/>
      <c r="F241" s="56"/>
      <c r="G241" s="14"/>
      <c r="H241" s="56"/>
      <c r="I241" s="14"/>
      <c r="J241" s="14"/>
      <c r="K241" s="14"/>
      <c r="L241" s="14"/>
      <c r="M241" s="14"/>
      <c r="N241" s="14"/>
      <c r="O241" s="14"/>
      <c r="P241" s="14"/>
      <c r="Q241" s="14"/>
      <c r="R241" s="14"/>
      <c r="S241" s="14"/>
      <c r="T241" s="14"/>
      <c r="U241" s="14"/>
      <c r="V241" s="14"/>
      <c r="W241" s="14"/>
      <c r="X241" s="14"/>
      <c r="Y241" s="14"/>
      <c r="Z241" s="14"/>
      <c r="AA241" s="15"/>
      <c r="AB241" s="3"/>
      <c r="AC241" s="3"/>
      <c r="AD241" s="3"/>
      <c r="AE241" s="3"/>
      <c r="AF241" s="3"/>
      <c r="AG241" s="3"/>
      <c r="AH241" s="3"/>
      <c r="AI241" s="3"/>
      <c r="AJ241" s="3"/>
      <c r="AK241" s="3"/>
      <c r="AL241" s="3"/>
      <c r="AM241" s="3"/>
      <c r="AN241" s="3"/>
      <c r="AO241" s="3"/>
    </row>
    <row r="242" spans="2:41" x14ac:dyDescent="0.25">
      <c r="B242" s="13"/>
      <c r="C242" s="14"/>
      <c r="D242" s="60"/>
      <c r="E242" s="56"/>
      <c r="F242" s="56"/>
      <c r="G242" s="128"/>
      <c r="H242" s="56"/>
      <c r="I242" s="14"/>
      <c r="J242" s="14"/>
      <c r="K242" s="14"/>
      <c r="L242" s="14"/>
      <c r="M242" s="14"/>
      <c r="N242" s="14"/>
      <c r="O242" s="14"/>
      <c r="P242" s="14"/>
      <c r="Q242" s="14"/>
      <c r="R242" s="14"/>
      <c r="S242" s="14"/>
      <c r="T242" s="14"/>
      <c r="U242" s="14"/>
      <c r="V242" s="14"/>
      <c r="W242" s="14"/>
      <c r="X242" s="14"/>
      <c r="Y242" s="14"/>
      <c r="Z242" s="14"/>
      <c r="AA242" s="15"/>
      <c r="AB242" s="3"/>
      <c r="AC242" s="3"/>
      <c r="AD242" s="3"/>
      <c r="AE242" s="3"/>
      <c r="AF242" s="3"/>
      <c r="AG242" s="3"/>
      <c r="AH242" s="3"/>
      <c r="AI242" s="3"/>
      <c r="AJ242" s="3"/>
      <c r="AK242" s="3"/>
      <c r="AL242" s="3"/>
      <c r="AM242" s="3"/>
      <c r="AN242" s="3"/>
      <c r="AO242" s="3"/>
    </row>
    <row r="243" spans="2:41" x14ac:dyDescent="0.25">
      <c r="B243" s="13"/>
      <c r="C243" s="14"/>
      <c r="D243" s="60"/>
      <c r="E243" s="56"/>
      <c r="F243" s="56"/>
      <c r="G243" s="14"/>
      <c r="H243" s="56"/>
      <c r="I243" s="14"/>
      <c r="J243" s="14"/>
      <c r="K243" s="14"/>
      <c r="L243" s="14"/>
      <c r="M243" s="14"/>
      <c r="N243" s="14"/>
      <c r="O243" s="14"/>
      <c r="P243" s="14"/>
      <c r="Q243" s="14"/>
      <c r="R243" s="14"/>
      <c r="S243" s="14"/>
      <c r="T243" s="14"/>
      <c r="U243" s="14"/>
      <c r="V243" s="14"/>
      <c r="W243" s="14"/>
      <c r="X243" s="14"/>
      <c r="Y243" s="14"/>
      <c r="Z243" s="14"/>
      <c r="AA243" s="15"/>
      <c r="AB243" s="3"/>
      <c r="AC243" s="3"/>
      <c r="AD243" s="3"/>
      <c r="AE243" s="3"/>
      <c r="AF243" s="3"/>
      <c r="AG243" s="3"/>
      <c r="AH243" s="3"/>
      <c r="AI243" s="3"/>
      <c r="AJ243" s="3"/>
      <c r="AK243" s="3"/>
      <c r="AL243" s="3"/>
      <c r="AM243" s="3"/>
      <c r="AN243" s="3"/>
      <c r="AO243" s="3"/>
    </row>
    <row r="244" spans="2:41" x14ac:dyDescent="0.25">
      <c r="B244" s="13"/>
      <c r="C244" s="57"/>
      <c r="D244" s="57"/>
      <c r="E244" s="56"/>
      <c r="F244" s="57"/>
      <c r="G244" s="57"/>
      <c r="H244" s="57"/>
      <c r="I244" s="14"/>
      <c r="J244" s="14"/>
      <c r="K244" s="14"/>
      <c r="L244" s="14"/>
      <c r="M244" s="14"/>
      <c r="N244" s="14"/>
      <c r="O244" s="14"/>
      <c r="P244" s="14"/>
      <c r="Q244" s="14"/>
      <c r="R244" s="14"/>
      <c r="S244" s="14"/>
      <c r="T244" s="14"/>
      <c r="U244" s="14"/>
      <c r="V244" s="14"/>
      <c r="W244" s="14"/>
      <c r="X244" s="14"/>
      <c r="Y244" s="14"/>
      <c r="Z244" s="14"/>
      <c r="AA244" s="15"/>
      <c r="AB244" s="3"/>
      <c r="AC244" s="3"/>
      <c r="AD244" s="3"/>
      <c r="AE244" s="3"/>
      <c r="AF244" s="3"/>
      <c r="AG244" s="3"/>
      <c r="AH244" s="3"/>
      <c r="AI244" s="3"/>
      <c r="AJ244" s="3"/>
      <c r="AK244" s="3"/>
      <c r="AL244" s="3"/>
      <c r="AM244" s="3"/>
      <c r="AN244" s="3"/>
      <c r="AO244" s="3"/>
    </row>
    <row r="245" spans="2:41" x14ac:dyDescent="0.25">
      <c r="B245" s="13"/>
      <c r="C245" s="57"/>
      <c r="D245" s="69"/>
      <c r="E245" s="56"/>
      <c r="F245" s="57"/>
      <c r="G245" s="57"/>
      <c r="H245" s="57"/>
      <c r="I245" s="14"/>
      <c r="J245" s="14"/>
      <c r="K245" s="14"/>
      <c r="L245" s="14"/>
      <c r="M245" s="14"/>
      <c r="N245" s="14"/>
      <c r="O245" s="14"/>
      <c r="P245" s="14"/>
      <c r="Q245" s="14"/>
      <c r="R245" s="14"/>
      <c r="S245" s="14"/>
      <c r="T245" s="14"/>
      <c r="U245" s="14"/>
      <c r="V245" s="14"/>
      <c r="W245" s="14"/>
      <c r="X245" s="14"/>
      <c r="Y245" s="14"/>
      <c r="Z245" s="14"/>
      <c r="AA245" s="15"/>
      <c r="AB245" s="3"/>
      <c r="AC245" s="3"/>
      <c r="AD245" s="3"/>
      <c r="AE245" s="3"/>
      <c r="AF245" s="3"/>
      <c r="AG245" s="3"/>
      <c r="AH245" s="3"/>
      <c r="AI245" s="3"/>
      <c r="AJ245" s="3"/>
      <c r="AK245" s="3"/>
      <c r="AL245" s="3"/>
      <c r="AM245" s="3"/>
      <c r="AN245" s="3"/>
      <c r="AO245" s="3"/>
    </row>
    <row r="246" spans="2:41" x14ac:dyDescent="0.25">
      <c r="B246" s="13"/>
      <c r="C246" s="57"/>
      <c r="D246" s="69"/>
      <c r="E246" s="56"/>
      <c r="F246" s="57"/>
      <c r="G246" s="57"/>
      <c r="H246" s="57"/>
      <c r="I246" s="14"/>
      <c r="J246" s="14"/>
      <c r="K246" s="14"/>
      <c r="L246" s="14"/>
      <c r="M246" s="14"/>
      <c r="N246" s="14"/>
      <c r="O246" s="14"/>
      <c r="P246" s="14"/>
      <c r="Q246" s="14"/>
      <c r="R246" s="14"/>
      <c r="S246" s="14"/>
      <c r="T246" s="14"/>
      <c r="U246" s="14"/>
      <c r="V246" s="14"/>
      <c r="W246" s="14"/>
      <c r="X246" s="14"/>
      <c r="Y246" s="14"/>
      <c r="Z246" s="14"/>
      <c r="AA246" s="15"/>
      <c r="AB246" s="3"/>
      <c r="AC246" s="3"/>
      <c r="AD246" s="3"/>
      <c r="AE246" s="3"/>
      <c r="AF246" s="3"/>
      <c r="AG246" s="3"/>
      <c r="AH246" s="3"/>
      <c r="AI246" s="3"/>
      <c r="AJ246" s="3"/>
      <c r="AK246" s="3"/>
      <c r="AL246" s="3"/>
      <c r="AM246" s="3"/>
      <c r="AN246" s="3"/>
      <c r="AO246" s="3"/>
    </row>
    <row r="247" spans="2:41" x14ac:dyDescent="0.25">
      <c r="B247" s="13"/>
      <c r="C247" s="57"/>
      <c r="D247" s="69"/>
      <c r="E247" s="56"/>
      <c r="F247" s="57"/>
      <c r="G247" s="57"/>
      <c r="H247" s="57"/>
      <c r="I247" s="14"/>
      <c r="J247" s="14"/>
      <c r="K247" s="14"/>
      <c r="L247" s="14"/>
      <c r="M247" s="14"/>
      <c r="N247" s="14"/>
      <c r="O247" s="14"/>
      <c r="P247" s="14"/>
      <c r="Q247" s="14"/>
      <c r="R247" s="14"/>
      <c r="S247" s="14"/>
      <c r="T247" s="14"/>
      <c r="U247" s="14"/>
      <c r="V247" s="14"/>
      <c r="W247" s="14"/>
      <c r="X247" s="14"/>
      <c r="Y247" s="14"/>
      <c r="Z247" s="14"/>
      <c r="AA247" s="15"/>
      <c r="AB247" s="3"/>
      <c r="AC247" s="3"/>
      <c r="AD247" s="3"/>
      <c r="AE247" s="3"/>
      <c r="AF247" s="3"/>
      <c r="AG247" s="3"/>
      <c r="AH247" s="3"/>
      <c r="AI247" s="3"/>
      <c r="AJ247" s="3"/>
      <c r="AK247" s="3"/>
      <c r="AL247" s="3"/>
      <c r="AM247" s="3"/>
      <c r="AN247" s="3"/>
      <c r="AO247" s="3"/>
    </row>
    <row r="248" spans="2:41" x14ac:dyDescent="0.25">
      <c r="B248" s="13"/>
      <c r="C248" s="57"/>
      <c r="D248" s="69"/>
      <c r="E248" s="56"/>
      <c r="F248" s="57"/>
      <c r="G248" s="57"/>
      <c r="H248" s="57"/>
      <c r="I248" s="14"/>
      <c r="J248" s="14"/>
      <c r="K248" s="14"/>
      <c r="L248" s="14"/>
      <c r="M248" s="14"/>
      <c r="N248" s="14"/>
      <c r="O248" s="14"/>
      <c r="P248" s="14"/>
      <c r="Q248" s="14"/>
      <c r="R248" s="14"/>
      <c r="S248" s="14"/>
      <c r="T248" s="14"/>
      <c r="U248" s="14"/>
      <c r="V248" s="14"/>
      <c r="W248" s="14"/>
      <c r="X248" s="14"/>
      <c r="Y248" s="14"/>
      <c r="Z248" s="14"/>
      <c r="AA248" s="15"/>
      <c r="AB248" s="3"/>
      <c r="AC248" s="3"/>
      <c r="AD248" s="3"/>
      <c r="AE248" s="3"/>
      <c r="AF248" s="3"/>
      <c r="AG248" s="3"/>
      <c r="AH248" s="3"/>
      <c r="AI248" s="3"/>
      <c r="AJ248" s="3"/>
      <c r="AK248" s="3"/>
      <c r="AL248" s="3"/>
      <c r="AM248" s="3"/>
      <c r="AN248" s="3"/>
      <c r="AO248" s="3"/>
    </row>
    <row r="249" spans="2:41" x14ac:dyDescent="0.25">
      <c r="B249" s="13"/>
      <c r="C249" s="57"/>
      <c r="D249" s="69"/>
      <c r="E249" s="56"/>
      <c r="F249" s="57"/>
      <c r="G249" s="130"/>
      <c r="H249" s="57"/>
      <c r="I249" s="14"/>
      <c r="J249" s="14"/>
      <c r="K249" s="14"/>
      <c r="L249" s="14"/>
      <c r="M249" s="14"/>
      <c r="N249" s="14"/>
      <c r="O249" s="14"/>
      <c r="P249" s="14"/>
      <c r="Q249" s="14"/>
      <c r="R249" s="14"/>
      <c r="S249" s="14"/>
      <c r="T249" s="14"/>
      <c r="U249" s="14"/>
      <c r="V249" s="14"/>
      <c r="W249" s="14"/>
      <c r="X249" s="14"/>
      <c r="Y249" s="14"/>
      <c r="Z249" s="14"/>
      <c r="AA249" s="15"/>
      <c r="AB249" s="3"/>
      <c r="AC249" s="3"/>
      <c r="AD249" s="3"/>
      <c r="AE249" s="3"/>
      <c r="AF249" s="3"/>
      <c r="AG249" s="3"/>
      <c r="AH249" s="3"/>
      <c r="AI249" s="3"/>
      <c r="AJ249" s="3"/>
      <c r="AK249" s="3"/>
      <c r="AL249" s="3"/>
      <c r="AM249" s="3"/>
      <c r="AN249" s="3"/>
      <c r="AO249" s="3"/>
    </row>
    <row r="250" spans="2:41" x14ac:dyDescent="0.25">
      <c r="B250" s="13"/>
      <c r="C250" s="14"/>
      <c r="D250" s="60"/>
      <c r="E250" s="56"/>
      <c r="F250" s="56"/>
      <c r="G250" s="14"/>
      <c r="H250" s="56"/>
      <c r="I250" s="14"/>
      <c r="J250" s="14"/>
      <c r="K250" s="14"/>
      <c r="L250" s="14"/>
      <c r="M250" s="14"/>
      <c r="N250" s="14"/>
      <c r="O250" s="14"/>
      <c r="P250" s="14"/>
      <c r="Q250" s="14"/>
      <c r="R250" s="14"/>
      <c r="S250" s="14"/>
      <c r="T250" s="14"/>
      <c r="U250" s="14"/>
      <c r="V250" s="14"/>
      <c r="W250" s="14"/>
      <c r="X250" s="14"/>
      <c r="Y250" s="14"/>
      <c r="Z250" s="14"/>
      <c r="AA250" s="15"/>
      <c r="AB250" s="3"/>
      <c r="AC250" s="3"/>
      <c r="AD250" s="3"/>
      <c r="AE250" s="3"/>
      <c r="AF250" s="3"/>
      <c r="AG250" s="3"/>
      <c r="AH250" s="3"/>
      <c r="AI250" s="3"/>
      <c r="AJ250" s="3"/>
      <c r="AK250" s="3"/>
      <c r="AL250" s="3"/>
      <c r="AM250" s="3"/>
      <c r="AN250" s="3"/>
      <c r="AO250" s="3"/>
    </row>
    <row r="251" spans="2:41" x14ac:dyDescent="0.25">
      <c r="B251" s="13"/>
      <c r="C251" s="14"/>
      <c r="D251" s="14"/>
      <c r="E251" s="56"/>
      <c r="F251" s="56"/>
      <c r="G251" s="14"/>
      <c r="H251" s="56"/>
      <c r="I251" s="14"/>
      <c r="J251" s="14"/>
      <c r="K251" s="14"/>
      <c r="L251" s="14"/>
      <c r="M251" s="14"/>
      <c r="N251" s="14"/>
      <c r="O251" s="14"/>
      <c r="P251" s="14"/>
      <c r="Q251" s="14"/>
      <c r="R251" s="14"/>
      <c r="S251" s="14"/>
      <c r="T251" s="14"/>
      <c r="U251" s="14"/>
      <c r="V251" s="14"/>
      <c r="W251" s="14"/>
      <c r="X251" s="14"/>
      <c r="Y251" s="14"/>
      <c r="Z251" s="14"/>
      <c r="AA251" s="15"/>
      <c r="AB251" s="3"/>
      <c r="AC251" s="3"/>
      <c r="AD251" s="3"/>
      <c r="AE251" s="3"/>
      <c r="AF251" s="3"/>
      <c r="AG251" s="3"/>
      <c r="AH251" s="3"/>
      <c r="AI251" s="3"/>
      <c r="AJ251" s="3"/>
      <c r="AK251" s="3"/>
      <c r="AL251" s="3"/>
      <c r="AM251" s="3"/>
      <c r="AN251" s="3"/>
      <c r="AO251" s="3"/>
    </row>
    <row r="252" spans="2:41" x14ac:dyDescent="0.25">
      <c r="B252" s="13"/>
      <c r="C252" s="14"/>
      <c r="D252" s="60"/>
      <c r="E252" s="56"/>
      <c r="F252" s="56"/>
      <c r="G252" s="14"/>
      <c r="H252" s="56"/>
      <c r="I252" s="14"/>
      <c r="J252" s="14"/>
      <c r="K252" s="14"/>
      <c r="L252" s="14"/>
      <c r="M252" s="14"/>
      <c r="N252" s="14"/>
      <c r="O252" s="14"/>
      <c r="P252" s="14"/>
      <c r="Q252" s="14"/>
      <c r="R252" s="14"/>
      <c r="S252" s="14"/>
      <c r="T252" s="14"/>
      <c r="U252" s="14"/>
      <c r="V252" s="14"/>
      <c r="W252" s="14"/>
      <c r="X252" s="14"/>
      <c r="Y252" s="14"/>
      <c r="Z252" s="14"/>
      <c r="AA252" s="15"/>
      <c r="AB252" s="3"/>
      <c r="AC252" s="3"/>
      <c r="AD252" s="3"/>
      <c r="AE252" s="3"/>
      <c r="AF252" s="3"/>
      <c r="AG252" s="3"/>
      <c r="AH252" s="3"/>
      <c r="AI252" s="3"/>
      <c r="AJ252" s="3"/>
      <c r="AK252" s="3"/>
      <c r="AL252" s="3"/>
      <c r="AM252" s="3"/>
      <c r="AN252" s="3"/>
      <c r="AO252" s="3"/>
    </row>
    <row r="253" spans="2:41" x14ac:dyDescent="0.25">
      <c r="B253" s="13"/>
      <c r="C253" s="14"/>
      <c r="D253" s="60"/>
      <c r="E253" s="56"/>
      <c r="F253" s="56"/>
      <c r="G253" s="14"/>
      <c r="H253" s="56"/>
      <c r="I253" s="14"/>
      <c r="J253" s="14"/>
      <c r="K253" s="14"/>
      <c r="L253" s="14"/>
      <c r="M253" s="14"/>
      <c r="N253" s="14"/>
      <c r="O253" s="14"/>
      <c r="P253" s="14"/>
      <c r="Q253" s="14"/>
      <c r="R253" s="14"/>
      <c r="S253" s="14"/>
      <c r="T253" s="14"/>
      <c r="U253" s="14"/>
      <c r="V253" s="14"/>
      <c r="W253" s="14"/>
      <c r="X253" s="14"/>
      <c r="Y253" s="14"/>
      <c r="Z253" s="14"/>
      <c r="AA253" s="15"/>
      <c r="AB253" s="3"/>
      <c r="AC253" s="3"/>
      <c r="AD253" s="3"/>
      <c r="AE253" s="3"/>
      <c r="AF253" s="3"/>
      <c r="AG253" s="3"/>
      <c r="AH253" s="3"/>
      <c r="AI253" s="3"/>
      <c r="AJ253" s="3"/>
      <c r="AK253" s="3"/>
      <c r="AL253" s="3"/>
      <c r="AM253" s="3"/>
      <c r="AN253" s="3"/>
      <c r="AO253" s="3"/>
    </row>
    <row r="254" spans="2:41" x14ac:dyDescent="0.25">
      <c r="B254" s="13"/>
      <c r="C254" s="14"/>
      <c r="D254" s="60"/>
      <c r="E254" s="56"/>
      <c r="F254" s="56"/>
      <c r="G254" s="14"/>
      <c r="H254" s="56"/>
      <c r="I254" s="14"/>
      <c r="J254" s="14"/>
      <c r="K254" s="14"/>
      <c r="L254" s="14"/>
      <c r="M254" s="14"/>
      <c r="N254" s="14"/>
      <c r="O254" s="14"/>
      <c r="P254" s="14"/>
      <c r="Q254" s="14"/>
      <c r="R254" s="14"/>
      <c r="S254" s="14"/>
      <c r="T254" s="14"/>
      <c r="U254" s="14"/>
      <c r="V254" s="14"/>
      <c r="W254" s="14"/>
      <c r="X254" s="14"/>
      <c r="Y254" s="14"/>
      <c r="Z254" s="14"/>
      <c r="AA254" s="15"/>
      <c r="AB254" s="3"/>
      <c r="AC254" s="3"/>
      <c r="AD254" s="3"/>
      <c r="AE254" s="3"/>
      <c r="AF254" s="3"/>
      <c r="AG254" s="3"/>
      <c r="AH254" s="3"/>
      <c r="AI254" s="3"/>
      <c r="AJ254" s="3"/>
      <c r="AK254" s="3"/>
      <c r="AL254" s="3"/>
      <c r="AM254" s="3"/>
      <c r="AN254" s="3"/>
      <c r="AO254" s="3"/>
    </row>
    <row r="255" spans="2:41" x14ac:dyDescent="0.25">
      <c r="B255" s="13"/>
      <c r="C255" s="14"/>
      <c r="D255" s="60"/>
      <c r="E255" s="56"/>
      <c r="F255" s="56"/>
      <c r="G255" s="14"/>
      <c r="H255" s="56"/>
      <c r="I255" s="14"/>
      <c r="J255" s="14"/>
      <c r="K255" s="14"/>
      <c r="L255" s="14"/>
      <c r="M255" s="14"/>
      <c r="N255" s="14"/>
      <c r="O255" s="14"/>
      <c r="P255" s="14"/>
      <c r="Q255" s="14"/>
      <c r="R255" s="14"/>
      <c r="S255" s="14"/>
      <c r="T255" s="14"/>
      <c r="U255" s="14"/>
      <c r="V255" s="14"/>
      <c r="W255" s="14"/>
      <c r="X255" s="14"/>
      <c r="Y255" s="14"/>
      <c r="Z255" s="14"/>
      <c r="AA255" s="15"/>
      <c r="AB255" s="3"/>
      <c r="AC255" s="3"/>
      <c r="AD255" s="3"/>
      <c r="AE255" s="3"/>
      <c r="AF255" s="3"/>
      <c r="AG255" s="3"/>
      <c r="AH255" s="3"/>
      <c r="AI255" s="3"/>
      <c r="AJ255" s="3"/>
      <c r="AK255" s="3"/>
      <c r="AL255" s="3"/>
      <c r="AM255" s="3"/>
      <c r="AN255" s="3"/>
      <c r="AO255" s="3"/>
    </row>
    <row r="256" spans="2:41" x14ac:dyDescent="0.25">
      <c r="B256" s="13"/>
      <c r="C256" s="14"/>
      <c r="D256" s="60"/>
      <c r="E256" s="56"/>
      <c r="F256" s="56"/>
      <c r="G256" s="128"/>
      <c r="H256" s="56"/>
      <c r="I256" s="14"/>
      <c r="J256" s="14"/>
      <c r="K256" s="14"/>
      <c r="L256" s="14"/>
      <c r="M256" s="14"/>
      <c r="N256" s="14"/>
      <c r="O256" s="14"/>
      <c r="P256" s="14"/>
      <c r="Q256" s="14"/>
      <c r="R256" s="14"/>
      <c r="S256" s="14"/>
      <c r="T256" s="14"/>
      <c r="U256" s="14"/>
      <c r="V256" s="14"/>
      <c r="W256" s="14"/>
      <c r="X256" s="14"/>
      <c r="Y256" s="14"/>
      <c r="Z256" s="14"/>
      <c r="AA256" s="15"/>
      <c r="AB256" s="3"/>
      <c r="AC256" s="3"/>
      <c r="AD256" s="3"/>
      <c r="AE256" s="3"/>
      <c r="AF256" s="3"/>
      <c r="AG256" s="3"/>
      <c r="AH256" s="3"/>
      <c r="AI256" s="3"/>
      <c r="AJ256" s="3"/>
      <c r="AK256" s="3"/>
      <c r="AL256" s="3"/>
      <c r="AM256" s="3"/>
      <c r="AN256" s="3"/>
      <c r="AO256" s="3"/>
    </row>
    <row r="257" spans="2:41" x14ac:dyDescent="0.25">
      <c r="B257" s="13"/>
      <c r="C257" s="14"/>
      <c r="D257" s="60"/>
      <c r="E257" s="56"/>
      <c r="F257" s="56"/>
      <c r="G257" s="14"/>
      <c r="H257" s="56"/>
      <c r="I257" s="14"/>
      <c r="J257" s="14"/>
      <c r="K257" s="14"/>
      <c r="L257" s="14"/>
      <c r="M257" s="14"/>
      <c r="N257" s="14"/>
      <c r="O257" s="14"/>
      <c r="P257" s="14"/>
      <c r="Q257" s="14"/>
      <c r="R257" s="14"/>
      <c r="S257" s="14"/>
      <c r="T257" s="14"/>
      <c r="U257" s="14"/>
      <c r="V257" s="14"/>
      <c r="W257" s="14"/>
      <c r="X257" s="14"/>
      <c r="Y257" s="14"/>
      <c r="Z257" s="14"/>
      <c r="AA257" s="15"/>
      <c r="AB257" s="3"/>
      <c r="AC257" s="3"/>
      <c r="AD257" s="3"/>
      <c r="AE257" s="3"/>
      <c r="AF257" s="3"/>
      <c r="AG257" s="3"/>
      <c r="AH257" s="3"/>
      <c r="AI257" s="3"/>
      <c r="AJ257" s="3"/>
      <c r="AK257" s="3"/>
      <c r="AL257" s="3"/>
      <c r="AM257" s="3"/>
      <c r="AN257" s="3"/>
      <c r="AO257" s="3"/>
    </row>
    <row r="258" spans="2:41" x14ac:dyDescent="0.25">
      <c r="B258" s="13"/>
      <c r="C258" s="14"/>
      <c r="D258" s="14"/>
      <c r="E258" s="56"/>
      <c r="F258" s="56"/>
      <c r="G258" s="14"/>
      <c r="H258" s="56"/>
      <c r="I258" s="14"/>
      <c r="J258" s="14"/>
      <c r="K258" s="14"/>
      <c r="L258" s="14"/>
      <c r="M258" s="14"/>
      <c r="N258" s="14"/>
      <c r="O258" s="14"/>
      <c r="P258" s="14"/>
      <c r="Q258" s="14"/>
      <c r="R258" s="14"/>
      <c r="S258" s="14"/>
      <c r="T258" s="14"/>
      <c r="U258" s="14"/>
      <c r="V258" s="14"/>
      <c r="W258" s="14"/>
      <c r="X258" s="14"/>
      <c r="Y258" s="14"/>
      <c r="Z258" s="14"/>
      <c r="AA258" s="15"/>
      <c r="AB258" s="3"/>
      <c r="AC258" s="3"/>
      <c r="AD258" s="3"/>
      <c r="AE258" s="3"/>
      <c r="AF258" s="3"/>
      <c r="AG258" s="3"/>
      <c r="AH258" s="3"/>
      <c r="AI258" s="3"/>
      <c r="AJ258" s="3"/>
      <c r="AK258" s="3"/>
      <c r="AL258" s="3"/>
      <c r="AM258" s="3"/>
      <c r="AN258" s="3"/>
      <c r="AO258" s="3"/>
    </row>
    <row r="259" spans="2:41" x14ac:dyDescent="0.25">
      <c r="B259" s="13"/>
      <c r="C259" s="14"/>
      <c r="D259" s="60"/>
      <c r="E259" s="56"/>
      <c r="F259" s="56"/>
      <c r="G259" s="14"/>
      <c r="H259" s="56"/>
      <c r="I259" s="14"/>
      <c r="J259" s="14"/>
      <c r="K259" s="14"/>
      <c r="L259" s="14"/>
      <c r="M259" s="14"/>
      <c r="N259" s="14"/>
      <c r="O259" s="14"/>
      <c r="P259" s="14"/>
      <c r="Q259" s="14"/>
      <c r="R259" s="14"/>
      <c r="S259" s="14"/>
      <c r="T259" s="14"/>
      <c r="U259" s="14"/>
      <c r="V259" s="14"/>
      <c r="W259" s="14"/>
      <c r="X259" s="14"/>
      <c r="Y259" s="14"/>
      <c r="Z259" s="14"/>
      <c r="AA259" s="15"/>
      <c r="AB259" s="3"/>
      <c r="AC259" s="3"/>
      <c r="AD259" s="3"/>
      <c r="AE259" s="3"/>
      <c r="AF259" s="3"/>
      <c r="AG259" s="3"/>
      <c r="AH259" s="3"/>
      <c r="AI259" s="3"/>
      <c r="AJ259" s="3"/>
      <c r="AK259" s="3"/>
      <c r="AL259" s="3"/>
      <c r="AM259" s="3"/>
      <c r="AN259" s="3"/>
      <c r="AO259" s="3"/>
    </row>
    <row r="260" spans="2:41" x14ac:dyDescent="0.25">
      <c r="B260" s="13"/>
      <c r="C260" s="14"/>
      <c r="D260" s="60"/>
      <c r="E260" s="56"/>
      <c r="F260" s="56"/>
      <c r="G260" s="14"/>
      <c r="H260" s="56"/>
      <c r="I260" s="14"/>
      <c r="J260" s="14"/>
      <c r="K260" s="14"/>
      <c r="L260" s="14"/>
      <c r="M260" s="14"/>
      <c r="N260" s="14"/>
      <c r="O260" s="14"/>
      <c r="P260" s="14"/>
      <c r="Q260" s="14"/>
      <c r="R260" s="14"/>
      <c r="S260" s="14"/>
      <c r="T260" s="14"/>
      <c r="U260" s="14"/>
      <c r="V260" s="14"/>
      <c r="W260" s="14"/>
      <c r="X260" s="14"/>
      <c r="Y260" s="14"/>
      <c r="Z260" s="14"/>
      <c r="AA260" s="15"/>
      <c r="AB260" s="3"/>
      <c r="AC260" s="3"/>
      <c r="AD260" s="3"/>
      <c r="AE260" s="3"/>
      <c r="AF260" s="3"/>
      <c r="AG260" s="3"/>
      <c r="AH260" s="3"/>
      <c r="AI260" s="3"/>
      <c r="AJ260" s="3"/>
      <c r="AK260" s="3"/>
      <c r="AL260" s="3"/>
      <c r="AM260" s="3"/>
      <c r="AN260" s="3"/>
      <c r="AO260" s="3"/>
    </row>
    <row r="261" spans="2:41" x14ac:dyDescent="0.25">
      <c r="B261" s="13"/>
      <c r="C261" s="14"/>
      <c r="D261" s="60"/>
      <c r="E261" s="56"/>
      <c r="F261" s="56"/>
      <c r="G261" s="14"/>
      <c r="H261" s="56"/>
      <c r="I261" s="14"/>
      <c r="J261" s="14"/>
      <c r="K261" s="14"/>
      <c r="L261" s="14"/>
      <c r="M261" s="14"/>
      <c r="N261" s="14"/>
      <c r="O261" s="14"/>
      <c r="P261" s="14"/>
      <c r="Q261" s="14"/>
      <c r="R261" s="14"/>
      <c r="S261" s="14"/>
      <c r="T261" s="14"/>
      <c r="U261" s="14"/>
      <c r="V261" s="14"/>
      <c r="W261" s="14"/>
      <c r="X261" s="14"/>
      <c r="Y261" s="14"/>
      <c r="Z261" s="14"/>
      <c r="AA261" s="15"/>
      <c r="AB261" s="3"/>
      <c r="AC261" s="3"/>
      <c r="AD261" s="3"/>
      <c r="AE261" s="3"/>
      <c r="AF261" s="3"/>
      <c r="AG261" s="3"/>
      <c r="AH261" s="3"/>
      <c r="AI261" s="3"/>
      <c r="AJ261" s="3"/>
      <c r="AK261" s="3"/>
      <c r="AL261" s="3"/>
      <c r="AM261" s="3"/>
      <c r="AN261" s="3"/>
      <c r="AO261" s="3"/>
    </row>
    <row r="262" spans="2:41" x14ac:dyDescent="0.25">
      <c r="B262" s="13"/>
      <c r="C262" s="14"/>
      <c r="D262" s="60"/>
      <c r="E262" s="56"/>
      <c r="F262" s="56"/>
      <c r="G262" s="14"/>
      <c r="H262" s="56"/>
      <c r="I262" s="14"/>
      <c r="J262" s="14"/>
      <c r="K262" s="14"/>
      <c r="L262" s="14"/>
      <c r="M262" s="14"/>
      <c r="N262" s="14"/>
      <c r="O262" s="14"/>
      <c r="P262" s="14"/>
      <c r="Q262" s="14"/>
      <c r="R262" s="14"/>
      <c r="S262" s="14"/>
      <c r="T262" s="14"/>
      <c r="U262" s="14"/>
      <c r="V262" s="14"/>
      <c r="W262" s="14"/>
      <c r="X262" s="14"/>
      <c r="Y262" s="14"/>
      <c r="Z262" s="14"/>
      <c r="AA262" s="15"/>
      <c r="AB262" s="3"/>
      <c r="AC262" s="3"/>
      <c r="AD262" s="3"/>
      <c r="AE262" s="3"/>
      <c r="AF262" s="3"/>
      <c r="AG262" s="3"/>
      <c r="AH262" s="3"/>
      <c r="AI262" s="3"/>
      <c r="AJ262" s="3"/>
      <c r="AK262" s="3"/>
      <c r="AL262" s="3"/>
      <c r="AM262" s="3"/>
      <c r="AN262" s="3"/>
      <c r="AO262" s="3"/>
    </row>
    <row r="263" spans="2:41" x14ac:dyDescent="0.25">
      <c r="B263" s="13"/>
      <c r="C263" s="14"/>
      <c r="D263" s="60"/>
      <c r="E263" s="56"/>
      <c r="F263" s="56"/>
      <c r="G263" s="128"/>
      <c r="H263" s="56"/>
      <c r="I263" s="14"/>
      <c r="J263" s="14"/>
      <c r="K263" s="14"/>
      <c r="L263" s="14"/>
      <c r="M263" s="14"/>
      <c r="N263" s="14"/>
      <c r="O263" s="14"/>
      <c r="P263" s="14"/>
      <c r="Q263" s="14"/>
      <c r="R263" s="14"/>
      <c r="S263" s="14"/>
      <c r="T263" s="14"/>
      <c r="U263" s="14"/>
      <c r="V263" s="14"/>
      <c r="W263" s="14"/>
      <c r="X263" s="14"/>
      <c r="Y263" s="14"/>
      <c r="Z263" s="14"/>
      <c r="AA263" s="15"/>
      <c r="AB263" s="3"/>
      <c r="AC263" s="3"/>
      <c r="AD263" s="3"/>
      <c r="AE263" s="3"/>
      <c r="AF263" s="3"/>
      <c r="AG263" s="3"/>
      <c r="AH263" s="3"/>
      <c r="AI263" s="3"/>
      <c r="AJ263" s="3"/>
      <c r="AK263" s="3"/>
      <c r="AL263" s="3"/>
      <c r="AM263" s="3"/>
      <c r="AN263" s="3"/>
      <c r="AO263" s="3"/>
    </row>
    <row r="264" spans="2:41" x14ac:dyDescent="0.25">
      <c r="B264" s="13"/>
      <c r="C264" s="14"/>
      <c r="D264" s="60"/>
      <c r="E264" s="56"/>
      <c r="F264" s="56"/>
      <c r="G264" s="14"/>
      <c r="H264" s="56"/>
      <c r="I264" s="14"/>
      <c r="J264" s="14"/>
      <c r="K264" s="14"/>
      <c r="L264" s="14"/>
      <c r="M264" s="14"/>
      <c r="N264" s="14"/>
      <c r="O264" s="14"/>
      <c r="P264" s="14"/>
      <c r="Q264" s="14"/>
      <c r="R264" s="14"/>
      <c r="S264" s="14"/>
      <c r="T264" s="14"/>
      <c r="U264" s="14"/>
      <c r="V264" s="14"/>
      <c r="W264" s="14"/>
      <c r="X264" s="14"/>
      <c r="Y264" s="14"/>
      <c r="Z264" s="14"/>
      <c r="AA264" s="15"/>
      <c r="AB264" s="3"/>
      <c r="AC264" s="3"/>
      <c r="AD264" s="3"/>
      <c r="AE264" s="3"/>
      <c r="AF264" s="3"/>
      <c r="AG264" s="3"/>
      <c r="AH264" s="3"/>
      <c r="AI264" s="3"/>
      <c r="AJ264" s="3"/>
      <c r="AK264" s="3"/>
      <c r="AL264" s="3"/>
      <c r="AM264" s="3"/>
      <c r="AN264" s="3"/>
      <c r="AO264" s="3"/>
    </row>
    <row r="265" spans="2:41" x14ac:dyDescent="0.25">
      <c r="B265" s="13"/>
      <c r="C265" s="14"/>
      <c r="D265" s="14"/>
      <c r="E265" s="56"/>
      <c r="F265" s="56"/>
      <c r="G265" s="14"/>
      <c r="H265" s="56"/>
      <c r="I265" s="14"/>
      <c r="J265" s="14"/>
      <c r="K265" s="14"/>
      <c r="L265" s="14"/>
      <c r="M265" s="14"/>
      <c r="N265" s="14"/>
      <c r="O265" s="14"/>
      <c r="P265" s="14"/>
      <c r="Q265" s="14"/>
      <c r="R265" s="14"/>
      <c r="S265" s="14"/>
      <c r="T265" s="14"/>
      <c r="U265" s="14"/>
      <c r="V265" s="14"/>
      <c r="W265" s="14"/>
      <c r="X265" s="14"/>
      <c r="Y265" s="14"/>
      <c r="Z265" s="14"/>
      <c r="AA265" s="15"/>
      <c r="AB265" s="3"/>
      <c r="AC265" s="3"/>
      <c r="AD265" s="3"/>
      <c r="AE265" s="3"/>
      <c r="AF265" s="3"/>
      <c r="AG265" s="3"/>
      <c r="AH265" s="3"/>
      <c r="AI265" s="3"/>
      <c r="AJ265" s="3"/>
      <c r="AK265" s="3"/>
      <c r="AL265" s="3"/>
      <c r="AM265" s="3"/>
      <c r="AN265" s="3"/>
      <c r="AO265" s="3"/>
    </row>
    <row r="266" spans="2:41" x14ac:dyDescent="0.25">
      <c r="B266" s="13"/>
      <c r="C266" s="14"/>
      <c r="D266" s="60"/>
      <c r="E266" s="56"/>
      <c r="F266" s="56"/>
      <c r="G266" s="14"/>
      <c r="H266" s="56"/>
      <c r="I266" s="14"/>
      <c r="J266" s="14"/>
      <c r="K266" s="14"/>
      <c r="L266" s="14"/>
      <c r="M266" s="14"/>
      <c r="N266" s="14"/>
      <c r="O266" s="14"/>
      <c r="P266" s="14"/>
      <c r="Q266" s="14"/>
      <c r="R266" s="14"/>
      <c r="S266" s="14"/>
      <c r="T266" s="14"/>
      <c r="U266" s="14"/>
      <c r="V266" s="14"/>
      <c r="W266" s="14"/>
      <c r="X266" s="14"/>
      <c r="Y266" s="14"/>
      <c r="Z266" s="14"/>
      <c r="AA266" s="15"/>
      <c r="AB266" s="3"/>
      <c r="AC266" s="3"/>
      <c r="AD266" s="3"/>
      <c r="AE266" s="3"/>
      <c r="AF266" s="3"/>
      <c r="AG266" s="3"/>
      <c r="AH266" s="3"/>
      <c r="AI266" s="3"/>
      <c r="AJ266" s="3"/>
      <c r="AK266" s="3"/>
      <c r="AL266" s="3"/>
      <c r="AM266" s="3"/>
      <c r="AN266" s="3"/>
      <c r="AO266" s="3"/>
    </row>
    <row r="267" spans="2:41" x14ac:dyDescent="0.25">
      <c r="B267" s="13"/>
      <c r="C267" s="14"/>
      <c r="D267" s="60"/>
      <c r="E267" s="56"/>
      <c r="F267" s="56"/>
      <c r="G267" s="14"/>
      <c r="H267" s="56"/>
      <c r="I267" s="14"/>
      <c r="J267" s="14"/>
      <c r="K267" s="14"/>
      <c r="L267" s="14"/>
      <c r="M267" s="14"/>
      <c r="N267" s="14"/>
      <c r="O267" s="14"/>
      <c r="P267" s="14"/>
      <c r="Q267" s="14"/>
      <c r="R267" s="14"/>
      <c r="S267" s="14"/>
      <c r="T267" s="14"/>
      <c r="U267" s="14"/>
      <c r="V267" s="14"/>
      <c r="W267" s="14"/>
      <c r="X267" s="14"/>
      <c r="Y267" s="14"/>
      <c r="Z267" s="14"/>
      <c r="AA267" s="15"/>
      <c r="AB267" s="3"/>
      <c r="AC267" s="3"/>
      <c r="AD267" s="3"/>
      <c r="AE267" s="3"/>
      <c r="AF267" s="3"/>
      <c r="AG267" s="3"/>
      <c r="AH267" s="3"/>
      <c r="AI267" s="3"/>
      <c r="AJ267" s="3"/>
      <c r="AK267" s="3"/>
      <c r="AL267" s="3"/>
      <c r="AM267" s="3"/>
      <c r="AN267" s="3"/>
      <c r="AO267" s="3"/>
    </row>
    <row r="268" spans="2:41" x14ac:dyDescent="0.25">
      <c r="B268" s="13"/>
      <c r="C268" s="14"/>
      <c r="D268" s="60"/>
      <c r="E268" s="56"/>
      <c r="F268" s="56"/>
      <c r="G268" s="14"/>
      <c r="H268" s="56"/>
      <c r="I268" s="14"/>
      <c r="J268" s="14"/>
      <c r="K268" s="14"/>
      <c r="L268" s="14"/>
      <c r="M268" s="14"/>
      <c r="N268" s="14"/>
      <c r="O268" s="14"/>
      <c r="P268" s="14"/>
      <c r="Q268" s="14"/>
      <c r="R268" s="14"/>
      <c r="S268" s="14"/>
      <c r="T268" s="14"/>
      <c r="U268" s="14"/>
      <c r="V268" s="14"/>
      <c r="W268" s="14"/>
      <c r="X268" s="14"/>
      <c r="Y268" s="14"/>
      <c r="Z268" s="14"/>
      <c r="AA268" s="15"/>
      <c r="AB268" s="3"/>
      <c r="AC268" s="3"/>
      <c r="AD268" s="3"/>
      <c r="AE268" s="3"/>
      <c r="AF268" s="3"/>
      <c r="AG268" s="3"/>
      <c r="AH268" s="3"/>
      <c r="AI268" s="3"/>
      <c r="AJ268" s="3"/>
      <c r="AK268" s="3"/>
      <c r="AL268" s="3"/>
      <c r="AM268" s="3"/>
      <c r="AN268" s="3"/>
      <c r="AO268" s="3"/>
    </row>
    <row r="269" spans="2:41" x14ac:dyDescent="0.25">
      <c r="B269" s="13"/>
      <c r="C269" s="14"/>
      <c r="D269" s="60"/>
      <c r="E269" s="56"/>
      <c r="F269" s="56"/>
      <c r="G269" s="14"/>
      <c r="H269" s="56"/>
      <c r="I269" s="14"/>
      <c r="J269" s="14"/>
      <c r="K269" s="14"/>
      <c r="L269" s="14"/>
      <c r="M269" s="14"/>
      <c r="N269" s="14"/>
      <c r="O269" s="14"/>
      <c r="P269" s="14"/>
      <c r="Q269" s="14"/>
      <c r="R269" s="14"/>
      <c r="S269" s="14"/>
      <c r="T269" s="14"/>
      <c r="U269" s="14"/>
      <c r="V269" s="14"/>
      <c r="W269" s="14"/>
      <c r="X269" s="14"/>
      <c r="Y269" s="14"/>
      <c r="Z269" s="14"/>
      <c r="AA269" s="15"/>
      <c r="AB269" s="3"/>
      <c r="AC269" s="3"/>
      <c r="AD269" s="3"/>
      <c r="AE269" s="3"/>
      <c r="AF269" s="3"/>
      <c r="AG269" s="3"/>
      <c r="AH269" s="3"/>
      <c r="AI269" s="3"/>
      <c r="AJ269" s="3"/>
      <c r="AK269" s="3"/>
      <c r="AL269" s="3"/>
      <c r="AM269" s="3"/>
      <c r="AN269" s="3"/>
      <c r="AO269" s="3"/>
    </row>
    <row r="270" spans="2:41" x14ac:dyDescent="0.25">
      <c r="B270" s="13"/>
      <c r="C270" s="14"/>
      <c r="D270" s="60"/>
      <c r="E270" s="56"/>
      <c r="F270" s="56"/>
      <c r="G270" s="128"/>
      <c r="H270" s="56"/>
      <c r="I270" s="14"/>
      <c r="J270" s="14"/>
      <c r="K270" s="14"/>
      <c r="L270" s="14"/>
      <c r="M270" s="14"/>
      <c r="N270" s="14"/>
      <c r="O270" s="14"/>
      <c r="P270" s="14"/>
      <c r="Q270" s="14"/>
      <c r="R270" s="14"/>
      <c r="S270" s="14"/>
      <c r="T270" s="14"/>
      <c r="U270" s="14"/>
      <c r="V270" s="14"/>
      <c r="W270" s="14"/>
      <c r="X270" s="14"/>
      <c r="Y270" s="14"/>
      <c r="Z270" s="14"/>
      <c r="AA270" s="15"/>
      <c r="AB270" s="3"/>
      <c r="AC270" s="3"/>
      <c r="AD270" s="3"/>
      <c r="AE270" s="3"/>
      <c r="AF270" s="3"/>
      <c r="AG270" s="3"/>
      <c r="AH270" s="3"/>
      <c r="AI270" s="3"/>
      <c r="AJ270" s="3"/>
      <c r="AK270" s="3"/>
      <c r="AL270" s="3"/>
      <c r="AM270" s="3"/>
      <c r="AN270" s="3"/>
      <c r="AO270" s="3"/>
    </row>
    <row r="271" spans="2:41" x14ac:dyDescent="0.25">
      <c r="B271" s="13"/>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5"/>
      <c r="AB271" s="3"/>
      <c r="AC271" s="3"/>
      <c r="AD271" s="3"/>
      <c r="AE271" s="3"/>
      <c r="AF271" s="3"/>
      <c r="AG271" s="3"/>
      <c r="AH271" s="3"/>
      <c r="AI271" s="3"/>
      <c r="AJ271" s="3"/>
      <c r="AK271" s="3"/>
      <c r="AL271" s="3"/>
      <c r="AM271" s="3"/>
      <c r="AN271" s="3"/>
      <c r="AO271" s="3"/>
    </row>
    <row r="272" spans="2:41" x14ac:dyDescent="0.25">
      <c r="B272" s="13"/>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5"/>
      <c r="AB272" s="3"/>
      <c r="AC272" s="3"/>
      <c r="AD272" s="3"/>
      <c r="AE272" s="3"/>
      <c r="AF272" s="3"/>
      <c r="AG272" s="3"/>
      <c r="AH272" s="3"/>
      <c r="AI272" s="3"/>
      <c r="AJ272" s="3"/>
      <c r="AK272" s="3"/>
      <c r="AL272" s="3"/>
      <c r="AM272" s="3"/>
      <c r="AN272" s="3"/>
      <c r="AO272" s="3"/>
    </row>
    <row r="273" spans="2:41" x14ac:dyDescent="0.25">
      <c r="B273" s="13"/>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5"/>
      <c r="AB273" s="3"/>
      <c r="AC273" s="3"/>
      <c r="AD273" s="3"/>
      <c r="AE273" s="3"/>
      <c r="AF273" s="3"/>
      <c r="AG273" s="3"/>
      <c r="AH273" s="3"/>
      <c r="AI273" s="3"/>
      <c r="AJ273" s="3"/>
      <c r="AK273" s="3"/>
      <c r="AL273" s="3"/>
      <c r="AM273" s="3"/>
      <c r="AN273" s="3"/>
      <c r="AO273" s="3"/>
    </row>
    <row r="274" spans="2:41" x14ac:dyDescent="0.25">
      <c r="B274" s="13"/>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5"/>
      <c r="AB274" s="3"/>
      <c r="AC274" s="3"/>
      <c r="AD274" s="3"/>
      <c r="AE274" s="3"/>
      <c r="AF274" s="3"/>
      <c r="AG274" s="3"/>
      <c r="AH274" s="3"/>
      <c r="AI274" s="3"/>
      <c r="AJ274" s="3"/>
      <c r="AK274" s="3"/>
      <c r="AL274" s="3"/>
      <c r="AM274" s="3"/>
      <c r="AN274" s="3"/>
      <c r="AO274" s="3"/>
    </row>
    <row r="275" spans="2:41" x14ac:dyDescent="0.25">
      <c r="B275" s="13"/>
      <c r="C275" s="14"/>
      <c r="D275" s="60"/>
      <c r="E275" s="56"/>
      <c r="F275" s="56"/>
      <c r="G275" s="14"/>
      <c r="H275" s="56"/>
      <c r="I275" s="14"/>
      <c r="J275" s="14"/>
      <c r="K275" s="14"/>
      <c r="L275" s="14"/>
      <c r="M275" s="14"/>
      <c r="N275" s="14"/>
      <c r="O275" s="14"/>
      <c r="P275" s="14"/>
      <c r="Q275" s="14"/>
      <c r="R275" s="14"/>
      <c r="S275" s="14"/>
      <c r="T275" s="14"/>
      <c r="U275" s="14"/>
      <c r="V275" s="14"/>
      <c r="W275" s="14"/>
      <c r="X275" s="14"/>
      <c r="Y275" s="14"/>
      <c r="Z275" s="14"/>
      <c r="AA275" s="15"/>
      <c r="AB275" s="3"/>
      <c r="AC275" s="3"/>
      <c r="AD275" s="3"/>
      <c r="AE275" s="3"/>
      <c r="AF275" s="3"/>
      <c r="AG275" s="3"/>
      <c r="AH275" s="3"/>
      <c r="AI275" s="3"/>
      <c r="AJ275" s="3"/>
      <c r="AK275" s="3"/>
      <c r="AL275" s="3"/>
      <c r="AM275" s="3"/>
      <c r="AN275" s="3"/>
      <c r="AO275" s="3"/>
    </row>
    <row r="276" spans="2:41" x14ac:dyDescent="0.25">
      <c r="B276" s="13"/>
      <c r="C276" s="14"/>
      <c r="D276" s="60"/>
      <c r="E276" s="56"/>
      <c r="F276" s="56"/>
      <c r="G276" s="14"/>
      <c r="H276" s="56"/>
      <c r="I276" s="14"/>
      <c r="J276" s="14"/>
      <c r="K276" s="14"/>
      <c r="L276" s="14"/>
      <c r="M276" s="14"/>
      <c r="N276" s="14"/>
      <c r="O276" s="14"/>
      <c r="P276" s="14"/>
      <c r="Q276" s="14"/>
      <c r="R276" s="14"/>
      <c r="S276" s="14"/>
      <c r="T276" s="14"/>
      <c r="U276" s="14"/>
      <c r="V276" s="14"/>
      <c r="W276" s="14"/>
      <c r="X276" s="14"/>
      <c r="Y276" s="14"/>
      <c r="Z276" s="14"/>
      <c r="AA276" s="15"/>
      <c r="AB276" s="3"/>
      <c r="AC276" s="3"/>
      <c r="AD276" s="3"/>
      <c r="AE276" s="3"/>
      <c r="AF276" s="3"/>
      <c r="AG276" s="3"/>
      <c r="AH276" s="3"/>
      <c r="AI276" s="3"/>
      <c r="AJ276" s="3"/>
      <c r="AK276" s="3"/>
      <c r="AL276" s="3"/>
      <c r="AM276" s="3"/>
      <c r="AN276" s="3"/>
      <c r="AO276" s="3"/>
    </row>
    <row r="277" spans="2:41" x14ac:dyDescent="0.25">
      <c r="B277" s="13"/>
      <c r="C277" s="56"/>
      <c r="D277" s="60"/>
      <c r="E277" s="56"/>
      <c r="F277" s="56"/>
      <c r="G277" s="56"/>
      <c r="H277" s="56"/>
      <c r="I277" s="14"/>
      <c r="J277" s="14"/>
      <c r="K277" s="14"/>
      <c r="L277" s="14"/>
      <c r="M277" s="14"/>
      <c r="N277" s="14"/>
      <c r="O277" s="14"/>
      <c r="P277" s="14"/>
      <c r="Q277" s="14"/>
      <c r="R277" s="14"/>
      <c r="S277" s="14"/>
      <c r="T277" s="14"/>
      <c r="U277" s="14"/>
      <c r="V277" s="14"/>
      <c r="W277" s="14"/>
      <c r="X277" s="14"/>
      <c r="Y277" s="14"/>
      <c r="Z277" s="14"/>
      <c r="AA277" s="15"/>
      <c r="AB277" s="3"/>
      <c r="AC277" s="3"/>
      <c r="AD277" s="3"/>
      <c r="AE277" s="3"/>
      <c r="AF277" s="3"/>
      <c r="AG277" s="3"/>
      <c r="AH277" s="3"/>
      <c r="AI277" s="3"/>
      <c r="AJ277" s="3"/>
      <c r="AK277" s="3"/>
      <c r="AL277" s="3"/>
      <c r="AM277" s="3"/>
      <c r="AN277" s="3"/>
      <c r="AO277" s="3"/>
    </row>
    <row r="278" spans="2:41" x14ac:dyDescent="0.25">
      <c r="B278" s="13"/>
      <c r="C278" s="14"/>
      <c r="D278" s="60"/>
      <c r="E278" s="56"/>
      <c r="F278" s="56"/>
      <c r="G278" s="14"/>
      <c r="H278" s="56"/>
      <c r="I278" s="14"/>
      <c r="J278" s="14"/>
      <c r="K278" s="14"/>
      <c r="L278" s="14"/>
      <c r="M278" s="14"/>
      <c r="N278" s="14"/>
      <c r="O278" s="14"/>
      <c r="P278" s="14"/>
      <c r="Q278" s="14"/>
      <c r="R278" s="14"/>
      <c r="S278" s="14"/>
      <c r="T278" s="14"/>
      <c r="U278" s="14"/>
      <c r="V278" s="14"/>
      <c r="W278" s="14"/>
      <c r="X278" s="14"/>
      <c r="Y278" s="14"/>
      <c r="Z278" s="14"/>
      <c r="AA278" s="15"/>
      <c r="AB278" s="3"/>
      <c r="AC278" s="3"/>
      <c r="AD278" s="3"/>
      <c r="AE278" s="3"/>
      <c r="AF278" s="3"/>
      <c r="AG278" s="3"/>
      <c r="AH278" s="3"/>
      <c r="AI278" s="3"/>
      <c r="AJ278" s="3"/>
      <c r="AK278" s="3"/>
      <c r="AL278" s="3"/>
      <c r="AM278" s="3"/>
      <c r="AN278" s="3"/>
      <c r="AO278" s="3"/>
    </row>
    <row r="279" spans="2:41" x14ac:dyDescent="0.25">
      <c r="B279" s="13"/>
      <c r="C279" s="14"/>
      <c r="D279" s="14"/>
      <c r="E279" s="56"/>
      <c r="F279" s="56"/>
      <c r="G279" s="14"/>
      <c r="H279" s="56"/>
      <c r="I279" s="14"/>
      <c r="J279" s="14"/>
      <c r="K279" s="14"/>
      <c r="L279" s="14"/>
      <c r="M279" s="14"/>
      <c r="N279" s="14"/>
      <c r="O279" s="14"/>
      <c r="P279" s="14"/>
      <c r="Q279" s="14"/>
      <c r="R279" s="14"/>
      <c r="S279" s="14"/>
      <c r="T279" s="14"/>
      <c r="U279" s="14"/>
      <c r="V279" s="14"/>
      <c r="W279" s="14"/>
      <c r="X279" s="14"/>
      <c r="Y279" s="14"/>
      <c r="Z279" s="14"/>
      <c r="AA279" s="15"/>
      <c r="AB279" s="3"/>
      <c r="AC279" s="3"/>
      <c r="AD279" s="3"/>
      <c r="AE279" s="3"/>
      <c r="AF279" s="3"/>
      <c r="AG279" s="3"/>
      <c r="AH279" s="3"/>
      <c r="AI279" s="3"/>
      <c r="AJ279" s="3"/>
      <c r="AK279" s="3"/>
      <c r="AL279" s="3"/>
      <c r="AM279" s="3"/>
      <c r="AN279" s="3"/>
      <c r="AO279" s="3"/>
    </row>
    <row r="280" spans="2:41" ht="18.75" x14ac:dyDescent="0.3">
      <c r="B280" s="67"/>
      <c r="C280" s="14"/>
      <c r="D280" s="60"/>
      <c r="E280" s="56"/>
      <c r="F280" s="56"/>
      <c r="G280" s="14"/>
      <c r="H280" s="14"/>
      <c r="I280" s="74"/>
      <c r="J280" s="14"/>
      <c r="K280" s="14"/>
      <c r="L280" s="14"/>
      <c r="M280" s="14"/>
      <c r="N280" s="14"/>
      <c r="O280" s="14"/>
      <c r="P280" s="14"/>
      <c r="Q280" s="14"/>
      <c r="R280" s="14"/>
      <c r="S280" s="14"/>
      <c r="T280" s="14"/>
      <c r="U280" s="14"/>
      <c r="V280" s="14"/>
      <c r="W280" s="14"/>
      <c r="X280" s="14"/>
      <c r="Y280" s="14"/>
      <c r="Z280" s="14"/>
      <c r="AA280" s="15"/>
      <c r="AB280" s="3"/>
      <c r="AC280" s="3"/>
      <c r="AD280" s="3"/>
      <c r="AE280" s="3"/>
      <c r="AF280" s="3"/>
      <c r="AG280" s="3"/>
      <c r="AH280" s="3"/>
      <c r="AI280" s="3"/>
      <c r="AJ280" s="3"/>
      <c r="AK280" s="3"/>
      <c r="AL280" s="3"/>
      <c r="AM280" s="3"/>
      <c r="AN280" s="3"/>
      <c r="AO280" s="3"/>
    </row>
    <row r="281" spans="2:41" x14ac:dyDescent="0.25">
      <c r="B281" s="13"/>
      <c r="C281" s="14"/>
      <c r="D281" s="60"/>
      <c r="E281" s="56"/>
      <c r="F281" s="56"/>
      <c r="G281" s="14"/>
      <c r="H281" s="56"/>
      <c r="I281" s="14"/>
      <c r="J281" s="14"/>
      <c r="K281" s="14"/>
      <c r="L281" s="14"/>
      <c r="M281" s="14"/>
      <c r="N281" s="14"/>
      <c r="O281" s="14"/>
      <c r="P281" s="14"/>
      <c r="Q281" s="14"/>
      <c r="R281" s="14"/>
      <c r="S281" s="14"/>
      <c r="T281" s="14"/>
      <c r="U281" s="14"/>
      <c r="V281" s="14"/>
      <c r="W281" s="14"/>
      <c r="X281" s="14"/>
      <c r="Y281" s="14"/>
      <c r="Z281" s="14"/>
      <c r="AA281" s="15"/>
      <c r="AB281" s="3"/>
      <c r="AC281" s="3"/>
      <c r="AD281" s="3"/>
      <c r="AE281" s="3"/>
      <c r="AF281" s="3"/>
      <c r="AG281" s="3"/>
      <c r="AH281" s="3"/>
      <c r="AI281" s="3"/>
      <c r="AJ281" s="3"/>
      <c r="AK281" s="3"/>
      <c r="AL281" s="3"/>
      <c r="AM281" s="3"/>
      <c r="AN281" s="3"/>
      <c r="AO281" s="3"/>
    </row>
    <row r="282" spans="2:41" x14ac:dyDescent="0.25">
      <c r="B282" s="13"/>
      <c r="C282" s="14"/>
      <c r="D282" s="60"/>
      <c r="E282" s="56"/>
      <c r="F282" s="56"/>
      <c r="G282" s="14"/>
      <c r="H282" s="56"/>
      <c r="I282" s="14"/>
      <c r="J282" s="14"/>
      <c r="K282" s="14"/>
      <c r="L282" s="14"/>
      <c r="M282" s="14"/>
      <c r="N282" s="14"/>
      <c r="O282" s="14"/>
      <c r="P282" s="14"/>
      <c r="Q282" s="14"/>
      <c r="R282" s="14"/>
      <c r="S282" s="14"/>
      <c r="T282" s="14"/>
      <c r="U282" s="14"/>
      <c r="V282" s="14"/>
      <c r="W282" s="14"/>
      <c r="X282" s="14"/>
      <c r="Y282" s="14"/>
      <c r="Z282" s="14"/>
      <c r="AA282" s="15"/>
      <c r="AB282" s="3"/>
      <c r="AC282" s="3"/>
      <c r="AD282" s="3"/>
      <c r="AE282" s="3"/>
      <c r="AF282" s="3"/>
      <c r="AG282" s="3"/>
      <c r="AH282" s="3"/>
      <c r="AI282" s="3"/>
      <c r="AJ282" s="3"/>
      <c r="AK282" s="3"/>
      <c r="AL282" s="3"/>
      <c r="AM282" s="3"/>
      <c r="AN282" s="3"/>
      <c r="AO282" s="3"/>
    </row>
    <row r="283" spans="2:41" x14ac:dyDescent="0.25">
      <c r="B283" s="13"/>
      <c r="C283" s="14"/>
      <c r="D283" s="60"/>
      <c r="E283" s="56"/>
      <c r="F283" s="56"/>
      <c r="G283" s="14"/>
      <c r="H283" s="56"/>
      <c r="I283" s="14"/>
      <c r="J283" s="14"/>
      <c r="K283" s="14"/>
      <c r="L283" s="14"/>
      <c r="M283" s="14"/>
      <c r="N283" s="14"/>
      <c r="O283" s="14"/>
      <c r="P283" s="14"/>
      <c r="Q283" s="14"/>
      <c r="R283" s="14"/>
      <c r="S283" s="14"/>
      <c r="T283" s="14"/>
      <c r="U283" s="14"/>
      <c r="V283" s="14"/>
      <c r="W283" s="14"/>
      <c r="X283" s="14"/>
      <c r="Y283" s="14"/>
      <c r="Z283" s="14"/>
      <c r="AA283" s="15"/>
      <c r="AB283" s="3"/>
      <c r="AC283" s="3"/>
      <c r="AD283" s="3"/>
      <c r="AE283" s="3"/>
      <c r="AF283" s="3"/>
      <c r="AG283" s="3"/>
      <c r="AH283" s="3"/>
      <c r="AI283" s="3"/>
      <c r="AJ283" s="3"/>
      <c r="AK283" s="3"/>
      <c r="AL283" s="3"/>
      <c r="AM283" s="3"/>
      <c r="AN283" s="3"/>
      <c r="AO283" s="3"/>
    </row>
    <row r="284" spans="2:41" x14ac:dyDescent="0.25">
      <c r="B284" s="13"/>
      <c r="C284" s="56"/>
      <c r="D284" s="60"/>
      <c r="E284" s="56"/>
      <c r="F284" s="56"/>
      <c r="G284" s="56"/>
      <c r="H284" s="56"/>
      <c r="I284" s="14"/>
      <c r="J284" s="14"/>
      <c r="K284" s="14"/>
      <c r="L284" s="14"/>
      <c r="M284" s="14"/>
      <c r="N284" s="14"/>
      <c r="O284" s="14"/>
      <c r="P284" s="14"/>
      <c r="Q284" s="14"/>
      <c r="R284" s="14"/>
      <c r="S284" s="14"/>
      <c r="T284" s="14"/>
      <c r="U284" s="14"/>
      <c r="V284" s="14"/>
      <c r="W284" s="14"/>
      <c r="X284" s="14"/>
      <c r="Y284" s="14"/>
      <c r="Z284" s="14"/>
      <c r="AA284" s="15"/>
      <c r="AB284" s="3"/>
      <c r="AC284" s="3"/>
      <c r="AD284" s="3"/>
      <c r="AE284" s="3"/>
      <c r="AF284" s="3"/>
      <c r="AG284" s="3"/>
      <c r="AH284" s="3"/>
      <c r="AI284" s="3"/>
      <c r="AJ284" s="3"/>
      <c r="AK284" s="3"/>
      <c r="AL284" s="3"/>
      <c r="AM284" s="3"/>
      <c r="AN284" s="3"/>
      <c r="AO284" s="3"/>
    </row>
    <row r="285" spans="2:41" x14ac:dyDescent="0.25">
      <c r="B285" s="13"/>
      <c r="C285" s="14"/>
      <c r="D285" s="60"/>
      <c r="E285" s="56"/>
      <c r="F285" s="56"/>
      <c r="G285" s="14"/>
      <c r="H285" s="56"/>
      <c r="I285" s="14"/>
      <c r="J285" s="14"/>
      <c r="K285" s="14"/>
      <c r="L285" s="14"/>
      <c r="M285" s="14"/>
      <c r="N285" s="14"/>
      <c r="O285" s="14"/>
      <c r="P285" s="14"/>
      <c r="Q285" s="14"/>
      <c r="R285" s="14"/>
      <c r="S285" s="14"/>
      <c r="T285" s="14"/>
      <c r="U285" s="14"/>
      <c r="V285" s="14"/>
      <c r="W285" s="14"/>
      <c r="X285" s="14"/>
      <c r="Y285" s="14"/>
      <c r="Z285" s="14"/>
      <c r="AA285" s="15"/>
      <c r="AB285" s="3"/>
      <c r="AC285" s="3"/>
      <c r="AD285" s="3"/>
      <c r="AE285" s="3"/>
      <c r="AF285" s="3"/>
      <c r="AG285" s="3"/>
      <c r="AH285" s="3"/>
      <c r="AI285" s="3"/>
      <c r="AJ285" s="3"/>
      <c r="AK285" s="3"/>
      <c r="AL285" s="3"/>
      <c r="AM285" s="3"/>
      <c r="AN285" s="3"/>
      <c r="AO285" s="3"/>
    </row>
    <row r="286" spans="2:41" x14ac:dyDescent="0.25">
      <c r="B286" s="13"/>
      <c r="C286" s="14"/>
      <c r="D286" s="14"/>
      <c r="E286" s="56"/>
      <c r="F286" s="56"/>
      <c r="G286" s="14"/>
      <c r="H286" s="56"/>
      <c r="I286" s="14"/>
      <c r="J286" s="14"/>
      <c r="K286" s="14"/>
      <c r="L286" s="14"/>
      <c r="M286" s="14"/>
      <c r="N286" s="14"/>
      <c r="O286" s="14"/>
      <c r="P286" s="14"/>
      <c r="Q286" s="14"/>
      <c r="R286" s="14"/>
      <c r="S286" s="14"/>
      <c r="T286" s="14"/>
      <c r="U286" s="14"/>
      <c r="V286" s="14"/>
      <c r="W286" s="14"/>
      <c r="X286" s="14"/>
      <c r="Y286" s="14"/>
      <c r="Z286" s="14"/>
      <c r="AA286" s="15"/>
      <c r="AB286" s="3"/>
      <c r="AC286" s="3"/>
      <c r="AD286" s="3"/>
      <c r="AE286" s="3"/>
      <c r="AF286" s="3"/>
      <c r="AG286" s="3"/>
      <c r="AH286" s="3"/>
      <c r="AI286" s="3"/>
      <c r="AJ286" s="3"/>
      <c r="AK286" s="3"/>
      <c r="AL286" s="3"/>
      <c r="AM286" s="3"/>
      <c r="AN286" s="3"/>
      <c r="AO286" s="3"/>
    </row>
    <row r="287" spans="2:41" x14ac:dyDescent="0.25">
      <c r="B287" s="13"/>
      <c r="C287" s="14"/>
      <c r="D287" s="60"/>
      <c r="E287" s="56"/>
      <c r="F287" s="56"/>
      <c r="G287" s="14"/>
      <c r="H287" s="14"/>
      <c r="I287" s="14"/>
      <c r="J287" s="14"/>
      <c r="K287" s="14"/>
      <c r="L287" s="14"/>
      <c r="M287" s="14"/>
      <c r="N287" s="14"/>
      <c r="O287" s="14"/>
      <c r="P287" s="14"/>
      <c r="Q287" s="14"/>
      <c r="R287" s="14"/>
      <c r="S287" s="14"/>
      <c r="T287" s="14"/>
      <c r="U287" s="14"/>
      <c r="V287" s="14"/>
      <c r="W287" s="14"/>
      <c r="X287" s="14"/>
      <c r="Y287" s="14"/>
      <c r="Z287" s="14"/>
      <c r="AA287" s="15"/>
      <c r="AB287" s="3"/>
      <c r="AC287" s="3"/>
      <c r="AD287" s="3"/>
      <c r="AE287" s="3"/>
      <c r="AF287" s="3"/>
      <c r="AG287" s="3"/>
      <c r="AH287" s="3"/>
      <c r="AI287" s="3"/>
      <c r="AJ287" s="3"/>
      <c r="AK287" s="3"/>
      <c r="AL287" s="3"/>
      <c r="AM287" s="3"/>
      <c r="AN287" s="3"/>
      <c r="AO287" s="3"/>
    </row>
    <row r="288" spans="2:41" ht="18.75" x14ac:dyDescent="0.3">
      <c r="B288" s="67"/>
      <c r="C288" s="14"/>
      <c r="D288" s="60"/>
      <c r="E288" s="56"/>
      <c r="F288" s="56"/>
      <c r="G288" s="14"/>
      <c r="H288" s="56"/>
      <c r="I288" s="74"/>
      <c r="J288" s="14"/>
      <c r="K288" s="14"/>
      <c r="L288" s="14"/>
      <c r="M288" s="14"/>
      <c r="N288" s="14"/>
      <c r="O288" s="14"/>
      <c r="P288" s="14"/>
      <c r="Q288" s="14"/>
      <c r="R288" s="14"/>
      <c r="S288" s="14"/>
      <c r="T288" s="14"/>
      <c r="U288" s="14"/>
      <c r="V288" s="14"/>
      <c r="W288" s="14"/>
      <c r="X288" s="14"/>
      <c r="Y288" s="14"/>
      <c r="Z288" s="14"/>
      <c r="AA288" s="15"/>
      <c r="AB288" s="3"/>
      <c r="AC288" s="3"/>
      <c r="AD288" s="3"/>
      <c r="AE288" s="3"/>
      <c r="AF288" s="3"/>
      <c r="AG288" s="3"/>
      <c r="AH288" s="3"/>
      <c r="AI288" s="3"/>
      <c r="AJ288" s="3"/>
      <c r="AK288" s="3"/>
      <c r="AL288" s="3"/>
      <c r="AM288" s="3"/>
      <c r="AN288" s="3"/>
      <c r="AO288" s="3"/>
    </row>
    <row r="289" spans="2:41" x14ac:dyDescent="0.25">
      <c r="B289" s="13"/>
      <c r="C289" s="14"/>
      <c r="D289" s="60"/>
      <c r="E289" s="56"/>
      <c r="F289" s="56"/>
      <c r="G289" s="14"/>
      <c r="H289" s="56"/>
      <c r="I289" s="14"/>
      <c r="J289" s="14"/>
      <c r="K289" s="14"/>
      <c r="L289" s="14"/>
      <c r="M289" s="14"/>
      <c r="N289" s="14"/>
      <c r="O289" s="14"/>
      <c r="P289" s="14"/>
      <c r="Q289" s="14"/>
      <c r="R289" s="14"/>
      <c r="S289" s="14"/>
      <c r="T289" s="14"/>
      <c r="U289" s="14"/>
      <c r="V289" s="14"/>
      <c r="W289" s="14"/>
      <c r="X289" s="14"/>
      <c r="Y289" s="14"/>
      <c r="Z289" s="14"/>
      <c r="AA289" s="15"/>
      <c r="AB289" s="3"/>
      <c r="AC289" s="3"/>
      <c r="AD289" s="3"/>
      <c r="AE289" s="3"/>
      <c r="AF289" s="3"/>
      <c r="AG289" s="3"/>
      <c r="AH289" s="3"/>
      <c r="AI289" s="3"/>
      <c r="AJ289" s="3"/>
      <c r="AK289" s="3"/>
      <c r="AL289" s="3"/>
      <c r="AM289" s="3"/>
      <c r="AN289" s="3"/>
      <c r="AO289" s="3"/>
    </row>
    <row r="290" spans="2:41" x14ac:dyDescent="0.25">
      <c r="B290" s="13"/>
      <c r="C290" s="14"/>
      <c r="D290" s="60"/>
      <c r="E290" s="56"/>
      <c r="F290" s="56"/>
      <c r="G290" s="14"/>
      <c r="H290" s="56"/>
      <c r="I290" s="14"/>
      <c r="J290" s="14"/>
      <c r="K290" s="14"/>
      <c r="L290" s="14"/>
      <c r="M290" s="14"/>
      <c r="N290" s="14"/>
      <c r="O290" s="14"/>
      <c r="P290" s="14"/>
      <c r="Q290" s="14"/>
      <c r="R290" s="14"/>
      <c r="S290" s="14"/>
      <c r="T290" s="14"/>
      <c r="U290" s="14"/>
      <c r="V290" s="14"/>
      <c r="W290" s="14"/>
      <c r="X290" s="14"/>
      <c r="Y290" s="14"/>
      <c r="Z290" s="14"/>
      <c r="AA290" s="15"/>
      <c r="AB290" s="3"/>
      <c r="AC290" s="3"/>
      <c r="AD290" s="3"/>
      <c r="AE290" s="3"/>
      <c r="AF290" s="3"/>
      <c r="AG290" s="3"/>
      <c r="AH290" s="3"/>
      <c r="AI290" s="3"/>
      <c r="AJ290" s="3"/>
      <c r="AK290" s="3"/>
      <c r="AL290" s="3"/>
      <c r="AM290" s="3"/>
      <c r="AN290" s="3"/>
      <c r="AO290" s="3"/>
    </row>
    <row r="291" spans="2:41" x14ac:dyDescent="0.25">
      <c r="B291" s="13"/>
      <c r="C291" s="56"/>
      <c r="D291" s="60"/>
      <c r="E291" s="56"/>
      <c r="F291" s="56"/>
      <c r="G291" s="56"/>
      <c r="H291" s="56"/>
      <c r="I291" s="14"/>
      <c r="J291" s="14"/>
      <c r="K291" s="14"/>
      <c r="L291" s="14"/>
      <c r="M291" s="14"/>
      <c r="N291" s="14"/>
      <c r="O291" s="14"/>
      <c r="P291" s="14"/>
      <c r="Q291" s="14"/>
      <c r="R291" s="14"/>
      <c r="S291" s="14"/>
      <c r="T291" s="14"/>
      <c r="U291" s="14"/>
      <c r="V291" s="14"/>
      <c r="W291" s="14"/>
      <c r="X291" s="14"/>
      <c r="Y291" s="14"/>
      <c r="Z291" s="14"/>
      <c r="AA291" s="15"/>
      <c r="AB291" s="3"/>
      <c r="AC291" s="3"/>
      <c r="AD291" s="3"/>
      <c r="AE291" s="3"/>
      <c r="AF291" s="3"/>
      <c r="AG291" s="3"/>
      <c r="AH291" s="3"/>
      <c r="AI291" s="3"/>
      <c r="AJ291" s="3"/>
      <c r="AK291" s="3"/>
      <c r="AL291" s="3"/>
      <c r="AM291" s="3"/>
      <c r="AN291" s="3"/>
      <c r="AO291" s="3"/>
    </row>
    <row r="292" spans="2:41" x14ac:dyDescent="0.25">
      <c r="B292" s="13"/>
      <c r="C292" s="14"/>
      <c r="D292" s="60"/>
      <c r="E292" s="56"/>
      <c r="F292" s="56"/>
      <c r="G292" s="14"/>
      <c r="H292" s="56"/>
      <c r="I292" s="14"/>
      <c r="J292" s="14"/>
      <c r="K292" s="14"/>
      <c r="L292" s="14"/>
      <c r="M292" s="14"/>
      <c r="N292" s="14"/>
      <c r="O292" s="14"/>
      <c r="P292" s="14"/>
      <c r="Q292" s="14"/>
      <c r="R292" s="14"/>
      <c r="S292" s="14"/>
      <c r="T292" s="14"/>
      <c r="U292" s="14"/>
      <c r="V292" s="14"/>
      <c r="W292" s="14"/>
      <c r="X292" s="14"/>
      <c r="Y292" s="14"/>
      <c r="Z292" s="14"/>
      <c r="AA292" s="15"/>
      <c r="AB292" s="3"/>
      <c r="AC292" s="3"/>
      <c r="AD292" s="3"/>
      <c r="AE292" s="3"/>
      <c r="AF292" s="3"/>
      <c r="AG292" s="3"/>
      <c r="AH292" s="3"/>
      <c r="AI292" s="3"/>
      <c r="AJ292" s="3"/>
      <c r="AK292" s="3"/>
      <c r="AL292" s="3"/>
      <c r="AM292" s="3"/>
      <c r="AN292" s="3"/>
      <c r="AO292" s="3"/>
    </row>
    <row r="293" spans="2:41" x14ac:dyDescent="0.25">
      <c r="B293" s="13"/>
      <c r="C293" s="14"/>
      <c r="D293" s="14"/>
      <c r="E293" s="56"/>
      <c r="F293" s="56"/>
      <c r="G293" s="14"/>
      <c r="H293" s="56"/>
      <c r="I293" s="14"/>
      <c r="J293" s="14"/>
      <c r="K293" s="14"/>
      <c r="L293" s="14"/>
      <c r="M293" s="14"/>
      <c r="N293" s="14"/>
      <c r="O293" s="14"/>
      <c r="P293" s="14"/>
      <c r="Q293" s="14"/>
      <c r="R293" s="14"/>
      <c r="S293" s="14"/>
      <c r="T293" s="14"/>
      <c r="U293" s="14"/>
      <c r="V293" s="14"/>
      <c r="W293" s="14"/>
      <c r="X293" s="14"/>
      <c r="Y293" s="14"/>
      <c r="Z293" s="14"/>
      <c r="AA293" s="15"/>
      <c r="AB293" s="3"/>
      <c r="AC293" s="3"/>
      <c r="AD293" s="3"/>
      <c r="AE293" s="3"/>
      <c r="AF293" s="3"/>
      <c r="AG293" s="3"/>
      <c r="AH293" s="3"/>
      <c r="AI293" s="3"/>
      <c r="AJ293" s="3"/>
      <c r="AK293" s="3"/>
      <c r="AL293" s="3"/>
      <c r="AM293" s="3"/>
      <c r="AN293" s="3"/>
      <c r="AO293" s="3"/>
    </row>
    <row r="294" spans="2:41" x14ac:dyDescent="0.25">
      <c r="B294" s="13"/>
      <c r="C294" s="14"/>
      <c r="D294" s="60"/>
      <c r="E294" s="56"/>
      <c r="F294" s="56"/>
      <c r="G294" s="14"/>
      <c r="H294" s="14"/>
      <c r="I294" s="14"/>
      <c r="J294" s="14"/>
      <c r="K294" s="14"/>
      <c r="L294" s="14"/>
      <c r="M294" s="14"/>
      <c r="N294" s="14"/>
      <c r="O294" s="14"/>
      <c r="P294" s="14"/>
      <c r="Q294" s="14"/>
      <c r="R294" s="14"/>
      <c r="S294" s="14"/>
      <c r="T294" s="14"/>
      <c r="U294" s="14"/>
      <c r="V294" s="14"/>
      <c r="W294" s="14"/>
      <c r="X294" s="14"/>
      <c r="Y294" s="14"/>
      <c r="Z294" s="14"/>
      <c r="AA294" s="15"/>
      <c r="AB294" s="3"/>
      <c r="AC294" s="3"/>
      <c r="AD294" s="3"/>
      <c r="AE294" s="3"/>
      <c r="AF294" s="3"/>
      <c r="AG294" s="3"/>
      <c r="AH294" s="3"/>
      <c r="AI294" s="3"/>
      <c r="AJ294" s="3"/>
      <c r="AK294" s="3"/>
      <c r="AL294" s="3"/>
      <c r="AM294" s="3"/>
      <c r="AN294" s="3"/>
      <c r="AO294" s="3"/>
    </row>
    <row r="295" spans="2:41" x14ac:dyDescent="0.25">
      <c r="B295" s="13"/>
      <c r="C295" s="14"/>
      <c r="D295" s="60"/>
      <c r="E295" s="56"/>
      <c r="F295" s="56"/>
      <c r="G295" s="14"/>
      <c r="H295" s="56"/>
      <c r="I295" s="14"/>
      <c r="J295" s="14"/>
      <c r="K295" s="14"/>
      <c r="L295" s="14"/>
      <c r="M295" s="14"/>
      <c r="N295" s="14"/>
      <c r="O295" s="14"/>
      <c r="P295" s="14"/>
      <c r="Q295" s="14"/>
      <c r="R295" s="14"/>
      <c r="S295" s="14"/>
      <c r="T295" s="14"/>
      <c r="U295" s="14"/>
      <c r="V295" s="14"/>
      <c r="W295" s="14"/>
      <c r="X295" s="14"/>
      <c r="Y295" s="14"/>
      <c r="Z295" s="14"/>
      <c r="AA295" s="15"/>
      <c r="AB295" s="3"/>
      <c r="AC295" s="3"/>
      <c r="AD295" s="3"/>
      <c r="AE295" s="3"/>
      <c r="AF295" s="3"/>
      <c r="AG295" s="3"/>
      <c r="AH295" s="3"/>
      <c r="AI295" s="3"/>
      <c r="AJ295" s="3"/>
      <c r="AK295" s="3"/>
      <c r="AL295" s="3"/>
      <c r="AM295" s="3"/>
      <c r="AN295" s="3"/>
      <c r="AO295" s="3"/>
    </row>
    <row r="296" spans="2:41" ht="18.75" x14ac:dyDescent="0.3">
      <c r="B296" s="67"/>
      <c r="C296" s="14"/>
      <c r="D296" s="60"/>
      <c r="E296" s="56"/>
      <c r="F296" s="56"/>
      <c r="G296" s="14"/>
      <c r="H296" s="56"/>
      <c r="I296" s="74"/>
      <c r="J296" s="14"/>
      <c r="K296" s="14"/>
      <c r="L296" s="14"/>
      <c r="M296" s="14"/>
      <c r="N296" s="14"/>
      <c r="O296" s="14"/>
      <c r="P296" s="14"/>
      <c r="Q296" s="14"/>
      <c r="R296" s="14"/>
      <c r="S296" s="14"/>
      <c r="T296" s="14"/>
      <c r="U296" s="14"/>
      <c r="V296" s="14"/>
      <c r="W296" s="14"/>
      <c r="X296" s="14"/>
      <c r="Y296" s="14"/>
      <c r="Z296" s="14"/>
      <c r="AA296" s="15"/>
      <c r="AB296" s="3"/>
      <c r="AC296" s="3"/>
      <c r="AD296" s="3"/>
      <c r="AE296" s="3"/>
      <c r="AF296" s="3"/>
      <c r="AG296" s="3"/>
      <c r="AH296" s="3"/>
      <c r="AI296" s="3"/>
      <c r="AJ296" s="3"/>
      <c r="AK296" s="3"/>
      <c r="AL296" s="3"/>
      <c r="AM296" s="3"/>
      <c r="AN296" s="3"/>
      <c r="AO296" s="3"/>
    </row>
    <row r="297" spans="2:41" x14ac:dyDescent="0.25">
      <c r="B297" s="13"/>
      <c r="C297" s="14"/>
      <c r="D297" s="60"/>
      <c r="E297" s="56"/>
      <c r="F297" s="56"/>
      <c r="G297" s="14"/>
      <c r="H297" s="56"/>
      <c r="I297" s="14"/>
      <c r="J297" s="14"/>
      <c r="K297" s="14"/>
      <c r="L297" s="14"/>
      <c r="M297" s="14"/>
      <c r="N297" s="14"/>
      <c r="O297" s="14"/>
      <c r="P297" s="14"/>
      <c r="Q297" s="14"/>
      <c r="R297" s="14"/>
      <c r="S297" s="14"/>
      <c r="T297" s="14"/>
      <c r="U297" s="14"/>
      <c r="V297" s="14"/>
      <c r="W297" s="14"/>
      <c r="X297" s="14"/>
      <c r="Y297" s="14"/>
      <c r="Z297" s="14"/>
      <c r="AA297" s="15"/>
      <c r="AB297" s="3"/>
      <c r="AC297" s="3"/>
      <c r="AD297" s="3"/>
      <c r="AE297" s="3"/>
      <c r="AF297" s="3"/>
      <c r="AG297" s="3"/>
      <c r="AH297" s="3"/>
      <c r="AI297" s="3"/>
      <c r="AJ297" s="3"/>
      <c r="AK297" s="3"/>
      <c r="AL297" s="3"/>
      <c r="AM297" s="3"/>
      <c r="AN297" s="3"/>
      <c r="AO297" s="3"/>
    </row>
    <row r="298" spans="2:41" x14ac:dyDescent="0.25">
      <c r="B298" s="13"/>
      <c r="C298" s="56"/>
      <c r="D298" s="60"/>
      <c r="E298" s="56"/>
      <c r="F298" s="56"/>
      <c r="G298" s="56"/>
      <c r="H298" s="56"/>
      <c r="I298" s="14"/>
      <c r="J298" s="14"/>
      <c r="K298" s="14"/>
      <c r="L298" s="14"/>
      <c r="M298" s="14"/>
      <c r="N298" s="14"/>
      <c r="O298" s="14"/>
      <c r="P298" s="14"/>
      <c r="Q298" s="14"/>
      <c r="R298" s="14"/>
      <c r="S298" s="14"/>
      <c r="T298" s="14"/>
      <c r="U298" s="14"/>
      <c r="V298" s="14"/>
      <c r="W298" s="14"/>
      <c r="X298" s="14"/>
      <c r="Y298" s="14"/>
      <c r="Z298" s="14"/>
      <c r="AA298" s="15"/>
      <c r="AB298" s="3"/>
      <c r="AC298" s="3"/>
      <c r="AD298" s="3"/>
      <c r="AE298" s="3"/>
      <c r="AF298" s="3"/>
      <c r="AG298" s="3"/>
      <c r="AH298" s="3"/>
      <c r="AI298" s="3"/>
      <c r="AJ298" s="3"/>
      <c r="AK298" s="3"/>
      <c r="AL298" s="3"/>
      <c r="AM298" s="3"/>
      <c r="AN298" s="3"/>
      <c r="AO298" s="3"/>
    </row>
    <row r="299" spans="2:41" x14ac:dyDescent="0.25">
      <c r="B299" s="13"/>
      <c r="C299" s="14"/>
      <c r="D299" s="60"/>
      <c r="E299" s="56"/>
      <c r="F299" s="56"/>
      <c r="G299" s="14"/>
      <c r="H299" s="56"/>
      <c r="I299" s="14"/>
      <c r="J299" s="14"/>
      <c r="K299" s="14"/>
      <c r="L299" s="14"/>
      <c r="M299" s="14"/>
      <c r="N299" s="14"/>
      <c r="O299" s="14"/>
      <c r="P299" s="14"/>
      <c r="Q299" s="14"/>
      <c r="R299" s="14"/>
      <c r="S299" s="14"/>
      <c r="T299" s="14"/>
      <c r="U299" s="14"/>
      <c r="V299" s="14"/>
      <c r="W299" s="14"/>
      <c r="X299" s="14"/>
      <c r="Y299" s="14"/>
      <c r="Z299" s="14"/>
      <c r="AA299" s="15"/>
      <c r="AB299" s="3"/>
      <c r="AC299" s="3"/>
      <c r="AD299" s="3"/>
      <c r="AE299" s="3"/>
      <c r="AF299" s="3"/>
      <c r="AG299" s="3"/>
      <c r="AH299" s="3"/>
      <c r="AI299" s="3"/>
      <c r="AJ299" s="3"/>
      <c r="AK299" s="3"/>
      <c r="AL299" s="3"/>
      <c r="AM299" s="3"/>
      <c r="AN299" s="3"/>
      <c r="AO299" s="3"/>
    </row>
    <row r="300" spans="2:41" x14ac:dyDescent="0.25">
      <c r="B300" s="13"/>
      <c r="C300" s="14"/>
      <c r="D300" s="14"/>
      <c r="E300" s="56"/>
      <c r="F300" s="56"/>
      <c r="G300" s="14"/>
      <c r="H300" s="56"/>
      <c r="I300" s="14"/>
      <c r="J300" s="14"/>
      <c r="K300" s="14"/>
      <c r="L300" s="14"/>
      <c r="M300" s="14"/>
      <c r="N300" s="14"/>
      <c r="O300" s="14"/>
      <c r="P300" s="14"/>
      <c r="Q300" s="14"/>
      <c r="R300" s="14"/>
      <c r="S300" s="14"/>
      <c r="T300" s="14"/>
      <c r="U300" s="14"/>
      <c r="V300" s="14"/>
      <c r="W300" s="14"/>
      <c r="X300" s="14"/>
      <c r="Y300" s="14"/>
      <c r="Z300" s="14"/>
      <c r="AA300" s="15"/>
      <c r="AB300" s="3"/>
      <c r="AC300" s="3"/>
      <c r="AD300" s="3"/>
      <c r="AE300" s="3"/>
      <c r="AF300" s="3"/>
      <c r="AG300" s="3"/>
      <c r="AH300" s="3"/>
      <c r="AI300" s="3"/>
      <c r="AJ300" s="3"/>
      <c r="AK300" s="3"/>
      <c r="AL300" s="3"/>
      <c r="AM300" s="3"/>
      <c r="AN300" s="3"/>
      <c r="AO300" s="3"/>
    </row>
    <row r="301" spans="2:41" x14ac:dyDescent="0.25">
      <c r="B301" s="13"/>
      <c r="C301" s="14"/>
      <c r="D301" s="60"/>
      <c r="E301" s="56"/>
      <c r="F301" s="56"/>
      <c r="G301" s="14"/>
      <c r="H301" s="14"/>
      <c r="I301" s="14"/>
      <c r="J301" s="14"/>
      <c r="K301" s="14"/>
      <c r="L301" s="14"/>
      <c r="M301" s="14"/>
      <c r="N301" s="14"/>
      <c r="O301" s="14"/>
      <c r="P301" s="14"/>
      <c r="Q301" s="14"/>
      <c r="R301" s="14"/>
      <c r="S301" s="14"/>
      <c r="T301" s="14"/>
      <c r="U301" s="14"/>
      <c r="V301" s="14"/>
      <c r="W301" s="14"/>
      <c r="X301" s="14"/>
      <c r="Y301" s="14"/>
      <c r="Z301" s="14"/>
      <c r="AA301" s="15"/>
      <c r="AB301" s="3"/>
      <c r="AC301" s="3"/>
      <c r="AD301" s="3"/>
      <c r="AE301" s="3"/>
      <c r="AF301" s="3"/>
      <c r="AG301" s="3"/>
      <c r="AH301" s="3"/>
      <c r="AI301" s="3"/>
      <c r="AJ301" s="3"/>
      <c r="AK301" s="3"/>
      <c r="AL301" s="3"/>
      <c r="AM301" s="3"/>
      <c r="AN301" s="3"/>
      <c r="AO301" s="3"/>
    </row>
    <row r="302" spans="2:41" x14ac:dyDescent="0.25">
      <c r="B302" s="13"/>
      <c r="C302" s="14"/>
      <c r="D302" s="60"/>
      <c r="E302" s="56"/>
      <c r="F302" s="56"/>
      <c r="G302" s="14"/>
      <c r="H302" s="56"/>
      <c r="I302" s="14"/>
      <c r="J302" s="14"/>
      <c r="K302" s="14"/>
      <c r="L302" s="14"/>
      <c r="M302" s="14"/>
      <c r="N302" s="14"/>
      <c r="O302" s="14"/>
      <c r="P302" s="14"/>
      <c r="Q302" s="14"/>
      <c r="R302" s="14"/>
      <c r="S302" s="14"/>
      <c r="T302" s="14"/>
      <c r="U302" s="14"/>
      <c r="V302" s="14"/>
      <c r="W302" s="14"/>
      <c r="X302" s="14"/>
      <c r="Y302" s="14"/>
      <c r="Z302" s="14"/>
      <c r="AA302" s="15"/>
      <c r="AB302" s="3"/>
      <c r="AC302" s="3"/>
      <c r="AD302" s="3"/>
      <c r="AE302" s="3"/>
      <c r="AF302" s="3"/>
      <c r="AG302" s="3"/>
      <c r="AH302" s="3"/>
      <c r="AI302" s="3"/>
      <c r="AJ302" s="3"/>
      <c r="AK302" s="3"/>
      <c r="AL302" s="3"/>
      <c r="AM302" s="3"/>
      <c r="AN302" s="3"/>
      <c r="AO302" s="3"/>
    </row>
    <row r="303" spans="2:41" x14ac:dyDescent="0.25">
      <c r="B303" s="13"/>
      <c r="C303" s="14"/>
      <c r="D303" s="60"/>
      <c r="E303" s="56"/>
      <c r="F303" s="56"/>
      <c r="G303" s="14"/>
      <c r="H303" s="56"/>
      <c r="I303" s="14"/>
      <c r="J303" s="14"/>
      <c r="K303" s="14"/>
      <c r="L303" s="14"/>
      <c r="M303" s="14"/>
      <c r="N303" s="14"/>
      <c r="O303" s="14"/>
      <c r="P303" s="14"/>
      <c r="Q303" s="14"/>
      <c r="R303" s="14"/>
      <c r="S303" s="14"/>
      <c r="T303" s="14"/>
      <c r="U303" s="14"/>
      <c r="V303" s="14"/>
      <c r="W303" s="14"/>
      <c r="X303" s="14"/>
      <c r="Y303" s="14"/>
      <c r="Z303" s="14"/>
      <c r="AA303" s="15"/>
      <c r="AB303" s="3"/>
      <c r="AC303" s="3"/>
      <c r="AD303" s="3"/>
      <c r="AE303" s="3"/>
      <c r="AF303" s="3"/>
      <c r="AG303" s="3"/>
      <c r="AH303" s="3"/>
      <c r="AI303" s="3"/>
      <c r="AJ303" s="3"/>
      <c r="AK303" s="3"/>
      <c r="AL303" s="3"/>
      <c r="AM303" s="3"/>
      <c r="AN303" s="3"/>
      <c r="AO303" s="3"/>
    </row>
    <row r="304" spans="2:41" ht="18.75" x14ac:dyDescent="0.3">
      <c r="B304" s="67"/>
      <c r="C304" s="14"/>
      <c r="D304" s="60"/>
      <c r="E304" s="56"/>
      <c r="F304" s="56"/>
      <c r="G304" s="14"/>
      <c r="H304" s="56"/>
      <c r="I304" s="74"/>
      <c r="J304" s="14"/>
      <c r="K304" s="14"/>
      <c r="L304" s="14"/>
      <c r="M304" s="14"/>
      <c r="N304" s="14"/>
      <c r="O304" s="14"/>
      <c r="P304" s="14"/>
      <c r="Q304" s="14"/>
      <c r="R304" s="14"/>
      <c r="S304" s="14"/>
      <c r="T304" s="14"/>
      <c r="U304" s="14"/>
      <c r="V304" s="14"/>
      <c r="W304" s="14"/>
      <c r="X304" s="14"/>
      <c r="Y304" s="14"/>
      <c r="Z304" s="14"/>
      <c r="AA304" s="15"/>
      <c r="AB304" s="3"/>
      <c r="AC304" s="3"/>
      <c r="AD304" s="3"/>
      <c r="AE304" s="3"/>
      <c r="AF304" s="3"/>
      <c r="AG304" s="3"/>
      <c r="AH304" s="3"/>
      <c r="AI304" s="3"/>
      <c r="AJ304" s="3"/>
      <c r="AK304" s="3"/>
      <c r="AL304" s="3"/>
      <c r="AM304" s="3"/>
      <c r="AN304" s="3"/>
      <c r="AO304" s="3"/>
    </row>
    <row r="305" spans="2:41" x14ac:dyDescent="0.25">
      <c r="B305" s="13"/>
      <c r="C305" s="56"/>
      <c r="D305" s="60"/>
      <c r="E305" s="56"/>
      <c r="F305" s="56"/>
      <c r="G305" s="56"/>
      <c r="H305" s="56"/>
      <c r="I305" s="14"/>
      <c r="J305" s="14"/>
      <c r="K305" s="14"/>
      <c r="L305" s="14"/>
      <c r="M305" s="14"/>
      <c r="N305" s="14"/>
      <c r="O305" s="14"/>
      <c r="P305" s="14"/>
      <c r="Q305" s="14"/>
      <c r="R305" s="14"/>
      <c r="S305" s="14"/>
      <c r="T305" s="14"/>
      <c r="U305" s="14"/>
      <c r="V305" s="14"/>
      <c r="W305" s="14"/>
      <c r="X305" s="14"/>
      <c r="Y305" s="14"/>
      <c r="Z305" s="14"/>
      <c r="AA305" s="15"/>
      <c r="AB305" s="3"/>
      <c r="AC305" s="3"/>
      <c r="AD305" s="3"/>
      <c r="AE305" s="3"/>
      <c r="AF305" s="3"/>
      <c r="AG305" s="3"/>
      <c r="AH305" s="3"/>
      <c r="AI305" s="3"/>
      <c r="AJ305" s="3"/>
      <c r="AK305" s="3"/>
      <c r="AL305" s="3"/>
      <c r="AM305" s="3"/>
      <c r="AN305" s="3"/>
      <c r="AO305" s="3"/>
    </row>
    <row r="306" spans="2:41" x14ac:dyDescent="0.25">
      <c r="B306" s="13"/>
      <c r="C306" s="14"/>
      <c r="D306" s="60"/>
      <c r="E306" s="56"/>
      <c r="F306" s="56"/>
      <c r="G306" s="14"/>
      <c r="H306" s="56"/>
      <c r="I306" s="14"/>
      <c r="J306" s="14"/>
      <c r="K306" s="14"/>
      <c r="L306" s="14"/>
      <c r="M306" s="14"/>
      <c r="N306" s="14"/>
      <c r="O306" s="14"/>
      <c r="P306" s="14"/>
      <c r="Q306" s="14"/>
      <c r="R306" s="14"/>
      <c r="S306" s="14"/>
      <c r="T306" s="14"/>
      <c r="U306" s="14"/>
      <c r="V306" s="14"/>
      <c r="W306" s="14"/>
      <c r="X306" s="14"/>
      <c r="Y306" s="14"/>
      <c r="Z306" s="14"/>
      <c r="AA306" s="15"/>
      <c r="AB306" s="3"/>
      <c r="AC306" s="3"/>
      <c r="AD306" s="3"/>
      <c r="AE306" s="3"/>
      <c r="AF306" s="3"/>
      <c r="AG306" s="3"/>
      <c r="AH306" s="3"/>
      <c r="AI306" s="3"/>
      <c r="AJ306" s="3"/>
      <c r="AK306" s="3"/>
      <c r="AL306" s="3"/>
      <c r="AM306" s="3"/>
      <c r="AN306" s="3"/>
      <c r="AO306" s="3"/>
    </row>
    <row r="307" spans="2:41" x14ac:dyDescent="0.25">
      <c r="B307" s="13"/>
      <c r="C307" s="14"/>
      <c r="D307" s="14"/>
      <c r="E307" s="56"/>
      <c r="F307" s="56"/>
      <c r="G307" s="14"/>
      <c r="H307" s="56"/>
      <c r="I307" s="14"/>
      <c r="J307" s="14"/>
      <c r="K307" s="14"/>
      <c r="L307" s="14"/>
      <c r="M307" s="14"/>
      <c r="N307" s="14"/>
      <c r="O307" s="14"/>
      <c r="P307" s="14"/>
      <c r="Q307" s="14"/>
      <c r="R307" s="14"/>
      <c r="S307" s="14"/>
      <c r="T307" s="14"/>
      <c r="U307" s="14"/>
      <c r="V307" s="14"/>
      <c r="W307" s="14"/>
      <c r="X307" s="14"/>
      <c r="Y307" s="14"/>
      <c r="Z307" s="14"/>
      <c r="AA307" s="15"/>
      <c r="AB307" s="3"/>
      <c r="AC307" s="3"/>
      <c r="AD307" s="3"/>
      <c r="AE307" s="3"/>
      <c r="AF307" s="3"/>
      <c r="AG307" s="3"/>
      <c r="AH307" s="3"/>
      <c r="AI307" s="3"/>
      <c r="AJ307" s="3"/>
      <c r="AK307" s="3"/>
      <c r="AL307" s="3"/>
      <c r="AM307" s="3"/>
      <c r="AN307" s="3"/>
      <c r="AO307" s="3"/>
    </row>
    <row r="308" spans="2:41" x14ac:dyDescent="0.25">
      <c r="B308" s="13"/>
      <c r="C308" s="14"/>
      <c r="D308" s="60"/>
      <c r="E308" s="56"/>
      <c r="F308" s="56"/>
      <c r="G308" s="14"/>
      <c r="H308" s="14"/>
      <c r="I308" s="14"/>
      <c r="J308" s="14"/>
      <c r="K308" s="14"/>
      <c r="L308" s="14"/>
      <c r="M308" s="14"/>
      <c r="N308" s="14"/>
      <c r="O308" s="14"/>
      <c r="P308" s="14"/>
      <c r="Q308" s="14"/>
      <c r="R308" s="14"/>
      <c r="S308" s="14"/>
      <c r="T308" s="14"/>
      <c r="U308" s="14"/>
      <c r="V308" s="14"/>
      <c r="W308" s="14"/>
      <c r="X308" s="14"/>
      <c r="Y308" s="14"/>
      <c r="Z308" s="14"/>
      <c r="AA308" s="15"/>
      <c r="AB308" s="3"/>
      <c r="AC308" s="3"/>
      <c r="AD308" s="3"/>
      <c r="AE308" s="3"/>
      <c r="AF308" s="3"/>
      <c r="AG308" s="3"/>
      <c r="AH308" s="3"/>
      <c r="AI308" s="3"/>
      <c r="AJ308" s="3"/>
      <c r="AK308" s="3"/>
      <c r="AL308" s="3"/>
      <c r="AM308" s="3"/>
      <c r="AN308" s="3"/>
      <c r="AO308" s="3"/>
    </row>
    <row r="309" spans="2:41" x14ac:dyDescent="0.25">
      <c r="B309" s="13"/>
      <c r="C309" s="14"/>
      <c r="D309" s="60"/>
      <c r="E309" s="56"/>
      <c r="F309" s="56"/>
      <c r="G309" s="14"/>
      <c r="H309" s="56"/>
      <c r="I309" s="14"/>
      <c r="J309" s="14"/>
      <c r="K309" s="14"/>
      <c r="L309" s="14"/>
      <c r="M309" s="14"/>
      <c r="N309" s="14"/>
      <c r="O309" s="14"/>
      <c r="P309" s="14"/>
      <c r="Q309" s="14"/>
      <c r="R309" s="14"/>
      <c r="S309" s="14"/>
      <c r="T309" s="14"/>
      <c r="U309" s="14"/>
      <c r="V309" s="14"/>
      <c r="W309" s="14"/>
      <c r="X309" s="14"/>
      <c r="Y309" s="14"/>
      <c r="Z309" s="14"/>
      <c r="AA309" s="15"/>
      <c r="AB309" s="3"/>
      <c r="AC309" s="3"/>
      <c r="AD309" s="3"/>
      <c r="AE309" s="3"/>
      <c r="AF309" s="3"/>
      <c r="AG309" s="3"/>
      <c r="AH309" s="3"/>
      <c r="AI309" s="3"/>
      <c r="AJ309" s="3"/>
      <c r="AK309" s="3"/>
      <c r="AL309" s="3"/>
      <c r="AM309" s="3"/>
      <c r="AN309" s="3"/>
      <c r="AO309" s="3"/>
    </row>
    <row r="310" spans="2:41" x14ac:dyDescent="0.25">
      <c r="B310" s="13"/>
      <c r="C310" s="14"/>
      <c r="D310" s="60"/>
      <c r="E310" s="56"/>
      <c r="F310" s="56"/>
      <c r="G310" s="14"/>
      <c r="H310" s="56"/>
      <c r="I310" s="14"/>
      <c r="J310" s="14"/>
      <c r="K310" s="14"/>
      <c r="L310" s="14"/>
      <c r="M310" s="14"/>
      <c r="N310" s="14"/>
      <c r="O310" s="14"/>
      <c r="P310" s="14"/>
      <c r="Q310" s="14"/>
      <c r="R310" s="14"/>
      <c r="S310" s="14"/>
      <c r="T310" s="14"/>
      <c r="U310" s="14"/>
      <c r="V310" s="14"/>
      <c r="W310" s="14"/>
      <c r="X310" s="14"/>
      <c r="Y310" s="14"/>
      <c r="Z310" s="14"/>
      <c r="AA310" s="15"/>
      <c r="AB310" s="3"/>
      <c r="AC310" s="3"/>
      <c r="AD310" s="3"/>
      <c r="AE310" s="3"/>
      <c r="AF310" s="3"/>
      <c r="AG310" s="3"/>
      <c r="AH310" s="3"/>
      <c r="AI310" s="3"/>
      <c r="AJ310" s="3"/>
      <c r="AK310" s="3"/>
      <c r="AL310" s="3"/>
      <c r="AM310" s="3"/>
      <c r="AN310" s="3"/>
      <c r="AO310" s="3"/>
    </row>
    <row r="311" spans="2:41" x14ac:dyDescent="0.25">
      <c r="B311" s="13"/>
      <c r="C311" s="14"/>
      <c r="D311" s="60"/>
      <c r="E311" s="56"/>
      <c r="F311" s="56"/>
      <c r="G311" s="14"/>
      <c r="H311" s="56"/>
      <c r="I311" s="14"/>
      <c r="J311" s="14"/>
      <c r="K311" s="14"/>
      <c r="L311" s="14"/>
      <c r="M311" s="14"/>
      <c r="N311" s="14"/>
      <c r="O311" s="14"/>
      <c r="P311" s="14"/>
      <c r="Q311" s="14"/>
      <c r="R311" s="14"/>
      <c r="S311" s="14"/>
      <c r="T311" s="14"/>
      <c r="U311" s="14"/>
      <c r="V311" s="14"/>
      <c r="W311" s="14"/>
      <c r="X311" s="14"/>
      <c r="Y311" s="14"/>
      <c r="Z311" s="14"/>
      <c r="AA311" s="15"/>
      <c r="AB311" s="3"/>
      <c r="AC311" s="3"/>
      <c r="AD311" s="3"/>
      <c r="AE311" s="3"/>
      <c r="AF311" s="3"/>
      <c r="AG311" s="3"/>
      <c r="AH311" s="3"/>
      <c r="AI311" s="3"/>
      <c r="AJ311" s="3"/>
      <c r="AK311" s="3"/>
      <c r="AL311" s="3"/>
      <c r="AM311" s="3"/>
      <c r="AN311" s="3"/>
      <c r="AO311" s="3"/>
    </row>
    <row r="312" spans="2:41" ht="18.75" x14ac:dyDescent="0.3">
      <c r="B312" s="67"/>
      <c r="C312" s="56"/>
      <c r="D312" s="60"/>
      <c r="E312" s="56"/>
      <c r="F312" s="56"/>
      <c r="G312" s="56"/>
      <c r="H312" s="56"/>
      <c r="I312" s="74"/>
      <c r="J312" s="14"/>
      <c r="K312" s="14"/>
      <c r="L312" s="14"/>
      <c r="M312" s="14"/>
      <c r="N312" s="14"/>
      <c r="O312" s="14"/>
      <c r="P312" s="14"/>
      <c r="Q312" s="14"/>
      <c r="R312" s="14"/>
      <c r="S312" s="14"/>
      <c r="T312" s="14"/>
      <c r="U312" s="14"/>
      <c r="V312" s="14"/>
      <c r="W312" s="14"/>
      <c r="X312" s="14"/>
      <c r="Y312" s="14"/>
      <c r="Z312" s="14"/>
      <c r="AA312" s="15"/>
      <c r="AB312" s="3"/>
      <c r="AC312" s="3"/>
      <c r="AD312" s="3"/>
      <c r="AE312" s="3"/>
      <c r="AF312" s="3"/>
      <c r="AG312" s="3"/>
      <c r="AH312" s="3"/>
      <c r="AI312" s="3"/>
      <c r="AJ312" s="3"/>
      <c r="AK312" s="3"/>
      <c r="AL312" s="3"/>
      <c r="AM312" s="3"/>
      <c r="AN312" s="3"/>
      <c r="AO312" s="3"/>
    </row>
    <row r="313" spans="2:41" x14ac:dyDescent="0.25">
      <c r="B313" s="13"/>
      <c r="C313" s="14"/>
      <c r="D313" s="60"/>
      <c r="E313" s="56"/>
      <c r="F313" s="56"/>
      <c r="G313" s="14"/>
      <c r="H313" s="56"/>
      <c r="I313" s="14"/>
      <c r="J313" s="14"/>
      <c r="K313" s="14"/>
      <c r="L313" s="14"/>
      <c r="M313" s="14"/>
      <c r="N313" s="14"/>
      <c r="O313" s="14"/>
      <c r="P313" s="14"/>
      <c r="Q313" s="14"/>
      <c r="R313" s="14"/>
      <c r="S313" s="14"/>
      <c r="T313" s="14"/>
      <c r="U313" s="14"/>
      <c r="V313" s="14"/>
      <c r="W313" s="14"/>
      <c r="X313" s="14"/>
      <c r="Y313" s="14"/>
      <c r="Z313" s="14"/>
      <c r="AA313" s="15"/>
      <c r="AB313" s="3"/>
      <c r="AC313" s="3"/>
      <c r="AD313" s="3"/>
      <c r="AE313" s="3"/>
      <c r="AF313" s="3"/>
      <c r="AG313" s="3"/>
      <c r="AH313" s="3"/>
      <c r="AI313" s="3"/>
      <c r="AJ313" s="3"/>
      <c r="AK313" s="3"/>
      <c r="AL313" s="3"/>
      <c r="AM313" s="3"/>
      <c r="AN313" s="3"/>
      <c r="AO313" s="3"/>
    </row>
    <row r="314" spans="2:41" x14ac:dyDescent="0.25">
      <c r="B314" s="13"/>
      <c r="C314" s="14"/>
      <c r="D314" s="14"/>
      <c r="E314" s="56"/>
      <c r="F314" s="56"/>
      <c r="G314" s="14"/>
      <c r="H314" s="56"/>
      <c r="I314" s="14"/>
      <c r="J314" s="14"/>
      <c r="K314" s="14"/>
      <c r="L314" s="14"/>
      <c r="M314" s="14"/>
      <c r="N314" s="14"/>
      <c r="O314" s="14"/>
      <c r="P314" s="14"/>
      <c r="Q314" s="14"/>
      <c r="R314" s="14"/>
      <c r="S314" s="14"/>
      <c r="T314" s="14"/>
      <c r="U314" s="14"/>
      <c r="V314" s="14"/>
      <c r="W314" s="14"/>
      <c r="X314" s="14"/>
      <c r="Y314" s="14"/>
      <c r="Z314" s="14"/>
      <c r="AA314" s="15"/>
      <c r="AB314" s="3"/>
      <c r="AC314" s="3"/>
      <c r="AD314" s="3"/>
      <c r="AE314" s="3"/>
      <c r="AF314" s="3"/>
      <c r="AG314" s="3"/>
      <c r="AH314" s="3"/>
      <c r="AI314" s="3"/>
      <c r="AJ314" s="3"/>
      <c r="AK314" s="3"/>
      <c r="AL314" s="3"/>
      <c r="AM314" s="3"/>
      <c r="AN314" s="3"/>
      <c r="AO314" s="3"/>
    </row>
    <row r="315" spans="2:41" x14ac:dyDescent="0.25">
      <c r="B315" s="13"/>
      <c r="C315" s="14"/>
      <c r="D315" s="60"/>
      <c r="E315" s="56"/>
      <c r="F315" s="56"/>
      <c r="G315" s="14"/>
      <c r="H315" s="14"/>
      <c r="I315" s="14"/>
      <c r="J315" s="14"/>
      <c r="K315" s="14"/>
      <c r="L315" s="14"/>
      <c r="M315" s="14"/>
      <c r="N315" s="14"/>
      <c r="O315" s="14"/>
      <c r="P315" s="14"/>
      <c r="Q315" s="14"/>
      <c r="R315" s="14"/>
      <c r="S315" s="14"/>
      <c r="T315" s="14"/>
      <c r="U315" s="14"/>
      <c r="V315" s="14"/>
      <c r="W315" s="14"/>
      <c r="X315" s="14"/>
      <c r="Y315" s="14"/>
      <c r="Z315" s="14"/>
      <c r="AA315" s="15"/>
      <c r="AB315" s="3"/>
      <c r="AC315" s="3"/>
      <c r="AD315" s="3"/>
      <c r="AE315" s="3"/>
      <c r="AF315" s="3"/>
      <c r="AG315" s="3"/>
      <c r="AH315" s="3"/>
      <c r="AI315" s="3"/>
      <c r="AJ315" s="3"/>
      <c r="AK315" s="3"/>
      <c r="AL315" s="3"/>
      <c r="AM315" s="3"/>
      <c r="AN315" s="3"/>
      <c r="AO315" s="3"/>
    </row>
    <row r="316" spans="2:41" x14ac:dyDescent="0.25">
      <c r="B316" s="13"/>
      <c r="C316" s="14"/>
      <c r="D316" s="60"/>
      <c r="E316" s="56"/>
      <c r="F316" s="56"/>
      <c r="G316" s="14"/>
      <c r="H316" s="56"/>
      <c r="I316" s="14"/>
      <c r="J316" s="14"/>
      <c r="K316" s="14"/>
      <c r="L316" s="14"/>
      <c r="M316" s="14"/>
      <c r="N316" s="14"/>
      <c r="O316" s="14"/>
      <c r="P316" s="14"/>
      <c r="Q316" s="14"/>
      <c r="R316" s="14"/>
      <c r="S316" s="14"/>
      <c r="T316" s="14"/>
      <c r="U316" s="14"/>
      <c r="V316" s="14"/>
      <c r="W316" s="14"/>
      <c r="X316" s="14"/>
      <c r="Y316" s="14"/>
      <c r="Z316" s="14"/>
      <c r="AA316" s="15"/>
      <c r="AB316" s="3"/>
      <c r="AC316" s="3"/>
      <c r="AD316" s="3"/>
      <c r="AE316" s="3"/>
      <c r="AF316" s="3"/>
      <c r="AG316" s="3"/>
      <c r="AH316" s="3"/>
      <c r="AI316" s="3"/>
      <c r="AJ316" s="3"/>
      <c r="AK316" s="3"/>
      <c r="AL316" s="3"/>
      <c r="AM316" s="3"/>
      <c r="AN316" s="3"/>
      <c r="AO316" s="3"/>
    </row>
    <row r="317" spans="2:41" x14ac:dyDescent="0.25">
      <c r="B317" s="13"/>
      <c r="C317" s="14"/>
      <c r="D317" s="60"/>
      <c r="E317" s="56"/>
      <c r="F317" s="56"/>
      <c r="G317" s="14"/>
      <c r="H317" s="56"/>
      <c r="I317" s="14"/>
      <c r="J317" s="14"/>
      <c r="K317" s="14"/>
      <c r="L317" s="14"/>
      <c r="M317" s="14"/>
      <c r="N317" s="14"/>
      <c r="O317" s="14"/>
      <c r="P317" s="14"/>
      <c r="Q317" s="14"/>
      <c r="R317" s="14"/>
      <c r="S317" s="14"/>
      <c r="T317" s="14"/>
      <c r="U317" s="14"/>
      <c r="V317" s="14"/>
      <c r="W317" s="14"/>
      <c r="X317" s="14"/>
      <c r="Y317" s="14"/>
      <c r="Z317" s="14"/>
      <c r="AA317" s="15"/>
      <c r="AB317" s="3"/>
      <c r="AC317" s="3"/>
      <c r="AD317" s="3"/>
      <c r="AE317" s="3"/>
      <c r="AF317" s="3"/>
      <c r="AG317" s="3"/>
      <c r="AH317" s="3"/>
      <c r="AI317" s="3"/>
      <c r="AJ317" s="3"/>
      <c r="AK317" s="3"/>
      <c r="AL317" s="3"/>
      <c r="AM317" s="3"/>
      <c r="AN317" s="3"/>
      <c r="AO317" s="3"/>
    </row>
    <row r="318" spans="2:41" x14ac:dyDescent="0.25">
      <c r="B318" s="13"/>
      <c r="C318" s="14"/>
      <c r="D318" s="60"/>
      <c r="E318" s="56"/>
      <c r="F318" s="56"/>
      <c r="G318" s="14"/>
      <c r="H318" s="56"/>
      <c r="I318" s="14"/>
      <c r="J318" s="14"/>
      <c r="K318" s="14"/>
      <c r="L318" s="14"/>
      <c r="M318" s="14"/>
      <c r="N318" s="14"/>
      <c r="O318" s="14"/>
      <c r="P318" s="14"/>
      <c r="Q318" s="14"/>
      <c r="R318" s="14"/>
      <c r="S318" s="14"/>
      <c r="T318" s="14"/>
      <c r="U318" s="14"/>
      <c r="V318" s="14"/>
      <c r="W318" s="14"/>
      <c r="X318" s="14"/>
      <c r="Y318" s="14"/>
      <c r="Z318" s="14"/>
      <c r="AA318" s="15"/>
      <c r="AB318" s="3"/>
      <c r="AC318" s="3"/>
      <c r="AD318" s="3"/>
      <c r="AE318" s="3"/>
      <c r="AF318" s="3"/>
      <c r="AG318" s="3"/>
      <c r="AH318" s="3"/>
      <c r="AI318" s="3"/>
      <c r="AJ318" s="3"/>
      <c r="AK318" s="3"/>
      <c r="AL318" s="3"/>
      <c r="AM318" s="3"/>
      <c r="AN318" s="3"/>
      <c r="AO318" s="3"/>
    </row>
    <row r="319" spans="2:41" x14ac:dyDescent="0.25">
      <c r="B319" s="13"/>
      <c r="C319" s="56"/>
      <c r="D319" s="60"/>
      <c r="E319" s="56"/>
      <c r="F319" s="56"/>
      <c r="G319" s="56"/>
      <c r="H319" s="56"/>
      <c r="I319" s="14"/>
      <c r="J319" s="14"/>
      <c r="K319" s="14"/>
      <c r="L319" s="14"/>
      <c r="M319" s="14"/>
      <c r="N319" s="14"/>
      <c r="O319" s="14"/>
      <c r="P319" s="14"/>
      <c r="Q319" s="14"/>
      <c r="R319" s="14"/>
      <c r="S319" s="14"/>
      <c r="T319" s="14"/>
      <c r="U319" s="14"/>
      <c r="V319" s="14"/>
      <c r="W319" s="14"/>
      <c r="X319" s="14"/>
      <c r="Y319" s="14"/>
      <c r="Z319" s="14"/>
      <c r="AA319" s="15"/>
      <c r="AB319" s="3"/>
      <c r="AC319" s="3"/>
      <c r="AD319" s="3"/>
      <c r="AE319" s="3"/>
      <c r="AF319" s="3"/>
      <c r="AG319" s="3"/>
      <c r="AH319" s="3"/>
      <c r="AI319" s="3"/>
      <c r="AJ319" s="3"/>
      <c r="AK319" s="3"/>
      <c r="AL319" s="3"/>
      <c r="AM319" s="3"/>
      <c r="AN319" s="3"/>
      <c r="AO319" s="3"/>
    </row>
    <row r="320" spans="2:41" ht="18.75" x14ac:dyDescent="0.3">
      <c r="B320" s="67"/>
      <c r="C320" s="14"/>
      <c r="D320" s="60"/>
      <c r="E320" s="56"/>
      <c r="F320" s="56"/>
      <c r="G320" s="14"/>
      <c r="H320" s="56"/>
      <c r="I320" s="74"/>
      <c r="J320" s="14"/>
      <c r="K320" s="14"/>
      <c r="L320" s="14"/>
      <c r="M320" s="14"/>
      <c r="N320" s="14"/>
      <c r="O320" s="14"/>
      <c r="P320" s="14"/>
      <c r="Q320" s="14"/>
      <c r="R320" s="14"/>
      <c r="S320" s="14"/>
      <c r="T320" s="14"/>
      <c r="U320" s="14"/>
      <c r="V320" s="14"/>
      <c r="W320" s="14"/>
      <c r="X320" s="14"/>
      <c r="Y320" s="14"/>
      <c r="Z320" s="14"/>
      <c r="AA320" s="15"/>
      <c r="AB320" s="3"/>
      <c r="AC320" s="3"/>
      <c r="AD320" s="3"/>
      <c r="AE320" s="3"/>
      <c r="AF320" s="3"/>
      <c r="AG320" s="3"/>
      <c r="AH320" s="3"/>
      <c r="AI320" s="3"/>
      <c r="AJ320" s="3"/>
      <c r="AK320" s="3"/>
      <c r="AL320" s="3"/>
      <c r="AM320" s="3"/>
      <c r="AN320" s="3"/>
      <c r="AO320" s="3"/>
    </row>
    <row r="321" spans="2:41" x14ac:dyDescent="0.25">
      <c r="B321" s="13"/>
      <c r="C321" s="14"/>
      <c r="D321" s="14"/>
      <c r="E321" s="56"/>
      <c r="F321" s="56"/>
      <c r="G321" s="14"/>
      <c r="H321" s="56"/>
      <c r="I321" s="14"/>
      <c r="J321" s="14"/>
      <c r="K321" s="14"/>
      <c r="L321" s="14"/>
      <c r="M321" s="14"/>
      <c r="N321" s="14"/>
      <c r="O321" s="14"/>
      <c r="P321" s="14"/>
      <c r="Q321" s="14"/>
      <c r="R321" s="14"/>
      <c r="S321" s="14"/>
      <c r="T321" s="14"/>
      <c r="U321" s="14"/>
      <c r="V321" s="14"/>
      <c r="W321" s="14"/>
      <c r="X321" s="14"/>
      <c r="Y321" s="14"/>
      <c r="Z321" s="14"/>
      <c r="AA321" s="15"/>
      <c r="AB321" s="3"/>
      <c r="AC321" s="3"/>
      <c r="AD321" s="3"/>
      <c r="AE321" s="3"/>
      <c r="AF321" s="3"/>
      <c r="AG321" s="3"/>
      <c r="AH321" s="3"/>
      <c r="AI321" s="3"/>
      <c r="AJ321" s="3"/>
      <c r="AK321" s="3"/>
      <c r="AL321" s="3"/>
      <c r="AM321" s="3"/>
      <c r="AN321" s="3"/>
      <c r="AO321" s="3"/>
    </row>
    <row r="322" spans="2:41" x14ac:dyDescent="0.25">
      <c r="B322" s="13"/>
      <c r="C322" s="14"/>
      <c r="D322" s="60"/>
      <c r="E322" s="56"/>
      <c r="F322" s="56"/>
      <c r="G322" s="14"/>
      <c r="H322" s="14"/>
      <c r="I322" s="14"/>
      <c r="J322" s="14"/>
      <c r="K322" s="14"/>
      <c r="L322" s="14"/>
      <c r="M322" s="14"/>
      <c r="N322" s="14"/>
      <c r="O322" s="14"/>
      <c r="P322" s="14"/>
      <c r="Q322" s="14"/>
      <c r="R322" s="14"/>
      <c r="S322" s="14"/>
      <c r="T322" s="14"/>
      <c r="U322" s="14"/>
      <c r="V322" s="14"/>
      <c r="W322" s="14"/>
      <c r="X322" s="14"/>
      <c r="Y322" s="14"/>
      <c r="Z322" s="14"/>
      <c r="AA322" s="15"/>
      <c r="AB322" s="3"/>
      <c r="AC322" s="3"/>
      <c r="AD322" s="3"/>
      <c r="AE322" s="3"/>
      <c r="AF322" s="3"/>
      <c r="AG322" s="3"/>
      <c r="AH322" s="3"/>
      <c r="AI322" s="3"/>
      <c r="AJ322" s="3"/>
      <c r="AK322" s="3"/>
      <c r="AL322" s="3"/>
      <c r="AM322" s="3"/>
      <c r="AN322" s="3"/>
      <c r="AO322" s="3"/>
    </row>
    <row r="323" spans="2:41" x14ac:dyDescent="0.25">
      <c r="B323" s="13"/>
      <c r="C323" s="14"/>
      <c r="D323" s="60"/>
      <c r="E323" s="56"/>
      <c r="F323" s="56"/>
      <c r="G323" s="14"/>
      <c r="H323" s="56"/>
      <c r="I323" s="14"/>
      <c r="J323" s="14"/>
      <c r="K323" s="14"/>
      <c r="L323" s="14"/>
      <c r="M323" s="14"/>
      <c r="N323" s="14"/>
      <c r="O323" s="14"/>
      <c r="P323" s="14"/>
      <c r="Q323" s="14"/>
      <c r="R323" s="14"/>
      <c r="S323" s="14"/>
      <c r="T323" s="14"/>
      <c r="U323" s="14"/>
      <c r="V323" s="14"/>
      <c r="W323" s="14"/>
      <c r="X323" s="14"/>
      <c r="Y323" s="14"/>
      <c r="Z323" s="14"/>
      <c r="AA323" s="15"/>
      <c r="AB323" s="3"/>
      <c r="AC323" s="3"/>
      <c r="AD323" s="3"/>
      <c r="AE323" s="3"/>
      <c r="AF323" s="3"/>
      <c r="AG323" s="3"/>
      <c r="AH323" s="3"/>
      <c r="AI323" s="3"/>
      <c r="AJ323" s="3"/>
      <c r="AK323" s="3"/>
      <c r="AL323" s="3"/>
      <c r="AM323" s="3"/>
      <c r="AN323" s="3"/>
      <c r="AO323" s="3"/>
    </row>
    <row r="324" spans="2:41" x14ac:dyDescent="0.25">
      <c r="B324" s="13"/>
      <c r="C324" s="14"/>
      <c r="D324" s="60"/>
      <c r="E324" s="56"/>
      <c r="F324" s="56"/>
      <c r="G324" s="14"/>
      <c r="H324" s="56"/>
      <c r="I324" s="14"/>
      <c r="J324" s="14"/>
      <c r="K324" s="14"/>
      <c r="L324" s="14"/>
      <c r="M324" s="14"/>
      <c r="N324" s="14"/>
      <c r="O324" s="14"/>
      <c r="P324" s="14"/>
      <c r="Q324" s="14"/>
      <c r="R324" s="14"/>
      <c r="S324" s="14"/>
      <c r="T324" s="14"/>
      <c r="U324" s="14"/>
      <c r="V324" s="14"/>
      <c r="W324" s="14"/>
      <c r="X324" s="14"/>
      <c r="Y324" s="14"/>
      <c r="Z324" s="14"/>
      <c r="AA324" s="15"/>
      <c r="AB324" s="3"/>
      <c r="AC324" s="3"/>
      <c r="AD324" s="3"/>
      <c r="AE324" s="3"/>
      <c r="AF324" s="3"/>
      <c r="AG324" s="3"/>
      <c r="AH324" s="3"/>
      <c r="AI324" s="3"/>
      <c r="AJ324" s="3"/>
      <c r="AK324" s="3"/>
      <c r="AL324" s="3"/>
      <c r="AM324" s="3"/>
      <c r="AN324" s="3"/>
      <c r="AO324" s="3"/>
    </row>
    <row r="325" spans="2:41" x14ac:dyDescent="0.25">
      <c r="B325" s="13"/>
      <c r="C325" s="14"/>
      <c r="D325" s="60"/>
      <c r="E325" s="56"/>
      <c r="F325" s="56"/>
      <c r="G325" s="14"/>
      <c r="H325" s="56"/>
      <c r="I325" s="14"/>
      <c r="J325" s="14"/>
      <c r="K325" s="14"/>
      <c r="L325" s="14"/>
      <c r="M325" s="14"/>
      <c r="N325" s="14"/>
      <c r="O325" s="14"/>
      <c r="P325" s="14"/>
      <c r="Q325" s="14"/>
      <c r="R325" s="14"/>
      <c r="S325" s="14"/>
      <c r="T325" s="14"/>
      <c r="U325" s="14"/>
      <c r="V325" s="14"/>
      <c r="W325" s="14"/>
      <c r="X325" s="14"/>
      <c r="Y325" s="14"/>
      <c r="Z325" s="14"/>
      <c r="AA325" s="15"/>
      <c r="AB325" s="3"/>
      <c r="AC325" s="3"/>
      <c r="AD325" s="3"/>
      <c r="AE325" s="3"/>
      <c r="AF325" s="3"/>
      <c r="AG325" s="3"/>
      <c r="AH325" s="3"/>
      <c r="AI325" s="3"/>
      <c r="AJ325" s="3"/>
      <c r="AK325" s="3"/>
      <c r="AL325" s="3"/>
      <c r="AM325" s="3"/>
      <c r="AN325" s="3"/>
      <c r="AO325" s="3"/>
    </row>
    <row r="326" spans="2:41" x14ac:dyDescent="0.25">
      <c r="B326" s="13"/>
      <c r="C326" s="56"/>
      <c r="D326" s="60"/>
      <c r="E326" s="56"/>
      <c r="F326" s="56"/>
      <c r="G326" s="56"/>
      <c r="H326" s="56"/>
      <c r="I326" s="14"/>
      <c r="J326" s="14"/>
      <c r="K326" s="14"/>
      <c r="L326" s="14"/>
      <c r="M326" s="14"/>
      <c r="N326" s="14"/>
      <c r="O326" s="14"/>
      <c r="P326" s="14"/>
      <c r="Q326" s="14"/>
      <c r="R326" s="14"/>
      <c r="S326" s="14"/>
      <c r="T326" s="14"/>
      <c r="U326" s="14"/>
      <c r="V326" s="14"/>
      <c r="W326" s="14"/>
      <c r="X326" s="14"/>
      <c r="Y326" s="14"/>
      <c r="Z326" s="14"/>
      <c r="AA326" s="15"/>
      <c r="AB326" s="3"/>
      <c r="AC326" s="3"/>
      <c r="AD326" s="3"/>
      <c r="AE326" s="3"/>
      <c r="AF326" s="3"/>
      <c r="AG326" s="3"/>
      <c r="AH326" s="3"/>
      <c r="AI326" s="3"/>
      <c r="AJ326" s="3"/>
      <c r="AK326" s="3"/>
      <c r="AL326" s="3"/>
      <c r="AM326" s="3"/>
      <c r="AN326" s="3"/>
      <c r="AO326" s="3"/>
    </row>
    <row r="327" spans="2:41" x14ac:dyDescent="0.25">
      <c r="B327" s="13"/>
      <c r="C327" s="14"/>
      <c r="D327" s="60"/>
      <c r="E327" s="56"/>
      <c r="F327" s="56"/>
      <c r="G327" s="14"/>
      <c r="H327" s="56"/>
      <c r="I327" s="14"/>
      <c r="J327" s="14"/>
      <c r="K327" s="14"/>
      <c r="L327" s="14"/>
      <c r="M327" s="14"/>
      <c r="N327" s="14"/>
      <c r="O327" s="14"/>
      <c r="P327" s="14"/>
      <c r="Q327" s="14"/>
      <c r="R327" s="14"/>
      <c r="S327" s="14"/>
      <c r="T327" s="14"/>
      <c r="U327" s="14"/>
      <c r="V327" s="14"/>
      <c r="W327" s="14"/>
      <c r="X327" s="14"/>
      <c r="Y327" s="14"/>
      <c r="Z327" s="14"/>
      <c r="AA327" s="15"/>
      <c r="AB327" s="3"/>
      <c r="AC327" s="3"/>
      <c r="AD327" s="3"/>
      <c r="AE327" s="3"/>
      <c r="AF327" s="3"/>
      <c r="AG327" s="3"/>
      <c r="AH327" s="3"/>
      <c r="AI327" s="3"/>
      <c r="AJ327" s="3"/>
      <c r="AK327" s="3"/>
      <c r="AL327" s="3"/>
      <c r="AM327" s="3"/>
      <c r="AN327" s="3"/>
      <c r="AO327" s="3"/>
    </row>
    <row r="328" spans="2:41" ht="18.75" x14ac:dyDescent="0.3">
      <c r="B328" s="67"/>
      <c r="C328" s="14"/>
      <c r="D328" s="14"/>
      <c r="E328" s="56"/>
      <c r="F328" s="56"/>
      <c r="G328" s="14"/>
      <c r="H328" s="56"/>
      <c r="I328" s="74"/>
      <c r="J328" s="14"/>
      <c r="K328" s="14"/>
      <c r="L328" s="14"/>
      <c r="M328" s="14"/>
      <c r="N328" s="14"/>
      <c r="O328" s="14"/>
      <c r="P328" s="14"/>
      <c r="Q328" s="14"/>
      <c r="R328" s="14"/>
      <c r="S328" s="14"/>
      <c r="T328" s="14"/>
      <c r="U328" s="14"/>
      <c r="V328" s="14"/>
      <c r="W328" s="14"/>
      <c r="X328" s="14"/>
      <c r="Y328" s="14"/>
      <c r="Z328" s="14"/>
      <c r="AA328" s="15"/>
      <c r="AB328" s="3"/>
      <c r="AC328" s="3"/>
      <c r="AD328" s="3"/>
      <c r="AE328" s="3"/>
      <c r="AF328" s="3"/>
      <c r="AG328" s="3"/>
      <c r="AH328" s="3"/>
      <c r="AI328" s="3"/>
      <c r="AJ328" s="3"/>
      <c r="AK328" s="3"/>
      <c r="AL328" s="3"/>
      <c r="AM328" s="3"/>
      <c r="AN328" s="3"/>
      <c r="AO328" s="3"/>
    </row>
    <row r="329" spans="2:41" x14ac:dyDescent="0.25">
      <c r="B329" s="13"/>
      <c r="C329" s="14"/>
      <c r="D329" s="60"/>
      <c r="E329" s="56"/>
      <c r="F329" s="56"/>
      <c r="G329" s="14"/>
      <c r="H329" s="14"/>
      <c r="I329" s="14"/>
      <c r="J329" s="14"/>
      <c r="K329" s="14"/>
      <c r="L329" s="14"/>
      <c r="M329" s="14"/>
      <c r="N329" s="14"/>
      <c r="O329" s="14"/>
      <c r="P329" s="14"/>
      <c r="Q329" s="14"/>
      <c r="R329" s="14"/>
      <c r="S329" s="14"/>
      <c r="T329" s="14"/>
      <c r="U329" s="14"/>
      <c r="V329" s="14"/>
      <c r="W329" s="14"/>
      <c r="X329" s="14"/>
      <c r="Y329" s="14"/>
      <c r="Z329" s="14"/>
      <c r="AA329" s="15"/>
      <c r="AB329" s="3"/>
      <c r="AC329" s="3"/>
      <c r="AD329" s="3"/>
      <c r="AE329" s="3"/>
      <c r="AF329" s="3"/>
      <c r="AG329" s="3"/>
      <c r="AH329" s="3"/>
      <c r="AI329" s="3"/>
      <c r="AJ329" s="3"/>
      <c r="AK329" s="3"/>
      <c r="AL329" s="3"/>
      <c r="AM329" s="3"/>
      <c r="AN329" s="3"/>
      <c r="AO329" s="3"/>
    </row>
    <row r="330" spans="2:41" x14ac:dyDescent="0.25">
      <c r="B330" s="13"/>
      <c r="C330" s="14"/>
      <c r="D330" s="60"/>
      <c r="E330" s="56"/>
      <c r="F330" s="56"/>
      <c r="G330" s="14"/>
      <c r="H330" s="56"/>
      <c r="I330" s="14"/>
      <c r="J330" s="14"/>
      <c r="K330" s="14"/>
      <c r="L330" s="14"/>
      <c r="M330" s="14"/>
      <c r="N330" s="14"/>
      <c r="O330" s="14"/>
      <c r="P330" s="14"/>
      <c r="Q330" s="14"/>
      <c r="R330" s="14"/>
      <c r="S330" s="14"/>
      <c r="T330" s="14"/>
      <c r="U330" s="14"/>
      <c r="V330" s="14"/>
      <c r="W330" s="14"/>
      <c r="X330" s="14"/>
      <c r="Y330" s="14"/>
      <c r="Z330" s="14"/>
      <c r="AA330" s="15"/>
      <c r="AB330" s="3"/>
      <c r="AC330" s="3"/>
      <c r="AD330" s="3"/>
      <c r="AE330" s="3"/>
      <c r="AF330" s="3"/>
      <c r="AG330" s="3"/>
      <c r="AH330" s="3"/>
      <c r="AI330" s="3"/>
      <c r="AJ330" s="3"/>
      <c r="AK330" s="3"/>
      <c r="AL330" s="3"/>
      <c r="AM330" s="3"/>
      <c r="AN330" s="3"/>
      <c r="AO330" s="3"/>
    </row>
    <row r="331" spans="2:41" x14ac:dyDescent="0.25">
      <c r="B331" s="13"/>
      <c r="C331" s="14"/>
      <c r="D331" s="60"/>
      <c r="E331" s="56"/>
      <c r="F331" s="56"/>
      <c r="G331" s="14"/>
      <c r="H331" s="56"/>
      <c r="I331" s="14"/>
      <c r="J331" s="14"/>
      <c r="K331" s="14"/>
      <c r="L331" s="14"/>
      <c r="M331" s="14"/>
      <c r="N331" s="14"/>
      <c r="O331" s="14"/>
      <c r="P331" s="14"/>
      <c r="Q331" s="14"/>
      <c r="R331" s="14"/>
      <c r="S331" s="14"/>
      <c r="T331" s="14"/>
      <c r="U331" s="14"/>
      <c r="V331" s="14"/>
      <c r="W331" s="14"/>
      <c r="X331" s="14"/>
      <c r="Y331" s="14"/>
      <c r="Z331" s="14"/>
      <c r="AA331" s="15"/>
      <c r="AB331" s="3"/>
      <c r="AC331" s="3"/>
      <c r="AD331" s="3"/>
      <c r="AE331" s="3"/>
      <c r="AF331" s="3"/>
      <c r="AG331" s="3"/>
      <c r="AH331" s="3"/>
      <c r="AI331" s="3"/>
      <c r="AJ331" s="3"/>
      <c r="AK331" s="3"/>
      <c r="AL331" s="3"/>
      <c r="AM331" s="3"/>
      <c r="AN331" s="3"/>
      <c r="AO331" s="3"/>
    </row>
    <row r="332" spans="2:41" x14ac:dyDescent="0.25">
      <c r="B332" s="13"/>
      <c r="C332" s="14"/>
      <c r="D332" s="60"/>
      <c r="E332" s="56"/>
      <c r="F332" s="56"/>
      <c r="G332" s="14"/>
      <c r="H332" s="56"/>
      <c r="I332" s="14"/>
      <c r="J332" s="14"/>
      <c r="K332" s="14"/>
      <c r="L332" s="14"/>
      <c r="M332" s="14"/>
      <c r="N332" s="14"/>
      <c r="O332" s="14"/>
      <c r="P332" s="14"/>
      <c r="Q332" s="14"/>
      <c r="R332" s="14"/>
      <c r="S332" s="14"/>
      <c r="T332" s="14"/>
      <c r="U332" s="14"/>
      <c r="V332" s="14"/>
      <c r="W332" s="14"/>
      <c r="X332" s="14"/>
      <c r="Y332" s="14"/>
      <c r="Z332" s="14"/>
      <c r="AA332" s="15"/>
      <c r="AB332" s="3"/>
      <c r="AC332" s="3"/>
      <c r="AD332" s="3"/>
      <c r="AE332" s="3"/>
      <c r="AF332" s="3"/>
      <c r="AG332" s="3"/>
      <c r="AH332" s="3"/>
      <c r="AI332" s="3"/>
      <c r="AJ332" s="3"/>
      <c r="AK332" s="3"/>
      <c r="AL332" s="3"/>
      <c r="AM332" s="3"/>
      <c r="AN332" s="3"/>
      <c r="AO332" s="3"/>
    </row>
    <row r="333" spans="2:41" x14ac:dyDescent="0.25">
      <c r="B333" s="13"/>
      <c r="C333" s="56"/>
      <c r="D333" s="60"/>
      <c r="E333" s="56"/>
      <c r="F333" s="56"/>
      <c r="G333" s="56"/>
      <c r="H333" s="56"/>
      <c r="I333" s="14"/>
      <c r="J333" s="14"/>
      <c r="K333" s="14"/>
      <c r="L333" s="14"/>
      <c r="M333" s="14"/>
      <c r="N333" s="14"/>
      <c r="O333" s="14"/>
      <c r="P333" s="14"/>
      <c r="Q333" s="14"/>
      <c r="R333" s="14"/>
      <c r="S333" s="14"/>
      <c r="T333" s="14"/>
      <c r="U333" s="14"/>
      <c r="V333" s="14"/>
      <c r="W333" s="14"/>
      <c r="X333" s="14"/>
      <c r="Y333" s="14"/>
      <c r="Z333" s="14"/>
      <c r="AA333" s="15"/>
      <c r="AB333" s="3"/>
      <c r="AC333" s="3"/>
      <c r="AD333" s="3"/>
      <c r="AE333" s="3"/>
      <c r="AF333" s="3"/>
      <c r="AG333" s="3"/>
      <c r="AH333" s="3"/>
      <c r="AI333" s="3"/>
      <c r="AJ333" s="3"/>
      <c r="AK333" s="3"/>
      <c r="AL333" s="3"/>
      <c r="AM333" s="3"/>
      <c r="AN333" s="3"/>
      <c r="AO333" s="3"/>
    </row>
    <row r="334" spans="2:41" x14ac:dyDescent="0.25">
      <c r="B334" s="13"/>
      <c r="C334" s="14"/>
      <c r="D334" s="60"/>
      <c r="E334" s="56"/>
      <c r="F334" s="56"/>
      <c r="G334" s="14"/>
      <c r="H334" s="56"/>
      <c r="I334" s="14"/>
      <c r="J334" s="14"/>
      <c r="K334" s="14"/>
      <c r="L334" s="14"/>
      <c r="M334" s="14"/>
      <c r="N334" s="14"/>
      <c r="O334" s="14"/>
      <c r="P334" s="14"/>
      <c r="Q334" s="14"/>
      <c r="R334" s="14"/>
      <c r="S334" s="14"/>
      <c r="T334" s="14"/>
      <c r="U334" s="14"/>
      <c r="V334" s="14"/>
      <c r="W334" s="14"/>
      <c r="X334" s="14"/>
      <c r="Y334" s="14"/>
      <c r="Z334" s="14"/>
      <c r="AA334" s="15"/>
      <c r="AB334" s="3"/>
      <c r="AC334" s="3"/>
      <c r="AD334" s="3"/>
      <c r="AE334" s="3"/>
      <c r="AF334" s="3"/>
      <c r="AG334" s="3"/>
      <c r="AH334" s="3"/>
      <c r="AI334" s="3"/>
      <c r="AJ334" s="3"/>
      <c r="AK334" s="3"/>
      <c r="AL334" s="3"/>
      <c r="AM334" s="3"/>
      <c r="AN334" s="3"/>
      <c r="AO334" s="3"/>
    </row>
    <row r="335" spans="2:41" x14ac:dyDescent="0.25">
      <c r="B335" s="13"/>
      <c r="C335" s="14"/>
      <c r="D335" s="14"/>
      <c r="E335" s="56"/>
      <c r="F335" s="56"/>
      <c r="G335" s="14"/>
      <c r="H335" s="56"/>
      <c r="I335" s="14"/>
      <c r="J335" s="14"/>
      <c r="K335" s="14"/>
      <c r="L335" s="14"/>
      <c r="M335" s="14"/>
      <c r="N335" s="14"/>
      <c r="O335" s="14"/>
      <c r="P335" s="14"/>
      <c r="Q335" s="14"/>
      <c r="R335" s="14"/>
      <c r="S335" s="14"/>
      <c r="T335" s="14"/>
      <c r="U335" s="14"/>
      <c r="V335" s="14"/>
      <c r="W335" s="14"/>
      <c r="X335" s="14"/>
      <c r="Y335" s="14"/>
      <c r="Z335" s="14"/>
      <c r="AA335" s="15"/>
      <c r="AB335" s="3"/>
      <c r="AC335" s="3"/>
      <c r="AD335" s="3"/>
      <c r="AE335" s="3"/>
      <c r="AF335" s="3"/>
      <c r="AG335" s="3"/>
      <c r="AH335" s="3"/>
      <c r="AI335" s="3"/>
      <c r="AJ335" s="3"/>
      <c r="AK335" s="3"/>
      <c r="AL335" s="3"/>
      <c r="AM335" s="3"/>
      <c r="AN335" s="3"/>
      <c r="AO335" s="3"/>
    </row>
    <row r="336" spans="2:41" ht="18.75" x14ac:dyDescent="0.3">
      <c r="B336" s="67"/>
      <c r="C336" s="14"/>
      <c r="D336" s="60"/>
      <c r="E336" s="56"/>
      <c r="F336" s="56"/>
      <c r="G336" s="14"/>
      <c r="H336" s="14"/>
      <c r="I336" s="74"/>
      <c r="J336" s="14"/>
      <c r="K336" s="14"/>
      <c r="L336" s="14"/>
      <c r="M336" s="14"/>
      <c r="N336" s="14"/>
      <c r="O336" s="14"/>
      <c r="P336" s="14"/>
      <c r="Q336" s="14"/>
      <c r="R336" s="14"/>
      <c r="S336" s="14"/>
      <c r="T336" s="14"/>
      <c r="U336" s="14"/>
      <c r="V336" s="14"/>
      <c r="W336" s="14"/>
      <c r="X336" s="14"/>
      <c r="Y336" s="14"/>
      <c r="Z336" s="14"/>
      <c r="AA336" s="15"/>
      <c r="AB336" s="3"/>
      <c r="AC336" s="3"/>
      <c r="AD336" s="3"/>
      <c r="AE336" s="3"/>
      <c r="AF336" s="3"/>
      <c r="AG336" s="3"/>
      <c r="AH336" s="3"/>
      <c r="AI336" s="3"/>
      <c r="AJ336" s="3"/>
      <c r="AK336" s="3"/>
      <c r="AL336" s="3"/>
      <c r="AM336" s="3"/>
      <c r="AN336" s="3"/>
      <c r="AO336" s="3"/>
    </row>
    <row r="337" spans="2:41" x14ac:dyDescent="0.25">
      <c r="B337" s="13"/>
      <c r="C337" s="14"/>
      <c r="D337" s="60"/>
      <c r="E337" s="56"/>
      <c r="F337" s="56"/>
      <c r="G337" s="14"/>
      <c r="H337" s="56"/>
      <c r="I337" s="14"/>
      <c r="J337" s="14"/>
      <c r="K337" s="14"/>
      <c r="L337" s="14"/>
      <c r="M337" s="14"/>
      <c r="N337" s="14"/>
      <c r="O337" s="14"/>
      <c r="P337" s="14"/>
      <c r="Q337" s="14"/>
      <c r="R337" s="14"/>
      <c r="S337" s="14"/>
      <c r="T337" s="14"/>
      <c r="U337" s="14"/>
      <c r="V337" s="14"/>
      <c r="W337" s="14"/>
      <c r="X337" s="14"/>
      <c r="Y337" s="14"/>
      <c r="Z337" s="14"/>
      <c r="AA337" s="15"/>
      <c r="AB337" s="3"/>
      <c r="AC337" s="3"/>
      <c r="AD337" s="3"/>
      <c r="AE337" s="3"/>
      <c r="AF337" s="3"/>
      <c r="AG337" s="3"/>
      <c r="AH337" s="3"/>
      <c r="AI337" s="3"/>
      <c r="AJ337" s="3"/>
      <c r="AK337" s="3"/>
      <c r="AL337" s="3"/>
      <c r="AM337" s="3"/>
      <c r="AN337" s="3"/>
      <c r="AO337" s="3"/>
    </row>
    <row r="338" spans="2:41" x14ac:dyDescent="0.25">
      <c r="B338" s="13"/>
      <c r="C338" s="14"/>
      <c r="D338" s="60"/>
      <c r="E338" s="56"/>
      <c r="F338" s="56"/>
      <c r="G338" s="14"/>
      <c r="H338" s="56"/>
      <c r="I338" s="14"/>
      <c r="J338" s="14"/>
      <c r="K338" s="14"/>
      <c r="L338" s="14"/>
      <c r="M338" s="14"/>
      <c r="N338" s="14"/>
      <c r="O338" s="14"/>
      <c r="P338" s="14"/>
      <c r="Q338" s="14"/>
      <c r="R338" s="14"/>
      <c r="S338" s="14"/>
      <c r="T338" s="14"/>
      <c r="U338" s="14"/>
      <c r="V338" s="14"/>
      <c r="W338" s="14"/>
      <c r="X338" s="14"/>
      <c r="Y338" s="14"/>
      <c r="Z338" s="14"/>
      <c r="AA338" s="15"/>
      <c r="AB338" s="3"/>
      <c r="AC338" s="3"/>
      <c r="AD338" s="3"/>
      <c r="AE338" s="3"/>
      <c r="AF338" s="3"/>
      <c r="AG338" s="3"/>
      <c r="AH338" s="3"/>
      <c r="AI338" s="3"/>
      <c r="AJ338" s="3"/>
      <c r="AK338" s="3"/>
      <c r="AL338" s="3"/>
      <c r="AM338" s="3"/>
      <c r="AN338" s="3"/>
      <c r="AO338" s="3"/>
    </row>
    <row r="339" spans="2:41" x14ac:dyDescent="0.25">
      <c r="B339" s="13"/>
      <c r="C339" s="14"/>
      <c r="D339" s="60"/>
      <c r="E339" s="56"/>
      <c r="F339" s="56"/>
      <c r="G339" s="14"/>
      <c r="H339" s="56"/>
      <c r="I339" s="14"/>
      <c r="J339" s="14"/>
      <c r="K339" s="14"/>
      <c r="L339" s="14"/>
      <c r="M339" s="14"/>
      <c r="N339" s="14"/>
      <c r="O339" s="14"/>
      <c r="P339" s="14"/>
      <c r="Q339" s="14"/>
      <c r="R339" s="14"/>
      <c r="S339" s="14"/>
      <c r="T339" s="14"/>
      <c r="U339" s="14"/>
      <c r="V339" s="14"/>
      <c r="W339" s="14"/>
      <c r="X339" s="14"/>
      <c r="Y339" s="14"/>
      <c r="Z339" s="14"/>
      <c r="AA339" s="15"/>
      <c r="AB339" s="3"/>
      <c r="AC339" s="3"/>
      <c r="AD339" s="3"/>
      <c r="AE339" s="3"/>
      <c r="AF339" s="3"/>
      <c r="AG339" s="3"/>
      <c r="AH339" s="3"/>
      <c r="AI339" s="3"/>
      <c r="AJ339" s="3"/>
      <c r="AK339" s="3"/>
      <c r="AL339" s="3"/>
      <c r="AM339" s="3"/>
      <c r="AN339" s="3"/>
      <c r="AO339" s="3"/>
    </row>
    <row r="340" spans="2:41" x14ac:dyDescent="0.25">
      <c r="B340" s="13"/>
      <c r="C340" s="56"/>
      <c r="D340" s="60"/>
      <c r="E340" s="56"/>
      <c r="F340" s="56"/>
      <c r="G340" s="56"/>
      <c r="H340" s="56"/>
      <c r="I340" s="14"/>
      <c r="J340" s="14"/>
      <c r="K340" s="14"/>
      <c r="L340" s="14"/>
      <c r="M340" s="14"/>
      <c r="N340" s="14"/>
      <c r="O340" s="14"/>
      <c r="P340" s="14"/>
      <c r="Q340" s="14"/>
      <c r="R340" s="14"/>
      <c r="S340" s="14"/>
      <c r="T340" s="14"/>
      <c r="U340" s="14"/>
      <c r="V340" s="14"/>
      <c r="W340" s="14"/>
      <c r="X340" s="14"/>
      <c r="Y340" s="14"/>
      <c r="Z340" s="14"/>
      <c r="AA340" s="15"/>
      <c r="AB340" s="3"/>
      <c r="AC340" s="3"/>
      <c r="AD340" s="3"/>
      <c r="AE340" s="3"/>
      <c r="AF340" s="3"/>
      <c r="AG340" s="3"/>
      <c r="AH340" s="3"/>
      <c r="AI340" s="3"/>
      <c r="AJ340" s="3"/>
      <c r="AK340" s="3"/>
      <c r="AL340" s="3"/>
      <c r="AM340" s="3"/>
      <c r="AN340" s="3"/>
      <c r="AO340" s="3"/>
    </row>
    <row r="341" spans="2:41" x14ac:dyDescent="0.25">
      <c r="B341" s="13"/>
      <c r="C341" s="14"/>
      <c r="D341" s="60"/>
      <c r="E341" s="56"/>
      <c r="F341" s="56"/>
      <c r="G341" s="14"/>
      <c r="H341" s="56"/>
      <c r="I341" s="14"/>
      <c r="J341" s="14"/>
      <c r="K341" s="14"/>
      <c r="L341" s="14"/>
      <c r="M341" s="14"/>
      <c r="N341" s="14"/>
      <c r="O341" s="14"/>
      <c r="P341" s="14"/>
      <c r="Q341" s="14"/>
      <c r="R341" s="14"/>
      <c r="S341" s="14"/>
      <c r="T341" s="14"/>
      <c r="U341" s="14"/>
      <c r="V341" s="14"/>
      <c r="W341" s="14"/>
      <c r="X341" s="14"/>
      <c r="Y341" s="14"/>
      <c r="Z341" s="14"/>
      <c r="AA341" s="15"/>
      <c r="AB341" s="3"/>
      <c r="AC341" s="3"/>
      <c r="AD341" s="3"/>
      <c r="AE341" s="3"/>
      <c r="AF341" s="3"/>
      <c r="AG341" s="3"/>
      <c r="AH341" s="3"/>
      <c r="AI341" s="3"/>
      <c r="AJ341" s="3"/>
      <c r="AK341" s="3"/>
      <c r="AL341" s="3"/>
      <c r="AM341" s="3"/>
      <c r="AN341" s="3"/>
      <c r="AO341" s="3"/>
    </row>
    <row r="342" spans="2:41" x14ac:dyDescent="0.25">
      <c r="B342" s="13"/>
      <c r="C342" s="14"/>
      <c r="D342" s="14"/>
      <c r="E342" s="56"/>
      <c r="F342" s="56"/>
      <c r="G342" s="14"/>
      <c r="H342" s="56"/>
      <c r="I342" s="14"/>
      <c r="J342" s="14"/>
      <c r="K342" s="14"/>
      <c r="L342" s="14"/>
      <c r="M342" s="14"/>
      <c r="N342" s="14"/>
      <c r="O342" s="14"/>
      <c r="P342" s="14"/>
      <c r="Q342" s="14"/>
      <c r="R342" s="14"/>
      <c r="S342" s="14"/>
      <c r="T342" s="14"/>
      <c r="U342" s="14"/>
      <c r="V342" s="14"/>
      <c r="W342" s="14"/>
      <c r="X342" s="14"/>
      <c r="Y342" s="14"/>
      <c r="Z342" s="14"/>
      <c r="AA342" s="15"/>
      <c r="AB342" s="3"/>
      <c r="AC342" s="3"/>
      <c r="AD342" s="3"/>
      <c r="AE342" s="3"/>
      <c r="AF342" s="3"/>
      <c r="AG342" s="3"/>
      <c r="AH342" s="3"/>
      <c r="AI342" s="3"/>
      <c r="AJ342" s="3"/>
      <c r="AK342" s="3"/>
      <c r="AL342" s="3"/>
      <c r="AM342" s="3"/>
      <c r="AN342" s="3"/>
      <c r="AO342" s="3"/>
    </row>
    <row r="343" spans="2:41" x14ac:dyDescent="0.25">
      <c r="B343" s="13"/>
      <c r="C343" s="14"/>
      <c r="D343" s="60"/>
      <c r="E343" s="56"/>
      <c r="F343" s="56"/>
      <c r="G343" s="14"/>
      <c r="H343" s="14"/>
      <c r="I343" s="14"/>
      <c r="J343" s="14"/>
      <c r="K343" s="14"/>
      <c r="L343" s="14"/>
      <c r="M343" s="14"/>
      <c r="N343" s="14"/>
      <c r="O343" s="14"/>
      <c r="P343" s="14"/>
      <c r="Q343" s="14"/>
      <c r="R343" s="14"/>
      <c r="S343" s="14"/>
      <c r="T343" s="14"/>
      <c r="U343" s="14"/>
      <c r="V343" s="14"/>
      <c r="W343" s="14"/>
      <c r="X343" s="14"/>
      <c r="Y343" s="14"/>
      <c r="Z343" s="14"/>
      <c r="AA343" s="15"/>
      <c r="AB343" s="3"/>
      <c r="AC343" s="3"/>
      <c r="AD343" s="3"/>
      <c r="AE343" s="3"/>
      <c r="AF343" s="3"/>
      <c r="AG343" s="3"/>
      <c r="AH343" s="3"/>
      <c r="AI343" s="3"/>
      <c r="AJ343" s="3"/>
      <c r="AK343" s="3"/>
      <c r="AL343" s="3"/>
      <c r="AM343" s="3"/>
      <c r="AN343" s="3"/>
      <c r="AO343" s="3"/>
    </row>
    <row r="344" spans="2:41" ht="18.75" x14ac:dyDescent="0.3">
      <c r="B344" s="67"/>
      <c r="C344" s="14"/>
      <c r="D344" s="60"/>
      <c r="E344" s="56"/>
      <c r="F344" s="56"/>
      <c r="G344" s="14"/>
      <c r="H344" s="56"/>
      <c r="I344" s="74"/>
      <c r="J344" s="14"/>
      <c r="K344" s="14"/>
      <c r="L344" s="14"/>
      <c r="M344" s="14"/>
      <c r="N344" s="14"/>
      <c r="O344" s="14"/>
      <c r="P344" s="14"/>
      <c r="Q344" s="14"/>
      <c r="R344" s="14"/>
      <c r="S344" s="14"/>
      <c r="T344" s="14"/>
      <c r="U344" s="14"/>
      <c r="V344" s="14"/>
      <c r="W344" s="14"/>
      <c r="X344" s="14"/>
      <c r="Y344" s="14"/>
      <c r="Z344" s="14"/>
      <c r="AA344" s="15"/>
      <c r="AB344" s="3"/>
      <c r="AC344" s="3"/>
      <c r="AD344" s="3"/>
      <c r="AE344" s="3"/>
      <c r="AF344" s="3"/>
      <c r="AG344" s="3"/>
      <c r="AH344" s="3"/>
      <c r="AI344" s="3"/>
      <c r="AJ344" s="3"/>
      <c r="AK344" s="3"/>
      <c r="AL344" s="3"/>
      <c r="AM344" s="3"/>
      <c r="AN344" s="3"/>
      <c r="AO344" s="3"/>
    </row>
    <row r="345" spans="2:41" x14ac:dyDescent="0.25">
      <c r="B345" s="13"/>
      <c r="C345" s="14"/>
      <c r="D345" s="60"/>
      <c r="E345" s="56"/>
      <c r="F345" s="56"/>
      <c r="G345" s="14"/>
      <c r="H345" s="56"/>
      <c r="I345" s="14"/>
      <c r="J345" s="14"/>
      <c r="K345" s="14"/>
      <c r="L345" s="14"/>
      <c r="M345" s="14"/>
      <c r="N345" s="14"/>
      <c r="O345" s="14"/>
      <c r="P345" s="14"/>
      <c r="Q345" s="14"/>
      <c r="R345" s="14"/>
      <c r="S345" s="14"/>
      <c r="T345" s="14"/>
      <c r="U345" s="14"/>
      <c r="V345" s="14"/>
      <c r="W345" s="14"/>
      <c r="X345" s="14"/>
      <c r="Y345" s="14"/>
      <c r="Z345" s="14"/>
      <c r="AA345" s="15"/>
      <c r="AB345" s="3"/>
      <c r="AC345" s="3"/>
      <c r="AD345" s="3"/>
      <c r="AE345" s="3"/>
      <c r="AF345" s="3"/>
      <c r="AG345" s="3"/>
      <c r="AH345" s="3"/>
      <c r="AI345" s="3"/>
      <c r="AJ345" s="3"/>
      <c r="AK345" s="3"/>
      <c r="AL345" s="3"/>
      <c r="AM345" s="3"/>
      <c r="AN345" s="3"/>
      <c r="AO345" s="3"/>
    </row>
    <row r="346" spans="2:41" x14ac:dyDescent="0.25">
      <c r="B346" s="13"/>
      <c r="C346" s="14"/>
      <c r="D346" s="60"/>
      <c r="E346" s="56"/>
      <c r="F346" s="56"/>
      <c r="G346" s="14"/>
      <c r="H346" s="56"/>
      <c r="I346" s="14"/>
      <c r="J346" s="14"/>
      <c r="K346" s="14"/>
      <c r="L346" s="14"/>
      <c r="M346" s="14"/>
      <c r="N346" s="14"/>
      <c r="O346" s="14"/>
      <c r="P346" s="14"/>
      <c r="Q346" s="14"/>
      <c r="R346" s="14"/>
      <c r="S346" s="14"/>
      <c r="T346" s="14"/>
      <c r="U346" s="14"/>
      <c r="V346" s="14"/>
      <c r="W346" s="14"/>
      <c r="X346" s="14"/>
      <c r="Y346" s="14"/>
      <c r="Z346" s="14"/>
      <c r="AA346" s="15"/>
      <c r="AB346" s="3"/>
      <c r="AC346" s="3"/>
      <c r="AD346" s="3"/>
      <c r="AE346" s="3"/>
      <c r="AF346" s="3"/>
      <c r="AG346" s="3"/>
      <c r="AH346" s="3"/>
      <c r="AI346" s="3"/>
      <c r="AJ346" s="3"/>
      <c r="AK346" s="3"/>
      <c r="AL346" s="3"/>
      <c r="AM346" s="3"/>
      <c r="AN346" s="3"/>
      <c r="AO346" s="3"/>
    </row>
    <row r="347" spans="2:41" x14ac:dyDescent="0.25">
      <c r="B347" s="13"/>
      <c r="C347" s="56"/>
      <c r="D347" s="60"/>
      <c r="E347" s="56"/>
      <c r="F347" s="56"/>
      <c r="G347" s="56"/>
      <c r="H347" s="56"/>
      <c r="I347" s="14"/>
      <c r="J347" s="14"/>
      <c r="K347" s="14"/>
      <c r="L347" s="14"/>
      <c r="M347" s="14"/>
      <c r="N347" s="14"/>
      <c r="O347" s="14"/>
      <c r="P347" s="14"/>
      <c r="Q347" s="14"/>
      <c r="R347" s="14"/>
      <c r="S347" s="14"/>
      <c r="T347" s="14"/>
      <c r="U347" s="14"/>
      <c r="V347" s="14"/>
      <c r="W347" s="14"/>
      <c r="X347" s="14"/>
      <c r="Y347" s="14"/>
      <c r="Z347" s="14"/>
      <c r="AA347" s="15"/>
      <c r="AB347" s="3"/>
      <c r="AC347" s="3"/>
      <c r="AD347" s="3"/>
      <c r="AE347" s="3"/>
      <c r="AF347" s="3"/>
      <c r="AG347" s="3"/>
      <c r="AH347" s="3"/>
      <c r="AI347" s="3"/>
      <c r="AJ347" s="3"/>
      <c r="AK347" s="3"/>
      <c r="AL347" s="3"/>
      <c r="AM347" s="3"/>
      <c r="AN347" s="3"/>
      <c r="AO347" s="3"/>
    </row>
    <row r="348" spans="2:41" x14ac:dyDescent="0.25">
      <c r="B348" s="13"/>
      <c r="C348" s="14"/>
      <c r="D348" s="60"/>
      <c r="E348" s="56"/>
      <c r="F348" s="56"/>
      <c r="G348" s="14"/>
      <c r="H348" s="56"/>
      <c r="I348" s="14"/>
      <c r="J348" s="14"/>
      <c r="K348" s="14"/>
      <c r="L348" s="14"/>
      <c r="M348" s="14"/>
      <c r="N348" s="14"/>
      <c r="O348" s="14"/>
      <c r="P348" s="14"/>
      <c r="Q348" s="14"/>
      <c r="R348" s="14"/>
      <c r="S348" s="14"/>
      <c r="T348" s="14"/>
      <c r="U348" s="14"/>
      <c r="V348" s="14"/>
      <c r="W348" s="14"/>
      <c r="X348" s="14"/>
      <c r="Y348" s="14"/>
      <c r="Z348" s="14"/>
      <c r="AA348" s="15"/>
      <c r="AB348" s="3"/>
      <c r="AC348" s="3"/>
      <c r="AD348" s="3"/>
      <c r="AE348" s="3"/>
      <c r="AF348" s="3"/>
      <c r="AG348" s="3"/>
      <c r="AH348" s="3"/>
      <c r="AI348" s="3"/>
      <c r="AJ348" s="3"/>
      <c r="AK348" s="3"/>
      <c r="AL348" s="3"/>
      <c r="AM348" s="3"/>
      <c r="AN348" s="3"/>
      <c r="AO348" s="3"/>
    </row>
    <row r="349" spans="2:41" x14ac:dyDescent="0.25">
      <c r="B349" s="13"/>
      <c r="C349" s="14"/>
      <c r="D349" s="14"/>
      <c r="E349" s="56"/>
      <c r="F349" s="56"/>
      <c r="G349" s="14"/>
      <c r="H349" s="56"/>
      <c r="I349" s="14"/>
      <c r="J349" s="14"/>
      <c r="K349" s="14"/>
      <c r="L349" s="14"/>
      <c r="M349" s="14"/>
      <c r="N349" s="14"/>
      <c r="O349" s="14"/>
      <c r="P349" s="14"/>
      <c r="Q349" s="14"/>
      <c r="R349" s="14"/>
      <c r="S349" s="14"/>
      <c r="T349" s="14"/>
      <c r="U349" s="14"/>
      <c r="V349" s="14"/>
      <c r="W349" s="14"/>
      <c r="X349" s="14"/>
      <c r="Y349" s="14"/>
      <c r="Z349" s="14"/>
      <c r="AA349" s="15"/>
      <c r="AB349" s="3"/>
      <c r="AC349" s="3"/>
      <c r="AD349" s="3"/>
      <c r="AE349" s="3"/>
      <c r="AF349" s="3"/>
      <c r="AG349" s="3"/>
      <c r="AH349" s="3"/>
      <c r="AI349" s="3"/>
      <c r="AJ349" s="3"/>
      <c r="AK349" s="3"/>
      <c r="AL349" s="3"/>
      <c r="AM349" s="3"/>
      <c r="AN349" s="3"/>
      <c r="AO349" s="3"/>
    </row>
    <row r="350" spans="2:41" x14ac:dyDescent="0.25">
      <c r="B350" s="13"/>
      <c r="C350" s="14"/>
      <c r="D350" s="60"/>
      <c r="E350" s="56"/>
      <c r="F350" s="56"/>
      <c r="G350" s="14"/>
      <c r="H350" s="14"/>
      <c r="I350" s="14"/>
      <c r="J350" s="14"/>
      <c r="K350" s="14"/>
      <c r="L350" s="14"/>
      <c r="M350" s="14"/>
      <c r="N350" s="14"/>
      <c r="O350" s="14"/>
      <c r="P350" s="14"/>
      <c r="Q350" s="14"/>
      <c r="R350" s="14"/>
      <c r="S350" s="14"/>
      <c r="T350" s="14"/>
      <c r="U350" s="14"/>
      <c r="V350" s="14"/>
      <c r="W350" s="14"/>
      <c r="X350" s="14"/>
      <c r="Y350" s="14"/>
      <c r="Z350" s="14"/>
      <c r="AA350" s="15"/>
      <c r="AB350" s="3"/>
      <c r="AC350" s="3"/>
      <c r="AD350" s="3"/>
      <c r="AE350" s="3"/>
      <c r="AF350" s="3"/>
      <c r="AG350" s="3"/>
      <c r="AH350" s="3"/>
      <c r="AI350" s="3"/>
      <c r="AJ350" s="3"/>
      <c r="AK350" s="3"/>
      <c r="AL350" s="3"/>
      <c r="AM350" s="3"/>
      <c r="AN350" s="3"/>
      <c r="AO350" s="3"/>
    </row>
    <row r="351" spans="2:41" x14ac:dyDescent="0.25">
      <c r="B351" s="13"/>
      <c r="C351" s="14"/>
      <c r="D351" s="60"/>
      <c r="E351" s="56"/>
      <c r="F351" s="56"/>
      <c r="G351" s="14"/>
      <c r="H351" s="56"/>
      <c r="I351" s="14"/>
      <c r="J351" s="14"/>
      <c r="K351" s="14"/>
      <c r="L351" s="14"/>
      <c r="M351" s="14"/>
      <c r="N351" s="14"/>
      <c r="O351" s="14"/>
      <c r="P351" s="14"/>
      <c r="Q351" s="14"/>
      <c r="R351" s="14"/>
      <c r="S351" s="14"/>
      <c r="T351" s="14"/>
      <c r="U351" s="14"/>
      <c r="V351" s="14"/>
      <c r="W351" s="14"/>
      <c r="X351" s="14"/>
      <c r="Y351" s="14"/>
      <c r="Z351" s="14"/>
      <c r="AA351" s="15"/>
      <c r="AB351" s="3"/>
      <c r="AC351" s="3"/>
      <c r="AD351" s="3"/>
      <c r="AE351" s="3"/>
      <c r="AF351" s="3"/>
      <c r="AG351" s="3"/>
      <c r="AH351" s="3"/>
      <c r="AI351" s="3"/>
      <c r="AJ351" s="3"/>
      <c r="AK351" s="3"/>
      <c r="AL351" s="3"/>
      <c r="AM351" s="3"/>
      <c r="AN351" s="3"/>
      <c r="AO351" s="3"/>
    </row>
    <row r="352" spans="2:41" ht="18.75" x14ac:dyDescent="0.3">
      <c r="B352" s="67"/>
      <c r="C352" s="14"/>
      <c r="D352" s="60"/>
      <c r="E352" s="56"/>
      <c r="F352" s="56"/>
      <c r="G352" s="14"/>
      <c r="H352" s="56"/>
      <c r="I352" s="74"/>
      <c r="J352" s="14"/>
      <c r="K352" s="14"/>
      <c r="L352" s="14"/>
      <c r="M352" s="14"/>
      <c r="N352" s="14"/>
      <c r="O352" s="14"/>
      <c r="P352" s="14"/>
      <c r="Q352" s="14"/>
      <c r="R352" s="14"/>
      <c r="S352" s="14"/>
      <c r="T352" s="14"/>
      <c r="U352" s="14"/>
      <c r="V352" s="14"/>
      <c r="W352" s="14"/>
      <c r="X352" s="14"/>
      <c r="Y352" s="14"/>
      <c r="Z352" s="14"/>
      <c r="AA352" s="15"/>
      <c r="AB352" s="3"/>
      <c r="AC352" s="3"/>
      <c r="AD352" s="3"/>
      <c r="AE352" s="3"/>
      <c r="AF352" s="3"/>
      <c r="AG352" s="3"/>
      <c r="AH352" s="3"/>
      <c r="AI352" s="3"/>
      <c r="AJ352" s="3"/>
      <c r="AK352" s="3"/>
      <c r="AL352" s="3"/>
      <c r="AM352" s="3"/>
      <c r="AN352" s="3"/>
      <c r="AO352" s="3"/>
    </row>
    <row r="353" spans="2:41" x14ac:dyDescent="0.25">
      <c r="B353" s="13"/>
      <c r="C353" s="14"/>
      <c r="D353" s="60"/>
      <c r="E353" s="56"/>
      <c r="F353" s="56"/>
      <c r="G353" s="14"/>
      <c r="H353" s="56"/>
      <c r="I353" s="14"/>
      <c r="J353" s="14"/>
      <c r="K353" s="14"/>
      <c r="L353" s="14"/>
      <c r="M353" s="14"/>
      <c r="N353" s="14"/>
      <c r="O353" s="14"/>
      <c r="P353" s="14"/>
      <c r="Q353" s="14"/>
      <c r="R353" s="14"/>
      <c r="S353" s="14"/>
      <c r="T353" s="14"/>
      <c r="U353" s="14"/>
      <c r="V353" s="14"/>
      <c r="W353" s="14"/>
      <c r="X353" s="14"/>
      <c r="Y353" s="14"/>
      <c r="Z353" s="14"/>
      <c r="AA353" s="15"/>
      <c r="AB353" s="3"/>
      <c r="AC353" s="3"/>
      <c r="AD353" s="3"/>
      <c r="AE353" s="3"/>
      <c r="AF353" s="3"/>
      <c r="AG353" s="3"/>
      <c r="AH353" s="3"/>
      <c r="AI353" s="3"/>
      <c r="AJ353" s="3"/>
      <c r="AK353" s="3"/>
      <c r="AL353" s="3"/>
      <c r="AM353" s="3"/>
      <c r="AN353" s="3"/>
      <c r="AO353" s="3"/>
    </row>
    <row r="354" spans="2:41" x14ac:dyDescent="0.25">
      <c r="B354" s="13"/>
      <c r="C354" s="56"/>
      <c r="D354" s="60"/>
      <c r="E354" s="56"/>
      <c r="F354" s="56"/>
      <c r="G354" s="56"/>
      <c r="H354" s="56"/>
      <c r="I354" s="14"/>
      <c r="J354" s="14"/>
      <c r="K354" s="14"/>
      <c r="L354" s="14"/>
      <c r="M354" s="14"/>
      <c r="N354" s="14"/>
      <c r="O354" s="14"/>
      <c r="P354" s="14"/>
      <c r="Q354" s="14"/>
      <c r="R354" s="14"/>
      <c r="S354" s="14"/>
      <c r="T354" s="14"/>
      <c r="U354" s="14"/>
      <c r="V354" s="14"/>
      <c r="W354" s="14"/>
      <c r="X354" s="14"/>
      <c r="Y354" s="14"/>
      <c r="Z354" s="14"/>
      <c r="AA354" s="15"/>
      <c r="AB354" s="3"/>
      <c r="AC354" s="3"/>
      <c r="AD354" s="3"/>
      <c r="AE354" s="3"/>
      <c r="AF354" s="3"/>
      <c r="AG354" s="3"/>
      <c r="AH354" s="3"/>
      <c r="AI354" s="3"/>
      <c r="AJ354" s="3"/>
      <c r="AK354" s="3"/>
      <c r="AL354" s="3"/>
      <c r="AM354" s="3"/>
      <c r="AN354" s="3"/>
      <c r="AO354" s="3"/>
    </row>
    <row r="355" spans="2:41" x14ac:dyDescent="0.25">
      <c r="B355" s="13"/>
      <c r="C355" s="14"/>
      <c r="D355" s="60"/>
      <c r="E355" s="56"/>
      <c r="F355" s="56"/>
      <c r="G355" s="14"/>
      <c r="H355" s="56"/>
      <c r="I355" s="14"/>
      <c r="J355" s="14"/>
      <c r="K355" s="14"/>
      <c r="L355" s="14"/>
      <c r="M355" s="14"/>
      <c r="N355" s="14"/>
      <c r="O355" s="14"/>
      <c r="P355" s="14"/>
      <c r="Q355" s="14"/>
      <c r="R355" s="14"/>
      <c r="S355" s="14"/>
      <c r="T355" s="14"/>
      <c r="U355" s="14"/>
      <c r="V355" s="14"/>
      <c r="W355" s="14"/>
      <c r="X355" s="14"/>
      <c r="Y355" s="14"/>
      <c r="Z355" s="14"/>
      <c r="AA355" s="15"/>
      <c r="AB355" s="3"/>
      <c r="AC355" s="3"/>
      <c r="AD355" s="3"/>
      <c r="AE355" s="3"/>
      <c r="AF355" s="3"/>
      <c r="AG355" s="3"/>
      <c r="AH355" s="3"/>
      <c r="AI355" s="3"/>
      <c r="AJ355" s="3"/>
      <c r="AK355" s="3"/>
      <c r="AL355" s="3"/>
      <c r="AM355" s="3"/>
      <c r="AN355" s="3"/>
      <c r="AO355" s="3"/>
    </row>
    <row r="356" spans="2:41" x14ac:dyDescent="0.25">
      <c r="B356" s="13"/>
      <c r="C356" s="14"/>
      <c r="D356" s="14"/>
      <c r="E356" s="56"/>
      <c r="F356" s="56"/>
      <c r="G356" s="14"/>
      <c r="H356" s="56"/>
      <c r="I356" s="14"/>
      <c r="J356" s="14"/>
      <c r="K356" s="14"/>
      <c r="L356" s="14"/>
      <c r="M356" s="14"/>
      <c r="N356" s="14"/>
      <c r="O356" s="14"/>
      <c r="P356" s="14"/>
      <c r="Q356" s="14"/>
      <c r="R356" s="14"/>
      <c r="S356" s="14"/>
      <c r="T356" s="14"/>
      <c r="U356" s="14"/>
      <c r="V356" s="14"/>
      <c r="W356" s="14"/>
      <c r="X356" s="14"/>
      <c r="Y356" s="14"/>
      <c r="Z356" s="14"/>
      <c r="AA356" s="15"/>
      <c r="AB356" s="3"/>
      <c r="AC356" s="3"/>
      <c r="AD356" s="3"/>
      <c r="AE356" s="3"/>
      <c r="AF356" s="3"/>
      <c r="AG356" s="3"/>
      <c r="AH356" s="3"/>
      <c r="AI356" s="3"/>
      <c r="AJ356" s="3"/>
      <c r="AK356" s="3"/>
      <c r="AL356" s="3"/>
      <c r="AM356" s="3"/>
      <c r="AN356" s="3"/>
      <c r="AO356" s="3"/>
    </row>
    <row r="357" spans="2:41" x14ac:dyDescent="0.25">
      <c r="B357" s="13"/>
      <c r="C357" s="14"/>
      <c r="D357" s="60"/>
      <c r="E357" s="56"/>
      <c r="F357" s="56"/>
      <c r="G357" s="14"/>
      <c r="H357" s="14"/>
      <c r="I357" s="14"/>
      <c r="J357" s="14"/>
      <c r="K357" s="14"/>
      <c r="L357" s="14"/>
      <c r="M357" s="14"/>
      <c r="N357" s="14"/>
      <c r="O357" s="14"/>
      <c r="P357" s="14"/>
      <c r="Q357" s="14"/>
      <c r="R357" s="14"/>
      <c r="S357" s="14"/>
      <c r="T357" s="14"/>
      <c r="U357" s="14"/>
      <c r="V357" s="14"/>
      <c r="W357" s="14"/>
      <c r="X357" s="14"/>
      <c r="Y357" s="14"/>
      <c r="Z357" s="14"/>
      <c r="AA357" s="15"/>
      <c r="AB357" s="3"/>
      <c r="AC357" s="3"/>
      <c r="AD357" s="3"/>
      <c r="AE357" s="3"/>
      <c r="AF357" s="3"/>
      <c r="AG357" s="3"/>
      <c r="AH357" s="3"/>
      <c r="AI357" s="3"/>
      <c r="AJ357" s="3"/>
      <c r="AK357" s="3"/>
      <c r="AL357" s="3"/>
      <c r="AM357" s="3"/>
      <c r="AN357" s="3"/>
      <c r="AO357" s="3"/>
    </row>
    <row r="358" spans="2:41" x14ac:dyDescent="0.25">
      <c r="B358" s="13"/>
      <c r="C358" s="14"/>
      <c r="D358" s="60"/>
      <c r="E358" s="56"/>
      <c r="F358" s="56"/>
      <c r="G358" s="14"/>
      <c r="H358" s="56"/>
      <c r="I358" s="14"/>
      <c r="J358" s="14"/>
      <c r="K358" s="14"/>
      <c r="L358" s="14"/>
      <c r="M358" s="14"/>
      <c r="N358" s="14"/>
      <c r="O358" s="14"/>
      <c r="P358" s="14"/>
      <c r="Q358" s="14"/>
      <c r="R358" s="14"/>
      <c r="S358" s="14"/>
      <c r="T358" s="14"/>
      <c r="U358" s="14"/>
      <c r="V358" s="14"/>
      <c r="W358" s="14"/>
      <c r="X358" s="14"/>
      <c r="Y358" s="14"/>
      <c r="Z358" s="14"/>
      <c r="AA358" s="15"/>
      <c r="AB358" s="3"/>
      <c r="AC358" s="3"/>
      <c r="AD358" s="3"/>
      <c r="AE358" s="3"/>
      <c r="AF358" s="3"/>
      <c r="AG358" s="3"/>
      <c r="AH358" s="3"/>
      <c r="AI358" s="3"/>
      <c r="AJ358" s="3"/>
      <c r="AK358" s="3"/>
      <c r="AL358" s="3"/>
      <c r="AM358" s="3"/>
      <c r="AN358" s="3"/>
      <c r="AO358" s="3"/>
    </row>
    <row r="359" spans="2:41" x14ac:dyDescent="0.25">
      <c r="B359" s="13"/>
      <c r="C359" s="14"/>
      <c r="D359" s="60"/>
      <c r="E359" s="56"/>
      <c r="F359" s="56"/>
      <c r="G359" s="14"/>
      <c r="H359" s="56"/>
      <c r="I359" s="14"/>
      <c r="J359" s="14"/>
      <c r="K359" s="14"/>
      <c r="L359" s="14"/>
      <c r="M359" s="14"/>
      <c r="N359" s="14"/>
      <c r="O359" s="14"/>
      <c r="P359" s="14"/>
      <c r="Q359" s="14"/>
      <c r="R359" s="14"/>
      <c r="S359" s="14"/>
      <c r="T359" s="14"/>
      <c r="U359" s="14"/>
      <c r="V359" s="14"/>
      <c r="W359" s="14"/>
      <c r="X359" s="14"/>
      <c r="Y359" s="14"/>
      <c r="Z359" s="14"/>
      <c r="AA359" s="15"/>
      <c r="AB359" s="3"/>
      <c r="AC359" s="3"/>
      <c r="AD359" s="3"/>
      <c r="AE359" s="3"/>
      <c r="AF359" s="3"/>
      <c r="AG359" s="3"/>
      <c r="AH359" s="3"/>
      <c r="AI359" s="3"/>
      <c r="AJ359" s="3"/>
      <c r="AK359" s="3"/>
      <c r="AL359" s="3"/>
      <c r="AM359" s="3"/>
      <c r="AN359" s="3"/>
      <c r="AO359" s="3"/>
    </row>
    <row r="360" spans="2:41" ht="18.75" x14ac:dyDescent="0.3">
      <c r="B360" s="67"/>
      <c r="C360" s="14"/>
      <c r="D360" s="60"/>
      <c r="E360" s="56"/>
      <c r="F360" s="56"/>
      <c r="G360" s="14"/>
      <c r="H360" s="56"/>
      <c r="I360" s="74"/>
      <c r="J360" s="14"/>
      <c r="K360" s="14"/>
      <c r="L360" s="14"/>
      <c r="M360" s="14"/>
      <c r="N360" s="14"/>
      <c r="O360" s="14"/>
      <c r="P360" s="14"/>
      <c r="Q360" s="14"/>
      <c r="R360" s="14"/>
      <c r="S360" s="14"/>
      <c r="T360" s="14"/>
      <c r="U360" s="14"/>
      <c r="V360" s="14"/>
      <c r="W360" s="14"/>
      <c r="X360" s="14"/>
      <c r="Y360" s="14"/>
      <c r="Z360" s="14"/>
      <c r="AA360" s="15"/>
      <c r="AB360" s="3"/>
      <c r="AC360" s="3"/>
      <c r="AD360" s="3"/>
      <c r="AE360" s="3"/>
      <c r="AF360" s="3"/>
      <c r="AG360" s="3"/>
      <c r="AH360" s="3"/>
      <c r="AI360" s="3"/>
      <c r="AJ360" s="3"/>
      <c r="AK360" s="3"/>
      <c r="AL360" s="3"/>
      <c r="AM360" s="3"/>
      <c r="AN360" s="3"/>
      <c r="AO360" s="3"/>
    </row>
    <row r="361" spans="2:41" x14ac:dyDescent="0.25">
      <c r="B361" s="13"/>
      <c r="C361" s="56"/>
      <c r="D361" s="60"/>
      <c r="E361" s="56"/>
      <c r="F361" s="56"/>
      <c r="G361" s="56"/>
      <c r="H361" s="56"/>
      <c r="I361" s="14"/>
      <c r="J361" s="14"/>
      <c r="K361" s="14"/>
      <c r="L361" s="14"/>
      <c r="M361" s="14"/>
      <c r="N361" s="14"/>
      <c r="O361" s="14"/>
      <c r="P361" s="14"/>
      <c r="Q361" s="14"/>
      <c r="R361" s="14"/>
      <c r="S361" s="14"/>
      <c r="T361" s="14"/>
      <c r="U361" s="14"/>
      <c r="V361" s="14"/>
      <c r="W361" s="14"/>
      <c r="X361" s="14"/>
      <c r="Y361" s="14"/>
      <c r="Z361" s="14"/>
      <c r="AA361" s="15"/>
      <c r="AB361" s="3"/>
      <c r="AC361" s="3"/>
      <c r="AD361" s="3"/>
      <c r="AE361" s="3"/>
      <c r="AF361" s="3"/>
      <c r="AG361" s="3"/>
      <c r="AH361" s="3"/>
      <c r="AI361" s="3"/>
      <c r="AJ361" s="3"/>
      <c r="AK361" s="3"/>
      <c r="AL361" s="3"/>
      <c r="AM361" s="3"/>
      <c r="AN361" s="3"/>
      <c r="AO361" s="3"/>
    </row>
    <row r="362" spans="2:41" x14ac:dyDescent="0.25">
      <c r="B362" s="13"/>
      <c r="C362" s="14"/>
      <c r="D362" s="60"/>
      <c r="E362" s="56"/>
      <c r="F362" s="56"/>
      <c r="G362" s="14"/>
      <c r="H362" s="56"/>
      <c r="I362" s="14"/>
      <c r="J362" s="14"/>
      <c r="K362" s="14"/>
      <c r="L362" s="14"/>
      <c r="M362" s="14"/>
      <c r="N362" s="14"/>
      <c r="O362" s="14"/>
      <c r="P362" s="14"/>
      <c r="Q362" s="14"/>
      <c r="R362" s="14"/>
      <c r="S362" s="14"/>
      <c r="T362" s="14"/>
      <c r="U362" s="14"/>
      <c r="V362" s="14"/>
      <c r="W362" s="14"/>
      <c r="X362" s="14"/>
      <c r="Y362" s="14"/>
      <c r="Z362" s="14"/>
      <c r="AA362" s="15"/>
      <c r="AB362" s="3"/>
      <c r="AC362" s="3"/>
      <c r="AD362" s="3"/>
      <c r="AE362" s="3"/>
      <c r="AF362" s="3"/>
      <c r="AG362" s="3"/>
      <c r="AH362" s="3"/>
      <c r="AI362" s="3"/>
      <c r="AJ362" s="3"/>
      <c r="AK362" s="3"/>
      <c r="AL362" s="3"/>
      <c r="AM362" s="3"/>
      <c r="AN362" s="3"/>
      <c r="AO362" s="3"/>
    </row>
    <row r="363" spans="2:41" x14ac:dyDescent="0.25">
      <c r="B363" s="13"/>
      <c r="C363" s="14"/>
      <c r="D363" s="14"/>
      <c r="E363" s="56"/>
      <c r="F363" s="56"/>
      <c r="G363" s="14"/>
      <c r="H363" s="56"/>
      <c r="I363" s="14"/>
      <c r="J363" s="14"/>
      <c r="K363" s="14"/>
      <c r="L363" s="14"/>
      <c r="M363" s="14"/>
      <c r="N363" s="14"/>
      <c r="O363" s="14"/>
      <c r="P363" s="14"/>
      <c r="Q363" s="14"/>
      <c r="R363" s="14"/>
      <c r="S363" s="14"/>
      <c r="T363" s="14"/>
      <c r="U363" s="14"/>
      <c r="V363" s="14"/>
      <c r="W363" s="14"/>
      <c r="X363" s="14"/>
      <c r="Y363" s="14"/>
      <c r="Z363" s="14"/>
      <c r="AA363" s="15"/>
      <c r="AB363" s="3"/>
      <c r="AC363" s="3"/>
      <c r="AD363" s="3"/>
      <c r="AE363" s="3"/>
      <c r="AF363" s="3"/>
      <c r="AG363" s="3"/>
      <c r="AH363" s="3"/>
      <c r="AI363" s="3"/>
      <c r="AJ363" s="3"/>
      <c r="AK363" s="3"/>
      <c r="AL363" s="3"/>
      <c r="AM363" s="3"/>
      <c r="AN363" s="3"/>
      <c r="AO363" s="3"/>
    </row>
    <row r="364" spans="2:41" x14ac:dyDescent="0.25">
      <c r="B364" s="13"/>
      <c r="C364" s="14"/>
      <c r="D364" s="60"/>
      <c r="E364" s="56"/>
      <c r="F364" s="56"/>
      <c r="G364" s="14"/>
      <c r="H364" s="14"/>
      <c r="I364" s="14"/>
      <c r="J364" s="14"/>
      <c r="K364" s="14"/>
      <c r="L364" s="14"/>
      <c r="M364" s="14"/>
      <c r="N364" s="14"/>
      <c r="O364" s="14"/>
      <c r="P364" s="14"/>
      <c r="Q364" s="14"/>
      <c r="R364" s="14"/>
      <c r="S364" s="14"/>
      <c r="T364" s="14"/>
      <c r="U364" s="14"/>
      <c r="V364" s="14"/>
      <c r="W364" s="14"/>
      <c r="X364" s="14"/>
      <c r="Y364" s="14"/>
      <c r="Z364" s="14"/>
      <c r="AA364" s="15"/>
      <c r="AB364" s="3"/>
      <c r="AC364" s="3"/>
      <c r="AD364" s="3"/>
      <c r="AE364" s="3"/>
      <c r="AF364" s="3"/>
      <c r="AG364" s="3"/>
      <c r="AH364" s="3"/>
      <c r="AI364" s="3"/>
      <c r="AJ364" s="3"/>
      <c r="AK364" s="3"/>
      <c r="AL364" s="3"/>
      <c r="AM364" s="3"/>
      <c r="AN364" s="3"/>
      <c r="AO364" s="3"/>
    </row>
    <row r="365" spans="2:41" x14ac:dyDescent="0.25">
      <c r="B365" s="13"/>
      <c r="C365" s="14"/>
      <c r="D365" s="60"/>
      <c r="E365" s="56"/>
      <c r="F365" s="56"/>
      <c r="G365" s="14"/>
      <c r="H365" s="56"/>
      <c r="I365" s="14"/>
      <c r="J365" s="14"/>
      <c r="K365" s="14"/>
      <c r="L365" s="14"/>
      <c r="M365" s="14"/>
      <c r="N365" s="14"/>
      <c r="O365" s="14"/>
      <c r="P365" s="14"/>
      <c r="Q365" s="14"/>
      <c r="R365" s="14"/>
      <c r="S365" s="14"/>
      <c r="T365" s="14"/>
      <c r="U365" s="14"/>
      <c r="V365" s="14"/>
      <c r="W365" s="14"/>
      <c r="X365" s="14"/>
      <c r="Y365" s="14"/>
      <c r="Z365" s="14"/>
      <c r="AA365" s="15"/>
      <c r="AB365" s="3"/>
      <c r="AC365" s="3"/>
      <c r="AD365" s="3"/>
      <c r="AE365" s="3"/>
      <c r="AF365" s="3"/>
      <c r="AG365" s="3"/>
      <c r="AH365" s="3"/>
      <c r="AI365" s="3"/>
      <c r="AJ365" s="3"/>
      <c r="AK365" s="3"/>
      <c r="AL365" s="3"/>
      <c r="AM365" s="3"/>
      <c r="AN365" s="3"/>
      <c r="AO365" s="3"/>
    </row>
    <row r="366" spans="2:41" x14ac:dyDescent="0.25">
      <c r="B366" s="13"/>
      <c r="C366" s="14"/>
      <c r="D366" s="60"/>
      <c r="E366" s="56"/>
      <c r="F366" s="56"/>
      <c r="G366" s="14"/>
      <c r="H366" s="56"/>
      <c r="I366" s="14"/>
      <c r="J366" s="14"/>
      <c r="K366" s="14"/>
      <c r="L366" s="14"/>
      <c r="M366" s="14"/>
      <c r="N366" s="14"/>
      <c r="O366" s="14"/>
      <c r="P366" s="14"/>
      <c r="Q366" s="14"/>
      <c r="R366" s="14"/>
      <c r="S366" s="14"/>
      <c r="T366" s="14"/>
      <c r="U366" s="14"/>
      <c r="V366" s="14"/>
      <c r="W366" s="14"/>
      <c r="X366" s="14"/>
      <c r="Y366" s="14"/>
      <c r="Z366" s="14"/>
      <c r="AA366" s="15"/>
      <c r="AB366" s="3"/>
      <c r="AC366" s="3"/>
      <c r="AD366" s="3"/>
      <c r="AE366" s="3"/>
      <c r="AF366" s="3"/>
      <c r="AG366" s="3"/>
      <c r="AH366" s="3"/>
      <c r="AI366" s="3"/>
      <c r="AJ366" s="3"/>
      <c r="AK366" s="3"/>
      <c r="AL366" s="3"/>
      <c r="AM366" s="3"/>
      <c r="AN366" s="3"/>
      <c r="AO366" s="3"/>
    </row>
    <row r="367" spans="2:41" x14ac:dyDescent="0.25">
      <c r="B367" s="13"/>
      <c r="C367" s="14"/>
      <c r="D367" s="60"/>
      <c r="E367" s="56"/>
      <c r="F367" s="56"/>
      <c r="G367" s="14"/>
      <c r="H367" s="56"/>
      <c r="I367" s="14"/>
      <c r="J367" s="14"/>
      <c r="K367" s="14"/>
      <c r="L367" s="14"/>
      <c r="M367" s="14"/>
      <c r="N367" s="14"/>
      <c r="O367" s="14"/>
      <c r="P367" s="14"/>
      <c r="Q367" s="14"/>
      <c r="R367" s="14"/>
      <c r="S367" s="14"/>
      <c r="T367" s="14"/>
      <c r="U367" s="14"/>
      <c r="V367" s="14"/>
      <c r="W367" s="14"/>
      <c r="X367" s="14"/>
      <c r="Y367" s="14"/>
      <c r="Z367" s="14"/>
      <c r="AA367" s="15"/>
      <c r="AB367" s="3"/>
      <c r="AC367" s="3"/>
      <c r="AD367" s="3"/>
      <c r="AE367" s="3"/>
      <c r="AF367" s="3"/>
      <c r="AG367" s="3"/>
      <c r="AH367" s="3"/>
      <c r="AI367" s="3"/>
      <c r="AJ367" s="3"/>
      <c r="AK367" s="3"/>
      <c r="AL367" s="3"/>
      <c r="AM367" s="3"/>
      <c r="AN367" s="3"/>
      <c r="AO367" s="3"/>
    </row>
    <row r="368" spans="2:41" ht="18.75" x14ac:dyDescent="0.3">
      <c r="B368" s="67"/>
      <c r="C368" s="56"/>
      <c r="D368" s="60"/>
      <c r="E368" s="56"/>
      <c r="F368" s="56"/>
      <c r="G368" s="56"/>
      <c r="H368" s="56"/>
      <c r="I368" s="74"/>
      <c r="J368" s="14"/>
      <c r="K368" s="14"/>
      <c r="L368" s="14"/>
      <c r="M368" s="14"/>
      <c r="N368" s="14"/>
      <c r="O368" s="14"/>
      <c r="P368" s="14"/>
      <c r="Q368" s="14"/>
      <c r="R368" s="14"/>
      <c r="S368" s="14"/>
      <c r="T368" s="14"/>
      <c r="U368" s="14"/>
      <c r="V368" s="14"/>
      <c r="W368" s="14"/>
      <c r="X368" s="14"/>
      <c r="Y368" s="14"/>
      <c r="Z368" s="14"/>
      <c r="AA368" s="15"/>
      <c r="AB368" s="3"/>
      <c r="AC368" s="3"/>
      <c r="AD368" s="3"/>
      <c r="AE368" s="3"/>
      <c r="AF368" s="3"/>
      <c r="AG368" s="3"/>
      <c r="AH368" s="3"/>
      <c r="AI368" s="3"/>
      <c r="AJ368" s="3"/>
      <c r="AK368" s="3"/>
      <c r="AL368" s="3"/>
      <c r="AM368" s="3"/>
      <c r="AN368" s="3"/>
      <c r="AO368" s="3"/>
    </row>
    <row r="369" spans="2:41" x14ac:dyDescent="0.25">
      <c r="B369" s="13"/>
      <c r="C369" s="14"/>
      <c r="D369" s="60"/>
      <c r="E369" s="56"/>
      <c r="F369" s="56"/>
      <c r="G369" s="14"/>
      <c r="H369" s="56"/>
      <c r="I369" s="14"/>
      <c r="J369" s="14"/>
      <c r="K369" s="14"/>
      <c r="L369" s="14"/>
      <c r="M369" s="14"/>
      <c r="N369" s="14"/>
      <c r="O369" s="14"/>
      <c r="P369" s="14"/>
      <c r="Q369" s="14"/>
      <c r="R369" s="14"/>
      <c r="S369" s="14"/>
      <c r="T369" s="14"/>
      <c r="U369" s="14"/>
      <c r="V369" s="14"/>
      <c r="W369" s="14"/>
      <c r="X369" s="14"/>
      <c r="Y369" s="14"/>
      <c r="Z369" s="14"/>
      <c r="AA369" s="15"/>
      <c r="AB369" s="3"/>
      <c r="AC369" s="3"/>
      <c r="AD369" s="3"/>
      <c r="AE369" s="3"/>
      <c r="AF369" s="3"/>
      <c r="AG369" s="3"/>
      <c r="AH369" s="3"/>
      <c r="AI369" s="3"/>
      <c r="AJ369" s="3"/>
      <c r="AK369" s="3"/>
      <c r="AL369" s="3"/>
      <c r="AM369" s="3"/>
      <c r="AN369" s="3"/>
      <c r="AO369" s="3"/>
    </row>
    <row r="370" spans="2:41" x14ac:dyDescent="0.25">
      <c r="B370" s="13"/>
      <c r="C370" s="14"/>
      <c r="D370" s="14"/>
      <c r="E370" s="56"/>
      <c r="F370" s="56"/>
      <c r="G370" s="14"/>
      <c r="H370" s="56"/>
      <c r="I370" s="14"/>
      <c r="J370" s="14"/>
      <c r="K370" s="14"/>
      <c r="L370" s="14"/>
      <c r="M370" s="14"/>
      <c r="N370" s="14"/>
      <c r="O370" s="14"/>
      <c r="P370" s="14"/>
      <c r="Q370" s="14"/>
      <c r="R370" s="14"/>
      <c r="S370" s="14"/>
      <c r="T370" s="14"/>
      <c r="U370" s="14"/>
      <c r="V370" s="14"/>
      <c r="W370" s="14"/>
      <c r="X370" s="14"/>
      <c r="Y370" s="14"/>
      <c r="Z370" s="14"/>
      <c r="AA370" s="15"/>
      <c r="AB370" s="3"/>
      <c r="AC370" s="3"/>
      <c r="AD370" s="3"/>
      <c r="AE370" s="3"/>
      <c r="AF370" s="3"/>
      <c r="AG370" s="3"/>
      <c r="AH370" s="3"/>
      <c r="AI370" s="3"/>
      <c r="AJ370" s="3"/>
      <c r="AK370" s="3"/>
      <c r="AL370" s="3"/>
      <c r="AM370" s="3"/>
      <c r="AN370" s="3"/>
      <c r="AO370" s="3"/>
    </row>
    <row r="371" spans="2:41" x14ac:dyDescent="0.25">
      <c r="B371" s="13"/>
      <c r="C371" s="14"/>
      <c r="D371" s="60"/>
      <c r="E371" s="56"/>
      <c r="F371" s="56"/>
      <c r="G371" s="14"/>
      <c r="H371" s="14"/>
      <c r="I371" s="14"/>
      <c r="J371" s="14"/>
      <c r="K371" s="14"/>
      <c r="L371" s="14"/>
      <c r="M371" s="14"/>
      <c r="N371" s="14"/>
      <c r="O371" s="14"/>
      <c r="P371" s="14"/>
      <c r="Q371" s="14"/>
      <c r="R371" s="14"/>
      <c r="S371" s="14"/>
      <c r="T371" s="14"/>
      <c r="U371" s="14"/>
      <c r="V371" s="14"/>
      <c r="W371" s="14"/>
      <c r="X371" s="14"/>
      <c r="Y371" s="14"/>
      <c r="Z371" s="14"/>
      <c r="AA371" s="15"/>
      <c r="AB371" s="3"/>
      <c r="AC371" s="3"/>
      <c r="AD371" s="3"/>
      <c r="AE371" s="3"/>
      <c r="AF371" s="3"/>
      <c r="AG371" s="3"/>
      <c r="AH371" s="3"/>
      <c r="AI371" s="3"/>
      <c r="AJ371" s="3"/>
      <c r="AK371" s="3"/>
      <c r="AL371" s="3"/>
      <c r="AM371" s="3"/>
      <c r="AN371" s="3"/>
      <c r="AO371" s="3"/>
    </row>
    <row r="372" spans="2:41" x14ac:dyDescent="0.25">
      <c r="B372" s="13"/>
      <c r="C372" s="14"/>
      <c r="D372" s="60"/>
      <c r="E372" s="56"/>
      <c r="F372" s="56"/>
      <c r="G372" s="14"/>
      <c r="H372" s="56"/>
      <c r="I372" s="14"/>
      <c r="J372" s="14"/>
      <c r="K372" s="14"/>
      <c r="L372" s="14"/>
      <c r="M372" s="14"/>
      <c r="N372" s="14"/>
      <c r="O372" s="14"/>
      <c r="P372" s="14"/>
      <c r="Q372" s="14"/>
      <c r="R372" s="14"/>
      <c r="S372" s="14"/>
      <c r="T372" s="14"/>
      <c r="U372" s="14"/>
      <c r="V372" s="14"/>
      <c r="W372" s="14"/>
      <c r="X372" s="14"/>
      <c r="Y372" s="14"/>
      <c r="Z372" s="14"/>
      <c r="AA372" s="15"/>
      <c r="AB372" s="3"/>
      <c r="AC372" s="3"/>
      <c r="AD372" s="3"/>
      <c r="AE372" s="3"/>
      <c r="AF372" s="3"/>
      <c r="AG372" s="3"/>
      <c r="AH372" s="3"/>
      <c r="AI372" s="3"/>
      <c r="AJ372" s="3"/>
      <c r="AK372" s="3"/>
      <c r="AL372" s="3"/>
      <c r="AM372" s="3"/>
      <c r="AN372" s="3"/>
      <c r="AO372" s="3"/>
    </row>
    <row r="373" spans="2:41" x14ac:dyDescent="0.25">
      <c r="B373" s="13"/>
      <c r="C373" s="14"/>
      <c r="D373" s="60"/>
      <c r="E373" s="56"/>
      <c r="F373" s="56"/>
      <c r="G373" s="14"/>
      <c r="H373" s="56"/>
      <c r="I373" s="14"/>
      <c r="J373" s="14"/>
      <c r="K373" s="14"/>
      <c r="L373" s="14"/>
      <c r="M373" s="14"/>
      <c r="N373" s="14"/>
      <c r="O373" s="14"/>
      <c r="P373" s="14"/>
      <c r="Q373" s="14"/>
      <c r="R373" s="14"/>
      <c r="S373" s="14"/>
      <c r="T373" s="14"/>
      <c r="U373" s="14"/>
      <c r="V373" s="14"/>
      <c r="W373" s="14"/>
      <c r="X373" s="14"/>
      <c r="Y373" s="14"/>
      <c r="Z373" s="14"/>
      <c r="AA373" s="15"/>
      <c r="AB373" s="3"/>
      <c r="AC373" s="3"/>
      <c r="AD373" s="3"/>
      <c r="AE373" s="3"/>
      <c r="AF373" s="3"/>
      <c r="AG373" s="3"/>
      <c r="AH373" s="3"/>
      <c r="AI373" s="3"/>
      <c r="AJ373" s="3"/>
      <c r="AK373" s="3"/>
      <c r="AL373" s="3"/>
      <c r="AM373" s="3"/>
      <c r="AN373" s="3"/>
      <c r="AO373" s="3"/>
    </row>
    <row r="374" spans="2:41" x14ac:dyDescent="0.25">
      <c r="B374" s="13"/>
      <c r="C374" s="14"/>
      <c r="D374" s="60"/>
      <c r="E374" s="56"/>
      <c r="F374" s="56"/>
      <c r="G374" s="14"/>
      <c r="H374" s="56"/>
      <c r="I374" s="14"/>
      <c r="J374" s="14"/>
      <c r="K374" s="14"/>
      <c r="L374" s="14"/>
      <c r="M374" s="14"/>
      <c r="N374" s="14"/>
      <c r="O374" s="14"/>
      <c r="P374" s="14"/>
      <c r="Q374" s="14"/>
      <c r="R374" s="14"/>
      <c r="S374" s="14"/>
      <c r="T374" s="14"/>
      <c r="U374" s="14"/>
      <c r="V374" s="14"/>
      <c r="W374" s="14"/>
      <c r="X374" s="14"/>
      <c r="Y374" s="14"/>
      <c r="Z374" s="14"/>
      <c r="AA374" s="15"/>
      <c r="AB374" s="3"/>
      <c r="AC374" s="3"/>
      <c r="AD374" s="3"/>
      <c r="AE374" s="3"/>
      <c r="AF374" s="3"/>
      <c r="AG374" s="3"/>
      <c r="AH374" s="3"/>
      <c r="AI374" s="3"/>
      <c r="AJ374" s="3"/>
      <c r="AK374" s="3"/>
      <c r="AL374" s="3"/>
      <c r="AM374" s="3"/>
      <c r="AN374" s="3"/>
      <c r="AO374" s="3"/>
    </row>
    <row r="375" spans="2:41" x14ac:dyDescent="0.25">
      <c r="B375" s="13"/>
      <c r="C375" s="56"/>
      <c r="D375" s="60"/>
      <c r="E375" s="56"/>
      <c r="F375" s="56"/>
      <c r="G375" s="56"/>
      <c r="H375" s="56"/>
      <c r="I375" s="14"/>
      <c r="J375" s="14"/>
      <c r="K375" s="14"/>
      <c r="L375" s="14"/>
      <c r="M375" s="14"/>
      <c r="N375" s="14"/>
      <c r="O375" s="14"/>
      <c r="P375" s="14"/>
      <c r="Q375" s="14"/>
      <c r="R375" s="14"/>
      <c r="S375" s="14"/>
      <c r="T375" s="14"/>
      <c r="U375" s="14"/>
      <c r="V375" s="14"/>
      <c r="W375" s="14"/>
      <c r="X375" s="14"/>
      <c r="Y375" s="14"/>
      <c r="Z375" s="14"/>
      <c r="AA375" s="15"/>
      <c r="AB375" s="3"/>
      <c r="AC375" s="3"/>
      <c r="AD375" s="3"/>
      <c r="AE375" s="3"/>
      <c r="AF375" s="3"/>
      <c r="AG375" s="3"/>
      <c r="AH375" s="3"/>
      <c r="AI375" s="3"/>
      <c r="AJ375" s="3"/>
      <c r="AK375" s="3"/>
      <c r="AL375" s="3"/>
      <c r="AM375" s="3"/>
      <c r="AN375" s="3"/>
      <c r="AO375" s="3"/>
    </row>
    <row r="376" spans="2:41" ht="18.75" x14ac:dyDescent="0.3">
      <c r="B376" s="67"/>
      <c r="C376" s="14"/>
      <c r="D376" s="60"/>
      <c r="E376" s="56"/>
      <c r="F376" s="56"/>
      <c r="G376" s="14"/>
      <c r="H376" s="56"/>
      <c r="I376" s="74"/>
      <c r="J376" s="14"/>
      <c r="K376" s="14"/>
      <c r="L376" s="14"/>
      <c r="M376" s="14"/>
      <c r="N376" s="14"/>
      <c r="O376" s="14"/>
      <c r="P376" s="14"/>
      <c r="Q376" s="14"/>
      <c r="R376" s="14"/>
      <c r="S376" s="14"/>
      <c r="T376" s="14"/>
      <c r="U376" s="14"/>
      <c r="V376" s="14"/>
      <c r="W376" s="14"/>
      <c r="X376" s="14"/>
      <c r="Y376" s="14"/>
      <c r="Z376" s="14"/>
      <c r="AA376" s="15"/>
      <c r="AB376" s="3"/>
      <c r="AC376" s="3"/>
      <c r="AD376" s="3"/>
      <c r="AE376" s="3"/>
      <c r="AF376" s="3"/>
      <c r="AG376" s="3"/>
      <c r="AH376" s="3"/>
      <c r="AI376" s="3"/>
      <c r="AJ376" s="3"/>
      <c r="AK376" s="3"/>
      <c r="AL376" s="3"/>
      <c r="AM376" s="3"/>
      <c r="AN376" s="3"/>
      <c r="AO376" s="3"/>
    </row>
    <row r="377" spans="2:41" x14ac:dyDescent="0.25">
      <c r="B377" s="13"/>
      <c r="C377" s="14"/>
      <c r="D377" s="14"/>
      <c r="E377" s="56"/>
      <c r="F377" s="56"/>
      <c r="G377" s="14"/>
      <c r="H377" s="56"/>
      <c r="I377" s="14"/>
      <c r="J377" s="14"/>
      <c r="K377" s="14"/>
      <c r="L377" s="14"/>
      <c r="M377" s="14"/>
      <c r="N377" s="14"/>
      <c r="O377" s="14"/>
      <c r="P377" s="14"/>
      <c r="Q377" s="14"/>
      <c r="R377" s="14"/>
      <c r="S377" s="14"/>
      <c r="T377" s="14"/>
      <c r="U377" s="14"/>
      <c r="V377" s="14"/>
      <c r="W377" s="14"/>
      <c r="X377" s="14"/>
      <c r="Y377" s="14"/>
      <c r="Z377" s="14"/>
      <c r="AA377" s="15"/>
      <c r="AB377" s="3"/>
      <c r="AC377" s="3"/>
      <c r="AD377" s="3"/>
      <c r="AE377" s="3"/>
      <c r="AF377" s="3"/>
      <c r="AG377" s="3"/>
      <c r="AH377" s="3"/>
      <c r="AI377" s="3"/>
      <c r="AJ377" s="3"/>
      <c r="AK377" s="3"/>
      <c r="AL377" s="3"/>
      <c r="AM377" s="3"/>
      <c r="AN377" s="3"/>
      <c r="AO377" s="3"/>
    </row>
    <row r="378" spans="2:41" x14ac:dyDescent="0.25">
      <c r="B378" s="13"/>
      <c r="C378" s="14"/>
      <c r="D378" s="60"/>
      <c r="E378" s="56"/>
      <c r="F378" s="56"/>
      <c r="G378" s="14"/>
      <c r="H378" s="14"/>
      <c r="I378" s="14"/>
      <c r="J378" s="14"/>
      <c r="K378" s="14"/>
      <c r="L378" s="14"/>
      <c r="M378" s="14"/>
      <c r="N378" s="14"/>
      <c r="O378" s="14"/>
      <c r="P378" s="14"/>
      <c r="Q378" s="14"/>
      <c r="R378" s="14"/>
      <c r="S378" s="14"/>
      <c r="T378" s="14"/>
      <c r="U378" s="14"/>
      <c r="V378" s="14"/>
      <c r="W378" s="14"/>
      <c r="X378" s="14"/>
      <c r="Y378" s="14"/>
      <c r="Z378" s="14"/>
      <c r="AA378" s="15"/>
      <c r="AB378" s="3"/>
      <c r="AC378" s="3"/>
      <c r="AD378" s="3"/>
      <c r="AE378" s="3"/>
      <c r="AF378" s="3"/>
      <c r="AG378" s="3"/>
      <c r="AH378" s="3"/>
      <c r="AI378" s="3"/>
      <c r="AJ378" s="3"/>
      <c r="AK378" s="3"/>
      <c r="AL378" s="3"/>
      <c r="AM378" s="3"/>
      <c r="AN378" s="3"/>
      <c r="AO378" s="3"/>
    </row>
    <row r="379" spans="2:41" x14ac:dyDescent="0.25">
      <c r="B379" s="13"/>
      <c r="C379" s="14"/>
      <c r="D379" s="60"/>
      <c r="E379" s="56"/>
      <c r="F379" s="56"/>
      <c r="G379" s="14"/>
      <c r="H379" s="56"/>
      <c r="I379" s="14"/>
      <c r="J379" s="14"/>
      <c r="K379" s="14"/>
      <c r="L379" s="14"/>
      <c r="M379" s="14"/>
      <c r="N379" s="14"/>
      <c r="O379" s="14"/>
      <c r="P379" s="14"/>
      <c r="Q379" s="14"/>
      <c r="R379" s="14"/>
      <c r="S379" s="14"/>
      <c r="T379" s="14"/>
      <c r="U379" s="14"/>
      <c r="V379" s="14"/>
      <c r="W379" s="14"/>
      <c r="X379" s="14"/>
      <c r="Y379" s="14"/>
      <c r="Z379" s="14"/>
      <c r="AA379" s="15"/>
      <c r="AB379" s="3"/>
      <c r="AC379" s="3"/>
      <c r="AD379" s="3"/>
      <c r="AE379" s="3"/>
      <c r="AF379" s="3"/>
      <c r="AG379" s="3"/>
      <c r="AH379" s="3"/>
      <c r="AI379" s="3"/>
      <c r="AJ379" s="3"/>
      <c r="AK379" s="3"/>
      <c r="AL379" s="3"/>
      <c r="AM379" s="3"/>
      <c r="AN379" s="3"/>
      <c r="AO379" s="3"/>
    </row>
    <row r="380" spans="2:41" x14ac:dyDescent="0.25">
      <c r="B380" s="13"/>
      <c r="C380" s="14"/>
      <c r="D380" s="60"/>
      <c r="E380" s="56"/>
      <c r="F380" s="56"/>
      <c r="G380" s="14"/>
      <c r="H380" s="56"/>
      <c r="I380" s="14"/>
      <c r="J380" s="14"/>
      <c r="K380" s="14"/>
      <c r="L380" s="14"/>
      <c r="M380" s="14"/>
      <c r="N380" s="14"/>
      <c r="O380" s="14"/>
      <c r="P380" s="14"/>
      <c r="Q380" s="14"/>
      <c r="R380" s="14"/>
      <c r="S380" s="14"/>
      <c r="T380" s="14"/>
      <c r="U380" s="14"/>
      <c r="V380" s="14"/>
      <c r="W380" s="14"/>
      <c r="X380" s="14"/>
      <c r="Y380" s="14"/>
      <c r="Z380" s="14"/>
      <c r="AA380" s="15"/>
      <c r="AB380" s="3"/>
      <c r="AC380" s="3"/>
      <c r="AD380" s="3"/>
      <c r="AE380" s="3"/>
      <c r="AF380" s="3"/>
      <c r="AG380" s="3"/>
      <c r="AH380" s="3"/>
      <c r="AI380" s="3"/>
      <c r="AJ380" s="3"/>
      <c r="AK380" s="3"/>
      <c r="AL380" s="3"/>
      <c r="AM380" s="3"/>
      <c r="AN380" s="3"/>
      <c r="AO380" s="3"/>
    </row>
    <row r="381" spans="2:41" x14ac:dyDescent="0.25">
      <c r="B381" s="13"/>
      <c r="C381" s="14"/>
      <c r="D381" s="60"/>
      <c r="E381" s="56"/>
      <c r="F381" s="56"/>
      <c r="G381" s="14"/>
      <c r="H381" s="56"/>
      <c r="I381" s="14"/>
      <c r="J381" s="14"/>
      <c r="K381" s="14"/>
      <c r="L381" s="14"/>
      <c r="M381" s="14"/>
      <c r="N381" s="14"/>
      <c r="O381" s="14"/>
      <c r="P381" s="14"/>
      <c r="Q381" s="14"/>
      <c r="R381" s="14"/>
      <c r="S381" s="14"/>
      <c r="T381" s="14"/>
      <c r="U381" s="14"/>
      <c r="V381" s="14"/>
      <c r="W381" s="14"/>
      <c r="X381" s="14"/>
      <c r="Y381" s="14"/>
      <c r="Z381" s="14"/>
      <c r="AA381" s="15"/>
      <c r="AB381" s="3"/>
      <c r="AC381" s="3"/>
      <c r="AD381" s="3"/>
      <c r="AE381" s="3"/>
      <c r="AF381" s="3"/>
      <c r="AG381" s="3"/>
      <c r="AH381" s="3"/>
      <c r="AI381" s="3"/>
      <c r="AJ381" s="3"/>
      <c r="AK381" s="3"/>
      <c r="AL381" s="3"/>
      <c r="AM381" s="3"/>
      <c r="AN381" s="3"/>
      <c r="AO381" s="3"/>
    </row>
    <row r="382" spans="2:41" x14ac:dyDescent="0.25">
      <c r="B382" s="13"/>
      <c r="C382" s="56"/>
      <c r="D382" s="60"/>
      <c r="E382" s="56"/>
      <c r="F382" s="56"/>
      <c r="G382" s="56"/>
      <c r="H382" s="56"/>
      <c r="I382" s="14"/>
      <c r="J382" s="14"/>
      <c r="K382" s="14"/>
      <c r="L382" s="14"/>
      <c r="M382" s="14"/>
      <c r="N382" s="14"/>
      <c r="O382" s="14"/>
      <c r="P382" s="14"/>
      <c r="Q382" s="14"/>
      <c r="R382" s="14"/>
      <c r="S382" s="14"/>
      <c r="T382" s="14"/>
      <c r="U382" s="14"/>
      <c r="V382" s="14"/>
      <c r="W382" s="14"/>
      <c r="X382" s="14"/>
      <c r="Y382" s="14"/>
      <c r="Z382" s="14"/>
      <c r="AA382" s="15"/>
      <c r="AB382" s="3"/>
      <c r="AC382" s="3"/>
      <c r="AD382" s="3"/>
      <c r="AE382" s="3"/>
      <c r="AF382" s="3"/>
      <c r="AG382" s="3"/>
      <c r="AH382" s="3"/>
      <c r="AI382" s="3"/>
      <c r="AJ382" s="3"/>
      <c r="AK382" s="3"/>
      <c r="AL382" s="3"/>
      <c r="AM382" s="3"/>
      <c r="AN382" s="3"/>
      <c r="AO382" s="3"/>
    </row>
    <row r="383" spans="2:41" x14ac:dyDescent="0.25">
      <c r="B383" s="13"/>
      <c r="C383" s="14"/>
      <c r="D383" s="60"/>
      <c r="E383" s="56"/>
      <c r="F383" s="56"/>
      <c r="G383" s="14"/>
      <c r="H383" s="56"/>
      <c r="I383" s="14"/>
      <c r="J383" s="14"/>
      <c r="K383" s="14"/>
      <c r="L383" s="14"/>
      <c r="M383" s="14"/>
      <c r="N383" s="14"/>
      <c r="O383" s="14"/>
      <c r="P383" s="14"/>
      <c r="Q383" s="14"/>
      <c r="R383" s="14"/>
      <c r="S383" s="14"/>
      <c r="T383" s="14"/>
      <c r="U383" s="14"/>
      <c r="V383" s="14"/>
      <c r="W383" s="14"/>
      <c r="X383" s="14"/>
      <c r="Y383" s="14"/>
      <c r="Z383" s="14"/>
      <c r="AA383" s="15"/>
      <c r="AB383" s="3"/>
      <c r="AC383" s="3"/>
      <c r="AD383" s="3"/>
      <c r="AE383" s="3"/>
      <c r="AF383" s="3"/>
      <c r="AG383" s="3"/>
      <c r="AH383" s="3"/>
      <c r="AI383" s="3"/>
      <c r="AJ383" s="3"/>
      <c r="AK383" s="3"/>
      <c r="AL383" s="3"/>
      <c r="AM383" s="3"/>
      <c r="AN383" s="3"/>
      <c r="AO383" s="3"/>
    </row>
    <row r="384" spans="2:41" ht="18.75" x14ac:dyDescent="0.3">
      <c r="B384" s="67"/>
      <c r="C384" s="14"/>
      <c r="D384" s="14"/>
      <c r="E384" s="56"/>
      <c r="F384" s="56"/>
      <c r="G384" s="14"/>
      <c r="H384" s="56"/>
      <c r="I384" s="74"/>
      <c r="J384" s="14"/>
      <c r="K384" s="14"/>
      <c r="L384" s="14"/>
      <c r="M384" s="14"/>
      <c r="N384" s="14"/>
      <c r="O384" s="14"/>
      <c r="P384" s="14"/>
      <c r="Q384" s="14"/>
      <c r="R384" s="14"/>
      <c r="S384" s="14"/>
      <c r="T384" s="14"/>
      <c r="U384" s="14"/>
      <c r="V384" s="14"/>
      <c r="W384" s="14"/>
      <c r="X384" s="14"/>
      <c r="Y384" s="14"/>
      <c r="Z384" s="14"/>
      <c r="AA384" s="15"/>
      <c r="AB384" s="3"/>
      <c r="AC384" s="3"/>
      <c r="AD384" s="3"/>
      <c r="AE384" s="3"/>
      <c r="AF384" s="3"/>
      <c r="AG384" s="3"/>
      <c r="AH384" s="3"/>
      <c r="AI384" s="3"/>
      <c r="AJ384" s="3"/>
      <c r="AK384" s="3"/>
      <c r="AL384" s="3"/>
      <c r="AM384" s="3"/>
      <c r="AN384" s="3"/>
      <c r="AO384" s="3"/>
    </row>
    <row r="385" spans="2:41" x14ac:dyDescent="0.25">
      <c r="B385" s="18"/>
      <c r="C385" s="19"/>
      <c r="D385" s="63"/>
      <c r="E385" s="64"/>
      <c r="F385" s="64"/>
      <c r="G385" s="19"/>
      <c r="H385" s="19"/>
      <c r="I385" s="19"/>
      <c r="J385" s="19"/>
      <c r="K385" s="19"/>
      <c r="L385" s="19"/>
      <c r="M385" s="19"/>
      <c r="N385" s="19"/>
      <c r="O385" s="19"/>
      <c r="P385" s="19"/>
      <c r="Q385" s="19"/>
      <c r="R385" s="19"/>
      <c r="S385" s="19"/>
      <c r="T385" s="19"/>
      <c r="U385" s="19"/>
      <c r="V385" s="19"/>
      <c r="W385" s="19"/>
      <c r="X385" s="19"/>
      <c r="Y385" s="19"/>
      <c r="Z385" s="19"/>
      <c r="AA385" s="20"/>
      <c r="AB385" s="3"/>
      <c r="AC385" s="3"/>
      <c r="AD385" s="3"/>
      <c r="AE385" s="3"/>
      <c r="AF385" s="3"/>
      <c r="AG385" s="3"/>
      <c r="AH385" s="3"/>
      <c r="AI385" s="3"/>
      <c r="AJ385" s="3"/>
      <c r="AK385" s="3"/>
      <c r="AL385" s="3"/>
      <c r="AM385" s="3"/>
      <c r="AN385" s="3"/>
      <c r="AO385" s="3"/>
    </row>
    <row r="386" spans="2:41" x14ac:dyDescent="0.25">
      <c r="B386" s="13"/>
      <c r="C386" s="13"/>
      <c r="D386" s="60"/>
      <c r="E386" s="56"/>
      <c r="F386" s="56"/>
      <c r="G386" s="14"/>
      <c r="H386" s="61"/>
      <c r="I386" s="15"/>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row>
    <row r="387" spans="2:41" x14ac:dyDescent="0.25">
      <c r="B387" s="13"/>
      <c r="C387" s="13"/>
      <c r="D387" s="60"/>
      <c r="E387" s="56"/>
      <c r="F387" s="56"/>
      <c r="G387" s="14"/>
      <c r="H387" s="61"/>
      <c r="I387" s="15"/>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row>
    <row r="388" spans="2:41" x14ac:dyDescent="0.25">
      <c r="B388" s="13"/>
      <c r="C388" s="13"/>
      <c r="D388" s="60"/>
      <c r="E388" s="56"/>
      <c r="F388" s="56"/>
      <c r="G388" s="14"/>
      <c r="H388" s="61"/>
      <c r="I388" s="15"/>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row>
    <row r="389" spans="2:41" x14ac:dyDescent="0.25">
      <c r="B389" s="13"/>
      <c r="C389" s="62"/>
      <c r="D389" s="63"/>
      <c r="E389" s="64"/>
      <c r="F389" s="64"/>
      <c r="G389" s="64"/>
      <c r="H389" s="65"/>
      <c r="I389" s="15"/>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row>
    <row r="390" spans="2:41" x14ac:dyDescent="0.25">
      <c r="B390" s="13"/>
      <c r="C390" s="14"/>
      <c r="D390" s="60"/>
      <c r="E390" s="66"/>
      <c r="F390" s="56"/>
      <c r="G390" s="14"/>
      <c r="H390" s="56"/>
      <c r="I390" s="15"/>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row>
    <row r="391" spans="2:41" x14ac:dyDescent="0.25">
      <c r="B391" s="13"/>
      <c r="C391" s="10"/>
      <c r="D391" s="11"/>
      <c r="E391" s="56"/>
      <c r="F391" s="58"/>
      <c r="G391" s="11"/>
      <c r="H391" s="59"/>
      <c r="I391" s="15"/>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row>
    <row r="392" spans="2:41" ht="18.75" x14ac:dyDescent="0.3">
      <c r="B392" s="67"/>
      <c r="C392" s="13"/>
      <c r="D392" s="60"/>
      <c r="E392" s="56"/>
      <c r="F392" s="56"/>
      <c r="G392" s="14"/>
      <c r="H392" s="15"/>
      <c r="I392" s="68"/>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row>
    <row r="393" spans="2:41" x14ac:dyDescent="0.25">
      <c r="B393" s="13"/>
      <c r="C393" s="13"/>
      <c r="D393" s="60"/>
      <c r="E393" s="56"/>
      <c r="F393" s="56"/>
      <c r="G393" s="14"/>
      <c r="H393" s="61"/>
      <c r="I393" s="15"/>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row>
    <row r="394" spans="2:41" x14ac:dyDescent="0.25">
      <c r="B394" s="13"/>
      <c r="C394" s="13"/>
      <c r="D394" s="60"/>
      <c r="E394" s="56"/>
      <c r="F394" s="56"/>
      <c r="G394" s="14"/>
      <c r="H394" s="61"/>
      <c r="I394" s="15"/>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row>
    <row r="395" spans="2:41" x14ac:dyDescent="0.25">
      <c r="B395" s="13"/>
      <c r="C395" s="13"/>
      <c r="D395" s="60"/>
      <c r="E395" s="56"/>
      <c r="F395" s="56"/>
      <c r="G395" s="14"/>
      <c r="H395" s="61"/>
      <c r="I395" s="15"/>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row>
    <row r="396" spans="2:41" x14ac:dyDescent="0.25">
      <c r="B396" s="13"/>
      <c r="C396" s="62"/>
      <c r="D396" s="63"/>
      <c r="E396" s="64"/>
      <c r="F396" s="64"/>
      <c r="G396" s="64"/>
      <c r="H396" s="65"/>
      <c r="I396" s="15"/>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row>
    <row r="397" spans="2:41" x14ac:dyDescent="0.25">
      <c r="B397" s="13"/>
      <c r="C397" s="14"/>
      <c r="D397" s="60"/>
      <c r="E397" s="66"/>
      <c r="F397" s="56"/>
      <c r="G397" s="14"/>
      <c r="H397" s="56"/>
      <c r="I397" s="15"/>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row>
    <row r="398" spans="2:41" x14ac:dyDescent="0.25">
      <c r="B398" s="13"/>
      <c r="C398" s="10"/>
      <c r="D398" s="11"/>
      <c r="E398" s="56"/>
      <c r="F398" s="58"/>
      <c r="G398" s="11"/>
      <c r="H398" s="59"/>
      <c r="I398" s="15"/>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row>
    <row r="399" spans="2:41" x14ac:dyDescent="0.25">
      <c r="B399" s="13"/>
      <c r="C399" s="13"/>
      <c r="D399" s="60"/>
      <c r="E399" s="56"/>
      <c r="F399" s="56"/>
      <c r="G399" s="14"/>
      <c r="H399" s="15"/>
      <c r="I399" s="15"/>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row>
    <row r="400" spans="2:41" ht="18.75" x14ac:dyDescent="0.3">
      <c r="B400" s="67"/>
      <c r="C400" s="13"/>
      <c r="D400" s="60"/>
      <c r="E400" s="56"/>
      <c r="F400" s="56"/>
      <c r="G400" s="14"/>
      <c r="H400" s="61"/>
      <c r="I400" s="68"/>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row>
    <row r="401" spans="2:41" x14ac:dyDescent="0.25">
      <c r="B401" s="13"/>
      <c r="C401" s="13"/>
      <c r="D401" s="60"/>
      <c r="E401" s="56"/>
      <c r="F401" s="56"/>
      <c r="G401" s="14"/>
      <c r="H401" s="61"/>
      <c r="I401" s="15"/>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row>
    <row r="402" spans="2:41" x14ac:dyDescent="0.25">
      <c r="B402" s="13"/>
      <c r="C402" s="13"/>
      <c r="D402" s="60"/>
      <c r="E402" s="56"/>
      <c r="F402" s="56"/>
      <c r="G402" s="14"/>
      <c r="H402" s="61"/>
      <c r="I402" s="15"/>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row>
    <row r="403" spans="2:41" x14ac:dyDescent="0.25">
      <c r="B403" s="13"/>
      <c r="C403" s="62"/>
      <c r="D403" s="63"/>
      <c r="E403" s="64"/>
      <c r="F403" s="64"/>
      <c r="G403" s="64"/>
      <c r="H403" s="65"/>
      <c r="I403" s="15"/>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row>
    <row r="404" spans="2:41" x14ac:dyDescent="0.25">
      <c r="B404" s="13"/>
      <c r="C404" s="14"/>
      <c r="D404" s="60"/>
      <c r="E404" s="66"/>
      <c r="F404" s="56"/>
      <c r="G404" s="14"/>
      <c r="H404" s="56"/>
      <c r="I404" s="15"/>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row>
    <row r="405" spans="2:41" x14ac:dyDescent="0.25">
      <c r="B405" s="13"/>
      <c r="C405" s="10"/>
      <c r="D405" s="11"/>
      <c r="E405" s="56"/>
      <c r="F405" s="58"/>
      <c r="G405" s="11"/>
      <c r="H405" s="59"/>
      <c r="I405" s="15"/>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row>
    <row r="406" spans="2:41" x14ac:dyDescent="0.25">
      <c r="B406" s="13"/>
      <c r="C406" s="13"/>
      <c r="D406" s="60"/>
      <c r="E406" s="56"/>
      <c r="F406" s="56"/>
      <c r="G406" s="14"/>
      <c r="H406" s="15"/>
      <c r="I406" s="15"/>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row>
    <row r="407" spans="2:41" x14ac:dyDescent="0.25">
      <c r="B407" s="13"/>
      <c r="C407" s="13"/>
      <c r="D407" s="60"/>
      <c r="E407" s="56"/>
      <c r="F407" s="56"/>
      <c r="G407" s="14"/>
      <c r="H407" s="61"/>
      <c r="I407" s="1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row>
    <row r="408" spans="2:41" ht="18.75" x14ac:dyDescent="0.3">
      <c r="B408" s="67"/>
      <c r="C408" s="13"/>
      <c r="D408" s="60"/>
      <c r="E408" s="56"/>
      <c r="F408" s="56"/>
      <c r="G408" s="14"/>
      <c r="H408" s="61"/>
      <c r="I408" s="68"/>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row>
    <row r="409" spans="2:41" x14ac:dyDescent="0.25">
      <c r="B409" s="13"/>
      <c r="C409" s="13"/>
      <c r="D409" s="60"/>
      <c r="E409" s="56"/>
      <c r="F409" s="56"/>
      <c r="G409" s="14"/>
      <c r="H409" s="61"/>
      <c r="I409" s="1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row>
    <row r="410" spans="2:41" x14ac:dyDescent="0.25">
      <c r="B410" s="13"/>
      <c r="C410" s="62"/>
      <c r="D410" s="63"/>
      <c r="E410" s="64"/>
      <c r="F410" s="64"/>
      <c r="G410" s="64"/>
      <c r="H410" s="65"/>
      <c r="I410" s="15"/>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row>
    <row r="411" spans="2:41" x14ac:dyDescent="0.25">
      <c r="B411" s="13"/>
      <c r="C411" s="14"/>
      <c r="D411" s="60"/>
      <c r="E411" s="66"/>
      <c r="F411" s="56"/>
      <c r="G411" s="14"/>
      <c r="H411" s="56"/>
      <c r="I411" s="15"/>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row>
    <row r="412" spans="2:41" x14ac:dyDescent="0.25">
      <c r="B412" s="13"/>
      <c r="C412" s="10"/>
      <c r="D412" s="11"/>
      <c r="E412" s="56"/>
      <c r="F412" s="58"/>
      <c r="G412" s="11"/>
      <c r="H412" s="59"/>
      <c r="I412" s="15"/>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row>
    <row r="413" spans="2:41" x14ac:dyDescent="0.25">
      <c r="B413" s="13"/>
      <c r="C413" s="13"/>
      <c r="D413" s="60"/>
      <c r="E413" s="56"/>
      <c r="F413" s="56"/>
      <c r="G413" s="14"/>
      <c r="H413" s="15"/>
      <c r="I413" s="15"/>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row>
    <row r="414" spans="2:41" x14ac:dyDescent="0.25">
      <c r="B414" s="13"/>
      <c r="C414" s="13"/>
      <c r="D414" s="60"/>
      <c r="E414" s="56"/>
      <c r="F414" s="56"/>
      <c r="G414" s="14"/>
      <c r="H414" s="61"/>
      <c r="I414" s="15"/>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row>
    <row r="415" spans="2:41" x14ac:dyDescent="0.25">
      <c r="B415" s="13"/>
      <c r="C415" s="13"/>
      <c r="D415" s="60"/>
      <c r="E415" s="56"/>
      <c r="F415" s="56"/>
      <c r="G415" s="14"/>
      <c r="H415" s="61"/>
      <c r="I415" s="15"/>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row>
    <row r="416" spans="2:41" ht="18.75" x14ac:dyDescent="0.3">
      <c r="B416" s="67"/>
      <c r="C416" s="13"/>
      <c r="D416" s="60"/>
      <c r="E416" s="56"/>
      <c r="F416" s="56"/>
      <c r="G416" s="14"/>
      <c r="H416" s="61"/>
      <c r="I416" s="68"/>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row>
    <row r="417" spans="2:41" x14ac:dyDescent="0.25">
      <c r="B417" s="13"/>
      <c r="C417" s="62"/>
      <c r="D417" s="63"/>
      <c r="E417" s="64"/>
      <c r="F417" s="64"/>
      <c r="G417" s="64"/>
      <c r="H417" s="65"/>
      <c r="I417" s="15"/>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row>
    <row r="418" spans="2:41" x14ac:dyDescent="0.25">
      <c r="B418" s="13"/>
      <c r="C418" s="14"/>
      <c r="D418" s="60"/>
      <c r="E418" s="66"/>
      <c r="F418" s="56"/>
      <c r="G418" s="14"/>
      <c r="H418" s="56"/>
      <c r="I418" s="15"/>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row>
    <row r="419" spans="2:41" x14ac:dyDescent="0.25">
      <c r="B419" s="13"/>
      <c r="C419" s="10"/>
      <c r="D419" s="11"/>
      <c r="E419" s="56"/>
      <c r="F419" s="58"/>
      <c r="G419" s="11"/>
      <c r="H419" s="59"/>
      <c r="I419" s="15"/>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row>
    <row r="420" spans="2:41" x14ac:dyDescent="0.25">
      <c r="B420" s="13"/>
      <c r="C420" s="13"/>
      <c r="D420" s="60"/>
      <c r="E420" s="56"/>
      <c r="F420" s="56"/>
      <c r="G420" s="14"/>
      <c r="H420" s="15"/>
      <c r="I420" s="15"/>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row>
    <row r="421" spans="2:41" x14ac:dyDescent="0.25">
      <c r="B421" s="13"/>
      <c r="C421" s="13"/>
      <c r="D421" s="60"/>
      <c r="E421" s="56"/>
      <c r="F421" s="56"/>
      <c r="G421" s="14"/>
      <c r="H421" s="61"/>
      <c r="I421" s="15"/>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row>
    <row r="422" spans="2:41" x14ac:dyDescent="0.25">
      <c r="B422" s="13"/>
      <c r="C422" s="13"/>
      <c r="D422" s="60"/>
      <c r="E422" s="56"/>
      <c r="F422" s="56"/>
      <c r="G422" s="14"/>
      <c r="H422" s="61"/>
      <c r="I422" s="15"/>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row>
    <row r="423" spans="2:41" x14ac:dyDescent="0.25">
      <c r="B423" s="13"/>
      <c r="C423" s="13"/>
      <c r="D423" s="60"/>
      <c r="E423" s="56"/>
      <c r="F423" s="56"/>
      <c r="G423" s="14"/>
      <c r="H423" s="61"/>
      <c r="I423" s="15"/>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row>
    <row r="424" spans="2:41" ht="18.75" x14ac:dyDescent="0.3">
      <c r="B424" s="67"/>
      <c r="C424" s="62"/>
      <c r="D424" s="63"/>
      <c r="E424" s="64"/>
      <c r="F424" s="64"/>
      <c r="G424" s="64"/>
      <c r="H424" s="65"/>
      <c r="I424" s="68"/>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row>
    <row r="425" spans="2:41" x14ac:dyDescent="0.25">
      <c r="B425" s="13"/>
      <c r="C425" s="14"/>
      <c r="D425" s="60"/>
      <c r="E425" s="66"/>
      <c r="F425" s="56"/>
      <c r="G425" s="14"/>
      <c r="H425" s="56"/>
      <c r="I425" s="15"/>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row>
    <row r="426" spans="2:41" x14ac:dyDescent="0.25">
      <c r="B426" s="13"/>
      <c r="C426" s="10"/>
      <c r="D426" s="11"/>
      <c r="E426" s="56"/>
      <c r="F426" s="58"/>
      <c r="G426" s="11"/>
      <c r="H426" s="59"/>
      <c r="I426" s="15"/>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row>
    <row r="427" spans="2:41" x14ac:dyDescent="0.25">
      <c r="B427" s="13"/>
      <c r="C427" s="13"/>
      <c r="D427" s="60"/>
      <c r="E427" s="56"/>
      <c r="F427" s="56"/>
      <c r="G427" s="14"/>
      <c r="H427" s="15"/>
      <c r="I427" s="15"/>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row>
    <row r="428" spans="2:41" x14ac:dyDescent="0.25">
      <c r="B428" s="13"/>
      <c r="C428" s="13"/>
      <c r="D428" s="60"/>
      <c r="E428" s="56"/>
      <c r="F428" s="56"/>
      <c r="G428" s="14"/>
      <c r="H428" s="61"/>
      <c r="I428" s="15"/>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row>
    <row r="429" spans="2:41" x14ac:dyDescent="0.25">
      <c r="B429" s="13"/>
      <c r="C429" s="13"/>
      <c r="D429" s="60"/>
      <c r="E429" s="56"/>
      <c r="F429" s="56"/>
      <c r="G429" s="14"/>
      <c r="H429" s="61"/>
      <c r="I429" s="15"/>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row>
    <row r="430" spans="2:41" x14ac:dyDescent="0.25">
      <c r="B430" s="13"/>
      <c r="C430" s="13"/>
      <c r="D430" s="60"/>
      <c r="E430" s="56"/>
      <c r="F430" s="56"/>
      <c r="G430" s="14"/>
      <c r="H430" s="61"/>
      <c r="I430" s="15"/>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row>
    <row r="431" spans="2:41" x14ac:dyDescent="0.25">
      <c r="B431" s="13"/>
      <c r="C431" s="62"/>
      <c r="D431" s="63"/>
      <c r="E431" s="64"/>
      <c r="F431" s="64"/>
      <c r="G431" s="64"/>
      <c r="H431" s="65"/>
      <c r="I431" s="15"/>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row>
    <row r="432" spans="2:41" ht="18.75" x14ac:dyDescent="0.3">
      <c r="B432" s="67"/>
      <c r="C432" s="14"/>
      <c r="D432" s="60"/>
      <c r="E432" s="66"/>
      <c r="F432" s="56"/>
      <c r="G432" s="14"/>
      <c r="H432" s="56"/>
      <c r="I432" s="68"/>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row>
    <row r="433" spans="2:41" x14ac:dyDescent="0.25">
      <c r="B433" s="13"/>
      <c r="C433" s="10"/>
      <c r="D433" s="11"/>
      <c r="E433" s="56"/>
      <c r="F433" s="58"/>
      <c r="G433" s="11"/>
      <c r="H433" s="59"/>
      <c r="I433" s="15"/>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row>
    <row r="434" spans="2:41" x14ac:dyDescent="0.25">
      <c r="B434" s="13"/>
      <c r="C434" s="13"/>
      <c r="D434" s="60"/>
      <c r="E434" s="56"/>
      <c r="F434" s="56"/>
      <c r="G434" s="14"/>
      <c r="H434" s="15"/>
      <c r="I434" s="15"/>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row>
    <row r="435" spans="2:41" x14ac:dyDescent="0.25">
      <c r="B435" s="13"/>
      <c r="C435" s="13"/>
      <c r="D435" s="60"/>
      <c r="E435" s="56"/>
      <c r="F435" s="56"/>
      <c r="G435" s="14"/>
      <c r="H435" s="61"/>
      <c r="I435" s="15"/>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row>
    <row r="436" spans="2:41" x14ac:dyDescent="0.25">
      <c r="B436" s="13"/>
      <c r="C436" s="13"/>
      <c r="D436" s="60"/>
      <c r="E436" s="56"/>
      <c r="F436" s="56"/>
      <c r="G436" s="14"/>
      <c r="H436" s="61"/>
      <c r="I436" s="15"/>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row>
    <row r="437" spans="2:41" x14ac:dyDescent="0.25">
      <c r="B437" s="13"/>
      <c r="C437" s="13"/>
      <c r="D437" s="60"/>
      <c r="E437" s="56"/>
      <c r="F437" s="56"/>
      <c r="G437" s="14"/>
      <c r="H437" s="61"/>
      <c r="I437" s="15"/>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row>
    <row r="438" spans="2:41" x14ac:dyDescent="0.25">
      <c r="B438" s="13"/>
      <c r="C438" s="62"/>
      <c r="D438" s="63"/>
      <c r="E438" s="64"/>
      <c r="F438" s="64"/>
      <c r="G438" s="64"/>
      <c r="H438" s="65"/>
      <c r="I438" s="15"/>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row>
    <row r="439" spans="2:41" x14ac:dyDescent="0.25">
      <c r="B439" s="13"/>
      <c r="C439" s="14"/>
      <c r="D439" s="60"/>
      <c r="E439" s="66"/>
      <c r="F439" s="56"/>
      <c r="G439" s="14"/>
      <c r="H439" s="56"/>
      <c r="I439" s="15"/>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row>
    <row r="440" spans="2:41" ht="18.75" x14ac:dyDescent="0.3">
      <c r="B440" s="67"/>
      <c r="C440" s="10"/>
      <c r="D440" s="11"/>
      <c r="E440" s="56"/>
      <c r="F440" s="58"/>
      <c r="G440" s="11"/>
      <c r="H440" s="59"/>
      <c r="I440" s="68"/>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row>
    <row r="441" spans="2:41" x14ac:dyDescent="0.25">
      <c r="B441" s="13"/>
      <c r="C441" s="13"/>
      <c r="D441" s="60"/>
      <c r="E441" s="56"/>
      <c r="F441" s="56"/>
      <c r="G441" s="14"/>
      <c r="H441" s="15"/>
      <c r="I441" s="15"/>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row>
    <row r="442" spans="2:41" x14ac:dyDescent="0.25">
      <c r="B442" s="13"/>
      <c r="C442" s="13"/>
      <c r="D442" s="60"/>
      <c r="E442" s="56"/>
      <c r="F442" s="56"/>
      <c r="G442" s="14"/>
      <c r="H442" s="61"/>
      <c r="I442" s="15"/>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row>
    <row r="443" spans="2:41" x14ac:dyDescent="0.25">
      <c r="B443" s="13"/>
      <c r="C443" s="13"/>
      <c r="D443" s="60"/>
      <c r="E443" s="56"/>
      <c r="F443" s="56"/>
      <c r="G443" s="14"/>
      <c r="H443" s="61"/>
      <c r="I443" s="15"/>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row>
    <row r="444" spans="2:41" x14ac:dyDescent="0.25">
      <c r="B444" s="13"/>
      <c r="C444" s="13"/>
      <c r="D444" s="60"/>
      <c r="E444" s="56"/>
      <c r="F444" s="56"/>
      <c r="G444" s="14"/>
      <c r="H444" s="61"/>
      <c r="I444" s="15"/>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row>
    <row r="445" spans="2:41" x14ac:dyDescent="0.25">
      <c r="B445" s="13"/>
      <c r="C445" s="62"/>
      <c r="D445" s="63"/>
      <c r="E445" s="64"/>
      <c r="F445" s="64"/>
      <c r="G445" s="64"/>
      <c r="H445" s="65"/>
      <c r="I445" s="15"/>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row>
    <row r="446" spans="2:41" x14ac:dyDescent="0.25">
      <c r="B446" s="13"/>
      <c r="C446" s="14"/>
      <c r="D446" s="60"/>
      <c r="E446" s="66"/>
      <c r="F446" s="56"/>
      <c r="G446" s="14"/>
      <c r="H446" s="56"/>
      <c r="I446" s="15"/>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row>
    <row r="447" spans="2:41" x14ac:dyDescent="0.25">
      <c r="B447" s="13"/>
      <c r="C447" s="10"/>
      <c r="D447" s="11"/>
      <c r="E447" s="56"/>
      <c r="F447" s="58"/>
      <c r="G447" s="11"/>
      <c r="H447" s="59"/>
      <c r="I447" s="15"/>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row>
    <row r="448" spans="2:41" ht="18.75" x14ac:dyDescent="0.3">
      <c r="B448" s="67"/>
      <c r="C448" s="13"/>
      <c r="D448" s="60"/>
      <c r="E448" s="56"/>
      <c r="F448" s="56"/>
      <c r="G448" s="14"/>
      <c r="H448" s="15"/>
      <c r="I448" s="68"/>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row>
    <row r="449" spans="2:41" x14ac:dyDescent="0.25">
      <c r="B449" s="13"/>
      <c r="C449" s="13"/>
      <c r="D449" s="60"/>
      <c r="E449" s="56"/>
      <c r="F449" s="56"/>
      <c r="G449" s="14"/>
      <c r="H449" s="61"/>
      <c r="I449" s="15"/>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row>
    <row r="450" spans="2:41" x14ac:dyDescent="0.25">
      <c r="B450" s="13"/>
      <c r="C450" s="13"/>
      <c r="D450" s="60"/>
      <c r="E450" s="56"/>
      <c r="F450" s="56"/>
      <c r="G450" s="14"/>
      <c r="H450" s="61"/>
      <c r="I450" s="15"/>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row>
    <row r="451" spans="2:41" x14ac:dyDescent="0.25">
      <c r="B451" s="13"/>
      <c r="C451" s="13"/>
      <c r="D451" s="60"/>
      <c r="E451" s="56"/>
      <c r="F451" s="56"/>
      <c r="G451" s="14"/>
      <c r="H451" s="61"/>
      <c r="I451" s="15"/>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row>
    <row r="452" spans="2:41" x14ac:dyDescent="0.25">
      <c r="B452" s="13"/>
      <c r="C452" s="62"/>
      <c r="D452" s="63"/>
      <c r="E452" s="64"/>
      <c r="F452" s="64"/>
      <c r="G452" s="64"/>
      <c r="H452" s="65"/>
      <c r="I452" s="15"/>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row>
    <row r="453" spans="2:41" x14ac:dyDescent="0.25">
      <c r="B453" s="13"/>
      <c r="C453" s="14"/>
      <c r="D453" s="60"/>
      <c r="E453" s="66"/>
      <c r="F453" s="56"/>
      <c r="G453" s="14"/>
      <c r="H453" s="56"/>
      <c r="I453" s="15"/>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row>
    <row r="454" spans="2:41" x14ac:dyDescent="0.25">
      <c r="B454" s="13"/>
      <c r="C454" s="10"/>
      <c r="D454" s="11"/>
      <c r="E454" s="56"/>
      <c r="F454" s="58"/>
      <c r="G454" s="11"/>
      <c r="H454" s="59"/>
      <c r="I454" s="15"/>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row>
    <row r="455" spans="2:41" x14ac:dyDescent="0.25">
      <c r="B455" s="13"/>
      <c r="C455" s="13"/>
      <c r="D455" s="60"/>
      <c r="E455" s="56"/>
      <c r="F455" s="56"/>
      <c r="G455" s="14"/>
      <c r="H455" s="15"/>
      <c r="I455" s="15"/>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row>
    <row r="456" spans="2:41" ht="18.75" x14ac:dyDescent="0.3">
      <c r="B456" s="67"/>
      <c r="C456" s="13"/>
      <c r="D456" s="60"/>
      <c r="E456" s="56"/>
      <c r="F456" s="56"/>
      <c r="G456" s="14"/>
      <c r="H456" s="61"/>
      <c r="I456" s="68"/>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row>
    <row r="457" spans="2:41" x14ac:dyDescent="0.25">
      <c r="B457" s="13"/>
      <c r="C457" s="13"/>
      <c r="D457" s="60"/>
      <c r="E457" s="56"/>
      <c r="F457" s="56"/>
      <c r="G457" s="14"/>
      <c r="H457" s="61"/>
      <c r="I457" s="15"/>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row>
    <row r="458" spans="2:41" x14ac:dyDescent="0.25">
      <c r="B458" s="13"/>
      <c r="C458" s="13"/>
      <c r="D458" s="60"/>
      <c r="E458" s="56"/>
      <c r="F458" s="56"/>
      <c r="G458" s="14"/>
      <c r="H458" s="61"/>
      <c r="I458" s="15"/>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row>
    <row r="459" spans="2:41" x14ac:dyDescent="0.25">
      <c r="B459" s="13"/>
      <c r="C459" s="62"/>
      <c r="D459" s="63"/>
      <c r="E459" s="64"/>
      <c r="F459" s="64"/>
      <c r="G459" s="64"/>
      <c r="H459" s="65"/>
      <c r="I459" s="15"/>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row>
    <row r="460" spans="2:41" x14ac:dyDescent="0.25">
      <c r="B460" s="13"/>
      <c r="C460" s="14"/>
      <c r="D460" s="60"/>
      <c r="E460" s="66"/>
      <c r="F460" s="56"/>
      <c r="G460" s="14"/>
      <c r="H460" s="56"/>
      <c r="I460" s="15"/>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row>
    <row r="461" spans="2:41" x14ac:dyDescent="0.25">
      <c r="B461" s="13"/>
      <c r="C461" s="10"/>
      <c r="D461" s="11"/>
      <c r="E461" s="56"/>
      <c r="F461" s="58"/>
      <c r="G461" s="11"/>
      <c r="H461" s="59"/>
      <c r="I461" s="15"/>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row>
    <row r="462" spans="2:41" x14ac:dyDescent="0.25">
      <c r="B462" s="13"/>
      <c r="C462" s="13"/>
      <c r="D462" s="60"/>
      <c r="E462" s="56"/>
      <c r="F462" s="56"/>
      <c r="G462" s="14"/>
      <c r="H462" s="15"/>
      <c r="I462" s="15"/>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row>
    <row r="463" spans="2:41" x14ac:dyDescent="0.25">
      <c r="B463" s="13"/>
      <c r="C463" s="13"/>
      <c r="D463" s="60"/>
      <c r="E463" s="56"/>
      <c r="F463" s="56"/>
      <c r="G463" s="14"/>
      <c r="H463" s="61"/>
      <c r="I463" s="15"/>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row>
    <row r="464" spans="2:41" ht="18.75" x14ac:dyDescent="0.3">
      <c r="B464" s="67"/>
      <c r="C464" s="13"/>
      <c r="D464" s="60"/>
      <c r="E464" s="56"/>
      <c r="F464" s="56"/>
      <c r="G464" s="14"/>
      <c r="H464" s="61"/>
      <c r="I464" s="68"/>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row>
    <row r="465" spans="2:41" x14ac:dyDescent="0.25">
      <c r="B465" s="13"/>
      <c r="C465" s="13"/>
      <c r="D465" s="60"/>
      <c r="E465" s="56"/>
      <c r="F465" s="56"/>
      <c r="G465" s="14"/>
      <c r="H465" s="61"/>
      <c r="I465" s="15"/>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row>
    <row r="466" spans="2:41" x14ac:dyDescent="0.25">
      <c r="B466" s="13"/>
      <c r="C466" s="62"/>
      <c r="D466" s="63"/>
      <c r="E466" s="64"/>
      <c r="F466" s="64"/>
      <c r="G466" s="64"/>
      <c r="H466" s="65"/>
      <c r="I466" s="15"/>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row>
    <row r="467" spans="2:41" x14ac:dyDescent="0.25">
      <c r="B467" s="13"/>
      <c r="C467" s="14"/>
      <c r="D467" s="60"/>
      <c r="E467" s="66"/>
      <c r="F467" s="56"/>
      <c r="G467" s="14"/>
      <c r="H467" s="56"/>
      <c r="I467" s="15"/>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row>
    <row r="468" spans="2:41" x14ac:dyDescent="0.25">
      <c r="B468" s="13"/>
      <c r="C468" s="10"/>
      <c r="D468" s="11"/>
      <c r="E468" s="56"/>
      <c r="F468" s="58"/>
      <c r="G468" s="11"/>
      <c r="H468" s="59"/>
      <c r="I468" s="15"/>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row>
    <row r="469" spans="2:41" x14ac:dyDescent="0.25">
      <c r="B469" s="13"/>
      <c r="C469" s="13"/>
      <c r="D469" s="60"/>
      <c r="E469" s="56"/>
      <c r="F469" s="56"/>
      <c r="G469" s="14"/>
      <c r="H469" s="15"/>
      <c r="I469" s="15"/>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row>
    <row r="470" spans="2:41" x14ac:dyDescent="0.25">
      <c r="B470" s="13"/>
      <c r="C470" s="13"/>
      <c r="D470" s="60"/>
      <c r="E470" s="56"/>
      <c r="F470" s="56"/>
      <c r="G470" s="14"/>
      <c r="H470" s="61"/>
      <c r="I470" s="15"/>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row>
    <row r="471" spans="2:41" x14ac:dyDescent="0.25">
      <c r="B471" s="13"/>
      <c r="C471" s="13"/>
      <c r="D471" s="60"/>
      <c r="E471" s="56"/>
      <c r="F471" s="56"/>
      <c r="G471" s="14"/>
      <c r="H471" s="61"/>
      <c r="I471" s="15"/>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row>
    <row r="472" spans="2:41" ht="18.75" x14ac:dyDescent="0.3">
      <c r="B472" s="67"/>
      <c r="C472" s="13"/>
      <c r="D472" s="60"/>
      <c r="E472" s="56"/>
      <c r="F472" s="56"/>
      <c r="G472" s="14"/>
      <c r="H472" s="61"/>
      <c r="I472" s="68"/>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row>
    <row r="473" spans="2:41" x14ac:dyDescent="0.25">
      <c r="B473" s="13"/>
      <c r="C473" s="62"/>
      <c r="D473" s="63"/>
      <c r="E473" s="64"/>
      <c r="F473" s="64"/>
      <c r="G473" s="64"/>
      <c r="H473" s="65"/>
      <c r="I473" s="15"/>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row>
    <row r="474" spans="2:41" x14ac:dyDescent="0.25">
      <c r="B474" s="13"/>
      <c r="C474" s="14"/>
      <c r="D474" s="60"/>
      <c r="E474" s="66"/>
      <c r="F474" s="56"/>
      <c r="G474" s="14"/>
      <c r="H474" s="56"/>
      <c r="I474" s="1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row>
    <row r="475" spans="2:41" x14ac:dyDescent="0.25">
      <c r="B475" s="13"/>
      <c r="C475" s="10"/>
      <c r="D475" s="11"/>
      <c r="E475" s="56"/>
      <c r="F475" s="58"/>
      <c r="G475" s="11"/>
      <c r="H475" s="59"/>
      <c r="I475" s="15"/>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row>
    <row r="476" spans="2:41" x14ac:dyDescent="0.25">
      <c r="B476" s="13"/>
      <c r="C476" s="13"/>
      <c r="D476" s="60"/>
      <c r="E476" s="56"/>
      <c r="F476" s="56"/>
      <c r="G476" s="14"/>
      <c r="H476" s="15"/>
      <c r="I476" s="15"/>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row>
    <row r="477" spans="2:41" x14ac:dyDescent="0.25">
      <c r="B477" s="13"/>
      <c r="C477" s="13"/>
      <c r="D477" s="60"/>
      <c r="E477" s="56"/>
      <c r="F477" s="56"/>
      <c r="G477" s="14"/>
      <c r="H477" s="61"/>
      <c r="I477" s="15"/>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row>
    <row r="478" spans="2:41" x14ac:dyDescent="0.25">
      <c r="B478" s="13"/>
      <c r="C478" s="13"/>
      <c r="D478" s="60"/>
      <c r="E478" s="56"/>
      <c r="F478" s="56"/>
      <c r="G478" s="14"/>
      <c r="H478" s="61"/>
      <c r="I478" s="15"/>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row>
    <row r="479" spans="2:41" x14ac:dyDescent="0.25">
      <c r="B479" s="13"/>
      <c r="C479" s="13"/>
      <c r="D479" s="60"/>
      <c r="E479" s="56"/>
      <c r="F479" s="56"/>
      <c r="G479" s="14"/>
      <c r="H479" s="61"/>
      <c r="I479" s="15"/>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row>
    <row r="480" spans="2:41" ht="18.75" x14ac:dyDescent="0.3">
      <c r="B480" s="67"/>
      <c r="C480" s="62"/>
      <c r="D480" s="63"/>
      <c r="E480" s="64"/>
      <c r="F480" s="64"/>
      <c r="G480" s="64"/>
      <c r="H480" s="65"/>
      <c r="I480" s="68"/>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row>
    <row r="481" spans="2:41" x14ac:dyDescent="0.25">
      <c r="B481" s="13"/>
      <c r="C481" s="14"/>
      <c r="D481" s="60"/>
      <c r="E481" s="66"/>
      <c r="F481" s="56"/>
      <c r="G481" s="14"/>
      <c r="H481" s="56"/>
      <c r="I481" s="15"/>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row>
    <row r="482" spans="2:41" x14ac:dyDescent="0.25">
      <c r="B482" s="13"/>
      <c r="C482" s="10"/>
      <c r="D482" s="11"/>
      <c r="E482" s="56"/>
      <c r="F482" s="58"/>
      <c r="G482" s="11"/>
      <c r="H482" s="59"/>
      <c r="I482" s="15"/>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row>
    <row r="483" spans="2:41" x14ac:dyDescent="0.25">
      <c r="B483" s="13"/>
      <c r="C483" s="13"/>
      <c r="D483" s="60"/>
      <c r="E483" s="56"/>
      <c r="F483" s="56"/>
      <c r="G483" s="14"/>
      <c r="H483" s="15"/>
      <c r="I483" s="15"/>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row>
    <row r="484" spans="2:41" x14ac:dyDescent="0.25">
      <c r="B484" s="13"/>
      <c r="C484" s="13"/>
      <c r="D484" s="60"/>
      <c r="E484" s="56"/>
      <c r="F484" s="56"/>
      <c r="G484" s="14"/>
      <c r="H484" s="61"/>
      <c r="I484" s="15"/>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row>
    <row r="485" spans="2:41" x14ac:dyDescent="0.25">
      <c r="B485" s="13"/>
      <c r="C485" s="13"/>
      <c r="D485" s="60"/>
      <c r="E485" s="56"/>
      <c r="F485" s="56"/>
      <c r="G485" s="14"/>
      <c r="H485" s="61"/>
      <c r="I485" s="15"/>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row>
    <row r="486" spans="2:41" x14ac:dyDescent="0.25">
      <c r="B486" s="13"/>
      <c r="C486" s="13"/>
      <c r="D486" s="60"/>
      <c r="E486" s="56"/>
      <c r="F486" s="56"/>
      <c r="G486" s="14"/>
      <c r="H486" s="61"/>
      <c r="I486" s="15"/>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row>
    <row r="487" spans="2:41" x14ac:dyDescent="0.25">
      <c r="B487" s="13"/>
      <c r="C487" s="62"/>
      <c r="D487" s="63"/>
      <c r="E487" s="64"/>
      <c r="F487" s="64"/>
      <c r="G487" s="64"/>
      <c r="H487" s="65"/>
      <c r="I487" s="15"/>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row>
    <row r="488" spans="2:41" ht="18.75" x14ac:dyDescent="0.3">
      <c r="B488" s="67"/>
      <c r="C488" s="14"/>
      <c r="D488" s="60"/>
      <c r="E488" s="66"/>
      <c r="F488" s="56"/>
      <c r="G488" s="14"/>
      <c r="H488" s="56"/>
      <c r="I488" s="68"/>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row>
    <row r="489" spans="2:41" x14ac:dyDescent="0.25">
      <c r="B489" s="13"/>
      <c r="C489" s="10"/>
      <c r="D489" s="11"/>
      <c r="E489" s="56"/>
      <c r="F489" s="58"/>
      <c r="G489" s="11"/>
      <c r="H489" s="59"/>
      <c r="I489" s="15"/>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row>
    <row r="490" spans="2:41" x14ac:dyDescent="0.25">
      <c r="B490" s="13"/>
      <c r="C490" s="13"/>
      <c r="D490" s="60"/>
      <c r="E490" s="56"/>
      <c r="F490" s="56"/>
      <c r="G490" s="14"/>
      <c r="H490" s="15"/>
      <c r="I490" s="15"/>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row>
    <row r="491" spans="2:41" x14ac:dyDescent="0.25">
      <c r="B491" s="13"/>
      <c r="C491" s="13"/>
      <c r="D491" s="60"/>
      <c r="E491" s="56"/>
      <c r="F491" s="56"/>
      <c r="G491" s="14"/>
      <c r="H491" s="61"/>
      <c r="I491" s="15"/>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row>
    <row r="492" spans="2:41" x14ac:dyDescent="0.25">
      <c r="B492" s="13"/>
      <c r="C492" s="13"/>
      <c r="D492" s="60"/>
      <c r="E492" s="56"/>
      <c r="F492" s="56"/>
      <c r="G492" s="14"/>
      <c r="H492" s="61"/>
      <c r="I492" s="15"/>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row>
    <row r="493" spans="2:41" x14ac:dyDescent="0.25">
      <c r="B493" s="13"/>
      <c r="C493" s="13"/>
      <c r="D493" s="60"/>
      <c r="E493" s="56"/>
      <c r="F493" s="56"/>
      <c r="G493" s="14"/>
      <c r="H493" s="61"/>
      <c r="I493" s="15"/>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row>
    <row r="494" spans="2:41" x14ac:dyDescent="0.25">
      <c r="B494" s="13"/>
      <c r="C494" s="62"/>
      <c r="D494" s="63"/>
      <c r="E494" s="64"/>
      <c r="F494" s="64"/>
      <c r="G494" s="64"/>
      <c r="H494" s="65"/>
      <c r="I494" s="15"/>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row>
    <row r="495" spans="2:41" x14ac:dyDescent="0.25">
      <c r="B495" s="13"/>
      <c r="C495" s="14"/>
      <c r="D495" s="60"/>
      <c r="E495" s="66"/>
      <c r="F495" s="56"/>
      <c r="G495" s="14"/>
      <c r="H495" s="56"/>
      <c r="I495" s="15"/>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row>
    <row r="496" spans="2:41" ht="18.75" x14ac:dyDescent="0.3">
      <c r="B496" s="67"/>
      <c r="C496" s="10"/>
      <c r="D496" s="11"/>
      <c r="E496" s="56"/>
      <c r="F496" s="58"/>
      <c r="G496" s="11"/>
      <c r="H496" s="59"/>
      <c r="I496" s="68"/>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row>
    <row r="497" spans="2:41" x14ac:dyDescent="0.25">
      <c r="B497" s="13"/>
      <c r="C497" s="13"/>
      <c r="D497" s="60"/>
      <c r="E497" s="56"/>
      <c r="F497" s="56"/>
      <c r="G497" s="14"/>
      <c r="H497" s="15"/>
      <c r="I497" s="15"/>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row>
    <row r="498" spans="2:41" x14ac:dyDescent="0.25">
      <c r="B498" s="13"/>
      <c r="C498" s="13"/>
      <c r="D498" s="60"/>
      <c r="E498" s="56"/>
      <c r="F498" s="56"/>
      <c r="G498" s="14"/>
      <c r="H498" s="61"/>
      <c r="I498" s="15"/>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row>
    <row r="499" spans="2:41" x14ac:dyDescent="0.25">
      <c r="B499" s="13"/>
      <c r="C499" s="13"/>
      <c r="D499" s="60"/>
      <c r="E499" s="56"/>
      <c r="F499" s="56"/>
      <c r="G499" s="14"/>
      <c r="H499" s="61"/>
      <c r="I499" s="15"/>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row>
    <row r="500" spans="2:41" x14ac:dyDescent="0.25">
      <c r="B500" s="13"/>
      <c r="C500" s="13"/>
      <c r="D500" s="60"/>
      <c r="E500" s="56"/>
      <c r="F500" s="56"/>
      <c r="G500" s="14"/>
      <c r="H500" s="61"/>
      <c r="I500" s="15"/>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row>
    <row r="501" spans="2:41" x14ac:dyDescent="0.25">
      <c r="B501" s="13"/>
      <c r="C501" s="62"/>
      <c r="D501" s="63"/>
      <c r="E501" s="64"/>
      <c r="F501" s="64"/>
      <c r="G501" s="64"/>
      <c r="H501" s="65"/>
      <c r="I501" s="15"/>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row>
    <row r="502" spans="2:41" x14ac:dyDescent="0.25">
      <c r="B502" s="13"/>
      <c r="C502" s="14"/>
      <c r="D502" s="60"/>
      <c r="E502" s="66"/>
      <c r="F502" s="56"/>
      <c r="G502" s="14"/>
      <c r="H502" s="56"/>
      <c r="I502" s="15"/>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row>
    <row r="503" spans="2:41" x14ac:dyDescent="0.25">
      <c r="B503" s="13"/>
      <c r="C503" s="10"/>
      <c r="D503" s="11"/>
      <c r="E503" s="56"/>
      <c r="F503" s="58"/>
      <c r="G503" s="11"/>
      <c r="H503" s="59"/>
      <c r="I503" s="15"/>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row>
    <row r="504" spans="2:41" ht="18.75" x14ac:dyDescent="0.3">
      <c r="B504" s="67"/>
      <c r="C504" s="13"/>
      <c r="D504" s="60"/>
      <c r="E504" s="56"/>
      <c r="F504" s="56"/>
      <c r="G504" s="14"/>
      <c r="H504" s="15"/>
      <c r="I504" s="68"/>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row>
    <row r="505" spans="2:41" x14ac:dyDescent="0.25">
      <c r="B505" s="13"/>
      <c r="C505" s="13"/>
      <c r="D505" s="60"/>
      <c r="E505" s="56"/>
      <c r="F505" s="56"/>
      <c r="G505" s="14"/>
      <c r="H505" s="61"/>
      <c r="I505" s="15"/>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row>
    <row r="506" spans="2:41" x14ac:dyDescent="0.25">
      <c r="B506" s="13"/>
      <c r="C506" s="13"/>
      <c r="D506" s="60"/>
      <c r="E506" s="56"/>
      <c r="F506" s="56"/>
      <c r="G506" s="14"/>
      <c r="H506" s="61"/>
      <c r="I506" s="15"/>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row>
    <row r="507" spans="2:41" x14ac:dyDescent="0.25">
      <c r="B507" s="13"/>
      <c r="C507" s="13"/>
      <c r="D507" s="60"/>
      <c r="E507" s="56"/>
      <c r="F507" s="56"/>
      <c r="G507" s="14"/>
      <c r="H507" s="61"/>
      <c r="I507" s="15"/>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row>
    <row r="508" spans="2:41" x14ac:dyDescent="0.25">
      <c r="B508" s="13"/>
      <c r="C508" s="62"/>
      <c r="D508" s="63"/>
      <c r="E508" s="64"/>
      <c r="F508" s="64"/>
      <c r="G508" s="64"/>
      <c r="H508" s="65"/>
      <c r="I508" s="15"/>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row>
    <row r="509" spans="2:41" x14ac:dyDescent="0.25">
      <c r="B509" s="13"/>
      <c r="C509" s="14"/>
      <c r="D509" s="60"/>
      <c r="E509" s="66"/>
      <c r="F509" s="56"/>
      <c r="G509" s="14"/>
      <c r="H509" s="56"/>
      <c r="I509" s="15"/>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row>
    <row r="510" spans="2:41" x14ac:dyDescent="0.25">
      <c r="B510" s="13"/>
      <c r="C510" s="10"/>
      <c r="D510" s="11"/>
      <c r="E510" s="56"/>
      <c r="F510" s="58"/>
      <c r="G510" s="11"/>
      <c r="H510" s="59"/>
      <c r="I510" s="15"/>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row>
    <row r="511" spans="2:41" x14ac:dyDescent="0.25">
      <c r="B511" s="13"/>
      <c r="C511" s="13"/>
      <c r="D511" s="60"/>
      <c r="E511" s="56"/>
      <c r="F511" s="56"/>
      <c r="G511" s="14"/>
      <c r="H511" s="15"/>
      <c r="I511" s="15"/>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row>
    <row r="512" spans="2:41" ht="18.75" x14ac:dyDescent="0.3">
      <c r="B512" s="67"/>
      <c r="C512" s="13"/>
      <c r="D512" s="60"/>
      <c r="E512" s="56"/>
      <c r="F512" s="56"/>
      <c r="G512" s="14"/>
      <c r="H512" s="61"/>
      <c r="I512" s="68"/>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row>
    <row r="513" spans="2:41" x14ac:dyDescent="0.25">
      <c r="B513" s="13"/>
      <c r="C513" s="13"/>
      <c r="D513" s="60"/>
      <c r="E513" s="56"/>
      <c r="F513" s="56"/>
      <c r="G513" s="14"/>
      <c r="H513" s="61"/>
      <c r="I513" s="15"/>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row>
    <row r="514" spans="2:41" x14ac:dyDescent="0.25">
      <c r="B514" s="13"/>
      <c r="C514" s="13"/>
      <c r="D514" s="60"/>
      <c r="E514" s="56"/>
      <c r="F514" s="56"/>
      <c r="G514" s="14"/>
      <c r="H514" s="61"/>
      <c r="I514" s="15"/>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row>
    <row r="515" spans="2:41" x14ac:dyDescent="0.25">
      <c r="B515" s="13"/>
      <c r="C515" s="62"/>
      <c r="D515" s="63"/>
      <c r="E515" s="64"/>
      <c r="F515" s="64"/>
      <c r="G515" s="64"/>
      <c r="H515" s="65"/>
      <c r="I515" s="15"/>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row>
    <row r="516" spans="2:41" x14ac:dyDescent="0.25">
      <c r="B516" s="13"/>
      <c r="C516" s="14"/>
      <c r="D516" s="60"/>
      <c r="E516" s="66"/>
      <c r="F516" s="56"/>
      <c r="G516" s="14"/>
      <c r="H516" s="56"/>
      <c r="I516" s="15"/>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row>
    <row r="517" spans="2:41" x14ac:dyDescent="0.25">
      <c r="B517" s="13"/>
      <c r="C517" s="10"/>
      <c r="D517" s="11"/>
      <c r="E517" s="56"/>
      <c r="F517" s="58"/>
      <c r="G517" s="11"/>
      <c r="H517" s="59"/>
      <c r="I517" s="15"/>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row>
    <row r="518" spans="2:41" x14ac:dyDescent="0.25">
      <c r="B518" s="13"/>
      <c r="C518" s="13"/>
      <c r="D518" s="60"/>
      <c r="E518" s="56"/>
      <c r="F518" s="56"/>
      <c r="G518" s="14"/>
      <c r="H518" s="15"/>
      <c r="I518" s="15"/>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row>
    <row r="519" spans="2:41" x14ac:dyDescent="0.25">
      <c r="B519" s="13"/>
      <c r="C519" s="13"/>
      <c r="D519" s="60"/>
      <c r="E519" s="56"/>
      <c r="F519" s="56"/>
      <c r="G519" s="14"/>
      <c r="H519" s="61"/>
      <c r="I519" s="15"/>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row>
    <row r="520" spans="2:41" ht="18.75" x14ac:dyDescent="0.3">
      <c r="B520" s="67"/>
      <c r="C520" s="13"/>
      <c r="D520" s="60"/>
      <c r="E520" s="56"/>
      <c r="F520" s="56"/>
      <c r="G520" s="14"/>
      <c r="H520" s="61"/>
      <c r="I520" s="68"/>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row>
    <row r="521" spans="2:41" x14ac:dyDescent="0.25">
      <c r="B521" s="13"/>
      <c r="C521" s="13"/>
      <c r="D521" s="60"/>
      <c r="E521" s="56"/>
      <c r="F521" s="56"/>
      <c r="G521" s="14"/>
      <c r="H521" s="61"/>
      <c r="I521" s="15"/>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row>
    <row r="522" spans="2:41" x14ac:dyDescent="0.25">
      <c r="B522" s="13"/>
      <c r="C522" s="62"/>
      <c r="D522" s="63"/>
      <c r="E522" s="64"/>
      <c r="F522" s="64"/>
      <c r="G522" s="64"/>
      <c r="H522" s="65"/>
      <c r="I522" s="15"/>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row>
    <row r="523" spans="2:41" x14ac:dyDescent="0.25">
      <c r="B523" s="13"/>
      <c r="C523" s="14"/>
      <c r="D523" s="60"/>
      <c r="E523" s="66"/>
      <c r="F523" s="56"/>
      <c r="G523" s="14"/>
      <c r="H523" s="56"/>
      <c r="I523" s="15"/>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row>
    <row r="524" spans="2:41" x14ac:dyDescent="0.25">
      <c r="B524" s="13"/>
      <c r="C524" s="10"/>
      <c r="D524" s="11"/>
      <c r="E524" s="56"/>
      <c r="F524" s="58"/>
      <c r="G524" s="11"/>
      <c r="H524" s="59"/>
      <c r="I524" s="15"/>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row>
    <row r="525" spans="2:41" x14ac:dyDescent="0.25">
      <c r="B525" s="13"/>
      <c r="C525" s="13"/>
      <c r="D525" s="60"/>
      <c r="E525" s="56"/>
      <c r="F525" s="56"/>
      <c r="G525" s="14"/>
      <c r="H525" s="15"/>
      <c r="I525" s="15"/>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row>
    <row r="526" spans="2:41" x14ac:dyDescent="0.25">
      <c r="B526" s="8"/>
      <c r="C526" s="23"/>
      <c r="D526" s="47"/>
      <c r="E526" s="48"/>
      <c r="F526" s="48"/>
      <c r="G526" s="24"/>
      <c r="H526" s="49"/>
      <c r="I526" s="27"/>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row>
    <row r="527" spans="2:41" x14ac:dyDescent="0.25">
      <c r="B527" s="8"/>
      <c r="C527" s="23"/>
      <c r="D527" s="47"/>
      <c r="E527" s="48"/>
      <c r="F527" s="48"/>
      <c r="G527" s="24"/>
      <c r="H527" s="49"/>
      <c r="I527" s="27"/>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row>
    <row r="528" spans="2:41" ht="18.75" x14ac:dyDescent="0.3">
      <c r="B528" s="28"/>
      <c r="C528" s="23"/>
      <c r="D528" s="47"/>
      <c r="E528" s="48"/>
      <c r="F528" s="48"/>
      <c r="G528" s="24"/>
      <c r="H528" s="49"/>
      <c r="I528" s="29"/>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row>
    <row r="529" spans="2:41" x14ac:dyDescent="0.25">
      <c r="B529" s="8"/>
      <c r="C529" s="50"/>
      <c r="D529" s="51"/>
      <c r="E529" s="52"/>
      <c r="F529" s="52"/>
      <c r="G529" s="52"/>
      <c r="H529" s="53"/>
      <c r="I529" s="27"/>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row>
    <row r="530" spans="2:41" x14ac:dyDescent="0.25">
      <c r="B530" s="8"/>
      <c r="C530" s="9"/>
      <c r="D530" s="54"/>
      <c r="E530" s="55"/>
      <c r="F530" s="44"/>
      <c r="G530" s="9"/>
      <c r="H530" s="44"/>
      <c r="I530" s="27"/>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row>
    <row r="531" spans="2:41" x14ac:dyDescent="0.25">
      <c r="B531" s="8"/>
      <c r="C531" s="21"/>
      <c r="D531" s="22"/>
      <c r="E531" s="48"/>
      <c r="F531" s="45"/>
      <c r="G531" s="22"/>
      <c r="H531" s="46"/>
      <c r="I531" s="27"/>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row>
    <row r="532" spans="2:41" x14ac:dyDescent="0.25">
      <c r="B532" s="8"/>
      <c r="C532" s="23"/>
      <c r="D532" s="47"/>
      <c r="E532" s="48"/>
      <c r="F532" s="48"/>
      <c r="G532" s="24"/>
      <c r="H532" s="25"/>
      <c r="I532" s="27"/>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row>
    <row r="533" spans="2:41" x14ac:dyDescent="0.25">
      <c r="B533" s="8"/>
      <c r="C533" s="23"/>
      <c r="D533" s="47"/>
      <c r="E533" s="48"/>
      <c r="F533" s="48"/>
      <c r="G533" s="24"/>
      <c r="H533" s="49"/>
      <c r="I533" s="27"/>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row>
    <row r="534" spans="2:41" x14ac:dyDescent="0.25">
      <c r="B534" s="8"/>
      <c r="C534" s="23"/>
      <c r="D534" s="47"/>
      <c r="E534" s="48"/>
      <c r="F534" s="48"/>
      <c r="G534" s="24"/>
      <c r="H534" s="49"/>
      <c r="I534" s="27"/>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row>
    <row r="535" spans="2:41" x14ac:dyDescent="0.25">
      <c r="B535" s="8"/>
      <c r="C535" s="23"/>
      <c r="D535" s="47"/>
      <c r="E535" s="48"/>
      <c r="F535" s="48"/>
      <c r="G535" s="24"/>
      <c r="H535" s="49"/>
      <c r="I535" s="27"/>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row>
    <row r="536" spans="2:41" ht="18.75" x14ac:dyDescent="0.3">
      <c r="B536" s="28"/>
      <c r="C536" s="50"/>
      <c r="D536" s="51"/>
      <c r="E536" s="52"/>
      <c r="F536" s="52"/>
      <c r="G536" s="52"/>
      <c r="H536" s="53"/>
      <c r="I536" s="29"/>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row>
    <row r="537" spans="2:41" x14ac:dyDescent="0.25">
      <c r="B537" s="8"/>
      <c r="C537" s="9"/>
      <c r="D537" s="54"/>
      <c r="E537" s="55"/>
      <c r="F537" s="44"/>
      <c r="G537" s="9"/>
      <c r="H537" s="44"/>
      <c r="I537" s="27"/>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row>
    <row r="538" spans="2:41" x14ac:dyDescent="0.25">
      <c r="B538" s="8"/>
      <c r="C538" s="21"/>
      <c r="D538" s="22"/>
      <c r="E538" s="48"/>
      <c r="F538" s="45"/>
      <c r="G538" s="22"/>
      <c r="H538" s="46"/>
      <c r="I538" s="27"/>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row>
    <row r="539" spans="2:41" x14ac:dyDescent="0.25">
      <c r="B539" s="8"/>
      <c r="C539" s="23"/>
      <c r="D539" s="47"/>
      <c r="E539" s="48"/>
      <c r="F539" s="48"/>
      <c r="G539" s="24"/>
      <c r="H539" s="25"/>
      <c r="I539" s="27"/>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row>
    <row r="540" spans="2:41" x14ac:dyDescent="0.25">
      <c r="B540" s="8"/>
      <c r="C540" s="23"/>
      <c r="D540" s="47"/>
      <c r="E540" s="48"/>
      <c r="F540" s="48"/>
      <c r="G540" s="24"/>
      <c r="H540" s="49"/>
      <c r="I540" s="27"/>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row>
    <row r="541" spans="2:41" x14ac:dyDescent="0.25">
      <c r="B541" s="8"/>
      <c r="C541" s="23"/>
      <c r="D541" s="47"/>
      <c r="E541" s="48"/>
      <c r="F541" s="48"/>
      <c r="G541" s="24"/>
      <c r="H541" s="49"/>
      <c r="I541" s="27"/>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row>
    <row r="542" spans="2:41" x14ac:dyDescent="0.25">
      <c r="B542" s="8"/>
      <c r="C542" s="23"/>
      <c r="D542" s="47"/>
      <c r="E542" s="48"/>
      <c r="F542" s="48"/>
      <c r="G542" s="24"/>
      <c r="H542" s="49"/>
      <c r="I542" s="27"/>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row>
    <row r="543" spans="2:41" x14ac:dyDescent="0.25">
      <c r="B543" s="8"/>
      <c r="C543" s="50"/>
      <c r="D543" s="51"/>
      <c r="E543" s="52"/>
      <c r="F543" s="52"/>
      <c r="G543" s="52"/>
      <c r="H543" s="53"/>
      <c r="I543" s="27"/>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row>
    <row r="544" spans="2:41" ht="18.75" x14ac:dyDescent="0.3">
      <c r="B544" s="28"/>
      <c r="C544" s="9"/>
      <c r="D544" s="54"/>
      <c r="E544" s="55"/>
      <c r="F544" s="44"/>
      <c r="G544" s="9"/>
      <c r="H544" s="44"/>
      <c r="I544" s="29"/>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row>
    <row r="545" spans="2:41" x14ac:dyDescent="0.25">
      <c r="B545" s="8"/>
      <c r="C545" s="21"/>
      <c r="D545" s="22"/>
      <c r="E545" s="48"/>
      <c r="F545" s="45"/>
      <c r="G545" s="22"/>
      <c r="H545" s="46"/>
      <c r="I545" s="27"/>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row>
    <row r="546" spans="2:41" x14ac:dyDescent="0.25">
      <c r="B546" s="8"/>
      <c r="C546" s="23"/>
      <c r="D546" s="47"/>
      <c r="E546" s="48"/>
      <c r="F546" s="48"/>
      <c r="G546" s="24"/>
      <c r="H546" s="25"/>
      <c r="I546" s="27"/>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row>
    <row r="547" spans="2:41" x14ac:dyDescent="0.25">
      <c r="B547" s="8"/>
      <c r="C547" s="23"/>
      <c r="D547" s="47"/>
      <c r="E547" s="48"/>
      <c r="F547" s="48"/>
      <c r="G547" s="24"/>
      <c r="H547" s="49"/>
      <c r="I547" s="27"/>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row>
    <row r="548" spans="2:41" x14ac:dyDescent="0.25">
      <c r="B548" s="8"/>
      <c r="C548" s="23"/>
      <c r="D548" s="47"/>
      <c r="E548" s="48"/>
      <c r="F548" s="48"/>
      <c r="G548" s="24"/>
      <c r="H548" s="49"/>
      <c r="I548" s="27"/>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row>
    <row r="549" spans="2:41" x14ac:dyDescent="0.25">
      <c r="B549" s="8"/>
      <c r="C549" s="23"/>
      <c r="D549" s="47"/>
      <c r="E549" s="48"/>
      <c r="F549" s="48"/>
      <c r="G549" s="24"/>
      <c r="H549" s="49"/>
      <c r="I549" s="27"/>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row>
    <row r="550" spans="2:41" x14ac:dyDescent="0.25">
      <c r="B550" s="8"/>
      <c r="C550" s="50"/>
      <c r="D550" s="51"/>
      <c r="E550" s="52"/>
      <c r="F550" s="52"/>
      <c r="G550" s="52"/>
      <c r="H550" s="53"/>
      <c r="I550" s="27"/>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row>
    <row r="551" spans="2:41" x14ac:dyDescent="0.25">
      <c r="B551" s="8"/>
      <c r="C551" s="9"/>
      <c r="D551" s="54"/>
      <c r="E551" s="55"/>
      <c r="F551" s="44"/>
      <c r="G551" s="9"/>
      <c r="H551" s="44"/>
      <c r="I551" s="27"/>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row>
    <row r="552" spans="2:41" ht="18.75" x14ac:dyDescent="0.3">
      <c r="B552" s="28"/>
      <c r="C552" s="21"/>
      <c r="D552" s="22"/>
      <c r="E552" s="48"/>
      <c r="F552" s="45"/>
      <c r="G552" s="22"/>
      <c r="H552" s="46"/>
      <c r="I552" s="29"/>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row>
    <row r="553" spans="2:41" x14ac:dyDescent="0.25">
      <c r="B553" s="8"/>
      <c r="C553" s="23"/>
      <c r="D553" s="47"/>
      <c r="E553" s="48"/>
      <c r="F553" s="48"/>
      <c r="G553" s="24"/>
      <c r="H553" s="25"/>
      <c r="I553" s="27"/>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row>
    <row r="554" spans="2:41" x14ac:dyDescent="0.25">
      <c r="B554" s="8"/>
      <c r="C554" s="23"/>
      <c r="D554" s="47"/>
      <c r="E554" s="48"/>
      <c r="F554" s="48"/>
      <c r="G554" s="24"/>
      <c r="H554" s="49"/>
      <c r="I554" s="27"/>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row>
    <row r="555" spans="2:41" x14ac:dyDescent="0.25">
      <c r="B555" s="8"/>
      <c r="C555" s="23"/>
      <c r="D555" s="47"/>
      <c r="E555" s="48"/>
      <c r="F555" s="48"/>
      <c r="G555" s="24"/>
      <c r="H555" s="49"/>
      <c r="I555" s="27"/>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row>
    <row r="556" spans="2:41" x14ac:dyDescent="0.25">
      <c r="B556" s="8"/>
      <c r="C556" s="23"/>
      <c r="D556" s="47"/>
      <c r="E556" s="48"/>
      <c r="F556" s="48"/>
      <c r="G556" s="24"/>
      <c r="H556" s="49"/>
      <c r="I556" s="27"/>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row>
    <row r="557" spans="2:41" x14ac:dyDescent="0.25">
      <c r="B557" s="8"/>
      <c r="C557" s="50"/>
      <c r="D557" s="51"/>
      <c r="E557" s="52"/>
      <c r="F557" s="52"/>
      <c r="G557" s="52"/>
      <c r="H557" s="53"/>
      <c r="I557" s="27"/>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row>
    <row r="558" spans="2:41" x14ac:dyDescent="0.25">
      <c r="B558" s="8"/>
      <c r="C558" s="9"/>
      <c r="D558" s="54"/>
      <c r="E558" s="55"/>
      <c r="F558" s="44"/>
      <c r="G558" s="9"/>
      <c r="H558" s="44"/>
      <c r="I558" s="27"/>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row>
    <row r="559" spans="2:41" x14ac:dyDescent="0.25">
      <c r="B559" s="8"/>
      <c r="C559" s="21"/>
      <c r="D559" s="22"/>
      <c r="E559" s="48"/>
      <c r="F559" s="45"/>
      <c r="G559" s="22"/>
      <c r="H559" s="46"/>
      <c r="I559" s="27"/>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row>
    <row r="560" spans="2:41" ht="18.75" x14ac:dyDescent="0.3">
      <c r="B560" s="28"/>
      <c r="C560" s="23"/>
      <c r="D560" s="47"/>
      <c r="E560" s="48"/>
      <c r="F560" s="48"/>
      <c r="G560" s="24"/>
      <c r="H560" s="25"/>
      <c r="I560" s="29"/>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row>
    <row r="561" spans="2:41" x14ac:dyDescent="0.25">
      <c r="B561" s="8"/>
      <c r="C561" s="23"/>
      <c r="D561" s="47"/>
      <c r="E561" s="48"/>
      <c r="F561" s="48"/>
      <c r="G561" s="24"/>
      <c r="H561" s="49"/>
      <c r="I561" s="27"/>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row>
    <row r="562" spans="2:41" x14ac:dyDescent="0.25">
      <c r="B562" s="8"/>
      <c r="C562" s="23"/>
      <c r="D562" s="47"/>
      <c r="E562" s="48"/>
      <c r="F562" s="48"/>
      <c r="G562" s="24"/>
      <c r="H562" s="49"/>
      <c r="I562" s="27"/>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row>
    <row r="563" spans="2:41" x14ac:dyDescent="0.25">
      <c r="B563" s="8"/>
      <c r="C563" s="23"/>
      <c r="D563" s="47"/>
      <c r="E563" s="48"/>
      <c r="F563" s="48"/>
      <c r="G563" s="24"/>
      <c r="H563" s="49"/>
      <c r="I563" s="27"/>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row>
    <row r="564" spans="2:41" x14ac:dyDescent="0.25">
      <c r="B564" s="8"/>
      <c r="C564" s="50"/>
      <c r="D564" s="51"/>
      <c r="E564" s="52"/>
      <c r="F564" s="52"/>
      <c r="G564" s="52"/>
      <c r="H564" s="53"/>
      <c r="I564" s="27"/>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row>
    <row r="565" spans="2:41" x14ac:dyDescent="0.25">
      <c r="B565" s="8"/>
      <c r="C565" s="9"/>
      <c r="D565" s="54"/>
      <c r="E565" s="55"/>
      <c r="F565" s="44"/>
      <c r="G565" s="9"/>
      <c r="H565" s="44"/>
      <c r="I565" s="27"/>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row>
    <row r="566" spans="2:41" x14ac:dyDescent="0.25">
      <c r="B566" s="8"/>
      <c r="C566" s="21"/>
      <c r="D566" s="22"/>
      <c r="E566" s="48"/>
      <c r="F566" s="45"/>
      <c r="G566" s="22"/>
      <c r="H566" s="46"/>
      <c r="I566" s="27"/>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row>
    <row r="567" spans="2:41" x14ac:dyDescent="0.25">
      <c r="B567" s="8"/>
      <c r="C567" s="23"/>
      <c r="D567" s="47"/>
      <c r="E567" s="48"/>
      <c r="F567" s="48"/>
      <c r="G567" s="24"/>
      <c r="H567" s="25"/>
      <c r="I567" s="27"/>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row>
    <row r="568" spans="2:41" ht="18.75" x14ac:dyDescent="0.3">
      <c r="B568" s="28"/>
      <c r="C568" s="23"/>
      <c r="D568" s="47"/>
      <c r="E568" s="48"/>
      <c r="F568" s="48"/>
      <c r="G568" s="24"/>
      <c r="H568" s="49"/>
      <c r="I568" s="29"/>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row>
    <row r="569" spans="2:41" x14ac:dyDescent="0.25">
      <c r="B569" s="8"/>
      <c r="C569" s="23"/>
      <c r="D569" s="47"/>
      <c r="E569" s="48"/>
      <c r="F569" s="48"/>
      <c r="G569" s="24"/>
      <c r="H569" s="49"/>
      <c r="I569" s="27"/>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row>
    <row r="570" spans="2:41" x14ac:dyDescent="0.25">
      <c r="B570" s="8"/>
      <c r="C570" s="23"/>
      <c r="D570" s="47"/>
      <c r="E570" s="48"/>
      <c r="F570" s="48"/>
      <c r="G570" s="24"/>
      <c r="H570" s="49"/>
      <c r="I570" s="27"/>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row>
    <row r="571" spans="2:41" x14ac:dyDescent="0.25">
      <c r="B571" s="8"/>
      <c r="C571" s="50"/>
      <c r="D571" s="51"/>
      <c r="E571" s="52"/>
      <c r="F571" s="52"/>
      <c r="G571" s="52"/>
      <c r="H571" s="53"/>
      <c r="I571" s="27"/>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row>
    <row r="572" spans="2:41" x14ac:dyDescent="0.25">
      <c r="B572" s="8"/>
      <c r="C572" s="9"/>
      <c r="D572" s="54"/>
      <c r="E572" s="55"/>
      <c r="F572" s="44"/>
      <c r="G572" s="9"/>
      <c r="H572" s="44"/>
      <c r="I572" s="27"/>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row>
    <row r="573" spans="2:41" x14ac:dyDescent="0.25">
      <c r="B573" s="8"/>
      <c r="C573" s="21"/>
      <c r="D573" s="22"/>
      <c r="E573" s="48"/>
      <c r="F573" s="45"/>
      <c r="G573" s="22"/>
      <c r="H573" s="46"/>
      <c r="I573" s="27"/>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row>
    <row r="574" spans="2:41" x14ac:dyDescent="0.25">
      <c r="B574" s="8"/>
      <c r="C574" s="23"/>
      <c r="D574" s="47"/>
      <c r="E574" s="48"/>
      <c r="F574" s="48"/>
      <c r="G574" s="24"/>
      <c r="H574" s="25"/>
      <c r="I574" s="27"/>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row>
    <row r="575" spans="2:41" x14ac:dyDescent="0.25">
      <c r="B575" s="8"/>
      <c r="C575" s="23"/>
      <c r="D575" s="47"/>
      <c r="E575" s="48"/>
      <c r="F575" s="48"/>
      <c r="G575" s="24"/>
      <c r="H575" s="49"/>
      <c r="I575" s="27"/>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row>
    <row r="576" spans="2:41" ht="18.75" x14ac:dyDescent="0.3">
      <c r="B576" s="28"/>
      <c r="C576" s="23"/>
      <c r="D576" s="47"/>
      <c r="E576" s="48"/>
      <c r="F576" s="48"/>
      <c r="G576" s="24"/>
      <c r="H576" s="49"/>
      <c r="I576" s="29"/>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row>
    <row r="577" spans="2:41" x14ac:dyDescent="0.25">
      <c r="B577" s="8"/>
      <c r="C577" s="23"/>
      <c r="D577" s="47"/>
      <c r="E577" s="48"/>
      <c r="F577" s="48"/>
      <c r="G577" s="24"/>
      <c r="H577" s="49"/>
      <c r="I577" s="27"/>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row>
    <row r="578" spans="2:41" x14ac:dyDescent="0.25">
      <c r="B578" s="8"/>
      <c r="C578" s="50"/>
      <c r="D578" s="51"/>
      <c r="E578" s="52"/>
      <c r="F578" s="52"/>
      <c r="G578" s="52"/>
      <c r="H578" s="53"/>
      <c r="I578" s="27"/>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row>
    <row r="579" spans="2:41" x14ac:dyDescent="0.25">
      <c r="B579" s="8"/>
      <c r="C579" s="9"/>
      <c r="D579" s="54"/>
      <c r="E579" s="55"/>
      <c r="F579" s="44"/>
      <c r="G579" s="9"/>
      <c r="H579" s="44"/>
      <c r="I579" s="27"/>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row>
    <row r="580" spans="2:41" x14ac:dyDescent="0.25">
      <c r="B580" s="8"/>
      <c r="C580" s="21"/>
      <c r="D580" s="22"/>
      <c r="E580" s="48"/>
      <c r="F580" s="45"/>
      <c r="G580" s="22"/>
      <c r="H580" s="46"/>
      <c r="I580" s="27"/>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row>
    <row r="581" spans="2:41" x14ac:dyDescent="0.25">
      <c r="B581" s="8"/>
      <c r="C581" s="23"/>
      <c r="D581" s="47"/>
      <c r="E581" s="48"/>
      <c r="F581" s="48"/>
      <c r="G581" s="24"/>
      <c r="H581" s="25"/>
      <c r="I581" s="27"/>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row>
    <row r="582" spans="2:41" x14ac:dyDescent="0.25">
      <c r="B582" s="8"/>
      <c r="C582" s="23"/>
      <c r="D582" s="47"/>
      <c r="E582" s="48"/>
      <c r="F582" s="48"/>
      <c r="G582" s="24"/>
      <c r="H582" s="49"/>
      <c r="I582" s="27"/>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row>
    <row r="583" spans="2:41" x14ac:dyDescent="0.25">
      <c r="B583" s="8"/>
      <c r="C583" s="23"/>
      <c r="D583" s="47"/>
      <c r="E583" s="48"/>
      <c r="F583" s="48"/>
      <c r="G583" s="24"/>
      <c r="H583" s="49"/>
      <c r="I583" s="27"/>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row>
    <row r="584" spans="2:41" ht="18.75" x14ac:dyDescent="0.3">
      <c r="B584" s="28"/>
      <c r="C584" s="23"/>
      <c r="D584" s="47"/>
      <c r="E584" s="48"/>
      <c r="F584" s="48"/>
      <c r="G584" s="24"/>
      <c r="H584" s="49"/>
      <c r="I584" s="29"/>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row>
    <row r="585" spans="2:41" x14ac:dyDescent="0.25">
      <c r="B585" s="8"/>
      <c r="C585" s="50"/>
      <c r="D585" s="51"/>
      <c r="E585" s="52"/>
      <c r="F585" s="52"/>
      <c r="G585" s="52"/>
      <c r="H585" s="53"/>
      <c r="I585" s="27"/>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row>
    <row r="586" spans="2:41" x14ac:dyDescent="0.25">
      <c r="B586" s="8"/>
      <c r="C586" s="9"/>
      <c r="D586" s="54"/>
      <c r="E586" s="55"/>
      <c r="F586" s="44"/>
      <c r="G586" s="9"/>
      <c r="H586" s="44"/>
      <c r="I586" s="27"/>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row>
    <row r="587" spans="2:41" x14ac:dyDescent="0.25">
      <c r="B587" s="8"/>
      <c r="C587" s="21"/>
      <c r="D587" s="22"/>
      <c r="E587" s="48"/>
      <c r="F587" s="45"/>
      <c r="G587" s="22"/>
      <c r="H587" s="46"/>
      <c r="I587" s="27"/>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row>
    <row r="588" spans="2:41" x14ac:dyDescent="0.25">
      <c r="B588" s="8"/>
      <c r="C588" s="23"/>
      <c r="D588" s="47"/>
      <c r="E588" s="48"/>
      <c r="F588" s="48"/>
      <c r="G588" s="24"/>
      <c r="H588" s="25"/>
      <c r="I588" s="27"/>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row>
    <row r="589" spans="2:41" x14ac:dyDescent="0.25">
      <c r="B589" s="8"/>
      <c r="C589" s="23"/>
      <c r="D589" s="47"/>
      <c r="E589" s="48"/>
      <c r="F589" s="48"/>
      <c r="G589" s="24"/>
      <c r="H589" s="49"/>
      <c r="I589" s="27"/>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row>
    <row r="590" spans="2:41" x14ac:dyDescent="0.25">
      <c r="B590" s="8"/>
      <c r="C590" s="23"/>
      <c r="D590" s="47"/>
      <c r="E590" s="48"/>
      <c r="F590" s="48"/>
      <c r="G590" s="24"/>
      <c r="H590" s="49"/>
      <c r="I590" s="27"/>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row>
    <row r="591" spans="2:41" x14ac:dyDescent="0.25">
      <c r="B591" s="8"/>
      <c r="C591" s="23"/>
      <c r="D591" s="47"/>
      <c r="E591" s="48"/>
      <c r="F591" s="48"/>
      <c r="G591" s="24"/>
      <c r="H591" s="49"/>
      <c r="I591" s="27"/>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row>
    <row r="592" spans="2:41" ht="18.75" x14ac:dyDescent="0.3">
      <c r="B592" s="28"/>
      <c r="C592" s="50"/>
      <c r="D592" s="51"/>
      <c r="E592" s="52"/>
      <c r="F592" s="52"/>
      <c r="G592" s="52"/>
      <c r="H592" s="53"/>
      <c r="I592" s="29"/>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row>
    <row r="593" spans="2:32" x14ac:dyDescent="0.25">
      <c r="B593" s="8"/>
      <c r="C593" s="9"/>
      <c r="D593" s="54"/>
      <c r="E593" s="55"/>
      <c r="F593" s="44"/>
      <c r="G593" s="9"/>
      <c r="H593" s="44"/>
      <c r="I593" s="27"/>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row>
    <row r="594" spans="2:32" x14ac:dyDescent="0.25">
      <c r="B594" s="8"/>
      <c r="C594" s="21"/>
      <c r="D594" s="22"/>
      <c r="E594" s="48"/>
      <c r="F594" s="45"/>
      <c r="G594" s="22"/>
      <c r="H594" s="46"/>
      <c r="I594" s="27"/>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row>
    <row r="595" spans="2:32" x14ac:dyDescent="0.25">
      <c r="B595" s="8"/>
      <c r="C595" s="23"/>
      <c r="D595" s="47"/>
      <c r="E595" s="48"/>
      <c r="F595" s="48"/>
      <c r="G595" s="24"/>
      <c r="H595" s="25"/>
      <c r="I595" s="27"/>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row>
  </sheetData>
  <conditionalFormatting sqref="E139:E144">
    <cfRule type="cellIs" dxfId="93" priority="1" operator="equal">
      <formula>#REF!</formula>
    </cfRule>
  </conditionalFormatting>
  <conditionalFormatting sqref="E196:E270">
    <cfRule type="cellIs" dxfId="92" priority="15" operator="equal">
      <formula>#REF!</formula>
    </cfRule>
  </conditionalFormatting>
  <conditionalFormatting sqref="E145:E194 E275:E595">
    <cfRule type="cellIs" dxfId="91" priority="13" operator="equal">
      <formula>#REF!</formula>
    </cfRule>
  </conditionalFormatting>
  <conditionalFormatting sqref="F5 E16:E17">
    <cfRule type="cellIs" dxfId="90" priority="14" operator="equal">
      <formula>#REF!</formula>
    </cfRule>
  </conditionalFormatting>
  <conditionalFormatting sqref="E138">
    <cfRule type="cellIs" dxfId="89" priority="2" operator="equal">
      <formula>#REF!</formula>
    </cfRule>
  </conditionalFormatting>
  <conditionalFormatting sqref="E82">
    <cfRule type="cellIs" dxfId="88" priority="12" operator="equal">
      <formula>#REF!</formula>
    </cfRule>
  </conditionalFormatting>
  <conditionalFormatting sqref="E83:E88">
    <cfRule type="cellIs" dxfId="87" priority="11" operator="equal">
      <formula>#REF!</formula>
    </cfRule>
  </conditionalFormatting>
  <conditionalFormatting sqref="E89:E95">
    <cfRule type="cellIs" dxfId="86" priority="10" operator="equal">
      <formula>#REF!</formula>
    </cfRule>
  </conditionalFormatting>
  <conditionalFormatting sqref="E96">
    <cfRule type="cellIs" dxfId="85" priority="9" operator="equal">
      <formula>#REF!</formula>
    </cfRule>
  </conditionalFormatting>
  <conditionalFormatting sqref="E97:E102">
    <cfRule type="cellIs" dxfId="84" priority="8" operator="equal">
      <formula>#REF!</formula>
    </cfRule>
  </conditionalFormatting>
  <conditionalFormatting sqref="E103:E109">
    <cfRule type="cellIs" dxfId="83" priority="7" operator="equal">
      <formula>#REF!</formula>
    </cfRule>
  </conditionalFormatting>
  <conditionalFormatting sqref="E110">
    <cfRule type="cellIs" dxfId="82" priority="6" operator="equal">
      <formula>#REF!</formula>
    </cfRule>
  </conditionalFormatting>
  <conditionalFormatting sqref="E124">
    <cfRule type="cellIs" dxfId="81" priority="5" operator="equal">
      <formula>#REF!</formula>
    </cfRule>
  </conditionalFormatting>
  <conditionalFormatting sqref="E125:E130">
    <cfRule type="cellIs" dxfId="80" priority="4" operator="equal">
      <formula>#REF!</formula>
    </cfRule>
  </conditionalFormatting>
  <conditionalFormatting sqref="E131:E137">
    <cfRule type="cellIs" dxfId="79" priority="3" operator="equal">
      <formula>#REF!</formula>
    </cfRule>
  </conditionalFormatting>
  <pageMargins left="0.7" right="0.7" top="0.75" bottom="0.75" header="0.3" footer="0.3"/>
  <pageSetup paperSize="9" orientation="portrait" horizontalDpi="1200" verticalDpi="12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dimension ref="A1:AO595"/>
  <sheetViews>
    <sheetView zoomScale="70" zoomScaleNormal="70" workbookViewId="0">
      <selection activeCell="B2" sqref="B2"/>
    </sheetView>
  </sheetViews>
  <sheetFormatPr defaultColWidth="8.85546875" defaultRowHeight="15" x14ac:dyDescent="0.25"/>
  <cols>
    <col min="1" max="1" width="9.28515625" style="3" customWidth="1"/>
    <col min="2" max="2" width="8.85546875" style="171"/>
    <col min="3" max="3" width="55.42578125" style="171" customWidth="1"/>
    <col min="4" max="4" width="20.5703125" style="171" customWidth="1"/>
    <col min="5" max="5" width="21.85546875" style="171" customWidth="1"/>
    <col min="6" max="6" width="17.85546875" style="171" customWidth="1"/>
    <col min="7" max="7" width="29.7109375" style="171" customWidth="1"/>
    <col min="8" max="8" width="22" style="171" bestFit="1" customWidth="1"/>
    <col min="9" max="9" width="12.7109375" style="171" bestFit="1" customWidth="1"/>
    <col min="10" max="10" width="11.42578125" style="171" customWidth="1"/>
    <col min="11" max="11" width="24.85546875" style="171" bestFit="1" customWidth="1"/>
    <col min="12" max="12" width="15.28515625" style="171" bestFit="1" customWidth="1"/>
    <col min="13" max="14" width="13" style="171" customWidth="1"/>
    <col min="15" max="15" width="20.85546875" style="171" customWidth="1"/>
    <col min="16" max="16" width="14" style="171" bestFit="1" customWidth="1"/>
    <col min="17" max="17" width="34.140625" style="171" customWidth="1"/>
    <col min="18" max="18" width="16.28515625" style="171" customWidth="1"/>
    <col min="19" max="19" width="25" style="171" customWidth="1"/>
    <col min="20" max="20" width="33.7109375" style="171" bestFit="1" customWidth="1"/>
    <col min="21" max="21" width="10" style="171" customWidth="1"/>
    <col min="22" max="22" width="31.28515625" style="171" bestFit="1" customWidth="1"/>
    <col min="23" max="16384" width="8.85546875" style="171"/>
  </cols>
  <sheetData>
    <row r="1" spans="1:41" s="3" customFormat="1" ht="54" customHeight="1" x14ac:dyDescent="0.65">
      <c r="A1" s="30"/>
      <c r="B1" s="179" t="str">
        <f>"DECOMMISSIONING and refurbishment ("&amp;Parameters!$D$6&amp;")"</f>
        <v>DECOMMISSIONING and refurbishment (P15 Scenario 1)</v>
      </c>
    </row>
    <row r="2" spans="1:41" s="165" customFormat="1" x14ac:dyDescent="0.25">
      <c r="A2" s="164"/>
      <c r="B2" s="172"/>
      <c r="C2" s="173"/>
      <c r="D2" s="173"/>
      <c r="E2" s="173"/>
      <c r="F2" s="173"/>
      <c r="G2" s="173"/>
      <c r="H2" s="151"/>
      <c r="I2" s="151"/>
      <c r="J2" s="151"/>
      <c r="K2" s="58"/>
      <c r="L2" s="58"/>
      <c r="M2" s="58"/>
      <c r="N2" s="58"/>
      <c r="O2" s="58"/>
      <c r="P2" s="58"/>
      <c r="Q2" s="58"/>
      <c r="R2" s="58"/>
      <c r="S2" s="58"/>
      <c r="T2" s="58"/>
      <c r="U2" s="58"/>
      <c r="V2" s="58"/>
      <c r="W2" s="58"/>
      <c r="X2" s="58"/>
      <c r="Y2" s="58"/>
      <c r="Z2" s="58"/>
      <c r="AA2" s="59"/>
      <c r="AB2" s="164"/>
      <c r="AC2" s="164"/>
      <c r="AD2" s="164"/>
      <c r="AE2" s="164"/>
      <c r="AF2" s="164"/>
      <c r="AG2" s="164"/>
      <c r="AH2" s="164"/>
      <c r="AI2" s="164"/>
      <c r="AJ2" s="164"/>
      <c r="AK2" s="164"/>
      <c r="AL2" s="164"/>
      <c r="AM2" s="164"/>
      <c r="AN2" s="164"/>
      <c r="AO2" s="164"/>
    </row>
    <row r="3" spans="1:41" x14ac:dyDescent="0.25">
      <c r="B3" s="13"/>
      <c r="C3" s="39" t="s">
        <v>1567</v>
      </c>
      <c r="D3" s="40"/>
      <c r="E3" s="41"/>
      <c r="F3" s="57"/>
      <c r="G3" s="14"/>
      <c r="H3" s="14"/>
      <c r="I3" s="14"/>
      <c r="J3" s="14"/>
      <c r="K3" s="14"/>
      <c r="L3" s="14"/>
      <c r="M3" s="14"/>
      <c r="N3" s="14"/>
      <c r="O3" s="14"/>
      <c r="P3" s="14"/>
      <c r="Q3" s="14"/>
      <c r="R3" s="14"/>
      <c r="S3" s="14"/>
      <c r="T3" s="14"/>
      <c r="U3" s="14"/>
      <c r="V3" s="14"/>
      <c r="W3" s="14"/>
      <c r="X3" s="14"/>
      <c r="Y3" s="14"/>
      <c r="Z3" s="14"/>
      <c r="AA3" s="15"/>
      <c r="AB3" s="3"/>
      <c r="AC3" s="3"/>
      <c r="AD3" s="3"/>
      <c r="AE3" s="3"/>
      <c r="AF3" s="3"/>
      <c r="AG3" s="3"/>
      <c r="AH3" s="3"/>
      <c r="AI3" s="3"/>
      <c r="AJ3" s="3"/>
      <c r="AK3" s="3"/>
      <c r="AL3" s="3"/>
      <c r="AM3" s="3"/>
      <c r="AN3" s="3"/>
      <c r="AO3" s="3"/>
    </row>
    <row r="4" spans="1:41" x14ac:dyDescent="0.25">
      <c r="B4" s="13"/>
      <c r="C4" s="14"/>
      <c r="D4" s="14"/>
      <c r="E4" s="14"/>
      <c r="F4" s="56"/>
      <c r="G4" s="14"/>
      <c r="H4" s="14"/>
      <c r="I4" s="14"/>
      <c r="J4" s="56"/>
      <c r="K4" s="14"/>
      <c r="L4" s="14"/>
      <c r="M4" s="14"/>
      <c r="N4" s="14"/>
      <c r="O4" s="16"/>
      <c r="P4" s="14"/>
      <c r="Q4" s="16"/>
      <c r="R4" s="16"/>
      <c r="S4" s="16"/>
      <c r="T4" s="16"/>
      <c r="U4" s="14"/>
      <c r="V4" s="14"/>
      <c r="W4" s="14"/>
      <c r="X4" s="14"/>
      <c r="Y4" s="14"/>
      <c r="Z4" s="14"/>
      <c r="AA4" s="15"/>
      <c r="AB4" s="3"/>
      <c r="AC4" s="3"/>
      <c r="AD4" s="3"/>
      <c r="AE4" s="3"/>
      <c r="AF4" s="129">
        <v>3</v>
      </c>
      <c r="AG4" s="120">
        <v>6</v>
      </c>
      <c r="AH4" s="120">
        <v>9</v>
      </c>
      <c r="AI4" s="3"/>
      <c r="AJ4" s="3"/>
      <c r="AK4" s="3"/>
      <c r="AL4" s="3"/>
      <c r="AM4" s="3"/>
      <c r="AN4" s="3"/>
      <c r="AO4" s="3"/>
    </row>
    <row r="5" spans="1:41" s="141" customFormat="1" x14ac:dyDescent="0.25">
      <c r="A5" s="138"/>
      <c r="B5" s="139"/>
      <c r="C5" s="1075" t="str">
        <f t="array" ref="C5:E5">Parameters!E34:G34</f>
        <v>NG + CO2 hybrid mode present</v>
      </c>
      <c r="D5" s="1076" t="str">
        <v>-</v>
      </c>
      <c r="E5" s="1077" t="b">
        <v>0</v>
      </c>
      <c r="F5" s="144"/>
      <c r="G5" s="92"/>
      <c r="H5" s="83"/>
      <c r="I5" s="14"/>
      <c r="J5" s="56"/>
      <c r="K5" s="144"/>
      <c r="L5" s="144"/>
      <c r="M5" s="144"/>
      <c r="N5" s="144"/>
      <c r="O5" s="144"/>
      <c r="P5" s="16"/>
      <c r="Q5" s="16"/>
      <c r="R5" s="16"/>
      <c r="S5" s="73"/>
      <c r="T5" s="73"/>
      <c r="U5" s="16"/>
      <c r="V5" s="73"/>
      <c r="W5" s="14"/>
      <c r="X5" s="16"/>
      <c r="Y5" s="16"/>
      <c r="Z5" s="16"/>
      <c r="AA5" s="140"/>
      <c r="AB5" s="138"/>
      <c r="AC5" s="138"/>
      <c r="AD5" s="138"/>
      <c r="AE5" s="138"/>
      <c r="AF5" s="142">
        <v>2</v>
      </c>
      <c r="AG5" s="142">
        <v>3</v>
      </c>
      <c r="AH5" s="142">
        <v>5</v>
      </c>
      <c r="AI5" s="138"/>
      <c r="AJ5" s="138"/>
      <c r="AK5" s="138"/>
      <c r="AL5" s="138"/>
      <c r="AM5" s="138"/>
      <c r="AN5" s="138"/>
      <c r="AO5" s="138"/>
    </row>
    <row r="6" spans="1:41" x14ac:dyDescent="0.25">
      <c r="B6" s="13"/>
      <c r="C6" s="1078" t="str">
        <f t="array" ref="C6:E10">Parameters!E370:G374</f>
        <v>Boolean refurbishment required</v>
      </c>
      <c r="D6" s="604" t="str">
        <v>Boolean</v>
      </c>
      <c r="E6" s="1079" t="b">
        <v>1</v>
      </c>
      <c r="F6" s="56"/>
      <c r="G6" s="92"/>
      <c r="H6" s="83"/>
      <c r="I6" s="14"/>
      <c r="J6" s="56"/>
      <c r="K6" s="14"/>
      <c r="L6" s="14"/>
      <c r="M6" s="14"/>
      <c r="N6" s="14"/>
      <c r="O6" s="16"/>
      <c r="P6" s="14"/>
      <c r="Q6" s="16"/>
      <c r="R6" s="16"/>
      <c r="S6" s="16"/>
      <c r="T6" s="16"/>
      <c r="U6" s="14"/>
      <c r="V6" s="16"/>
      <c r="W6" s="14"/>
      <c r="X6" s="14"/>
      <c r="Y6" s="14"/>
      <c r="Z6" s="14"/>
      <c r="AA6" s="15"/>
      <c r="AB6" s="3"/>
      <c r="AC6" s="3"/>
      <c r="AD6" s="3"/>
      <c r="AE6" s="3"/>
      <c r="AF6" s="120">
        <v>6</v>
      </c>
      <c r="AG6" s="120">
        <v>9</v>
      </c>
      <c r="AH6" s="120">
        <v>12</v>
      </c>
      <c r="AI6" s="3"/>
      <c r="AJ6" s="3"/>
      <c r="AK6" s="3"/>
      <c r="AL6" s="3"/>
      <c r="AM6" s="3"/>
      <c r="AN6" s="3"/>
      <c r="AO6" s="3"/>
    </row>
    <row r="7" spans="1:41" x14ac:dyDescent="0.25">
      <c r="B7" s="13"/>
      <c r="C7" s="1078" t="str">
        <v>Boolean decommissioning topside &amp; substructure required</v>
      </c>
      <c r="D7" s="604" t="str">
        <v>Boolean</v>
      </c>
      <c r="E7" s="1079" t="b">
        <v>0</v>
      </c>
      <c r="F7" s="14"/>
      <c r="G7" s="92"/>
      <c r="H7" s="83"/>
      <c r="I7" s="14"/>
      <c r="J7" s="56"/>
      <c r="K7" s="56"/>
      <c r="L7" s="56"/>
      <c r="M7" s="56"/>
      <c r="N7" s="56"/>
      <c r="O7" s="56"/>
      <c r="P7" s="14"/>
      <c r="Q7" s="14"/>
      <c r="R7" s="14"/>
      <c r="S7" s="14"/>
      <c r="T7" s="14"/>
      <c r="U7" s="14"/>
      <c r="V7" s="14"/>
      <c r="W7" s="14"/>
      <c r="X7" s="14"/>
      <c r="Y7" s="14"/>
      <c r="Z7" s="14"/>
      <c r="AA7" s="15"/>
      <c r="AB7" s="3"/>
      <c r="AC7" s="3"/>
      <c r="AD7" s="3"/>
      <c r="AE7" s="3"/>
      <c r="AF7" s="129">
        <v>1.1000000000000001</v>
      </c>
      <c r="AG7" s="3"/>
      <c r="AH7" s="3"/>
      <c r="AI7" s="3"/>
      <c r="AJ7" s="3"/>
      <c r="AK7" s="3"/>
      <c r="AL7" s="3"/>
      <c r="AM7" s="3"/>
      <c r="AN7" s="3"/>
      <c r="AO7" s="3"/>
    </row>
    <row r="8" spans="1:41" ht="15" customHeight="1" x14ac:dyDescent="0.25">
      <c r="B8" s="13"/>
      <c r="C8" s="1078" t="str">
        <v>Boolean decommissioning wells required</v>
      </c>
      <c r="D8" s="604" t="str">
        <v>Boolean</v>
      </c>
      <c r="E8" s="1079" t="b">
        <v>0</v>
      </c>
      <c r="F8" s="56"/>
      <c r="G8" s="14"/>
      <c r="H8" s="1091"/>
      <c r="I8" s="14"/>
      <c r="J8" s="56"/>
      <c r="K8" s="56"/>
      <c r="L8" s="56"/>
      <c r="M8" s="56"/>
      <c r="N8" s="56"/>
      <c r="O8" s="56"/>
      <c r="P8" s="14"/>
      <c r="Q8" s="14"/>
      <c r="R8" s="14"/>
      <c r="S8" s="14"/>
      <c r="T8" s="14"/>
      <c r="U8" s="14"/>
      <c r="V8" s="14"/>
      <c r="W8" s="14"/>
      <c r="X8" s="14"/>
      <c r="Y8" s="14"/>
      <c r="Z8" s="14"/>
      <c r="AA8" s="15"/>
      <c r="AB8" s="3"/>
      <c r="AC8" s="3"/>
      <c r="AD8" s="3"/>
      <c r="AE8" s="3"/>
      <c r="AF8" s="3"/>
      <c r="AG8" s="3"/>
      <c r="AH8" s="3"/>
      <c r="AI8" s="3"/>
      <c r="AJ8" s="3"/>
      <c r="AK8" s="3"/>
      <c r="AL8" s="3"/>
      <c r="AM8" s="3"/>
      <c r="AN8" s="3"/>
      <c r="AO8" s="3"/>
    </row>
    <row r="9" spans="1:41" x14ac:dyDescent="0.25">
      <c r="B9" s="13"/>
      <c r="C9" s="1078" t="str">
        <v>Boolean decommissioning pipelines required</v>
      </c>
      <c r="D9" s="604" t="str">
        <v>Boolean</v>
      </c>
      <c r="E9" s="1079" t="b">
        <v>0</v>
      </c>
      <c r="F9" s="56"/>
      <c r="G9" s="14"/>
      <c r="H9" s="83"/>
      <c r="I9" s="1091"/>
      <c r="J9" s="56"/>
      <c r="K9" s="56"/>
      <c r="L9" s="56"/>
      <c r="M9" s="56"/>
      <c r="N9" s="56"/>
      <c r="O9" s="56"/>
      <c r="P9" s="14"/>
      <c r="Q9" s="14"/>
      <c r="R9" s="14"/>
      <c r="S9" s="14"/>
      <c r="T9" s="14"/>
      <c r="U9" s="14"/>
      <c r="V9" s="14"/>
      <c r="W9" s="14"/>
      <c r="X9" s="14"/>
      <c r="Y9" s="14"/>
      <c r="Z9" s="14"/>
      <c r="AA9" s="15"/>
      <c r="AB9" s="3"/>
      <c r="AC9" s="3"/>
      <c r="AD9" s="3"/>
      <c r="AE9" s="3"/>
      <c r="AF9" s="3"/>
      <c r="AG9" s="3"/>
      <c r="AH9" s="3"/>
      <c r="AI9" s="3"/>
      <c r="AJ9" s="3"/>
      <c r="AK9" s="3"/>
      <c r="AL9" s="3"/>
      <c r="AM9" s="3"/>
      <c r="AN9" s="3"/>
      <c r="AO9" s="3"/>
    </row>
    <row r="10" spans="1:41" x14ac:dyDescent="0.25">
      <c r="B10" s="13"/>
      <c r="C10" s="1080" t="str">
        <v>Postpone decom pipe campain to COP</v>
      </c>
      <c r="D10" s="1081" t="str">
        <v>Boolean</v>
      </c>
      <c r="E10" s="1082" t="b">
        <v>1</v>
      </c>
      <c r="F10" s="56"/>
      <c r="G10" s="14"/>
      <c r="H10" s="83"/>
      <c r="I10" s="1091"/>
      <c r="J10" s="56"/>
      <c r="K10" s="56"/>
      <c r="L10" s="56"/>
      <c r="M10" s="56"/>
      <c r="N10" s="56"/>
      <c r="O10" s="56"/>
      <c r="P10" s="14"/>
      <c r="Q10" s="14"/>
      <c r="R10" s="14"/>
      <c r="S10" s="14"/>
      <c r="T10" s="14"/>
      <c r="U10" s="14"/>
      <c r="V10" s="14"/>
      <c r="W10" s="14"/>
      <c r="X10" s="14"/>
      <c r="Y10" s="14"/>
      <c r="Z10" s="14"/>
      <c r="AA10" s="15"/>
      <c r="AB10" s="3"/>
      <c r="AC10" s="3"/>
      <c r="AD10" s="3"/>
      <c r="AE10" s="3"/>
      <c r="AF10" s="3"/>
      <c r="AG10" s="3"/>
      <c r="AH10" s="3"/>
      <c r="AI10" s="3"/>
      <c r="AJ10" s="3"/>
      <c r="AK10" s="3"/>
      <c r="AL10" s="3"/>
      <c r="AM10" s="3"/>
      <c r="AN10" s="3"/>
      <c r="AO10" s="3"/>
    </row>
    <row r="11" spans="1:41" x14ac:dyDescent="0.25">
      <c r="B11" s="13"/>
      <c r="C11" s="14"/>
      <c r="D11" s="14"/>
      <c r="E11" s="14"/>
      <c r="F11" s="56"/>
      <c r="G11" s="14"/>
      <c r="H11" s="83"/>
      <c r="I11" s="14"/>
      <c r="J11" s="56"/>
      <c r="K11" s="56"/>
      <c r="L11" s="56"/>
      <c r="M11" s="56"/>
      <c r="N11" s="56"/>
      <c r="O11" s="56"/>
      <c r="P11" s="14"/>
      <c r="Q11" s="14"/>
      <c r="R11" s="14"/>
      <c r="S11" s="14"/>
      <c r="T11" s="14"/>
      <c r="U11" s="14"/>
      <c r="V11" s="14"/>
      <c r="W11" s="14"/>
      <c r="X11" s="14"/>
      <c r="Y11" s="14"/>
      <c r="Z11" s="14"/>
      <c r="AA11" s="15"/>
      <c r="AB11" s="3"/>
      <c r="AC11" s="3"/>
      <c r="AD11" s="3"/>
      <c r="AE11" s="3"/>
      <c r="AF11" s="3"/>
      <c r="AG11" s="3"/>
      <c r="AH11" s="3"/>
      <c r="AI11" s="3"/>
      <c r="AJ11" s="3"/>
      <c r="AK11" s="3"/>
      <c r="AL11" s="3"/>
      <c r="AM11" s="3"/>
      <c r="AN11" s="3"/>
      <c r="AO11" s="3"/>
    </row>
    <row r="12" spans="1:41" x14ac:dyDescent="0.25">
      <c r="B12" s="13"/>
      <c r="C12" s="39" t="s">
        <v>1568</v>
      </c>
      <c r="D12" s="40"/>
      <c r="E12" s="41"/>
      <c r="F12" s="56"/>
      <c r="G12" s="14"/>
      <c r="H12" s="1091"/>
      <c r="I12" s="14"/>
      <c r="J12" s="56"/>
      <c r="K12" s="56"/>
      <c r="L12" s="56"/>
      <c r="M12" s="56"/>
      <c r="N12" s="56"/>
      <c r="O12" s="56"/>
      <c r="P12" s="14"/>
      <c r="Q12" s="14"/>
      <c r="R12" s="14"/>
      <c r="S12" s="14"/>
      <c r="T12" s="14"/>
      <c r="U12" s="14"/>
      <c r="V12" s="14"/>
      <c r="W12" s="14"/>
      <c r="X12" s="14"/>
      <c r="Y12" s="14"/>
      <c r="Z12" s="14"/>
      <c r="AA12" s="15"/>
      <c r="AB12" s="3"/>
      <c r="AC12" s="3"/>
      <c r="AD12" s="3"/>
      <c r="AE12" s="3"/>
      <c r="AF12" s="3"/>
      <c r="AG12" s="3"/>
      <c r="AH12" s="3"/>
      <c r="AI12" s="3"/>
      <c r="AJ12" s="3"/>
      <c r="AK12" s="3"/>
      <c r="AL12" s="3"/>
      <c r="AM12" s="3"/>
      <c r="AN12" s="3"/>
      <c r="AO12" s="3"/>
    </row>
    <row r="13" spans="1:41" x14ac:dyDescent="0.25">
      <c r="B13" s="13"/>
      <c r="C13" s="14"/>
      <c r="D13" s="14"/>
      <c r="E13" s="14"/>
      <c r="F13" s="56"/>
      <c r="G13" s="14"/>
      <c r="H13" s="1091"/>
      <c r="I13" s="14"/>
      <c r="J13" s="56"/>
      <c r="K13" s="56"/>
      <c r="L13" s="56"/>
      <c r="M13" s="56"/>
      <c r="N13" s="56"/>
      <c r="O13" s="56"/>
      <c r="P13" s="14"/>
      <c r="Q13" s="14"/>
      <c r="R13" s="14"/>
      <c r="S13" s="14"/>
      <c r="T13" s="14"/>
      <c r="U13" s="14"/>
      <c r="V13" s="14"/>
      <c r="W13" s="14"/>
      <c r="X13" s="14"/>
      <c r="Y13" s="14"/>
      <c r="Z13" s="14"/>
      <c r="AA13" s="15"/>
      <c r="AB13" s="3"/>
      <c r="AC13" s="3"/>
      <c r="AD13" s="3"/>
      <c r="AE13" s="3"/>
      <c r="AF13" s="3"/>
      <c r="AG13" s="3"/>
      <c r="AH13" s="3"/>
      <c r="AI13" s="3"/>
      <c r="AJ13" s="3"/>
      <c r="AK13" s="3"/>
      <c r="AL13" s="3"/>
      <c r="AM13" s="3"/>
      <c r="AN13" s="3"/>
      <c r="AO13" s="3"/>
    </row>
    <row r="14" spans="1:41" x14ac:dyDescent="0.25">
      <c r="B14" s="13"/>
      <c r="C14" s="32" t="str">
        <f t="array" ref="C14:E16">Parameters!E23:G25</f>
        <v>Relative decommissioning cost topside + jacket</v>
      </c>
      <c r="D14" s="33" t="str">
        <v>EUR / ton</v>
      </c>
      <c r="E14" s="34">
        <v>4104</v>
      </c>
      <c r="F14" s="56"/>
      <c r="G14" s="14"/>
      <c r="H14" s="1091"/>
      <c r="I14" s="14"/>
      <c r="J14" s="56"/>
      <c r="K14" s="56"/>
      <c r="L14" s="56"/>
      <c r="M14" s="56"/>
      <c r="N14" s="56"/>
      <c r="O14" s="56"/>
      <c r="P14" s="14"/>
      <c r="Q14" s="14"/>
      <c r="R14" s="14"/>
      <c r="S14" s="14"/>
      <c r="T14" s="14"/>
      <c r="U14" s="14"/>
      <c r="V14" s="14"/>
      <c r="W14" s="14"/>
      <c r="X14" s="14"/>
      <c r="Y14" s="14"/>
      <c r="Z14" s="14"/>
      <c r="AA14" s="15"/>
      <c r="AB14" s="3"/>
      <c r="AC14" s="3"/>
      <c r="AD14" s="3"/>
      <c r="AE14" s="3"/>
      <c r="AF14" s="3"/>
      <c r="AG14" s="3"/>
      <c r="AH14" s="3"/>
      <c r="AI14" s="3"/>
      <c r="AJ14" s="3"/>
      <c r="AK14" s="3"/>
      <c r="AL14" s="3"/>
      <c r="AM14" s="3"/>
      <c r="AN14" s="3"/>
      <c r="AO14" s="3"/>
    </row>
    <row r="15" spans="1:41" x14ac:dyDescent="0.25">
      <c r="B15" s="13"/>
      <c r="C15" s="6" t="str">
        <v>Relative costs natural gas well P&amp;A</v>
      </c>
      <c r="D15" s="2" t="str">
        <v>EUR /well</v>
      </c>
      <c r="E15" s="35">
        <v>3192000</v>
      </c>
      <c r="F15" s="56"/>
      <c r="G15" s="14"/>
      <c r="H15" s="1091"/>
      <c r="I15" s="14"/>
      <c r="J15" s="56"/>
      <c r="K15" s="56"/>
      <c r="L15" s="56"/>
      <c r="M15" s="56"/>
      <c r="N15" s="56"/>
      <c r="O15" s="56"/>
      <c r="P15" s="14"/>
      <c r="Q15" s="14"/>
      <c r="R15" s="14"/>
      <c r="S15" s="14"/>
      <c r="T15" s="14"/>
      <c r="U15" s="14"/>
      <c r="V15" s="14"/>
      <c r="W15" s="14"/>
      <c r="X15" s="14"/>
      <c r="Y15" s="14"/>
      <c r="Z15" s="14"/>
      <c r="AA15" s="15"/>
      <c r="AB15" s="3"/>
      <c r="AC15" s="3"/>
      <c r="AD15" s="3"/>
      <c r="AE15" s="3"/>
      <c r="AF15" s="3"/>
      <c r="AG15" s="3"/>
      <c r="AH15" s="3"/>
      <c r="AI15" s="3"/>
      <c r="AJ15" s="3"/>
      <c r="AK15" s="3"/>
      <c r="AL15" s="3"/>
      <c r="AM15" s="3"/>
      <c r="AN15" s="3"/>
      <c r="AO15" s="3"/>
    </row>
    <row r="16" spans="1:41" x14ac:dyDescent="0.25">
      <c r="B16" s="13"/>
      <c r="C16" s="6" t="str">
        <v>Relative costs pipeline 'making safe' and decom</v>
      </c>
      <c r="D16" s="2" t="str">
        <v>EUR /km</v>
      </c>
      <c r="E16" s="35">
        <v>180823.863636364</v>
      </c>
      <c r="F16" s="14"/>
      <c r="G16" s="14"/>
      <c r="H16" s="1091"/>
      <c r="I16" s="14"/>
      <c r="J16" s="14"/>
      <c r="K16" s="14"/>
      <c r="L16" s="5"/>
      <c r="M16" s="5"/>
      <c r="N16" s="14"/>
      <c r="O16" s="14"/>
      <c r="P16" s="14"/>
      <c r="Q16" s="14"/>
      <c r="R16" s="14"/>
      <c r="S16" s="14"/>
      <c r="T16" s="14"/>
      <c r="U16" s="14"/>
      <c r="V16" s="14"/>
      <c r="W16" s="14"/>
      <c r="X16" s="14"/>
      <c r="Y16" s="14"/>
      <c r="Z16" s="14"/>
      <c r="AA16" s="15"/>
      <c r="AB16" s="3"/>
      <c r="AC16" s="3"/>
      <c r="AD16" s="3"/>
      <c r="AE16" s="3"/>
      <c r="AF16" s="3"/>
      <c r="AG16" s="3"/>
      <c r="AH16" s="3"/>
      <c r="AI16" s="3"/>
      <c r="AJ16" s="3"/>
      <c r="AK16" s="3"/>
      <c r="AL16" s="3"/>
      <c r="AM16" s="3"/>
      <c r="AN16" s="3"/>
      <c r="AO16" s="3"/>
    </row>
    <row r="17" spans="1:41" x14ac:dyDescent="0.25">
      <c r="B17" s="13"/>
      <c r="C17" s="6" t="str">
        <f t="array" ref="C17:E21">Parameters!E29:G33</f>
        <v>Onshore disposal, remidiation and monitoring</v>
      </c>
      <c r="D17" s="2" t="str">
        <v>%</v>
      </c>
      <c r="E17" s="35">
        <v>2</v>
      </c>
      <c r="F17" s="14"/>
      <c r="G17" s="14"/>
      <c r="H17" s="1091"/>
      <c r="I17" s="14"/>
      <c r="J17" s="14"/>
      <c r="K17" s="14"/>
      <c r="L17" s="5"/>
      <c r="M17" s="5"/>
      <c r="N17" s="14"/>
      <c r="O17" s="14"/>
      <c r="P17" s="14"/>
      <c r="Q17" s="14"/>
      <c r="R17" s="14"/>
      <c r="S17" s="14"/>
      <c r="T17" s="14"/>
      <c r="U17" s="14"/>
      <c r="V17" s="14"/>
      <c r="W17" s="14"/>
      <c r="X17" s="14"/>
      <c r="Y17" s="14"/>
      <c r="Z17" s="14"/>
      <c r="AA17" s="15"/>
      <c r="AB17" s="3"/>
      <c r="AC17" s="3"/>
      <c r="AD17" s="3"/>
      <c r="AE17" s="3"/>
      <c r="AF17" s="3"/>
      <c r="AG17" s="3"/>
      <c r="AH17" s="3"/>
      <c r="AI17" s="3"/>
      <c r="AJ17" s="3"/>
      <c r="AK17" s="3"/>
      <c r="AL17" s="3"/>
      <c r="AM17" s="3"/>
      <c r="AN17" s="3"/>
      <c r="AO17" s="3"/>
    </row>
    <row r="18" spans="1:41" x14ac:dyDescent="0.25">
      <c r="B18" s="13"/>
      <c r="C18" s="6" t="str">
        <v>Project managment and facility running cost</v>
      </c>
      <c r="D18" s="2" t="str">
        <v>%</v>
      </c>
      <c r="E18" s="35">
        <v>16</v>
      </c>
      <c r="F18" s="14"/>
      <c r="G18" s="14"/>
      <c r="H18" s="14"/>
      <c r="I18" s="14"/>
      <c r="J18" s="14"/>
      <c r="K18" s="14"/>
      <c r="L18" s="5"/>
      <c r="M18" s="5"/>
      <c r="N18" s="14"/>
      <c r="O18" s="14"/>
      <c r="P18" s="14"/>
      <c r="Q18" s="14"/>
      <c r="R18" s="14"/>
      <c r="S18" s="14"/>
      <c r="T18" s="14"/>
      <c r="U18" s="14"/>
      <c r="V18" s="14"/>
      <c r="W18" s="14"/>
      <c r="X18" s="14"/>
      <c r="Y18" s="14"/>
      <c r="Z18" s="14"/>
      <c r="AA18" s="15"/>
      <c r="AB18" s="3"/>
      <c r="AC18" s="3"/>
      <c r="AD18" s="3"/>
      <c r="AE18" s="3"/>
      <c r="AF18" s="3"/>
      <c r="AG18" s="3"/>
      <c r="AH18" s="3"/>
      <c r="AI18" s="3"/>
      <c r="AJ18" s="3"/>
      <c r="AK18" s="3"/>
      <c r="AL18" s="3"/>
      <c r="AM18" s="3"/>
      <c r="AN18" s="3"/>
      <c r="AO18" s="3"/>
    </row>
    <row r="19" spans="1:41" x14ac:dyDescent="0.25">
      <c r="B19" s="13"/>
      <c r="C19" s="6" t="str">
        <v>Topside + jacket</v>
      </c>
      <c r="D19" s="2" t="str">
        <v>%</v>
      </c>
      <c r="E19" s="35">
        <v>21</v>
      </c>
      <c r="F19" s="14"/>
      <c r="G19" s="56"/>
      <c r="H19" s="14"/>
      <c r="I19" s="14"/>
      <c r="J19" s="14"/>
      <c r="K19" s="14"/>
      <c r="L19" s="5"/>
      <c r="M19" s="5"/>
      <c r="N19" s="14"/>
      <c r="O19" s="14"/>
      <c r="P19" s="14"/>
      <c r="Q19" s="14"/>
      <c r="R19" s="14"/>
      <c r="S19" s="14"/>
      <c r="T19" s="5"/>
      <c r="U19" s="14"/>
      <c r="V19" s="5"/>
      <c r="W19" s="5"/>
      <c r="X19" s="14"/>
      <c r="Y19" s="14"/>
      <c r="Z19" s="14"/>
      <c r="AA19" s="15"/>
      <c r="AB19" s="3"/>
      <c r="AC19" s="3"/>
      <c r="AD19" s="3"/>
      <c r="AE19" s="3"/>
      <c r="AF19" s="3"/>
      <c r="AG19" s="3"/>
      <c r="AH19" s="3"/>
      <c r="AI19" s="3"/>
      <c r="AJ19" s="3"/>
      <c r="AK19" s="3"/>
      <c r="AL19" s="3"/>
      <c r="AM19" s="3"/>
      <c r="AN19" s="3"/>
      <c r="AO19" s="3"/>
    </row>
    <row r="20" spans="1:41" x14ac:dyDescent="0.25">
      <c r="B20" s="13"/>
      <c r="C20" s="6" t="str">
        <v>natural gas well P&amp;A</v>
      </c>
      <c r="D20" s="2" t="str">
        <v>%</v>
      </c>
      <c r="E20" s="35">
        <v>49</v>
      </c>
      <c r="F20" s="14"/>
      <c r="G20" s="14"/>
      <c r="H20" s="14"/>
      <c r="I20" s="14"/>
      <c r="J20" s="14"/>
      <c r="K20" s="14"/>
      <c r="L20" s="5"/>
      <c r="M20" s="5"/>
      <c r="N20" s="14"/>
      <c r="O20" s="14"/>
      <c r="P20" s="14"/>
      <c r="Q20" s="14"/>
      <c r="R20" s="14"/>
      <c r="S20" s="14"/>
      <c r="T20" s="5"/>
      <c r="U20" s="14"/>
      <c r="V20" s="5"/>
      <c r="W20" s="5"/>
      <c r="X20" s="14"/>
      <c r="Y20" s="14"/>
      <c r="Z20" s="14"/>
      <c r="AA20" s="15"/>
      <c r="AB20" s="3"/>
      <c r="AC20" s="3"/>
      <c r="AD20" s="3"/>
      <c r="AE20" s="3"/>
      <c r="AF20" s="3"/>
      <c r="AG20" s="3"/>
      <c r="AH20" s="3"/>
      <c r="AI20" s="3"/>
      <c r="AJ20" s="3"/>
      <c r="AK20" s="3"/>
      <c r="AL20" s="3"/>
      <c r="AM20" s="3"/>
      <c r="AN20" s="3"/>
      <c r="AO20" s="3"/>
    </row>
    <row r="21" spans="1:41" x14ac:dyDescent="0.25">
      <c r="B21" s="13"/>
      <c r="C21" s="36" t="str">
        <v>pipeline 'making safe' and decom</v>
      </c>
      <c r="D21" s="37" t="str">
        <v>%</v>
      </c>
      <c r="E21" s="38">
        <v>12</v>
      </c>
      <c r="F21" s="14"/>
      <c r="G21" s="14"/>
      <c r="H21" s="83"/>
      <c r="I21" s="1092"/>
      <c r="J21" s="14"/>
      <c r="K21" s="14"/>
      <c r="L21" s="5"/>
      <c r="M21" s="5"/>
      <c r="N21" s="14"/>
      <c r="O21" s="14"/>
      <c r="P21" s="14"/>
      <c r="Q21" s="14"/>
      <c r="R21" s="14"/>
      <c r="S21" s="14"/>
      <c r="T21" s="5"/>
      <c r="U21" s="14"/>
      <c r="V21" s="5"/>
      <c r="W21" s="5"/>
      <c r="X21" s="14"/>
      <c r="Y21" s="14"/>
      <c r="Z21" s="14"/>
      <c r="AA21" s="15"/>
      <c r="AB21" s="3"/>
      <c r="AC21" s="3"/>
      <c r="AD21" s="3"/>
      <c r="AE21" s="3"/>
      <c r="AF21" s="3"/>
      <c r="AG21" s="3"/>
      <c r="AH21" s="3"/>
      <c r="AI21" s="3"/>
      <c r="AJ21" s="3"/>
      <c r="AK21" s="3"/>
      <c r="AL21" s="3"/>
      <c r="AM21" s="3"/>
      <c r="AN21" s="3"/>
      <c r="AO21" s="3"/>
    </row>
    <row r="22" spans="1:41" x14ac:dyDescent="0.25">
      <c r="B22" s="13"/>
      <c r="C22" s="14"/>
      <c r="D22" s="14"/>
      <c r="E22" s="14"/>
      <c r="F22" s="14"/>
      <c r="G22" s="14"/>
      <c r="H22" s="83"/>
      <c r="I22" s="14"/>
      <c r="J22" s="14"/>
      <c r="K22" s="14"/>
      <c r="L22" s="5"/>
      <c r="M22" s="5"/>
      <c r="N22" s="14"/>
      <c r="O22" s="14"/>
      <c r="P22" s="14"/>
      <c r="Q22" s="14"/>
      <c r="R22" s="14"/>
      <c r="S22" s="14"/>
      <c r="T22" s="5"/>
      <c r="U22" s="14"/>
      <c r="V22" s="5"/>
      <c r="W22" s="5"/>
      <c r="X22" s="14"/>
      <c r="Y22" s="14"/>
      <c r="Z22" s="14"/>
      <c r="AA22" s="15"/>
      <c r="AB22" s="3"/>
      <c r="AC22" s="3"/>
      <c r="AD22" s="3"/>
      <c r="AE22" s="3"/>
      <c r="AF22" s="3"/>
      <c r="AG22" s="3"/>
      <c r="AH22" s="3"/>
      <c r="AI22" s="3"/>
      <c r="AJ22" s="3"/>
      <c r="AK22" s="3"/>
      <c r="AL22" s="3"/>
      <c r="AM22" s="3"/>
      <c r="AN22" s="3"/>
      <c r="AO22" s="3"/>
    </row>
    <row r="23" spans="1:41" x14ac:dyDescent="0.25">
      <c r="B23" s="13"/>
      <c r="C23" s="39" t="s">
        <v>1569</v>
      </c>
      <c r="D23" s="40"/>
      <c r="E23" s="41"/>
      <c r="F23" s="14"/>
      <c r="G23" s="14"/>
      <c r="H23" s="83"/>
      <c r="I23" s="14"/>
      <c r="J23" s="14"/>
      <c r="K23" s="14"/>
      <c r="L23" s="5"/>
      <c r="M23" s="5"/>
      <c r="N23" s="14"/>
      <c r="O23" s="14"/>
      <c r="P23" s="14"/>
      <c r="Q23" s="14"/>
      <c r="R23" s="14"/>
      <c r="S23" s="14"/>
      <c r="T23" s="14"/>
      <c r="U23" s="14"/>
      <c r="V23" s="14"/>
      <c r="W23" s="14"/>
      <c r="X23" s="14"/>
      <c r="Y23" s="14"/>
      <c r="Z23" s="14"/>
      <c r="AA23" s="15"/>
      <c r="AB23" s="3"/>
      <c r="AC23" s="3"/>
      <c r="AD23" s="3"/>
      <c r="AE23" s="3"/>
      <c r="AF23" s="3"/>
      <c r="AG23" s="3"/>
      <c r="AH23" s="3"/>
      <c r="AI23" s="3"/>
      <c r="AJ23" s="3"/>
      <c r="AK23" s="3"/>
      <c r="AL23" s="3"/>
      <c r="AM23" s="3"/>
      <c r="AN23" s="3"/>
      <c r="AO23" s="3"/>
    </row>
    <row r="24" spans="1:41" x14ac:dyDescent="0.25">
      <c r="B24" s="13"/>
      <c r="C24" s="14"/>
      <c r="D24" s="14"/>
      <c r="E24" s="14"/>
      <c r="F24" s="14"/>
      <c r="G24" s="14"/>
      <c r="H24" s="1091"/>
      <c r="I24" s="78"/>
      <c r="J24" s="14"/>
      <c r="K24" s="14"/>
      <c r="L24" s="5"/>
      <c r="M24" s="5"/>
      <c r="N24" s="14"/>
      <c r="O24" s="14"/>
      <c r="P24" s="14"/>
      <c r="Q24" s="14"/>
      <c r="R24" s="14"/>
      <c r="S24" s="14"/>
      <c r="T24" s="14"/>
      <c r="U24" s="14"/>
      <c r="V24" s="14"/>
      <c r="W24" s="14"/>
      <c r="X24" s="14"/>
      <c r="Y24" s="14"/>
      <c r="Z24" s="14"/>
      <c r="AA24" s="15"/>
      <c r="AB24" s="3"/>
      <c r="AC24" s="3"/>
      <c r="AD24" s="3"/>
      <c r="AE24" s="3"/>
      <c r="AF24" s="3"/>
      <c r="AG24" s="3"/>
      <c r="AH24" s="3"/>
      <c r="AI24" s="3"/>
      <c r="AJ24" s="3"/>
      <c r="AK24" s="3"/>
      <c r="AL24" s="3"/>
      <c r="AM24" s="3"/>
      <c r="AN24" s="3"/>
      <c r="AO24" s="3"/>
    </row>
    <row r="25" spans="1:41" x14ac:dyDescent="0.25">
      <c r="B25" s="13"/>
      <c r="C25" s="32" t="str">
        <f t="array" ref="C25:E27">Parameters!E26:G28</f>
        <v>Platform identifier</v>
      </c>
      <c r="D25" s="33">
        <v>0</v>
      </c>
      <c r="E25" s="34" t="str">
        <v>P15-D</v>
      </c>
      <c r="F25" s="14"/>
      <c r="G25" s="14"/>
      <c r="H25" s="1091"/>
      <c r="I25" s="78"/>
      <c r="J25" s="14"/>
      <c r="K25" s="14"/>
      <c r="L25" s="5"/>
      <c r="M25" s="5"/>
      <c r="N25" s="14"/>
      <c r="O25" s="14"/>
      <c r="P25" s="14"/>
      <c r="Q25" s="14"/>
      <c r="R25" s="14"/>
      <c r="S25" s="14"/>
      <c r="T25" s="14"/>
      <c r="U25" s="14"/>
      <c r="V25" s="14"/>
      <c r="W25" s="14"/>
      <c r="X25" s="14"/>
      <c r="Y25" s="14"/>
      <c r="Z25" s="14"/>
      <c r="AA25" s="15"/>
      <c r="AB25" s="3"/>
      <c r="AC25" s="3"/>
      <c r="AD25" s="3"/>
      <c r="AE25" s="3"/>
      <c r="AF25" s="3"/>
      <c r="AG25" s="3"/>
      <c r="AH25" s="3"/>
      <c r="AI25" s="3"/>
      <c r="AJ25" s="3"/>
      <c r="AK25" s="3"/>
      <c r="AL25" s="3"/>
      <c r="AM25" s="3"/>
      <c r="AN25" s="3"/>
      <c r="AO25" s="3"/>
    </row>
    <row r="26" spans="1:41" x14ac:dyDescent="0.25">
      <c r="B26" s="13"/>
      <c r="C26" s="6" t="str">
        <v>Weight sub-structure</v>
      </c>
      <c r="D26" s="2" t="str">
        <v>ton</v>
      </c>
      <c r="E26" s="35">
        <v>1015</v>
      </c>
      <c r="F26" s="14"/>
      <c r="G26" s="14"/>
      <c r="H26" s="102"/>
      <c r="I26" s="78"/>
      <c r="J26" s="14"/>
      <c r="K26" s="14"/>
      <c r="L26" s="5"/>
      <c r="M26" s="5"/>
      <c r="N26" s="14"/>
      <c r="O26" s="14"/>
      <c r="P26" s="14"/>
      <c r="Q26" s="14"/>
      <c r="R26" s="14"/>
      <c r="S26" s="14"/>
      <c r="T26" s="14"/>
      <c r="U26" s="14"/>
      <c r="V26" s="14"/>
      <c r="W26" s="14"/>
      <c r="X26" s="14"/>
      <c r="Y26" s="14"/>
      <c r="Z26" s="14"/>
      <c r="AA26" s="15"/>
      <c r="AB26" s="3"/>
      <c r="AC26" s="3"/>
      <c r="AD26" s="3"/>
      <c r="AE26" s="3"/>
      <c r="AF26" s="3"/>
      <c r="AG26" s="3"/>
      <c r="AH26" s="3"/>
      <c r="AI26" s="3"/>
      <c r="AJ26" s="3"/>
      <c r="AK26" s="3"/>
      <c r="AL26" s="3"/>
      <c r="AM26" s="3"/>
      <c r="AN26" s="3"/>
      <c r="AO26" s="3"/>
    </row>
    <row r="27" spans="1:41" x14ac:dyDescent="0.25">
      <c r="B27" s="13"/>
      <c r="C27" s="6" t="str">
        <v>Weight topside</v>
      </c>
      <c r="D27" s="2" t="str">
        <v>ton</v>
      </c>
      <c r="E27" s="35">
        <v>6962</v>
      </c>
      <c r="F27" s="14"/>
      <c r="G27" s="14"/>
      <c r="H27" s="1093"/>
      <c r="I27" s="92"/>
      <c r="J27" s="14"/>
      <c r="K27" s="14"/>
      <c r="L27" s="5"/>
      <c r="M27" s="5"/>
      <c r="N27" s="14"/>
      <c r="O27" s="14"/>
      <c r="P27" s="14"/>
      <c r="Q27" s="14"/>
      <c r="R27" s="14"/>
      <c r="S27" s="14"/>
      <c r="T27" s="14"/>
      <c r="U27" s="14"/>
      <c r="V27" s="14"/>
      <c r="W27" s="14"/>
      <c r="X27" s="14"/>
      <c r="Y27" s="14"/>
      <c r="Z27" s="14"/>
      <c r="AA27" s="15"/>
      <c r="AB27" s="3"/>
      <c r="AC27" s="3"/>
      <c r="AD27" s="3"/>
      <c r="AE27" s="3"/>
      <c r="AF27" s="3"/>
      <c r="AG27" s="3"/>
      <c r="AH27" s="3"/>
      <c r="AI27" s="3"/>
      <c r="AJ27" s="3"/>
      <c r="AK27" s="3"/>
      <c r="AL27" s="3"/>
      <c r="AM27" s="3"/>
      <c r="AN27" s="3"/>
      <c r="AO27" s="3"/>
    </row>
    <row r="28" spans="1:41" x14ac:dyDescent="0.25">
      <c r="B28" s="13"/>
      <c r="C28" s="6" t="str">
        <f t="array" ref="C28:E28">Parameters!E150:G150</f>
        <v>Pipeline length</v>
      </c>
      <c r="D28" s="2" t="str">
        <v>km</v>
      </c>
      <c r="E28" s="35">
        <v>40</v>
      </c>
      <c r="F28" s="14"/>
      <c r="G28" s="14"/>
      <c r="H28" s="1094"/>
      <c r="I28" s="92"/>
      <c r="J28" s="14"/>
      <c r="K28" s="14"/>
      <c r="L28" s="5"/>
      <c r="M28" s="5"/>
      <c r="N28" s="14"/>
      <c r="O28" s="14"/>
      <c r="P28" s="14"/>
      <c r="Q28" s="14"/>
      <c r="R28" s="14"/>
      <c r="S28" s="14"/>
      <c r="T28" s="14"/>
      <c r="U28" s="14"/>
      <c r="V28" s="14"/>
      <c r="W28" s="14"/>
      <c r="X28" s="14"/>
      <c r="Y28" s="14"/>
      <c r="Z28" s="14"/>
      <c r="AA28" s="15"/>
      <c r="AB28" s="3"/>
      <c r="AC28" s="3"/>
      <c r="AD28" s="3"/>
      <c r="AE28" s="3"/>
      <c r="AF28" s="3"/>
      <c r="AG28" s="3"/>
      <c r="AH28" s="3"/>
      <c r="AI28" s="3"/>
      <c r="AJ28" s="3"/>
      <c r="AK28" s="3"/>
      <c r="AL28" s="3"/>
      <c r="AM28" s="3"/>
      <c r="AN28" s="3"/>
      <c r="AO28" s="3"/>
    </row>
    <row r="29" spans="1:41" x14ac:dyDescent="0.25">
      <c r="B29" s="13"/>
      <c r="C29" s="6" t="str">
        <f t="array" ref="C29:E29">Parameters!E322:G322</f>
        <v>Distance hub to shore</v>
      </c>
      <c r="D29" s="2" t="str">
        <v>km</v>
      </c>
      <c r="E29" s="35">
        <v>40</v>
      </c>
      <c r="F29" s="14"/>
      <c r="G29" s="14"/>
      <c r="H29" s="102"/>
      <c r="I29" s="92"/>
      <c r="J29" s="14"/>
      <c r="K29" s="14"/>
      <c r="L29" s="5"/>
      <c r="M29" s="5"/>
      <c r="N29" s="14"/>
      <c r="O29" s="14"/>
      <c r="P29" s="14"/>
      <c r="Q29" s="14"/>
      <c r="R29" s="14"/>
      <c r="S29" s="14"/>
      <c r="T29" s="14"/>
      <c r="U29" s="14"/>
      <c r="V29" s="14"/>
      <c r="W29" s="14"/>
      <c r="X29" s="14"/>
      <c r="Y29" s="14"/>
      <c r="Z29" s="14"/>
      <c r="AA29" s="15"/>
      <c r="AB29" s="3"/>
      <c r="AC29" s="3"/>
      <c r="AD29" s="3"/>
      <c r="AE29" s="3"/>
      <c r="AF29" s="3"/>
      <c r="AG29" s="3"/>
      <c r="AH29" s="3"/>
      <c r="AI29" s="3"/>
      <c r="AJ29" s="3"/>
      <c r="AK29" s="3"/>
      <c r="AL29" s="3"/>
      <c r="AM29" s="3"/>
      <c r="AN29" s="3"/>
      <c r="AO29" s="3"/>
    </row>
    <row r="30" spans="1:41" x14ac:dyDescent="0.25">
      <c r="B30" s="13"/>
      <c r="C30" s="6"/>
      <c r="D30" s="2"/>
      <c r="E30" s="35"/>
      <c r="F30" s="14"/>
      <c r="G30" s="14"/>
      <c r="H30" s="102"/>
      <c r="I30" s="92"/>
      <c r="J30" s="14"/>
      <c r="K30" s="14"/>
      <c r="L30" s="5"/>
      <c r="M30" s="5"/>
      <c r="N30" s="14"/>
      <c r="O30" s="14"/>
      <c r="P30" s="14"/>
      <c r="Q30" s="14"/>
      <c r="R30" s="14"/>
      <c r="S30" s="14"/>
      <c r="T30" s="14"/>
      <c r="U30" s="14"/>
      <c r="V30" s="14"/>
      <c r="W30" s="14"/>
      <c r="X30" s="14"/>
      <c r="Y30" s="14"/>
      <c r="Z30" s="14"/>
      <c r="AA30" s="15"/>
      <c r="AB30" s="3"/>
      <c r="AC30" s="3"/>
      <c r="AD30" s="3"/>
      <c r="AE30" s="3"/>
      <c r="AF30" s="3"/>
      <c r="AG30" s="3"/>
      <c r="AH30" s="3"/>
      <c r="AI30" s="3"/>
      <c r="AJ30" s="3"/>
      <c r="AK30" s="3"/>
      <c r="AL30" s="3"/>
      <c r="AM30" s="3"/>
      <c r="AN30" s="3"/>
      <c r="AO30" s="3"/>
    </row>
    <row r="31" spans="1:41" s="127" customFormat="1" x14ac:dyDescent="0.25">
      <c r="A31" s="125"/>
      <c r="B31" s="126"/>
      <c r="C31" s="6"/>
      <c r="D31" s="2"/>
      <c r="E31" s="35"/>
      <c r="F31" s="17"/>
      <c r="G31" s="17"/>
      <c r="H31" s="17"/>
      <c r="I31" s="17"/>
      <c r="J31" s="17"/>
      <c r="K31" s="17"/>
      <c r="L31" s="17"/>
      <c r="M31" s="17"/>
      <c r="N31" s="17"/>
      <c r="O31" s="17"/>
      <c r="P31" s="17"/>
      <c r="Q31" s="17"/>
      <c r="R31" s="17"/>
      <c r="S31" s="17"/>
      <c r="T31" s="17"/>
      <c r="U31" s="17"/>
      <c r="V31" s="17"/>
      <c r="W31" s="17"/>
      <c r="X31" s="17"/>
      <c r="Y31" s="17"/>
      <c r="Z31" s="17"/>
      <c r="AA31" s="131"/>
      <c r="AB31" s="125"/>
      <c r="AC31" s="125"/>
      <c r="AD31" s="125"/>
      <c r="AE31" s="125"/>
      <c r="AF31" s="125"/>
      <c r="AG31" s="125"/>
      <c r="AH31" s="125"/>
      <c r="AI31" s="125"/>
      <c r="AJ31" s="125"/>
      <c r="AK31" s="125"/>
      <c r="AL31" s="125"/>
      <c r="AM31" s="125"/>
      <c r="AN31" s="125"/>
      <c r="AO31" s="125"/>
    </row>
    <row r="32" spans="1:41" x14ac:dyDescent="0.25">
      <c r="B32" s="13"/>
      <c r="C32" s="36"/>
      <c r="D32" s="37"/>
      <c r="E32" s="38"/>
      <c r="F32" s="14"/>
      <c r="G32" s="14"/>
      <c r="H32" s="14"/>
      <c r="I32" s="14"/>
      <c r="J32" s="14"/>
      <c r="K32" s="14"/>
      <c r="L32" s="14"/>
      <c r="M32" s="14"/>
      <c r="N32" s="14"/>
      <c r="O32" s="14"/>
      <c r="P32" s="14"/>
      <c r="Q32" s="14"/>
      <c r="R32" s="14"/>
      <c r="S32" s="14"/>
      <c r="T32" s="14"/>
      <c r="U32" s="14"/>
      <c r="V32" s="14"/>
      <c r="W32" s="14"/>
      <c r="X32" s="14"/>
      <c r="Y32" s="14"/>
      <c r="Z32" s="14"/>
      <c r="AA32" s="15"/>
      <c r="AB32" s="3"/>
      <c r="AC32" s="3"/>
      <c r="AD32" s="3"/>
      <c r="AE32" s="3"/>
      <c r="AF32" s="3"/>
      <c r="AG32" s="3"/>
      <c r="AH32" s="3"/>
      <c r="AI32" s="3"/>
      <c r="AJ32" s="3"/>
      <c r="AK32" s="3"/>
      <c r="AL32" s="3"/>
      <c r="AM32" s="3"/>
      <c r="AN32" s="3"/>
      <c r="AO32" s="3"/>
    </row>
    <row r="33" spans="2:41" s="171" customFormat="1" x14ac:dyDescent="0.25">
      <c r="B33" s="13"/>
      <c r="C33" s="14"/>
      <c r="D33" s="14"/>
      <c r="E33" s="14"/>
      <c r="F33" s="14"/>
      <c r="G33" s="14"/>
      <c r="H33" s="14"/>
      <c r="I33" s="14"/>
      <c r="J33" s="14"/>
      <c r="K33" s="14"/>
      <c r="L33" s="14"/>
      <c r="M33" s="14"/>
      <c r="N33" s="14"/>
      <c r="O33" s="14"/>
      <c r="P33" s="14"/>
      <c r="Q33" s="14"/>
      <c r="R33" s="14"/>
      <c r="S33" s="14"/>
      <c r="T33" s="14"/>
      <c r="U33" s="14"/>
      <c r="V33" s="14"/>
      <c r="W33" s="14"/>
      <c r="X33" s="14"/>
      <c r="Y33" s="14"/>
      <c r="Z33" s="14"/>
      <c r="AA33" s="15"/>
      <c r="AB33" s="3"/>
      <c r="AC33" s="3"/>
      <c r="AD33" s="3"/>
      <c r="AE33" s="3"/>
      <c r="AF33" s="3"/>
      <c r="AG33" s="3"/>
      <c r="AH33" s="3"/>
      <c r="AI33" s="3"/>
      <c r="AJ33" s="3"/>
      <c r="AK33" s="3"/>
      <c r="AL33" s="3"/>
      <c r="AM33" s="3"/>
      <c r="AN33" s="3"/>
      <c r="AO33" s="3"/>
    </row>
    <row r="34" spans="2:41" s="171" customFormat="1" x14ac:dyDescent="0.25">
      <c r="B34" s="13"/>
      <c r="C34" s="39" t="s">
        <v>1</v>
      </c>
      <c r="D34" s="40"/>
      <c r="E34" s="41"/>
      <c r="F34" s="14"/>
      <c r="G34" s="14"/>
      <c r="H34" s="14"/>
      <c r="I34" s="14"/>
      <c r="J34" s="14"/>
      <c r="K34" s="14"/>
      <c r="L34" s="14"/>
      <c r="M34" s="14"/>
      <c r="N34" s="14"/>
      <c r="O34" s="14"/>
      <c r="P34" s="14"/>
      <c r="Q34" s="14"/>
      <c r="R34" s="14"/>
      <c r="S34" s="14"/>
      <c r="T34" s="14"/>
      <c r="U34" s="14"/>
      <c r="V34" s="14"/>
      <c r="W34" s="14"/>
      <c r="X34" s="14"/>
      <c r="Y34" s="14"/>
      <c r="Z34" s="14"/>
      <c r="AA34" s="15"/>
      <c r="AB34" s="3"/>
      <c r="AC34" s="3"/>
      <c r="AD34" s="3"/>
      <c r="AE34" s="3"/>
      <c r="AF34" s="3"/>
      <c r="AG34" s="3"/>
      <c r="AH34" s="3"/>
      <c r="AI34" s="3"/>
      <c r="AJ34" s="3"/>
      <c r="AK34" s="3"/>
      <c r="AL34" s="3"/>
      <c r="AM34" s="3"/>
      <c r="AN34" s="3"/>
      <c r="AO34" s="3"/>
    </row>
    <row r="35" spans="2:41" s="171" customFormat="1" x14ac:dyDescent="0.25">
      <c r="B35" s="13"/>
      <c r="C35" s="14"/>
      <c r="D35" s="14"/>
      <c r="E35" s="14"/>
      <c r="F35" s="14"/>
      <c r="G35" s="14"/>
      <c r="H35" s="83"/>
      <c r="I35" s="1093"/>
      <c r="J35" s="14"/>
      <c r="K35" s="14"/>
      <c r="L35" s="14"/>
      <c r="M35" s="14"/>
      <c r="N35" s="14"/>
      <c r="O35" s="14"/>
      <c r="P35" s="14"/>
      <c r="Q35" s="14"/>
      <c r="R35" s="14"/>
      <c r="S35" s="14"/>
      <c r="T35" s="14"/>
      <c r="U35" s="14"/>
      <c r="V35" s="14"/>
      <c r="W35" s="14"/>
      <c r="X35" s="14"/>
      <c r="Y35" s="14"/>
      <c r="Z35" s="14"/>
      <c r="AA35" s="15"/>
      <c r="AB35" s="3"/>
      <c r="AC35" s="3"/>
      <c r="AD35" s="3"/>
      <c r="AE35" s="3"/>
      <c r="AF35" s="3"/>
      <c r="AG35" s="3"/>
      <c r="AH35" s="3"/>
      <c r="AI35" s="3"/>
      <c r="AJ35" s="3"/>
      <c r="AK35" s="3"/>
      <c r="AL35" s="3"/>
      <c r="AM35" s="3"/>
      <c r="AN35" s="3"/>
      <c r="AO35" s="3"/>
    </row>
    <row r="36" spans="2:41" s="171" customFormat="1" ht="14.45" customHeight="1" x14ac:dyDescent="0.25">
      <c r="B36" s="13"/>
      <c r="C36" s="32" t="str">
        <f t="array" ref="C36:E36">Parameters!E375:G375</f>
        <v>Amount of pipeline to be removed</v>
      </c>
      <c r="D36" s="1083" t="str">
        <v>[km]</v>
      </c>
      <c r="E36" s="34">
        <v>40</v>
      </c>
      <c r="F36" s="14"/>
      <c r="G36" s="14"/>
      <c r="H36" s="83"/>
      <c r="I36" s="1095"/>
      <c r="J36" s="14"/>
      <c r="K36" s="14"/>
      <c r="L36" s="14"/>
      <c r="M36" s="14"/>
      <c r="N36" s="14"/>
      <c r="O36" s="14"/>
      <c r="P36" s="14"/>
      <c r="Q36" s="14"/>
      <c r="R36" s="14"/>
      <c r="S36" s="14"/>
      <c r="T36" s="14"/>
      <c r="U36" s="14"/>
      <c r="V36" s="14"/>
      <c r="W36" s="14"/>
      <c r="X36" s="14"/>
      <c r="Y36" s="14"/>
      <c r="Z36" s="14"/>
      <c r="AA36" s="15"/>
      <c r="AB36" s="3"/>
      <c r="AC36" s="3"/>
      <c r="AD36" s="3"/>
      <c r="AE36" s="3"/>
      <c r="AF36" s="3"/>
      <c r="AG36" s="3"/>
      <c r="AH36" s="3"/>
      <c r="AI36" s="3"/>
      <c r="AJ36" s="3"/>
      <c r="AK36" s="3"/>
      <c r="AL36" s="3"/>
      <c r="AM36" s="3"/>
      <c r="AN36" s="3"/>
      <c r="AO36" s="3"/>
    </row>
    <row r="37" spans="2:41" s="171" customFormat="1" x14ac:dyDescent="0.25">
      <c r="B37" s="13"/>
      <c r="C37" s="6" t="str">
        <f t="array" ref="C37:E37">Parameters!E258:G258</f>
        <v>Stop operations</v>
      </c>
      <c r="D37" s="175" t="str">
        <v>a</v>
      </c>
      <c r="E37" s="35">
        <v>2030</v>
      </c>
      <c r="F37" s="14"/>
      <c r="G37" s="14"/>
      <c r="H37" s="1096"/>
      <c r="I37" s="14"/>
      <c r="J37" s="14"/>
      <c r="K37" s="14"/>
      <c r="L37" s="14"/>
      <c r="M37" s="14"/>
      <c r="N37" s="14"/>
      <c r="O37" s="14"/>
      <c r="P37" s="14"/>
      <c r="Q37" s="14"/>
      <c r="R37" s="14"/>
      <c r="S37" s="14"/>
      <c r="T37" s="14"/>
      <c r="U37" s="14"/>
      <c r="V37" s="14"/>
      <c r="W37" s="14"/>
      <c r="X37" s="14"/>
      <c r="Y37" s="14"/>
      <c r="Z37" s="14"/>
      <c r="AA37" s="15"/>
      <c r="AB37" s="3"/>
      <c r="AC37" s="3"/>
      <c r="AD37" s="3"/>
      <c r="AE37" s="3"/>
      <c r="AF37" s="3"/>
      <c r="AG37" s="3"/>
      <c r="AH37" s="3"/>
      <c r="AI37" s="3"/>
      <c r="AJ37" s="3"/>
      <c r="AK37" s="3"/>
      <c r="AL37" s="3"/>
      <c r="AM37" s="3"/>
      <c r="AN37" s="3"/>
      <c r="AO37" s="3"/>
    </row>
    <row r="38" spans="2:41" s="171" customFormat="1" x14ac:dyDescent="0.25">
      <c r="B38" s="13"/>
      <c r="C38" s="6"/>
      <c r="D38" s="175"/>
      <c r="E38" s="35"/>
      <c r="F38" s="14"/>
      <c r="G38" s="14"/>
      <c r="H38" s="1097"/>
      <c r="I38" s="57"/>
      <c r="J38" s="14"/>
      <c r="K38" s="14"/>
      <c r="L38" s="14"/>
      <c r="M38" s="14"/>
      <c r="N38" s="14"/>
      <c r="O38" s="14"/>
      <c r="P38" s="14"/>
      <c r="Q38" s="14"/>
      <c r="R38" s="14"/>
      <c r="S38" s="14"/>
      <c r="T38" s="14"/>
      <c r="U38" s="14"/>
      <c r="V38" s="14"/>
      <c r="W38" s="14"/>
      <c r="X38" s="14"/>
      <c r="Y38" s="14"/>
      <c r="Z38" s="14"/>
      <c r="AA38" s="15"/>
      <c r="AB38" s="3"/>
      <c r="AC38" s="3"/>
      <c r="AD38" s="3"/>
      <c r="AE38" s="3"/>
      <c r="AF38" s="3"/>
      <c r="AG38" s="3"/>
      <c r="AH38" s="3"/>
      <c r="AI38" s="3"/>
      <c r="AJ38" s="3"/>
      <c r="AK38" s="3"/>
      <c r="AL38" s="3"/>
      <c r="AM38" s="3"/>
      <c r="AN38" s="3"/>
      <c r="AO38" s="3"/>
    </row>
    <row r="39" spans="2:41" s="171" customFormat="1" x14ac:dyDescent="0.25">
      <c r="B39" s="13"/>
      <c r="C39" s="6"/>
      <c r="D39" s="175"/>
      <c r="E39" s="35"/>
      <c r="F39" s="14"/>
      <c r="G39" s="14"/>
      <c r="H39" s="79"/>
      <c r="I39" s="14"/>
      <c r="J39" s="14"/>
      <c r="K39" s="14"/>
      <c r="L39" s="14"/>
      <c r="M39" s="14"/>
      <c r="N39" s="14"/>
      <c r="O39" s="14"/>
      <c r="P39" s="14"/>
      <c r="Q39" s="14"/>
      <c r="R39" s="14"/>
      <c r="S39" s="14"/>
      <c r="T39" s="14"/>
      <c r="U39" s="14"/>
      <c r="V39" s="14"/>
      <c r="W39" s="14"/>
      <c r="X39" s="14"/>
      <c r="Y39" s="14"/>
      <c r="Z39" s="14"/>
      <c r="AA39" s="15"/>
      <c r="AB39" s="3"/>
      <c r="AC39" s="3"/>
      <c r="AD39" s="3"/>
      <c r="AE39" s="3"/>
      <c r="AF39" s="3"/>
      <c r="AG39" s="3"/>
      <c r="AH39" s="3"/>
      <c r="AI39" s="3"/>
      <c r="AJ39" s="3"/>
      <c r="AK39" s="3"/>
      <c r="AL39" s="3"/>
      <c r="AM39" s="3"/>
      <c r="AN39" s="3"/>
      <c r="AO39" s="3"/>
    </row>
    <row r="40" spans="2:41" s="171" customFormat="1" x14ac:dyDescent="0.25">
      <c r="B40" s="13"/>
      <c r="C40" s="6"/>
      <c r="D40" s="175"/>
      <c r="E40" s="35"/>
      <c r="F40" s="14"/>
      <c r="G40" s="14"/>
      <c r="H40" s="14"/>
      <c r="I40" s="14"/>
      <c r="J40" s="14"/>
      <c r="K40" s="14"/>
      <c r="L40" s="14"/>
      <c r="M40" s="14"/>
      <c r="N40" s="14"/>
      <c r="O40" s="14"/>
      <c r="P40" s="14"/>
      <c r="Q40" s="14"/>
      <c r="R40" s="14"/>
      <c r="S40" s="14"/>
      <c r="T40" s="14"/>
      <c r="U40" s="14"/>
      <c r="V40" s="14"/>
      <c r="W40" s="14"/>
      <c r="X40" s="14"/>
      <c r="Y40" s="14"/>
      <c r="Z40" s="14"/>
      <c r="AA40" s="15"/>
      <c r="AB40" s="3"/>
      <c r="AC40" s="3"/>
      <c r="AD40" s="3"/>
      <c r="AE40" s="3"/>
      <c r="AF40" s="3"/>
      <c r="AG40" s="3"/>
      <c r="AH40" s="3"/>
      <c r="AI40" s="3"/>
      <c r="AJ40" s="3"/>
      <c r="AK40" s="3"/>
      <c r="AL40" s="3"/>
      <c r="AM40" s="3"/>
      <c r="AN40" s="3"/>
      <c r="AO40" s="3"/>
    </row>
    <row r="41" spans="2:41" s="171" customFormat="1" ht="18.75" x14ac:dyDescent="0.3">
      <c r="B41" s="67"/>
      <c r="C41" s="6"/>
      <c r="D41" s="175"/>
      <c r="E41" s="35"/>
      <c r="F41" s="14"/>
      <c r="G41" s="14"/>
      <c r="H41" s="14"/>
      <c r="I41" s="14"/>
      <c r="J41" s="14"/>
      <c r="K41" s="14"/>
      <c r="L41" s="14"/>
      <c r="M41" s="14"/>
      <c r="N41" s="14"/>
      <c r="O41" s="14"/>
      <c r="P41" s="14"/>
      <c r="Q41" s="14"/>
      <c r="R41" s="14"/>
      <c r="S41" s="14"/>
      <c r="T41" s="14"/>
      <c r="U41" s="14"/>
      <c r="V41" s="14"/>
      <c r="W41" s="14"/>
      <c r="X41" s="14"/>
      <c r="Y41" s="14"/>
      <c r="Z41" s="14"/>
      <c r="AA41" s="15"/>
      <c r="AB41" s="3"/>
      <c r="AC41" s="3"/>
      <c r="AD41" s="3"/>
      <c r="AE41" s="3"/>
      <c r="AF41" s="3"/>
      <c r="AG41" s="3"/>
      <c r="AH41" s="3"/>
      <c r="AI41" s="3"/>
      <c r="AJ41" s="3"/>
      <c r="AK41" s="3"/>
      <c r="AL41" s="3"/>
      <c r="AM41" s="3"/>
      <c r="AN41" s="3"/>
      <c r="AO41" s="3"/>
    </row>
    <row r="42" spans="2:41" s="171" customFormat="1" x14ac:dyDescent="0.25">
      <c r="B42" s="13"/>
      <c r="C42" s="6"/>
      <c r="D42" s="175"/>
      <c r="E42" s="35"/>
      <c r="F42" s="14"/>
      <c r="G42" s="14"/>
      <c r="H42" s="14"/>
      <c r="I42" s="14"/>
      <c r="J42" s="14"/>
      <c r="K42" s="14"/>
      <c r="L42" s="14"/>
      <c r="M42" s="14"/>
      <c r="N42" s="14"/>
      <c r="O42" s="14"/>
      <c r="P42" s="14"/>
      <c r="Q42" s="14"/>
      <c r="R42" s="14"/>
      <c r="S42" s="14"/>
      <c r="T42" s="14"/>
      <c r="U42" s="14"/>
      <c r="V42" s="14"/>
      <c r="W42" s="14"/>
      <c r="X42" s="14"/>
      <c r="Y42" s="14"/>
      <c r="Z42" s="14"/>
      <c r="AA42" s="15"/>
      <c r="AB42" s="3"/>
      <c r="AC42" s="3"/>
      <c r="AD42" s="3"/>
      <c r="AE42" s="3"/>
      <c r="AF42" s="3"/>
      <c r="AG42" s="3"/>
      <c r="AH42" s="3"/>
      <c r="AI42" s="3"/>
      <c r="AJ42" s="3"/>
      <c r="AK42" s="3"/>
      <c r="AL42" s="3"/>
      <c r="AM42" s="3"/>
      <c r="AN42" s="3"/>
      <c r="AO42" s="3"/>
    </row>
    <row r="43" spans="2:41" s="171" customFormat="1" x14ac:dyDescent="0.25">
      <c r="B43" s="13"/>
      <c r="C43" s="6"/>
      <c r="D43" s="175"/>
      <c r="E43" s="35"/>
      <c r="F43" s="17"/>
      <c r="G43" s="17"/>
      <c r="H43" s="17"/>
      <c r="I43" s="14"/>
      <c r="J43" s="14"/>
      <c r="K43" s="14"/>
      <c r="L43" s="14"/>
      <c r="M43" s="14"/>
      <c r="N43" s="14"/>
      <c r="O43" s="14"/>
      <c r="P43" s="14"/>
      <c r="Q43" s="14"/>
      <c r="R43" s="14"/>
      <c r="S43" s="14"/>
      <c r="T43" s="14"/>
      <c r="U43" s="14"/>
      <c r="V43" s="14"/>
      <c r="W43" s="14"/>
      <c r="X43" s="14"/>
      <c r="Y43" s="14"/>
      <c r="Z43" s="14"/>
      <c r="AA43" s="15"/>
      <c r="AB43" s="3"/>
      <c r="AC43" s="3"/>
      <c r="AD43" s="3"/>
      <c r="AE43" s="3"/>
      <c r="AF43" s="3"/>
      <c r="AG43" s="3"/>
      <c r="AH43" s="3"/>
      <c r="AI43" s="3"/>
      <c r="AJ43" s="3"/>
      <c r="AK43" s="3"/>
      <c r="AL43" s="3"/>
      <c r="AM43" s="3"/>
      <c r="AN43" s="3"/>
      <c r="AO43" s="3"/>
    </row>
    <row r="44" spans="2:41" s="171" customFormat="1" x14ac:dyDescent="0.25">
      <c r="B44" s="13"/>
      <c r="C44" s="6"/>
      <c r="D44" s="175"/>
      <c r="E44" s="35"/>
      <c r="F44" s="17"/>
      <c r="G44" s="17"/>
      <c r="H44" s="17"/>
      <c r="I44" s="14"/>
      <c r="J44" s="14"/>
      <c r="K44" s="14"/>
      <c r="L44" s="14"/>
      <c r="M44" s="14"/>
      <c r="N44" s="14"/>
      <c r="O44" s="14"/>
      <c r="P44" s="14"/>
      <c r="Q44" s="14"/>
      <c r="R44" s="14"/>
      <c r="S44" s="14"/>
      <c r="T44" s="14"/>
      <c r="U44" s="14"/>
      <c r="V44" s="14"/>
      <c r="W44" s="14"/>
      <c r="X44" s="14"/>
      <c r="Y44" s="14"/>
      <c r="Z44" s="14"/>
      <c r="AA44" s="15"/>
      <c r="AB44" s="3"/>
      <c r="AC44" s="3"/>
      <c r="AD44" s="3"/>
      <c r="AE44" s="3"/>
      <c r="AF44" s="3"/>
      <c r="AG44" s="3"/>
      <c r="AH44" s="3"/>
      <c r="AI44" s="3"/>
      <c r="AJ44" s="3"/>
      <c r="AK44" s="3"/>
      <c r="AL44" s="3"/>
      <c r="AM44" s="3"/>
      <c r="AN44" s="3"/>
      <c r="AO44" s="3"/>
    </row>
    <row r="45" spans="2:41" s="171" customFormat="1" x14ac:dyDescent="0.25">
      <c r="B45" s="13"/>
      <c r="C45" s="36"/>
      <c r="D45" s="1085"/>
      <c r="E45" s="38"/>
      <c r="F45" s="14"/>
      <c r="G45" s="14"/>
      <c r="H45" s="14"/>
      <c r="I45" s="14"/>
      <c r="J45" s="14"/>
      <c r="K45" s="14"/>
      <c r="L45" s="14"/>
      <c r="M45" s="14"/>
      <c r="N45" s="14"/>
      <c r="O45" s="14"/>
      <c r="P45" s="14"/>
      <c r="Q45" s="14"/>
      <c r="R45" s="14"/>
      <c r="S45" s="14"/>
      <c r="T45" s="14"/>
      <c r="U45" s="14"/>
      <c r="V45" s="14"/>
      <c r="W45" s="14"/>
      <c r="X45" s="14"/>
      <c r="Y45" s="14"/>
      <c r="Z45" s="14"/>
      <c r="AA45" s="15"/>
      <c r="AB45" s="3"/>
      <c r="AC45" s="3"/>
      <c r="AD45" s="3"/>
      <c r="AE45" s="3"/>
      <c r="AF45" s="3"/>
      <c r="AG45" s="3"/>
      <c r="AH45" s="3"/>
      <c r="AI45" s="3"/>
      <c r="AJ45" s="3"/>
      <c r="AK45" s="3"/>
      <c r="AL45" s="3"/>
      <c r="AM45" s="3"/>
      <c r="AN45" s="3"/>
      <c r="AO45" s="3"/>
    </row>
    <row r="46" spans="2:41" s="171" customFormat="1" x14ac:dyDescent="0.25">
      <c r="B46" s="13"/>
      <c r="C46" s="5"/>
      <c r="D46" s="5"/>
      <c r="E46" s="5"/>
      <c r="F46" s="102"/>
      <c r="G46" s="102"/>
      <c r="H46" s="102"/>
      <c r="I46" s="14"/>
      <c r="J46" s="14"/>
      <c r="K46" s="14"/>
      <c r="L46" s="14"/>
      <c r="M46" s="14"/>
      <c r="N46" s="14"/>
      <c r="O46" s="14"/>
      <c r="P46" s="14"/>
      <c r="Q46" s="14"/>
      <c r="R46" s="14"/>
      <c r="S46" s="14"/>
      <c r="T46" s="14"/>
      <c r="U46" s="14"/>
      <c r="V46" s="14"/>
      <c r="W46" s="14"/>
      <c r="X46" s="14"/>
      <c r="Y46" s="14"/>
      <c r="Z46" s="14"/>
      <c r="AA46" s="15"/>
      <c r="AB46" s="3"/>
      <c r="AC46" s="3"/>
      <c r="AD46" s="3"/>
      <c r="AE46" s="3"/>
      <c r="AF46" s="3"/>
      <c r="AG46" s="3"/>
      <c r="AH46" s="3"/>
      <c r="AI46" s="3"/>
      <c r="AJ46" s="3"/>
      <c r="AK46" s="3"/>
      <c r="AL46" s="3"/>
      <c r="AM46" s="3"/>
      <c r="AN46" s="3"/>
      <c r="AO46" s="3"/>
    </row>
    <row r="47" spans="2:41" s="171" customFormat="1" x14ac:dyDescent="0.25">
      <c r="B47" s="13"/>
      <c r="C47" s="39" t="s">
        <v>1570</v>
      </c>
      <c r="D47" s="40"/>
      <c r="E47" s="41"/>
      <c r="F47" s="134"/>
      <c r="G47" s="134"/>
      <c r="H47" s="14"/>
      <c r="I47" s="14"/>
      <c r="J47" s="14"/>
      <c r="K47" s="14"/>
      <c r="L47" s="14"/>
      <c r="M47" s="14"/>
      <c r="N47" s="14"/>
      <c r="O47" s="14"/>
      <c r="P47" s="14"/>
      <c r="Q47" s="14"/>
      <c r="R47" s="14"/>
      <c r="S47" s="14"/>
      <c r="T47" s="14"/>
      <c r="U47" s="14"/>
      <c r="V47" s="14"/>
      <c r="W47" s="14"/>
      <c r="X47" s="14"/>
      <c r="Y47" s="14"/>
      <c r="Z47" s="14"/>
      <c r="AA47" s="15"/>
      <c r="AB47" s="3"/>
      <c r="AC47" s="3"/>
      <c r="AD47" s="3"/>
      <c r="AE47" s="3"/>
      <c r="AF47" s="3"/>
      <c r="AG47" s="3"/>
      <c r="AH47" s="3"/>
      <c r="AI47" s="3"/>
      <c r="AJ47" s="3"/>
      <c r="AK47" s="3"/>
      <c r="AL47" s="3"/>
      <c r="AM47" s="3"/>
      <c r="AN47" s="3"/>
      <c r="AO47" s="3"/>
    </row>
    <row r="48" spans="2:41" s="171" customFormat="1" ht="18.75" x14ac:dyDescent="0.3">
      <c r="B48" s="67"/>
      <c r="C48" s="14"/>
      <c r="D48" s="14"/>
      <c r="E48" s="14"/>
      <c r="F48" s="134"/>
      <c r="G48" s="134"/>
      <c r="H48" s="14"/>
      <c r="I48" s="14"/>
      <c r="J48" s="14"/>
      <c r="K48" s="14"/>
      <c r="L48" s="14"/>
      <c r="M48" s="14"/>
      <c r="N48" s="14"/>
      <c r="O48" s="14"/>
      <c r="P48" s="14"/>
      <c r="Q48" s="14"/>
      <c r="R48" s="14"/>
      <c r="S48" s="14"/>
      <c r="T48" s="14"/>
      <c r="U48" s="14"/>
      <c r="V48" s="14"/>
      <c r="W48" s="14"/>
      <c r="X48" s="14"/>
      <c r="Y48" s="14"/>
      <c r="Z48" s="14"/>
      <c r="AA48" s="15"/>
      <c r="AB48" s="3"/>
      <c r="AC48" s="3"/>
      <c r="AD48" s="3"/>
      <c r="AE48" s="3"/>
      <c r="AF48" s="3"/>
      <c r="AG48" s="3"/>
      <c r="AH48" s="3"/>
      <c r="AI48" s="3"/>
      <c r="AJ48" s="3"/>
      <c r="AK48" s="3"/>
      <c r="AL48" s="3"/>
      <c r="AM48" s="3"/>
      <c r="AN48" s="3"/>
      <c r="AO48" s="3"/>
    </row>
    <row r="49" spans="2:41" s="171" customFormat="1" x14ac:dyDescent="0.25">
      <c r="B49" s="13"/>
      <c r="C49" s="32" t="s">
        <v>121</v>
      </c>
      <c r="D49" s="33"/>
      <c r="E49" s="34"/>
      <c r="F49" s="14"/>
      <c r="G49" s="14"/>
      <c r="H49" s="14"/>
      <c r="I49" s="14"/>
      <c r="J49" s="14"/>
      <c r="K49" s="14"/>
      <c r="L49" s="14"/>
      <c r="M49" s="14"/>
      <c r="N49" s="14"/>
      <c r="O49" s="14"/>
      <c r="P49" s="14"/>
      <c r="Q49" s="14"/>
      <c r="R49" s="14"/>
      <c r="S49" s="14"/>
      <c r="T49" s="14"/>
      <c r="U49" s="14"/>
      <c r="V49" s="14"/>
      <c r="W49" s="14"/>
      <c r="X49" s="14"/>
      <c r="Y49" s="14"/>
      <c r="Z49" s="14"/>
      <c r="AA49" s="15"/>
      <c r="AB49" s="3"/>
      <c r="AC49" s="3"/>
      <c r="AD49" s="3"/>
      <c r="AE49" s="3"/>
      <c r="AF49" s="3"/>
      <c r="AG49" s="3"/>
      <c r="AH49" s="3"/>
      <c r="AI49" s="3"/>
      <c r="AJ49" s="3"/>
      <c r="AK49" s="3"/>
      <c r="AL49" s="3"/>
      <c r="AM49" s="3"/>
      <c r="AN49" s="3"/>
      <c r="AO49" s="3"/>
    </row>
    <row r="50" spans="2:41" s="171" customFormat="1" x14ac:dyDescent="0.25">
      <c r="B50" s="13"/>
      <c r="C50" s="6"/>
      <c r="D50" s="348"/>
      <c r="E50" s="704"/>
      <c r="F50" s="14"/>
      <c r="G50" s="14"/>
      <c r="H50" s="14"/>
      <c r="I50" s="14"/>
      <c r="J50" s="14"/>
      <c r="K50" s="14"/>
      <c r="L50" s="14"/>
      <c r="M50" s="14"/>
      <c r="N50" s="14"/>
      <c r="O50" s="14"/>
      <c r="P50" s="14"/>
      <c r="Q50" s="14"/>
      <c r="R50" s="14"/>
      <c r="S50" s="14"/>
      <c r="T50" s="14"/>
      <c r="U50" s="14"/>
      <c r="V50" s="14"/>
      <c r="W50" s="14"/>
      <c r="X50" s="14"/>
      <c r="Y50" s="14"/>
      <c r="Z50" s="14"/>
      <c r="AA50" s="15"/>
      <c r="AB50" s="3"/>
      <c r="AC50" s="3"/>
      <c r="AD50" s="3"/>
      <c r="AE50" s="3"/>
      <c r="AF50" s="3"/>
      <c r="AG50" s="3"/>
      <c r="AH50" s="3"/>
      <c r="AI50" s="3"/>
      <c r="AJ50" s="3"/>
      <c r="AK50" s="3"/>
      <c r="AL50" s="3"/>
      <c r="AM50" s="3"/>
      <c r="AN50" s="3"/>
      <c r="AO50" s="3"/>
    </row>
    <row r="51" spans="2:41" s="171" customFormat="1" x14ac:dyDescent="0.25">
      <c r="B51" s="13"/>
      <c r="C51" s="6"/>
      <c r="D51" s="348"/>
      <c r="E51" s="705"/>
      <c r="F51" s="14"/>
      <c r="G51" s="14"/>
      <c r="H51" s="14"/>
      <c r="I51" s="14"/>
      <c r="J51" s="14"/>
      <c r="K51" s="14"/>
      <c r="L51" s="14"/>
      <c r="M51" s="14"/>
      <c r="N51" s="14"/>
      <c r="O51" s="14"/>
      <c r="P51" s="14"/>
      <c r="Q51" s="14"/>
      <c r="R51" s="14"/>
      <c r="S51" s="14"/>
      <c r="T51" s="14"/>
      <c r="U51" s="14"/>
      <c r="V51" s="14"/>
      <c r="W51" s="14"/>
      <c r="X51" s="14"/>
      <c r="Y51" s="14"/>
      <c r="Z51" s="14"/>
      <c r="AA51" s="15"/>
      <c r="AB51" s="3"/>
      <c r="AC51" s="3"/>
      <c r="AD51" s="3"/>
      <c r="AE51" s="3"/>
      <c r="AF51" s="3"/>
      <c r="AG51" s="3"/>
      <c r="AH51" s="3"/>
      <c r="AI51" s="3"/>
      <c r="AJ51" s="3"/>
      <c r="AK51" s="3"/>
      <c r="AL51" s="3"/>
      <c r="AM51" s="3"/>
      <c r="AN51" s="3"/>
      <c r="AO51" s="3"/>
    </row>
    <row r="52" spans="2:41" s="171" customFormat="1" x14ac:dyDescent="0.25">
      <c r="B52" s="13"/>
      <c r="C52" s="6"/>
      <c r="D52" s="348"/>
      <c r="E52" s="706"/>
      <c r="F52" s="14"/>
      <c r="G52" s="14"/>
      <c r="H52" s="14"/>
      <c r="I52" s="14"/>
      <c r="J52" s="14"/>
      <c r="K52" s="14"/>
      <c r="L52" s="14"/>
      <c r="M52" s="14"/>
      <c r="N52" s="14"/>
      <c r="O52" s="14"/>
      <c r="P52" s="14"/>
      <c r="Q52" s="14"/>
      <c r="R52" s="14"/>
      <c r="S52" s="14"/>
      <c r="T52" s="14"/>
      <c r="U52" s="14"/>
      <c r="V52" s="14"/>
      <c r="W52" s="14"/>
      <c r="X52" s="14"/>
      <c r="Y52" s="14"/>
      <c r="Z52" s="14"/>
      <c r="AA52" s="15"/>
      <c r="AB52" s="3"/>
      <c r="AC52" s="3"/>
      <c r="AD52" s="3"/>
      <c r="AE52" s="3"/>
      <c r="AF52" s="3"/>
      <c r="AG52" s="3"/>
      <c r="AH52" s="3"/>
      <c r="AI52" s="3"/>
      <c r="AJ52" s="3"/>
      <c r="AK52" s="3"/>
      <c r="AL52" s="3"/>
      <c r="AM52" s="3"/>
      <c r="AN52" s="3"/>
      <c r="AO52" s="3"/>
    </row>
    <row r="53" spans="2:41" s="171" customFormat="1" x14ac:dyDescent="0.25">
      <c r="B53" s="13"/>
      <c r="C53" s="6"/>
      <c r="D53" s="348"/>
      <c r="E53" s="1086"/>
      <c r="F53" s="14"/>
      <c r="G53" s="14"/>
      <c r="H53" s="14"/>
      <c r="I53" s="14"/>
      <c r="J53" s="14"/>
      <c r="K53" s="14"/>
      <c r="L53" s="14"/>
      <c r="M53" s="14"/>
      <c r="N53" s="14"/>
      <c r="O53" s="14"/>
      <c r="P53" s="14"/>
      <c r="Q53" s="14"/>
      <c r="R53" s="14"/>
      <c r="S53" s="14"/>
      <c r="T53" s="14"/>
      <c r="U53" s="14"/>
      <c r="V53" s="14"/>
      <c r="W53" s="14"/>
      <c r="X53" s="14"/>
      <c r="Y53" s="14"/>
      <c r="Z53" s="14"/>
      <c r="AA53" s="15"/>
      <c r="AB53" s="3"/>
      <c r="AC53" s="3"/>
      <c r="AD53" s="3"/>
      <c r="AE53" s="3"/>
      <c r="AF53" s="3"/>
      <c r="AG53" s="3"/>
      <c r="AH53" s="3"/>
      <c r="AI53" s="3"/>
      <c r="AJ53" s="3"/>
      <c r="AK53" s="3"/>
      <c r="AL53" s="3"/>
      <c r="AM53" s="3"/>
      <c r="AN53" s="3"/>
      <c r="AO53" s="3"/>
    </row>
    <row r="54" spans="2:41" s="171" customFormat="1" x14ac:dyDescent="0.25">
      <c r="B54" s="13"/>
      <c r="C54" s="6"/>
      <c r="D54" s="291"/>
      <c r="E54" s="1086"/>
      <c r="F54" s="14"/>
      <c r="G54" s="14"/>
      <c r="H54" s="14"/>
      <c r="I54" s="14"/>
      <c r="J54" s="14"/>
      <c r="K54" s="14"/>
      <c r="L54" s="14"/>
      <c r="M54" s="14"/>
      <c r="N54" s="14"/>
      <c r="O54" s="14"/>
      <c r="P54" s="14"/>
      <c r="Q54" s="14"/>
      <c r="R54" s="14"/>
      <c r="S54" s="14"/>
      <c r="T54" s="14"/>
      <c r="U54" s="14"/>
      <c r="V54" s="14"/>
      <c r="W54" s="14"/>
      <c r="X54" s="14"/>
      <c r="Y54" s="14"/>
      <c r="Z54" s="14"/>
      <c r="AA54" s="15"/>
      <c r="AB54" s="3"/>
      <c r="AC54" s="3"/>
      <c r="AD54" s="3"/>
      <c r="AE54" s="3"/>
      <c r="AF54" s="3"/>
      <c r="AG54" s="3"/>
      <c r="AH54" s="3"/>
      <c r="AI54" s="3"/>
      <c r="AJ54" s="3"/>
      <c r="AK54" s="3"/>
      <c r="AL54" s="3"/>
      <c r="AM54" s="3"/>
      <c r="AN54" s="3"/>
      <c r="AO54" s="3"/>
    </row>
    <row r="55" spans="2:41" s="171" customFormat="1" x14ac:dyDescent="0.25">
      <c r="B55" s="13"/>
      <c r="C55" s="36"/>
      <c r="D55" s="37"/>
      <c r="E55" s="1087"/>
      <c r="F55" s="14"/>
      <c r="G55" s="14"/>
      <c r="H55" s="14"/>
      <c r="I55" s="14"/>
      <c r="J55" s="14"/>
      <c r="K55" s="14"/>
      <c r="L55" s="14"/>
      <c r="M55" s="14"/>
      <c r="N55" s="14"/>
      <c r="O55" s="14"/>
      <c r="P55" s="14"/>
      <c r="Q55" s="14"/>
      <c r="R55" s="14"/>
      <c r="S55" s="14"/>
      <c r="T55" s="14"/>
      <c r="U55" s="14"/>
      <c r="V55" s="14"/>
      <c r="W55" s="14"/>
      <c r="X55" s="14"/>
      <c r="Y55" s="14"/>
      <c r="Z55" s="14"/>
      <c r="AA55" s="15"/>
      <c r="AB55" s="3"/>
      <c r="AC55" s="3"/>
      <c r="AD55" s="3"/>
      <c r="AE55" s="3"/>
      <c r="AF55" s="3"/>
      <c r="AG55" s="3"/>
      <c r="AH55" s="3"/>
      <c r="AI55" s="3"/>
      <c r="AJ55" s="3"/>
      <c r="AK55" s="3"/>
      <c r="AL55" s="3"/>
      <c r="AM55" s="3"/>
      <c r="AN55" s="3"/>
      <c r="AO55" s="3"/>
    </row>
    <row r="56" spans="2:41" s="171" customFormat="1" x14ac:dyDescent="0.25">
      <c r="B56" s="13"/>
      <c r="C56" s="5"/>
      <c r="D56" s="5"/>
      <c r="E56" s="5"/>
      <c r="F56" s="14"/>
      <c r="G56" s="14"/>
      <c r="H56" s="14"/>
      <c r="I56" s="14"/>
      <c r="J56" s="14"/>
      <c r="K56" s="14"/>
      <c r="L56" s="14"/>
      <c r="M56" s="14"/>
      <c r="N56" s="14"/>
      <c r="O56" s="14"/>
      <c r="P56" s="14"/>
      <c r="Q56" s="14"/>
      <c r="R56" s="14"/>
      <c r="S56" s="14"/>
      <c r="T56" s="14"/>
      <c r="U56" s="14"/>
      <c r="V56" s="14"/>
      <c r="W56" s="14"/>
      <c r="X56" s="14"/>
      <c r="Y56" s="14"/>
      <c r="Z56" s="14"/>
      <c r="AA56" s="15"/>
      <c r="AB56" s="3"/>
      <c r="AC56" s="3"/>
      <c r="AD56" s="3"/>
      <c r="AE56" s="3"/>
      <c r="AF56" s="3"/>
      <c r="AG56" s="3"/>
      <c r="AH56" s="3"/>
      <c r="AI56" s="3"/>
      <c r="AJ56" s="3"/>
      <c r="AK56" s="3"/>
      <c r="AL56" s="3"/>
      <c r="AM56" s="3"/>
      <c r="AN56" s="3"/>
      <c r="AO56" s="3"/>
    </row>
    <row r="57" spans="2:41" s="171" customFormat="1" x14ac:dyDescent="0.25">
      <c r="B57" s="13"/>
      <c r="C57" s="39" t="s">
        <v>1571</v>
      </c>
      <c r="D57" s="40"/>
      <c r="E57" s="41"/>
      <c r="F57" s="14"/>
      <c r="G57" s="14"/>
      <c r="H57" s="14"/>
      <c r="I57" s="14"/>
      <c r="J57" s="14"/>
      <c r="K57" s="14"/>
      <c r="L57" s="14"/>
      <c r="M57" s="14"/>
      <c r="N57" s="14"/>
      <c r="O57" s="14"/>
      <c r="P57" s="14"/>
      <c r="Q57" s="14"/>
      <c r="R57" s="14"/>
      <c r="S57" s="14"/>
      <c r="T57" s="14"/>
      <c r="U57" s="14"/>
      <c r="V57" s="14"/>
      <c r="W57" s="14"/>
      <c r="X57" s="14"/>
      <c r="Y57" s="14"/>
      <c r="Z57" s="14"/>
      <c r="AA57" s="15"/>
      <c r="AB57" s="3"/>
      <c r="AC57" s="3"/>
      <c r="AD57" s="3"/>
      <c r="AE57" s="3"/>
      <c r="AF57" s="3"/>
      <c r="AG57" s="3"/>
      <c r="AH57" s="3"/>
      <c r="AI57" s="3"/>
      <c r="AJ57" s="3"/>
      <c r="AK57" s="3"/>
      <c r="AL57" s="3"/>
      <c r="AM57" s="3"/>
      <c r="AN57" s="3"/>
      <c r="AO57" s="3"/>
    </row>
    <row r="58" spans="2:41" s="171" customFormat="1" x14ac:dyDescent="0.25">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5"/>
      <c r="AB58" s="3"/>
      <c r="AC58" s="3"/>
      <c r="AD58" s="3"/>
      <c r="AE58" s="3"/>
      <c r="AF58" s="3"/>
      <c r="AG58" s="3"/>
      <c r="AH58" s="3"/>
      <c r="AI58" s="3"/>
      <c r="AJ58" s="3"/>
      <c r="AK58" s="3"/>
      <c r="AL58" s="3"/>
      <c r="AM58" s="3"/>
      <c r="AN58" s="3"/>
      <c r="AO58" s="3"/>
    </row>
    <row r="59" spans="2:41" s="171" customFormat="1" x14ac:dyDescent="0.25">
      <c r="B59" s="13"/>
      <c r="C59" s="32" t="s">
        <v>121</v>
      </c>
      <c r="D59" s="33"/>
      <c r="E59" s="34">
        <f>E37</f>
        <v>2030</v>
      </c>
      <c r="F59" s="14"/>
      <c r="G59" s="14"/>
      <c r="H59" s="14"/>
      <c r="I59" s="14"/>
      <c r="J59" s="14"/>
      <c r="K59" s="14"/>
      <c r="L59" s="14"/>
      <c r="M59" s="14"/>
      <c r="N59" s="14"/>
      <c r="O59" s="14"/>
      <c r="P59" s="14"/>
      <c r="Q59" s="14"/>
      <c r="R59" s="14"/>
      <c r="S59" s="14"/>
      <c r="T59" s="14"/>
      <c r="U59" s="14"/>
      <c r="V59" s="14"/>
      <c r="W59" s="14"/>
      <c r="X59" s="14"/>
      <c r="Y59" s="14"/>
      <c r="Z59" s="14"/>
      <c r="AA59" s="15"/>
      <c r="AB59" s="3"/>
      <c r="AC59" s="3"/>
      <c r="AD59" s="3"/>
      <c r="AE59" s="3"/>
      <c r="AF59" s="3"/>
      <c r="AG59" s="3"/>
      <c r="AH59" s="3"/>
      <c r="AI59" s="3"/>
      <c r="AJ59" s="3"/>
      <c r="AK59" s="3"/>
      <c r="AL59" s="3"/>
      <c r="AM59" s="3"/>
      <c r="AN59" s="3"/>
      <c r="AO59" s="3"/>
    </row>
    <row r="60" spans="2:41" s="171" customFormat="1" x14ac:dyDescent="0.25">
      <c r="B60" s="13"/>
      <c r="C60" s="6" t="s">
        <v>1572</v>
      </c>
      <c r="D60" s="348" t="s">
        <v>1573</v>
      </c>
      <c r="E60" s="704">
        <f>IF(E7,E14*(E26+E27),0)/1000</f>
        <v>0</v>
      </c>
      <c r="F60" s="14"/>
      <c r="G60" s="14"/>
      <c r="H60" s="14"/>
      <c r="I60" s="14"/>
      <c r="J60" s="14"/>
      <c r="K60" s="14"/>
      <c r="L60" s="14"/>
      <c r="M60" s="14"/>
      <c r="N60" s="14"/>
      <c r="O60" s="14"/>
      <c r="P60" s="14"/>
      <c r="Q60" s="14"/>
      <c r="R60" s="14"/>
      <c r="S60" s="14"/>
      <c r="T60" s="14"/>
      <c r="U60" s="14"/>
      <c r="V60" s="14"/>
      <c r="W60" s="14"/>
      <c r="X60" s="14"/>
      <c r="Y60" s="14"/>
      <c r="Z60" s="14"/>
      <c r="AA60" s="15"/>
      <c r="AB60" s="3"/>
      <c r="AC60" s="3"/>
      <c r="AD60" s="3"/>
      <c r="AE60" s="3"/>
      <c r="AF60" s="3"/>
      <c r="AG60" s="3"/>
      <c r="AH60" s="3"/>
      <c r="AI60" s="3"/>
      <c r="AJ60" s="3"/>
      <c r="AK60" s="3"/>
      <c r="AL60" s="3"/>
      <c r="AM60" s="3"/>
      <c r="AN60" s="3"/>
      <c r="AO60" s="3"/>
    </row>
    <row r="61" spans="2:41" s="171" customFormat="1" ht="15" customHeight="1" x14ac:dyDescent="0.3">
      <c r="B61" s="67"/>
      <c r="C61" s="6" t="s">
        <v>1574</v>
      </c>
      <c r="D61" s="348" t="s">
        <v>1573</v>
      </c>
      <c r="E61" s="705">
        <f>IF(E8,0,0)/1000</f>
        <v>0</v>
      </c>
      <c r="F61" s="14"/>
      <c r="G61" s="14"/>
      <c r="H61" s="14"/>
      <c r="I61" s="14"/>
      <c r="J61" s="14"/>
      <c r="K61" s="14"/>
      <c r="L61" s="14"/>
      <c r="M61" s="14"/>
      <c r="N61" s="14"/>
      <c r="O61" s="14"/>
      <c r="P61" s="14"/>
      <c r="Q61" s="14"/>
      <c r="R61" s="14"/>
      <c r="S61" s="14"/>
      <c r="T61" s="14"/>
      <c r="U61" s="14"/>
      <c r="V61" s="14"/>
      <c r="W61" s="14"/>
      <c r="X61" s="14"/>
      <c r="Y61" s="14"/>
      <c r="Z61" s="14"/>
      <c r="AA61" s="15"/>
      <c r="AB61" s="3"/>
      <c r="AC61" s="3"/>
      <c r="AD61" s="3"/>
      <c r="AE61" s="3"/>
      <c r="AF61" s="3"/>
      <c r="AG61" s="3"/>
      <c r="AH61" s="3"/>
      <c r="AI61" s="3"/>
      <c r="AJ61" s="3"/>
      <c r="AK61" s="3"/>
      <c r="AL61" s="3"/>
      <c r="AM61" s="3"/>
      <c r="AN61" s="3"/>
      <c r="AO61" s="3"/>
    </row>
    <row r="62" spans="2:41" s="171" customFormat="1" x14ac:dyDescent="0.25">
      <c r="B62" s="13"/>
      <c r="C62" s="6" t="s">
        <v>1575</v>
      </c>
      <c r="D62" s="348" t="s">
        <v>1573</v>
      </c>
      <c r="E62" s="706">
        <f>IF(E9,E16*E36,0)/1000</f>
        <v>0</v>
      </c>
      <c r="F62" s="14"/>
      <c r="G62" s="14"/>
      <c r="H62" s="14"/>
      <c r="I62" s="14"/>
      <c r="J62" s="14"/>
      <c r="K62" s="14"/>
      <c r="L62" s="14"/>
      <c r="M62" s="14"/>
      <c r="N62" s="14"/>
      <c r="O62" s="14"/>
      <c r="P62" s="14"/>
      <c r="Q62" s="14"/>
      <c r="R62" s="14"/>
      <c r="S62" s="14"/>
      <c r="T62" s="14"/>
      <c r="U62" s="14"/>
      <c r="V62" s="14"/>
      <c r="W62" s="14"/>
      <c r="X62" s="14"/>
      <c r="Y62" s="14"/>
      <c r="Z62" s="14"/>
      <c r="AA62" s="15"/>
      <c r="AB62" s="3"/>
      <c r="AC62" s="3"/>
      <c r="AD62" s="3"/>
      <c r="AE62" s="3"/>
      <c r="AF62" s="3"/>
      <c r="AG62" s="3"/>
      <c r="AH62" s="3"/>
      <c r="AI62" s="3"/>
      <c r="AJ62" s="3"/>
      <c r="AK62" s="3"/>
      <c r="AL62" s="3"/>
      <c r="AM62" s="3"/>
      <c r="AN62" s="3"/>
      <c r="AO62" s="3"/>
    </row>
    <row r="63" spans="2:41" s="171" customFormat="1" x14ac:dyDescent="0.25">
      <c r="B63" s="13"/>
      <c r="C63" s="6" t="str">
        <f>C17</f>
        <v>Onshore disposal, remidiation and monitoring</v>
      </c>
      <c r="D63" s="348" t="s">
        <v>1573</v>
      </c>
      <c r="E63" s="1086">
        <f>E60*(E17/E19)+E61*(E17/E20)+E62*(E17/E21)</f>
        <v>0</v>
      </c>
      <c r="F63" s="14"/>
      <c r="G63" s="14"/>
      <c r="H63" s="14"/>
      <c r="I63" s="14"/>
      <c r="J63" s="14"/>
      <c r="K63" s="14"/>
      <c r="L63" s="14"/>
      <c r="M63" s="14"/>
      <c r="N63" s="14"/>
      <c r="O63" s="14"/>
      <c r="P63" s="14"/>
      <c r="Q63" s="14"/>
      <c r="R63" s="14"/>
      <c r="S63" s="14"/>
      <c r="T63" s="14"/>
      <c r="U63" s="14"/>
      <c r="V63" s="14"/>
      <c r="W63" s="14"/>
      <c r="X63" s="14"/>
      <c r="Y63" s="14"/>
      <c r="Z63" s="14"/>
      <c r="AA63" s="15"/>
      <c r="AB63" s="3"/>
      <c r="AC63" s="3"/>
      <c r="AD63" s="3"/>
      <c r="AE63" s="3"/>
      <c r="AF63" s="3"/>
      <c r="AG63" s="3"/>
      <c r="AH63" s="3"/>
      <c r="AI63" s="3"/>
      <c r="AJ63" s="3"/>
      <c r="AK63" s="3"/>
      <c r="AL63" s="3"/>
      <c r="AM63" s="3"/>
      <c r="AN63" s="3"/>
      <c r="AO63" s="3"/>
    </row>
    <row r="64" spans="2:41" s="171" customFormat="1" x14ac:dyDescent="0.25">
      <c r="B64" s="13"/>
      <c r="C64" s="6" t="str">
        <f>C18</f>
        <v>Project managment and facility running cost</v>
      </c>
      <c r="D64" s="291" t="s">
        <v>1573</v>
      </c>
      <c r="E64" s="1086">
        <f>E60*(E18/E19)+E61*(E18/E20)+E62*(E18/E21)</f>
        <v>0</v>
      </c>
      <c r="F64" s="14"/>
      <c r="G64" s="14"/>
      <c r="H64" s="14"/>
      <c r="I64" s="14"/>
      <c r="J64" s="14"/>
      <c r="K64" s="14"/>
      <c r="L64" s="14"/>
      <c r="M64" s="14"/>
      <c r="N64" s="14"/>
      <c r="O64" s="14"/>
      <c r="P64" s="14"/>
      <c r="Q64" s="14"/>
      <c r="R64" s="14"/>
      <c r="S64" s="14"/>
      <c r="T64" s="14"/>
      <c r="U64" s="14"/>
      <c r="V64" s="14"/>
      <c r="W64" s="14"/>
      <c r="X64" s="14"/>
      <c r="Y64" s="14"/>
      <c r="Z64" s="14"/>
      <c r="AA64" s="15"/>
      <c r="AB64" s="3"/>
      <c r="AC64" s="3"/>
      <c r="AD64" s="3"/>
      <c r="AE64" s="3"/>
      <c r="AF64" s="3"/>
      <c r="AG64" s="3"/>
      <c r="AH64" s="3"/>
      <c r="AI64" s="3"/>
      <c r="AJ64" s="3"/>
      <c r="AK64" s="3"/>
      <c r="AL64" s="3"/>
      <c r="AM64" s="3"/>
      <c r="AN64" s="3"/>
      <c r="AO64" s="3"/>
    </row>
    <row r="65" spans="2:41" s="171" customFormat="1" x14ac:dyDescent="0.25">
      <c r="B65" s="13"/>
      <c r="C65" s="36" t="s">
        <v>1581</v>
      </c>
      <c r="D65" s="37" t="s">
        <v>1573</v>
      </c>
      <c r="E65" s="1087">
        <f>SUM(E60:E64)</f>
        <v>0</v>
      </c>
      <c r="F65" s="14"/>
      <c r="G65" s="14"/>
      <c r="H65" s="14"/>
      <c r="I65" s="14"/>
      <c r="J65" s="14"/>
      <c r="K65" s="14"/>
      <c r="L65" s="14"/>
      <c r="M65" s="14"/>
      <c r="N65" s="14"/>
      <c r="O65" s="14"/>
      <c r="P65" s="14"/>
      <c r="Q65" s="14"/>
      <c r="R65" s="14"/>
      <c r="S65" s="14"/>
      <c r="T65" s="14"/>
      <c r="U65" s="14"/>
      <c r="V65" s="14"/>
      <c r="W65" s="14"/>
      <c r="X65" s="14"/>
      <c r="Y65" s="14"/>
      <c r="Z65" s="14"/>
      <c r="AA65" s="15"/>
      <c r="AB65" s="3"/>
      <c r="AC65" s="3"/>
      <c r="AD65" s="3"/>
      <c r="AE65" s="3"/>
      <c r="AF65" s="3"/>
      <c r="AG65" s="3"/>
      <c r="AH65" s="3"/>
      <c r="AI65" s="3"/>
      <c r="AJ65" s="3"/>
      <c r="AK65" s="3"/>
      <c r="AL65" s="3"/>
      <c r="AM65" s="3"/>
      <c r="AN65" s="3"/>
      <c r="AO65" s="3"/>
    </row>
    <row r="66" spans="2:41" s="171" customFormat="1" x14ac:dyDescent="0.25">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5"/>
      <c r="AB66" s="3"/>
      <c r="AC66" s="3"/>
      <c r="AD66" s="3"/>
      <c r="AE66" s="3"/>
      <c r="AF66" s="3"/>
      <c r="AG66" s="3"/>
      <c r="AH66" s="3"/>
      <c r="AI66" s="3"/>
      <c r="AJ66" s="3"/>
      <c r="AK66" s="3"/>
      <c r="AL66" s="3"/>
      <c r="AM66" s="3"/>
      <c r="AN66" s="3"/>
      <c r="AO66" s="3"/>
    </row>
    <row r="67" spans="2:41" s="171" customFormat="1" x14ac:dyDescent="0.25">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5"/>
      <c r="AB67" s="3"/>
      <c r="AC67" s="3"/>
      <c r="AD67" s="3"/>
      <c r="AE67" s="3"/>
      <c r="AF67" s="3"/>
      <c r="AG67" s="3"/>
      <c r="AH67" s="3"/>
      <c r="AI67" s="3"/>
      <c r="AJ67" s="3"/>
      <c r="AK67" s="3"/>
      <c r="AL67" s="3"/>
      <c r="AM67" s="3"/>
      <c r="AN67" s="3"/>
      <c r="AO67" s="3"/>
    </row>
    <row r="68" spans="2:41" s="171" customFormat="1" x14ac:dyDescent="0.25">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5"/>
      <c r="AB68" s="3"/>
      <c r="AC68" s="3"/>
      <c r="AD68" s="3"/>
      <c r="AE68" s="3"/>
      <c r="AF68" s="3"/>
      <c r="AG68" s="3"/>
      <c r="AH68" s="3"/>
      <c r="AI68" s="3"/>
      <c r="AJ68" s="3"/>
      <c r="AK68" s="3"/>
      <c r="AL68" s="3"/>
      <c r="AM68" s="3"/>
      <c r="AN68" s="3"/>
      <c r="AO68" s="3"/>
    </row>
    <row r="69" spans="2:41" s="171" customFormat="1" x14ac:dyDescent="0.25">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5"/>
      <c r="AB69" s="3"/>
      <c r="AC69" s="3"/>
      <c r="AD69" s="3"/>
      <c r="AE69" s="3"/>
      <c r="AF69" s="3"/>
      <c r="AG69" s="3"/>
      <c r="AH69" s="3"/>
      <c r="AI69" s="3"/>
      <c r="AJ69" s="3"/>
      <c r="AK69" s="3"/>
      <c r="AL69" s="3"/>
      <c r="AM69" s="3"/>
      <c r="AN69" s="3"/>
      <c r="AO69" s="3"/>
    </row>
    <row r="70" spans="2:41" s="171" customFormat="1" x14ac:dyDescent="0.25">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5"/>
      <c r="AB70" s="3"/>
      <c r="AC70" s="3"/>
      <c r="AD70" s="3"/>
      <c r="AE70" s="3"/>
      <c r="AF70" s="3"/>
      <c r="AG70" s="3"/>
      <c r="AH70" s="3"/>
      <c r="AI70" s="3"/>
      <c r="AJ70" s="3"/>
      <c r="AK70" s="3"/>
      <c r="AL70" s="3"/>
      <c r="AM70" s="3"/>
      <c r="AN70" s="3"/>
      <c r="AO70" s="3"/>
    </row>
    <row r="71" spans="2:41" s="171" customFormat="1" x14ac:dyDescent="0.25">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5"/>
      <c r="AB71" s="3"/>
      <c r="AC71" s="3"/>
      <c r="AD71" s="3"/>
      <c r="AE71" s="3"/>
      <c r="AF71" s="3"/>
      <c r="AG71" s="3"/>
      <c r="AH71" s="3"/>
      <c r="AI71" s="3"/>
      <c r="AJ71" s="3"/>
      <c r="AK71" s="3"/>
      <c r="AL71" s="3"/>
      <c r="AM71" s="3"/>
      <c r="AN71" s="3"/>
      <c r="AO71" s="3"/>
    </row>
    <row r="72" spans="2:41" s="171" customFormat="1" x14ac:dyDescent="0.25">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5"/>
      <c r="AB72" s="3"/>
      <c r="AC72" s="3"/>
      <c r="AD72" s="3"/>
      <c r="AE72" s="3"/>
      <c r="AF72" s="3"/>
      <c r="AG72" s="3"/>
      <c r="AH72" s="3"/>
      <c r="AI72" s="3"/>
      <c r="AJ72" s="3"/>
      <c r="AK72" s="3"/>
      <c r="AL72" s="3"/>
      <c r="AM72" s="3"/>
      <c r="AN72" s="3"/>
      <c r="AO72" s="3"/>
    </row>
    <row r="73" spans="2:41" s="171" customFormat="1" x14ac:dyDescent="0.25">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5"/>
      <c r="AB73" s="3"/>
      <c r="AC73" s="3"/>
      <c r="AD73" s="3"/>
      <c r="AE73" s="3"/>
      <c r="AF73" s="3"/>
      <c r="AG73" s="3"/>
      <c r="AH73" s="3"/>
      <c r="AI73" s="3"/>
      <c r="AJ73" s="3"/>
      <c r="AK73" s="3"/>
      <c r="AL73" s="3"/>
      <c r="AM73" s="3"/>
      <c r="AN73" s="3"/>
      <c r="AO73" s="3"/>
    </row>
    <row r="74" spans="2:41" s="171" customFormat="1" x14ac:dyDescent="0.25">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5"/>
      <c r="AB74" s="3"/>
      <c r="AC74" s="3"/>
      <c r="AD74" s="3"/>
      <c r="AE74" s="3"/>
      <c r="AF74" s="3"/>
      <c r="AG74" s="3"/>
      <c r="AH74" s="3"/>
      <c r="AI74" s="3"/>
      <c r="AJ74" s="3"/>
      <c r="AK74" s="3"/>
      <c r="AL74" s="3"/>
      <c r="AM74" s="3"/>
      <c r="AN74" s="3"/>
      <c r="AO74" s="3"/>
    </row>
    <row r="75" spans="2:41" s="171" customFormat="1" x14ac:dyDescent="0.25">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5"/>
      <c r="AB75" s="3"/>
      <c r="AC75" s="3"/>
      <c r="AD75" s="3"/>
      <c r="AE75" s="3"/>
      <c r="AF75" s="3"/>
      <c r="AG75" s="3"/>
      <c r="AH75" s="3"/>
      <c r="AI75" s="3"/>
      <c r="AJ75" s="3"/>
      <c r="AK75" s="3"/>
      <c r="AL75" s="3"/>
      <c r="AM75" s="3"/>
      <c r="AN75" s="3"/>
      <c r="AO75" s="3"/>
    </row>
    <row r="76" spans="2:41" s="171" customFormat="1" x14ac:dyDescent="0.25">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5"/>
      <c r="AB76" s="3"/>
      <c r="AC76" s="3"/>
      <c r="AD76" s="3"/>
      <c r="AE76" s="3"/>
      <c r="AF76" s="3"/>
      <c r="AG76" s="3"/>
      <c r="AH76" s="3"/>
      <c r="AI76" s="3"/>
      <c r="AJ76" s="3"/>
      <c r="AK76" s="3"/>
      <c r="AL76" s="3"/>
      <c r="AM76" s="3"/>
      <c r="AN76" s="3"/>
      <c r="AO76" s="3"/>
    </row>
    <row r="77" spans="2:41" s="171" customFormat="1" x14ac:dyDescent="0.25">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5"/>
      <c r="AB77" s="3"/>
      <c r="AC77" s="3"/>
      <c r="AD77" s="3"/>
      <c r="AE77" s="3"/>
      <c r="AF77" s="3"/>
      <c r="AG77" s="3"/>
      <c r="AH77" s="3"/>
      <c r="AI77" s="3"/>
      <c r="AJ77" s="3"/>
      <c r="AK77" s="3"/>
      <c r="AL77" s="3"/>
      <c r="AM77" s="3"/>
      <c r="AN77" s="3"/>
      <c r="AO77" s="3"/>
    </row>
    <row r="78" spans="2:41" s="171" customFormat="1" x14ac:dyDescent="0.25">
      <c r="B78" s="13"/>
      <c r="C78" s="135"/>
      <c r="D78" s="14"/>
      <c r="E78" s="14"/>
      <c r="F78" s="14"/>
      <c r="G78" s="14"/>
      <c r="H78" s="14"/>
      <c r="I78" s="14"/>
      <c r="J78" s="14"/>
      <c r="K78" s="14"/>
      <c r="L78" s="14"/>
      <c r="M78" s="14"/>
      <c r="N78" s="14"/>
      <c r="O78" s="14"/>
      <c r="P78" s="14"/>
      <c r="Q78" s="14"/>
      <c r="R78" s="14"/>
      <c r="S78" s="14"/>
      <c r="T78" s="14"/>
      <c r="U78" s="14"/>
      <c r="V78" s="14"/>
      <c r="W78" s="14"/>
      <c r="X78" s="14"/>
      <c r="Y78" s="14"/>
      <c r="Z78" s="14"/>
      <c r="AA78" s="15"/>
      <c r="AB78" s="3"/>
      <c r="AC78" s="3"/>
      <c r="AD78" s="3"/>
      <c r="AE78" s="3"/>
      <c r="AF78" s="3"/>
      <c r="AG78" s="3"/>
      <c r="AH78" s="3"/>
      <c r="AI78" s="3"/>
      <c r="AJ78" s="3"/>
      <c r="AK78" s="3"/>
      <c r="AL78" s="3"/>
      <c r="AM78" s="3"/>
      <c r="AN78" s="3"/>
      <c r="AO78" s="3"/>
    </row>
    <row r="79" spans="2:41" s="171" customFormat="1" x14ac:dyDescent="0.25">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5"/>
      <c r="AB79" s="3"/>
      <c r="AC79" s="3"/>
      <c r="AD79" s="3"/>
      <c r="AE79" s="3"/>
      <c r="AF79" s="3"/>
      <c r="AG79" s="3"/>
      <c r="AH79" s="3"/>
      <c r="AI79" s="3"/>
      <c r="AJ79" s="3"/>
      <c r="AK79" s="3"/>
      <c r="AL79" s="3"/>
      <c r="AM79" s="3"/>
      <c r="AN79" s="3"/>
      <c r="AO79" s="3"/>
    </row>
    <row r="80" spans="2:41" s="171" customFormat="1" x14ac:dyDescent="0.25">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5"/>
      <c r="AB80" s="3"/>
      <c r="AC80" s="3"/>
      <c r="AD80" s="3"/>
      <c r="AE80" s="3"/>
      <c r="AF80" s="3"/>
      <c r="AG80" s="3"/>
      <c r="AH80" s="3"/>
      <c r="AI80" s="3"/>
      <c r="AJ80" s="3"/>
      <c r="AK80" s="3"/>
      <c r="AL80" s="3"/>
      <c r="AM80" s="3"/>
      <c r="AN80" s="3"/>
      <c r="AO80" s="3"/>
    </row>
    <row r="81" spans="2:41" s="171" customFormat="1" x14ac:dyDescent="0.25">
      <c r="B81" s="13"/>
      <c r="C81" s="135"/>
      <c r="D81" s="14"/>
      <c r="E81" s="14"/>
      <c r="F81" s="14"/>
      <c r="G81" s="14"/>
      <c r="H81" s="14"/>
      <c r="I81" s="14"/>
      <c r="J81" s="14"/>
      <c r="K81" s="14"/>
      <c r="L81" s="14"/>
      <c r="M81" s="14"/>
      <c r="N81" s="14"/>
      <c r="O81" s="14"/>
      <c r="P81" s="14"/>
      <c r="Q81" s="14"/>
      <c r="R81" s="14"/>
      <c r="S81" s="14"/>
      <c r="T81" s="14"/>
      <c r="U81" s="14"/>
      <c r="V81" s="14"/>
      <c r="W81" s="14"/>
      <c r="X81" s="14"/>
      <c r="Y81" s="14"/>
      <c r="Z81" s="14"/>
      <c r="AA81" s="15"/>
      <c r="AB81" s="3"/>
      <c r="AC81" s="3"/>
      <c r="AD81" s="3"/>
      <c r="AE81" s="3"/>
      <c r="AF81" s="3"/>
      <c r="AG81" s="3"/>
      <c r="AH81" s="3"/>
      <c r="AI81" s="3"/>
      <c r="AJ81" s="3"/>
      <c r="AK81" s="3"/>
      <c r="AL81" s="3"/>
      <c r="AM81" s="3"/>
      <c r="AN81" s="3"/>
      <c r="AO81" s="3"/>
    </row>
    <row r="82" spans="2:41" s="171" customFormat="1" ht="18.75" x14ac:dyDescent="0.3">
      <c r="B82" s="67"/>
      <c r="C82" s="14"/>
      <c r="D82" s="60"/>
      <c r="E82" s="56"/>
      <c r="F82" s="56"/>
      <c r="G82" s="14"/>
      <c r="H82" s="56"/>
      <c r="I82" s="74"/>
      <c r="J82" s="14"/>
      <c r="K82" s="14"/>
      <c r="L82" s="14"/>
      <c r="M82" s="14"/>
      <c r="N82" s="14"/>
      <c r="O82" s="14"/>
      <c r="P82" s="14"/>
      <c r="Q82" s="14"/>
      <c r="R82" s="14"/>
      <c r="S82" s="14"/>
      <c r="T82" s="14"/>
      <c r="U82" s="14"/>
      <c r="V82" s="14"/>
      <c r="W82" s="14"/>
      <c r="X82" s="14"/>
      <c r="Y82" s="14"/>
      <c r="Z82" s="14"/>
      <c r="AA82" s="15"/>
      <c r="AB82" s="3"/>
      <c r="AC82" s="3"/>
      <c r="AD82" s="3"/>
      <c r="AE82" s="3"/>
      <c r="AF82" s="3"/>
      <c r="AG82" s="3"/>
      <c r="AH82" s="3"/>
      <c r="AI82" s="3"/>
      <c r="AJ82" s="3"/>
      <c r="AK82" s="3"/>
      <c r="AL82" s="3"/>
      <c r="AM82" s="3"/>
      <c r="AN82" s="3"/>
      <c r="AO82" s="3"/>
    </row>
    <row r="83" spans="2:41" s="171" customFormat="1" x14ac:dyDescent="0.25">
      <c r="B83" s="13"/>
      <c r="C83" s="14"/>
      <c r="D83" s="14"/>
      <c r="E83" s="56"/>
      <c r="F83" s="56"/>
      <c r="G83" s="14"/>
      <c r="H83" s="56"/>
      <c r="I83" s="14"/>
      <c r="J83" s="14"/>
      <c r="K83" s="14"/>
      <c r="L83" s="14"/>
      <c r="M83" s="14"/>
      <c r="N83" s="14"/>
      <c r="O83" s="14"/>
      <c r="P83" s="14"/>
      <c r="Q83" s="14"/>
      <c r="R83" s="14"/>
      <c r="S83" s="14"/>
      <c r="T83" s="14"/>
      <c r="U83" s="14"/>
      <c r="V83" s="14"/>
      <c r="W83" s="14"/>
      <c r="X83" s="14"/>
      <c r="Y83" s="14"/>
      <c r="Z83" s="14"/>
      <c r="AA83" s="15"/>
      <c r="AB83" s="3"/>
      <c r="AC83" s="3"/>
      <c r="AD83" s="3"/>
      <c r="AE83" s="3"/>
      <c r="AF83" s="3"/>
      <c r="AG83" s="3"/>
      <c r="AH83" s="3"/>
      <c r="AI83" s="3"/>
      <c r="AJ83" s="3"/>
      <c r="AK83" s="3"/>
      <c r="AL83" s="3"/>
      <c r="AM83" s="3"/>
      <c r="AN83" s="3"/>
      <c r="AO83" s="3"/>
    </row>
    <row r="84" spans="2:41" s="171" customFormat="1" x14ac:dyDescent="0.25">
      <c r="B84" s="13"/>
      <c r="C84" s="136"/>
      <c r="D84" s="60"/>
      <c r="E84" s="56"/>
      <c r="F84" s="56"/>
      <c r="G84" s="57"/>
      <c r="H84" s="14"/>
      <c r="I84" s="14"/>
      <c r="J84" s="14"/>
      <c r="K84" s="14"/>
      <c r="L84" s="14"/>
      <c r="M84" s="14"/>
      <c r="N84" s="14"/>
      <c r="O84" s="14"/>
      <c r="P84" s="14"/>
      <c r="Q84" s="14"/>
      <c r="R84" s="14"/>
      <c r="S84" s="14"/>
      <c r="T84" s="14"/>
      <c r="U84" s="14"/>
      <c r="V84" s="14"/>
      <c r="W84" s="14"/>
      <c r="X84" s="14"/>
      <c r="Y84" s="14"/>
      <c r="Z84" s="14"/>
      <c r="AA84" s="15"/>
      <c r="AB84" s="3"/>
      <c r="AC84" s="3"/>
      <c r="AD84" s="3"/>
      <c r="AE84" s="3"/>
      <c r="AF84" s="3"/>
      <c r="AG84" s="3"/>
      <c r="AH84" s="3"/>
      <c r="AI84" s="3"/>
      <c r="AJ84" s="3"/>
      <c r="AK84" s="3"/>
      <c r="AL84" s="3"/>
      <c r="AM84" s="3"/>
      <c r="AN84" s="3"/>
      <c r="AO84" s="3"/>
    </row>
    <row r="85" spans="2:41" s="171" customFormat="1" x14ac:dyDescent="0.25">
      <c r="B85" s="13"/>
      <c r="C85" s="14"/>
      <c r="D85" s="60"/>
      <c r="E85" s="56"/>
      <c r="F85" s="56"/>
      <c r="G85" s="128"/>
      <c r="H85" s="56"/>
      <c r="I85" s="14"/>
      <c r="J85" s="14"/>
      <c r="K85" s="14"/>
      <c r="L85" s="14"/>
      <c r="M85" s="14"/>
      <c r="N85" s="14"/>
      <c r="O85" s="14"/>
      <c r="P85" s="14"/>
      <c r="Q85" s="14"/>
      <c r="R85" s="14"/>
      <c r="S85" s="14"/>
      <c r="T85" s="14"/>
      <c r="U85" s="14"/>
      <c r="V85" s="14"/>
      <c r="W85" s="14"/>
      <c r="X85" s="14"/>
      <c r="Y85" s="14"/>
      <c r="Z85" s="14"/>
      <c r="AA85" s="15"/>
      <c r="AB85" s="3"/>
      <c r="AC85" s="3"/>
      <c r="AD85" s="3"/>
      <c r="AE85" s="3"/>
      <c r="AF85" s="3"/>
      <c r="AG85" s="3"/>
      <c r="AH85" s="3"/>
      <c r="AI85" s="3"/>
      <c r="AJ85" s="3"/>
      <c r="AK85" s="3"/>
      <c r="AL85" s="3"/>
      <c r="AM85" s="3"/>
      <c r="AN85" s="3"/>
      <c r="AO85" s="3"/>
    </row>
    <row r="86" spans="2:41" s="171" customFormat="1" x14ac:dyDescent="0.25">
      <c r="B86" s="13"/>
      <c r="C86" s="14"/>
      <c r="D86" s="60"/>
      <c r="E86" s="56"/>
      <c r="F86" s="56"/>
      <c r="G86" s="14"/>
      <c r="H86" s="56"/>
      <c r="I86" s="14"/>
      <c r="J86" s="14"/>
      <c r="K86" s="14"/>
      <c r="L86" s="14"/>
      <c r="M86" s="14"/>
      <c r="N86" s="14"/>
      <c r="O86" s="14"/>
      <c r="P86" s="14"/>
      <c r="Q86" s="14"/>
      <c r="R86" s="14"/>
      <c r="S86" s="14"/>
      <c r="T86" s="14"/>
      <c r="U86" s="14"/>
      <c r="V86" s="14"/>
      <c r="W86" s="14"/>
      <c r="X86" s="14"/>
      <c r="Y86" s="14"/>
      <c r="Z86" s="14"/>
      <c r="AA86" s="15"/>
      <c r="AB86" s="3"/>
      <c r="AC86" s="3"/>
      <c r="AD86" s="3"/>
      <c r="AE86" s="3"/>
      <c r="AF86" s="3"/>
      <c r="AG86" s="3"/>
      <c r="AH86" s="3"/>
      <c r="AI86" s="3"/>
      <c r="AJ86" s="3"/>
      <c r="AK86" s="3"/>
      <c r="AL86" s="3"/>
      <c r="AM86" s="3"/>
      <c r="AN86" s="3"/>
      <c r="AO86" s="3"/>
    </row>
    <row r="87" spans="2:41" s="171" customFormat="1" x14ac:dyDescent="0.25">
      <c r="B87" s="13"/>
      <c r="C87" s="14"/>
      <c r="D87" s="60"/>
      <c r="E87" s="56"/>
      <c r="F87" s="56"/>
      <c r="G87" s="14"/>
      <c r="H87" s="56"/>
      <c r="I87" s="14"/>
      <c r="J87" s="14"/>
      <c r="K87" s="14"/>
      <c r="L87" s="14"/>
      <c r="M87" s="14"/>
      <c r="N87" s="14"/>
      <c r="O87" s="14"/>
      <c r="P87" s="14"/>
      <c r="Q87" s="14"/>
      <c r="R87" s="14"/>
      <c r="S87" s="14"/>
      <c r="T87" s="14"/>
      <c r="U87" s="14"/>
      <c r="V87" s="14"/>
      <c r="W87" s="14"/>
      <c r="X87" s="14"/>
      <c r="Y87" s="14"/>
      <c r="Z87" s="14"/>
      <c r="AA87" s="15"/>
      <c r="AB87" s="3"/>
      <c r="AC87" s="3"/>
      <c r="AD87" s="3"/>
      <c r="AE87" s="3"/>
      <c r="AF87" s="3"/>
      <c r="AG87" s="3"/>
      <c r="AH87" s="3"/>
      <c r="AI87" s="3"/>
      <c r="AJ87" s="3"/>
      <c r="AK87" s="3"/>
      <c r="AL87" s="3"/>
      <c r="AM87" s="3"/>
      <c r="AN87" s="3"/>
      <c r="AO87" s="3"/>
    </row>
    <row r="88" spans="2:41" s="171" customFormat="1" x14ac:dyDescent="0.25">
      <c r="B88" s="13"/>
      <c r="C88" s="56"/>
      <c r="D88" s="60"/>
      <c r="E88" s="56"/>
      <c r="F88" s="56"/>
      <c r="G88" s="56"/>
      <c r="H88" s="56"/>
      <c r="I88" s="14"/>
      <c r="J88" s="14"/>
      <c r="K88" s="14"/>
      <c r="L88" s="14"/>
      <c r="M88" s="14"/>
      <c r="N88" s="14"/>
      <c r="O88" s="14"/>
      <c r="P88" s="14"/>
      <c r="Q88" s="14"/>
      <c r="R88" s="14"/>
      <c r="S88" s="14"/>
      <c r="T88" s="14"/>
      <c r="U88" s="14"/>
      <c r="V88" s="14"/>
      <c r="W88" s="14"/>
      <c r="X88" s="14"/>
      <c r="Y88" s="14"/>
      <c r="Z88" s="14"/>
      <c r="AA88" s="15"/>
      <c r="AB88" s="3"/>
      <c r="AC88" s="3"/>
      <c r="AD88" s="3"/>
      <c r="AE88" s="3"/>
      <c r="AF88" s="3"/>
      <c r="AG88" s="3"/>
      <c r="AH88" s="3"/>
      <c r="AI88" s="3"/>
      <c r="AJ88" s="3"/>
      <c r="AK88" s="3"/>
      <c r="AL88" s="3"/>
      <c r="AM88" s="3"/>
      <c r="AN88" s="3"/>
      <c r="AO88" s="3"/>
    </row>
    <row r="89" spans="2:41" s="171" customFormat="1" x14ac:dyDescent="0.25">
      <c r="B89" s="13"/>
      <c r="C89" s="14"/>
      <c r="D89" s="60"/>
      <c r="E89" s="56"/>
      <c r="F89" s="56"/>
      <c r="G89" s="14"/>
      <c r="H89" s="56"/>
      <c r="I89" s="14"/>
      <c r="J89" s="14"/>
      <c r="K89" s="14"/>
      <c r="L89" s="14"/>
      <c r="M89" s="14"/>
      <c r="N89" s="14"/>
      <c r="O89" s="14"/>
      <c r="P89" s="14"/>
      <c r="Q89" s="14"/>
      <c r="R89" s="14"/>
      <c r="S89" s="14"/>
      <c r="T89" s="14"/>
      <c r="U89" s="14"/>
      <c r="V89" s="14"/>
      <c r="W89" s="14"/>
      <c r="X89" s="14"/>
      <c r="Y89" s="14"/>
      <c r="Z89" s="14"/>
      <c r="AA89" s="15"/>
      <c r="AB89" s="3"/>
      <c r="AC89" s="3"/>
      <c r="AD89" s="3"/>
      <c r="AE89" s="3"/>
      <c r="AF89" s="3"/>
      <c r="AG89" s="3"/>
      <c r="AH89" s="3"/>
      <c r="AI89" s="3"/>
      <c r="AJ89" s="3"/>
      <c r="AK89" s="3"/>
      <c r="AL89" s="3"/>
      <c r="AM89" s="3"/>
      <c r="AN89" s="3"/>
      <c r="AO89" s="3"/>
    </row>
    <row r="90" spans="2:41" s="171" customFormat="1" x14ac:dyDescent="0.25">
      <c r="B90" s="13"/>
      <c r="C90" s="14"/>
      <c r="D90" s="14"/>
      <c r="E90" s="56"/>
      <c r="F90" s="56"/>
      <c r="G90" s="14"/>
      <c r="H90" s="56"/>
      <c r="I90" s="14"/>
      <c r="J90" s="14"/>
      <c r="K90" s="14"/>
      <c r="L90" s="14"/>
      <c r="M90" s="14"/>
      <c r="N90" s="14"/>
      <c r="O90" s="14"/>
      <c r="P90" s="14"/>
      <c r="Q90" s="14"/>
      <c r="R90" s="14"/>
      <c r="S90" s="14"/>
      <c r="T90" s="14"/>
      <c r="U90" s="14"/>
      <c r="V90" s="14"/>
      <c r="W90" s="14"/>
      <c r="X90" s="14"/>
      <c r="Y90" s="14"/>
      <c r="Z90" s="14"/>
      <c r="AA90" s="15"/>
      <c r="AB90" s="3"/>
      <c r="AC90" s="3"/>
      <c r="AD90" s="3"/>
      <c r="AE90" s="3"/>
      <c r="AF90" s="3"/>
      <c r="AG90" s="3"/>
      <c r="AH90" s="3"/>
      <c r="AI90" s="3"/>
      <c r="AJ90" s="3"/>
      <c r="AK90" s="3"/>
      <c r="AL90" s="3"/>
      <c r="AM90" s="3"/>
      <c r="AN90" s="3"/>
      <c r="AO90" s="3"/>
    </row>
    <row r="91" spans="2:41" s="171" customFormat="1" x14ac:dyDescent="0.25">
      <c r="B91" s="13"/>
      <c r="C91" s="14"/>
      <c r="D91" s="60"/>
      <c r="E91" s="56"/>
      <c r="F91" s="56"/>
      <c r="G91" s="57"/>
      <c r="H91" s="14"/>
      <c r="I91" s="14"/>
      <c r="J91" s="14"/>
      <c r="K91" s="14"/>
      <c r="L91" s="14"/>
      <c r="M91" s="14"/>
      <c r="N91" s="14"/>
      <c r="O91" s="14"/>
      <c r="P91" s="14"/>
      <c r="Q91" s="14"/>
      <c r="R91" s="14"/>
      <c r="S91" s="14"/>
      <c r="T91" s="14"/>
      <c r="U91" s="14"/>
      <c r="V91" s="14"/>
      <c r="W91" s="14"/>
      <c r="X91" s="14"/>
      <c r="Y91" s="14"/>
      <c r="Z91" s="14"/>
      <c r="AA91" s="15"/>
      <c r="AB91" s="3"/>
      <c r="AC91" s="3"/>
      <c r="AD91" s="3"/>
      <c r="AE91" s="3"/>
      <c r="AF91" s="3"/>
      <c r="AG91" s="3"/>
      <c r="AH91" s="3"/>
      <c r="AI91" s="3"/>
      <c r="AJ91" s="3"/>
      <c r="AK91" s="3"/>
      <c r="AL91" s="3"/>
      <c r="AM91" s="3"/>
      <c r="AN91" s="3"/>
      <c r="AO91" s="3"/>
    </row>
    <row r="92" spans="2:41" s="171" customFormat="1" x14ac:dyDescent="0.25">
      <c r="B92" s="13"/>
      <c r="C92" s="14"/>
      <c r="D92" s="60"/>
      <c r="E92" s="56"/>
      <c r="F92" s="56"/>
      <c r="G92" s="128"/>
      <c r="H92" s="56"/>
      <c r="I92" s="14"/>
      <c r="J92" s="14"/>
      <c r="K92" s="14"/>
      <c r="L92" s="14"/>
      <c r="M92" s="14"/>
      <c r="N92" s="14"/>
      <c r="O92" s="14"/>
      <c r="P92" s="14"/>
      <c r="Q92" s="14"/>
      <c r="R92" s="14"/>
      <c r="S92" s="14"/>
      <c r="T92" s="14"/>
      <c r="U92" s="14"/>
      <c r="V92" s="14"/>
      <c r="W92" s="14"/>
      <c r="X92" s="14"/>
      <c r="Y92" s="14"/>
      <c r="Z92" s="14"/>
      <c r="AA92" s="15"/>
      <c r="AB92" s="3"/>
      <c r="AC92" s="3"/>
      <c r="AD92" s="3"/>
      <c r="AE92" s="3"/>
      <c r="AF92" s="3"/>
      <c r="AG92" s="3"/>
      <c r="AH92" s="3"/>
      <c r="AI92" s="3"/>
      <c r="AJ92" s="3"/>
      <c r="AK92" s="3"/>
      <c r="AL92" s="3"/>
      <c r="AM92" s="3"/>
      <c r="AN92" s="3"/>
      <c r="AO92" s="3"/>
    </row>
    <row r="93" spans="2:41" s="171" customFormat="1" x14ac:dyDescent="0.25">
      <c r="B93" s="13"/>
      <c r="C93" s="14"/>
      <c r="D93" s="60"/>
      <c r="E93" s="56"/>
      <c r="F93" s="56"/>
      <c r="G93" s="14"/>
      <c r="H93" s="56"/>
      <c r="I93" s="14"/>
      <c r="J93" s="14"/>
      <c r="K93" s="14"/>
      <c r="L93" s="14"/>
      <c r="M93" s="14"/>
      <c r="N93" s="14"/>
      <c r="O93" s="14"/>
      <c r="P93" s="14"/>
      <c r="Q93" s="14"/>
      <c r="R93" s="14"/>
      <c r="S93" s="14"/>
      <c r="T93" s="14"/>
      <c r="U93" s="14"/>
      <c r="V93" s="14"/>
      <c r="W93" s="14"/>
      <c r="X93" s="14"/>
      <c r="Y93" s="14"/>
      <c r="Z93" s="14"/>
      <c r="AA93" s="15"/>
      <c r="AB93" s="3"/>
      <c r="AC93" s="3"/>
      <c r="AD93" s="3"/>
      <c r="AE93" s="3"/>
      <c r="AF93" s="3"/>
      <c r="AG93" s="3"/>
      <c r="AH93" s="3"/>
      <c r="AI93" s="3"/>
      <c r="AJ93" s="3"/>
      <c r="AK93" s="3"/>
      <c r="AL93" s="3"/>
      <c r="AM93" s="3"/>
      <c r="AN93" s="3"/>
      <c r="AO93" s="3"/>
    </row>
    <row r="94" spans="2:41" s="171" customFormat="1" x14ac:dyDescent="0.25">
      <c r="B94" s="13"/>
      <c r="C94" s="14"/>
      <c r="D94" s="60"/>
      <c r="E94" s="56"/>
      <c r="F94" s="56"/>
      <c r="G94" s="14"/>
      <c r="H94" s="56"/>
      <c r="I94" s="14"/>
      <c r="J94" s="14"/>
      <c r="K94" s="14"/>
      <c r="L94" s="14"/>
      <c r="M94" s="14"/>
      <c r="N94" s="14"/>
      <c r="O94" s="14"/>
      <c r="P94" s="14"/>
      <c r="Q94" s="14"/>
      <c r="R94" s="14"/>
      <c r="S94" s="14"/>
      <c r="T94" s="14"/>
      <c r="U94" s="14"/>
      <c r="V94" s="14"/>
      <c r="W94" s="14"/>
      <c r="X94" s="14"/>
      <c r="Y94" s="14"/>
      <c r="Z94" s="14"/>
      <c r="AA94" s="15"/>
      <c r="AB94" s="3"/>
      <c r="AC94" s="3"/>
      <c r="AD94" s="3"/>
      <c r="AE94" s="3"/>
      <c r="AF94" s="3"/>
      <c r="AG94" s="3"/>
      <c r="AH94" s="3"/>
      <c r="AI94" s="3"/>
      <c r="AJ94" s="3"/>
      <c r="AK94" s="3"/>
      <c r="AL94" s="3"/>
      <c r="AM94" s="3"/>
      <c r="AN94" s="3"/>
      <c r="AO94" s="3"/>
    </row>
    <row r="95" spans="2:41" s="171" customFormat="1" x14ac:dyDescent="0.25">
      <c r="B95" s="13"/>
      <c r="C95" s="56"/>
      <c r="D95" s="60"/>
      <c r="E95" s="56"/>
      <c r="F95" s="56"/>
      <c r="G95" s="56"/>
      <c r="H95" s="56"/>
      <c r="I95" s="14"/>
      <c r="J95" s="14"/>
      <c r="K95" s="14"/>
      <c r="L95" s="14"/>
      <c r="M95" s="14"/>
      <c r="N95" s="14"/>
      <c r="O95" s="14"/>
      <c r="P95" s="14"/>
      <c r="Q95" s="14"/>
      <c r="R95" s="14"/>
      <c r="S95" s="14"/>
      <c r="T95" s="14"/>
      <c r="U95" s="14"/>
      <c r="V95" s="14"/>
      <c r="W95" s="14"/>
      <c r="X95" s="14"/>
      <c r="Y95" s="14"/>
      <c r="Z95" s="14"/>
      <c r="AA95" s="15"/>
      <c r="AB95" s="3"/>
      <c r="AC95" s="3"/>
      <c r="AD95" s="3"/>
      <c r="AE95" s="3"/>
      <c r="AF95" s="3"/>
      <c r="AG95" s="3"/>
      <c r="AH95" s="3"/>
      <c r="AI95" s="3"/>
      <c r="AJ95" s="3"/>
      <c r="AK95" s="3"/>
      <c r="AL95" s="3"/>
      <c r="AM95" s="3"/>
      <c r="AN95" s="3"/>
      <c r="AO95" s="3"/>
    </row>
    <row r="96" spans="2:41" s="171" customFormat="1" ht="18.75" x14ac:dyDescent="0.3">
      <c r="B96" s="67"/>
      <c r="C96" s="14"/>
      <c r="D96" s="60"/>
      <c r="E96" s="56"/>
      <c r="F96" s="56"/>
      <c r="G96" s="14"/>
      <c r="H96" s="56"/>
      <c r="I96" s="74"/>
      <c r="J96" s="14"/>
      <c r="K96" s="14"/>
      <c r="L96" s="14"/>
      <c r="M96" s="14"/>
      <c r="N96" s="14"/>
      <c r="O96" s="14"/>
      <c r="P96" s="14"/>
      <c r="Q96" s="14"/>
      <c r="R96" s="14"/>
      <c r="S96" s="14"/>
      <c r="T96" s="14"/>
      <c r="U96" s="14"/>
      <c r="V96" s="14"/>
      <c r="W96" s="14"/>
      <c r="X96" s="14"/>
      <c r="Y96" s="14"/>
      <c r="Z96" s="14"/>
      <c r="AA96" s="15"/>
      <c r="AB96" s="3"/>
      <c r="AC96" s="3"/>
      <c r="AD96" s="3"/>
      <c r="AE96" s="3"/>
      <c r="AF96" s="3"/>
      <c r="AG96" s="3"/>
      <c r="AH96" s="3"/>
      <c r="AI96" s="3"/>
      <c r="AJ96" s="3"/>
      <c r="AK96" s="3"/>
      <c r="AL96" s="3"/>
      <c r="AM96" s="3"/>
      <c r="AN96" s="3"/>
      <c r="AO96" s="3"/>
    </row>
    <row r="97" spans="2:41" s="171" customFormat="1" x14ac:dyDescent="0.25">
      <c r="B97" s="13"/>
      <c r="C97" s="14"/>
      <c r="D97" s="14"/>
      <c r="E97" s="56"/>
      <c r="F97" s="56"/>
      <c r="G97" s="14"/>
      <c r="H97" s="56"/>
      <c r="I97" s="14"/>
      <c r="J97" s="14"/>
      <c r="K97" s="14"/>
      <c r="L97" s="14"/>
      <c r="M97" s="14"/>
      <c r="N97" s="14"/>
      <c r="O97" s="14"/>
      <c r="P97" s="14"/>
      <c r="Q97" s="14"/>
      <c r="R97" s="14"/>
      <c r="S97" s="14"/>
      <c r="T97" s="14"/>
      <c r="U97" s="14"/>
      <c r="V97" s="14"/>
      <c r="W97" s="14"/>
      <c r="X97" s="14"/>
      <c r="Y97" s="14"/>
      <c r="Z97" s="14"/>
      <c r="AA97" s="15"/>
      <c r="AB97" s="3"/>
      <c r="AC97" s="3"/>
      <c r="AD97" s="3"/>
      <c r="AE97" s="3"/>
      <c r="AF97" s="3"/>
      <c r="AG97" s="3"/>
      <c r="AH97" s="3"/>
      <c r="AI97" s="3"/>
      <c r="AJ97" s="3"/>
      <c r="AK97" s="3"/>
      <c r="AL97" s="3"/>
      <c r="AM97" s="3"/>
      <c r="AN97" s="3"/>
      <c r="AO97" s="3"/>
    </row>
    <row r="98" spans="2:41" s="171" customFormat="1" x14ac:dyDescent="0.25">
      <c r="B98" s="13"/>
      <c r="C98" s="14"/>
      <c r="D98" s="60"/>
      <c r="E98" s="56"/>
      <c r="F98" s="56"/>
      <c r="G98" s="57"/>
      <c r="H98" s="14"/>
      <c r="I98" s="14"/>
      <c r="J98" s="14"/>
      <c r="K98" s="14"/>
      <c r="L98" s="14"/>
      <c r="M98" s="14"/>
      <c r="N98" s="14"/>
      <c r="O98" s="14"/>
      <c r="P98" s="14"/>
      <c r="Q98" s="14"/>
      <c r="R98" s="14"/>
      <c r="S98" s="14"/>
      <c r="T98" s="14"/>
      <c r="U98" s="14"/>
      <c r="V98" s="14"/>
      <c r="W98" s="14"/>
      <c r="X98" s="14"/>
      <c r="Y98" s="14"/>
      <c r="Z98" s="14"/>
      <c r="AA98" s="15"/>
      <c r="AB98" s="3"/>
      <c r="AC98" s="3"/>
      <c r="AD98" s="3"/>
      <c r="AE98" s="3"/>
      <c r="AF98" s="3"/>
      <c r="AG98" s="3"/>
      <c r="AH98" s="3"/>
      <c r="AI98" s="3"/>
      <c r="AJ98" s="3"/>
      <c r="AK98" s="3"/>
      <c r="AL98" s="3"/>
      <c r="AM98" s="3"/>
      <c r="AN98" s="3"/>
      <c r="AO98" s="3"/>
    </row>
    <row r="99" spans="2:41" s="171" customFormat="1" x14ac:dyDescent="0.25">
      <c r="B99" s="13"/>
      <c r="C99" s="14"/>
      <c r="D99" s="60"/>
      <c r="E99" s="56"/>
      <c r="F99" s="56"/>
      <c r="G99" s="128"/>
      <c r="H99" s="56"/>
      <c r="I99" s="14"/>
      <c r="J99" s="14"/>
      <c r="K99" s="14"/>
      <c r="L99" s="14"/>
      <c r="M99" s="14"/>
      <c r="N99" s="14"/>
      <c r="O99" s="14"/>
      <c r="P99" s="14"/>
      <c r="Q99" s="14"/>
      <c r="R99" s="14"/>
      <c r="S99" s="14"/>
      <c r="T99" s="14"/>
      <c r="U99" s="14"/>
      <c r="V99" s="14"/>
      <c r="W99" s="14"/>
      <c r="X99" s="14"/>
      <c r="Y99" s="14"/>
      <c r="Z99" s="14"/>
      <c r="AA99" s="15"/>
      <c r="AB99" s="3"/>
      <c r="AC99" s="3"/>
      <c r="AD99" s="3"/>
      <c r="AE99" s="3"/>
      <c r="AF99" s="3"/>
      <c r="AG99" s="3"/>
      <c r="AH99" s="3"/>
      <c r="AI99" s="3"/>
      <c r="AJ99" s="3"/>
      <c r="AK99" s="3"/>
      <c r="AL99" s="3"/>
      <c r="AM99" s="3"/>
      <c r="AN99" s="3"/>
      <c r="AO99" s="3"/>
    </row>
    <row r="100" spans="2:41" s="171" customFormat="1" x14ac:dyDescent="0.25">
      <c r="B100" s="13"/>
      <c r="C100" s="14"/>
      <c r="D100" s="60"/>
      <c r="E100" s="56"/>
      <c r="F100" s="56"/>
      <c r="G100" s="14"/>
      <c r="H100" s="56"/>
      <c r="I100" s="14"/>
      <c r="J100" s="14"/>
      <c r="K100" s="14"/>
      <c r="L100" s="14"/>
      <c r="M100" s="14"/>
      <c r="N100" s="14"/>
      <c r="O100" s="14"/>
      <c r="P100" s="14"/>
      <c r="Q100" s="14"/>
      <c r="R100" s="14"/>
      <c r="S100" s="14"/>
      <c r="T100" s="14"/>
      <c r="U100" s="14"/>
      <c r="V100" s="14"/>
      <c r="W100" s="14"/>
      <c r="X100" s="14"/>
      <c r="Y100" s="14"/>
      <c r="Z100" s="14"/>
      <c r="AA100" s="15"/>
      <c r="AB100" s="3"/>
      <c r="AC100" s="3"/>
      <c r="AD100" s="3"/>
      <c r="AE100" s="3"/>
      <c r="AF100" s="3"/>
      <c r="AG100" s="3"/>
      <c r="AH100" s="3"/>
      <c r="AI100" s="3"/>
      <c r="AJ100" s="3"/>
      <c r="AK100" s="3"/>
      <c r="AL100" s="3"/>
      <c r="AM100" s="3"/>
      <c r="AN100" s="3"/>
      <c r="AO100" s="3"/>
    </row>
    <row r="101" spans="2:41" s="171" customFormat="1" x14ac:dyDescent="0.25">
      <c r="B101" s="13"/>
      <c r="C101" s="14"/>
      <c r="D101" s="60"/>
      <c r="E101" s="56"/>
      <c r="F101" s="56"/>
      <c r="G101" s="14"/>
      <c r="H101" s="56"/>
      <c r="I101" s="14"/>
      <c r="J101" s="14"/>
      <c r="K101" s="14"/>
      <c r="L101" s="14"/>
      <c r="M101" s="14"/>
      <c r="N101" s="14"/>
      <c r="O101" s="14"/>
      <c r="P101" s="14"/>
      <c r="Q101" s="14"/>
      <c r="R101" s="14"/>
      <c r="S101" s="14"/>
      <c r="T101" s="14"/>
      <c r="U101" s="14"/>
      <c r="V101" s="14"/>
      <c r="W101" s="14"/>
      <c r="X101" s="14"/>
      <c r="Y101" s="14"/>
      <c r="Z101" s="14"/>
      <c r="AA101" s="15"/>
      <c r="AB101" s="3"/>
      <c r="AC101" s="3"/>
      <c r="AD101" s="3"/>
      <c r="AE101" s="3"/>
      <c r="AF101" s="3"/>
      <c r="AG101" s="3"/>
      <c r="AH101" s="3"/>
      <c r="AI101" s="3"/>
      <c r="AJ101" s="3"/>
      <c r="AK101" s="3"/>
      <c r="AL101" s="3"/>
      <c r="AM101" s="3"/>
      <c r="AN101" s="3"/>
      <c r="AO101" s="3"/>
    </row>
    <row r="102" spans="2:41" s="171" customFormat="1" x14ac:dyDescent="0.25">
      <c r="B102" s="13"/>
      <c r="C102" s="56"/>
      <c r="D102" s="60"/>
      <c r="E102" s="56"/>
      <c r="F102" s="56"/>
      <c r="G102" s="56"/>
      <c r="H102" s="56"/>
      <c r="I102" s="14"/>
      <c r="J102" s="14"/>
      <c r="K102" s="14"/>
      <c r="L102" s="14"/>
      <c r="M102" s="14"/>
      <c r="N102" s="14"/>
      <c r="O102" s="14"/>
      <c r="P102" s="14"/>
      <c r="Q102" s="14"/>
      <c r="R102" s="14"/>
      <c r="S102" s="14"/>
      <c r="T102" s="14"/>
      <c r="U102" s="14"/>
      <c r="V102" s="14"/>
      <c r="W102" s="14"/>
      <c r="X102" s="14"/>
      <c r="Y102" s="14"/>
      <c r="Z102" s="14"/>
      <c r="AA102" s="15"/>
      <c r="AB102" s="3"/>
      <c r="AC102" s="3"/>
      <c r="AD102" s="3"/>
      <c r="AE102" s="3"/>
      <c r="AF102" s="3"/>
      <c r="AG102" s="3"/>
      <c r="AH102" s="3"/>
      <c r="AI102" s="3"/>
      <c r="AJ102" s="3"/>
      <c r="AK102" s="3"/>
      <c r="AL102" s="3"/>
      <c r="AM102" s="3"/>
      <c r="AN102" s="3"/>
      <c r="AO102" s="3"/>
    </row>
    <row r="103" spans="2:41" s="171" customFormat="1" x14ac:dyDescent="0.25">
      <c r="B103" s="13"/>
      <c r="C103" s="14"/>
      <c r="D103" s="60"/>
      <c r="E103" s="56"/>
      <c r="F103" s="56"/>
      <c r="G103" s="14"/>
      <c r="H103" s="56"/>
      <c r="I103" s="14"/>
      <c r="J103" s="14"/>
      <c r="K103" s="14"/>
      <c r="L103" s="14"/>
      <c r="M103" s="14"/>
      <c r="N103" s="14"/>
      <c r="O103" s="14"/>
      <c r="P103" s="14"/>
      <c r="Q103" s="14"/>
      <c r="R103" s="14"/>
      <c r="S103" s="14"/>
      <c r="T103" s="14"/>
      <c r="U103" s="14"/>
      <c r="V103" s="14"/>
      <c r="W103" s="14"/>
      <c r="X103" s="14"/>
      <c r="Y103" s="14"/>
      <c r="Z103" s="14"/>
      <c r="AA103" s="15"/>
      <c r="AB103" s="3"/>
      <c r="AC103" s="3"/>
      <c r="AD103" s="3"/>
      <c r="AE103" s="3"/>
      <c r="AF103" s="3"/>
      <c r="AG103" s="3"/>
      <c r="AH103" s="3"/>
      <c r="AI103" s="3"/>
      <c r="AJ103" s="3"/>
      <c r="AK103" s="3"/>
      <c r="AL103" s="3"/>
      <c r="AM103" s="3"/>
      <c r="AN103" s="3"/>
      <c r="AO103" s="3"/>
    </row>
    <row r="104" spans="2:41" s="171" customFormat="1" x14ac:dyDescent="0.25">
      <c r="B104" s="13"/>
      <c r="C104" s="14"/>
      <c r="D104" s="14"/>
      <c r="E104" s="56"/>
      <c r="F104" s="56"/>
      <c r="G104" s="14"/>
      <c r="H104" s="56"/>
      <c r="I104" s="14"/>
      <c r="J104" s="14"/>
      <c r="K104" s="14"/>
      <c r="L104" s="14"/>
      <c r="M104" s="14"/>
      <c r="N104" s="14"/>
      <c r="O104" s="14"/>
      <c r="P104" s="14"/>
      <c r="Q104" s="14"/>
      <c r="R104" s="14"/>
      <c r="S104" s="14"/>
      <c r="T104" s="14"/>
      <c r="U104" s="14"/>
      <c r="V104" s="14"/>
      <c r="W104" s="14"/>
      <c r="X104" s="14"/>
      <c r="Y104" s="14"/>
      <c r="Z104" s="14"/>
      <c r="AA104" s="15"/>
      <c r="AB104" s="3"/>
      <c r="AC104" s="3"/>
      <c r="AD104" s="3"/>
      <c r="AE104" s="3"/>
      <c r="AF104" s="3"/>
      <c r="AG104" s="3"/>
      <c r="AH104" s="3"/>
      <c r="AI104" s="3"/>
      <c r="AJ104" s="3"/>
      <c r="AK104" s="3"/>
      <c r="AL104" s="3"/>
      <c r="AM104" s="3"/>
      <c r="AN104" s="3"/>
      <c r="AO104" s="3"/>
    </row>
    <row r="105" spans="2:41" s="171" customFormat="1" x14ac:dyDescent="0.25">
      <c r="B105" s="13"/>
      <c r="C105" s="14"/>
      <c r="D105" s="60"/>
      <c r="E105" s="56"/>
      <c r="F105" s="56"/>
      <c r="G105" s="57"/>
      <c r="H105" s="14"/>
      <c r="I105" s="14"/>
      <c r="J105" s="14"/>
      <c r="K105" s="14"/>
      <c r="L105" s="14"/>
      <c r="M105" s="14"/>
      <c r="N105" s="14"/>
      <c r="O105" s="14"/>
      <c r="P105" s="14"/>
      <c r="Q105" s="14"/>
      <c r="R105" s="14"/>
      <c r="S105" s="14"/>
      <c r="T105" s="14"/>
      <c r="U105" s="14"/>
      <c r="V105" s="14"/>
      <c r="W105" s="14"/>
      <c r="X105" s="14"/>
      <c r="Y105" s="14"/>
      <c r="Z105" s="14"/>
      <c r="AA105" s="15"/>
      <c r="AB105" s="3"/>
      <c r="AC105" s="3"/>
      <c r="AD105" s="3"/>
      <c r="AE105" s="3"/>
      <c r="AF105" s="3"/>
      <c r="AG105" s="3"/>
      <c r="AH105" s="3"/>
      <c r="AI105" s="3"/>
      <c r="AJ105" s="3"/>
      <c r="AK105" s="3"/>
      <c r="AL105" s="3"/>
      <c r="AM105" s="3"/>
      <c r="AN105" s="3"/>
      <c r="AO105" s="3"/>
    </row>
    <row r="106" spans="2:41" s="171" customFormat="1" x14ac:dyDescent="0.25">
      <c r="B106" s="13"/>
      <c r="C106" s="14"/>
      <c r="D106" s="60"/>
      <c r="E106" s="56"/>
      <c r="F106" s="56"/>
      <c r="G106" s="128"/>
      <c r="H106" s="56"/>
      <c r="I106" s="14"/>
      <c r="J106" s="14"/>
      <c r="K106" s="14"/>
      <c r="L106" s="14"/>
      <c r="M106" s="14"/>
      <c r="N106" s="14"/>
      <c r="O106" s="14"/>
      <c r="P106" s="14"/>
      <c r="Q106" s="14"/>
      <c r="R106" s="14"/>
      <c r="S106" s="14"/>
      <c r="T106" s="14"/>
      <c r="U106" s="14"/>
      <c r="V106" s="14"/>
      <c r="W106" s="14"/>
      <c r="X106" s="14"/>
      <c r="Y106" s="14"/>
      <c r="Z106" s="14"/>
      <c r="AA106" s="15"/>
      <c r="AB106" s="3"/>
      <c r="AC106" s="3"/>
      <c r="AD106" s="3"/>
      <c r="AE106" s="3"/>
      <c r="AF106" s="3"/>
      <c r="AG106" s="3"/>
      <c r="AH106" s="3"/>
      <c r="AI106" s="3"/>
      <c r="AJ106" s="3"/>
      <c r="AK106" s="3"/>
      <c r="AL106" s="3"/>
      <c r="AM106" s="3"/>
      <c r="AN106" s="3"/>
      <c r="AO106" s="3"/>
    </row>
    <row r="107" spans="2:41" s="171" customFormat="1" x14ac:dyDescent="0.25">
      <c r="B107" s="13"/>
      <c r="C107" s="14"/>
      <c r="D107" s="60"/>
      <c r="E107" s="56"/>
      <c r="F107" s="56"/>
      <c r="G107" s="14"/>
      <c r="H107" s="56"/>
      <c r="I107" s="14"/>
      <c r="J107" s="14"/>
      <c r="K107" s="14"/>
      <c r="L107" s="14"/>
      <c r="M107" s="14"/>
      <c r="N107" s="14"/>
      <c r="O107" s="14"/>
      <c r="P107" s="14"/>
      <c r="Q107" s="14"/>
      <c r="R107" s="14"/>
      <c r="S107" s="14"/>
      <c r="T107" s="14"/>
      <c r="U107" s="14"/>
      <c r="V107" s="14"/>
      <c r="W107" s="14"/>
      <c r="X107" s="14"/>
      <c r="Y107" s="14"/>
      <c r="Z107" s="14"/>
      <c r="AA107" s="15"/>
      <c r="AB107" s="3"/>
      <c r="AC107" s="3"/>
      <c r="AD107" s="3"/>
      <c r="AE107" s="3"/>
      <c r="AF107" s="3"/>
      <c r="AG107" s="3"/>
      <c r="AH107" s="3"/>
      <c r="AI107" s="3"/>
      <c r="AJ107" s="3"/>
      <c r="AK107" s="3"/>
      <c r="AL107" s="3"/>
      <c r="AM107" s="3"/>
      <c r="AN107" s="3"/>
      <c r="AO107" s="3"/>
    </row>
    <row r="108" spans="2:41" s="171" customFormat="1" x14ac:dyDescent="0.25">
      <c r="B108" s="13"/>
      <c r="C108" s="14"/>
      <c r="D108" s="60"/>
      <c r="E108" s="56"/>
      <c r="F108" s="56"/>
      <c r="G108" s="14"/>
      <c r="H108" s="56"/>
      <c r="I108" s="14"/>
      <c r="J108" s="14"/>
      <c r="K108" s="14"/>
      <c r="L108" s="14"/>
      <c r="M108" s="14"/>
      <c r="N108" s="14"/>
      <c r="O108" s="14"/>
      <c r="P108" s="14"/>
      <c r="Q108" s="14"/>
      <c r="R108" s="14"/>
      <c r="S108" s="14"/>
      <c r="T108" s="14"/>
      <c r="U108" s="14"/>
      <c r="V108" s="14"/>
      <c r="W108" s="14"/>
      <c r="X108" s="14"/>
      <c r="Y108" s="14"/>
      <c r="Z108" s="14"/>
      <c r="AA108" s="15"/>
      <c r="AB108" s="3"/>
      <c r="AC108" s="3"/>
      <c r="AD108" s="3"/>
      <c r="AE108" s="3"/>
      <c r="AF108" s="3"/>
      <c r="AG108" s="3"/>
      <c r="AH108" s="3"/>
      <c r="AI108" s="3"/>
      <c r="AJ108" s="3"/>
      <c r="AK108" s="3"/>
      <c r="AL108" s="3"/>
      <c r="AM108" s="3"/>
      <c r="AN108" s="3"/>
      <c r="AO108" s="3"/>
    </row>
    <row r="109" spans="2:41" s="171" customFormat="1" x14ac:dyDescent="0.25">
      <c r="B109" s="13"/>
      <c r="C109" s="56"/>
      <c r="D109" s="60"/>
      <c r="E109" s="56"/>
      <c r="F109" s="56"/>
      <c r="G109" s="56"/>
      <c r="H109" s="56"/>
      <c r="I109" s="14"/>
      <c r="J109" s="14"/>
      <c r="K109" s="14"/>
      <c r="L109" s="14"/>
      <c r="M109" s="14"/>
      <c r="N109" s="14"/>
      <c r="O109" s="14"/>
      <c r="P109" s="14"/>
      <c r="Q109" s="14"/>
      <c r="R109" s="14"/>
      <c r="S109" s="14"/>
      <c r="T109" s="14"/>
      <c r="U109" s="14"/>
      <c r="V109" s="14"/>
      <c r="W109" s="14"/>
      <c r="X109" s="14"/>
      <c r="Y109" s="14"/>
      <c r="Z109" s="14"/>
      <c r="AA109" s="15"/>
      <c r="AB109" s="3"/>
      <c r="AC109" s="3"/>
      <c r="AD109" s="3"/>
      <c r="AE109" s="3"/>
      <c r="AF109" s="3"/>
      <c r="AG109" s="3"/>
      <c r="AH109" s="3"/>
      <c r="AI109" s="3"/>
      <c r="AJ109" s="3"/>
      <c r="AK109" s="3"/>
      <c r="AL109" s="3"/>
      <c r="AM109" s="3"/>
      <c r="AN109" s="3"/>
      <c r="AO109" s="3"/>
    </row>
    <row r="110" spans="2:41" s="171" customFormat="1" ht="18.75" x14ac:dyDescent="0.3">
      <c r="B110" s="67"/>
      <c r="C110" s="14"/>
      <c r="D110" s="60"/>
      <c r="E110" s="56"/>
      <c r="F110" s="56"/>
      <c r="G110" s="14"/>
      <c r="H110" s="56"/>
      <c r="I110" s="74"/>
      <c r="J110" s="14"/>
      <c r="K110" s="14"/>
      <c r="L110" s="14"/>
      <c r="M110" s="14"/>
      <c r="N110" s="14"/>
      <c r="O110" s="14"/>
      <c r="P110" s="14"/>
      <c r="Q110" s="14"/>
      <c r="R110" s="14"/>
      <c r="S110" s="14"/>
      <c r="T110" s="14"/>
      <c r="U110" s="14"/>
      <c r="V110" s="14"/>
      <c r="W110" s="14"/>
      <c r="X110" s="14"/>
      <c r="Y110" s="14"/>
      <c r="Z110" s="14"/>
      <c r="AA110" s="15"/>
      <c r="AB110" s="3"/>
      <c r="AC110" s="3"/>
      <c r="AD110" s="3"/>
      <c r="AE110" s="3"/>
      <c r="AF110" s="3"/>
      <c r="AG110" s="3"/>
      <c r="AH110" s="3"/>
      <c r="AI110" s="3"/>
      <c r="AJ110" s="3"/>
      <c r="AK110" s="3"/>
      <c r="AL110" s="3"/>
      <c r="AM110" s="3"/>
      <c r="AN110" s="3"/>
      <c r="AO110" s="3"/>
    </row>
    <row r="111" spans="2:41" s="171" customFormat="1" x14ac:dyDescent="0.25">
      <c r="B111" s="13"/>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5"/>
      <c r="AB111" s="3"/>
      <c r="AC111" s="3"/>
      <c r="AD111" s="3"/>
      <c r="AE111" s="3"/>
      <c r="AF111" s="3"/>
      <c r="AG111" s="3"/>
      <c r="AH111" s="3"/>
      <c r="AI111" s="3"/>
      <c r="AJ111" s="3"/>
      <c r="AK111" s="3"/>
      <c r="AL111" s="3"/>
      <c r="AM111" s="3"/>
      <c r="AN111" s="3"/>
      <c r="AO111" s="3"/>
    </row>
    <row r="112" spans="2:41" s="171" customFormat="1" x14ac:dyDescent="0.25">
      <c r="B112" s="13"/>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5"/>
      <c r="AB112" s="3"/>
      <c r="AC112" s="3"/>
      <c r="AD112" s="3"/>
      <c r="AE112" s="3"/>
      <c r="AF112" s="3"/>
      <c r="AG112" s="3"/>
      <c r="AH112" s="3"/>
      <c r="AI112" s="3"/>
      <c r="AJ112" s="3"/>
      <c r="AK112" s="3"/>
      <c r="AL112" s="3"/>
      <c r="AM112" s="3"/>
      <c r="AN112" s="3"/>
      <c r="AO112" s="3"/>
    </row>
    <row r="113" spans="2:41" s="171" customFormat="1" x14ac:dyDescent="0.25">
      <c r="B113" s="13"/>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5"/>
      <c r="AB113" s="3"/>
      <c r="AC113" s="3"/>
      <c r="AD113" s="3"/>
      <c r="AE113" s="3"/>
      <c r="AF113" s="3"/>
      <c r="AG113" s="3"/>
      <c r="AH113" s="3"/>
      <c r="AI113" s="3"/>
      <c r="AJ113" s="3"/>
      <c r="AK113" s="3"/>
      <c r="AL113" s="3"/>
      <c r="AM113" s="3"/>
      <c r="AN113" s="3"/>
      <c r="AO113" s="3"/>
    </row>
    <row r="114" spans="2:41" s="171" customFormat="1" x14ac:dyDescent="0.25">
      <c r="B114" s="13"/>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5"/>
      <c r="AB114" s="3"/>
      <c r="AC114" s="3"/>
      <c r="AD114" s="3"/>
      <c r="AE114" s="3"/>
      <c r="AF114" s="3"/>
      <c r="AG114" s="3"/>
      <c r="AH114" s="3"/>
      <c r="AI114" s="3"/>
      <c r="AJ114" s="3"/>
      <c r="AK114" s="3"/>
      <c r="AL114" s="3"/>
      <c r="AM114" s="3"/>
      <c r="AN114" s="3"/>
      <c r="AO114" s="3"/>
    </row>
    <row r="115" spans="2:41" s="171" customFormat="1" x14ac:dyDescent="0.25">
      <c r="B115" s="13"/>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5"/>
      <c r="AB115" s="3"/>
      <c r="AC115" s="3"/>
      <c r="AD115" s="3"/>
      <c r="AE115" s="3"/>
      <c r="AF115" s="3"/>
      <c r="AG115" s="3"/>
      <c r="AH115" s="3"/>
      <c r="AI115" s="3"/>
      <c r="AJ115" s="3"/>
      <c r="AK115" s="3"/>
      <c r="AL115" s="3"/>
      <c r="AM115" s="3"/>
      <c r="AN115" s="3"/>
      <c r="AO115" s="3"/>
    </row>
    <row r="116" spans="2:41" s="171" customFormat="1" x14ac:dyDescent="0.25">
      <c r="B116" s="13"/>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5"/>
      <c r="AB116" s="3"/>
      <c r="AC116" s="3"/>
      <c r="AD116" s="3"/>
      <c r="AE116" s="3"/>
      <c r="AF116" s="3"/>
      <c r="AG116" s="3"/>
      <c r="AH116" s="3"/>
      <c r="AI116" s="3"/>
      <c r="AJ116" s="3"/>
      <c r="AK116" s="3"/>
      <c r="AL116" s="3"/>
      <c r="AM116" s="3"/>
      <c r="AN116" s="3"/>
      <c r="AO116" s="3"/>
    </row>
    <row r="117" spans="2:41" s="171" customFormat="1" x14ac:dyDescent="0.25">
      <c r="B117" s="13"/>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5"/>
      <c r="AB117" s="3"/>
      <c r="AC117" s="3"/>
      <c r="AD117" s="3"/>
      <c r="AE117" s="3"/>
      <c r="AF117" s="3"/>
      <c r="AG117" s="3"/>
      <c r="AH117" s="3"/>
      <c r="AI117" s="3"/>
      <c r="AJ117" s="3"/>
      <c r="AK117" s="3"/>
      <c r="AL117" s="3"/>
      <c r="AM117" s="3"/>
      <c r="AN117" s="3"/>
      <c r="AO117" s="3"/>
    </row>
    <row r="118" spans="2:41" s="171" customFormat="1" x14ac:dyDescent="0.25">
      <c r="B118" s="13"/>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5"/>
      <c r="AB118" s="3"/>
      <c r="AC118" s="3"/>
      <c r="AD118" s="3"/>
      <c r="AE118" s="3"/>
      <c r="AF118" s="3"/>
      <c r="AG118" s="3"/>
      <c r="AH118" s="3"/>
      <c r="AI118" s="3"/>
      <c r="AJ118" s="3"/>
      <c r="AK118" s="3"/>
      <c r="AL118" s="3"/>
      <c r="AM118" s="3"/>
      <c r="AN118" s="3"/>
      <c r="AO118" s="3"/>
    </row>
    <row r="119" spans="2:41" s="171" customFormat="1" ht="15.4" customHeight="1" x14ac:dyDescent="0.25">
      <c r="B119" s="13"/>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5"/>
      <c r="AB119" s="3"/>
      <c r="AC119" s="3"/>
      <c r="AD119" s="3"/>
      <c r="AE119" s="3"/>
      <c r="AF119" s="3"/>
      <c r="AG119" s="3"/>
      <c r="AH119" s="3"/>
      <c r="AI119" s="3"/>
      <c r="AJ119" s="3"/>
      <c r="AK119" s="3"/>
      <c r="AL119" s="3"/>
      <c r="AM119" s="3"/>
      <c r="AN119" s="3"/>
      <c r="AO119" s="3"/>
    </row>
    <row r="120" spans="2:41" s="171" customFormat="1" x14ac:dyDescent="0.25">
      <c r="B120" s="13"/>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5"/>
      <c r="AB120" s="3"/>
      <c r="AC120" s="3"/>
      <c r="AD120" s="3"/>
      <c r="AE120" s="3"/>
      <c r="AF120" s="3"/>
      <c r="AG120" s="3"/>
      <c r="AH120" s="3"/>
      <c r="AI120" s="3"/>
      <c r="AJ120" s="3"/>
      <c r="AK120" s="3"/>
      <c r="AL120" s="3"/>
      <c r="AM120" s="3"/>
      <c r="AN120" s="3"/>
      <c r="AO120" s="3"/>
    </row>
    <row r="121" spans="2:41" s="171" customFormat="1" x14ac:dyDescent="0.25">
      <c r="B121" s="13"/>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5"/>
      <c r="AB121" s="3"/>
      <c r="AC121" s="3"/>
      <c r="AD121" s="3"/>
      <c r="AE121" s="3"/>
      <c r="AF121" s="3"/>
      <c r="AG121" s="3"/>
      <c r="AH121" s="3"/>
      <c r="AI121" s="3"/>
      <c r="AJ121" s="3"/>
      <c r="AK121" s="3"/>
      <c r="AL121" s="3"/>
      <c r="AM121" s="3"/>
      <c r="AN121" s="3"/>
      <c r="AO121" s="3"/>
    </row>
    <row r="122" spans="2:41" s="171" customFormat="1" x14ac:dyDescent="0.25">
      <c r="B122" s="13"/>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5"/>
      <c r="AB122" s="3"/>
      <c r="AC122" s="3"/>
      <c r="AD122" s="3"/>
      <c r="AE122" s="3"/>
      <c r="AF122" s="3"/>
      <c r="AG122" s="3"/>
      <c r="AH122" s="3"/>
      <c r="AI122" s="3"/>
      <c r="AJ122" s="3"/>
      <c r="AK122" s="3"/>
      <c r="AL122" s="3"/>
      <c r="AM122" s="3"/>
      <c r="AN122" s="3"/>
      <c r="AO122" s="3"/>
    </row>
    <row r="123" spans="2:41" s="171" customFormat="1" x14ac:dyDescent="0.25">
      <c r="B123" s="13"/>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5"/>
      <c r="AB123" s="3"/>
      <c r="AC123" s="3"/>
      <c r="AD123" s="3"/>
      <c r="AE123" s="3"/>
      <c r="AF123" s="3"/>
      <c r="AG123" s="3"/>
      <c r="AH123" s="3"/>
      <c r="AI123" s="3"/>
      <c r="AJ123" s="3"/>
      <c r="AK123" s="3"/>
      <c r="AL123" s="3"/>
      <c r="AM123" s="3"/>
      <c r="AN123" s="3"/>
      <c r="AO123" s="3"/>
    </row>
    <row r="124" spans="2:41" s="171" customFormat="1" ht="18.75" x14ac:dyDescent="0.3">
      <c r="B124" s="67"/>
      <c r="C124" s="14"/>
      <c r="D124" s="60"/>
      <c r="E124" s="56"/>
      <c r="F124" s="56"/>
      <c r="G124" s="14"/>
      <c r="H124" s="56"/>
      <c r="I124" s="74"/>
      <c r="J124" s="14"/>
      <c r="K124" s="14"/>
      <c r="L124" s="14"/>
      <c r="M124" s="14"/>
      <c r="N124" s="14"/>
      <c r="O124" s="14"/>
      <c r="P124" s="14"/>
      <c r="Q124" s="14"/>
      <c r="R124" s="14"/>
      <c r="S124" s="14"/>
      <c r="T124" s="14"/>
      <c r="U124" s="14"/>
      <c r="V124" s="14"/>
      <c r="W124" s="14"/>
      <c r="X124" s="14"/>
      <c r="Y124" s="14"/>
      <c r="Z124" s="14"/>
      <c r="AA124" s="15"/>
      <c r="AB124" s="3"/>
      <c r="AC124" s="3"/>
      <c r="AD124" s="3"/>
      <c r="AE124" s="3"/>
      <c r="AF124" s="3"/>
      <c r="AG124" s="3"/>
      <c r="AH124" s="3"/>
      <c r="AI124" s="3"/>
      <c r="AJ124" s="3"/>
      <c r="AK124" s="3"/>
      <c r="AL124" s="3"/>
      <c r="AM124" s="3"/>
      <c r="AN124" s="3"/>
      <c r="AO124" s="3"/>
    </row>
    <row r="125" spans="2:41" s="171" customFormat="1" x14ac:dyDescent="0.25">
      <c r="B125" s="13"/>
      <c r="C125" s="14"/>
      <c r="D125" s="14"/>
      <c r="E125" s="56"/>
      <c r="F125" s="56"/>
      <c r="G125" s="14"/>
      <c r="H125" s="56"/>
      <c r="I125" s="14"/>
      <c r="J125" s="14"/>
      <c r="K125" s="14"/>
      <c r="L125" s="14"/>
      <c r="M125" s="14"/>
      <c r="N125" s="14"/>
      <c r="O125" s="14"/>
      <c r="P125" s="14"/>
      <c r="Q125" s="14"/>
      <c r="R125" s="14"/>
      <c r="S125" s="14"/>
      <c r="T125" s="14"/>
      <c r="U125" s="14"/>
      <c r="V125" s="14"/>
      <c r="W125" s="14"/>
      <c r="X125" s="14"/>
      <c r="Y125" s="14"/>
      <c r="Z125" s="14"/>
      <c r="AA125" s="15"/>
      <c r="AB125" s="3"/>
      <c r="AC125" s="3"/>
      <c r="AD125" s="3"/>
      <c r="AE125" s="3"/>
      <c r="AF125" s="3"/>
      <c r="AG125" s="3"/>
      <c r="AH125" s="3"/>
      <c r="AI125" s="3"/>
      <c r="AJ125" s="3"/>
      <c r="AK125" s="3"/>
      <c r="AL125" s="3"/>
      <c r="AM125" s="3"/>
      <c r="AN125" s="3"/>
      <c r="AO125" s="3"/>
    </row>
    <row r="126" spans="2:41" s="171" customFormat="1" x14ac:dyDescent="0.25">
      <c r="B126" s="13"/>
      <c r="C126" s="14"/>
      <c r="D126" s="60"/>
      <c r="E126" s="56"/>
      <c r="F126" s="56"/>
      <c r="G126" s="57"/>
      <c r="H126" s="14"/>
      <c r="I126" s="14"/>
      <c r="J126" s="14"/>
      <c r="K126" s="14"/>
      <c r="L126" s="14"/>
      <c r="M126" s="14"/>
      <c r="N126" s="14"/>
      <c r="O126" s="14"/>
      <c r="P126" s="14"/>
      <c r="Q126" s="14"/>
      <c r="R126" s="14"/>
      <c r="S126" s="14"/>
      <c r="T126" s="14"/>
      <c r="U126" s="14"/>
      <c r="V126" s="14"/>
      <c r="W126" s="14"/>
      <c r="X126" s="14"/>
      <c r="Y126" s="14"/>
      <c r="Z126" s="14"/>
      <c r="AA126" s="15"/>
      <c r="AB126" s="3"/>
      <c r="AC126" s="3"/>
      <c r="AD126" s="3"/>
      <c r="AE126" s="3"/>
      <c r="AF126" s="3"/>
      <c r="AG126" s="3"/>
      <c r="AH126" s="3"/>
      <c r="AI126" s="3"/>
      <c r="AJ126" s="3"/>
      <c r="AK126" s="3"/>
      <c r="AL126" s="3"/>
      <c r="AM126" s="3"/>
      <c r="AN126" s="3"/>
      <c r="AO126" s="3"/>
    </row>
    <row r="127" spans="2:41" s="171" customFormat="1" x14ac:dyDescent="0.25">
      <c r="B127" s="13"/>
      <c r="C127" s="14"/>
      <c r="D127" s="60"/>
      <c r="E127" s="56"/>
      <c r="F127" s="56"/>
      <c r="G127" s="128"/>
      <c r="H127" s="56"/>
      <c r="I127" s="14"/>
      <c r="J127" s="14"/>
      <c r="K127" s="14"/>
      <c r="L127" s="14"/>
      <c r="M127" s="14"/>
      <c r="N127" s="14"/>
      <c r="O127" s="14"/>
      <c r="P127" s="14"/>
      <c r="Q127" s="14"/>
      <c r="R127" s="14"/>
      <c r="S127" s="14"/>
      <c r="T127" s="14"/>
      <c r="U127" s="14"/>
      <c r="V127" s="14"/>
      <c r="W127" s="14"/>
      <c r="X127" s="14"/>
      <c r="Y127" s="14"/>
      <c r="Z127" s="14"/>
      <c r="AA127" s="15"/>
      <c r="AB127" s="3"/>
      <c r="AC127" s="3"/>
      <c r="AD127" s="3"/>
      <c r="AE127" s="3"/>
      <c r="AF127" s="3"/>
      <c r="AG127" s="3"/>
      <c r="AH127" s="3"/>
      <c r="AI127" s="3"/>
      <c r="AJ127" s="3"/>
      <c r="AK127" s="3"/>
      <c r="AL127" s="3"/>
      <c r="AM127" s="3"/>
      <c r="AN127" s="3"/>
      <c r="AO127" s="3"/>
    </row>
    <row r="128" spans="2:41" s="171" customFormat="1" x14ac:dyDescent="0.25">
      <c r="B128" s="13"/>
      <c r="C128" s="14"/>
      <c r="D128" s="60"/>
      <c r="E128" s="56"/>
      <c r="F128" s="56"/>
      <c r="G128" s="14"/>
      <c r="H128" s="56"/>
      <c r="I128" s="14"/>
      <c r="J128" s="14"/>
      <c r="K128" s="14"/>
      <c r="L128" s="14"/>
      <c r="M128" s="14"/>
      <c r="N128" s="14"/>
      <c r="O128" s="14"/>
      <c r="P128" s="14"/>
      <c r="Q128" s="14"/>
      <c r="R128" s="14"/>
      <c r="S128" s="14"/>
      <c r="T128" s="14"/>
      <c r="U128" s="14"/>
      <c r="V128" s="14"/>
      <c r="W128" s="14"/>
      <c r="X128" s="14"/>
      <c r="Y128" s="14"/>
      <c r="Z128" s="14"/>
      <c r="AA128" s="15"/>
      <c r="AB128" s="3"/>
      <c r="AC128" s="3"/>
      <c r="AD128" s="3"/>
      <c r="AE128" s="3"/>
      <c r="AF128" s="3"/>
      <c r="AG128" s="3"/>
      <c r="AH128" s="3"/>
      <c r="AI128" s="3"/>
      <c r="AJ128" s="3"/>
      <c r="AK128" s="3"/>
      <c r="AL128" s="3"/>
      <c r="AM128" s="3"/>
      <c r="AN128" s="3"/>
      <c r="AO128" s="3"/>
    </row>
    <row r="129" spans="2:41" s="171" customFormat="1" x14ac:dyDescent="0.25">
      <c r="B129" s="13"/>
      <c r="C129" s="14"/>
      <c r="D129" s="60"/>
      <c r="E129" s="56"/>
      <c r="F129" s="56"/>
      <c r="G129" s="14"/>
      <c r="H129" s="56"/>
      <c r="I129" s="14"/>
      <c r="J129" s="14"/>
      <c r="K129" s="14"/>
      <c r="L129" s="14"/>
      <c r="M129" s="14"/>
      <c r="N129" s="14"/>
      <c r="O129" s="14"/>
      <c r="P129" s="14"/>
      <c r="Q129" s="14"/>
      <c r="R129" s="14"/>
      <c r="S129" s="14"/>
      <c r="T129" s="14"/>
      <c r="U129" s="14"/>
      <c r="V129" s="14"/>
      <c r="W129" s="14"/>
      <c r="X129" s="14"/>
      <c r="Y129" s="14"/>
      <c r="Z129" s="14"/>
      <c r="AA129" s="15"/>
      <c r="AB129" s="3"/>
      <c r="AC129" s="3"/>
      <c r="AD129" s="3"/>
      <c r="AE129" s="3"/>
      <c r="AF129" s="3"/>
      <c r="AG129" s="3"/>
      <c r="AH129" s="3"/>
      <c r="AI129" s="3"/>
      <c r="AJ129" s="3"/>
      <c r="AK129" s="3"/>
      <c r="AL129" s="3"/>
      <c r="AM129" s="3"/>
      <c r="AN129" s="3"/>
      <c r="AO129" s="3"/>
    </row>
    <row r="130" spans="2:41" s="171" customFormat="1" x14ac:dyDescent="0.25">
      <c r="B130" s="13"/>
      <c r="C130" s="56"/>
      <c r="D130" s="60"/>
      <c r="E130" s="56"/>
      <c r="F130" s="56"/>
      <c r="G130" s="56"/>
      <c r="H130" s="56"/>
      <c r="I130" s="14"/>
      <c r="J130" s="14"/>
      <c r="K130" s="14"/>
      <c r="L130" s="14"/>
      <c r="M130" s="14"/>
      <c r="N130" s="14"/>
      <c r="O130" s="14"/>
      <c r="P130" s="14"/>
      <c r="Q130" s="14"/>
      <c r="R130" s="14"/>
      <c r="S130" s="14"/>
      <c r="T130" s="14"/>
      <c r="U130" s="14"/>
      <c r="V130" s="14"/>
      <c r="W130" s="14"/>
      <c r="X130" s="14"/>
      <c r="Y130" s="14"/>
      <c r="Z130" s="14"/>
      <c r="AA130" s="15"/>
      <c r="AB130" s="3"/>
      <c r="AC130" s="3"/>
      <c r="AD130" s="3"/>
      <c r="AE130" s="3"/>
      <c r="AF130" s="3"/>
      <c r="AG130" s="3"/>
      <c r="AH130" s="3"/>
      <c r="AI130" s="3"/>
      <c r="AJ130" s="3"/>
      <c r="AK130" s="3"/>
      <c r="AL130" s="3"/>
      <c r="AM130" s="3"/>
      <c r="AN130" s="3"/>
      <c r="AO130" s="3"/>
    </row>
    <row r="131" spans="2:41" s="171" customFormat="1" x14ac:dyDescent="0.25">
      <c r="B131" s="13"/>
      <c r="C131" s="14"/>
      <c r="D131" s="60"/>
      <c r="E131" s="56"/>
      <c r="F131" s="56"/>
      <c r="G131" s="14"/>
      <c r="H131" s="56"/>
      <c r="I131" s="14"/>
      <c r="J131" s="14"/>
      <c r="K131" s="14"/>
      <c r="L131" s="14"/>
      <c r="M131" s="14"/>
      <c r="N131" s="14"/>
      <c r="O131" s="14"/>
      <c r="P131" s="14"/>
      <c r="Q131" s="14"/>
      <c r="R131" s="14"/>
      <c r="S131" s="14"/>
      <c r="T131" s="14"/>
      <c r="U131" s="14"/>
      <c r="V131" s="14"/>
      <c r="W131" s="14"/>
      <c r="X131" s="14"/>
      <c r="Y131" s="14"/>
      <c r="Z131" s="14"/>
      <c r="AA131" s="15"/>
      <c r="AB131" s="3"/>
      <c r="AC131" s="3"/>
      <c r="AD131" s="3"/>
      <c r="AE131" s="3"/>
      <c r="AF131" s="3"/>
      <c r="AG131" s="3"/>
      <c r="AH131" s="3"/>
      <c r="AI131" s="3"/>
      <c r="AJ131" s="3"/>
      <c r="AK131" s="3"/>
      <c r="AL131" s="3"/>
      <c r="AM131" s="3"/>
      <c r="AN131" s="3"/>
      <c r="AO131" s="3"/>
    </row>
    <row r="132" spans="2:41" s="171" customFormat="1" x14ac:dyDescent="0.25">
      <c r="B132" s="13"/>
      <c r="C132" s="14"/>
      <c r="D132" s="14"/>
      <c r="E132" s="56"/>
      <c r="F132" s="56"/>
      <c r="G132" s="14"/>
      <c r="H132" s="56"/>
      <c r="I132" s="14"/>
      <c r="J132" s="14"/>
      <c r="K132" s="14"/>
      <c r="L132" s="14"/>
      <c r="M132" s="14"/>
      <c r="N132" s="14"/>
      <c r="O132" s="14"/>
      <c r="P132" s="14"/>
      <c r="Q132" s="14"/>
      <c r="R132" s="14"/>
      <c r="S132" s="14"/>
      <c r="T132" s="14"/>
      <c r="U132" s="14"/>
      <c r="V132" s="14"/>
      <c r="W132" s="14"/>
      <c r="X132" s="14"/>
      <c r="Y132" s="14"/>
      <c r="Z132" s="14"/>
      <c r="AA132" s="15"/>
      <c r="AB132" s="3"/>
      <c r="AC132" s="3"/>
      <c r="AD132" s="3"/>
      <c r="AE132" s="3"/>
      <c r="AF132" s="3"/>
      <c r="AG132" s="3"/>
      <c r="AH132" s="3"/>
      <c r="AI132" s="3"/>
      <c r="AJ132" s="3"/>
      <c r="AK132" s="3"/>
      <c r="AL132" s="3"/>
      <c r="AM132" s="3"/>
      <c r="AN132" s="3"/>
      <c r="AO132" s="3"/>
    </row>
    <row r="133" spans="2:41" s="171" customFormat="1" x14ac:dyDescent="0.25">
      <c r="B133" s="13"/>
      <c r="C133" s="14"/>
      <c r="D133" s="60"/>
      <c r="E133" s="56"/>
      <c r="F133" s="56"/>
      <c r="G133" s="57"/>
      <c r="H133" s="14"/>
      <c r="I133" s="14"/>
      <c r="J133" s="14"/>
      <c r="K133" s="14"/>
      <c r="L133" s="14"/>
      <c r="M133" s="14"/>
      <c r="N133" s="14"/>
      <c r="O133" s="14"/>
      <c r="P133" s="14"/>
      <c r="Q133" s="14"/>
      <c r="R133" s="14"/>
      <c r="S133" s="14"/>
      <c r="T133" s="14"/>
      <c r="U133" s="14"/>
      <c r="V133" s="14"/>
      <c r="W133" s="14"/>
      <c r="X133" s="14"/>
      <c r="Y133" s="14"/>
      <c r="Z133" s="14"/>
      <c r="AA133" s="15"/>
      <c r="AB133" s="3"/>
      <c r="AC133" s="3"/>
      <c r="AD133" s="3"/>
      <c r="AE133" s="3"/>
      <c r="AF133" s="3"/>
      <c r="AG133" s="3"/>
      <c r="AH133" s="3"/>
      <c r="AI133" s="3"/>
      <c r="AJ133" s="3"/>
      <c r="AK133" s="3"/>
      <c r="AL133" s="3"/>
      <c r="AM133" s="3"/>
      <c r="AN133" s="3"/>
      <c r="AO133" s="3"/>
    </row>
    <row r="134" spans="2:41" s="171" customFormat="1" x14ac:dyDescent="0.25">
      <c r="B134" s="13"/>
      <c r="C134" s="14"/>
      <c r="D134" s="60"/>
      <c r="E134" s="56"/>
      <c r="F134" s="56"/>
      <c r="G134" s="128"/>
      <c r="H134" s="56"/>
      <c r="I134" s="14"/>
      <c r="J134" s="14"/>
      <c r="K134" s="14"/>
      <c r="L134" s="14"/>
      <c r="M134" s="14"/>
      <c r="N134" s="14"/>
      <c r="O134" s="14"/>
      <c r="P134" s="14"/>
      <c r="Q134" s="14"/>
      <c r="R134" s="14"/>
      <c r="S134" s="14"/>
      <c r="T134" s="14"/>
      <c r="U134" s="14"/>
      <c r="V134" s="14"/>
      <c r="W134" s="14"/>
      <c r="X134" s="14"/>
      <c r="Y134" s="14"/>
      <c r="Z134" s="14"/>
      <c r="AA134" s="15"/>
      <c r="AB134" s="3"/>
      <c r="AC134" s="3"/>
      <c r="AD134" s="3"/>
      <c r="AE134" s="3"/>
      <c r="AF134" s="3"/>
      <c r="AG134" s="3"/>
      <c r="AH134" s="3"/>
      <c r="AI134" s="3"/>
      <c r="AJ134" s="3"/>
      <c r="AK134" s="3"/>
      <c r="AL134" s="3"/>
      <c r="AM134" s="3"/>
      <c r="AN134" s="3"/>
      <c r="AO134" s="3"/>
    </row>
    <row r="135" spans="2:41" s="171" customFormat="1" x14ac:dyDescent="0.25">
      <c r="B135" s="13"/>
      <c r="C135" s="14"/>
      <c r="D135" s="60"/>
      <c r="E135" s="56"/>
      <c r="F135" s="56"/>
      <c r="G135" s="14"/>
      <c r="H135" s="56"/>
      <c r="I135" s="14"/>
      <c r="J135" s="14"/>
      <c r="K135" s="14"/>
      <c r="L135" s="14"/>
      <c r="M135" s="14"/>
      <c r="N135" s="14"/>
      <c r="O135" s="14"/>
      <c r="P135" s="14"/>
      <c r="Q135" s="14"/>
      <c r="R135" s="14"/>
      <c r="S135" s="14"/>
      <c r="T135" s="14"/>
      <c r="U135" s="14"/>
      <c r="V135" s="14"/>
      <c r="W135" s="14"/>
      <c r="X135" s="14"/>
      <c r="Y135" s="14"/>
      <c r="Z135" s="14"/>
      <c r="AA135" s="15"/>
      <c r="AB135" s="3"/>
      <c r="AC135" s="3"/>
      <c r="AD135" s="3"/>
      <c r="AE135" s="3"/>
      <c r="AF135" s="3"/>
      <c r="AG135" s="3"/>
      <c r="AH135" s="3"/>
      <c r="AI135" s="3"/>
      <c r="AJ135" s="3"/>
      <c r="AK135" s="3"/>
      <c r="AL135" s="3"/>
      <c r="AM135" s="3"/>
      <c r="AN135" s="3"/>
      <c r="AO135" s="3"/>
    </row>
    <row r="136" spans="2:41" s="171" customFormat="1" x14ac:dyDescent="0.25">
      <c r="B136" s="13"/>
      <c r="C136" s="14"/>
      <c r="D136" s="60"/>
      <c r="E136" s="56"/>
      <c r="F136" s="56"/>
      <c r="G136" s="14"/>
      <c r="H136" s="56"/>
      <c r="I136" s="14"/>
      <c r="J136" s="14"/>
      <c r="K136" s="14"/>
      <c r="L136" s="14"/>
      <c r="M136" s="14"/>
      <c r="N136" s="14"/>
      <c r="O136" s="14"/>
      <c r="P136" s="14"/>
      <c r="Q136" s="14"/>
      <c r="R136" s="14"/>
      <c r="S136" s="14"/>
      <c r="T136" s="14"/>
      <c r="U136" s="14"/>
      <c r="V136" s="14"/>
      <c r="W136" s="14"/>
      <c r="X136" s="14"/>
      <c r="Y136" s="14"/>
      <c r="Z136" s="14"/>
      <c r="AA136" s="15"/>
      <c r="AB136" s="3"/>
      <c r="AC136" s="3"/>
      <c r="AD136" s="3"/>
      <c r="AE136" s="3"/>
      <c r="AF136" s="3"/>
      <c r="AG136" s="3"/>
      <c r="AH136" s="3"/>
      <c r="AI136" s="3"/>
      <c r="AJ136" s="3"/>
      <c r="AK136" s="3"/>
      <c r="AL136" s="3"/>
      <c r="AM136" s="3"/>
      <c r="AN136" s="3"/>
      <c r="AO136" s="3"/>
    </row>
    <row r="137" spans="2:41" s="171" customFormat="1" x14ac:dyDescent="0.25">
      <c r="B137" s="13"/>
      <c r="C137" s="56"/>
      <c r="D137" s="60"/>
      <c r="E137" s="56"/>
      <c r="F137" s="56"/>
      <c r="G137" s="56"/>
      <c r="H137" s="56"/>
      <c r="I137" s="14"/>
      <c r="J137" s="14"/>
      <c r="K137" s="14"/>
      <c r="L137" s="14"/>
      <c r="M137" s="14"/>
      <c r="N137" s="14"/>
      <c r="O137" s="14"/>
      <c r="P137" s="14"/>
      <c r="Q137" s="14"/>
      <c r="R137" s="14"/>
      <c r="S137" s="14"/>
      <c r="T137" s="14"/>
      <c r="U137" s="14"/>
      <c r="V137" s="14"/>
      <c r="W137" s="14"/>
      <c r="X137" s="14"/>
      <c r="Y137" s="14"/>
      <c r="Z137" s="14"/>
      <c r="AA137" s="15"/>
      <c r="AB137" s="3"/>
      <c r="AC137" s="3"/>
      <c r="AD137" s="3"/>
      <c r="AE137" s="3"/>
      <c r="AF137" s="3"/>
      <c r="AG137" s="3"/>
      <c r="AH137" s="3"/>
      <c r="AI137" s="3"/>
      <c r="AJ137" s="3"/>
      <c r="AK137" s="3"/>
      <c r="AL137" s="3"/>
      <c r="AM137" s="3"/>
      <c r="AN137" s="3"/>
      <c r="AO137" s="3"/>
    </row>
    <row r="138" spans="2:41" s="171" customFormat="1" ht="18.75" x14ac:dyDescent="0.3">
      <c r="B138" s="67"/>
      <c r="C138" s="14"/>
      <c r="D138" s="60"/>
      <c r="E138" s="56"/>
      <c r="F138" s="56"/>
      <c r="G138" s="14"/>
      <c r="H138" s="56"/>
      <c r="I138" s="74"/>
      <c r="J138" s="14"/>
      <c r="K138" s="14"/>
      <c r="L138" s="14"/>
      <c r="M138" s="14"/>
      <c r="N138" s="14"/>
      <c r="O138" s="14"/>
      <c r="P138" s="14"/>
      <c r="Q138" s="14"/>
      <c r="R138" s="14"/>
      <c r="S138" s="14"/>
      <c r="T138" s="14"/>
      <c r="U138" s="14"/>
      <c r="V138" s="14"/>
      <c r="W138" s="14"/>
      <c r="X138" s="14"/>
      <c r="Y138" s="14"/>
      <c r="Z138" s="14"/>
      <c r="AA138" s="15"/>
      <c r="AB138" s="3"/>
      <c r="AC138" s="3"/>
      <c r="AD138" s="3"/>
      <c r="AE138" s="3"/>
      <c r="AF138" s="3"/>
      <c r="AG138" s="3"/>
      <c r="AH138" s="3"/>
      <c r="AI138" s="3"/>
      <c r="AJ138" s="3"/>
      <c r="AK138" s="3"/>
      <c r="AL138" s="3"/>
      <c r="AM138" s="3"/>
      <c r="AN138" s="3"/>
      <c r="AO138" s="3"/>
    </row>
    <row r="139" spans="2:41" s="171" customFormat="1" x14ac:dyDescent="0.25">
      <c r="B139" s="13"/>
      <c r="C139" s="14"/>
      <c r="D139" s="14"/>
      <c r="E139" s="56"/>
      <c r="F139" s="56"/>
      <c r="G139" s="14"/>
      <c r="H139" s="56"/>
      <c r="I139" s="14"/>
      <c r="J139" s="14"/>
      <c r="K139" s="14"/>
      <c r="L139" s="14"/>
      <c r="M139" s="14"/>
      <c r="N139" s="14"/>
      <c r="O139" s="14"/>
      <c r="P139" s="14"/>
      <c r="Q139" s="14"/>
      <c r="R139" s="14"/>
      <c r="S139" s="14"/>
      <c r="T139" s="14"/>
      <c r="U139" s="14"/>
      <c r="V139" s="14"/>
      <c r="W139" s="14"/>
      <c r="X139" s="14"/>
      <c r="Y139" s="14"/>
      <c r="Z139" s="14"/>
      <c r="AA139" s="15"/>
      <c r="AB139" s="3"/>
      <c r="AC139" s="3"/>
      <c r="AD139" s="3"/>
      <c r="AE139" s="3"/>
      <c r="AF139" s="3"/>
      <c r="AG139" s="3"/>
      <c r="AH139" s="3"/>
      <c r="AI139" s="3"/>
      <c r="AJ139" s="3"/>
      <c r="AK139" s="3"/>
      <c r="AL139" s="3"/>
      <c r="AM139" s="3"/>
      <c r="AN139" s="3"/>
      <c r="AO139" s="3"/>
    </row>
    <row r="140" spans="2:41" s="171" customFormat="1" x14ac:dyDescent="0.25">
      <c r="B140" s="13"/>
      <c r="C140" s="14"/>
      <c r="D140" s="60"/>
      <c r="E140" s="56"/>
      <c r="F140" s="56"/>
      <c r="G140" s="57"/>
      <c r="H140" s="14"/>
      <c r="I140" s="14"/>
      <c r="J140" s="14"/>
      <c r="K140" s="14"/>
      <c r="L140" s="14"/>
      <c r="M140" s="14"/>
      <c r="N140" s="14"/>
      <c r="O140" s="14"/>
      <c r="P140" s="14"/>
      <c r="Q140" s="14"/>
      <c r="R140" s="14"/>
      <c r="S140" s="14"/>
      <c r="T140" s="14"/>
      <c r="U140" s="14"/>
      <c r="V140" s="14"/>
      <c r="W140" s="14"/>
      <c r="X140" s="14"/>
      <c r="Y140" s="14"/>
      <c r="Z140" s="14"/>
      <c r="AA140" s="15"/>
      <c r="AB140" s="3"/>
      <c r="AC140" s="3"/>
      <c r="AD140" s="3"/>
      <c r="AE140" s="3"/>
      <c r="AF140" s="3"/>
      <c r="AG140" s="3"/>
      <c r="AH140" s="3"/>
      <c r="AI140" s="3"/>
      <c r="AJ140" s="3"/>
      <c r="AK140" s="3"/>
      <c r="AL140" s="3"/>
      <c r="AM140" s="3"/>
      <c r="AN140" s="3"/>
      <c r="AO140" s="3"/>
    </row>
    <row r="141" spans="2:41" s="171" customFormat="1" x14ac:dyDescent="0.25">
      <c r="B141" s="13"/>
      <c r="C141" s="14"/>
      <c r="D141" s="60"/>
      <c r="E141" s="56"/>
      <c r="F141" s="56"/>
      <c r="G141" s="128"/>
      <c r="H141" s="56"/>
      <c r="I141" s="14"/>
      <c r="J141" s="14"/>
      <c r="K141" s="14"/>
      <c r="L141" s="14"/>
      <c r="M141" s="14"/>
      <c r="N141" s="14"/>
      <c r="O141" s="14"/>
      <c r="P141" s="14"/>
      <c r="Q141" s="14"/>
      <c r="R141" s="14"/>
      <c r="S141" s="14"/>
      <c r="T141" s="14"/>
      <c r="U141" s="14"/>
      <c r="V141" s="14"/>
      <c r="W141" s="14"/>
      <c r="X141" s="14"/>
      <c r="Y141" s="14"/>
      <c r="Z141" s="14"/>
      <c r="AA141" s="15"/>
      <c r="AB141" s="3"/>
      <c r="AC141" s="3"/>
      <c r="AD141" s="3"/>
      <c r="AE141" s="3"/>
      <c r="AF141" s="3"/>
      <c r="AG141" s="3"/>
      <c r="AH141" s="3"/>
      <c r="AI141" s="3"/>
      <c r="AJ141" s="3"/>
      <c r="AK141" s="3"/>
      <c r="AL141" s="3"/>
      <c r="AM141" s="3"/>
      <c r="AN141" s="3"/>
      <c r="AO141" s="3"/>
    </row>
    <row r="142" spans="2:41" s="171" customFormat="1" x14ac:dyDescent="0.25">
      <c r="B142" s="13"/>
      <c r="C142" s="14"/>
      <c r="D142" s="60"/>
      <c r="E142" s="56"/>
      <c r="F142" s="56"/>
      <c r="G142" s="14"/>
      <c r="H142" s="56"/>
      <c r="I142" s="14"/>
      <c r="J142" s="14"/>
      <c r="K142" s="14"/>
      <c r="L142" s="14"/>
      <c r="M142" s="14"/>
      <c r="N142" s="14"/>
      <c r="O142" s="14"/>
      <c r="P142" s="14"/>
      <c r="Q142" s="14"/>
      <c r="R142" s="14"/>
      <c r="S142" s="14"/>
      <c r="T142" s="14"/>
      <c r="U142" s="14"/>
      <c r="V142" s="14"/>
      <c r="W142" s="14"/>
      <c r="X142" s="14"/>
      <c r="Y142" s="14"/>
      <c r="Z142" s="14"/>
      <c r="AA142" s="15"/>
      <c r="AB142" s="3"/>
      <c r="AC142" s="3"/>
      <c r="AD142" s="3"/>
      <c r="AE142" s="3"/>
      <c r="AF142" s="3"/>
      <c r="AG142" s="3"/>
      <c r="AH142" s="3"/>
      <c r="AI142" s="3"/>
      <c r="AJ142" s="3"/>
      <c r="AK142" s="3"/>
      <c r="AL142" s="3"/>
      <c r="AM142" s="3"/>
      <c r="AN142" s="3"/>
      <c r="AO142" s="3"/>
    </row>
    <row r="143" spans="2:41" s="171" customFormat="1" x14ac:dyDescent="0.25">
      <c r="B143" s="13"/>
      <c r="C143" s="14"/>
      <c r="D143" s="60"/>
      <c r="E143" s="56"/>
      <c r="F143" s="56"/>
      <c r="G143" s="14"/>
      <c r="H143" s="56"/>
      <c r="I143" s="14"/>
      <c r="J143" s="14"/>
      <c r="K143" s="14"/>
      <c r="L143" s="14"/>
      <c r="M143" s="14"/>
      <c r="N143" s="14"/>
      <c r="O143" s="14"/>
      <c r="P143" s="14"/>
      <c r="Q143" s="14"/>
      <c r="R143" s="14"/>
      <c r="S143" s="14"/>
      <c r="T143" s="14"/>
      <c r="U143" s="14"/>
      <c r="V143" s="14"/>
      <c r="W143" s="14"/>
      <c r="X143" s="14"/>
      <c r="Y143" s="14"/>
      <c r="Z143" s="14"/>
      <c r="AA143" s="15"/>
      <c r="AB143" s="3"/>
      <c r="AC143" s="3"/>
      <c r="AD143" s="3"/>
      <c r="AE143" s="3"/>
      <c r="AF143" s="3"/>
      <c r="AG143" s="3"/>
      <c r="AH143" s="3"/>
      <c r="AI143" s="3"/>
      <c r="AJ143" s="3"/>
      <c r="AK143" s="3"/>
      <c r="AL143" s="3"/>
      <c r="AM143" s="3"/>
      <c r="AN143" s="3"/>
      <c r="AO143" s="3"/>
    </row>
    <row r="144" spans="2:41" s="171" customFormat="1" x14ac:dyDescent="0.25">
      <c r="B144" s="13"/>
      <c r="C144" s="56"/>
      <c r="D144" s="60"/>
      <c r="E144" s="56"/>
      <c r="F144" s="56"/>
      <c r="G144" s="56"/>
      <c r="H144" s="56"/>
      <c r="I144" s="14"/>
      <c r="J144" s="14"/>
      <c r="K144" s="14"/>
      <c r="L144" s="14"/>
      <c r="M144" s="14"/>
      <c r="N144" s="14"/>
      <c r="O144" s="14"/>
      <c r="P144" s="14"/>
      <c r="Q144" s="14"/>
      <c r="R144" s="14"/>
      <c r="S144" s="14"/>
      <c r="T144" s="14"/>
      <c r="U144" s="14"/>
      <c r="V144" s="14"/>
      <c r="W144" s="14"/>
      <c r="X144" s="14"/>
      <c r="Y144" s="14"/>
      <c r="Z144" s="14"/>
      <c r="AA144" s="15"/>
      <c r="AB144" s="3"/>
      <c r="AC144" s="3"/>
      <c r="AD144" s="3"/>
      <c r="AE144" s="3"/>
      <c r="AF144" s="3"/>
      <c r="AG144" s="3"/>
      <c r="AH144" s="3"/>
      <c r="AI144" s="3"/>
      <c r="AJ144" s="3"/>
      <c r="AK144" s="3"/>
      <c r="AL144" s="3"/>
      <c r="AM144" s="3"/>
      <c r="AN144" s="3"/>
      <c r="AO144" s="3"/>
    </row>
    <row r="145" spans="2:41" s="171" customFormat="1" x14ac:dyDescent="0.25">
      <c r="B145" s="13"/>
      <c r="C145" s="14"/>
      <c r="D145" s="60"/>
      <c r="E145" s="56"/>
      <c r="F145" s="56"/>
      <c r="G145" s="14"/>
      <c r="H145" s="56"/>
      <c r="I145" s="14"/>
      <c r="J145" s="14"/>
      <c r="K145" s="14"/>
      <c r="L145" s="14"/>
      <c r="M145" s="14"/>
      <c r="N145" s="14"/>
      <c r="O145" s="14"/>
      <c r="P145" s="14"/>
      <c r="Q145" s="14"/>
      <c r="R145" s="14"/>
      <c r="S145" s="14"/>
      <c r="T145" s="14"/>
      <c r="U145" s="14"/>
      <c r="V145" s="14"/>
      <c r="W145" s="14"/>
      <c r="X145" s="14"/>
      <c r="Y145" s="14"/>
      <c r="Z145" s="14"/>
      <c r="AA145" s="15"/>
      <c r="AB145" s="3"/>
      <c r="AC145" s="3"/>
      <c r="AD145" s="3"/>
      <c r="AE145" s="3"/>
      <c r="AF145" s="3"/>
      <c r="AG145" s="3"/>
      <c r="AH145" s="3"/>
      <c r="AI145" s="3"/>
      <c r="AJ145" s="3"/>
      <c r="AK145" s="3"/>
      <c r="AL145" s="3"/>
      <c r="AM145" s="3"/>
      <c r="AN145" s="3"/>
      <c r="AO145" s="3"/>
    </row>
    <row r="146" spans="2:41" s="171" customFormat="1" x14ac:dyDescent="0.25">
      <c r="B146" s="13"/>
      <c r="C146" s="14"/>
      <c r="D146" s="14"/>
      <c r="E146" s="56"/>
      <c r="F146" s="56"/>
      <c r="G146" s="14"/>
      <c r="H146" s="56"/>
      <c r="I146" s="14"/>
      <c r="J146" s="14"/>
      <c r="K146" s="14"/>
      <c r="L146" s="14"/>
      <c r="M146" s="14"/>
      <c r="N146" s="14"/>
      <c r="O146" s="14"/>
      <c r="P146" s="14"/>
      <c r="Q146" s="14"/>
      <c r="R146" s="14"/>
      <c r="S146" s="14"/>
      <c r="T146" s="14"/>
      <c r="U146" s="14"/>
      <c r="V146" s="14"/>
      <c r="W146" s="14"/>
      <c r="X146" s="14"/>
      <c r="Y146" s="14"/>
      <c r="Z146" s="14"/>
      <c r="AA146" s="15"/>
      <c r="AB146" s="3"/>
      <c r="AC146" s="3"/>
      <c r="AD146" s="3"/>
      <c r="AE146" s="3"/>
      <c r="AF146" s="3"/>
      <c r="AG146" s="3"/>
      <c r="AH146" s="3"/>
      <c r="AI146" s="3"/>
      <c r="AJ146" s="3"/>
      <c r="AK146" s="3"/>
      <c r="AL146" s="3"/>
      <c r="AM146" s="3"/>
      <c r="AN146" s="3"/>
      <c r="AO146" s="3"/>
    </row>
    <row r="147" spans="2:41" s="171" customFormat="1" x14ac:dyDescent="0.25">
      <c r="B147" s="13"/>
      <c r="C147" s="14"/>
      <c r="D147" s="60"/>
      <c r="E147" s="56"/>
      <c r="F147" s="56"/>
      <c r="G147" s="14"/>
      <c r="H147" s="14"/>
      <c r="I147" s="14"/>
      <c r="J147" s="14"/>
      <c r="K147" s="14"/>
      <c r="L147" s="14"/>
      <c r="M147" s="14"/>
      <c r="N147" s="14"/>
      <c r="O147" s="14"/>
      <c r="P147" s="14"/>
      <c r="Q147" s="14"/>
      <c r="R147" s="14"/>
      <c r="S147" s="14"/>
      <c r="T147" s="14"/>
      <c r="U147" s="14"/>
      <c r="V147" s="14"/>
      <c r="W147" s="14"/>
      <c r="X147" s="14"/>
      <c r="Y147" s="14"/>
      <c r="Z147" s="14"/>
      <c r="AA147" s="15"/>
      <c r="AB147" s="3"/>
      <c r="AC147" s="3"/>
      <c r="AD147" s="3"/>
      <c r="AE147" s="3"/>
      <c r="AF147" s="3"/>
      <c r="AG147" s="3"/>
      <c r="AH147" s="3"/>
      <c r="AI147" s="3"/>
      <c r="AJ147" s="3"/>
      <c r="AK147" s="3"/>
      <c r="AL147" s="3"/>
      <c r="AM147" s="3"/>
      <c r="AN147" s="3"/>
      <c r="AO147" s="3"/>
    </row>
    <row r="148" spans="2:41" s="171" customFormat="1" x14ac:dyDescent="0.25">
      <c r="B148" s="13"/>
      <c r="C148" s="14"/>
      <c r="D148" s="60"/>
      <c r="E148" s="56"/>
      <c r="F148" s="56"/>
      <c r="G148" s="14"/>
      <c r="H148" s="56"/>
      <c r="I148" s="14"/>
      <c r="J148" s="14"/>
      <c r="K148" s="14"/>
      <c r="L148" s="14"/>
      <c r="M148" s="14"/>
      <c r="N148" s="14"/>
      <c r="O148" s="14"/>
      <c r="P148" s="14"/>
      <c r="Q148" s="14"/>
      <c r="R148" s="14"/>
      <c r="S148" s="14"/>
      <c r="T148" s="14"/>
      <c r="U148" s="14"/>
      <c r="V148" s="14"/>
      <c r="W148" s="14"/>
      <c r="X148" s="14"/>
      <c r="Y148" s="14"/>
      <c r="Z148" s="14"/>
      <c r="AA148" s="15"/>
      <c r="AB148" s="3"/>
      <c r="AC148" s="3"/>
      <c r="AD148" s="3"/>
      <c r="AE148" s="3"/>
      <c r="AF148" s="3"/>
      <c r="AG148" s="3"/>
      <c r="AH148" s="3"/>
      <c r="AI148" s="3"/>
      <c r="AJ148" s="3"/>
      <c r="AK148" s="3"/>
      <c r="AL148" s="3"/>
      <c r="AM148" s="3"/>
      <c r="AN148" s="3"/>
      <c r="AO148" s="3"/>
    </row>
    <row r="149" spans="2:41" s="171" customFormat="1" x14ac:dyDescent="0.25">
      <c r="B149" s="13"/>
      <c r="C149" s="14"/>
      <c r="D149" s="60"/>
      <c r="E149" s="56"/>
      <c r="F149" s="56"/>
      <c r="G149" s="14"/>
      <c r="H149" s="56"/>
      <c r="I149" s="14"/>
      <c r="J149" s="14"/>
      <c r="K149" s="14"/>
      <c r="L149" s="14"/>
      <c r="M149" s="14"/>
      <c r="N149" s="14"/>
      <c r="O149" s="14"/>
      <c r="P149" s="14"/>
      <c r="Q149" s="14"/>
      <c r="R149" s="14"/>
      <c r="S149" s="14"/>
      <c r="T149" s="14"/>
      <c r="U149" s="14"/>
      <c r="V149" s="14"/>
      <c r="W149" s="14"/>
      <c r="X149" s="14"/>
      <c r="Y149" s="14"/>
      <c r="Z149" s="14"/>
      <c r="AA149" s="15"/>
      <c r="AB149" s="3"/>
      <c r="AC149" s="3"/>
      <c r="AD149" s="3"/>
      <c r="AE149" s="3"/>
      <c r="AF149" s="3"/>
      <c r="AG149" s="3"/>
      <c r="AH149" s="3"/>
      <c r="AI149" s="3"/>
      <c r="AJ149" s="3"/>
      <c r="AK149" s="3"/>
      <c r="AL149" s="3"/>
      <c r="AM149" s="3"/>
      <c r="AN149" s="3"/>
      <c r="AO149" s="3"/>
    </row>
    <row r="150" spans="2:41" s="171" customFormat="1" x14ac:dyDescent="0.25">
      <c r="B150" s="13"/>
      <c r="C150" s="14"/>
      <c r="D150" s="60"/>
      <c r="E150" s="56"/>
      <c r="F150" s="56"/>
      <c r="G150" s="14"/>
      <c r="H150" s="56"/>
      <c r="I150" s="14"/>
      <c r="J150" s="14"/>
      <c r="K150" s="14"/>
      <c r="L150" s="14"/>
      <c r="M150" s="14"/>
      <c r="N150" s="14"/>
      <c r="O150" s="14"/>
      <c r="P150" s="14"/>
      <c r="Q150" s="14"/>
      <c r="R150" s="14"/>
      <c r="S150" s="14"/>
      <c r="T150" s="14"/>
      <c r="U150" s="14"/>
      <c r="V150" s="14"/>
      <c r="W150" s="14"/>
      <c r="X150" s="14"/>
      <c r="Y150" s="14"/>
      <c r="Z150" s="14"/>
      <c r="AA150" s="15"/>
      <c r="AB150" s="3"/>
      <c r="AC150" s="3"/>
      <c r="AD150" s="3"/>
      <c r="AE150" s="3"/>
      <c r="AF150" s="3"/>
      <c r="AG150" s="3"/>
      <c r="AH150" s="3"/>
      <c r="AI150" s="3"/>
      <c r="AJ150" s="3"/>
      <c r="AK150" s="3"/>
      <c r="AL150" s="3"/>
      <c r="AM150" s="3"/>
      <c r="AN150" s="3"/>
      <c r="AO150" s="3"/>
    </row>
    <row r="151" spans="2:41" s="171" customFormat="1" x14ac:dyDescent="0.25">
      <c r="B151" s="13"/>
      <c r="C151" s="56"/>
      <c r="D151" s="60"/>
      <c r="E151" s="56"/>
      <c r="F151" s="56"/>
      <c r="G151" s="56"/>
      <c r="H151" s="56"/>
      <c r="I151" s="14"/>
      <c r="J151" s="14"/>
      <c r="K151" s="14"/>
      <c r="L151" s="14"/>
      <c r="M151" s="14"/>
      <c r="N151" s="14"/>
      <c r="O151" s="14"/>
      <c r="P151" s="14"/>
      <c r="Q151" s="14"/>
      <c r="R151" s="14"/>
      <c r="S151" s="14"/>
      <c r="T151" s="14"/>
      <c r="U151" s="14"/>
      <c r="V151" s="14"/>
      <c r="W151" s="14"/>
      <c r="X151" s="14"/>
      <c r="Y151" s="14"/>
      <c r="Z151" s="14"/>
      <c r="AA151" s="15"/>
      <c r="AB151" s="3"/>
      <c r="AC151" s="3"/>
      <c r="AD151" s="3"/>
      <c r="AE151" s="3"/>
      <c r="AF151" s="3"/>
      <c r="AG151" s="3"/>
      <c r="AH151" s="3"/>
      <c r="AI151" s="3"/>
      <c r="AJ151" s="3"/>
      <c r="AK151" s="3"/>
      <c r="AL151" s="3"/>
      <c r="AM151" s="3"/>
      <c r="AN151" s="3"/>
      <c r="AO151" s="3"/>
    </row>
    <row r="152" spans="2:41" s="171" customFormat="1" ht="18.75" x14ac:dyDescent="0.3">
      <c r="B152" s="67"/>
      <c r="C152" s="14"/>
      <c r="D152" s="60"/>
      <c r="E152" s="56"/>
      <c r="F152" s="56"/>
      <c r="G152" s="14"/>
      <c r="H152" s="56"/>
      <c r="I152" s="74"/>
      <c r="J152" s="14"/>
      <c r="K152" s="14"/>
      <c r="L152" s="14"/>
      <c r="M152" s="14"/>
      <c r="N152" s="14"/>
      <c r="O152" s="14"/>
      <c r="P152" s="14"/>
      <c r="Q152" s="14"/>
      <c r="R152" s="14"/>
      <c r="S152" s="14"/>
      <c r="T152" s="14"/>
      <c r="U152" s="14"/>
      <c r="V152" s="14"/>
      <c r="W152" s="14"/>
      <c r="X152" s="14"/>
      <c r="Y152" s="14"/>
      <c r="Z152" s="14"/>
      <c r="AA152" s="15"/>
      <c r="AB152" s="3"/>
      <c r="AC152" s="3"/>
      <c r="AD152" s="3"/>
      <c r="AE152" s="3"/>
      <c r="AF152" s="3"/>
      <c r="AG152" s="3"/>
      <c r="AH152" s="3"/>
      <c r="AI152" s="3"/>
      <c r="AJ152" s="3"/>
      <c r="AK152" s="3"/>
      <c r="AL152" s="3"/>
      <c r="AM152" s="3"/>
      <c r="AN152" s="3"/>
      <c r="AO152" s="3"/>
    </row>
    <row r="153" spans="2:41" s="171" customFormat="1" x14ac:dyDescent="0.25">
      <c r="B153" s="13"/>
      <c r="C153" s="14"/>
      <c r="D153" s="14"/>
      <c r="E153" s="56"/>
      <c r="F153" s="56"/>
      <c r="G153" s="14"/>
      <c r="H153" s="56"/>
      <c r="I153" s="14"/>
      <c r="J153" s="14"/>
      <c r="K153" s="14"/>
      <c r="L153" s="14"/>
      <c r="M153" s="14"/>
      <c r="N153" s="14"/>
      <c r="O153" s="14"/>
      <c r="P153" s="14"/>
      <c r="Q153" s="14"/>
      <c r="R153" s="14"/>
      <c r="S153" s="14"/>
      <c r="T153" s="14"/>
      <c r="U153" s="14"/>
      <c r="V153" s="14"/>
      <c r="W153" s="14"/>
      <c r="X153" s="14"/>
      <c r="Y153" s="14"/>
      <c r="Z153" s="14"/>
      <c r="AA153" s="15"/>
      <c r="AB153" s="3"/>
      <c r="AC153" s="3"/>
      <c r="AD153" s="3"/>
      <c r="AE153" s="3"/>
      <c r="AF153" s="3"/>
      <c r="AG153" s="3"/>
      <c r="AH153" s="3"/>
      <c r="AI153" s="3"/>
      <c r="AJ153" s="3"/>
      <c r="AK153" s="3"/>
      <c r="AL153" s="3"/>
      <c r="AM153" s="3"/>
      <c r="AN153" s="3"/>
      <c r="AO153" s="3"/>
    </row>
    <row r="154" spans="2:41" s="171" customFormat="1" x14ac:dyDescent="0.25">
      <c r="B154" s="13"/>
      <c r="C154" s="14"/>
      <c r="D154" s="60"/>
      <c r="E154" s="56"/>
      <c r="F154" s="56"/>
      <c r="G154" s="14"/>
      <c r="H154" s="14"/>
      <c r="I154" s="14"/>
      <c r="J154" s="14"/>
      <c r="K154" s="14"/>
      <c r="L154" s="14"/>
      <c r="M154" s="14"/>
      <c r="N154" s="14"/>
      <c r="O154" s="14"/>
      <c r="P154" s="14"/>
      <c r="Q154" s="14"/>
      <c r="R154" s="14"/>
      <c r="S154" s="14"/>
      <c r="T154" s="14"/>
      <c r="U154" s="14"/>
      <c r="V154" s="14"/>
      <c r="W154" s="14"/>
      <c r="X154" s="14"/>
      <c r="Y154" s="14"/>
      <c r="Z154" s="14"/>
      <c r="AA154" s="15"/>
      <c r="AB154" s="3"/>
      <c r="AC154" s="3"/>
      <c r="AD154" s="3"/>
      <c r="AE154" s="3"/>
      <c r="AF154" s="3"/>
      <c r="AG154" s="3"/>
      <c r="AH154" s="3"/>
      <c r="AI154" s="3"/>
      <c r="AJ154" s="3"/>
      <c r="AK154" s="3"/>
      <c r="AL154" s="3"/>
      <c r="AM154" s="3"/>
      <c r="AN154" s="3"/>
      <c r="AO154" s="3"/>
    </row>
    <row r="155" spans="2:41" s="171" customFormat="1" x14ac:dyDescent="0.25">
      <c r="B155" s="13"/>
      <c r="C155" s="14"/>
      <c r="D155" s="60"/>
      <c r="E155" s="56"/>
      <c r="F155" s="56"/>
      <c r="G155" s="14"/>
      <c r="H155" s="56"/>
      <c r="I155" s="14"/>
      <c r="J155" s="14"/>
      <c r="K155" s="14"/>
      <c r="L155" s="14"/>
      <c r="M155" s="14"/>
      <c r="N155" s="14"/>
      <c r="O155" s="14"/>
      <c r="P155" s="14"/>
      <c r="Q155" s="14"/>
      <c r="R155" s="14"/>
      <c r="S155" s="14"/>
      <c r="T155" s="14"/>
      <c r="U155" s="14"/>
      <c r="V155" s="14"/>
      <c r="W155" s="14"/>
      <c r="X155" s="14"/>
      <c r="Y155" s="14"/>
      <c r="Z155" s="14"/>
      <c r="AA155" s="15"/>
      <c r="AB155" s="3"/>
      <c r="AC155" s="3"/>
      <c r="AD155" s="3"/>
      <c r="AE155" s="3"/>
      <c r="AF155" s="3"/>
      <c r="AG155" s="3"/>
      <c r="AH155" s="3"/>
      <c r="AI155" s="3"/>
      <c r="AJ155" s="3"/>
      <c r="AK155" s="3"/>
      <c r="AL155" s="3"/>
      <c r="AM155" s="3"/>
      <c r="AN155" s="3"/>
      <c r="AO155" s="3"/>
    </row>
    <row r="156" spans="2:41" s="171" customFormat="1" x14ac:dyDescent="0.25">
      <c r="B156" s="13"/>
      <c r="C156" s="14"/>
      <c r="D156" s="60"/>
      <c r="E156" s="56"/>
      <c r="F156" s="56"/>
      <c r="G156" s="14"/>
      <c r="H156" s="56"/>
      <c r="I156" s="14"/>
      <c r="J156" s="14"/>
      <c r="K156" s="14"/>
      <c r="L156" s="14"/>
      <c r="M156" s="14"/>
      <c r="N156" s="14"/>
      <c r="O156" s="14"/>
      <c r="P156" s="14"/>
      <c r="Q156" s="14"/>
      <c r="R156" s="14"/>
      <c r="S156" s="14"/>
      <c r="T156" s="14"/>
      <c r="U156" s="14"/>
      <c r="V156" s="14"/>
      <c r="W156" s="14"/>
      <c r="X156" s="14"/>
      <c r="Y156" s="14"/>
      <c r="Z156" s="14"/>
      <c r="AA156" s="15"/>
      <c r="AB156" s="3"/>
      <c r="AC156" s="3"/>
      <c r="AD156" s="3"/>
      <c r="AE156" s="3"/>
      <c r="AF156" s="3"/>
      <c r="AG156" s="3"/>
      <c r="AH156" s="3"/>
      <c r="AI156" s="3"/>
      <c r="AJ156" s="3"/>
      <c r="AK156" s="3"/>
      <c r="AL156" s="3"/>
      <c r="AM156" s="3"/>
      <c r="AN156" s="3"/>
      <c r="AO156" s="3"/>
    </row>
    <row r="157" spans="2:41" s="171" customFormat="1" x14ac:dyDescent="0.25">
      <c r="B157" s="13"/>
      <c r="C157" s="14"/>
      <c r="D157" s="60"/>
      <c r="E157" s="56"/>
      <c r="F157" s="56"/>
      <c r="G157" s="14"/>
      <c r="H157" s="56"/>
      <c r="I157" s="14"/>
      <c r="J157" s="14"/>
      <c r="K157" s="14"/>
      <c r="L157" s="14"/>
      <c r="M157" s="14"/>
      <c r="N157" s="14"/>
      <c r="O157" s="14"/>
      <c r="P157" s="14"/>
      <c r="Q157" s="14"/>
      <c r="R157" s="14"/>
      <c r="S157" s="14"/>
      <c r="T157" s="14"/>
      <c r="U157" s="14"/>
      <c r="V157" s="14"/>
      <c r="W157" s="14"/>
      <c r="X157" s="14"/>
      <c r="Y157" s="14"/>
      <c r="Z157" s="14"/>
      <c r="AA157" s="15"/>
      <c r="AB157" s="3"/>
      <c r="AC157" s="3"/>
      <c r="AD157" s="3"/>
      <c r="AE157" s="3"/>
      <c r="AF157" s="3"/>
      <c r="AG157" s="3"/>
      <c r="AH157" s="3"/>
      <c r="AI157" s="3"/>
      <c r="AJ157" s="3"/>
      <c r="AK157" s="3"/>
      <c r="AL157" s="3"/>
      <c r="AM157" s="3"/>
      <c r="AN157" s="3"/>
      <c r="AO157" s="3"/>
    </row>
    <row r="158" spans="2:41" s="171" customFormat="1" x14ac:dyDescent="0.25">
      <c r="B158" s="13"/>
      <c r="C158" s="56"/>
      <c r="D158" s="60"/>
      <c r="E158" s="56"/>
      <c r="F158" s="56"/>
      <c r="G158" s="56"/>
      <c r="H158" s="56"/>
      <c r="I158" s="14"/>
      <c r="J158" s="14"/>
      <c r="K158" s="14"/>
      <c r="L158" s="14"/>
      <c r="M158" s="14"/>
      <c r="N158" s="14"/>
      <c r="O158" s="14"/>
      <c r="P158" s="14"/>
      <c r="Q158" s="14"/>
      <c r="R158" s="14"/>
      <c r="S158" s="14"/>
      <c r="T158" s="14"/>
      <c r="U158" s="14"/>
      <c r="V158" s="14"/>
      <c r="W158" s="14"/>
      <c r="X158" s="14"/>
      <c r="Y158" s="14"/>
      <c r="Z158" s="14"/>
      <c r="AA158" s="15"/>
      <c r="AB158" s="3"/>
      <c r="AC158" s="3"/>
      <c r="AD158" s="3"/>
      <c r="AE158" s="3"/>
      <c r="AF158" s="3"/>
      <c r="AG158" s="3"/>
      <c r="AH158" s="3"/>
      <c r="AI158" s="3"/>
      <c r="AJ158" s="3"/>
      <c r="AK158" s="3"/>
      <c r="AL158" s="3"/>
      <c r="AM158" s="3"/>
      <c r="AN158" s="3"/>
      <c r="AO158" s="3"/>
    </row>
    <row r="159" spans="2:41" s="171" customFormat="1" x14ac:dyDescent="0.25">
      <c r="B159" s="13"/>
      <c r="C159" s="14"/>
      <c r="D159" s="60"/>
      <c r="E159" s="56"/>
      <c r="F159" s="56"/>
      <c r="G159" s="14"/>
      <c r="H159" s="56"/>
      <c r="I159" s="14"/>
      <c r="J159" s="14"/>
      <c r="K159" s="14"/>
      <c r="L159" s="14"/>
      <c r="M159" s="14"/>
      <c r="N159" s="14"/>
      <c r="O159" s="14"/>
      <c r="P159" s="14"/>
      <c r="Q159" s="14"/>
      <c r="R159" s="14"/>
      <c r="S159" s="14"/>
      <c r="T159" s="14"/>
      <c r="U159" s="14"/>
      <c r="V159" s="14"/>
      <c r="W159" s="14"/>
      <c r="X159" s="14"/>
      <c r="Y159" s="14"/>
      <c r="Z159" s="14"/>
      <c r="AA159" s="15"/>
      <c r="AB159" s="3"/>
      <c r="AC159" s="3"/>
      <c r="AD159" s="3"/>
      <c r="AE159" s="3"/>
      <c r="AF159" s="3"/>
      <c r="AG159" s="3"/>
      <c r="AH159" s="3"/>
      <c r="AI159" s="3"/>
      <c r="AJ159" s="3"/>
      <c r="AK159" s="3"/>
      <c r="AL159" s="3"/>
      <c r="AM159" s="3"/>
      <c r="AN159" s="3"/>
      <c r="AO159" s="3"/>
    </row>
    <row r="160" spans="2:41" s="171" customFormat="1" ht="18.75" x14ac:dyDescent="0.3">
      <c r="B160" s="67"/>
      <c r="C160" s="14"/>
      <c r="D160" s="14"/>
      <c r="E160" s="56"/>
      <c r="F160" s="56"/>
      <c r="G160" s="14"/>
      <c r="H160" s="56"/>
      <c r="I160" s="74"/>
      <c r="J160" s="14"/>
      <c r="K160" s="14"/>
      <c r="L160" s="14"/>
      <c r="M160" s="14"/>
      <c r="N160" s="14"/>
      <c r="O160" s="14"/>
      <c r="P160" s="14"/>
      <c r="Q160" s="14"/>
      <c r="R160" s="14"/>
      <c r="S160" s="14"/>
      <c r="T160" s="14"/>
      <c r="U160" s="14"/>
      <c r="V160" s="14"/>
      <c r="W160" s="14"/>
      <c r="X160" s="14"/>
      <c r="Y160" s="14"/>
      <c r="Z160" s="14"/>
      <c r="AA160" s="15"/>
      <c r="AB160" s="3"/>
      <c r="AC160" s="3"/>
      <c r="AD160" s="3"/>
      <c r="AE160" s="3"/>
      <c r="AF160" s="3"/>
      <c r="AG160" s="3"/>
      <c r="AH160" s="3"/>
      <c r="AI160" s="3"/>
      <c r="AJ160" s="3"/>
      <c r="AK160" s="3"/>
      <c r="AL160" s="3"/>
      <c r="AM160" s="3"/>
      <c r="AN160" s="3"/>
      <c r="AO160" s="3"/>
    </row>
    <row r="161" spans="2:41" s="171" customFormat="1" x14ac:dyDescent="0.25">
      <c r="B161" s="13"/>
      <c r="C161" s="14"/>
      <c r="D161" s="60"/>
      <c r="E161" s="56"/>
      <c r="F161" s="56"/>
      <c r="G161" s="14"/>
      <c r="H161" s="14"/>
      <c r="I161" s="14"/>
      <c r="J161" s="14"/>
      <c r="K161" s="14"/>
      <c r="L161" s="14"/>
      <c r="M161" s="14"/>
      <c r="N161" s="14"/>
      <c r="O161" s="14"/>
      <c r="P161" s="14"/>
      <c r="Q161" s="14"/>
      <c r="R161" s="14"/>
      <c r="S161" s="14"/>
      <c r="T161" s="14"/>
      <c r="U161" s="14"/>
      <c r="V161" s="14"/>
      <c r="W161" s="14"/>
      <c r="X161" s="14"/>
      <c r="Y161" s="14"/>
      <c r="Z161" s="14"/>
      <c r="AA161" s="15"/>
      <c r="AB161" s="3"/>
      <c r="AC161" s="3"/>
      <c r="AD161" s="3"/>
      <c r="AE161" s="3"/>
      <c r="AF161" s="3"/>
      <c r="AG161" s="3"/>
      <c r="AH161" s="3"/>
      <c r="AI161" s="3"/>
      <c r="AJ161" s="3"/>
      <c r="AK161" s="3"/>
      <c r="AL161" s="3"/>
      <c r="AM161" s="3"/>
      <c r="AN161" s="3"/>
      <c r="AO161" s="3"/>
    </row>
    <row r="162" spans="2:41" s="171" customFormat="1" x14ac:dyDescent="0.25">
      <c r="B162" s="13"/>
      <c r="C162" s="14"/>
      <c r="D162" s="60"/>
      <c r="E162" s="56"/>
      <c r="F162" s="56"/>
      <c r="G162" s="14"/>
      <c r="H162" s="56"/>
      <c r="I162" s="14"/>
      <c r="J162" s="14"/>
      <c r="K162" s="14"/>
      <c r="L162" s="14"/>
      <c r="M162" s="14"/>
      <c r="N162" s="14"/>
      <c r="O162" s="14"/>
      <c r="P162" s="14"/>
      <c r="Q162" s="14"/>
      <c r="R162" s="14"/>
      <c r="S162" s="14"/>
      <c r="T162" s="14"/>
      <c r="U162" s="14"/>
      <c r="V162" s="14"/>
      <c r="W162" s="14"/>
      <c r="X162" s="14"/>
      <c r="Y162" s="14"/>
      <c r="Z162" s="14"/>
      <c r="AA162" s="15"/>
      <c r="AB162" s="3"/>
      <c r="AC162" s="3"/>
      <c r="AD162" s="3"/>
      <c r="AE162" s="3"/>
      <c r="AF162" s="3"/>
      <c r="AG162" s="3"/>
      <c r="AH162" s="3"/>
      <c r="AI162" s="3"/>
      <c r="AJ162" s="3"/>
      <c r="AK162" s="3"/>
      <c r="AL162" s="3"/>
      <c r="AM162" s="3"/>
      <c r="AN162" s="3"/>
      <c r="AO162" s="3"/>
    </row>
    <row r="163" spans="2:41" s="171" customFormat="1" x14ac:dyDescent="0.25">
      <c r="B163" s="13"/>
      <c r="C163" s="14"/>
      <c r="D163" s="60"/>
      <c r="E163" s="56"/>
      <c r="F163" s="56"/>
      <c r="G163" s="14"/>
      <c r="H163" s="56"/>
      <c r="I163" s="14"/>
      <c r="J163" s="14"/>
      <c r="K163" s="14"/>
      <c r="L163" s="14"/>
      <c r="M163" s="14"/>
      <c r="N163" s="14"/>
      <c r="O163" s="14"/>
      <c r="P163" s="14"/>
      <c r="Q163" s="14"/>
      <c r="R163" s="14"/>
      <c r="S163" s="14"/>
      <c r="T163" s="14"/>
      <c r="U163" s="14"/>
      <c r="V163" s="14"/>
      <c r="W163" s="14"/>
      <c r="X163" s="14"/>
      <c r="Y163" s="14"/>
      <c r="Z163" s="14"/>
      <c r="AA163" s="15"/>
      <c r="AB163" s="3"/>
      <c r="AC163" s="3"/>
      <c r="AD163" s="3"/>
      <c r="AE163" s="3"/>
      <c r="AF163" s="3"/>
      <c r="AG163" s="3"/>
      <c r="AH163" s="3"/>
      <c r="AI163" s="3"/>
      <c r="AJ163" s="3"/>
      <c r="AK163" s="3"/>
      <c r="AL163" s="3"/>
      <c r="AM163" s="3"/>
      <c r="AN163" s="3"/>
      <c r="AO163" s="3"/>
    </row>
    <row r="164" spans="2:41" s="171" customFormat="1" x14ac:dyDescent="0.25">
      <c r="B164" s="13"/>
      <c r="C164" s="14"/>
      <c r="D164" s="60"/>
      <c r="E164" s="56"/>
      <c r="F164" s="56"/>
      <c r="G164" s="14"/>
      <c r="H164" s="56"/>
      <c r="I164" s="14"/>
      <c r="J164" s="14"/>
      <c r="K164" s="14"/>
      <c r="L164" s="14"/>
      <c r="M164" s="14"/>
      <c r="N164" s="14"/>
      <c r="O164" s="14"/>
      <c r="P164" s="14"/>
      <c r="Q164" s="14"/>
      <c r="R164" s="14"/>
      <c r="S164" s="14"/>
      <c r="T164" s="14"/>
      <c r="U164" s="14"/>
      <c r="V164" s="14"/>
      <c r="W164" s="14"/>
      <c r="X164" s="14"/>
      <c r="Y164" s="14"/>
      <c r="Z164" s="14"/>
      <c r="AA164" s="15"/>
      <c r="AB164" s="3"/>
      <c r="AC164" s="3"/>
      <c r="AD164" s="3"/>
      <c r="AE164" s="3"/>
      <c r="AF164" s="3"/>
      <c r="AG164" s="3"/>
      <c r="AH164" s="3"/>
      <c r="AI164" s="3"/>
      <c r="AJ164" s="3"/>
      <c r="AK164" s="3"/>
      <c r="AL164" s="3"/>
      <c r="AM164" s="3"/>
      <c r="AN164" s="3"/>
      <c r="AO164" s="3"/>
    </row>
    <row r="165" spans="2:41" s="171" customFormat="1" x14ac:dyDescent="0.25">
      <c r="B165" s="13"/>
      <c r="C165" s="56"/>
      <c r="D165" s="60"/>
      <c r="E165" s="56"/>
      <c r="F165" s="56"/>
      <c r="G165" s="56"/>
      <c r="H165" s="56"/>
      <c r="I165" s="14"/>
      <c r="J165" s="14"/>
      <c r="K165" s="14"/>
      <c r="L165" s="14"/>
      <c r="M165" s="14"/>
      <c r="N165" s="14"/>
      <c r="O165" s="14"/>
      <c r="P165" s="14"/>
      <c r="Q165" s="14"/>
      <c r="R165" s="14"/>
      <c r="S165" s="14"/>
      <c r="T165" s="14"/>
      <c r="U165" s="14"/>
      <c r="V165" s="14"/>
      <c r="W165" s="14"/>
      <c r="X165" s="14"/>
      <c r="Y165" s="14"/>
      <c r="Z165" s="14"/>
      <c r="AA165" s="15"/>
      <c r="AB165" s="3"/>
      <c r="AC165" s="3"/>
      <c r="AD165" s="3"/>
      <c r="AE165" s="3"/>
      <c r="AF165" s="3"/>
      <c r="AG165" s="3"/>
      <c r="AH165" s="3"/>
      <c r="AI165" s="3"/>
      <c r="AJ165" s="3"/>
      <c r="AK165" s="3"/>
      <c r="AL165" s="3"/>
      <c r="AM165" s="3"/>
      <c r="AN165" s="3"/>
      <c r="AO165" s="3"/>
    </row>
    <row r="166" spans="2:41" s="171" customFormat="1" x14ac:dyDescent="0.25">
      <c r="B166" s="13"/>
      <c r="C166" s="14"/>
      <c r="D166" s="60"/>
      <c r="E166" s="56"/>
      <c r="F166" s="56"/>
      <c r="G166" s="14"/>
      <c r="H166" s="56"/>
      <c r="I166" s="14"/>
      <c r="J166" s="14"/>
      <c r="K166" s="14"/>
      <c r="L166" s="14"/>
      <c r="M166" s="14"/>
      <c r="N166" s="14"/>
      <c r="O166" s="14"/>
      <c r="P166" s="14"/>
      <c r="Q166" s="14"/>
      <c r="R166" s="14"/>
      <c r="S166" s="14"/>
      <c r="T166" s="14"/>
      <c r="U166" s="14"/>
      <c r="V166" s="14"/>
      <c r="W166" s="14"/>
      <c r="X166" s="14"/>
      <c r="Y166" s="14"/>
      <c r="Z166" s="14"/>
      <c r="AA166" s="15"/>
      <c r="AB166" s="3"/>
      <c r="AC166" s="3"/>
      <c r="AD166" s="3"/>
      <c r="AE166" s="3"/>
      <c r="AF166" s="3"/>
      <c r="AG166" s="3"/>
      <c r="AH166" s="3"/>
      <c r="AI166" s="3"/>
      <c r="AJ166" s="3"/>
      <c r="AK166" s="3"/>
      <c r="AL166" s="3"/>
      <c r="AM166" s="3"/>
      <c r="AN166" s="3"/>
      <c r="AO166" s="3"/>
    </row>
    <row r="167" spans="2:41" s="171" customFormat="1" x14ac:dyDescent="0.25">
      <c r="B167" s="13"/>
      <c r="C167" s="14"/>
      <c r="D167" s="14"/>
      <c r="E167" s="56"/>
      <c r="F167" s="56"/>
      <c r="G167" s="14"/>
      <c r="H167" s="56"/>
      <c r="I167" s="14"/>
      <c r="J167" s="14"/>
      <c r="K167" s="14"/>
      <c r="L167" s="14"/>
      <c r="M167" s="14"/>
      <c r="N167" s="14"/>
      <c r="O167" s="14"/>
      <c r="P167" s="14"/>
      <c r="Q167" s="14"/>
      <c r="R167" s="14"/>
      <c r="S167" s="14"/>
      <c r="T167" s="14"/>
      <c r="U167" s="14"/>
      <c r="V167" s="14"/>
      <c r="W167" s="14"/>
      <c r="X167" s="14"/>
      <c r="Y167" s="14"/>
      <c r="Z167" s="14"/>
      <c r="AA167" s="15"/>
      <c r="AB167" s="3"/>
      <c r="AC167" s="3"/>
      <c r="AD167" s="3"/>
      <c r="AE167" s="3"/>
      <c r="AF167" s="3"/>
      <c r="AG167" s="3"/>
      <c r="AH167" s="3"/>
      <c r="AI167" s="3"/>
      <c r="AJ167" s="3"/>
      <c r="AK167" s="3"/>
      <c r="AL167" s="3"/>
      <c r="AM167" s="3"/>
      <c r="AN167" s="3"/>
      <c r="AO167" s="3"/>
    </row>
    <row r="168" spans="2:41" s="171" customFormat="1" ht="18.75" x14ac:dyDescent="0.3">
      <c r="B168" s="67"/>
      <c r="C168" s="14"/>
      <c r="D168" s="60"/>
      <c r="E168" s="56"/>
      <c r="F168" s="56"/>
      <c r="G168" s="14"/>
      <c r="H168" s="14"/>
      <c r="I168" s="74"/>
      <c r="J168" s="14"/>
      <c r="K168" s="14"/>
      <c r="L168" s="14"/>
      <c r="M168" s="14"/>
      <c r="N168" s="14"/>
      <c r="O168" s="14"/>
      <c r="P168" s="14"/>
      <c r="Q168" s="14"/>
      <c r="R168" s="14"/>
      <c r="S168" s="14"/>
      <c r="T168" s="14"/>
      <c r="U168" s="14"/>
      <c r="V168" s="14"/>
      <c r="W168" s="14"/>
      <c r="X168" s="14"/>
      <c r="Y168" s="14"/>
      <c r="Z168" s="14"/>
      <c r="AA168" s="15"/>
      <c r="AB168" s="3"/>
      <c r="AC168" s="3"/>
      <c r="AD168" s="3"/>
      <c r="AE168" s="3"/>
      <c r="AF168" s="3"/>
      <c r="AG168" s="3"/>
      <c r="AH168" s="3"/>
      <c r="AI168" s="3"/>
      <c r="AJ168" s="3"/>
      <c r="AK168" s="3"/>
      <c r="AL168" s="3"/>
      <c r="AM168" s="3"/>
      <c r="AN168" s="3"/>
      <c r="AO168" s="3"/>
    </row>
    <row r="169" spans="2:41" s="171" customFormat="1" x14ac:dyDescent="0.25">
      <c r="B169" s="13"/>
      <c r="C169" s="14"/>
      <c r="D169" s="60"/>
      <c r="E169" s="56"/>
      <c r="F169" s="56"/>
      <c r="G169" s="14"/>
      <c r="H169" s="56"/>
      <c r="I169" s="14"/>
      <c r="J169" s="14"/>
      <c r="K169" s="14"/>
      <c r="L169" s="14"/>
      <c r="M169" s="14"/>
      <c r="N169" s="14"/>
      <c r="O169" s="14"/>
      <c r="P169" s="14"/>
      <c r="Q169" s="14"/>
      <c r="R169" s="14"/>
      <c r="S169" s="14"/>
      <c r="T169" s="14"/>
      <c r="U169" s="14"/>
      <c r="V169" s="14"/>
      <c r="W169" s="14"/>
      <c r="X169" s="14"/>
      <c r="Y169" s="14"/>
      <c r="Z169" s="14"/>
      <c r="AA169" s="15"/>
      <c r="AB169" s="3"/>
      <c r="AC169" s="3"/>
      <c r="AD169" s="3"/>
      <c r="AE169" s="3"/>
      <c r="AF169" s="3"/>
      <c r="AG169" s="3"/>
      <c r="AH169" s="3"/>
      <c r="AI169" s="3"/>
      <c r="AJ169" s="3"/>
      <c r="AK169" s="3"/>
      <c r="AL169" s="3"/>
      <c r="AM169" s="3"/>
      <c r="AN169" s="3"/>
      <c r="AO169" s="3"/>
    </row>
    <row r="170" spans="2:41" s="171" customFormat="1" x14ac:dyDescent="0.25">
      <c r="B170" s="13"/>
      <c r="C170" s="14"/>
      <c r="D170" s="60"/>
      <c r="E170" s="56"/>
      <c r="F170" s="56"/>
      <c r="G170" s="14"/>
      <c r="H170" s="56"/>
      <c r="I170" s="14"/>
      <c r="J170" s="14"/>
      <c r="K170" s="14"/>
      <c r="L170" s="14"/>
      <c r="M170" s="14"/>
      <c r="N170" s="14"/>
      <c r="O170" s="14"/>
      <c r="P170" s="14"/>
      <c r="Q170" s="14"/>
      <c r="R170" s="14"/>
      <c r="S170" s="14"/>
      <c r="T170" s="14"/>
      <c r="U170" s="14"/>
      <c r="V170" s="14"/>
      <c r="W170" s="14"/>
      <c r="X170" s="14"/>
      <c r="Y170" s="14"/>
      <c r="Z170" s="14"/>
      <c r="AA170" s="15"/>
      <c r="AB170" s="3"/>
      <c r="AC170" s="3"/>
      <c r="AD170" s="3"/>
      <c r="AE170" s="3"/>
      <c r="AF170" s="3"/>
      <c r="AG170" s="3"/>
      <c r="AH170" s="3"/>
      <c r="AI170" s="3"/>
      <c r="AJ170" s="3"/>
      <c r="AK170" s="3"/>
      <c r="AL170" s="3"/>
      <c r="AM170" s="3"/>
      <c r="AN170" s="3"/>
      <c r="AO170" s="3"/>
    </row>
    <row r="171" spans="2:41" s="171" customFormat="1" x14ac:dyDescent="0.25">
      <c r="B171" s="13"/>
      <c r="C171" s="14"/>
      <c r="D171" s="60"/>
      <c r="E171" s="56"/>
      <c r="F171" s="56"/>
      <c r="G171" s="14"/>
      <c r="H171" s="56"/>
      <c r="I171" s="14"/>
      <c r="J171" s="14"/>
      <c r="K171" s="14"/>
      <c r="L171" s="14"/>
      <c r="M171" s="14"/>
      <c r="N171" s="14"/>
      <c r="O171" s="14"/>
      <c r="P171" s="14"/>
      <c r="Q171" s="14"/>
      <c r="R171" s="14"/>
      <c r="S171" s="14"/>
      <c r="T171" s="14"/>
      <c r="U171" s="14"/>
      <c r="V171" s="14"/>
      <c r="W171" s="14"/>
      <c r="X171" s="14"/>
      <c r="Y171" s="14"/>
      <c r="Z171" s="14"/>
      <c r="AA171" s="15"/>
      <c r="AB171" s="3"/>
      <c r="AC171" s="3"/>
      <c r="AD171" s="3"/>
      <c r="AE171" s="3"/>
      <c r="AF171" s="3"/>
      <c r="AG171" s="3"/>
      <c r="AH171" s="3"/>
      <c r="AI171" s="3"/>
      <c r="AJ171" s="3"/>
      <c r="AK171" s="3"/>
      <c r="AL171" s="3"/>
      <c r="AM171" s="3"/>
      <c r="AN171" s="3"/>
      <c r="AO171" s="3"/>
    </row>
    <row r="172" spans="2:41" s="171" customFormat="1" x14ac:dyDescent="0.25">
      <c r="B172" s="13"/>
      <c r="C172" s="56"/>
      <c r="D172" s="60"/>
      <c r="E172" s="56"/>
      <c r="F172" s="56"/>
      <c r="G172" s="56"/>
      <c r="H172" s="56"/>
      <c r="I172" s="14"/>
      <c r="J172" s="14"/>
      <c r="K172" s="14"/>
      <c r="L172" s="14"/>
      <c r="M172" s="14"/>
      <c r="N172" s="14"/>
      <c r="O172" s="14"/>
      <c r="P172" s="14"/>
      <c r="Q172" s="14"/>
      <c r="R172" s="14"/>
      <c r="S172" s="14"/>
      <c r="T172" s="14"/>
      <c r="U172" s="14"/>
      <c r="V172" s="14"/>
      <c r="W172" s="14"/>
      <c r="X172" s="14"/>
      <c r="Y172" s="14"/>
      <c r="Z172" s="14"/>
      <c r="AA172" s="15"/>
      <c r="AB172" s="3"/>
      <c r="AC172" s="3"/>
      <c r="AD172" s="3"/>
      <c r="AE172" s="3"/>
      <c r="AF172" s="3"/>
      <c r="AG172" s="3"/>
      <c r="AH172" s="3"/>
      <c r="AI172" s="3"/>
      <c r="AJ172" s="3"/>
      <c r="AK172" s="3"/>
      <c r="AL172" s="3"/>
      <c r="AM172" s="3"/>
      <c r="AN172" s="3"/>
      <c r="AO172" s="3"/>
    </row>
    <row r="173" spans="2:41" s="171" customFormat="1" x14ac:dyDescent="0.25">
      <c r="B173" s="13"/>
      <c r="C173" s="14"/>
      <c r="D173" s="60"/>
      <c r="E173" s="56"/>
      <c r="F173" s="56"/>
      <c r="G173" s="14"/>
      <c r="H173" s="56"/>
      <c r="I173" s="14"/>
      <c r="J173" s="14"/>
      <c r="K173" s="14"/>
      <c r="L173" s="14"/>
      <c r="M173" s="14"/>
      <c r="N173" s="14"/>
      <c r="O173" s="14"/>
      <c r="P173" s="14"/>
      <c r="Q173" s="14"/>
      <c r="R173" s="14"/>
      <c r="S173" s="14"/>
      <c r="T173" s="14"/>
      <c r="U173" s="14"/>
      <c r="V173" s="14"/>
      <c r="W173" s="14"/>
      <c r="X173" s="14"/>
      <c r="Y173" s="14"/>
      <c r="Z173" s="14"/>
      <c r="AA173" s="15"/>
      <c r="AB173" s="3"/>
      <c r="AC173" s="3"/>
      <c r="AD173" s="3"/>
      <c r="AE173" s="3"/>
      <c r="AF173" s="3"/>
      <c r="AG173" s="3"/>
      <c r="AH173" s="3"/>
      <c r="AI173" s="3"/>
      <c r="AJ173" s="3"/>
      <c r="AK173" s="3"/>
      <c r="AL173" s="3"/>
      <c r="AM173" s="3"/>
      <c r="AN173" s="3"/>
      <c r="AO173" s="3"/>
    </row>
    <row r="174" spans="2:41" s="171" customFormat="1" x14ac:dyDescent="0.25">
      <c r="B174" s="13"/>
      <c r="C174" s="14"/>
      <c r="D174" s="14"/>
      <c r="E174" s="56"/>
      <c r="F174" s="56"/>
      <c r="G174" s="14"/>
      <c r="H174" s="56"/>
      <c r="I174" s="14"/>
      <c r="J174" s="14"/>
      <c r="K174" s="14"/>
      <c r="L174" s="14"/>
      <c r="M174" s="14"/>
      <c r="N174" s="14"/>
      <c r="O174" s="14"/>
      <c r="P174" s="14"/>
      <c r="Q174" s="14"/>
      <c r="R174" s="14"/>
      <c r="S174" s="14"/>
      <c r="T174" s="14"/>
      <c r="U174" s="14"/>
      <c r="V174" s="14"/>
      <c r="W174" s="14"/>
      <c r="X174" s="14"/>
      <c r="Y174" s="14"/>
      <c r="Z174" s="14"/>
      <c r="AA174" s="15"/>
      <c r="AB174" s="3"/>
      <c r="AC174" s="3"/>
      <c r="AD174" s="3"/>
      <c r="AE174" s="3"/>
      <c r="AF174" s="3"/>
      <c r="AG174" s="3"/>
      <c r="AH174" s="3"/>
      <c r="AI174" s="3"/>
      <c r="AJ174" s="3"/>
      <c r="AK174" s="3"/>
      <c r="AL174" s="3"/>
      <c r="AM174" s="3"/>
      <c r="AN174" s="3"/>
      <c r="AO174" s="3"/>
    </row>
    <row r="175" spans="2:41" s="171" customFormat="1" x14ac:dyDescent="0.25">
      <c r="B175" s="13"/>
      <c r="C175" s="14"/>
      <c r="D175" s="60"/>
      <c r="E175" s="56"/>
      <c r="F175" s="56"/>
      <c r="G175" s="14"/>
      <c r="H175" s="14"/>
      <c r="I175" s="14"/>
      <c r="J175" s="14"/>
      <c r="K175" s="14"/>
      <c r="L175" s="14"/>
      <c r="M175" s="14"/>
      <c r="N175" s="14"/>
      <c r="O175" s="14"/>
      <c r="P175" s="14"/>
      <c r="Q175" s="14"/>
      <c r="R175" s="14"/>
      <c r="S175" s="14"/>
      <c r="T175" s="14"/>
      <c r="U175" s="14"/>
      <c r="V175" s="14"/>
      <c r="W175" s="14"/>
      <c r="X175" s="14"/>
      <c r="Y175" s="14"/>
      <c r="Z175" s="14"/>
      <c r="AA175" s="15"/>
      <c r="AB175" s="3"/>
      <c r="AC175" s="3"/>
      <c r="AD175" s="3"/>
      <c r="AE175" s="3"/>
      <c r="AF175" s="3"/>
      <c r="AG175" s="3"/>
      <c r="AH175" s="3"/>
      <c r="AI175" s="3"/>
      <c r="AJ175" s="3"/>
      <c r="AK175" s="3"/>
      <c r="AL175" s="3"/>
      <c r="AM175" s="3"/>
      <c r="AN175" s="3"/>
      <c r="AO175" s="3"/>
    </row>
    <row r="176" spans="2:41" s="171" customFormat="1" ht="18.75" x14ac:dyDescent="0.3">
      <c r="B176" s="67"/>
      <c r="C176" s="14"/>
      <c r="D176" s="60"/>
      <c r="E176" s="56"/>
      <c r="F176" s="56"/>
      <c r="G176" s="14"/>
      <c r="H176" s="56"/>
      <c r="I176" s="74"/>
      <c r="J176" s="14"/>
      <c r="K176" s="14"/>
      <c r="L176" s="14"/>
      <c r="M176" s="14"/>
      <c r="N176" s="14"/>
      <c r="O176" s="14"/>
      <c r="P176" s="14"/>
      <c r="Q176" s="14"/>
      <c r="R176" s="14"/>
      <c r="S176" s="14"/>
      <c r="T176" s="14"/>
      <c r="U176" s="14"/>
      <c r="V176" s="14"/>
      <c r="W176" s="14"/>
      <c r="X176" s="14"/>
      <c r="Y176" s="14"/>
      <c r="Z176" s="14"/>
      <c r="AA176" s="15"/>
      <c r="AB176" s="3"/>
      <c r="AC176" s="3"/>
      <c r="AD176" s="3"/>
      <c r="AE176" s="3"/>
      <c r="AF176" s="3"/>
      <c r="AG176" s="3"/>
      <c r="AH176" s="3"/>
      <c r="AI176" s="3"/>
      <c r="AJ176" s="3"/>
      <c r="AK176" s="3"/>
      <c r="AL176" s="3"/>
      <c r="AM176" s="3"/>
      <c r="AN176" s="3"/>
      <c r="AO176" s="3"/>
    </row>
    <row r="177" spans="2:41" s="171" customFormat="1" x14ac:dyDescent="0.25">
      <c r="B177" s="13"/>
      <c r="C177" s="14"/>
      <c r="D177" s="60"/>
      <c r="E177" s="56"/>
      <c r="F177" s="56"/>
      <c r="G177" s="14"/>
      <c r="H177" s="56"/>
      <c r="I177" s="14"/>
      <c r="J177" s="14"/>
      <c r="K177" s="14"/>
      <c r="L177" s="14"/>
      <c r="M177" s="14"/>
      <c r="N177" s="14"/>
      <c r="O177" s="14"/>
      <c r="P177" s="14"/>
      <c r="Q177" s="14"/>
      <c r="R177" s="14"/>
      <c r="S177" s="14"/>
      <c r="T177" s="14"/>
      <c r="U177" s="14"/>
      <c r="V177" s="14"/>
      <c r="W177" s="14"/>
      <c r="X177" s="14"/>
      <c r="Y177" s="14"/>
      <c r="Z177" s="14"/>
      <c r="AA177" s="15"/>
      <c r="AB177" s="3"/>
      <c r="AC177" s="3"/>
      <c r="AD177" s="3"/>
      <c r="AE177" s="3"/>
      <c r="AF177" s="3"/>
      <c r="AG177" s="3"/>
      <c r="AH177" s="3"/>
      <c r="AI177" s="3"/>
      <c r="AJ177" s="3"/>
      <c r="AK177" s="3"/>
      <c r="AL177" s="3"/>
      <c r="AM177" s="3"/>
      <c r="AN177" s="3"/>
      <c r="AO177" s="3"/>
    </row>
    <row r="178" spans="2:41" s="171" customFormat="1" x14ac:dyDescent="0.25">
      <c r="B178" s="13"/>
      <c r="C178" s="14"/>
      <c r="D178" s="60"/>
      <c r="E178" s="56"/>
      <c r="F178" s="56"/>
      <c r="G178" s="14"/>
      <c r="H178" s="56"/>
      <c r="I178" s="14"/>
      <c r="J178" s="14"/>
      <c r="K178" s="14"/>
      <c r="L178" s="14"/>
      <c r="M178" s="14"/>
      <c r="N178" s="14"/>
      <c r="O178" s="14"/>
      <c r="P178" s="14"/>
      <c r="Q178" s="14"/>
      <c r="R178" s="14"/>
      <c r="S178" s="14"/>
      <c r="T178" s="14"/>
      <c r="U178" s="14"/>
      <c r="V178" s="14"/>
      <c r="W178" s="14"/>
      <c r="X178" s="14"/>
      <c r="Y178" s="14"/>
      <c r="Z178" s="14"/>
      <c r="AA178" s="15"/>
      <c r="AB178" s="3"/>
      <c r="AC178" s="3"/>
      <c r="AD178" s="3"/>
      <c r="AE178" s="3"/>
      <c r="AF178" s="3"/>
      <c r="AG178" s="3"/>
      <c r="AH178" s="3"/>
      <c r="AI178" s="3"/>
      <c r="AJ178" s="3"/>
      <c r="AK178" s="3"/>
      <c r="AL178" s="3"/>
      <c r="AM178" s="3"/>
      <c r="AN178" s="3"/>
      <c r="AO178" s="3"/>
    </row>
    <row r="179" spans="2:41" s="171" customFormat="1" x14ac:dyDescent="0.25">
      <c r="B179" s="13"/>
      <c r="C179" s="56"/>
      <c r="D179" s="60"/>
      <c r="E179" s="56"/>
      <c r="F179" s="56"/>
      <c r="G179" s="56"/>
      <c r="H179" s="56"/>
      <c r="I179" s="14"/>
      <c r="J179" s="14"/>
      <c r="K179" s="14"/>
      <c r="L179" s="14"/>
      <c r="M179" s="14"/>
      <c r="N179" s="14"/>
      <c r="O179" s="14"/>
      <c r="P179" s="14"/>
      <c r="Q179" s="14"/>
      <c r="R179" s="14"/>
      <c r="S179" s="14"/>
      <c r="T179" s="14"/>
      <c r="U179" s="14"/>
      <c r="V179" s="14"/>
      <c r="W179" s="14"/>
      <c r="X179" s="14"/>
      <c r="Y179" s="14"/>
      <c r="Z179" s="14"/>
      <c r="AA179" s="15"/>
      <c r="AB179" s="3"/>
      <c r="AC179" s="3"/>
      <c r="AD179" s="3"/>
      <c r="AE179" s="3"/>
      <c r="AF179" s="3"/>
      <c r="AG179" s="3"/>
      <c r="AH179" s="3"/>
      <c r="AI179" s="3"/>
      <c r="AJ179" s="3"/>
      <c r="AK179" s="3"/>
      <c r="AL179" s="3"/>
      <c r="AM179" s="3"/>
      <c r="AN179" s="3"/>
      <c r="AO179" s="3"/>
    </row>
    <row r="180" spans="2:41" s="171" customFormat="1" x14ac:dyDescent="0.25">
      <c r="B180" s="13"/>
      <c r="C180" s="14"/>
      <c r="D180" s="60"/>
      <c r="E180" s="56"/>
      <c r="F180" s="56"/>
      <c r="G180" s="14"/>
      <c r="H180" s="56"/>
      <c r="I180" s="14"/>
      <c r="J180" s="14"/>
      <c r="K180" s="14"/>
      <c r="L180" s="14"/>
      <c r="M180" s="14"/>
      <c r="N180" s="14"/>
      <c r="O180" s="14"/>
      <c r="P180" s="14"/>
      <c r="Q180" s="14"/>
      <c r="R180" s="14"/>
      <c r="S180" s="14"/>
      <c r="T180" s="14"/>
      <c r="U180" s="14"/>
      <c r="V180" s="14"/>
      <c r="W180" s="14"/>
      <c r="X180" s="14"/>
      <c r="Y180" s="14"/>
      <c r="Z180" s="14"/>
      <c r="AA180" s="15"/>
      <c r="AB180" s="3"/>
      <c r="AC180" s="3"/>
      <c r="AD180" s="3"/>
      <c r="AE180" s="3"/>
      <c r="AF180" s="3"/>
      <c r="AG180" s="3"/>
      <c r="AH180" s="3"/>
      <c r="AI180" s="3"/>
      <c r="AJ180" s="3"/>
      <c r="AK180" s="3"/>
      <c r="AL180" s="3"/>
      <c r="AM180" s="3"/>
      <c r="AN180" s="3"/>
      <c r="AO180" s="3"/>
    </row>
    <row r="181" spans="2:41" s="171" customFormat="1" x14ac:dyDescent="0.25">
      <c r="B181" s="13"/>
      <c r="C181" s="14"/>
      <c r="D181" s="14"/>
      <c r="E181" s="56"/>
      <c r="F181" s="56"/>
      <c r="G181" s="14"/>
      <c r="H181" s="56"/>
      <c r="I181" s="14"/>
      <c r="J181" s="14"/>
      <c r="K181" s="14"/>
      <c r="L181" s="14"/>
      <c r="M181" s="14"/>
      <c r="N181" s="14"/>
      <c r="O181" s="14"/>
      <c r="P181" s="14"/>
      <c r="Q181" s="14"/>
      <c r="R181" s="14"/>
      <c r="S181" s="14"/>
      <c r="T181" s="14"/>
      <c r="U181" s="14"/>
      <c r="V181" s="14"/>
      <c r="W181" s="14"/>
      <c r="X181" s="14"/>
      <c r="Y181" s="14"/>
      <c r="Z181" s="14"/>
      <c r="AA181" s="15"/>
      <c r="AB181" s="3"/>
      <c r="AC181" s="3"/>
      <c r="AD181" s="3"/>
      <c r="AE181" s="3"/>
      <c r="AF181" s="3"/>
      <c r="AG181" s="3"/>
      <c r="AH181" s="3"/>
      <c r="AI181" s="3"/>
      <c r="AJ181" s="3"/>
      <c r="AK181" s="3"/>
      <c r="AL181" s="3"/>
      <c r="AM181" s="3"/>
      <c r="AN181" s="3"/>
      <c r="AO181" s="3"/>
    </row>
    <row r="182" spans="2:41" s="171" customFormat="1" x14ac:dyDescent="0.25">
      <c r="B182" s="13"/>
      <c r="C182" s="14"/>
      <c r="D182" s="60"/>
      <c r="E182" s="56"/>
      <c r="F182" s="56"/>
      <c r="G182" s="14"/>
      <c r="H182" s="14"/>
      <c r="I182" s="14"/>
      <c r="J182" s="14"/>
      <c r="K182" s="14"/>
      <c r="L182" s="14"/>
      <c r="M182" s="14"/>
      <c r="N182" s="14"/>
      <c r="O182" s="14"/>
      <c r="P182" s="14"/>
      <c r="Q182" s="14"/>
      <c r="R182" s="14"/>
      <c r="S182" s="14"/>
      <c r="T182" s="14"/>
      <c r="U182" s="14"/>
      <c r="V182" s="14"/>
      <c r="W182" s="14"/>
      <c r="X182" s="14"/>
      <c r="Y182" s="14"/>
      <c r="Z182" s="14"/>
      <c r="AA182" s="15"/>
      <c r="AB182" s="3"/>
      <c r="AC182" s="3"/>
      <c r="AD182" s="3"/>
      <c r="AE182" s="3"/>
      <c r="AF182" s="3"/>
      <c r="AG182" s="3"/>
      <c r="AH182" s="3"/>
      <c r="AI182" s="3"/>
      <c r="AJ182" s="3"/>
      <c r="AK182" s="3"/>
      <c r="AL182" s="3"/>
      <c r="AM182" s="3"/>
      <c r="AN182" s="3"/>
      <c r="AO182" s="3"/>
    </row>
    <row r="183" spans="2:41" s="171" customFormat="1" x14ac:dyDescent="0.25">
      <c r="B183" s="13"/>
      <c r="C183" s="14"/>
      <c r="D183" s="60"/>
      <c r="E183" s="56"/>
      <c r="F183" s="56"/>
      <c r="G183" s="14"/>
      <c r="H183" s="56"/>
      <c r="I183" s="14"/>
      <c r="J183" s="14"/>
      <c r="K183" s="14"/>
      <c r="L183" s="14"/>
      <c r="M183" s="14"/>
      <c r="N183" s="14"/>
      <c r="O183" s="14"/>
      <c r="P183" s="14"/>
      <c r="Q183" s="14"/>
      <c r="R183" s="14"/>
      <c r="S183" s="14"/>
      <c r="T183" s="14"/>
      <c r="U183" s="14"/>
      <c r="V183" s="14"/>
      <c r="W183" s="14"/>
      <c r="X183" s="14"/>
      <c r="Y183" s="14"/>
      <c r="Z183" s="14"/>
      <c r="AA183" s="15"/>
      <c r="AB183" s="3"/>
      <c r="AC183" s="3"/>
      <c r="AD183" s="3"/>
      <c r="AE183" s="3"/>
      <c r="AF183" s="3"/>
      <c r="AG183" s="3"/>
      <c r="AH183" s="3"/>
      <c r="AI183" s="3"/>
      <c r="AJ183" s="3"/>
      <c r="AK183" s="3"/>
      <c r="AL183" s="3"/>
      <c r="AM183" s="3"/>
      <c r="AN183" s="3"/>
      <c r="AO183" s="3"/>
    </row>
    <row r="184" spans="2:41" s="171" customFormat="1" ht="18.75" x14ac:dyDescent="0.3">
      <c r="B184" s="67"/>
      <c r="C184" s="14"/>
      <c r="D184" s="60"/>
      <c r="E184" s="56"/>
      <c r="F184" s="56"/>
      <c r="G184" s="14"/>
      <c r="H184" s="56"/>
      <c r="I184" s="74"/>
      <c r="J184" s="14"/>
      <c r="K184" s="14"/>
      <c r="L184" s="14"/>
      <c r="M184" s="14"/>
      <c r="N184" s="14"/>
      <c r="O184" s="14"/>
      <c r="P184" s="14"/>
      <c r="Q184" s="14"/>
      <c r="R184" s="14"/>
      <c r="S184" s="14"/>
      <c r="T184" s="14"/>
      <c r="U184" s="14"/>
      <c r="V184" s="14"/>
      <c r="W184" s="14"/>
      <c r="X184" s="14"/>
      <c r="Y184" s="14"/>
      <c r="Z184" s="14"/>
      <c r="AA184" s="15"/>
      <c r="AB184" s="3"/>
      <c r="AC184" s="3"/>
      <c r="AD184" s="3"/>
      <c r="AE184" s="3"/>
      <c r="AF184" s="3"/>
      <c r="AG184" s="3"/>
      <c r="AH184" s="3"/>
      <c r="AI184" s="3"/>
      <c r="AJ184" s="3"/>
      <c r="AK184" s="3"/>
      <c r="AL184" s="3"/>
      <c r="AM184" s="3"/>
      <c r="AN184" s="3"/>
      <c r="AO184" s="3"/>
    </row>
    <row r="185" spans="2:41" s="171" customFormat="1" x14ac:dyDescent="0.25">
      <c r="B185" s="13"/>
      <c r="C185" s="14"/>
      <c r="D185" s="60"/>
      <c r="E185" s="56"/>
      <c r="F185" s="56"/>
      <c r="G185" s="14"/>
      <c r="H185" s="56"/>
      <c r="I185" s="14"/>
      <c r="J185" s="14"/>
      <c r="K185" s="14"/>
      <c r="L185" s="14"/>
      <c r="M185" s="14"/>
      <c r="N185" s="14"/>
      <c r="O185" s="14"/>
      <c r="P185" s="14"/>
      <c r="Q185" s="14"/>
      <c r="R185" s="14"/>
      <c r="S185" s="14"/>
      <c r="T185" s="14"/>
      <c r="U185" s="14"/>
      <c r="V185" s="14"/>
      <c r="W185" s="14"/>
      <c r="X185" s="14"/>
      <c r="Y185" s="14"/>
      <c r="Z185" s="14"/>
      <c r="AA185" s="15"/>
      <c r="AB185" s="3"/>
      <c r="AC185" s="3"/>
      <c r="AD185" s="3"/>
      <c r="AE185" s="3"/>
      <c r="AF185" s="3"/>
      <c r="AG185" s="3"/>
      <c r="AH185" s="3"/>
      <c r="AI185" s="3"/>
      <c r="AJ185" s="3"/>
      <c r="AK185" s="3"/>
      <c r="AL185" s="3"/>
      <c r="AM185" s="3"/>
      <c r="AN185" s="3"/>
      <c r="AO185" s="3"/>
    </row>
    <row r="186" spans="2:41" s="171" customFormat="1" x14ac:dyDescent="0.25">
      <c r="B186" s="13"/>
      <c r="C186" s="56"/>
      <c r="D186" s="60"/>
      <c r="E186" s="56"/>
      <c r="F186" s="56"/>
      <c r="G186" s="56"/>
      <c r="H186" s="56"/>
      <c r="I186" s="14"/>
      <c r="J186" s="14"/>
      <c r="K186" s="14"/>
      <c r="L186" s="14"/>
      <c r="M186" s="14"/>
      <c r="N186" s="14"/>
      <c r="O186" s="14"/>
      <c r="P186" s="14"/>
      <c r="Q186" s="14"/>
      <c r="R186" s="14"/>
      <c r="S186" s="14"/>
      <c r="T186" s="14"/>
      <c r="U186" s="14"/>
      <c r="V186" s="14"/>
      <c r="W186" s="14"/>
      <c r="X186" s="14"/>
      <c r="Y186" s="14"/>
      <c r="Z186" s="14"/>
      <c r="AA186" s="15"/>
      <c r="AB186" s="3"/>
      <c r="AC186" s="3"/>
      <c r="AD186" s="3"/>
      <c r="AE186" s="3"/>
      <c r="AF186" s="3"/>
      <c r="AG186" s="3"/>
      <c r="AH186" s="3"/>
      <c r="AI186" s="3"/>
      <c r="AJ186" s="3"/>
      <c r="AK186" s="3"/>
      <c r="AL186" s="3"/>
      <c r="AM186" s="3"/>
      <c r="AN186" s="3"/>
      <c r="AO186" s="3"/>
    </row>
    <row r="187" spans="2:41" s="171" customFormat="1" x14ac:dyDescent="0.25">
      <c r="B187" s="13"/>
      <c r="C187" s="14"/>
      <c r="D187" s="60"/>
      <c r="E187" s="56"/>
      <c r="F187" s="56"/>
      <c r="G187" s="14"/>
      <c r="H187" s="56"/>
      <c r="I187" s="14"/>
      <c r="J187" s="14"/>
      <c r="K187" s="14"/>
      <c r="L187" s="14"/>
      <c r="M187" s="14"/>
      <c r="N187" s="14"/>
      <c r="O187" s="14"/>
      <c r="P187" s="14"/>
      <c r="Q187" s="14"/>
      <c r="R187" s="14"/>
      <c r="S187" s="14"/>
      <c r="T187" s="14"/>
      <c r="U187" s="14"/>
      <c r="V187" s="14"/>
      <c r="W187" s="14"/>
      <c r="X187" s="14"/>
      <c r="Y187" s="14"/>
      <c r="Z187" s="14"/>
      <c r="AA187" s="15"/>
      <c r="AB187" s="3"/>
      <c r="AC187" s="3"/>
      <c r="AD187" s="3"/>
      <c r="AE187" s="3"/>
      <c r="AF187" s="3"/>
      <c r="AG187" s="3"/>
      <c r="AH187" s="3"/>
      <c r="AI187" s="3"/>
      <c r="AJ187" s="3"/>
      <c r="AK187" s="3"/>
      <c r="AL187" s="3"/>
      <c r="AM187" s="3"/>
      <c r="AN187" s="3"/>
      <c r="AO187" s="3"/>
    </row>
    <row r="188" spans="2:41" s="171" customFormat="1" x14ac:dyDescent="0.25">
      <c r="B188" s="13"/>
      <c r="C188" s="14"/>
      <c r="D188" s="14"/>
      <c r="E188" s="56"/>
      <c r="F188" s="56"/>
      <c r="G188" s="14"/>
      <c r="H188" s="56"/>
      <c r="I188" s="14"/>
      <c r="J188" s="14"/>
      <c r="K188" s="14"/>
      <c r="L188" s="14"/>
      <c r="M188" s="14"/>
      <c r="N188" s="14"/>
      <c r="O188" s="14"/>
      <c r="P188" s="14"/>
      <c r="Q188" s="14"/>
      <c r="R188" s="14"/>
      <c r="S188" s="14"/>
      <c r="T188" s="14"/>
      <c r="U188" s="14"/>
      <c r="V188" s="14"/>
      <c r="W188" s="14"/>
      <c r="X188" s="14"/>
      <c r="Y188" s="14"/>
      <c r="Z188" s="14"/>
      <c r="AA188" s="15"/>
      <c r="AB188" s="3"/>
      <c r="AC188" s="3"/>
      <c r="AD188" s="3"/>
      <c r="AE188" s="3"/>
      <c r="AF188" s="3"/>
      <c r="AG188" s="3"/>
      <c r="AH188" s="3"/>
      <c r="AI188" s="3"/>
      <c r="AJ188" s="3"/>
      <c r="AK188" s="3"/>
      <c r="AL188" s="3"/>
      <c r="AM188" s="3"/>
      <c r="AN188" s="3"/>
      <c r="AO188" s="3"/>
    </row>
    <row r="189" spans="2:41" s="171" customFormat="1" x14ac:dyDescent="0.25">
      <c r="B189" s="13"/>
      <c r="C189" s="14"/>
      <c r="D189" s="60"/>
      <c r="E189" s="56"/>
      <c r="F189" s="56"/>
      <c r="G189" s="14"/>
      <c r="H189" s="14"/>
      <c r="I189" s="14"/>
      <c r="J189" s="14"/>
      <c r="K189" s="14"/>
      <c r="L189" s="14"/>
      <c r="M189" s="14"/>
      <c r="N189" s="14"/>
      <c r="O189" s="14"/>
      <c r="P189" s="14"/>
      <c r="Q189" s="14"/>
      <c r="R189" s="14"/>
      <c r="S189" s="14"/>
      <c r="T189" s="14"/>
      <c r="U189" s="14"/>
      <c r="V189" s="14"/>
      <c r="W189" s="14"/>
      <c r="X189" s="14"/>
      <c r="Y189" s="14"/>
      <c r="Z189" s="14"/>
      <c r="AA189" s="15"/>
      <c r="AB189" s="3"/>
      <c r="AC189" s="3"/>
      <c r="AD189" s="3"/>
      <c r="AE189" s="3"/>
      <c r="AF189" s="3"/>
      <c r="AG189" s="3"/>
      <c r="AH189" s="3"/>
      <c r="AI189" s="3"/>
      <c r="AJ189" s="3"/>
      <c r="AK189" s="3"/>
      <c r="AL189" s="3"/>
      <c r="AM189" s="3"/>
      <c r="AN189" s="3"/>
      <c r="AO189" s="3"/>
    </row>
    <row r="190" spans="2:41" s="171" customFormat="1" x14ac:dyDescent="0.25">
      <c r="B190" s="13"/>
      <c r="C190" s="14"/>
      <c r="D190" s="60"/>
      <c r="E190" s="56"/>
      <c r="F190" s="56"/>
      <c r="G190" s="14"/>
      <c r="H190" s="56"/>
      <c r="I190" s="14"/>
      <c r="J190" s="14"/>
      <c r="K190" s="14"/>
      <c r="L190" s="14"/>
      <c r="M190" s="14"/>
      <c r="N190" s="14"/>
      <c r="O190" s="14"/>
      <c r="P190" s="14"/>
      <c r="Q190" s="14"/>
      <c r="R190" s="14"/>
      <c r="S190" s="14"/>
      <c r="T190" s="14"/>
      <c r="U190" s="14"/>
      <c r="V190" s="14"/>
      <c r="W190" s="14"/>
      <c r="X190" s="14"/>
      <c r="Y190" s="14"/>
      <c r="Z190" s="14"/>
      <c r="AA190" s="15"/>
      <c r="AB190" s="3"/>
      <c r="AC190" s="3"/>
      <c r="AD190" s="3"/>
      <c r="AE190" s="3"/>
      <c r="AF190" s="3"/>
      <c r="AG190" s="3"/>
      <c r="AH190" s="3"/>
      <c r="AI190" s="3"/>
      <c r="AJ190" s="3"/>
      <c r="AK190" s="3"/>
      <c r="AL190" s="3"/>
      <c r="AM190" s="3"/>
      <c r="AN190" s="3"/>
      <c r="AO190" s="3"/>
    </row>
    <row r="191" spans="2:41" s="171" customFormat="1" x14ac:dyDescent="0.25">
      <c r="B191" s="13"/>
      <c r="C191" s="14"/>
      <c r="D191" s="60"/>
      <c r="E191" s="56"/>
      <c r="F191" s="56"/>
      <c r="G191" s="14"/>
      <c r="H191" s="56"/>
      <c r="I191" s="14"/>
      <c r="J191" s="14"/>
      <c r="K191" s="14"/>
      <c r="L191" s="14"/>
      <c r="M191" s="14"/>
      <c r="N191" s="14"/>
      <c r="O191" s="14"/>
      <c r="P191" s="14"/>
      <c r="Q191" s="14"/>
      <c r="R191" s="14"/>
      <c r="S191" s="14"/>
      <c r="T191" s="14"/>
      <c r="U191" s="14"/>
      <c r="V191" s="14"/>
      <c r="W191" s="14"/>
      <c r="X191" s="14"/>
      <c r="Y191" s="14"/>
      <c r="Z191" s="14"/>
      <c r="AA191" s="15"/>
      <c r="AB191" s="3"/>
      <c r="AC191" s="3"/>
      <c r="AD191" s="3"/>
      <c r="AE191" s="3"/>
      <c r="AF191" s="3"/>
      <c r="AG191" s="3"/>
      <c r="AH191" s="3"/>
      <c r="AI191" s="3"/>
      <c r="AJ191" s="3"/>
      <c r="AK191" s="3"/>
      <c r="AL191" s="3"/>
      <c r="AM191" s="3"/>
      <c r="AN191" s="3"/>
      <c r="AO191" s="3"/>
    </row>
    <row r="192" spans="2:41" s="171" customFormat="1" ht="18.75" x14ac:dyDescent="0.3">
      <c r="B192" s="67"/>
      <c r="C192" s="14"/>
      <c r="D192" s="60"/>
      <c r="E192" s="56"/>
      <c r="F192" s="56"/>
      <c r="G192" s="14"/>
      <c r="H192" s="56"/>
      <c r="I192" s="74"/>
      <c r="J192" s="14"/>
      <c r="K192" s="14"/>
      <c r="L192" s="14"/>
      <c r="M192" s="14"/>
      <c r="N192" s="14"/>
      <c r="O192" s="14"/>
      <c r="P192" s="14"/>
      <c r="Q192" s="14"/>
      <c r="R192" s="14"/>
      <c r="S192" s="14"/>
      <c r="T192" s="14"/>
      <c r="U192" s="14"/>
      <c r="V192" s="14"/>
      <c r="W192" s="14"/>
      <c r="X192" s="14"/>
      <c r="Y192" s="14"/>
      <c r="Z192" s="14"/>
      <c r="AA192" s="15"/>
      <c r="AB192" s="3"/>
      <c r="AC192" s="3"/>
      <c r="AD192" s="3"/>
      <c r="AE192" s="3"/>
      <c r="AF192" s="3"/>
      <c r="AG192" s="3"/>
      <c r="AH192" s="3"/>
      <c r="AI192" s="3"/>
      <c r="AJ192" s="3"/>
      <c r="AK192" s="3"/>
      <c r="AL192" s="3"/>
      <c r="AM192" s="3"/>
      <c r="AN192" s="3"/>
      <c r="AO192" s="3"/>
    </row>
    <row r="193" spans="2:41" s="171" customFormat="1" x14ac:dyDescent="0.25">
      <c r="B193" s="13"/>
      <c r="C193" s="56"/>
      <c r="D193" s="60"/>
      <c r="E193" s="56"/>
      <c r="F193" s="56"/>
      <c r="G193" s="56"/>
      <c r="H193" s="56"/>
      <c r="I193" s="14"/>
      <c r="J193" s="14"/>
      <c r="K193" s="14"/>
      <c r="L193" s="14"/>
      <c r="M193" s="14"/>
      <c r="N193" s="14"/>
      <c r="O193" s="14"/>
      <c r="P193" s="14"/>
      <c r="Q193" s="14"/>
      <c r="R193" s="14"/>
      <c r="S193" s="14"/>
      <c r="T193" s="14"/>
      <c r="U193" s="14"/>
      <c r="V193" s="14"/>
      <c r="W193" s="14"/>
      <c r="X193" s="14"/>
      <c r="Y193" s="14"/>
      <c r="Z193" s="14"/>
      <c r="AA193" s="15"/>
      <c r="AB193" s="3"/>
      <c r="AC193" s="3"/>
      <c r="AD193" s="3"/>
      <c r="AE193" s="3"/>
      <c r="AF193" s="3"/>
      <c r="AG193" s="3"/>
      <c r="AH193" s="3"/>
      <c r="AI193" s="3"/>
      <c r="AJ193" s="3"/>
      <c r="AK193" s="3"/>
      <c r="AL193" s="3"/>
      <c r="AM193" s="3"/>
      <c r="AN193" s="3"/>
      <c r="AO193" s="3"/>
    </row>
    <row r="194" spans="2:41" s="171" customFormat="1" x14ac:dyDescent="0.25">
      <c r="B194" s="13"/>
      <c r="C194" s="14"/>
      <c r="D194" s="60"/>
      <c r="E194" s="56"/>
      <c r="F194" s="56"/>
      <c r="G194" s="14"/>
      <c r="H194" s="56"/>
      <c r="I194" s="14"/>
      <c r="J194" s="14"/>
      <c r="K194" s="14"/>
      <c r="L194" s="14"/>
      <c r="M194" s="14"/>
      <c r="N194" s="14"/>
      <c r="O194" s="14"/>
      <c r="P194" s="14"/>
      <c r="Q194" s="14"/>
      <c r="R194" s="14"/>
      <c r="S194" s="14"/>
      <c r="T194" s="14"/>
      <c r="U194" s="14"/>
      <c r="V194" s="14"/>
      <c r="W194" s="14"/>
      <c r="X194" s="14"/>
      <c r="Y194" s="14"/>
      <c r="Z194" s="14"/>
      <c r="AA194" s="15"/>
      <c r="AB194" s="3"/>
      <c r="AC194" s="3"/>
      <c r="AD194" s="3"/>
      <c r="AE194" s="3"/>
      <c r="AF194" s="3"/>
      <c r="AG194" s="3"/>
      <c r="AH194" s="3"/>
      <c r="AI194" s="3"/>
      <c r="AJ194" s="3"/>
      <c r="AK194" s="3"/>
      <c r="AL194" s="3"/>
      <c r="AM194" s="3"/>
      <c r="AN194" s="3"/>
      <c r="AO194" s="3"/>
    </row>
    <row r="195" spans="2:41" s="171" customFormat="1" x14ac:dyDescent="0.25">
      <c r="B195" s="13"/>
      <c r="C195" s="14"/>
      <c r="D195" s="14"/>
      <c r="E195" s="14"/>
      <c r="F195" s="14"/>
      <c r="G195" s="14"/>
      <c r="H195" s="56"/>
      <c r="I195" s="14"/>
      <c r="J195" s="14"/>
      <c r="K195" s="14"/>
      <c r="L195" s="14"/>
      <c r="M195" s="14"/>
      <c r="N195" s="14"/>
      <c r="O195" s="14"/>
      <c r="P195" s="14"/>
      <c r="Q195" s="14"/>
      <c r="R195" s="14"/>
      <c r="S195" s="14"/>
      <c r="T195" s="14"/>
      <c r="U195" s="14"/>
      <c r="V195" s="14"/>
      <c r="W195" s="14"/>
      <c r="X195" s="14"/>
      <c r="Y195" s="14"/>
      <c r="Z195" s="14"/>
      <c r="AA195" s="15"/>
      <c r="AB195" s="3"/>
      <c r="AC195" s="3"/>
      <c r="AD195" s="3"/>
      <c r="AE195" s="3"/>
      <c r="AF195" s="3"/>
      <c r="AG195" s="3"/>
      <c r="AH195" s="3"/>
      <c r="AI195" s="3"/>
      <c r="AJ195" s="3"/>
      <c r="AK195" s="3"/>
      <c r="AL195" s="3"/>
      <c r="AM195" s="3"/>
      <c r="AN195" s="3"/>
      <c r="AO195" s="3"/>
    </row>
    <row r="196" spans="2:41" s="171" customFormat="1" x14ac:dyDescent="0.25">
      <c r="B196" s="13"/>
      <c r="C196" s="14"/>
      <c r="D196" s="60"/>
      <c r="E196" s="56"/>
      <c r="F196" s="56"/>
      <c r="G196" s="14"/>
      <c r="H196" s="14"/>
      <c r="I196" s="14"/>
      <c r="J196" s="14"/>
      <c r="K196" s="14"/>
      <c r="L196" s="14"/>
      <c r="M196" s="14"/>
      <c r="N196" s="14"/>
      <c r="O196" s="14"/>
      <c r="P196" s="14"/>
      <c r="Q196" s="14"/>
      <c r="R196" s="14"/>
      <c r="S196" s="14"/>
      <c r="T196" s="14"/>
      <c r="U196" s="14"/>
      <c r="V196" s="14"/>
      <c r="W196" s="14"/>
      <c r="X196" s="14"/>
      <c r="Y196" s="14"/>
      <c r="Z196" s="14"/>
      <c r="AA196" s="15"/>
      <c r="AB196" s="3"/>
      <c r="AC196" s="3"/>
      <c r="AD196" s="3"/>
      <c r="AE196" s="3"/>
      <c r="AF196" s="3"/>
      <c r="AG196" s="3"/>
      <c r="AH196" s="3"/>
      <c r="AI196" s="3"/>
      <c r="AJ196" s="3"/>
      <c r="AK196" s="3"/>
      <c r="AL196" s="3"/>
      <c r="AM196" s="3"/>
      <c r="AN196" s="3"/>
      <c r="AO196" s="3"/>
    </row>
    <row r="197" spans="2:41" s="171" customFormat="1" x14ac:dyDescent="0.25">
      <c r="B197" s="13"/>
      <c r="C197" s="14"/>
      <c r="D197" s="60"/>
      <c r="E197" s="56"/>
      <c r="F197" s="56"/>
      <c r="G197" s="14"/>
      <c r="H197" s="56"/>
      <c r="I197" s="14"/>
      <c r="J197" s="14"/>
      <c r="K197" s="14"/>
      <c r="L197" s="14"/>
      <c r="M197" s="14"/>
      <c r="N197" s="14"/>
      <c r="O197" s="14"/>
      <c r="P197" s="14"/>
      <c r="Q197" s="14"/>
      <c r="R197" s="14"/>
      <c r="S197" s="14"/>
      <c r="T197" s="14"/>
      <c r="U197" s="14"/>
      <c r="V197" s="14"/>
      <c r="W197" s="14"/>
      <c r="X197" s="14"/>
      <c r="Y197" s="14"/>
      <c r="Z197" s="14"/>
      <c r="AA197" s="15"/>
      <c r="AB197" s="3"/>
      <c r="AC197" s="3"/>
      <c r="AD197" s="3"/>
      <c r="AE197" s="3"/>
      <c r="AF197" s="3"/>
      <c r="AG197" s="3"/>
      <c r="AH197" s="3"/>
      <c r="AI197" s="3"/>
      <c r="AJ197" s="3"/>
      <c r="AK197" s="3"/>
      <c r="AL197" s="3"/>
      <c r="AM197" s="3"/>
      <c r="AN197" s="3"/>
      <c r="AO197" s="3"/>
    </row>
    <row r="198" spans="2:41" s="171" customFormat="1" x14ac:dyDescent="0.25">
      <c r="B198" s="13"/>
      <c r="C198" s="14"/>
      <c r="D198" s="60"/>
      <c r="E198" s="56"/>
      <c r="F198" s="56"/>
      <c r="G198" s="14"/>
      <c r="H198" s="56"/>
      <c r="I198" s="14"/>
      <c r="J198" s="14"/>
      <c r="K198" s="14"/>
      <c r="L198" s="14"/>
      <c r="M198" s="14"/>
      <c r="N198" s="14"/>
      <c r="O198" s="14"/>
      <c r="P198" s="14"/>
      <c r="Q198" s="14"/>
      <c r="R198" s="14"/>
      <c r="S198" s="14"/>
      <c r="T198" s="14"/>
      <c r="U198" s="14"/>
      <c r="V198" s="14"/>
      <c r="W198" s="14"/>
      <c r="X198" s="14"/>
      <c r="Y198" s="14"/>
      <c r="Z198" s="14"/>
      <c r="AA198" s="15"/>
      <c r="AB198" s="3"/>
      <c r="AC198" s="3"/>
      <c r="AD198" s="3"/>
      <c r="AE198" s="3"/>
      <c r="AF198" s="3"/>
      <c r="AG198" s="3"/>
      <c r="AH198" s="3"/>
      <c r="AI198" s="3"/>
      <c r="AJ198" s="3"/>
      <c r="AK198" s="3"/>
      <c r="AL198" s="3"/>
      <c r="AM198" s="3"/>
      <c r="AN198" s="3"/>
      <c r="AO198" s="3"/>
    </row>
    <row r="199" spans="2:41" s="171" customFormat="1" x14ac:dyDescent="0.25">
      <c r="B199" s="13"/>
      <c r="C199" s="14"/>
      <c r="D199" s="60"/>
      <c r="E199" s="56"/>
      <c r="F199" s="56"/>
      <c r="G199" s="14"/>
      <c r="H199" s="56"/>
      <c r="I199" s="14"/>
      <c r="J199" s="14"/>
      <c r="K199" s="14"/>
      <c r="L199" s="14"/>
      <c r="M199" s="14"/>
      <c r="N199" s="14"/>
      <c r="O199" s="14"/>
      <c r="P199" s="14"/>
      <c r="Q199" s="14"/>
      <c r="R199" s="14"/>
      <c r="S199" s="14"/>
      <c r="T199" s="14"/>
      <c r="U199" s="14"/>
      <c r="V199" s="14"/>
      <c r="W199" s="14"/>
      <c r="X199" s="14"/>
      <c r="Y199" s="14"/>
      <c r="Z199" s="14"/>
      <c r="AA199" s="15"/>
      <c r="AB199" s="3"/>
      <c r="AC199" s="3"/>
      <c r="AD199" s="3"/>
      <c r="AE199" s="3"/>
      <c r="AF199" s="3"/>
      <c r="AG199" s="3"/>
      <c r="AH199" s="3"/>
      <c r="AI199" s="3"/>
      <c r="AJ199" s="3"/>
      <c r="AK199" s="3"/>
      <c r="AL199" s="3"/>
      <c r="AM199" s="3"/>
      <c r="AN199" s="3"/>
      <c r="AO199" s="3"/>
    </row>
    <row r="200" spans="2:41" s="171" customFormat="1" x14ac:dyDescent="0.25">
      <c r="B200" s="13"/>
      <c r="C200" s="14"/>
      <c r="D200" s="60"/>
      <c r="E200" s="56"/>
      <c r="F200" s="56"/>
      <c r="G200" s="14"/>
      <c r="H200" s="56"/>
      <c r="I200" s="14"/>
      <c r="J200" s="14"/>
      <c r="K200" s="14"/>
      <c r="L200" s="14"/>
      <c r="M200" s="14"/>
      <c r="N200" s="14"/>
      <c r="O200" s="14"/>
      <c r="P200" s="14"/>
      <c r="Q200" s="14"/>
      <c r="R200" s="14"/>
      <c r="S200" s="14"/>
      <c r="T200" s="14"/>
      <c r="U200" s="14"/>
      <c r="V200" s="14"/>
      <c r="W200" s="14"/>
      <c r="X200" s="14"/>
      <c r="Y200" s="14"/>
      <c r="Z200" s="14"/>
      <c r="AA200" s="15"/>
      <c r="AB200" s="3"/>
      <c r="AC200" s="3"/>
      <c r="AD200" s="3"/>
      <c r="AE200" s="3"/>
      <c r="AF200" s="3"/>
      <c r="AG200" s="3"/>
      <c r="AH200" s="3"/>
      <c r="AI200" s="3"/>
      <c r="AJ200" s="3"/>
      <c r="AK200" s="3"/>
      <c r="AL200" s="3"/>
      <c r="AM200" s="3"/>
      <c r="AN200" s="3"/>
      <c r="AO200" s="3"/>
    </row>
    <row r="201" spans="2:41" s="171" customFormat="1" x14ac:dyDescent="0.25">
      <c r="B201" s="13"/>
      <c r="C201" s="14"/>
      <c r="D201" s="60"/>
      <c r="E201" s="56"/>
      <c r="F201" s="56"/>
      <c r="G201" s="14"/>
      <c r="H201" s="56"/>
      <c r="I201" s="14"/>
      <c r="J201" s="14"/>
      <c r="K201" s="14"/>
      <c r="L201" s="14"/>
      <c r="M201" s="14"/>
      <c r="N201" s="14"/>
      <c r="O201" s="14"/>
      <c r="P201" s="14"/>
      <c r="Q201" s="14"/>
      <c r="R201" s="14"/>
      <c r="S201" s="14"/>
      <c r="T201" s="14"/>
      <c r="U201" s="14"/>
      <c r="V201" s="14"/>
      <c r="W201" s="14"/>
      <c r="X201" s="14"/>
      <c r="Y201" s="14"/>
      <c r="Z201" s="14"/>
      <c r="AA201" s="15"/>
      <c r="AB201" s="3"/>
      <c r="AC201" s="3"/>
      <c r="AD201" s="3"/>
      <c r="AE201" s="3"/>
      <c r="AF201" s="3"/>
      <c r="AG201" s="3"/>
      <c r="AH201" s="3"/>
      <c r="AI201" s="3"/>
      <c r="AJ201" s="3"/>
      <c r="AK201" s="3"/>
      <c r="AL201" s="3"/>
      <c r="AM201" s="3"/>
      <c r="AN201" s="3"/>
      <c r="AO201" s="3"/>
    </row>
    <row r="202" spans="2:41" s="171" customFormat="1" x14ac:dyDescent="0.25">
      <c r="B202" s="13"/>
      <c r="C202" s="14"/>
      <c r="D202" s="14"/>
      <c r="E202" s="56"/>
      <c r="F202" s="56"/>
      <c r="G202" s="14"/>
      <c r="H202" s="56"/>
      <c r="I202" s="14"/>
      <c r="J202" s="14"/>
      <c r="K202" s="14"/>
      <c r="L202" s="14"/>
      <c r="M202" s="14"/>
      <c r="N202" s="14"/>
      <c r="O202" s="14"/>
      <c r="P202" s="14"/>
      <c r="Q202" s="14"/>
      <c r="R202" s="14"/>
      <c r="S202" s="14"/>
      <c r="T202" s="14"/>
      <c r="U202" s="14"/>
      <c r="V202" s="14"/>
      <c r="W202" s="14"/>
      <c r="X202" s="14"/>
      <c r="Y202" s="14"/>
      <c r="Z202" s="14"/>
      <c r="AA202" s="15"/>
      <c r="AB202" s="3"/>
      <c r="AC202" s="3"/>
      <c r="AD202" s="3"/>
      <c r="AE202" s="3"/>
      <c r="AF202" s="3"/>
      <c r="AG202" s="3"/>
      <c r="AH202" s="3"/>
      <c r="AI202" s="3"/>
      <c r="AJ202" s="3"/>
      <c r="AK202" s="3"/>
      <c r="AL202" s="3"/>
      <c r="AM202" s="3"/>
      <c r="AN202" s="3"/>
      <c r="AO202" s="3"/>
    </row>
    <row r="203" spans="2:41" s="171" customFormat="1" x14ac:dyDescent="0.25">
      <c r="B203" s="13"/>
      <c r="C203" s="14"/>
      <c r="D203" s="60"/>
      <c r="E203" s="56"/>
      <c r="F203" s="56"/>
      <c r="G203" s="14"/>
      <c r="H203" s="14"/>
      <c r="I203" s="14"/>
      <c r="J203" s="14"/>
      <c r="K203" s="14"/>
      <c r="L203" s="14"/>
      <c r="M203" s="14"/>
      <c r="N203" s="14"/>
      <c r="O203" s="14"/>
      <c r="P203" s="14"/>
      <c r="Q203" s="14"/>
      <c r="R203" s="14"/>
      <c r="S203" s="14"/>
      <c r="T203" s="14"/>
      <c r="U203" s="14"/>
      <c r="V203" s="14"/>
      <c r="W203" s="14"/>
      <c r="X203" s="14"/>
      <c r="Y203" s="14"/>
      <c r="Z203" s="14"/>
      <c r="AA203" s="15"/>
      <c r="AB203" s="3"/>
      <c r="AC203" s="3"/>
      <c r="AD203" s="3"/>
      <c r="AE203" s="3"/>
      <c r="AF203" s="3"/>
      <c r="AG203" s="3"/>
      <c r="AH203" s="3"/>
      <c r="AI203" s="3"/>
      <c r="AJ203" s="3"/>
      <c r="AK203" s="3"/>
      <c r="AL203" s="3"/>
      <c r="AM203" s="3"/>
      <c r="AN203" s="3"/>
      <c r="AO203" s="3"/>
    </row>
    <row r="204" spans="2:41" s="171" customFormat="1" x14ac:dyDescent="0.25">
      <c r="B204" s="13"/>
      <c r="C204" s="14"/>
      <c r="D204" s="60"/>
      <c r="E204" s="56"/>
      <c r="F204" s="56"/>
      <c r="G204" s="14"/>
      <c r="H204" s="56"/>
      <c r="I204" s="14"/>
      <c r="J204" s="14"/>
      <c r="K204" s="14"/>
      <c r="L204" s="14"/>
      <c r="M204" s="14"/>
      <c r="N204" s="14"/>
      <c r="O204" s="14"/>
      <c r="P204" s="14"/>
      <c r="Q204" s="14"/>
      <c r="R204" s="14"/>
      <c r="S204" s="14"/>
      <c r="T204" s="14"/>
      <c r="U204" s="14"/>
      <c r="V204" s="14"/>
      <c r="W204" s="14"/>
      <c r="X204" s="14"/>
      <c r="Y204" s="14"/>
      <c r="Z204" s="14"/>
      <c r="AA204" s="15"/>
      <c r="AB204" s="3"/>
      <c r="AC204" s="3"/>
      <c r="AD204" s="3"/>
      <c r="AE204" s="3"/>
      <c r="AF204" s="3"/>
      <c r="AG204" s="3"/>
      <c r="AH204" s="3"/>
      <c r="AI204" s="3"/>
      <c r="AJ204" s="3"/>
      <c r="AK204" s="3"/>
      <c r="AL204" s="3"/>
      <c r="AM204" s="3"/>
      <c r="AN204" s="3"/>
      <c r="AO204" s="3"/>
    </row>
    <row r="205" spans="2:41" s="171" customFormat="1" x14ac:dyDescent="0.25">
      <c r="B205" s="13"/>
      <c r="C205" s="14"/>
      <c r="D205" s="60"/>
      <c r="E205" s="56"/>
      <c r="F205" s="56"/>
      <c r="G205" s="14"/>
      <c r="H205" s="56"/>
      <c r="I205" s="14"/>
      <c r="J205" s="14"/>
      <c r="K205" s="14"/>
      <c r="L205" s="14"/>
      <c r="M205" s="14"/>
      <c r="N205" s="14"/>
      <c r="O205" s="14"/>
      <c r="P205" s="14"/>
      <c r="Q205" s="14"/>
      <c r="R205" s="14"/>
      <c r="S205" s="14"/>
      <c r="T205" s="14"/>
      <c r="U205" s="14"/>
      <c r="V205" s="14"/>
      <c r="W205" s="14"/>
      <c r="X205" s="14"/>
      <c r="Y205" s="14"/>
      <c r="Z205" s="14"/>
      <c r="AA205" s="15"/>
      <c r="AB205" s="3"/>
      <c r="AC205" s="3"/>
      <c r="AD205" s="3"/>
      <c r="AE205" s="3"/>
      <c r="AF205" s="3"/>
      <c r="AG205" s="3"/>
      <c r="AH205" s="3"/>
      <c r="AI205" s="3"/>
      <c r="AJ205" s="3"/>
      <c r="AK205" s="3"/>
      <c r="AL205" s="3"/>
      <c r="AM205" s="3"/>
      <c r="AN205" s="3"/>
      <c r="AO205" s="3"/>
    </row>
    <row r="206" spans="2:41" s="171" customFormat="1" x14ac:dyDescent="0.25">
      <c r="B206" s="13"/>
      <c r="C206" s="14"/>
      <c r="D206" s="60"/>
      <c r="E206" s="56"/>
      <c r="F206" s="56"/>
      <c r="G206" s="14"/>
      <c r="H206" s="56"/>
      <c r="I206" s="14"/>
      <c r="J206" s="14"/>
      <c r="K206" s="14"/>
      <c r="L206" s="14"/>
      <c r="M206" s="14"/>
      <c r="N206" s="14"/>
      <c r="O206" s="14"/>
      <c r="P206" s="14"/>
      <c r="Q206" s="14"/>
      <c r="R206" s="14"/>
      <c r="S206" s="14"/>
      <c r="T206" s="14"/>
      <c r="U206" s="14"/>
      <c r="V206" s="14"/>
      <c r="W206" s="14"/>
      <c r="X206" s="14"/>
      <c r="Y206" s="14"/>
      <c r="Z206" s="14"/>
      <c r="AA206" s="15"/>
      <c r="AB206" s="3"/>
      <c r="AC206" s="3"/>
      <c r="AD206" s="3"/>
      <c r="AE206" s="3"/>
      <c r="AF206" s="3"/>
      <c r="AG206" s="3"/>
      <c r="AH206" s="3"/>
      <c r="AI206" s="3"/>
      <c r="AJ206" s="3"/>
      <c r="AK206" s="3"/>
      <c r="AL206" s="3"/>
      <c r="AM206" s="3"/>
      <c r="AN206" s="3"/>
      <c r="AO206" s="3"/>
    </row>
    <row r="207" spans="2:41" s="171" customFormat="1" x14ac:dyDescent="0.25">
      <c r="B207" s="70"/>
      <c r="C207" s="56"/>
      <c r="D207" s="60"/>
      <c r="E207" s="56"/>
      <c r="F207" s="56"/>
      <c r="G207" s="56"/>
      <c r="H207" s="56"/>
      <c r="I207" s="42"/>
      <c r="J207" s="14"/>
      <c r="K207" s="14"/>
      <c r="L207" s="14"/>
      <c r="M207" s="14"/>
      <c r="N207" s="14"/>
      <c r="O207" s="14"/>
      <c r="P207" s="14"/>
      <c r="Q207" s="14"/>
      <c r="R207" s="14"/>
      <c r="S207" s="14"/>
      <c r="T207" s="14"/>
      <c r="U207" s="14"/>
      <c r="V207" s="14"/>
      <c r="W207" s="14"/>
      <c r="X207" s="14"/>
      <c r="Y207" s="14"/>
      <c r="Z207" s="14"/>
      <c r="AA207" s="15"/>
      <c r="AB207" s="3"/>
      <c r="AC207" s="3"/>
      <c r="AD207" s="3"/>
      <c r="AE207" s="3"/>
      <c r="AF207" s="3"/>
      <c r="AG207" s="3"/>
      <c r="AH207" s="3"/>
      <c r="AI207" s="3"/>
      <c r="AJ207" s="3"/>
      <c r="AK207" s="3"/>
      <c r="AL207" s="3"/>
      <c r="AM207" s="3"/>
      <c r="AN207" s="3"/>
      <c r="AO207" s="3"/>
    </row>
    <row r="208" spans="2:41" s="171" customFormat="1" ht="18.75" x14ac:dyDescent="0.3">
      <c r="B208" s="67"/>
      <c r="C208" s="14"/>
      <c r="D208" s="60"/>
      <c r="E208" s="56"/>
      <c r="F208" s="56"/>
      <c r="G208" s="14"/>
      <c r="H208" s="56"/>
      <c r="I208" s="74"/>
      <c r="J208" s="14"/>
      <c r="K208" s="14"/>
      <c r="L208" s="14"/>
      <c r="M208" s="14"/>
      <c r="N208" s="14"/>
      <c r="O208" s="14"/>
      <c r="P208" s="14"/>
      <c r="Q208" s="14"/>
      <c r="R208" s="14"/>
      <c r="S208" s="14"/>
      <c r="T208" s="14"/>
      <c r="U208" s="14"/>
      <c r="V208" s="14"/>
      <c r="W208" s="14"/>
      <c r="X208" s="14"/>
      <c r="Y208" s="14"/>
      <c r="Z208" s="14"/>
      <c r="AA208" s="15"/>
      <c r="AB208" s="3"/>
      <c r="AC208" s="3"/>
      <c r="AD208" s="3"/>
      <c r="AE208" s="3"/>
      <c r="AF208" s="3"/>
      <c r="AG208" s="3"/>
      <c r="AH208" s="3"/>
      <c r="AI208" s="3"/>
      <c r="AJ208" s="3"/>
      <c r="AK208" s="3"/>
      <c r="AL208" s="3"/>
      <c r="AM208" s="3"/>
      <c r="AN208" s="3"/>
      <c r="AO208" s="3"/>
    </row>
    <row r="209" spans="2:41" s="171" customFormat="1" x14ac:dyDescent="0.25">
      <c r="B209" s="13"/>
      <c r="C209" s="14"/>
      <c r="D209" s="14"/>
      <c r="E209" s="56"/>
      <c r="F209" s="56"/>
      <c r="G209" s="14"/>
      <c r="H209" s="56"/>
      <c r="I209" s="14"/>
      <c r="J209" s="14"/>
      <c r="K209" s="14"/>
      <c r="L209" s="14"/>
      <c r="M209" s="14"/>
      <c r="N209" s="14"/>
      <c r="O209" s="14"/>
      <c r="P209" s="14"/>
      <c r="Q209" s="14"/>
      <c r="R209" s="14"/>
      <c r="S209" s="14"/>
      <c r="T209" s="14"/>
      <c r="U209" s="14"/>
      <c r="V209" s="14"/>
      <c r="W209" s="14"/>
      <c r="X209" s="14"/>
      <c r="Y209" s="14"/>
      <c r="Z209" s="14"/>
      <c r="AA209" s="15"/>
      <c r="AB209" s="3"/>
      <c r="AC209" s="3"/>
      <c r="AD209" s="3"/>
      <c r="AE209" s="3"/>
      <c r="AF209" s="3"/>
      <c r="AG209" s="3"/>
      <c r="AH209" s="3"/>
      <c r="AI209" s="3"/>
      <c r="AJ209" s="3"/>
      <c r="AK209" s="3"/>
      <c r="AL209" s="3"/>
      <c r="AM209" s="3"/>
      <c r="AN209" s="3"/>
      <c r="AO209" s="3"/>
    </row>
    <row r="210" spans="2:41" s="171" customFormat="1" x14ac:dyDescent="0.25">
      <c r="B210" s="13"/>
      <c r="C210" s="14"/>
      <c r="D210" s="60"/>
      <c r="E210" s="56"/>
      <c r="F210" s="56"/>
      <c r="G210" s="14"/>
      <c r="H210" s="14"/>
      <c r="I210" s="14"/>
      <c r="J210" s="14"/>
      <c r="K210" s="14"/>
      <c r="L210" s="14"/>
      <c r="M210" s="14"/>
      <c r="N210" s="14"/>
      <c r="O210" s="14"/>
      <c r="P210" s="14"/>
      <c r="Q210" s="14"/>
      <c r="R210" s="14"/>
      <c r="S210" s="14"/>
      <c r="T210" s="14"/>
      <c r="U210" s="14"/>
      <c r="V210" s="14"/>
      <c r="W210" s="14"/>
      <c r="X210" s="14"/>
      <c r="Y210" s="14"/>
      <c r="Z210" s="14"/>
      <c r="AA210" s="15"/>
      <c r="AB210" s="3"/>
      <c r="AC210" s="3"/>
      <c r="AD210" s="3"/>
      <c r="AE210" s="3"/>
      <c r="AF210" s="3"/>
      <c r="AG210" s="3"/>
      <c r="AH210" s="3"/>
      <c r="AI210" s="3"/>
      <c r="AJ210" s="3"/>
      <c r="AK210" s="3"/>
      <c r="AL210" s="3"/>
      <c r="AM210" s="3"/>
      <c r="AN210" s="3"/>
      <c r="AO210" s="3"/>
    </row>
    <row r="211" spans="2:41" s="171" customFormat="1" x14ac:dyDescent="0.25">
      <c r="B211" s="13"/>
      <c r="C211" s="14"/>
      <c r="D211" s="60"/>
      <c r="E211" s="56"/>
      <c r="F211" s="56"/>
      <c r="G211" s="14"/>
      <c r="H211" s="56"/>
      <c r="I211" s="14"/>
      <c r="J211" s="14"/>
      <c r="K211" s="14"/>
      <c r="L211" s="14"/>
      <c r="M211" s="14"/>
      <c r="N211" s="14"/>
      <c r="O211" s="14"/>
      <c r="P211" s="14"/>
      <c r="Q211" s="14"/>
      <c r="R211" s="14"/>
      <c r="S211" s="14"/>
      <c r="T211" s="14"/>
      <c r="U211" s="14"/>
      <c r="V211" s="14"/>
      <c r="W211" s="14"/>
      <c r="X211" s="14"/>
      <c r="Y211" s="14"/>
      <c r="Z211" s="14"/>
      <c r="AA211" s="15"/>
      <c r="AB211" s="3"/>
      <c r="AC211" s="3"/>
      <c r="AD211" s="3"/>
      <c r="AE211" s="3"/>
      <c r="AF211" s="3"/>
      <c r="AG211" s="3"/>
      <c r="AH211" s="3"/>
      <c r="AI211" s="3"/>
      <c r="AJ211" s="3"/>
      <c r="AK211" s="3"/>
      <c r="AL211" s="3"/>
      <c r="AM211" s="3"/>
      <c r="AN211" s="3"/>
      <c r="AO211" s="3"/>
    </row>
    <row r="212" spans="2:41" s="171" customFormat="1" x14ac:dyDescent="0.25">
      <c r="B212" s="13"/>
      <c r="C212" s="14"/>
      <c r="D212" s="60"/>
      <c r="E212" s="56"/>
      <c r="F212" s="56"/>
      <c r="G212" s="14"/>
      <c r="H212" s="56"/>
      <c r="I212" s="14"/>
      <c r="J212" s="14"/>
      <c r="K212" s="14"/>
      <c r="L212" s="14"/>
      <c r="M212" s="14"/>
      <c r="N212" s="14"/>
      <c r="O212" s="14"/>
      <c r="P212" s="14"/>
      <c r="Q212" s="14"/>
      <c r="R212" s="14"/>
      <c r="S212" s="14"/>
      <c r="T212" s="14"/>
      <c r="U212" s="14"/>
      <c r="V212" s="14"/>
      <c r="W212" s="14"/>
      <c r="X212" s="14"/>
      <c r="Y212" s="14"/>
      <c r="Z212" s="14"/>
      <c r="AA212" s="15"/>
      <c r="AB212" s="3"/>
      <c r="AC212" s="3"/>
      <c r="AD212" s="3"/>
      <c r="AE212" s="3"/>
      <c r="AF212" s="3"/>
      <c r="AG212" s="3"/>
      <c r="AH212" s="3"/>
      <c r="AI212" s="3"/>
      <c r="AJ212" s="3"/>
      <c r="AK212" s="3"/>
      <c r="AL212" s="3"/>
      <c r="AM212" s="3"/>
      <c r="AN212" s="3"/>
      <c r="AO212" s="3"/>
    </row>
    <row r="213" spans="2:41" s="171" customFormat="1" x14ac:dyDescent="0.25">
      <c r="B213" s="13"/>
      <c r="C213" s="14"/>
      <c r="D213" s="60"/>
      <c r="E213" s="56"/>
      <c r="F213" s="56"/>
      <c r="G213" s="14"/>
      <c r="H213" s="56"/>
      <c r="I213" s="14"/>
      <c r="J213" s="14"/>
      <c r="K213" s="14"/>
      <c r="L213" s="14"/>
      <c r="M213" s="14"/>
      <c r="N213" s="14"/>
      <c r="O213" s="14"/>
      <c r="P213" s="14"/>
      <c r="Q213" s="14"/>
      <c r="R213" s="14"/>
      <c r="S213" s="14"/>
      <c r="T213" s="14"/>
      <c r="U213" s="14"/>
      <c r="V213" s="14"/>
      <c r="W213" s="14"/>
      <c r="X213" s="14"/>
      <c r="Y213" s="14"/>
      <c r="Z213" s="14"/>
      <c r="AA213" s="15"/>
      <c r="AB213" s="3"/>
      <c r="AC213" s="3"/>
      <c r="AD213" s="3"/>
      <c r="AE213" s="3"/>
      <c r="AF213" s="3"/>
      <c r="AG213" s="3"/>
      <c r="AH213" s="3"/>
      <c r="AI213" s="3"/>
      <c r="AJ213" s="3"/>
      <c r="AK213" s="3"/>
      <c r="AL213" s="3"/>
      <c r="AM213" s="3"/>
      <c r="AN213" s="3"/>
      <c r="AO213" s="3"/>
    </row>
    <row r="214" spans="2:41" s="171" customFormat="1" x14ac:dyDescent="0.25">
      <c r="B214" s="13"/>
      <c r="C214" s="14"/>
      <c r="D214" s="60"/>
      <c r="E214" s="56"/>
      <c r="F214" s="56"/>
      <c r="G214" s="14"/>
      <c r="H214" s="56"/>
      <c r="I214" s="14"/>
      <c r="J214" s="14"/>
      <c r="K214" s="14"/>
      <c r="L214" s="14"/>
      <c r="M214" s="14"/>
      <c r="N214" s="14"/>
      <c r="O214" s="14"/>
      <c r="P214" s="14"/>
      <c r="Q214" s="14"/>
      <c r="R214" s="14"/>
      <c r="S214" s="14"/>
      <c r="T214" s="14"/>
      <c r="U214" s="14"/>
      <c r="V214" s="14"/>
      <c r="W214" s="14"/>
      <c r="X214" s="14"/>
      <c r="Y214" s="14"/>
      <c r="Z214" s="14"/>
      <c r="AA214" s="15"/>
      <c r="AB214" s="3"/>
      <c r="AC214" s="3"/>
      <c r="AD214" s="3"/>
      <c r="AE214" s="3"/>
      <c r="AF214" s="3"/>
      <c r="AG214" s="3"/>
      <c r="AH214" s="3"/>
      <c r="AI214" s="3"/>
      <c r="AJ214" s="3"/>
      <c r="AK214" s="3"/>
      <c r="AL214" s="3"/>
      <c r="AM214" s="3"/>
      <c r="AN214" s="3"/>
      <c r="AO214" s="3"/>
    </row>
    <row r="215" spans="2:41" s="171" customFormat="1" x14ac:dyDescent="0.25">
      <c r="B215" s="13"/>
      <c r="C215" s="14"/>
      <c r="D215" s="60"/>
      <c r="E215" s="56"/>
      <c r="F215" s="56"/>
      <c r="G215" s="14"/>
      <c r="H215" s="56"/>
      <c r="I215" s="14"/>
      <c r="J215" s="14"/>
      <c r="K215" s="14"/>
      <c r="L215" s="14"/>
      <c r="M215" s="14"/>
      <c r="N215" s="14"/>
      <c r="O215" s="14"/>
      <c r="P215" s="14"/>
      <c r="Q215" s="14"/>
      <c r="R215" s="14"/>
      <c r="S215" s="14"/>
      <c r="T215" s="14"/>
      <c r="U215" s="14"/>
      <c r="V215" s="14"/>
      <c r="W215" s="14"/>
      <c r="X215" s="14"/>
      <c r="Y215" s="14"/>
      <c r="Z215" s="14"/>
      <c r="AA215" s="15"/>
      <c r="AB215" s="3"/>
      <c r="AC215" s="3"/>
      <c r="AD215" s="3"/>
      <c r="AE215" s="3"/>
      <c r="AF215" s="3"/>
      <c r="AG215" s="3"/>
      <c r="AH215" s="3"/>
      <c r="AI215" s="3"/>
      <c r="AJ215" s="3"/>
      <c r="AK215" s="3"/>
      <c r="AL215" s="3"/>
      <c r="AM215" s="3"/>
      <c r="AN215" s="3"/>
      <c r="AO215" s="3"/>
    </row>
    <row r="216" spans="2:41" s="171" customFormat="1" x14ac:dyDescent="0.25">
      <c r="B216" s="13"/>
      <c r="C216" s="14"/>
      <c r="D216" s="14"/>
      <c r="E216" s="56"/>
      <c r="F216" s="56"/>
      <c r="G216" s="14"/>
      <c r="H216" s="56"/>
      <c r="I216" s="14"/>
      <c r="J216" s="14"/>
      <c r="K216" s="14"/>
      <c r="L216" s="14"/>
      <c r="M216" s="14"/>
      <c r="N216" s="14"/>
      <c r="O216" s="14"/>
      <c r="P216" s="14"/>
      <c r="Q216" s="14"/>
      <c r="R216" s="14"/>
      <c r="S216" s="14"/>
      <c r="T216" s="14"/>
      <c r="U216" s="14"/>
      <c r="V216" s="14"/>
      <c r="W216" s="14"/>
      <c r="X216" s="14"/>
      <c r="Y216" s="14"/>
      <c r="Z216" s="14"/>
      <c r="AA216" s="15"/>
      <c r="AB216" s="3"/>
      <c r="AC216" s="3"/>
      <c r="AD216" s="3"/>
      <c r="AE216" s="3"/>
      <c r="AF216" s="3"/>
      <c r="AG216" s="3"/>
      <c r="AH216" s="3"/>
      <c r="AI216" s="3"/>
      <c r="AJ216" s="3"/>
      <c r="AK216" s="3"/>
      <c r="AL216" s="3"/>
      <c r="AM216" s="3"/>
      <c r="AN216" s="3"/>
      <c r="AO216" s="3"/>
    </row>
    <row r="217" spans="2:41" s="171" customFormat="1" x14ac:dyDescent="0.25">
      <c r="B217" s="13"/>
      <c r="C217" s="14"/>
      <c r="D217" s="60"/>
      <c r="E217" s="56"/>
      <c r="F217" s="56"/>
      <c r="G217" s="14"/>
      <c r="H217" s="14"/>
      <c r="I217" s="14"/>
      <c r="J217" s="14"/>
      <c r="K217" s="14"/>
      <c r="L217" s="14"/>
      <c r="M217" s="14"/>
      <c r="N217" s="14"/>
      <c r="O217" s="14"/>
      <c r="P217" s="14"/>
      <c r="Q217" s="14"/>
      <c r="R217" s="14"/>
      <c r="S217" s="14"/>
      <c r="T217" s="14"/>
      <c r="U217" s="14"/>
      <c r="V217" s="14"/>
      <c r="W217" s="14"/>
      <c r="X217" s="14"/>
      <c r="Y217" s="14"/>
      <c r="Z217" s="14"/>
      <c r="AA217" s="15"/>
      <c r="AB217" s="3"/>
      <c r="AC217" s="3"/>
      <c r="AD217" s="3"/>
      <c r="AE217" s="3"/>
      <c r="AF217" s="3"/>
      <c r="AG217" s="3"/>
      <c r="AH217" s="3"/>
      <c r="AI217" s="3"/>
      <c r="AJ217" s="3"/>
      <c r="AK217" s="3"/>
      <c r="AL217" s="3"/>
      <c r="AM217" s="3"/>
      <c r="AN217" s="3"/>
      <c r="AO217" s="3"/>
    </row>
    <row r="218" spans="2:41" s="171" customFormat="1" x14ac:dyDescent="0.25">
      <c r="B218" s="13"/>
      <c r="C218" s="14"/>
      <c r="D218" s="60"/>
      <c r="E218" s="56"/>
      <c r="F218" s="56"/>
      <c r="G218" s="14"/>
      <c r="H218" s="56"/>
      <c r="I218" s="14"/>
      <c r="J218" s="14"/>
      <c r="K218" s="14"/>
      <c r="L218" s="14"/>
      <c r="M218" s="14"/>
      <c r="N218" s="14"/>
      <c r="O218" s="14"/>
      <c r="P218" s="14"/>
      <c r="Q218" s="14"/>
      <c r="R218" s="14"/>
      <c r="S218" s="14"/>
      <c r="T218" s="14"/>
      <c r="U218" s="14"/>
      <c r="V218" s="14"/>
      <c r="W218" s="14"/>
      <c r="X218" s="14"/>
      <c r="Y218" s="14"/>
      <c r="Z218" s="14"/>
      <c r="AA218" s="15"/>
      <c r="AB218" s="3"/>
      <c r="AC218" s="3"/>
      <c r="AD218" s="3"/>
      <c r="AE218" s="3"/>
      <c r="AF218" s="3"/>
      <c r="AG218" s="3"/>
      <c r="AH218" s="3"/>
      <c r="AI218" s="3"/>
      <c r="AJ218" s="3"/>
      <c r="AK218" s="3"/>
      <c r="AL218" s="3"/>
      <c r="AM218" s="3"/>
      <c r="AN218" s="3"/>
      <c r="AO218" s="3"/>
    </row>
    <row r="219" spans="2:41" s="171" customFormat="1" x14ac:dyDescent="0.25">
      <c r="B219" s="13"/>
      <c r="C219" s="14"/>
      <c r="D219" s="60"/>
      <c r="E219" s="56"/>
      <c r="F219" s="56"/>
      <c r="G219" s="14"/>
      <c r="H219" s="56"/>
      <c r="I219" s="14"/>
      <c r="J219" s="14"/>
      <c r="K219" s="14"/>
      <c r="L219" s="14"/>
      <c r="M219" s="14"/>
      <c r="N219" s="14"/>
      <c r="O219" s="14"/>
      <c r="P219" s="14"/>
      <c r="Q219" s="14"/>
      <c r="R219" s="14"/>
      <c r="S219" s="14"/>
      <c r="T219" s="14"/>
      <c r="U219" s="14"/>
      <c r="V219" s="14"/>
      <c r="W219" s="14"/>
      <c r="X219" s="14"/>
      <c r="Y219" s="14"/>
      <c r="Z219" s="14"/>
      <c r="AA219" s="15"/>
      <c r="AB219" s="3"/>
      <c r="AC219" s="3"/>
      <c r="AD219" s="3"/>
      <c r="AE219" s="3"/>
      <c r="AF219" s="3"/>
      <c r="AG219" s="3"/>
      <c r="AH219" s="3"/>
      <c r="AI219" s="3"/>
      <c r="AJ219" s="3"/>
      <c r="AK219" s="3"/>
      <c r="AL219" s="3"/>
      <c r="AM219" s="3"/>
      <c r="AN219" s="3"/>
      <c r="AO219" s="3"/>
    </row>
    <row r="220" spans="2:41" s="171" customFormat="1" x14ac:dyDescent="0.25">
      <c r="B220" s="13"/>
      <c r="C220" s="14"/>
      <c r="D220" s="60"/>
      <c r="E220" s="56"/>
      <c r="F220" s="56"/>
      <c r="G220" s="14"/>
      <c r="H220" s="56"/>
      <c r="I220" s="14"/>
      <c r="J220" s="14"/>
      <c r="K220" s="14"/>
      <c r="L220" s="14"/>
      <c r="M220" s="14"/>
      <c r="N220" s="14"/>
      <c r="O220" s="14"/>
      <c r="P220" s="14"/>
      <c r="Q220" s="14"/>
      <c r="R220" s="14"/>
      <c r="S220" s="14"/>
      <c r="T220" s="14"/>
      <c r="U220" s="14"/>
      <c r="V220" s="14"/>
      <c r="W220" s="14"/>
      <c r="X220" s="14"/>
      <c r="Y220" s="14"/>
      <c r="Z220" s="14"/>
      <c r="AA220" s="15"/>
      <c r="AB220" s="3"/>
      <c r="AC220" s="3"/>
      <c r="AD220" s="3"/>
      <c r="AE220" s="3"/>
      <c r="AF220" s="3"/>
      <c r="AG220" s="3"/>
      <c r="AH220" s="3"/>
      <c r="AI220" s="3"/>
      <c r="AJ220" s="3"/>
      <c r="AK220" s="3"/>
      <c r="AL220" s="3"/>
      <c r="AM220" s="3"/>
      <c r="AN220" s="3"/>
      <c r="AO220" s="3"/>
    </row>
    <row r="221" spans="2:41" s="171" customFormat="1" x14ac:dyDescent="0.25">
      <c r="B221" s="70"/>
      <c r="C221" s="56"/>
      <c r="D221" s="60"/>
      <c r="E221" s="56"/>
      <c r="F221" s="56"/>
      <c r="G221" s="56"/>
      <c r="H221" s="56"/>
      <c r="I221" s="42"/>
      <c r="J221" s="14"/>
      <c r="K221" s="14"/>
      <c r="L221" s="14"/>
      <c r="M221" s="14"/>
      <c r="N221" s="14"/>
      <c r="O221" s="14"/>
      <c r="P221" s="14"/>
      <c r="Q221" s="14"/>
      <c r="R221" s="14"/>
      <c r="S221" s="14"/>
      <c r="T221" s="14"/>
      <c r="U221" s="14"/>
      <c r="V221" s="14"/>
      <c r="W221" s="14"/>
      <c r="X221" s="14"/>
      <c r="Y221" s="14"/>
      <c r="Z221" s="14"/>
      <c r="AA221" s="15"/>
      <c r="AB221" s="3"/>
      <c r="AC221" s="3"/>
      <c r="AD221" s="3"/>
      <c r="AE221" s="3"/>
      <c r="AF221" s="3"/>
      <c r="AG221" s="3"/>
      <c r="AH221" s="3"/>
      <c r="AI221" s="3"/>
      <c r="AJ221" s="3"/>
      <c r="AK221" s="3"/>
      <c r="AL221" s="3"/>
      <c r="AM221" s="3"/>
      <c r="AN221" s="3"/>
      <c r="AO221" s="3"/>
    </row>
    <row r="222" spans="2:41" s="171" customFormat="1" x14ac:dyDescent="0.25">
      <c r="B222" s="13"/>
      <c r="C222" s="14"/>
      <c r="D222" s="60"/>
      <c r="E222" s="56"/>
      <c r="F222" s="56"/>
      <c r="G222" s="14"/>
      <c r="H222" s="56"/>
      <c r="I222" s="14"/>
      <c r="J222" s="14"/>
      <c r="K222" s="14"/>
      <c r="L222" s="14"/>
      <c r="M222" s="14"/>
      <c r="N222" s="14"/>
      <c r="O222" s="14"/>
      <c r="P222" s="14"/>
      <c r="Q222" s="14"/>
      <c r="R222" s="14"/>
      <c r="S222" s="14"/>
      <c r="T222" s="14"/>
      <c r="U222" s="14"/>
      <c r="V222" s="14"/>
      <c r="W222" s="14"/>
      <c r="X222" s="14"/>
      <c r="Y222" s="14"/>
      <c r="Z222" s="14"/>
      <c r="AA222" s="15"/>
      <c r="AB222" s="3"/>
      <c r="AC222" s="3"/>
      <c r="AD222" s="3"/>
      <c r="AE222" s="3"/>
      <c r="AF222" s="3"/>
      <c r="AG222" s="3"/>
      <c r="AH222" s="3"/>
      <c r="AI222" s="3"/>
      <c r="AJ222" s="3"/>
      <c r="AK222" s="3"/>
      <c r="AL222" s="3"/>
      <c r="AM222" s="3"/>
      <c r="AN222" s="3"/>
      <c r="AO222" s="3"/>
    </row>
    <row r="223" spans="2:41" s="171" customFormat="1" x14ac:dyDescent="0.25">
      <c r="B223" s="13"/>
      <c r="C223" s="14"/>
      <c r="D223" s="14"/>
      <c r="E223" s="56"/>
      <c r="F223" s="56"/>
      <c r="G223" s="14"/>
      <c r="H223" s="56"/>
      <c r="I223" s="14"/>
      <c r="J223" s="14"/>
      <c r="K223" s="14"/>
      <c r="L223" s="14"/>
      <c r="M223" s="14"/>
      <c r="N223" s="14"/>
      <c r="O223" s="14"/>
      <c r="P223" s="14"/>
      <c r="Q223" s="14"/>
      <c r="R223" s="14"/>
      <c r="S223" s="14"/>
      <c r="T223" s="14"/>
      <c r="U223" s="14"/>
      <c r="V223" s="14"/>
      <c r="W223" s="14"/>
      <c r="X223" s="14"/>
      <c r="Y223" s="14"/>
      <c r="Z223" s="14"/>
      <c r="AA223" s="15"/>
      <c r="AB223" s="3"/>
      <c r="AC223" s="3"/>
      <c r="AD223" s="3"/>
      <c r="AE223" s="3"/>
      <c r="AF223" s="3"/>
      <c r="AG223" s="3"/>
      <c r="AH223" s="3"/>
      <c r="AI223" s="3"/>
      <c r="AJ223" s="3"/>
      <c r="AK223" s="3"/>
      <c r="AL223" s="3"/>
      <c r="AM223" s="3"/>
      <c r="AN223" s="3"/>
      <c r="AO223" s="3"/>
    </row>
    <row r="224" spans="2:41" s="171" customFormat="1" x14ac:dyDescent="0.25">
      <c r="B224" s="13"/>
      <c r="C224" s="14"/>
      <c r="D224" s="60"/>
      <c r="E224" s="56"/>
      <c r="F224" s="56"/>
      <c r="G224" s="14"/>
      <c r="H224" s="14"/>
      <c r="I224" s="14"/>
      <c r="J224" s="14"/>
      <c r="K224" s="14"/>
      <c r="L224" s="14"/>
      <c r="M224" s="14"/>
      <c r="N224" s="14"/>
      <c r="O224" s="14"/>
      <c r="P224" s="14"/>
      <c r="Q224" s="14"/>
      <c r="R224" s="14"/>
      <c r="S224" s="14"/>
      <c r="T224" s="14"/>
      <c r="U224" s="14"/>
      <c r="V224" s="14"/>
      <c r="W224" s="14"/>
      <c r="X224" s="14"/>
      <c r="Y224" s="14"/>
      <c r="Z224" s="14"/>
      <c r="AA224" s="15"/>
      <c r="AB224" s="3"/>
      <c r="AC224" s="3"/>
      <c r="AD224" s="3"/>
      <c r="AE224" s="3"/>
      <c r="AF224" s="3"/>
      <c r="AG224" s="3"/>
      <c r="AH224" s="3"/>
      <c r="AI224" s="3"/>
      <c r="AJ224" s="3"/>
      <c r="AK224" s="3"/>
      <c r="AL224" s="3"/>
      <c r="AM224" s="3"/>
      <c r="AN224" s="3"/>
      <c r="AO224" s="3"/>
    </row>
    <row r="225" spans="2:41" s="171" customFormat="1" x14ac:dyDescent="0.25">
      <c r="B225" s="13"/>
      <c r="C225" s="14"/>
      <c r="D225" s="60"/>
      <c r="E225" s="56"/>
      <c r="F225" s="56"/>
      <c r="G225" s="14"/>
      <c r="H225" s="56"/>
      <c r="I225" s="14"/>
      <c r="J225" s="14"/>
      <c r="K225" s="14"/>
      <c r="L225" s="14"/>
      <c r="M225" s="14"/>
      <c r="N225" s="14"/>
      <c r="O225" s="14"/>
      <c r="P225" s="14"/>
      <c r="Q225" s="14"/>
      <c r="R225" s="14"/>
      <c r="S225" s="14"/>
      <c r="T225" s="14"/>
      <c r="U225" s="14"/>
      <c r="V225" s="14"/>
      <c r="W225" s="14"/>
      <c r="X225" s="14"/>
      <c r="Y225" s="14"/>
      <c r="Z225" s="14"/>
      <c r="AA225" s="15"/>
      <c r="AB225" s="3"/>
      <c r="AC225" s="3"/>
      <c r="AD225" s="3"/>
      <c r="AE225" s="3"/>
      <c r="AF225" s="3"/>
      <c r="AG225" s="3"/>
      <c r="AH225" s="3"/>
      <c r="AI225" s="3"/>
      <c r="AJ225" s="3"/>
      <c r="AK225" s="3"/>
      <c r="AL225" s="3"/>
      <c r="AM225" s="3"/>
      <c r="AN225" s="3"/>
      <c r="AO225" s="3"/>
    </row>
    <row r="226" spans="2:41" s="171" customFormat="1" x14ac:dyDescent="0.25">
      <c r="B226" s="13"/>
      <c r="C226" s="14"/>
      <c r="D226" s="60"/>
      <c r="E226" s="56"/>
      <c r="F226" s="56"/>
      <c r="G226" s="14"/>
      <c r="H226" s="56"/>
      <c r="I226" s="14"/>
      <c r="J226" s="14"/>
      <c r="K226" s="14"/>
      <c r="L226" s="14"/>
      <c r="M226" s="14"/>
      <c r="N226" s="14"/>
      <c r="O226" s="14"/>
      <c r="P226" s="14"/>
      <c r="Q226" s="14"/>
      <c r="R226" s="14"/>
      <c r="S226" s="14"/>
      <c r="T226" s="14"/>
      <c r="U226" s="14"/>
      <c r="V226" s="14"/>
      <c r="W226" s="14"/>
      <c r="X226" s="14"/>
      <c r="Y226" s="14"/>
      <c r="Z226" s="14"/>
      <c r="AA226" s="15"/>
      <c r="AB226" s="3"/>
      <c r="AC226" s="3"/>
      <c r="AD226" s="3"/>
      <c r="AE226" s="3"/>
      <c r="AF226" s="3"/>
      <c r="AG226" s="3"/>
      <c r="AH226" s="3"/>
      <c r="AI226" s="3"/>
      <c r="AJ226" s="3"/>
      <c r="AK226" s="3"/>
      <c r="AL226" s="3"/>
      <c r="AM226" s="3"/>
      <c r="AN226" s="3"/>
      <c r="AO226" s="3"/>
    </row>
    <row r="227" spans="2:41" s="171" customFormat="1" x14ac:dyDescent="0.25">
      <c r="B227" s="13"/>
      <c r="C227" s="14"/>
      <c r="D227" s="60"/>
      <c r="E227" s="56"/>
      <c r="F227" s="56"/>
      <c r="G227" s="14"/>
      <c r="H227" s="56"/>
      <c r="I227" s="14"/>
      <c r="J227" s="14"/>
      <c r="K227" s="14"/>
      <c r="L227" s="14"/>
      <c r="M227" s="14"/>
      <c r="N227" s="14"/>
      <c r="O227" s="14"/>
      <c r="P227" s="14"/>
      <c r="Q227" s="14"/>
      <c r="R227" s="14"/>
      <c r="S227" s="14"/>
      <c r="T227" s="14"/>
      <c r="U227" s="14"/>
      <c r="V227" s="14"/>
      <c r="W227" s="14"/>
      <c r="X227" s="14"/>
      <c r="Y227" s="14"/>
      <c r="Z227" s="14"/>
      <c r="AA227" s="15"/>
      <c r="AB227" s="3"/>
      <c r="AC227" s="3"/>
      <c r="AD227" s="3"/>
      <c r="AE227" s="3"/>
      <c r="AF227" s="3"/>
      <c r="AG227" s="3"/>
      <c r="AH227" s="3"/>
      <c r="AI227" s="3"/>
      <c r="AJ227" s="3"/>
      <c r="AK227" s="3"/>
      <c r="AL227" s="3"/>
      <c r="AM227" s="3"/>
      <c r="AN227" s="3"/>
      <c r="AO227" s="3"/>
    </row>
    <row r="228" spans="2:41" s="171" customFormat="1" x14ac:dyDescent="0.25">
      <c r="B228" s="70"/>
      <c r="C228" s="56"/>
      <c r="D228" s="60"/>
      <c r="E228" s="56"/>
      <c r="F228" s="56"/>
      <c r="G228" s="56"/>
      <c r="H228" s="56"/>
      <c r="I228" s="42"/>
      <c r="J228" s="14"/>
      <c r="K228" s="14"/>
      <c r="L228" s="14"/>
      <c r="M228" s="14"/>
      <c r="N228" s="14"/>
      <c r="O228" s="14"/>
      <c r="P228" s="14"/>
      <c r="Q228" s="14"/>
      <c r="R228" s="14"/>
      <c r="S228" s="14"/>
      <c r="T228" s="14"/>
      <c r="U228" s="14"/>
      <c r="V228" s="14"/>
      <c r="W228" s="14"/>
      <c r="X228" s="14"/>
      <c r="Y228" s="14"/>
      <c r="Z228" s="14"/>
      <c r="AA228" s="15"/>
      <c r="AB228" s="3"/>
      <c r="AC228" s="3"/>
      <c r="AD228" s="3"/>
      <c r="AE228" s="3"/>
      <c r="AF228" s="3"/>
      <c r="AG228" s="3"/>
      <c r="AH228" s="3"/>
      <c r="AI228" s="3"/>
      <c r="AJ228" s="3"/>
      <c r="AK228" s="3"/>
      <c r="AL228" s="3"/>
      <c r="AM228" s="3"/>
      <c r="AN228" s="3"/>
      <c r="AO228" s="3"/>
    </row>
    <row r="229" spans="2:41" s="171" customFormat="1" x14ac:dyDescent="0.25">
      <c r="B229" s="70"/>
      <c r="C229" s="56"/>
      <c r="D229" s="60"/>
      <c r="E229" s="56"/>
      <c r="F229" s="56"/>
      <c r="G229" s="56"/>
      <c r="H229" s="56"/>
      <c r="I229" s="42"/>
      <c r="J229" s="14"/>
      <c r="K229" s="14"/>
      <c r="L229" s="14"/>
      <c r="M229" s="14"/>
      <c r="N229" s="14"/>
      <c r="O229" s="14"/>
      <c r="P229" s="14"/>
      <c r="Q229" s="14"/>
      <c r="R229" s="14"/>
      <c r="S229" s="14"/>
      <c r="T229" s="14"/>
      <c r="U229" s="14"/>
      <c r="V229" s="14"/>
      <c r="W229" s="14"/>
      <c r="X229" s="14"/>
      <c r="Y229" s="14"/>
      <c r="Z229" s="14"/>
      <c r="AA229" s="15"/>
      <c r="AB229" s="3"/>
      <c r="AC229" s="3"/>
      <c r="AD229" s="3"/>
      <c r="AE229" s="3"/>
      <c r="AF229" s="3"/>
      <c r="AG229" s="3"/>
      <c r="AH229" s="3"/>
      <c r="AI229" s="3"/>
      <c r="AJ229" s="3"/>
      <c r="AK229" s="3"/>
      <c r="AL229" s="3"/>
      <c r="AM229" s="3"/>
      <c r="AN229" s="3"/>
      <c r="AO229" s="3"/>
    </row>
    <row r="230" spans="2:41" s="171" customFormat="1" x14ac:dyDescent="0.25">
      <c r="B230" s="13"/>
      <c r="C230" s="14"/>
      <c r="D230" s="14"/>
      <c r="E230" s="56"/>
      <c r="F230" s="56"/>
      <c r="G230" s="14"/>
      <c r="H230" s="56"/>
      <c r="I230" s="14"/>
      <c r="J230" s="14"/>
      <c r="K230" s="14"/>
      <c r="L230" s="14"/>
      <c r="M230" s="14"/>
      <c r="N230" s="14"/>
      <c r="O230" s="14"/>
      <c r="P230" s="14"/>
      <c r="Q230" s="14"/>
      <c r="R230" s="14"/>
      <c r="S230" s="14"/>
      <c r="T230" s="14"/>
      <c r="U230" s="14"/>
      <c r="V230" s="14"/>
      <c r="W230" s="14"/>
      <c r="X230" s="14"/>
      <c r="Y230" s="14"/>
      <c r="Z230" s="14"/>
      <c r="AA230" s="15"/>
      <c r="AB230" s="3"/>
      <c r="AC230" s="3"/>
      <c r="AD230" s="3"/>
      <c r="AE230" s="3"/>
      <c r="AF230" s="3"/>
      <c r="AG230" s="3"/>
      <c r="AH230" s="3"/>
      <c r="AI230" s="3"/>
      <c r="AJ230" s="3"/>
      <c r="AK230" s="3"/>
      <c r="AL230" s="3"/>
      <c r="AM230" s="3"/>
      <c r="AN230" s="3"/>
      <c r="AO230" s="3"/>
    </row>
    <row r="231" spans="2:41" s="171" customFormat="1" x14ac:dyDescent="0.25">
      <c r="B231" s="13"/>
      <c r="C231" s="14"/>
      <c r="D231" s="60"/>
      <c r="E231" s="56"/>
      <c r="F231" s="56"/>
      <c r="G231" s="14"/>
      <c r="H231" s="56"/>
      <c r="I231" s="14"/>
      <c r="J231" s="14"/>
      <c r="K231" s="14"/>
      <c r="L231" s="14"/>
      <c r="M231" s="14"/>
      <c r="N231" s="14"/>
      <c r="O231" s="14"/>
      <c r="P231" s="14"/>
      <c r="Q231" s="14"/>
      <c r="R231" s="14"/>
      <c r="S231" s="14"/>
      <c r="T231" s="14"/>
      <c r="U231" s="14"/>
      <c r="V231" s="14"/>
      <c r="W231" s="14"/>
      <c r="X231" s="14"/>
      <c r="Y231" s="14"/>
      <c r="Z231" s="14"/>
      <c r="AA231" s="15"/>
      <c r="AB231" s="3"/>
      <c r="AC231" s="3"/>
      <c r="AD231" s="3"/>
      <c r="AE231" s="3"/>
      <c r="AF231" s="3"/>
      <c r="AG231" s="3"/>
      <c r="AH231" s="3"/>
      <c r="AI231" s="3"/>
      <c r="AJ231" s="3"/>
      <c r="AK231" s="3"/>
      <c r="AL231" s="3"/>
      <c r="AM231" s="3"/>
      <c r="AN231" s="3"/>
      <c r="AO231" s="3"/>
    </row>
    <row r="232" spans="2:41" s="171" customFormat="1" x14ac:dyDescent="0.25">
      <c r="B232" s="13"/>
      <c r="C232" s="14"/>
      <c r="D232" s="60"/>
      <c r="E232" s="56"/>
      <c r="F232" s="56"/>
      <c r="G232" s="14"/>
      <c r="H232" s="56"/>
      <c r="I232" s="14"/>
      <c r="J232" s="14"/>
      <c r="K232" s="14"/>
      <c r="L232" s="14"/>
      <c r="M232" s="14"/>
      <c r="N232" s="14"/>
      <c r="O232" s="14"/>
      <c r="P232" s="14"/>
      <c r="Q232" s="14"/>
      <c r="R232" s="14"/>
      <c r="S232" s="14"/>
      <c r="T232" s="14"/>
      <c r="U232" s="14"/>
      <c r="V232" s="14"/>
      <c r="W232" s="14"/>
      <c r="X232" s="14"/>
      <c r="Y232" s="14"/>
      <c r="Z232" s="14"/>
      <c r="AA232" s="15"/>
      <c r="AB232" s="3"/>
      <c r="AC232" s="3"/>
      <c r="AD232" s="3"/>
      <c r="AE232" s="3"/>
      <c r="AF232" s="3"/>
      <c r="AG232" s="3"/>
      <c r="AH232" s="3"/>
      <c r="AI232" s="3"/>
      <c r="AJ232" s="3"/>
      <c r="AK232" s="3"/>
      <c r="AL232" s="3"/>
      <c r="AM232" s="3"/>
      <c r="AN232" s="3"/>
      <c r="AO232" s="3"/>
    </row>
    <row r="233" spans="2:41" s="171" customFormat="1" x14ac:dyDescent="0.25">
      <c r="B233" s="13"/>
      <c r="C233" s="14"/>
      <c r="D233" s="60"/>
      <c r="E233" s="56"/>
      <c r="F233" s="56"/>
      <c r="G233" s="14"/>
      <c r="H233" s="56"/>
      <c r="I233" s="14"/>
      <c r="J233" s="14"/>
      <c r="K233" s="14"/>
      <c r="L233" s="14"/>
      <c r="M233" s="14"/>
      <c r="N233" s="14"/>
      <c r="O233" s="14"/>
      <c r="P233" s="14"/>
      <c r="Q233" s="14"/>
      <c r="R233" s="14"/>
      <c r="S233" s="14"/>
      <c r="T233" s="14"/>
      <c r="U233" s="14"/>
      <c r="V233" s="14"/>
      <c r="W233" s="14"/>
      <c r="X233" s="14"/>
      <c r="Y233" s="14"/>
      <c r="Z233" s="14"/>
      <c r="AA233" s="15"/>
      <c r="AB233" s="3"/>
      <c r="AC233" s="3"/>
      <c r="AD233" s="3"/>
      <c r="AE233" s="3"/>
      <c r="AF233" s="3"/>
      <c r="AG233" s="3"/>
      <c r="AH233" s="3"/>
      <c r="AI233" s="3"/>
      <c r="AJ233" s="3"/>
      <c r="AK233" s="3"/>
      <c r="AL233" s="3"/>
      <c r="AM233" s="3"/>
      <c r="AN233" s="3"/>
      <c r="AO233" s="3"/>
    </row>
    <row r="234" spans="2:41" s="171" customFormat="1" x14ac:dyDescent="0.25">
      <c r="B234" s="13"/>
      <c r="C234" s="14"/>
      <c r="D234" s="60"/>
      <c r="E234" s="56"/>
      <c r="F234" s="56"/>
      <c r="G234" s="14"/>
      <c r="H234" s="56"/>
      <c r="I234" s="14"/>
      <c r="J234" s="14"/>
      <c r="K234" s="14"/>
      <c r="L234" s="14"/>
      <c r="M234" s="14"/>
      <c r="N234" s="14"/>
      <c r="O234" s="14"/>
      <c r="P234" s="14"/>
      <c r="Q234" s="14"/>
      <c r="R234" s="14"/>
      <c r="S234" s="14"/>
      <c r="T234" s="14"/>
      <c r="U234" s="14"/>
      <c r="V234" s="14"/>
      <c r="W234" s="14"/>
      <c r="X234" s="14"/>
      <c r="Y234" s="14"/>
      <c r="Z234" s="14"/>
      <c r="AA234" s="15"/>
      <c r="AB234" s="3"/>
      <c r="AC234" s="3"/>
      <c r="AD234" s="3"/>
      <c r="AE234" s="3"/>
      <c r="AF234" s="3"/>
      <c r="AG234" s="3"/>
      <c r="AH234" s="3"/>
      <c r="AI234" s="3"/>
      <c r="AJ234" s="3"/>
      <c r="AK234" s="3"/>
      <c r="AL234" s="3"/>
      <c r="AM234" s="3"/>
      <c r="AN234" s="3"/>
      <c r="AO234" s="3"/>
    </row>
    <row r="235" spans="2:41" s="171" customFormat="1" x14ac:dyDescent="0.25">
      <c r="B235" s="13"/>
      <c r="C235" s="14"/>
      <c r="D235" s="60"/>
      <c r="E235" s="56"/>
      <c r="F235" s="56"/>
      <c r="G235" s="128"/>
      <c r="H235" s="56"/>
      <c r="I235" s="14"/>
      <c r="J235" s="14"/>
      <c r="K235" s="14"/>
      <c r="L235" s="14"/>
      <c r="M235" s="14"/>
      <c r="N235" s="14"/>
      <c r="O235" s="14"/>
      <c r="P235" s="14"/>
      <c r="Q235" s="14"/>
      <c r="R235" s="14"/>
      <c r="S235" s="14"/>
      <c r="T235" s="14"/>
      <c r="U235" s="14"/>
      <c r="V235" s="14"/>
      <c r="W235" s="14"/>
      <c r="X235" s="14"/>
      <c r="Y235" s="14"/>
      <c r="Z235" s="14"/>
      <c r="AA235" s="15"/>
      <c r="AB235" s="3"/>
      <c r="AC235" s="3"/>
      <c r="AD235" s="3"/>
      <c r="AE235" s="3"/>
      <c r="AF235" s="3"/>
      <c r="AG235" s="3"/>
      <c r="AH235" s="3"/>
      <c r="AI235" s="3"/>
      <c r="AJ235" s="3"/>
      <c r="AK235" s="3"/>
      <c r="AL235" s="3"/>
      <c r="AM235" s="3"/>
      <c r="AN235" s="3"/>
      <c r="AO235" s="3"/>
    </row>
    <row r="236" spans="2:41" s="171" customFormat="1" x14ac:dyDescent="0.25">
      <c r="B236" s="13"/>
      <c r="C236" s="14"/>
      <c r="D236" s="60"/>
      <c r="E236" s="56"/>
      <c r="F236" s="56"/>
      <c r="G236" s="14"/>
      <c r="H236" s="56"/>
      <c r="I236" s="14"/>
      <c r="J236" s="14"/>
      <c r="K236" s="14"/>
      <c r="L236" s="14"/>
      <c r="M236" s="14"/>
      <c r="N236" s="14"/>
      <c r="O236" s="14"/>
      <c r="P236" s="14"/>
      <c r="Q236" s="14"/>
      <c r="R236" s="14"/>
      <c r="S236" s="14"/>
      <c r="T236" s="14"/>
      <c r="U236" s="14"/>
      <c r="V236" s="14"/>
      <c r="W236" s="14"/>
      <c r="X236" s="14"/>
      <c r="Y236" s="14"/>
      <c r="Z236" s="14"/>
      <c r="AA236" s="15"/>
      <c r="AB236" s="3"/>
      <c r="AC236" s="3"/>
      <c r="AD236" s="3"/>
      <c r="AE236" s="3"/>
      <c r="AF236" s="3"/>
      <c r="AG236" s="3"/>
      <c r="AH236" s="3"/>
      <c r="AI236" s="3"/>
      <c r="AJ236" s="3"/>
      <c r="AK236" s="3"/>
      <c r="AL236" s="3"/>
      <c r="AM236" s="3"/>
      <c r="AN236" s="3"/>
      <c r="AO236" s="3"/>
    </row>
    <row r="237" spans="2:41" s="171" customFormat="1" x14ac:dyDescent="0.25">
      <c r="B237" s="13"/>
      <c r="C237" s="14"/>
      <c r="D237" s="14"/>
      <c r="E237" s="56"/>
      <c r="F237" s="56"/>
      <c r="G237" s="14"/>
      <c r="H237" s="56"/>
      <c r="I237" s="14"/>
      <c r="J237" s="14"/>
      <c r="K237" s="14"/>
      <c r="L237" s="14"/>
      <c r="M237" s="14"/>
      <c r="N237" s="14"/>
      <c r="O237" s="14"/>
      <c r="P237" s="14"/>
      <c r="Q237" s="14"/>
      <c r="R237" s="14"/>
      <c r="S237" s="14"/>
      <c r="T237" s="14"/>
      <c r="U237" s="14"/>
      <c r="V237" s="14"/>
      <c r="W237" s="14"/>
      <c r="X237" s="14"/>
      <c r="Y237" s="14"/>
      <c r="Z237" s="14"/>
      <c r="AA237" s="15"/>
      <c r="AB237" s="3"/>
      <c r="AC237" s="3"/>
      <c r="AD237" s="3"/>
      <c r="AE237" s="3"/>
      <c r="AF237" s="3"/>
      <c r="AG237" s="3"/>
      <c r="AH237" s="3"/>
      <c r="AI237" s="3"/>
      <c r="AJ237" s="3"/>
      <c r="AK237" s="3"/>
      <c r="AL237" s="3"/>
      <c r="AM237" s="3"/>
      <c r="AN237" s="3"/>
      <c r="AO237" s="3"/>
    </row>
    <row r="238" spans="2:41" s="171" customFormat="1" x14ac:dyDescent="0.25">
      <c r="B238" s="13"/>
      <c r="C238" s="14"/>
      <c r="D238" s="60"/>
      <c r="E238" s="56"/>
      <c r="F238" s="56"/>
      <c r="G238" s="14"/>
      <c r="H238" s="56"/>
      <c r="I238" s="14"/>
      <c r="J238" s="14"/>
      <c r="K238" s="14"/>
      <c r="L238" s="14"/>
      <c r="M238" s="14"/>
      <c r="N238" s="14"/>
      <c r="O238" s="14"/>
      <c r="P238" s="14"/>
      <c r="Q238" s="14"/>
      <c r="R238" s="14"/>
      <c r="S238" s="14"/>
      <c r="T238" s="14"/>
      <c r="U238" s="14"/>
      <c r="V238" s="14"/>
      <c r="W238" s="14"/>
      <c r="X238" s="14"/>
      <c r="Y238" s="14"/>
      <c r="Z238" s="14"/>
      <c r="AA238" s="15"/>
      <c r="AB238" s="3"/>
      <c r="AC238" s="3"/>
      <c r="AD238" s="3"/>
      <c r="AE238" s="3"/>
      <c r="AF238" s="3"/>
      <c r="AG238" s="3"/>
      <c r="AH238" s="3"/>
      <c r="AI238" s="3"/>
      <c r="AJ238" s="3"/>
      <c r="AK238" s="3"/>
      <c r="AL238" s="3"/>
      <c r="AM238" s="3"/>
      <c r="AN238" s="3"/>
      <c r="AO238" s="3"/>
    </row>
    <row r="239" spans="2:41" s="171" customFormat="1" x14ac:dyDescent="0.25">
      <c r="B239" s="13"/>
      <c r="C239" s="14"/>
      <c r="D239" s="60"/>
      <c r="E239" s="56"/>
      <c r="F239" s="56"/>
      <c r="G239" s="14"/>
      <c r="H239" s="56"/>
      <c r="I239" s="14"/>
      <c r="J239" s="14"/>
      <c r="K239" s="14"/>
      <c r="L239" s="14"/>
      <c r="M239" s="14"/>
      <c r="N239" s="14"/>
      <c r="O239" s="14"/>
      <c r="P239" s="14"/>
      <c r="Q239" s="14"/>
      <c r="R239" s="14"/>
      <c r="S239" s="14"/>
      <c r="T239" s="14"/>
      <c r="U239" s="14"/>
      <c r="V239" s="14"/>
      <c r="W239" s="14"/>
      <c r="X239" s="14"/>
      <c r="Y239" s="14"/>
      <c r="Z239" s="14"/>
      <c r="AA239" s="15"/>
      <c r="AB239" s="3"/>
      <c r="AC239" s="3"/>
      <c r="AD239" s="3"/>
      <c r="AE239" s="3"/>
      <c r="AF239" s="3"/>
      <c r="AG239" s="3"/>
      <c r="AH239" s="3"/>
      <c r="AI239" s="3"/>
      <c r="AJ239" s="3"/>
      <c r="AK239" s="3"/>
      <c r="AL239" s="3"/>
      <c r="AM239" s="3"/>
      <c r="AN239" s="3"/>
      <c r="AO239" s="3"/>
    </row>
    <row r="240" spans="2:41" s="171" customFormat="1" x14ac:dyDescent="0.25">
      <c r="B240" s="13"/>
      <c r="C240" s="14"/>
      <c r="D240" s="60"/>
      <c r="E240" s="56"/>
      <c r="F240" s="56"/>
      <c r="G240" s="14"/>
      <c r="H240" s="56"/>
      <c r="I240" s="14"/>
      <c r="J240" s="14"/>
      <c r="K240" s="14"/>
      <c r="L240" s="14"/>
      <c r="M240" s="14"/>
      <c r="N240" s="14"/>
      <c r="O240" s="14"/>
      <c r="P240" s="14"/>
      <c r="Q240" s="14"/>
      <c r="R240" s="14"/>
      <c r="S240" s="14"/>
      <c r="T240" s="14"/>
      <c r="U240" s="14"/>
      <c r="V240" s="14"/>
      <c r="W240" s="14"/>
      <c r="X240" s="14"/>
      <c r="Y240" s="14"/>
      <c r="Z240" s="14"/>
      <c r="AA240" s="15"/>
      <c r="AB240" s="3"/>
      <c r="AC240" s="3"/>
      <c r="AD240" s="3"/>
      <c r="AE240" s="3"/>
      <c r="AF240" s="3"/>
      <c r="AG240" s="3"/>
      <c r="AH240" s="3"/>
      <c r="AI240" s="3"/>
      <c r="AJ240" s="3"/>
      <c r="AK240" s="3"/>
      <c r="AL240" s="3"/>
      <c r="AM240" s="3"/>
      <c r="AN240" s="3"/>
      <c r="AO240" s="3"/>
    </row>
    <row r="241" spans="2:41" s="171" customFormat="1" x14ac:dyDescent="0.25">
      <c r="B241" s="13"/>
      <c r="C241" s="14"/>
      <c r="D241" s="60"/>
      <c r="E241" s="56"/>
      <c r="F241" s="56"/>
      <c r="G241" s="14"/>
      <c r="H241" s="56"/>
      <c r="I241" s="14"/>
      <c r="J241" s="14"/>
      <c r="K241" s="14"/>
      <c r="L241" s="14"/>
      <c r="M241" s="14"/>
      <c r="N241" s="14"/>
      <c r="O241" s="14"/>
      <c r="P241" s="14"/>
      <c r="Q241" s="14"/>
      <c r="R241" s="14"/>
      <c r="S241" s="14"/>
      <c r="T241" s="14"/>
      <c r="U241" s="14"/>
      <c r="V241" s="14"/>
      <c r="W241" s="14"/>
      <c r="X241" s="14"/>
      <c r="Y241" s="14"/>
      <c r="Z241" s="14"/>
      <c r="AA241" s="15"/>
      <c r="AB241" s="3"/>
      <c r="AC241" s="3"/>
      <c r="AD241" s="3"/>
      <c r="AE241" s="3"/>
      <c r="AF241" s="3"/>
      <c r="AG241" s="3"/>
      <c r="AH241" s="3"/>
      <c r="AI241" s="3"/>
      <c r="AJ241" s="3"/>
      <c r="AK241" s="3"/>
      <c r="AL241" s="3"/>
      <c r="AM241" s="3"/>
      <c r="AN241" s="3"/>
      <c r="AO241" s="3"/>
    </row>
    <row r="242" spans="2:41" s="171" customFormat="1" x14ac:dyDescent="0.25">
      <c r="B242" s="13"/>
      <c r="C242" s="14"/>
      <c r="D242" s="60"/>
      <c r="E242" s="56"/>
      <c r="F242" s="56"/>
      <c r="G242" s="128"/>
      <c r="H242" s="56"/>
      <c r="I242" s="14"/>
      <c r="J242" s="14"/>
      <c r="K242" s="14"/>
      <c r="L242" s="14"/>
      <c r="M242" s="14"/>
      <c r="N242" s="14"/>
      <c r="O242" s="14"/>
      <c r="P242" s="14"/>
      <c r="Q242" s="14"/>
      <c r="R242" s="14"/>
      <c r="S242" s="14"/>
      <c r="T242" s="14"/>
      <c r="U242" s="14"/>
      <c r="V242" s="14"/>
      <c r="W242" s="14"/>
      <c r="X242" s="14"/>
      <c r="Y242" s="14"/>
      <c r="Z242" s="14"/>
      <c r="AA242" s="15"/>
      <c r="AB242" s="3"/>
      <c r="AC242" s="3"/>
      <c r="AD242" s="3"/>
      <c r="AE242" s="3"/>
      <c r="AF242" s="3"/>
      <c r="AG242" s="3"/>
      <c r="AH242" s="3"/>
      <c r="AI242" s="3"/>
      <c r="AJ242" s="3"/>
      <c r="AK242" s="3"/>
      <c r="AL242" s="3"/>
      <c r="AM242" s="3"/>
      <c r="AN242" s="3"/>
      <c r="AO242" s="3"/>
    </row>
    <row r="243" spans="2:41" s="171" customFormat="1" x14ac:dyDescent="0.25">
      <c r="B243" s="13"/>
      <c r="C243" s="14"/>
      <c r="D243" s="60"/>
      <c r="E243" s="56"/>
      <c r="F243" s="56"/>
      <c r="G243" s="14"/>
      <c r="H243" s="56"/>
      <c r="I243" s="14"/>
      <c r="J243" s="14"/>
      <c r="K243" s="14"/>
      <c r="L243" s="14"/>
      <c r="M243" s="14"/>
      <c r="N243" s="14"/>
      <c r="O243" s="14"/>
      <c r="P243" s="14"/>
      <c r="Q243" s="14"/>
      <c r="R243" s="14"/>
      <c r="S243" s="14"/>
      <c r="T243" s="14"/>
      <c r="U243" s="14"/>
      <c r="V243" s="14"/>
      <c r="W243" s="14"/>
      <c r="X243" s="14"/>
      <c r="Y243" s="14"/>
      <c r="Z243" s="14"/>
      <c r="AA243" s="15"/>
      <c r="AB243" s="3"/>
      <c r="AC243" s="3"/>
      <c r="AD243" s="3"/>
      <c r="AE243" s="3"/>
      <c r="AF243" s="3"/>
      <c r="AG243" s="3"/>
      <c r="AH243" s="3"/>
      <c r="AI243" s="3"/>
      <c r="AJ243" s="3"/>
      <c r="AK243" s="3"/>
      <c r="AL243" s="3"/>
      <c r="AM243" s="3"/>
      <c r="AN243" s="3"/>
      <c r="AO243" s="3"/>
    </row>
    <row r="244" spans="2:41" s="171" customFormat="1" x14ac:dyDescent="0.25">
      <c r="B244" s="13"/>
      <c r="C244" s="57"/>
      <c r="D244" s="57"/>
      <c r="E244" s="56"/>
      <c r="F244" s="57"/>
      <c r="G244" s="57"/>
      <c r="H244" s="57"/>
      <c r="I244" s="14"/>
      <c r="J244" s="14"/>
      <c r="K244" s="14"/>
      <c r="L244" s="14"/>
      <c r="M244" s="14"/>
      <c r="N244" s="14"/>
      <c r="O244" s="14"/>
      <c r="P244" s="14"/>
      <c r="Q244" s="14"/>
      <c r="R244" s="14"/>
      <c r="S244" s="14"/>
      <c r="T244" s="14"/>
      <c r="U244" s="14"/>
      <c r="V244" s="14"/>
      <c r="W244" s="14"/>
      <c r="X244" s="14"/>
      <c r="Y244" s="14"/>
      <c r="Z244" s="14"/>
      <c r="AA244" s="15"/>
      <c r="AB244" s="3"/>
      <c r="AC244" s="3"/>
      <c r="AD244" s="3"/>
      <c r="AE244" s="3"/>
      <c r="AF244" s="3"/>
      <c r="AG244" s="3"/>
      <c r="AH244" s="3"/>
      <c r="AI244" s="3"/>
      <c r="AJ244" s="3"/>
      <c r="AK244" s="3"/>
      <c r="AL244" s="3"/>
      <c r="AM244" s="3"/>
      <c r="AN244" s="3"/>
      <c r="AO244" s="3"/>
    </row>
    <row r="245" spans="2:41" s="171" customFormat="1" x14ac:dyDescent="0.25">
      <c r="B245" s="13"/>
      <c r="C245" s="57"/>
      <c r="D245" s="69"/>
      <c r="E245" s="56"/>
      <c r="F245" s="57"/>
      <c r="G245" s="57"/>
      <c r="H245" s="57"/>
      <c r="I245" s="14"/>
      <c r="J245" s="14"/>
      <c r="K245" s="14"/>
      <c r="L245" s="14"/>
      <c r="M245" s="14"/>
      <c r="N245" s="14"/>
      <c r="O245" s="14"/>
      <c r="P245" s="14"/>
      <c r="Q245" s="14"/>
      <c r="R245" s="14"/>
      <c r="S245" s="14"/>
      <c r="T245" s="14"/>
      <c r="U245" s="14"/>
      <c r="V245" s="14"/>
      <c r="W245" s="14"/>
      <c r="X245" s="14"/>
      <c r="Y245" s="14"/>
      <c r="Z245" s="14"/>
      <c r="AA245" s="15"/>
      <c r="AB245" s="3"/>
      <c r="AC245" s="3"/>
      <c r="AD245" s="3"/>
      <c r="AE245" s="3"/>
      <c r="AF245" s="3"/>
      <c r="AG245" s="3"/>
      <c r="AH245" s="3"/>
      <c r="AI245" s="3"/>
      <c r="AJ245" s="3"/>
      <c r="AK245" s="3"/>
      <c r="AL245" s="3"/>
      <c r="AM245" s="3"/>
      <c r="AN245" s="3"/>
      <c r="AO245" s="3"/>
    </row>
    <row r="246" spans="2:41" s="171" customFormat="1" x14ac:dyDescent="0.25">
      <c r="B246" s="13"/>
      <c r="C246" s="57"/>
      <c r="D246" s="69"/>
      <c r="E246" s="56"/>
      <c r="F246" s="57"/>
      <c r="G246" s="57"/>
      <c r="H246" s="57"/>
      <c r="I246" s="14"/>
      <c r="J246" s="14"/>
      <c r="K246" s="14"/>
      <c r="L246" s="14"/>
      <c r="M246" s="14"/>
      <c r="N246" s="14"/>
      <c r="O246" s="14"/>
      <c r="P246" s="14"/>
      <c r="Q246" s="14"/>
      <c r="R246" s="14"/>
      <c r="S246" s="14"/>
      <c r="T246" s="14"/>
      <c r="U246" s="14"/>
      <c r="V246" s="14"/>
      <c r="W246" s="14"/>
      <c r="X246" s="14"/>
      <c r="Y246" s="14"/>
      <c r="Z246" s="14"/>
      <c r="AA246" s="15"/>
      <c r="AB246" s="3"/>
      <c r="AC246" s="3"/>
      <c r="AD246" s="3"/>
      <c r="AE246" s="3"/>
      <c r="AF246" s="3"/>
      <c r="AG246" s="3"/>
      <c r="AH246" s="3"/>
      <c r="AI246" s="3"/>
      <c r="AJ246" s="3"/>
      <c r="AK246" s="3"/>
      <c r="AL246" s="3"/>
      <c r="AM246" s="3"/>
      <c r="AN246" s="3"/>
      <c r="AO246" s="3"/>
    </row>
    <row r="247" spans="2:41" s="171" customFormat="1" x14ac:dyDescent="0.25">
      <c r="B247" s="13"/>
      <c r="C247" s="57"/>
      <c r="D247" s="69"/>
      <c r="E247" s="56"/>
      <c r="F247" s="57"/>
      <c r="G247" s="57"/>
      <c r="H247" s="57"/>
      <c r="I247" s="14"/>
      <c r="J247" s="14"/>
      <c r="K247" s="14"/>
      <c r="L247" s="14"/>
      <c r="M247" s="14"/>
      <c r="N247" s="14"/>
      <c r="O247" s="14"/>
      <c r="P247" s="14"/>
      <c r="Q247" s="14"/>
      <c r="R247" s="14"/>
      <c r="S247" s="14"/>
      <c r="T247" s="14"/>
      <c r="U247" s="14"/>
      <c r="V247" s="14"/>
      <c r="W247" s="14"/>
      <c r="X247" s="14"/>
      <c r="Y247" s="14"/>
      <c r="Z247" s="14"/>
      <c r="AA247" s="15"/>
      <c r="AB247" s="3"/>
      <c r="AC247" s="3"/>
      <c r="AD247" s="3"/>
      <c r="AE247" s="3"/>
      <c r="AF247" s="3"/>
      <c r="AG247" s="3"/>
      <c r="AH247" s="3"/>
      <c r="AI247" s="3"/>
      <c r="AJ247" s="3"/>
      <c r="AK247" s="3"/>
      <c r="AL247" s="3"/>
      <c r="AM247" s="3"/>
      <c r="AN247" s="3"/>
      <c r="AO247" s="3"/>
    </row>
    <row r="248" spans="2:41" s="171" customFormat="1" x14ac:dyDescent="0.25">
      <c r="B248" s="13"/>
      <c r="C248" s="57"/>
      <c r="D248" s="69"/>
      <c r="E248" s="56"/>
      <c r="F248" s="57"/>
      <c r="G248" s="57"/>
      <c r="H248" s="57"/>
      <c r="I248" s="14"/>
      <c r="J248" s="14"/>
      <c r="K248" s="14"/>
      <c r="L248" s="14"/>
      <c r="M248" s="14"/>
      <c r="N248" s="14"/>
      <c r="O248" s="14"/>
      <c r="P248" s="14"/>
      <c r="Q248" s="14"/>
      <c r="R248" s="14"/>
      <c r="S248" s="14"/>
      <c r="T248" s="14"/>
      <c r="U248" s="14"/>
      <c r="V248" s="14"/>
      <c r="W248" s="14"/>
      <c r="X248" s="14"/>
      <c r="Y248" s="14"/>
      <c r="Z248" s="14"/>
      <c r="AA248" s="15"/>
      <c r="AB248" s="3"/>
      <c r="AC248" s="3"/>
      <c r="AD248" s="3"/>
      <c r="AE248" s="3"/>
      <c r="AF248" s="3"/>
      <c r="AG248" s="3"/>
      <c r="AH248" s="3"/>
      <c r="AI248" s="3"/>
      <c r="AJ248" s="3"/>
      <c r="AK248" s="3"/>
      <c r="AL248" s="3"/>
      <c r="AM248" s="3"/>
      <c r="AN248" s="3"/>
      <c r="AO248" s="3"/>
    </row>
    <row r="249" spans="2:41" s="171" customFormat="1" x14ac:dyDescent="0.25">
      <c r="B249" s="13"/>
      <c r="C249" s="57"/>
      <c r="D249" s="69"/>
      <c r="E249" s="56"/>
      <c r="F249" s="57"/>
      <c r="G249" s="130"/>
      <c r="H249" s="57"/>
      <c r="I249" s="14"/>
      <c r="J249" s="14"/>
      <c r="K249" s="14"/>
      <c r="L249" s="14"/>
      <c r="M249" s="14"/>
      <c r="N249" s="14"/>
      <c r="O249" s="14"/>
      <c r="P249" s="14"/>
      <c r="Q249" s="14"/>
      <c r="R249" s="14"/>
      <c r="S249" s="14"/>
      <c r="T249" s="14"/>
      <c r="U249" s="14"/>
      <c r="V249" s="14"/>
      <c r="W249" s="14"/>
      <c r="X249" s="14"/>
      <c r="Y249" s="14"/>
      <c r="Z249" s="14"/>
      <c r="AA249" s="15"/>
      <c r="AB249" s="3"/>
      <c r="AC249" s="3"/>
      <c r="AD249" s="3"/>
      <c r="AE249" s="3"/>
      <c r="AF249" s="3"/>
      <c r="AG249" s="3"/>
      <c r="AH249" s="3"/>
      <c r="AI249" s="3"/>
      <c r="AJ249" s="3"/>
      <c r="AK249" s="3"/>
      <c r="AL249" s="3"/>
      <c r="AM249" s="3"/>
      <c r="AN249" s="3"/>
      <c r="AO249" s="3"/>
    </row>
    <row r="250" spans="2:41" s="171" customFormat="1" x14ac:dyDescent="0.25">
      <c r="B250" s="13"/>
      <c r="C250" s="14"/>
      <c r="D250" s="60"/>
      <c r="E250" s="56"/>
      <c r="F250" s="56"/>
      <c r="G250" s="14"/>
      <c r="H250" s="56"/>
      <c r="I250" s="14"/>
      <c r="J250" s="14"/>
      <c r="K250" s="14"/>
      <c r="L250" s="14"/>
      <c r="M250" s="14"/>
      <c r="N250" s="14"/>
      <c r="O250" s="14"/>
      <c r="P250" s="14"/>
      <c r="Q250" s="14"/>
      <c r="R250" s="14"/>
      <c r="S250" s="14"/>
      <c r="T250" s="14"/>
      <c r="U250" s="14"/>
      <c r="V250" s="14"/>
      <c r="W250" s="14"/>
      <c r="X250" s="14"/>
      <c r="Y250" s="14"/>
      <c r="Z250" s="14"/>
      <c r="AA250" s="15"/>
      <c r="AB250" s="3"/>
      <c r="AC250" s="3"/>
      <c r="AD250" s="3"/>
      <c r="AE250" s="3"/>
      <c r="AF250" s="3"/>
      <c r="AG250" s="3"/>
      <c r="AH250" s="3"/>
      <c r="AI250" s="3"/>
      <c r="AJ250" s="3"/>
      <c r="AK250" s="3"/>
      <c r="AL250" s="3"/>
      <c r="AM250" s="3"/>
      <c r="AN250" s="3"/>
      <c r="AO250" s="3"/>
    </row>
    <row r="251" spans="2:41" s="171" customFormat="1" x14ac:dyDescent="0.25">
      <c r="B251" s="13"/>
      <c r="C251" s="14"/>
      <c r="D251" s="14"/>
      <c r="E251" s="56"/>
      <c r="F251" s="56"/>
      <c r="G251" s="14"/>
      <c r="H251" s="56"/>
      <c r="I251" s="14"/>
      <c r="J251" s="14"/>
      <c r="K251" s="14"/>
      <c r="L251" s="14"/>
      <c r="M251" s="14"/>
      <c r="N251" s="14"/>
      <c r="O251" s="14"/>
      <c r="P251" s="14"/>
      <c r="Q251" s="14"/>
      <c r="R251" s="14"/>
      <c r="S251" s="14"/>
      <c r="T251" s="14"/>
      <c r="U251" s="14"/>
      <c r="V251" s="14"/>
      <c r="W251" s="14"/>
      <c r="X251" s="14"/>
      <c r="Y251" s="14"/>
      <c r="Z251" s="14"/>
      <c r="AA251" s="15"/>
      <c r="AB251" s="3"/>
      <c r="AC251" s="3"/>
      <c r="AD251" s="3"/>
      <c r="AE251" s="3"/>
      <c r="AF251" s="3"/>
      <c r="AG251" s="3"/>
      <c r="AH251" s="3"/>
      <c r="AI251" s="3"/>
      <c r="AJ251" s="3"/>
      <c r="AK251" s="3"/>
      <c r="AL251" s="3"/>
      <c r="AM251" s="3"/>
      <c r="AN251" s="3"/>
      <c r="AO251" s="3"/>
    </row>
    <row r="252" spans="2:41" s="171" customFormat="1" x14ac:dyDescent="0.25">
      <c r="B252" s="13"/>
      <c r="C252" s="14"/>
      <c r="D252" s="60"/>
      <c r="E252" s="56"/>
      <c r="F252" s="56"/>
      <c r="G252" s="14"/>
      <c r="H252" s="56"/>
      <c r="I252" s="14"/>
      <c r="J252" s="14"/>
      <c r="K252" s="14"/>
      <c r="L252" s="14"/>
      <c r="M252" s="14"/>
      <c r="N252" s="14"/>
      <c r="O252" s="14"/>
      <c r="P252" s="14"/>
      <c r="Q252" s="14"/>
      <c r="R252" s="14"/>
      <c r="S252" s="14"/>
      <c r="T252" s="14"/>
      <c r="U252" s="14"/>
      <c r="V252" s="14"/>
      <c r="W252" s="14"/>
      <c r="X252" s="14"/>
      <c r="Y252" s="14"/>
      <c r="Z252" s="14"/>
      <c r="AA252" s="15"/>
      <c r="AB252" s="3"/>
      <c r="AC252" s="3"/>
      <c r="AD252" s="3"/>
      <c r="AE252" s="3"/>
      <c r="AF252" s="3"/>
      <c r="AG252" s="3"/>
      <c r="AH252" s="3"/>
      <c r="AI252" s="3"/>
      <c r="AJ252" s="3"/>
      <c r="AK252" s="3"/>
      <c r="AL252" s="3"/>
      <c r="AM252" s="3"/>
      <c r="AN252" s="3"/>
      <c r="AO252" s="3"/>
    </row>
    <row r="253" spans="2:41" s="171" customFormat="1" x14ac:dyDescent="0.25">
      <c r="B253" s="13"/>
      <c r="C253" s="14"/>
      <c r="D253" s="60"/>
      <c r="E253" s="56"/>
      <c r="F253" s="56"/>
      <c r="G253" s="14"/>
      <c r="H253" s="56"/>
      <c r="I253" s="14"/>
      <c r="J253" s="14"/>
      <c r="K253" s="14"/>
      <c r="L253" s="14"/>
      <c r="M253" s="14"/>
      <c r="N253" s="14"/>
      <c r="O253" s="14"/>
      <c r="P253" s="14"/>
      <c r="Q253" s="14"/>
      <c r="R253" s="14"/>
      <c r="S253" s="14"/>
      <c r="T253" s="14"/>
      <c r="U253" s="14"/>
      <c r="V253" s="14"/>
      <c r="W253" s="14"/>
      <c r="X253" s="14"/>
      <c r="Y253" s="14"/>
      <c r="Z253" s="14"/>
      <c r="AA253" s="15"/>
      <c r="AB253" s="3"/>
      <c r="AC253" s="3"/>
      <c r="AD253" s="3"/>
      <c r="AE253" s="3"/>
      <c r="AF253" s="3"/>
      <c r="AG253" s="3"/>
      <c r="AH253" s="3"/>
      <c r="AI253" s="3"/>
      <c r="AJ253" s="3"/>
      <c r="AK253" s="3"/>
      <c r="AL253" s="3"/>
      <c r="AM253" s="3"/>
      <c r="AN253" s="3"/>
      <c r="AO253" s="3"/>
    </row>
    <row r="254" spans="2:41" s="171" customFormat="1" x14ac:dyDescent="0.25">
      <c r="B254" s="13"/>
      <c r="C254" s="14"/>
      <c r="D254" s="60"/>
      <c r="E254" s="56"/>
      <c r="F254" s="56"/>
      <c r="G254" s="14"/>
      <c r="H254" s="56"/>
      <c r="I254" s="14"/>
      <c r="J254" s="14"/>
      <c r="K254" s="14"/>
      <c r="L254" s="14"/>
      <c r="M254" s="14"/>
      <c r="N254" s="14"/>
      <c r="O254" s="14"/>
      <c r="P254" s="14"/>
      <c r="Q254" s="14"/>
      <c r="R254" s="14"/>
      <c r="S254" s="14"/>
      <c r="T254" s="14"/>
      <c r="U254" s="14"/>
      <c r="V254" s="14"/>
      <c r="W254" s="14"/>
      <c r="X254" s="14"/>
      <c r="Y254" s="14"/>
      <c r="Z254" s="14"/>
      <c r="AA254" s="15"/>
      <c r="AB254" s="3"/>
      <c r="AC254" s="3"/>
      <c r="AD254" s="3"/>
      <c r="AE254" s="3"/>
      <c r="AF254" s="3"/>
      <c r="AG254" s="3"/>
      <c r="AH254" s="3"/>
      <c r="AI254" s="3"/>
      <c r="AJ254" s="3"/>
      <c r="AK254" s="3"/>
      <c r="AL254" s="3"/>
      <c r="AM254" s="3"/>
      <c r="AN254" s="3"/>
      <c r="AO254" s="3"/>
    </row>
    <row r="255" spans="2:41" s="171" customFormat="1" x14ac:dyDescent="0.25">
      <c r="B255" s="13"/>
      <c r="C255" s="14"/>
      <c r="D255" s="60"/>
      <c r="E255" s="56"/>
      <c r="F255" s="56"/>
      <c r="G255" s="14"/>
      <c r="H255" s="56"/>
      <c r="I255" s="14"/>
      <c r="J255" s="14"/>
      <c r="K255" s="14"/>
      <c r="L255" s="14"/>
      <c r="M255" s="14"/>
      <c r="N255" s="14"/>
      <c r="O255" s="14"/>
      <c r="P255" s="14"/>
      <c r="Q255" s="14"/>
      <c r="R255" s="14"/>
      <c r="S255" s="14"/>
      <c r="T255" s="14"/>
      <c r="U255" s="14"/>
      <c r="V255" s="14"/>
      <c r="W255" s="14"/>
      <c r="X255" s="14"/>
      <c r="Y255" s="14"/>
      <c r="Z255" s="14"/>
      <c r="AA255" s="15"/>
      <c r="AB255" s="3"/>
      <c r="AC255" s="3"/>
      <c r="AD255" s="3"/>
      <c r="AE255" s="3"/>
      <c r="AF255" s="3"/>
      <c r="AG255" s="3"/>
      <c r="AH255" s="3"/>
      <c r="AI255" s="3"/>
      <c r="AJ255" s="3"/>
      <c r="AK255" s="3"/>
      <c r="AL255" s="3"/>
      <c r="AM255" s="3"/>
      <c r="AN255" s="3"/>
      <c r="AO255" s="3"/>
    </row>
    <row r="256" spans="2:41" s="171" customFormat="1" x14ac:dyDescent="0.25">
      <c r="B256" s="13"/>
      <c r="C256" s="14"/>
      <c r="D256" s="60"/>
      <c r="E256" s="56"/>
      <c r="F256" s="56"/>
      <c r="G256" s="128"/>
      <c r="H256" s="56"/>
      <c r="I256" s="14"/>
      <c r="J256" s="14"/>
      <c r="K256" s="14"/>
      <c r="L256" s="14"/>
      <c r="M256" s="14"/>
      <c r="N256" s="14"/>
      <c r="O256" s="14"/>
      <c r="P256" s="14"/>
      <c r="Q256" s="14"/>
      <c r="R256" s="14"/>
      <c r="S256" s="14"/>
      <c r="T256" s="14"/>
      <c r="U256" s="14"/>
      <c r="V256" s="14"/>
      <c r="W256" s="14"/>
      <c r="X256" s="14"/>
      <c r="Y256" s="14"/>
      <c r="Z256" s="14"/>
      <c r="AA256" s="15"/>
      <c r="AB256" s="3"/>
      <c r="AC256" s="3"/>
      <c r="AD256" s="3"/>
      <c r="AE256" s="3"/>
      <c r="AF256" s="3"/>
      <c r="AG256" s="3"/>
      <c r="AH256" s="3"/>
      <c r="AI256" s="3"/>
      <c r="AJ256" s="3"/>
      <c r="AK256" s="3"/>
      <c r="AL256" s="3"/>
      <c r="AM256" s="3"/>
      <c r="AN256" s="3"/>
      <c r="AO256" s="3"/>
    </row>
    <row r="257" spans="2:41" s="171" customFormat="1" x14ac:dyDescent="0.25">
      <c r="B257" s="13"/>
      <c r="C257" s="14"/>
      <c r="D257" s="60"/>
      <c r="E257" s="56"/>
      <c r="F257" s="56"/>
      <c r="G257" s="14"/>
      <c r="H257" s="56"/>
      <c r="I257" s="14"/>
      <c r="J257" s="14"/>
      <c r="K257" s="14"/>
      <c r="L257" s="14"/>
      <c r="M257" s="14"/>
      <c r="N257" s="14"/>
      <c r="O257" s="14"/>
      <c r="P257" s="14"/>
      <c r="Q257" s="14"/>
      <c r="R257" s="14"/>
      <c r="S257" s="14"/>
      <c r="T257" s="14"/>
      <c r="U257" s="14"/>
      <c r="V257" s="14"/>
      <c r="W257" s="14"/>
      <c r="X257" s="14"/>
      <c r="Y257" s="14"/>
      <c r="Z257" s="14"/>
      <c r="AA257" s="15"/>
      <c r="AB257" s="3"/>
      <c r="AC257" s="3"/>
      <c r="AD257" s="3"/>
      <c r="AE257" s="3"/>
      <c r="AF257" s="3"/>
      <c r="AG257" s="3"/>
      <c r="AH257" s="3"/>
      <c r="AI257" s="3"/>
      <c r="AJ257" s="3"/>
      <c r="AK257" s="3"/>
      <c r="AL257" s="3"/>
      <c r="AM257" s="3"/>
      <c r="AN257" s="3"/>
      <c r="AO257" s="3"/>
    </row>
    <row r="258" spans="2:41" s="171" customFormat="1" x14ac:dyDescent="0.25">
      <c r="B258" s="13"/>
      <c r="C258" s="14"/>
      <c r="D258" s="14"/>
      <c r="E258" s="56"/>
      <c r="F258" s="56"/>
      <c r="G258" s="14"/>
      <c r="H258" s="56"/>
      <c r="I258" s="14"/>
      <c r="J258" s="14"/>
      <c r="K258" s="14"/>
      <c r="L258" s="14"/>
      <c r="M258" s="14"/>
      <c r="N258" s="14"/>
      <c r="O258" s="14"/>
      <c r="P258" s="14"/>
      <c r="Q258" s="14"/>
      <c r="R258" s="14"/>
      <c r="S258" s="14"/>
      <c r="T258" s="14"/>
      <c r="U258" s="14"/>
      <c r="V258" s="14"/>
      <c r="W258" s="14"/>
      <c r="X258" s="14"/>
      <c r="Y258" s="14"/>
      <c r="Z258" s="14"/>
      <c r="AA258" s="15"/>
      <c r="AB258" s="3"/>
      <c r="AC258" s="3"/>
      <c r="AD258" s="3"/>
      <c r="AE258" s="3"/>
      <c r="AF258" s="3"/>
      <c r="AG258" s="3"/>
      <c r="AH258" s="3"/>
      <c r="AI258" s="3"/>
      <c r="AJ258" s="3"/>
      <c r="AK258" s="3"/>
      <c r="AL258" s="3"/>
      <c r="AM258" s="3"/>
      <c r="AN258" s="3"/>
      <c r="AO258" s="3"/>
    </row>
    <row r="259" spans="2:41" s="171" customFormat="1" x14ac:dyDescent="0.25">
      <c r="B259" s="13"/>
      <c r="C259" s="14"/>
      <c r="D259" s="60"/>
      <c r="E259" s="56"/>
      <c r="F259" s="56"/>
      <c r="G259" s="14"/>
      <c r="H259" s="56"/>
      <c r="I259" s="14"/>
      <c r="J259" s="14"/>
      <c r="K259" s="14"/>
      <c r="L259" s="14"/>
      <c r="M259" s="14"/>
      <c r="N259" s="14"/>
      <c r="O259" s="14"/>
      <c r="P259" s="14"/>
      <c r="Q259" s="14"/>
      <c r="R259" s="14"/>
      <c r="S259" s="14"/>
      <c r="T259" s="14"/>
      <c r="U259" s="14"/>
      <c r="V259" s="14"/>
      <c r="W259" s="14"/>
      <c r="X259" s="14"/>
      <c r="Y259" s="14"/>
      <c r="Z259" s="14"/>
      <c r="AA259" s="15"/>
      <c r="AB259" s="3"/>
      <c r="AC259" s="3"/>
      <c r="AD259" s="3"/>
      <c r="AE259" s="3"/>
      <c r="AF259" s="3"/>
      <c r="AG259" s="3"/>
      <c r="AH259" s="3"/>
      <c r="AI259" s="3"/>
      <c r="AJ259" s="3"/>
      <c r="AK259" s="3"/>
      <c r="AL259" s="3"/>
      <c r="AM259" s="3"/>
      <c r="AN259" s="3"/>
      <c r="AO259" s="3"/>
    </row>
    <row r="260" spans="2:41" s="171" customFormat="1" x14ac:dyDescent="0.25">
      <c r="B260" s="13"/>
      <c r="C260" s="14"/>
      <c r="D260" s="60"/>
      <c r="E260" s="56"/>
      <c r="F260" s="56"/>
      <c r="G260" s="14"/>
      <c r="H260" s="56"/>
      <c r="I260" s="14"/>
      <c r="J260" s="14"/>
      <c r="K260" s="14"/>
      <c r="L260" s="14"/>
      <c r="M260" s="14"/>
      <c r="N260" s="14"/>
      <c r="O260" s="14"/>
      <c r="P260" s="14"/>
      <c r="Q260" s="14"/>
      <c r="R260" s="14"/>
      <c r="S260" s="14"/>
      <c r="T260" s="14"/>
      <c r="U260" s="14"/>
      <c r="V260" s="14"/>
      <c r="W260" s="14"/>
      <c r="X260" s="14"/>
      <c r="Y260" s="14"/>
      <c r="Z260" s="14"/>
      <c r="AA260" s="15"/>
      <c r="AB260" s="3"/>
      <c r="AC260" s="3"/>
      <c r="AD260" s="3"/>
      <c r="AE260" s="3"/>
      <c r="AF260" s="3"/>
      <c r="AG260" s="3"/>
      <c r="AH260" s="3"/>
      <c r="AI260" s="3"/>
      <c r="AJ260" s="3"/>
      <c r="AK260" s="3"/>
      <c r="AL260" s="3"/>
      <c r="AM260" s="3"/>
      <c r="AN260" s="3"/>
      <c r="AO260" s="3"/>
    </row>
    <row r="261" spans="2:41" s="171" customFormat="1" x14ac:dyDescent="0.25">
      <c r="B261" s="13"/>
      <c r="C261" s="14"/>
      <c r="D261" s="60"/>
      <c r="E261" s="56"/>
      <c r="F261" s="56"/>
      <c r="G261" s="14"/>
      <c r="H261" s="56"/>
      <c r="I261" s="14"/>
      <c r="J261" s="14"/>
      <c r="K261" s="14"/>
      <c r="L261" s="14"/>
      <c r="M261" s="14"/>
      <c r="N261" s="14"/>
      <c r="O261" s="14"/>
      <c r="P261" s="14"/>
      <c r="Q261" s="14"/>
      <c r="R261" s="14"/>
      <c r="S261" s="14"/>
      <c r="T261" s="14"/>
      <c r="U261" s="14"/>
      <c r="V261" s="14"/>
      <c r="W261" s="14"/>
      <c r="X261" s="14"/>
      <c r="Y261" s="14"/>
      <c r="Z261" s="14"/>
      <c r="AA261" s="15"/>
      <c r="AB261" s="3"/>
      <c r="AC261" s="3"/>
      <c r="AD261" s="3"/>
      <c r="AE261" s="3"/>
      <c r="AF261" s="3"/>
      <c r="AG261" s="3"/>
      <c r="AH261" s="3"/>
      <c r="AI261" s="3"/>
      <c r="AJ261" s="3"/>
      <c r="AK261" s="3"/>
      <c r="AL261" s="3"/>
      <c r="AM261" s="3"/>
      <c r="AN261" s="3"/>
      <c r="AO261" s="3"/>
    </row>
    <row r="262" spans="2:41" s="171" customFormat="1" x14ac:dyDescent="0.25">
      <c r="B262" s="13"/>
      <c r="C262" s="14"/>
      <c r="D262" s="60"/>
      <c r="E262" s="56"/>
      <c r="F262" s="56"/>
      <c r="G262" s="14"/>
      <c r="H262" s="56"/>
      <c r="I262" s="14"/>
      <c r="J262" s="14"/>
      <c r="K262" s="14"/>
      <c r="L262" s="14"/>
      <c r="M262" s="14"/>
      <c r="N262" s="14"/>
      <c r="O262" s="14"/>
      <c r="P262" s="14"/>
      <c r="Q262" s="14"/>
      <c r="R262" s="14"/>
      <c r="S262" s="14"/>
      <c r="T262" s="14"/>
      <c r="U262" s="14"/>
      <c r="V262" s="14"/>
      <c r="W262" s="14"/>
      <c r="X262" s="14"/>
      <c r="Y262" s="14"/>
      <c r="Z262" s="14"/>
      <c r="AA262" s="15"/>
      <c r="AB262" s="3"/>
      <c r="AC262" s="3"/>
      <c r="AD262" s="3"/>
      <c r="AE262" s="3"/>
      <c r="AF262" s="3"/>
      <c r="AG262" s="3"/>
      <c r="AH262" s="3"/>
      <c r="AI262" s="3"/>
      <c r="AJ262" s="3"/>
      <c r="AK262" s="3"/>
      <c r="AL262" s="3"/>
      <c r="AM262" s="3"/>
      <c r="AN262" s="3"/>
      <c r="AO262" s="3"/>
    </row>
    <row r="263" spans="2:41" s="171" customFormat="1" x14ac:dyDescent="0.25">
      <c r="B263" s="13"/>
      <c r="C263" s="14"/>
      <c r="D263" s="60"/>
      <c r="E263" s="56"/>
      <c r="F263" s="56"/>
      <c r="G263" s="128"/>
      <c r="H263" s="56"/>
      <c r="I263" s="14"/>
      <c r="J263" s="14"/>
      <c r="K263" s="14"/>
      <c r="L263" s="14"/>
      <c r="M263" s="14"/>
      <c r="N263" s="14"/>
      <c r="O263" s="14"/>
      <c r="P263" s="14"/>
      <c r="Q263" s="14"/>
      <c r="R263" s="14"/>
      <c r="S263" s="14"/>
      <c r="T263" s="14"/>
      <c r="U263" s="14"/>
      <c r="V263" s="14"/>
      <c r="W263" s="14"/>
      <c r="X263" s="14"/>
      <c r="Y263" s="14"/>
      <c r="Z263" s="14"/>
      <c r="AA263" s="15"/>
      <c r="AB263" s="3"/>
      <c r="AC263" s="3"/>
      <c r="AD263" s="3"/>
      <c r="AE263" s="3"/>
      <c r="AF263" s="3"/>
      <c r="AG263" s="3"/>
      <c r="AH263" s="3"/>
      <c r="AI263" s="3"/>
      <c r="AJ263" s="3"/>
      <c r="AK263" s="3"/>
      <c r="AL263" s="3"/>
      <c r="AM263" s="3"/>
      <c r="AN263" s="3"/>
      <c r="AO263" s="3"/>
    </row>
    <row r="264" spans="2:41" s="171" customFormat="1" x14ac:dyDescent="0.25">
      <c r="B264" s="13"/>
      <c r="C264" s="14"/>
      <c r="D264" s="60"/>
      <c r="E264" s="56"/>
      <c r="F264" s="56"/>
      <c r="G264" s="14"/>
      <c r="H264" s="56"/>
      <c r="I264" s="14"/>
      <c r="J264" s="14"/>
      <c r="K264" s="14"/>
      <c r="L264" s="14"/>
      <c r="M264" s="14"/>
      <c r="N264" s="14"/>
      <c r="O264" s="14"/>
      <c r="P264" s="14"/>
      <c r="Q264" s="14"/>
      <c r="R264" s="14"/>
      <c r="S264" s="14"/>
      <c r="T264" s="14"/>
      <c r="U264" s="14"/>
      <c r="V264" s="14"/>
      <c r="W264" s="14"/>
      <c r="X264" s="14"/>
      <c r="Y264" s="14"/>
      <c r="Z264" s="14"/>
      <c r="AA264" s="15"/>
      <c r="AB264" s="3"/>
      <c r="AC264" s="3"/>
      <c r="AD264" s="3"/>
      <c r="AE264" s="3"/>
      <c r="AF264" s="3"/>
      <c r="AG264" s="3"/>
      <c r="AH264" s="3"/>
      <c r="AI264" s="3"/>
      <c r="AJ264" s="3"/>
      <c r="AK264" s="3"/>
      <c r="AL264" s="3"/>
      <c r="AM264" s="3"/>
      <c r="AN264" s="3"/>
      <c r="AO264" s="3"/>
    </row>
    <row r="265" spans="2:41" s="171" customFormat="1" x14ac:dyDescent="0.25">
      <c r="B265" s="13"/>
      <c r="C265" s="14"/>
      <c r="D265" s="14"/>
      <c r="E265" s="56"/>
      <c r="F265" s="56"/>
      <c r="G265" s="14"/>
      <c r="H265" s="56"/>
      <c r="I265" s="14"/>
      <c r="J265" s="14"/>
      <c r="K265" s="14"/>
      <c r="L265" s="14"/>
      <c r="M265" s="14"/>
      <c r="N265" s="14"/>
      <c r="O265" s="14"/>
      <c r="P265" s="14"/>
      <c r="Q265" s="14"/>
      <c r="R265" s="14"/>
      <c r="S265" s="14"/>
      <c r="T265" s="14"/>
      <c r="U265" s="14"/>
      <c r="V265" s="14"/>
      <c r="W265" s="14"/>
      <c r="X265" s="14"/>
      <c r="Y265" s="14"/>
      <c r="Z265" s="14"/>
      <c r="AA265" s="15"/>
      <c r="AB265" s="3"/>
      <c r="AC265" s="3"/>
      <c r="AD265" s="3"/>
      <c r="AE265" s="3"/>
      <c r="AF265" s="3"/>
      <c r="AG265" s="3"/>
      <c r="AH265" s="3"/>
      <c r="AI265" s="3"/>
      <c r="AJ265" s="3"/>
      <c r="AK265" s="3"/>
      <c r="AL265" s="3"/>
      <c r="AM265" s="3"/>
      <c r="AN265" s="3"/>
      <c r="AO265" s="3"/>
    </row>
    <row r="266" spans="2:41" s="171" customFormat="1" x14ac:dyDescent="0.25">
      <c r="B266" s="13"/>
      <c r="C266" s="14"/>
      <c r="D266" s="60"/>
      <c r="E266" s="56"/>
      <c r="F266" s="56"/>
      <c r="G266" s="14"/>
      <c r="H266" s="56"/>
      <c r="I266" s="14"/>
      <c r="J266" s="14"/>
      <c r="K266" s="14"/>
      <c r="L266" s="14"/>
      <c r="M266" s="14"/>
      <c r="N266" s="14"/>
      <c r="O266" s="14"/>
      <c r="P266" s="14"/>
      <c r="Q266" s="14"/>
      <c r="R266" s="14"/>
      <c r="S266" s="14"/>
      <c r="T266" s="14"/>
      <c r="U266" s="14"/>
      <c r="V266" s="14"/>
      <c r="W266" s="14"/>
      <c r="X266" s="14"/>
      <c r="Y266" s="14"/>
      <c r="Z266" s="14"/>
      <c r="AA266" s="15"/>
      <c r="AB266" s="3"/>
      <c r="AC266" s="3"/>
      <c r="AD266" s="3"/>
      <c r="AE266" s="3"/>
      <c r="AF266" s="3"/>
      <c r="AG266" s="3"/>
      <c r="AH266" s="3"/>
      <c r="AI266" s="3"/>
      <c r="AJ266" s="3"/>
      <c r="AK266" s="3"/>
      <c r="AL266" s="3"/>
      <c r="AM266" s="3"/>
      <c r="AN266" s="3"/>
      <c r="AO266" s="3"/>
    </row>
    <row r="267" spans="2:41" s="171" customFormat="1" x14ac:dyDescent="0.25">
      <c r="B267" s="13"/>
      <c r="C267" s="14"/>
      <c r="D267" s="60"/>
      <c r="E267" s="56"/>
      <c r="F267" s="56"/>
      <c r="G267" s="14"/>
      <c r="H267" s="56"/>
      <c r="I267" s="14"/>
      <c r="J267" s="14"/>
      <c r="K267" s="14"/>
      <c r="L267" s="14"/>
      <c r="M267" s="14"/>
      <c r="N267" s="14"/>
      <c r="O267" s="14"/>
      <c r="P267" s="14"/>
      <c r="Q267" s="14"/>
      <c r="R267" s="14"/>
      <c r="S267" s="14"/>
      <c r="T267" s="14"/>
      <c r="U267" s="14"/>
      <c r="V267" s="14"/>
      <c r="W267" s="14"/>
      <c r="X267" s="14"/>
      <c r="Y267" s="14"/>
      <c r="Z267" s="14"/>
      <c r="AA267" s="15"/>
      <c r="AB267" s="3"/>
      <c r="AC267" s="3"/>
      <c r="AD267" s="3"/>
      <c r="AE267" s="3"/>
      <c r="AF267" s="3"/>
      <c r="AG267" s="3"/>
      <c r="AH267" s="3"/>
      <c r="AI267" s="3"/>
      <c r="AJ267" s="3"/>
      <c r="AK267" s="3"/>
      <c r="AL267" s="3"/>
      <c r="AM267" s="3"/>
      <c r="AN267" s="3"/>
      <c r="AO267" s="3"/>
    </row>
    <row r="268" spans="2:41" s="171" customFormat="1" x14ac:dyDescent="0.25">
      <c r="B268" s="13"/>
      <c r="C268" s="14"/>
      <c r="D268" s="60"/>
      <c r="E268" s="56"/>
      <c r="F268" s="56"/>
      <c r="G268" s="14"/>
      <c r="H268" s="56"/>
      <c r="I268" s="14"/>
      <c r="J268" s="14"/>
      <c r="K268" s="14"/>
      <c r="L268" s="14"/>
      <c r="M268" s="14"/>
      <c r="N268" s="14"/>
      <c r="O268" s="14"/>
      <c r="P268" s="14"/>
      <c r="Q268" s="14"/>
      <c r="R268" s="14"/>
      <c r="S268" s="14"/>
      <c r="T268" s="14"/>
      <c r="U268" s="14"/>
      <c r="V268" s="14"/>
      <c r="W268" s="14"/>
      <c r="X268" s="14"/>
      <c r="Y268" s="14"/>
      <c r="Z268" s="14"/>
      <c r="AA268" s="15"/>
      <c r="AB268" s="3"/>
      <c r="AC268" s="3"/>
      <c r="AD268" s="3"/>
      <c r="AE268" s="3"/>
      <c r="AF268" s="3"/>
      <c r="AG268" s="3"/>
      <c r="AH268" s="3"/>
      <c r="AI268" s="3"/>
      <c r="AJ268" s="3"/>
      <c r="AK268" s="3"/>
      <c r="AL268" s="3"/>
      <c r="AM268" s="3"/>
      <c r="AN268" s="3"/>
      <c r="AO268" s="3"/>
    </row>
    <row r="269" spans="2:41" s="171" customFormat="1" x14ac:dyDescent="0.25">
      <c r="B269" s="13"/>
      <c r="C269" s="14"/>
      <c r="D269" s="60"/>
      <c r="E269" s="56"/>
      <c r="F269" s="56"/>
      <c r="G269" s="14"/>
      <c r="H269" s="56"/>
      <c r="I269" s="14"/>
      <c r="J269" s="14"/>
      <c r="K269" s="14"/>
      <c r="L269" s="14"/>
      <c r="M269" s="14"/>
      <c r="N269" s="14"/>
      <c r="O269" s="14"/>
      <c r="P269" s="14"/>
      <c r="Q269" s="14"/>
      <c r="R269" s="14"/>
      <c r="S269" s="14"/>
      <c r="T269" s="14"/>
      <c r="U269" s="14"/>
      <c r="V269" s="14"/>
      <c r="W269" s="14"/>
      <c r="X269" s="14"/>
      <c r="Y269" s="14"/>
      <c r="Z269" s="14"/>
      <c r="AA269" s="15"/>
      <c r="AB269" s="3"/>
      <c r="AC269" s="3"/>
      <c r="AD269" s="3"/>
      <c r="AE269" s="3"/>
      <c r="AF269" s="3"/>
      <c r="AG269" s="3"/>
      <c r="AH269" s="3"/>
      <c r="AI269" s="3"/>
      <c r="AJ269" s="3"/>
      <c r="AK269" s="3"/>
      <c r="AL269" s="3"/>
      <c r="AM269" s="3"/>
      <c r="AN269" s="3"/>
      <c r="AO269" s="3"/>
    </row>
    <row r="270" spans="2:41" s="171" customFormat="1" x14ac:dyDescent="0.25">
      <c r="B270" s="13"/>
      <c r="C270" s="14"/>
      <c r="D270" s="60"/>
      <c r="E270" s="56"/>
      <c r="F270" s="56"/>
      <c r="G270" s="128"/>
      <c r="H270" s="56"/>
      <c r="I270" s="14"/>
      <c r="J270" s="14"/>
      <c r="K270" s="14"/>
      <c r="L270" s="14"/>
      <c r="M270" s="14"/>
      <c r="N270" s="14"/>
      <c r="O270" s="14"/>
      <c r="P270" s="14"/>
      <c r="Q270" s="14"/>
      <c r="R270" s="14"/>
      <c r="S270" s="14"/>
      <c r="T270" s="14"/>
      <c r="U270" s="14"/>
      <c r="V270" s="14"/>
      <c r="W270" s="14"/>
      <c r="X270" s="14"/>
      <c r="Y270" s="14"/>
      <c r="Z270" s="14"/>
      <c r="AA270" s="15"/>
      <c r="AB270" s="3"/>
      <c r="AC270" s="3"/>
      <c r="AD270" s="3"/>
      <c r="AE270" s="3"/>
      <c r="AF270" s="3"/>
      <c r="AG270" s="3"/>
      <c r="AH270" s="3"/>
      <c r="AI270" s="3"/>
      <c r="AJ270" s="3"/>
      <c r="AK270" s="3"/>
      <c r="AL270" s="3"/>
      <c r="AM270" s="3"/>
      <c r="AN270" s="3"/>
      <c r="AO270" s="3"/>
    </row>
    <row r="271" spans="2:41" s="171" customFormat="1" x14ac:dyDescent="0.25">
      <c r="B271" s="13"/>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5"/>
      <c r="AB271" s="3"/>
      <c r="AC271" s="3"/>
      <c r="AD271" s="3"/>
      <c r="AE271" s="3"/>
      <c r="AF271" s="3"/>
      <c r="AG271" s="3"/>
      <c r="AH271" s="3"/>
      <c r="AI271" s="3"/>
      <c r="AJ271" s="3"/>
      <c r="AK271" s="3"/>
      <c r="AL271" s="3"/>
      <c r="AM271" s="3"/>
      <c r="AN271" s="3"/>
      <c r="AO271" s="3"/>
    </row>
    <row r="272" spans="2:41" s="171" customFormat="1" x14ac:dyDescent="0.25">
      <c r="B272" s="13"/>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5"/>
      <c r="AB272" s="3"/>
      <c r="AC272" s="3"/>
      <c r="AD272" s="3"/>
      <c r="AE272" s="3"/>
      <c r="AF272" s="3"/>
      <c r="AG272" s="3"/>
      <c r="AH272" s="3"/>
      <c r="AI272" s="3"/>
      <c r="AJ272" s="3"/>
      <c r="AK272" s="3"/>
      <c r="AL272" s="3"/>
      <c r="AM272" s="3"/>
      <c r="AN272" s="3"/>
      <c r="AO272" s="3"/>
    </row>
    <row r="273" spans="2:41" s="171" customFormat="1" x14ac:dyDescent="0.25">
      <c r="B273" s="13"/>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5"/>
      <c r="AB273" s="3"/>
      <c r="AC273" s="3"/>
      <c r="AD273" s="3"/>
      <c r="AE273" s="3"/>
      <c r="AF273" s="3"/>
      <c r="AG273" s="3"/>
      <c r="AH273" s="3"/>
      <c r="AI273" s="3"/>
      <c r="AJ273" s="3"/>
      <c r="AK273" s="3"/>
      <c r="AL273" s="3"/>
      <c r="AM273" s="3"/>
      <c r="AN273" s="3"/>
      <c r="AO273" s="3"/>
    </row>
    <row r="274" spans="2:41" s="171" customFormat="1" x14ac:dyDescent="0.25">
      <c r="B274" s="13"/>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5"/>
      <c r="AB274" s="3"/>
      <c r="AC274" s="3"/>
      <c r="AD274" s="3"/>
      <c r="AE274" s="3"/>
      <c r="AF274" s="3"/>
      <c r="AG274" s="3"/>
      <c r="AH274" s="3"/>
      <c r="AI274" s="3"/>
      <c r="AJ274" s="3"/>
      <c r="AK274" s="3"/>
      <c r="AL274" s="3"/>
      <c r="AM274" s="3"/>
      <c r="AN274" s="3"/>
      <c r="AO274" s="3"/>
    </row>
    <row r="275" spans="2:41" s="171" customFormat="1" x14ac:dyDescent="0.25">
      <c r="B275" s="13"/>
      <c r="C275" s="14"/>
      <c r="D275" s="60"/>
      <c r="E275" s="56"/>
      <c r="F275" s="56"/>
      <c r="G275" s="14"/>
      <c r="H275" s="56"/>
      <c r="I275" s="14"/>
      <c r="J275" s="14"/>
      <c r="K275" s="14"/>
      <c r="L275" s="14"/>
      <c r="M275" s="14"/>
      <c r="N275" s="14"/>
      <c r="O275" s="14"/>
      <c r="P275" s="14"/>
      <c r="Q275" s="14"/>
      <c r="R275" s="14"/>
      <c r="S275" s="14"/>
      <c r="T275" s="14"/>
      <c r="U275" s="14"/>
      <c r="V275" s="14"/>
      <c r="W275" s="14"/>
      <c r="X275" s="14"/>
      <c r="Y275" s="14"/>
      <c r="Z275" s="14"/>
      <c r="AA275" s="15"/>
      <c r="AB275" s="3"/>
      <c r="AC275" s="3"/>
      <c r="AD275" s="3"/>
      <c r="AE275" s="3"/>
      <c r="AF275" s="3"/>
      <c r="AG275" s="3"/>
      <c r="AH275" s="3"/>
      <c r="AI275" s="3"/>
      <c r="AJ275" s="3"/>
      <c r="AK275" s="3"/>
      <c r="AL275" s="3"/>
      <c r="AM275" s="3"/>
      <c r="AN275" s="3"/>
      <c r="AO275" s="3"/>
    </row>
    <row r="276" spans="2:41" s="171" customFormat="1" x14ac:dyDescent="0.25">
      <c r="B276" s="13"/>
      <c r="C276" s="14"/>
      <c r="D276" s="60"/>
      <c r="E276" s="56"/>
      <c r="F276" s="56"/>
      <c r="G276" s="14"/>
      <c r="H276" s="56"/>
      <c r="I276" s="14"/>
      <c r="J276" s="14"/>
      <c r="K276" s="14"/>
      <c r="L276" s="14"/>
      <c r="M276" s="14"/>
      <c r="N276" s="14"/>
      <c r="O276" s="14"/>
      <c r="P276" s="14"/>
      <c r="Q276" s="14"/>
      <c r="R276" s="14"/>
      <c r="S276" s="14"/>
      <c r="T276" s="14"/>
      <c r="U276" s="14"/>
      <c r="V276" s="14"/>
      <c r="W276" s="14"/>
      <c r="X276" s="14"/>
      <c r="Y276" s="14"/>
      <c r="Z276" s="14"/>
      <c r="AA276" s="15"/>
      <c r="AB276" s="3"/>
      <c r="AC276" s="3"/>
      <c r="AD276" s="3"/>
      <c r="AE276" s="3"/>
      <c r="AF276" s="3"/>
      <c r="AG276" s="3"/>
      <c r="AH276" s="3"/>
      <c r="AI276" s="3"/>
      <c r="AJ276" s="3"/>
      <c r="AK276" s="3"/>
      <c r="AL276" s="3"/>
      <c r="AM276" s="3"/>
      <c r="AN276" s="3"/>
      <c r="AO276" s="3"/>
    </row>
    <row r="277" spans="2:41" s="171" customFormat="1" x14ac:dyDescent="0.25">
      <c r="B277" s="13"/>
      <c r="C277" s="56"/>
      <c r="D277" s="60"/>
      <c r="E277" s="56"/>
      <c r="F277" s="56"/>
      <c r="G277" s="56"/>
      <c r="H277" s="56"/>
      <c r="I277" s="14"/>
      <c r="J277" s="14"/>
      <c r="K277" s="14"/>
      <c r="L277" s="14"/>
      <c r="M277" s="14"/>
      <c r="N277" s="14"/>
      <c r="O277" s="14"/>
      <c r="P277" s="14"/>
      <c r="Q277" s="14"/>
      <c r="R277" s="14"/>
      <c r="S277" s="14"/>
      <c r="T277" s="14"/>
      <c r="U277" s="14"/>
      <c r="V277" s="14"/>
      <c r="W277" s="14"/>
      <c r="X277" s="14"/>
      <c r="Y277" s="14"/>
      <c r="Z277" s="14"/>
      <c r="AA277" s="15"/>
      <c r="AB277" s="3"/>
      <c r="AC277" s="3"/>
      <c r="AD277" s="3"/>
      <c r="AE277" s="3"/>
      <c r="AF277" s="3"/>
      <c r="AG277" s="3"/>
      <c r="AH277" s="3"/>
      <c r="AI277" s="3"/>
      <c r="AJ277" s="3"/>
      <c r="AK277" s="3"/>
      <c r="AL277" s="3"/>
      <c r="AM277" s="3"/>
      <c r="AN277" s="3"/>
      <c r="AO277" s="3"/>
    </row>
    <row r="278" spans="2:41" s="171" customFormat="1" x14ac:dyDescent="0.25">
      <c r="B278" s="13"/>
      <c r="C278" s="14"/>
      <c r="D278" s="60"/>
      <c r="E278" s="56"/>
      <c r="F278" s="56"/>
      <c r="G278" s="14"/>
      <c r="H278" s="56"/>
      <c r="I278" s="14"/>
      <c r="J278" s="14"/>
      <c r="K278" s="14"/>
      <c r="L278" s="14"/>
      <c r="M278" s="14"/>
      <c r="N278" s="14"/>
      <c r="O278" s="14"/>
      <c r="P278" s="14"/>
      <c r="Q278" s="14"/>
      <c r="R278" s="14"/>
      <c r="S278" s="14"/>
      <c r="T278" s="14"/>
      <c r="U278" s="14"/>
      <c r="V278" s="14"/>
      <c r="W278" s="14"/>
      <c r="X278" s="14"/>
      <c r="Y278" s="14"/>
      <c r="Z278" s="14"/>
      <c r="AA278" s="15"/>
      <c r="AB278" s="3"/>
      <c r="AC278" s="3"/>
      <c r="AD278" s="3"/>
      <c r="AE278" s="3"/>
      <c r="AF278" s="3"/>
      <c r="AG278" s="3"/>
      <c r="AH278" s="3"/>
      <c r="AI278" s="3"/>
      <c r="AJ278" s="3"/>
      <c r="AK278" s="3"/>
      <c r="AL278" s="3"/>
      <c r="AM278" s="3"/>
      <c r="AN278" s="3"/>
      <c r="AO278" s="3"/>
    </row>
    <row r="279" spans="2:41" s="171" customFormat="1" x14ac:dyDescent="0.25">
      <c r="B279" s="13"/>
      <c r="C279" s="14"/>
      <c r="D279" s="14"/>
      <c r="E279" s="56"/>
      <c r="F279" s="56"/>
      <c r="G279" s="14"/>
      <c r="H279" s="56"/>
      <c r="I279" s="14"/>
      <c r="J279" s="14"/>
      <c r="K279" s="14"/>
      <c r="L279" s="14"/>
      <c r="M279" s="14"/>
      <c r="N279" s="14"/>
      <c r="O279" s="14"/>
      <c r="P279" s="14"/>
      <c r="Q279" s="14"/>
      <c r="R279" s="14"/>
      <c r="S279" s="14"/>
      <c r="T279" s="14"/>
      <c r="U279" s="14"/>
      <c r="V279" s="14"/>
      <c r="W279" s="14"/>
      <c r="X279" s="14"/>
      <c r="Y279" s="14"/>
      <c r="Z279" s="14"/>
      <c r="AA279" s="15"/>
      <c r="AB279" s="3"/>
      <c r="AC279" s="3"/>
      <c r="AD279" s="3"/>
      <c r="AE279" s="3"/>
      <c r="AF279" s="3"/>
      <c r="AG279" s="3"/>
      <c r="AH279" s="3"/>
      <c r="AI279" s="3"/>
      <c r="AJ279" s="3"/>
      <c r="AK279" s="3"/>
      <c r="AL279" s="3"/>
      <c r="AM279" s="3"/>
      <c r="AN279" s="3"/>
      <c r="AO279" s="3"/>
    </row>
    <row r="280" spans="2:41" s="171" customFormat="1" ht="18.75" x14ac:dyDescent="0.3">
      <c r="B280" s="67"/>
      <c r="C280" s="14"/>
      <c r="D280" s="60"/>
      <c r="E280" s="56"/>
      <c r="F280" s="56"/>
      <c r="G280" s="14"/>
      <c r="H280" s="14"/>
      <c r="I280" s="74"/>
      <c r="J280" s="14"/>
      <c r="K280" s="14"/>
      <c r="L280" s="14"/>
      <c r="M280" s="14"/>
      <c r="N280" s="14"/>
      <c r="O280" s="14"/>
      <c r="P280" s="14"/>
      <c r="Q280" s="14"/>
      <c r="R280" s="14"/>
      <c r="S280" s="14"/>
      <c r="T280" s="14"/>
      <c r="U280" s="14"/>
      <c r="V280" s="14"/>
      <c r="W280" s="14"/>
      <c r="X280" s="14"/>
      <c r="Y280" s="14"/>
      <c r="Z280" s="14"/>
      <c r="AA280" s="15"/>
      <c r="AB280" s="3"/>
      <c r="AC280" s="3"/>
      <c r="AD280" s="3"/>
      <c r="AE280" s="3"/>
      <c r="AF280" s="3"/>
      <c r="AG280" s="3"/>
      <c r="AH280" s="3"/>
      <c r="AI280" s="3"/>
      <c r="AJ280" s="3"/>
      <c r="AK280" s="3"/>
      <c r="AL280" s="3"/>
      <c r="AM280" s="3"/>
      <c r="AN280" s="3"/>
      <c r="AO280" s="3"/>
    </row>
    <row r="281" spans="2:41" s="171" customFormat="1" x14ac:dyDescent="0.25">
      <c r="B281" s="13"/>
      <c r="C281" s="14"/>
      <c r="D281" s="60"/>
      <c r="E281" s="56"/>
      <c r="F281" s="56"/>
      <c r="G281" s="14"/>
      <c r="H281" s="56"/>
      <c r="I281" s="14"/>
      <c r="J281" s="14"/>
      <c r="K281" s="14"/>
      <c r="L281" s="14"/>
      <c r="M281" s="14"/>
      <c r="N281" s="14"/>
      <c r="O281" s="14"/>
      <c r="P281" s="14"/>
      <c r="Q281" s="14"/>
      <c r="R281" s="14"/>
      <c r="S281" s="14"/>
      <c r="T281" s="14"/>
      <c r="U281" s="14"/>
      <c r="V281" s="14"/>
      <c r="W281" s="14"/>
      <c r="X281" s="14"/>
      <c r="Y281" s="14"/>
      <c r="Z281" s="14"/>
      <c r="AA281" s="15"/>
      <c r="AB281" s="3"/>
      <c r="AC281" s="3"/>
      <c r="AD281" s="3"/>
      <c r="AE281" s="3"/>
      <c r="AF281" s="3"/>
      <c r="AG281" s="3"/>
      <c r="AH281" s="3"/>
      <c r="AI281" s="3"/>
      <c r="AJ281" s="3"/>
      <c r="AK281" s="3"/>
      <c r="AL281" s="3"/>
      <c r="AM281" s="3"/>
      <c r="AN281" s="3"/>
      <c r="AO281" s="3"/>
    </row>
    <row r="282" spans="2:41" s="171" customFormat="1" x14ac:dyDescent="0.25">
      <c r="B282" s="13"/>
      <c r="C282" s="14"/>
      <c r="D282" s="60"/>
      <c r="E282" s="56"/>
      <c r="F282" s="56"/>
      <c r="G282" s="14"/>
      <c r="H282" s="56"/>
      <c r="I282" s="14"/>
      <c r="J282" s="14"/>
      <c r="K282" s="14"/>
      <c r="L282" s="14"/>
      <c r="M282" s="14"/>
      <c r="N282" s="14"/>
      <c r="O282" s="14"/>
      <c r="P282" s="14"/>
      <c r="Q282" s="14"/>
      <c r="R282" s="14"/>
      <c r="S282" s="14"/>
      <c r="T282" s="14"/>
      <c r="U282" s="14"/>
      <c r="V282" s="14"/>
      <c r="W282" s="14"/>
      <c r="X282" s="14"/>
      <c r="Y282" s="14"/>
      <c r="Z282" s="14"/>
      <c r="AA282" s="15"/>
      <c r="AB282" s="3"/>
      <c r="AC282" s="3"/>
      <c r="AD282" s="3"/>
      <c r="AE282" s="3"/>
      <c r="AF282" s="3"/>
      <c r="AG282" s="3"/>
      <c r="AH282" s="3"/>
      <c r="AI282" s="3"/>
      <c r="AJ282" s="3"/>
      <c r="AK282" s="3"/>
      <c r="AL282" s="3"/>
      <c r="AM282" s="3"/>
      <c r="AN282" s="3"/>
      <c r="AO282" s="3"/>
    </row>
    <row r="283" spans="2:41" s="171" customFormat="1" x14ac:dyDescent="0.25">
      <c r="B283" s="13"/>
      <c r="C283" s="14"/>
      <c r="D283" s="60"/>
      <c r="E283" s="56"/>
      <c r="F283" s="56"/>
      <c r="G283" s="14"/>
      <c r="H283" s="56"/>
      <c r="I283" s="14"/>
      <c r="J283" s="14"/>
      <c r="K283" s="14"/>
      <c r="L283" s="14"/>
      <c r="M283" s="14"/>
      <c r="N283" s="14"/>
      <c r="O283" s="14"/>
      <c r="P283" s="14"/>
      <c r="Q283" s="14"/>
      <c r="R283" s="14"/>
      <c r="S283" s="14"/>
      <c r="T283" s="14"/>
      <c r="U283" s="14"/>
      <c r="V283" s="14"/>
      <c r="W283" s="14"/>
      <c r="X283" s="14"/>
      <c r="Y283" s="14"/>
      <c r="Z283" s="14"/>
      <c r="AA283" s="15"/>
      <c r="AB283" s="3"/>
      <c r="AC283" s="3"/>
      <c r="AD283" s="3"/>
      <c r="AE283" s="3"/>
      <c r="AF283" s="3"/>
      <c r="AG283" s="3"/>
      <c r="AH283" s="3"/>
      <c r="AI283" s="3"/>
      <c r="AJ283" s="3"/>
      <c r="AK283" s="3"/>
      <c r="AL283" s="3"/>
      <c r="AM283" s="3"/>
      <c r="AN283" s="3"/>
      <c r="AO283" s="3"/>
    </row>
    <row r="284" spans="2:41" s="171" customFormat="1" x14ac:dyDescent="0.25">
      <c r="B284" s="13"/>
      <c r="C284" s="56"/>
      <c r="D284" s="60"/>
      <c r="E284" s="56"/>
      <c r="F284" s="56"/>
      <c r="G284" s="56"/>
      <c r="H284" s="56"/>
      <c r="I284" s="14"/>
      <c r="J284" s="14"/>
      <c r="K284" s="14"/>
      <c r="L284" s="14"/>
      <c r="M284" s="14"/>
      <c r="N284" s="14"/>
      <c r="O284" s="14"/>
      <c r="P284" s="14"/>
      <c r="Q284" s="14"/>
      <c r="R284" s="14"/>
      <c r="S284" s="14"/>
      <c r="T284" s="14"/>
      <c r="U284" s="14"/>
      <c r="V284" s="14"/>
      <c r="W284" s="14"/>
      <c r="X284" s="14"/>
      <c r="Y284" s="14"/>
      <c r="Z284" s="14"/>
      <c r="AA284" s="15"/>
      <c r="AB284" s="3"/>
      <c r="AC284" s="3"/>
      <c r="AD284" s="3"/>
      <c r="AE284" s="3"/>
      <c r="AF284" s="3"/>
      <c r="AG284" s="3"/>
      <c r="AH284" s="3"/>
      <c r="AI284" s="3"/>
      <c r="AJ284" s="3"/>
      <c r="AK284" s="3"/>
      <c r="AL284" s="3"/>
      <c r="AM284" s="3"/>
      <c r="AN284" s="3"/>
      <c r="AO284" s="3"/>
    </row>
    <row r="285" spans="2:41" s="171" customFormat="1" x14ac:dyDescent="0.25">
      <c r="B285" s="13"/>
      <c r="C285" s="14"/>
      <c r="D285" s="60"/>
      <c r="E285" s="56"/>
      <c r="F285" s="56"/>
      <c r="G285" s="14"/>
      <c r="H285" s="56"/>
      <c r="I285" s="14"/>
      <c r="J285" s="14"/>
      <c r="K285" s="14"/>
      <c r="L285" s="14"/>
      <c r="M285" s="14"/>
      <c r="N285" s="14"/>
      <c r="O285" s="14"/>
      <c r="P285" s="14"/>
      <c r="Q285" s="14"/>
      <c r="R285" s="14"/>
      <c r="S285" s="14"/>
      <c r="T285" s="14"/>
      <c r="U285" s="14"/>
      <c r="V285" s="14"/>
      <c r="W285" s="14"/>
      <c r="X285" s="14"/>
      <c r="Y285" s="14"/>
      <c r="Z285" s="14"/>
      <c r="AA285" s="15"/>
      <c r="AB285" s="3"/>
      <c r="AC285" s="3"/>
      <c r="AD285" s="3"/>
      <c r="AE285" s="3"/>
      <c r="AF285" s="3"/>
      <c r="AG285" s="3"/>
      <c r="AH285" s="3"/>
      <c r="AI285" s="3"/>
      <c r="AJ285" s="3"/>
      <c r="AK285" s="3"/>
      <c r="AL285" s="3"/>
      <c r="AM285" s="3"/>
      <c r="AN285" s="3"/>
      <c r="AO285" s="3"/>
    </row>
    <row r="286" spans="2:41" s="171" customFormat="1" x14ac:dyDescent="0.25">
      <c r="B286" s="13"/>
      <c r="C286" s="14"/>
      <c r="D286" s="14"/>
      <c r="E286" s="56"/>
      <c r="F286" s="56"/>
      <c r="G286" s="14"/>
      <c r="H286" s="56"/>
      <c r="I286" s="14"/>
      <c r="J286" s="14"/>
      <c r="K286" s="14"/>
      <c r="L286" s="14"/>
      <c r="M286" s="14"/>
      <c r="N286" s="14"/>
      <c r="O286" s="14"/>
      <c r="P286" s="14"/>
      <c r="Q286" s="14"/>
      <c r="R286" s="14"/>
      <c r="S286" s="14"/>
      <c r="T286" s="14"/>
      <c r="U286" s="14"/>
      <c r="V286" s="14"/>
      <c r="W286" s="14"/>
      <c r="X286" s="14"/>
      <c r="Y286" s="14"/>
      <c r="Z286" s="14"/>
      <c r="AA286" s="15"/>
      <c r="AB286" s="3"/>
      <c r="AC286" s="3"/>
      <c r="AD286" s="3"/>
      <c r="AE286" s="3"/>
      <c r="AF286" s="3"/>
      <c r="AG286" s="3"/>
      <c r="AH286" s="3"/>
      <c r="AI286" s="3"/>
      <c r="AJ286" s="3"/>
      <c r="AK286" s="3"/>
      <c r="AL286" s="3"/>
      <c r="AM286" s="3"/>
      <c r="AN286" s="3"/>
      <c r="AO286" s="3"/>
    </row>
    <row r="287" spans="2:41" s="171" customFormat="1" x14ac:dyDescent="0.25">
      <c r="B287" s="13"/>
      <c r="C287" s="14"/>
      <c r="D287" s="60"/>
      <c r="E287" s="56"/>
      <c r="F287" s="56"/>
      <c r="G287" s="14"/>
      <c r="H287" s="14"/>
      <c r="I287" s="14"/>
      <c r="J287" s="14"/>
      <c r="K287" s="14"/>
      <c r="L287" s="14"/>
      <c r="M287" s="14"/>
      <c r="N287" s="14"/>
      <c r="O287" s="14"/>
      <c r="P287" s="14"/>
      <c r="Q287" s="14"/>
      <c r="R287" s="14"/>
      <c r="S287" s="14"/>
      <c r="T287" s="14"/>
      <c r="U287" s="14"/>
      <c r="V287" s="14"/>
      <c r="W287" s="14"/>
      <c r="X287" s="14"/>
      <c r="Y287" s="14"/>
      <c r="Z287" s="14"/>
      <c r="AA287" s="15"/>
      <c r="AB287" s="3"/>
      <c r="AC287" s="3"/>
      <c r="AD287" s="3"/>
      <c r="AE287" s="3"/>
      <c r="AF287" s="3"/>
      <c r="AG287" s="3"/>
      <c r="AH287" s="3"/>
      <c r="AI287" s="3"/>
      <c r="AJ287" s="3"/>
      <c r="AK287" s="3"/>
      <c r="AL287" s="3"/>
      <c r="AM287" s="3"/>
      <c r="AN287" s="3"/>
      <c r="AO287" s="3"/>
    </row>
    <row r="288" spans="2:41" s="171" customFormat="1" ht="18.75" x14ac:dyDescent="0.3">
      <c r="B288" s="67"/>
      <c r="C288" s="14"/>
      <c r="D288" s="60"/>
      <c r="E288" s="56"/>
      <c r="F288" s="56"/>
      <c r="G288" s="14"/>
      <c r="H288" s="56"/>
      <c r="I288" s="74"/>
      <c r="J288" s="14"/>
      <c r="K288" s="14"/>
      <c r="L288" s="14"/>
      <c r="M288" s="14"/>
      <c r="N288" s="14"/>
      <c r="O288" s="14"/>
      <c r="P288" s="14"/>
      <c r="Q288" s="14"/>
      <c r="R288" s="14"/>
      <c r="S288" s="14"/>
      <c r="T288" s="14"/>
      <c r="U288" s="14"/>
      <c r="V288" s="14"/>
      <c r="W288" s="14"/>
      <c r="X288" s="14"/>
      <c r="Y288" s="14"/>
      <c r="Z288" s="14"/>
      <c r="AA288" s="15"/>
      <c r="AB288" s="3"/>
      <c r="AC288" s="3"/>
      <c r="AD288" s="3"/>
      <c r="AE288" s="3"/>
      <c r="AF288" s="3"/>
      <c r="AG288" s="3"/>
      <c r="AH288" s="3"/>
      <c r="AI288" s="3"/>
      <c r="AJ288" s="3"/>
      <c r="AK288" s="3"/>
      <c r="AL288" s="3"/>
      <c r="AM288" s="3"/>
      <c r="AN288" s="3"/>
      <c r="AO288" s="3"/>
    </row>
    <row r="289" spans="2:41" s="171" customFormat="1" x14ac:dyDescent="0.25">
      <c r="B289" s="13"/>
      <c r="C289" s="14"/>
      <c r="D289" s="60"/>
      <c r="E289" s="56"/>
      <c r="F289" s="56"/>
      <c r="G289" s="14"/>
      <c r="H289" s="56"/>
      <c r="I289" s="14"/>
      <c r="J289" s="14"/>
      <c r="K289" s="14"/>
      <c r="L289" s="14"/>
      <c r="M289" s="14"/>
      <c r="N289" s="14"/>
      <c r="O289" s="14"/>
      <c r="P289" s="14"/>
      <c r="Q289" s="14"/>
      <c r="R289" s="14"/>
      <c r="S289" s="14"/>
      <c r="T289" s="14"/>
      <c r="U289" s="14"/>
      <c r="V289" s="14"/>
      <c r="W289" s="14"/>
      <c r="X289" s="14"/>
      <c r="Y289" s="14"/>
      <c r="Z289" s="14"/>
      <c r="AA289" s="15"/>
      <c r="AB289" s="3"/>
      <c r="AC289" s="3"/>
      <c r="AD289" s="3"/>
      <c r="AE289" s="3"/>
      <c r="AF289" s="3"/>
      <c r="AG289" s="3"/>
      <c r="AH289" s="3"/>
      <c r="AI289" s="3"/>
      <c r="AJ289" s="3"/>
      <c r="AK289" s="3"/>
      <c r="AL289" s="3"/>
      <c r="AM289" s="3"/>
      <c r="AN289" s="3"/>
      <c r="AO289" s="3"/>
    </row>
    <row r="290" spans="2:41" s="171" customFormat="1" x14ac:dyDescent="0.25">
      <c r="B290" s="13"/>
      <c r="C290" s="14"/>
      <c r="D290" s="60"/>
      <c r="E290" s="56"/>
      <c r="F290" s="56"/>
      <c r="G290" s="14"/>
      <c r="H290" s="56"/>
      <c r="I290" s="14"/>
      <c r="J290" s="14"/>
      <c r="K290" s="14"/>
      <c r="L290" s="14"/>
      <c r="M290" s="14"/>
      <c r="N290" s="14"/>
      <c r="O290" s="14"/>
      <c r="P290" s="14"/>
      <c r="Q290" s="14"/>
      <c r="R290" s="14"/>
      <c r="S290" s="14"/>
      <c r="T290" s="14"/>
      <c r="U290" s="14"/>
      <c r="V290" s="14"/>
      <c r="W290" s="14"/>
      <c r="X290" s="14"/>
      <c r="Y290" s="14"/>
      <c r="Z290" s="14"/>
      <c r="AA290" s="15"/>
      <c r="AB290" s="3"/>
      <c r="AC290" s="3"/>
      <c r="AD290" s="3"/>
      <c r="AE290" s="3"/>
      <c r="AF290" s="3"/>
      <c r="AG290" s="3"/>
      <c r="AH290" s="3"/>
      <c r="AI290" s="3"/>
      <c r="AJ290" s="3"/>
      <c r="AK290" s="3"/>
      <c r="AL290" s="3"/>
      <c r="AM290" s="3"/>
      <c r="AN290" s="3"/>
      <c r="AO290" s="3"/>
    </row>
    <row r="291" spans="2:41" s="171" customFormat="1" x14ac:dyDescent="0.25">
      <c r="B291" s="13"/>
      <c r="C291" s="56"/>
      <c r="D291" s="60"/>
      <c r="E291" s="56"/>
      <c r="F291" s="56"/>
      <c r="G291" s="56"/>
      <c r="H291" s="56"/>
      <c r="I291" s="14"/>
      <c r="J291" s="14"/>
      <c r="K291" s="14"/>
      <c r="L291" s="14"/>
      <c r="M291" s="14"/>
      <c r="N291" s="14"/>
      <c r="O291" s="14"/>
      <c r="P291" s="14"/>
      <c r="Q291" s="14"/>
      <c r="R291" s="14"/>
      <c r="S291" s="14"/>
      <c r="T291" s="14"/>
      <c r="U291" s="14"/>
      <c r="V291" s="14"/>
      <c r="W291" s="14"/>
      <c r="X291" s="14"/>
      <c r="Y291" s="14"/>
      <c r="Z291" s="14"/>
      <c r="AA291" s="15"/>
      <c r="AB291" s="3"/>
      <c r="AC291" s="3"/>
      <c r="AD291" s="3"/>
      <c r="AE291" s="3"/>
      <c r="AF291" s="3"/>
      <c r="AG291" s="3"/>
      <c r="AH291" s="3"/>
      <c r="AI291" s="3"/>
      <c r="AJ291" s="3"/>
      <c r="AK291" s="3"/>
      <c r="AL291" s="3"/>
      <c r="AM291" s="3"/>
      <c r="AN291" s="3"/>
      <c r="AO291" s="3"/>
    </row>
    <row r="292" spans="2:41" s="171" customFormat="1" x14ac:dyDescent="0.25">
      <c r="B292" s="13"/>
      <c r="C292" s="14"/>
      <c r="D292" s="60"/>
      <c r="E292" s="56"/>
      <c r="F292" s="56"/>
      <c r="G292" s="14"/>
      <c r="H292" s="56"/>
      <c r="I292" s="14"/>
      <c r="J292" s="14"/>
      <c r="K292" s="14"/>
      <c r="L292" s="14"/>
      <c r="M292" s="14"/>
      <c r="N292" s="14"/>
      <c r="O292" s="14"/>
      <c r="P292" s="14"/>
      <c r="Q292" s="14"/>
      <c r="R292" s="14"/>
      <c r="S292" s="14"/>
      <c r="T292" s="14"/>
      <c r="U292" s="14"/>
      <c r="V292" s="14"/>
      <c r="W292" s="14"/>
      <c r="X292" s="14"/>
      <c r="Y292" s="14"/>
      <c r="Z292" s="14"/>
      <c r="AA292" s="15"/>
      <c r="AB292" s="3"/>
      <c r="AC292" s="3"/>
      <c r="AD292" s="3"/>
      <c r="AE292" s="3"/>
      <c r="AF292" s="3"/>
      <c r="AG292" s="3"/>
      <c r="AH292" s="3"/>
      <c r="AI292" s="3"/>
      <c r="AJ292" s="3"/>
      <c r="AK292" s="3"/>
      <c r="AL292" s="3"/>
      <c r="AM292" s="3"/>
      <c r="AN292" s="3"/>
      <c r="AO292" s="3"/>
    </row>
    <row r="293" spans="2:41" s="171" customFormat="1" x14ac:dyDescent="0.25">
      <c r="B293" s="13"/>
      <c r="C293" s="14"/>
      <c r="D293" s="14"/>
      <c r="E293" s="56"/>
      <c r="F293" s="56"/>
      <c r="G293" s="14"/>
      <c r="H293" s="56"/>
      <c r="I293" s="14"/>
      <c r="J293" s="14"/>
      <c r="K293" s="14"/>
      <c r="L293" s="14"/>
      <c r="M293" s="14"/>
      <c r="N293" s="14"/>
      <c r="O293" s="14"/>
      <c r="P293" s="14"/>
      <c r="Q293" s="14"/>
      <c r="R293" s="14"/>
      <c r="S293" s="14"/>
      <c r="T293" s="14"/>
      <c r="U293" s="14"/>
      <c r="V293" s="14"/>
      <c r="W293" s="14"/>
      <c r="X293" s="14"/>
      <c r="Y293" s="14"/>
      <c r="Z293" s="14"/>
      <c r="AA293" s="15"/>
      <c r="AB293" s="3"/>
      <c r="AC293" s="3"/>
      <c r="AD293" s="3"/>
      <c r="AE293" s="3"/>
      <c r="AF293" s="3"/>
      <c r="AG293" s="3"/>
      <c r="AH293" s="3"/>
      <c r="AI293" s="3"/>
      <c r="AJ293" s="3"/>
      <c r="AK293" s="3"/>
      <c r="AL293" s="3"/>
      <c r="AM293" s="3"/>
      <c r="AN293" s="3"/>
      <c r="AO293" s="3"/>
    </row>
    <row r="294" spans="2:41" s="171" customFormat="1" x14ac:dyDescent="0.25">
      <c r="B294" s="13"/>
      <c r="C294" s="14"/>
      <c r="D294" s="60"/>
      <c r="E294" s="56"/>
      <c r="F294" s="56"/>
      <c r="G294" s="14"/>
      <c r="H294" s="14"/>
      <c r="I294" s="14"/>
      <c r="J294" s="14"/>
      <c r="K294" s="14"/>
      <c r="L294" s="14"/>
      <c r="M294" s="14"/>
      <c r="N294" s="14"/>
      <c r="O294" s="14"/>
      <c r="P294" s="14"/>
      <c r="Q294" s="14"/>
      <c r="R294" s="14"/>
      <c r="S294" s="14"/>
      <c r="T294" s="14"/>
      <c r="U294" s="14"/>
      <c r="V294" s="14"/>
      <c r="W294" s="14"/>
      <c r="X294" s="14"/>
      <c r="Y294" s="14"/>
      <c r="Z294" s="14"/>
      <c r="AA294" s="15"/>
      <c r="AB294" s="3"/>
      <c r="AC294" s="3"/>
      <c r="AD294" s="3"/>
      <c r="AE294" s="3"/>
      <c r="AF294" s="3"/>
      <c r="AG294" s="3"/>
      <c r="AH294" s="3"/>
      <c r="AI294" s="3"/>
      <c r="AJ294" s="3"/>
      <c r="AK294" s="3"/>
      <c r="AL294" s="3"/>
      <c r="AM294" s="3"/>
      <c r="AN294" s="3"/>
      <c r="AO294" s="3"/>
    </row>
    <row r="295" spans="2:41" s="171" customFormat="1" x14ac:dyDescent="0.25">
      <c r="B295" s="13"/>
      <c r="C295" s="14"/>
      <c r="D295" s="60"/>
      <c r="E295" s="56"/>
      <c r="F295" s="56"/>
      <c r="G295" s="14"/>
      <c r="H295" s="56"/>
      <c r="I295" s="14"/>
      <c r="J295" s="14"/>
      <c r="K295" s="14"/>
      <c r="L295" s="14"/>
      <c r="M295" s="14"/>
      <c r="N295" s="14"/>
      <c r="O295" s="14"/>
      <c r="P295" s="14"/>
      <c r="Q295" s="14"/>
      <c r="R295" s="14"/>
      <c r="S295" s="14"/>
      <c r="T295" s="14"/>
      <c r="U295" s="14"/>
      <c r="V295" s="14"/>
      <c r="W295" s="14"/>
      <c r="X295" s="14"/>
      <c r="Y295" s="14"/>
      <c r="Z295" s="14"/>
      <c r="AA295" s="15"/>
      <c r="AB295" s="3"/>
      <c r="AC295" s="3"/>
      <c r="AD295" s="3"/>
      <c r="AE295" s="3"/>
      <c r="AF295" s="3"/>
      <c r="AG295" s="3"/>
      <c r="AH295" s="3"/>
      <c r="AI295" s="3"/>
      <c r="AJ295" s="3"/>
      <c r="AK295" s="3"/>
      <c r="AL295" s="3"/>
      <c r="AM295" s="3"/>
      <c r="AN295" s="3"/>
      <c r="AO295" s="3"/>
    </row>
    <row r="296" spans="2:41" s="171" customFormat="1" ht="18.75" x14ac:dyDescent="0.3">
      <c r="B296" s="67"/>
      <c r="C296" s="14"/>
      <c r="D296" s="60"/>
      <c r="E296" s="56"/>
      <c r="F296" s="56"/>
      <c r="G296" s="14"/>
      <c r="H296" s="56"/>
      <c r="I296" s="74"/>
      <c r="J296" s="14"/>
      <c r="K296" s="14"/>
      <c r="L296" s="14"/>
      <c r="M296" s="14"/>
      <c r="N296" s="14"/>
      <c r="O296" s="14"/>
      <c r="P296" s="14"/>
      <c r="Q296" s="14"/>
      <c r="R296" s="14"/>
      <c r="S296" s="14"/>
      <c r="T296" s="14"/>
      <c r="U296" s="14"/>
      <c r="V296" s="14"/>
      <c r="W296" s="14"/>
      <c r="X296" s="14"/>
      <c r="Y296" s="14"/>
      <c r="Z296" s="14"/>
      <c r="AA296" s="15"/>
      <c r="AB296" s="3"/>
      <c r="AC296" s="3"/>
      <c r="AD296" s="3"/>
      <c r="AE296" s="3"/>
      <c r="AF296" s="3"/>
      <c r="AG296" s="3"/>
      <c r="AH296" s="3"/>
      <c r="AI296" s="3"/>
      <c r="AJ296" s="3"/>
      <c r="AK296" s="3"/>
      <c r="AL296" s="3"/>
      <c r="AM296" s="3"/>
      <c r="AN296" s="3"/>
      <c r="AO296" s="3"/>
    </row>
    <row r="297" spans="2:41" s="171" customFormat="1" x14ac:dyDescent="0.25">
      <c r="B297" s="13"/>
      <c r="C297" s="14"/>
      <c r="D297" s="60"/>
      <c r="E297" s="56"/>
      <c r="F297" s="56"/>
      <c r="G297" s="14"/>
      <c r="H297" s="56"/>
      <c r="I297" s="14"/>
      <c r="J297" s="14"/>
      <c r="K297" s="14"/>
      <c r="L297" s="14"/>
      <c r="M297" s="14"/>
      <c r="N297" s="14"/>
      <c r="O297" s="14"/>
      <c r="P297" s="14"/>
      <c r="Q297" s="14"/>
      <c r="R297" s="14"/>
      <c r="S297" s="14"/>
      <c r="T297" s="14"/>
      <c r="U297" s="14"/>
      <c r="V297" s="14"/>
      <c r="W297" s="14"/>
      <c r="X297" s="14"/>
      <c r="Y297" s="14"/>
      <c r="Z297" s="14"/>
      <c r="AA297" s="15"/>
      <c r="AB297" s="3"/>
      <c r="AC297" s="3"/>
      <c r="AD297" s="3"/>
      <c r="AE297" s="3"/>
      <c r="AF297" s="3"/>
      <c r="AG297" s="3"/>
      <c r="AH297" s="3"/>
      <c r="AI297" s="3"/>
      <c r="AJ297" s="3"/>
      <c r="AK297" s="3"/>
      <c r="AL297" s="3"/>
      <c r="AM297" s="3"/>
      <c r="AN297" s="3"/>
      <c r="AO297" s="3"/>
    </row>
    <row r="298" spans="2:41" s="171" customFormat="1" x14ac:dyDescent="0.25">
      <c r="B298" s="13"/>
      <c r="C298" s="56"/>
      <c r="D298" s="60"/>
      <c r="E298" s="56"/>
      <c r="F298" s="56"/>
      <c r="G298" s="56"/>
      <c r="H298" s="56"/>
      <c r="I298" s="14"/>
      <c r="J298" s="14"/>
      <c r="K298" s="14"/>
      <c r="L298" s="14"/>
      <c r="M298" s="14"/>
      <c r="N298" s="14"/>
      <c r="O298" s="14"/>
      <c r="P298" s="14"/>
      <c r="Q298" s="14"/>
      <c r="R298" s="14"/>
      <c r="S298" s="14"/>
      <c r="T298" s="14"/>
      <c r="U298" s="14"/>
      <c r="V298" s="14"/>
      <c r="W298" s="14"/>
      <c r="X298" s="14"/>
      <c r="Y298" s="14"/>
      <c r="Z298" s="14"/>
      <c r="AA298" s="15"/>
      <c r="AB298" s="3"/>
      <c r="AC298" s="3"/>
      <c r="AD298" s="3"/>
      <c r="AE298" s="3"/>
      <c r="AF298" s="3"/>
      <c r="AG298" s="3"/>
      <c r="AH298" s="3"/>
      <c r="AI298" s="3"/>
      <c r="AJ298" s="3"/>
      <c r="AK298" s="3"/>
      <c r="AL298" s="3"/>
      <c r="AM298" s="3"/>
      <c r="AN298" s="3"/>
      <c r="AO298" s="3"/>
    </row>
    <row r="299" spans="2:41" s="171" customFormat="1" x14ac:dyDescent="0.25">
      <c r="B299" s="13"/>
      <c r="C299" s="14"/>
      <c r="D299" s="60"/>
      <c r="E299" s="56"/>
      <c r="F299" s="56"/>
      <c r="G299" s="14"/>
      <c r="H299" s="56"/>
      <c r="I299" s="14"/>
      <c r="J299" s="14"/>
      <c r="K299" s="14"/>
      <c r="L299" s="14"/>
      <c r="M299" s="14"/>
      <c r="N299" s="14"/>
      <c r="O299" s="14"/>
      <c r="P299" s="14"/>
      <c r="Q299" s="14"/>
      <c r="R299" s="14"/>
      <c r="S299" s="14"/>
      <c r="T299" s="14"/>
      <c r="U299" s="14"/>
      <c r="V299" s="14"/>
      <c r="W299" s="14"/>
      <c r="X299" s="14"/>
      <c r="Y299" s="14"/>
      <c r="Z299" s="14"/>
      <c r="AA299" s="15"/>
      <c r="AB299" s="3"/>
      <c r="AC299" s="3"/>
      <c r="AD299" s="3"/>
      <c r="AE299" s="3"/>
      <c r="AF299" s="3"/>
      <c r="AG299" s="3"/>
      <c r="AH299" s="3"/>
      <c r="AI299" s="3"/>
      <c r="AJ299" s="3"/>
      <c r="AK299" s="3"/>
      <c r="AL299" s="3"/>
      <c r="AM299" s="3"/>
      <c r="AN299" s="3"/>
      <c r="AO299" s="3"/>
    </row>
    <row r="300" spans="2:41" s="171" customFormat="1" x14ac:dyDescent="0.25">
      <c r="B300" s="13"/>
      <c r="C300" s="14"/>
      <c r="D300" s="14"/>
      <c r="E300" s="56"/>
      <c r="F300" s="56"/>
      <c r="G300" s="14"/>
      <c r="H300" s="56"/>
      <c r="I300" s="14"/>
      <c r="J300" s="14"/>
      <c r="K300" s="14"/>
      <c r="L300" s="14"/>
      <c r="M300" s="14"/>
      <c r="N300" s="14"/>
      <c r="O300" s="14"/>
      <c r="P300" s="14"/>
      <c r="Q300" s="14"/>
      <c r="R300" s="14"/>
      <c r="S300" s="14"/>
      <c r="T300" s="14"/>
      <c r="U300" s="14"/>
      <c r="V300" s="14"/>
      <c r="W300" s="14"/>
      <c r="X300" s="14"/>
      <c r="Y300" s="14"/>
      <c r="Z300" s="14"/>
      <c r="AA300" s="15"/>
      <c r="AB300" s="3"/>
      <c r="AC300" s="3"/>
      <c r="AD300" s="3"/>
      <c r="AE300" s="3"/>
      <c r="AF300" s="3"/>
      <c r="AG300" s="3"/>
      <c r="AH300" s="3"/>
      <c r="AI300" s="3"/>
      <c r="AJ300" s="3"/>
      <c r="AK300" s="3"/>
      <c r="AL300" s="3"/>
      <c r="AM300" s="3"/>
      <c r="AN300" s="3"/>
      <c r="AO300" s="3"/>
    </row>
    <row r="301" spans="2:41" s="171" customFormat="1" x14ac:dyDescent="0.25">
      <c r="B301" s="13"/>
      <c r="C301" s="14"/>
      <c r="D301" s="60"/>
      <c r="E301" s="56"/>
      <c r="F301" s="56"/>
      <c r="G301" s="14"/>
      <c r="H301" s="14"/>
      <c r="I301" s="14"/>
      <c r="J301" s="14"/>
      <c r="K301" s="14"/>
      <c r="L301" s="14"/>
      <c r="M301" s="14"/>
      <c r="N301" s="14"/>
      <c r="O301" s="14"/>
      <c r="P301" s="14"/>
      <c r="Q301" s="14"/>
      <c r="R301" s="14"/>
      <c r="S301" s="14"/>
      <c r="T301" s="14"/>
      <c r="U301" s="14"/>
      <c r="V301" s="14"/>
      <c r="W301" s="14"/>
      <c r="X301" s="14"/>
      <c r="Y301" s="14"/>
      <c r="Z301" s="14"/>
      <c r="AA301" s="15"/>
      <c r="AB301" s="3"/>
      <c r="AC301" s="3"/>
      <c r="AD301" s="3"/>
      <c r="AE301" s="3"/>
      <c r="AF301" s="3"/>
      <c r="AG301" s="3"/>
      <c r="AH301" s="3"/>
      <c r="AI301" s="3"/>
      <c r="AJ301" s="3"/>
      <c r="AK301" s="3"/>
      <c r="AL301" s="3"/>
      <c r="AM301" s="3"/>
      <c r="AN301" s="3"/>
      <c r="AO301" s="3"/>
    </row>
    <row r="302" spans="2:41" s="171" customFormat="1" x14ac:dyDescent="0.25">
      <c r="B302" s="13"/>
      <c r="C302" s="14"/>
      <c r="D302" s="60"/>
      <c r="E302" s="56"/>
      <c r="F302" s="56"/>
      <c r="G302" s="14"/>
      <c r="H302" s="56"/>
      <c r="I302" s="14"/>
      <c r="J302" s="14"/>
      <c r="K302" s="14"/>
      <c r="L302" s="14"/>
      <c r="M302" s="14"/>
      <c r="N302" s="14"/>
      <c r="O302" s="14"/>
      <c r="P302" s="14"/>
      <c r="Q302" s="14"/>
      <c r="R302" s="14"/>
      <c r="S302" s="14"/>
      <c r="T302" s="14"/>
      <c r="U302" s="14"/>
      <c r="V302" s="14"/>
      <c r="W302" s="14"/>
      <c r="X302" s="14"/>
      <c r="Y302" s="14"/>
      <c r="Z302" s="14"/>
      <c r="AA302" s="15"/>
      <c r="AB302" s="3"/>
      <c r="AC302" s="3"/>
      <c r="AD302" s="3"/>
      <c r="AE302" s="3"/>
      <c r="AF302" s="3"/>
      <c r="AG302" s="3"/>
      <c r="AH302" s="3"/>
      <c r="AI302" s="3"/>
      <c r="AJ302" s="3"/>
      <c r="AK302" s="3"/>
      <c r="AL302" s="3"/>
      <c r="AM302" s="3"/>
      <c r="AN302" s="3"/>
      <c r="AO302" s="3"/>
    </row>
    <row r="303" spans="2:41" s="171" customFormat="1" x14ac:dyDescent="0.25">
      <c r="B303" s="13"/>
      <c r="C303" s="14"/>
      <c r="D303" s="60"/>
      <c r="E303" s="56"/>
      <c r="F303" s="56"/>
      <c r="G303" s="14"/>
      <c r="H303" s="56"/>
      <c r="I303" s="14"/>
      <c r="J303" s="14"/>
      <c r="K303" s="14"/>
      <c r="L303" s="14"/>
      <c r="M303" s="14"/>
      <c r="N303" s="14"/>
      <c r="O303" s="14"/>
      <c r="P303" s="14"/>
      <c r="Q303" s="14"/>
      <c r="R303" s="14"/>
      <c r="S303" s="14"/>
      <c r="T303" s="14"/>
      <c r="U303" s="14"/>
      <c r="V303" s="14"/>
      <c r="W303" s="14"/>
      <c r="X303" s="14"/>
      <c r="Y303" s="14"/>
      <c r="Z303" s="14"/>
      <c r="AA303" s="15"/>
      <c r="AB303" s="3"/>
      <c r="AC303" s="3"/>
      <c r="AD303" s="3"/>
      <c r="AE303" s="3"/>
      <c r="AF303" s="3"/>
      <c r="AG303" s="3"/>
      <c r="AH303" s="3"/>
      <c r="AI303" s="3"/>
      <c r="AJ303" s="3"/>
      <c r="AK303" s="3"/>
      <c r="AL303" s="3"/>
      <c r="AM303" s="3"/>
      <c r="AN303" s="3"/>
      <c r="AO303" s="3"/>
    </row>
    <row r="304" spans="2:41" s="171" customFormat="1" ht="18.75" x14ac:dyDescent="0.3">
      <c r="B304" s="67"/>
      <c r="C304" s="14"/>
      <c r="D304" s="60"/>
      <c r="E304" s="56"/>
      <c r="F304" s="56"/>
      <c r="G304" s="14"/>
      <c r="H304" s="56"/>
      <c r="I304" s="74"/>
      <c r="J304" s="14"/>
      <c r="K304" s="14"/>
      <c r="L304" s="14"/>
      <c r="M304" s="14"/>
      <c r="N304" s="14"/>
      <c r="O304" s="14"/>
      <c r="P304" s="14"/>
      <c r="Q304" s="14"/>
      <c r="R304" s="14"/>
      <c r="S304" s="14"/>
      <c r="T304" s="14"/>
      <c r="U304" s="14"/>
      <c r="V304" s="14"/>
      <c r="W304" s="14"/>
      <c r="X304" s="14"/>
      <c r="Y304" s="14"/>
      <c r="Z304" s="14"/>
      <c r="AA304" s="15"/>
      <c r="AB304" s="3"/>
      <c r="AC304" s="3"/>
      <c r="AD304" s="3"/>
      <c r="AE304" s="3"/>
      <c r="AF304" s="3"/>
      <c r="AG304" s="3"/>
      <c r="AH304" s="3"/>
      <c r="AI304" s="3"/>
      <c r="AJ304" s="3"/>
      <c r="AK304" s="3"/>
      <c r="AL304" s="3"/>
      <c r="AM304" s="3"/>
      <c r="AN304" s="3"/>
      <c r="AO304" s="3"/>
    </row>
    <row r="305" spans="2:41" s="171" customFormat="1" x14ac:dyDescent="0.25">
      <c r="B305" s="13"/>
      <c r="C305" s="56"/>
      <c r="D305" s="60"/>
      <c r="E305" s="56"/>
      <c r="F305" s="56"/>
      <c r="G305" s="56"/>
      <c r="H305" s="56"/>
      <c r="I305" s="14"/>
      <c r="J305" s="14"/>
      <c r="K305" s="14"/>
      <c r="L305" s="14"/>
      <c r="M305" s="14"/>
      <c r="N305" s="14"/>
      <c r="O305" s="14"/>
      <c r="P305" s="14"/>
      <c r="Q305" s="14"/>
      <c r="R305" s="14"/>
      <c r="S305" s="14"/>
      <c r="T305" s="14"/>
      <c r="U305" s="14"/>
      <c r="V305" s="14"/>
      <c r="W305" s="14"/>
      <c r="X305" s="14"/>
      <c r="Y305" s="14"/>
      <c r="Z305" s="14"/>
      <c r="AA305" s="15"/>
      <c r="AB305" s="3"/>
      <c r="AC305" s="3"/>
      <c r="AD305" s="3"/>
      <c r="AE305" s="3"/>
      <c r="AF305" s="3"/>
      <c r="AG305" s="3"/>
      <c r="AH305" s="3"/>
      <c r="AI305" s="3"/>
      <c r="AJ305" s="3"/>
      <c r="AK305" s="3"/>
      <c r="AL305" s="3"/>
      <c r="AM305" s="3"/>
      <c r="AN305" s="3"/>
      <c r="AO305" s="3"/>
    </row>
    <row r="306" spans="2:41" s="171" customFormat="1" x14ac:dyDescent="0.25">
      <c r="B306" s="13"/>
      <c r="C306" s="14"/>
      <c r="D306" s="60"/>
      <c r="E306" s="56"/>
      <c r="F306" s="56"/>
      <c r="G306" s="14"/>
      <c r="H306" s="56"/>
      <c r="I306" s="14"/>
      <c r="J306" s="14"/>
      <c r="K306" s="14"/>
      <c r="L306" s="14"/>
      <c r="M306" s="14"/>
      <c r="N306" s="14"/>
      <c r="O306" s="14"/>
      <c r="P306" s="14"/>
      <c r="Q306" s="14"/>
      <c r="R306" s="14"/>
      <c r="S306" s="14"/>
      <c r="T306" s="14"/>
      <c r="U306" s="14"/>
      <c r="V306" s="14"/>
      <c r="W306" s="14"/>
      <c r="X306" s="14"/>
      <c r="Y306" s="14"/>
      <c r="Z306" s="14"/>
      <c r="AA306" s="15"/>
      <c r="AB306" s="3"/>
      <c r="AC306" s="3"/>
      <c r="AD306" s="3"/>
      <c r="AE306" s="3"/>
      <c r="AF306" s="3"/>
      <c r="AG306" s="3"/>
      <c r="AH306" s="3"/>
      <c r="AI306" s="3"/>
      <c r="AJ306" s="3"/>
      <c r="AK306" s="3"/>
      <c r="AL306" s="3"/>
      <c r="AM306" s="3"/>
      <c r="AN306" s="3"/>
      <c r="AO306" s="3"/>
    </row>
    <row r="307" spans="2:41" s="171" customFormat="1" x14ac:dyDescent="0.25">
      <c r="B307" s="13"/>
      <c r="C307" s="14"/>
      <c r="D307" s="14"/>
      <c r="E307" s="56"/>
      <c r="F307" s="56"/>
      <c r="G307" s="14"/>
      <c r="H307" s="56"/>
      <c r="I307" s="14"/>
      <c r="J307" s="14"/>
      <c r="K307" s="14"/>
      <c r="L307" s="14"/>
      <c r="M307" s="14"/>
      <c r="N307" s="14"/>
      <c r="O307" s="14"/>
      <c r="P307" s="14"/>
      <c r="Q307" s="14"/>
      <c r="R307" s="14"/>
      <c r="S307" s="14"/>
      <c r="T307" s="14"/>
      <c r="U307" s="14"/>
      <c r="V307" s="14"/>
      <c r="W307" s="14"/>
      <c r="X307" s="14"/>
      <c r="Y307" s="14"/>
      <c r="Z307" s="14"/>
      <c r="AA307" s="15"/>
      <c r="AB307" s="3"/>
      <c r="AC307" s="3"/>
      <c r="AD307" s="3"/>
      <c r="AE307" s="3"/>
      <c r="AF307" s="3"/>
      <c r="AG307" s="3"/>
      <c r="AH307" s="3"/>
      <c r="AI307" s="3"/>
      <c r="AJ307" s="3"/>
      <c r="AK307" s="3"/>
      <c r="AL307" s="3"/>
      <c r="AM307" s="3"/>
      <c r="AN307" s="3"/>
      <c r="AO307" s="3"/>
    </row>
    <row r="308" spans="2:41" s="171" customFormat="1" x14ac:dyDescent="0.25">
      <c r="B308" s="13"/>
      <c r="C308" s="14"/>
      <c r="D308" s="60"/>
      <c r="E308" s="56"/>
      <c r="F308" s="56"/>
      <c r="G308" s="14"/>
      <c r="H308" s="14"/>
      <c r="I308" s="14"/>
      <c r="J308" s="14"/>
      <c r="K308" s="14"/>
      <c r="L308" s="14"/>
      <c r="M308" s="14"/>
      <c r="N308" s="14"/>
      <c r="O308" s="14"/>
      <c r="P308" s="14"/>
      <c r="Q308" s="14"/>
      <c r="R308" s="14"/>
      <c r="S308" s="14"/>
      <c r="T308" s="14"/>
      <c r="U308" s="14"/>
      <c r="V308" s="14"/>
      <c r="W308" s="14"/>
      <c r="X308" s="14"/>
      <c r="Y308" s="14"/>
      <c r="Z308" s="14"/>
      <c r="AA308" s="15"/>
      <c r="AB308" s="3"/>
      <c r="AC308" s="3"/>
      <c r="AD308" s="3"/>
      <c r="AE308" s="3"/>
      <c r="AF308" s="3"/>
      <c r="AG308" s="3"/>
      <c r="AH308" s="3"/>
      <c r="AI308" s="3"/>
      <c r="AJ308" s="3"/>
      <c r="AK308" s="3"/>
      <c r="AL308" s="3"/>
      <c r="AM308" s="3"/>
      <c r="AN308" s="3"/>
      <c r="AO308" s="3"/>
    </row>
    <row r="309" spans="2:41" s="171" customFormat="1" x14ac:dyDescent="0.25">
      <c r="B309" s="13"/>
      <c r="C309" s="14"/>
      <c r="D309" s="60"/>
      <c r="E309" s="56"/>
      <c r="F309" s="56"/>
      <c r="G309" s="14"/>
      <c r="H309" s="56"/>
      <c r="I309" s="14"/>
      <c r="J309" s="14"/>
      <c r="K309" s="14"/>
      <c r="L309" s="14"/>
      <c r="M309" s="14"/>
      <c r="N309" s="14"/>
      <c r="O309" s="14"/>
      <c r="P309" s="14"/>
      <c r="Q309" s="14"/>
      <c r="R309" s="14"/>
      <c r="S309" s="14"/>
      <c r="T309" s="14"/>
      <c r="U309" s="14"/>
      <c r="V309" s="14"/>
      <c r="W309" s="14"/>
      <c r="X309" s="14"/>
      <c r="Y309" s="14"/>
      <c r="Z309" s="14"/>
      <c r="AA309" s="15"/>
      <c r="AB309" s="3"/>
      <c r="AC309" s="3"/>
      <c r="AD309" s="3"/>
      <c r="AE309" s="3"/>
      <c r="AF309" s="3"/>
      <c r="AG309" s="3"/>
      <c r="AH309" s="3"/>
      <c r="AI309" s="3"/>
      <c r="AJ309" s="3"/>
      <c r="AK309" s="3"/>
      <c r="AL309" s="3"/>
      <c r="AM309" s="3"/>
      <c r="AN309" s="3"/>
      <c r="AO309" s="3"/>
    </row>
    <row r="310" spans="2:41" s="171" customFormat="1" x14ac:dyDescent="0.25">
      <c r="B310" s="13"/>
      <c r="C310" s="14"/>
      <c r="D310" s="60"/>
      <c r="E310" s="56"/>
      <c r="F310" s="56"/>
      <c r="G310" s="14"/>
      <c r="H310" s="56"/>
      <c r="I310" s="14"/>
      <c r="J310" s="14"/>
      <c r="K310" s="14"/>
      <c r="L310" s="14"/>
      <c r="M310" s="14"/>
      <c r="N310" s="14"/>
      <c r="O310" s="14"/>
      <c r="P310" s="14"/>
      <c r="Q310" s="14"/>
      <c r="R310" s="14"/>
      <c r="S310" s="14"/>
      <c r="T310" s="14"/>
      <c r="U310" s="14"/>
      <c r="V310" s="14"/>
      <c r="W310" s="14"/>
      <c r="X310" s="14"/>
      <c r="Y310" s="14"/>
      <c r="Z310" s="14"/>
      <c r="AA310" s="15"/>
      <c r="AB310" s="3"/>
      <c r="AC310" s="3"/>
      <c r="AD310" s="3"/>
      <c r="AE310" s="3"/>
      <c r="AF310" s="3"/>
      <c r="AG310" s="3"/>
      <c r="AH310" s="3"/>
      <c r="AI310" s="3"/>
      <c r="AJ310" s="3"/>
      <c r="AK310" s="3"/>
      <c r="AL310" s="3"/>
      <c r="AM310" s="3"/>
      <c r="AN310" s="3"/>
      <c r="AO310" s="3"/>
    </row>
    <row r="311" spans="2:41" s="171" customFormat="1" x14ac:dyDescent="0.25">
      <c r="B311" s="13"/>
      <c r="C311" s="14"/>
      <c r="D311" s="60"/>
      <c r="E311" s="56"/>
      <c r="F311" s="56"/>
      <c r="G311" s="14"/>
      <c r="H311" s="56"/>
      <c r="I311" s="14"/>
      <c r="J311" s="14"/>
      <c r="K311" s="14"/>
      <c r="L311" s="14"/>
      <c r="M311" s="14"/>
      <c r="N311" s="14"/>
      <c r="O311" s="14"/>
      <c r="P311" s="14"/>
      <c r="Q311" s="14"/>
      <c r="R311" s="14"/>
      <c r="S311" s="14"/>
      <c r="T311" s="14"/>
      <c r="U311" s="14"/>
      <c r="V311" s="14"/>
      <c r="W311" s="14"/>
      <c r="X311" s="14"/>
      <c r="Y311" s="14"/>
      <c r="Z311" s="14"/>
      <c r="AA311" s="15"/>
      <c r="AB311" s="3"/>
      <c r="AC311" s="3"/>
      <c r="AD311" s="3"/>
      <c r="AE311" s="3"/>
      <c r="AF311" s="3"/>
      <c r="AG311" s="3"/>
      <c r="AH311" s="3"/>
      <c r="AI311" s="3"/>
      <c r="AJ311" s="3"/>
      <c r="AK311" s="3"/>
      <c r="AL311" s="3"/>
      <c r="AM311" s="3"/>
      <c r="AN311" s="3"/>
      <c r="AO311" s="3"/>
    </row>
    <row r="312" spans="2:41" s="171" customFormat="1" ht="18.75" x14ac:dyDescent="0.3">
      <c r="B312" s="67"/>
      <c r="C312" s="56"/>
      <c r="D312" s="60"/>
      <c r="E312" s="56"/>
      <c r="F312" s="56"/>
      <c r="G312" s="56"/>
      <c r="H312" s="56"/>
      <c r="I312" s="74"/>
      <c r="J312" s="14"/>
      <c r="K312" s="14"/>
      <c r="L312" s="14"/>
      <c r="M312" s="14"/>
      <c r="N312" s="14"/>
      <c r="O312" s="14"/>
      <c r="P312" s="14"/>
      <c r="Q312" s="14"/>
      <c r="R312" s="14"/>
      <c r="S312" s="14"/>
      <c r="T312" s="14"/>
      <c r="U312" s="14"/>
      <c r="V312" s="14"/>
      <c r="W312" s="14"/>
      <c r="X312" s="14"/>
      <c r="Y312" s="14"/>
      <c r="Z312" s="14"/>
      <c r="AA312" s="15"/>
      <c r="AB312" s="3"/>
      <c r="AC312" s="3"/>
      <c r="AD312" s="3"/>
      <c r="AE312" s="3"/>
      <c r="AF312" s="3"/>
      <c r="AG312" s="3"/>
      <c r="AH312" s="3"/>
      <c r="AI312" s="3"/>
      <c r="AJ312" s="3"/>
      <c r="AK312" s="3"/>
      <c r="AL312" s="3"/>
      <c r="AM312" s="3"/>
      <c r="AN312" s="3"/>
      <c r="AO312" s="3"/>
    </row>
    <row r="313" spans="2:41" s="171" customFormat="1" x14ac:dyDescent="0.25">
      <c r="B313" s="13"/>
      <c r="C313" s="14"/>
      <c r="D313" s="60"/>
      <c r="E313" s="56"/>
      <c r="F313" s="56"/>
      <c r="G313" s="14"/>
      <c r="H313" s="56"/>
      <c r="I313" s="14"/>
      <c r="J313" s="14"/>
      <c r="K313" s="14"/>
      <c r="L313" s="14"/>
      <c r="M313" s="14"/>
      <c r="N313" s="14"/>
      <c r="O313" s="14"/>
      <c r="P313" s="14"/>
      <c r="Q313" s="14"/>
      <c r="R313" s="14"/>
      <c r="S313" s="14"/>
      <c r="T313" s="14"/>
      <c r="U313" s="14"/>
      <c r="V313" s="14"/>
      <c r="W313" s="14"/>
      <c r="X313" s="14"/>
      <c r="Y313" s="14"/>
      <c r="Z313" s="14"/>
      <c r="AA313" s="15"/>
      <c r="AB313" s="3"/>
      <c r="AC313" s="3"/>
      <c r="AD313" s="3"/>
      <c r="AE313" s="3"/>
      <c r="AF313" s="3"/>
      <c r="AG313" s="3"/>
      <c r="AH313" s="3"/>
      <c r="AI313" s="3"/>
      <c r="AJ313" s="3"/>
      <c r="AK313" s="3"/>
      <c r="AL313" s="3"/>
      <c r="AM313" s="3"/>
      <c r="AN313" s="3"/>
      <c r="AO313" s="3"/>
    </row>
    <row r="314" spans="2:41" s="171" customFormat="1" x14ac:dyDescent="0.25">
      <c r="B314" s="13"/>
      <c r="C314" s="14"/>
      <c r="D314" s="14"/>
      <c r="E314" s="56"/>
      <c r="F314" s="56"/>
      <c r="G314" s="14"/>
      <c r="H314" s="56"/>
      <c r="I314" s="14"/>
      <c r="J314" s="14"/>
      <c r="K314" s="14"/>
      <c r="L314" s="14"/>
      <c r="M314" s="14"/>
      <c r="N314" s="14"/>
      <c r="O314" s="14"/>
      <c r="P314" s="14"/>
      <c r="Q314" s="14"/>
      <c r="R314" s="14"/>
      <c r="S314" s="14"/>
      <c r="T314" s="14"/>
      <c r="U314" s="14"/>
      <c r="V314" s="14"/>
      <c r="W314" s="14"/>
      <c r="X314" s="14"/>
      <c r="Y314" s="14"/>
      <c r="Z314" s="14"/>
      <c r="AA314" s="15"/>
      <c r="AB314" s="3"/>
      <c r="AC314" s="3"/>
      <c r="AD314" s="3"/>
      <c r="AE314" s="3"/>
      <c r="AF314" s="3"/>
      <c r="AG314" s="3"/>
      <c r="AH314" s="3"/>
      <c r="AI314" s="3"/>
      <c r="AJ314" s="3"/>
      <c r="AK314" s="3"/>
      <c r="AL314" s="3"/>
      <c r="AM314" s="3"/>
      <c r="AN314" s="3"/>
      <c r="AO314" s="3"/>
    </row>
    <row r="315" spans="2:41" s="171" customFormat="1" x14ac:dyDescent="0.25">
      <c r="B315" s="13"/>
      <c r="C315" s="14"/>
      <c r="D315" s="60"/>
      <c r="E315" s="56"/>
      <c r="F315" s="56"/>
      <c r="G315" s="14"/>
      <c r="H315" s="14"/>
      <c r="I315" s="14"/>
      <c r="J315" s="14"/>
      <c r="K315" s="14"/>
      <c r="L315" s="14"/>
      <c r="M315" s="14"/>
      <c r="N315" s="14"/>
      <c r="O315" s="14"/>
      <c r="P315" s="14"/>
      <c r="Q315" s="14"/>
      <c r="R315" s="14"/>
      <c r="S315" s="14"/>
      <c r="T315" s="14"/>
      <c r="U315" s="14"/>
      <c r="V315" s="14"/>
      <c r="W315" s="14"/>
      <c r="X315" s="14"/>
      <c r="Y315" s="14"/>
      <c r="Z315" s="14"/>
      <c r="AA315" s="15"/>
      <c r="AB315" s="3"/>
      <c r="AC315" s="3"/>
      <c r="AD315" s="3"/>
      <c r="AE315" s="3"/>
      <c r="AF315" s="3"/>
      <c r="AG315" s="3"/>
      <c r="AH315" s="3"/>
      <c r="AI315" s="3"/>
      <c r="AJ315" s="3"/>
      <c r="AK315" s="3"/>
      <c r="AL315" s="3"/>
      <c r="AM315" s="3"/>
      <c r="AN315" s="3"/>
      <c r="AO315" s="3"/>
    </row>
    <row r="316" spans="2:41" s="171" customFormat="1" x14ac:dyDescent="0.25">
      <c r="B316" s="13"/>
      <c r="C316" s="14"/>
      <c r="D316" s="60"/>
      <c r="E316" s="56"/>
      <c r="F316" s="56"/>
      <c r="G316" s="14"/>
      <c r="H316" s="56"/>
      <c r="I316" s="14"/>
      <c r="J316" s="14"/>
      <c r="K316" s="14"/>
      <c r="L316" s="14"/>
      <c r="M316" s="14"/>
      <c r="N316" s="14"/>
      <c r="O316" s="14"/>
      <c r="P316" s="14"/>
      <c r="Q316" s="14"/>
      <c r="R316" s="14"/>
      <c r="S316" s="14"/>
      <c r="T316" s="14"/>
      <c r="U316" s="14"/>
      <c r="V316" s="14"/>
      <c r="W316" s="14"/>
      <c r="X316" s="14"/>
      <c r="Y316" s="14"/>
      <c r="Z316" s="14"/>
      <c r="AA316" s="15"/>
      <c r="AB316" s="3"/>
      <c r="AC316" s="3"/>
      <c r="AD316" s="3"/>
      <c r="AE316" s="3"/>
      <c r="AF316" s="3"/>
      <c r="AG316" s="3"/>
      <c r="AH316" s="3"/>
      <c r="AI316" s="3"/>
      <c r="AJ316" s="3"/>
      <c r="AK316" s="3"/>
      <c r="AL316" s="3"/>
      <c r="AM316" s="3"/>
      <c r="AN316" s="3"/>
      <c r="AO316" s="3"/>
    </row>
    <row r="317" spans="2:41" s="171" customFormat="1" x14ac:dyDescent="0.25">
      <c r="B317" s="13"/>
      <c r="C317" s="14"/>
      <c r="D317" s="60"/>
      <c r="E317" s="56"/>
      <c r="F317" s="56"/>
      <c r="G317" s="14"/>
      <c r="H317" s="56"/>
      <c r="I317" s="14"/>
      <c r="J317" s="14"/>
      <c r="K317" s="14"/>
      <c r="L317" s="14"/>
      <c r="M317" s="14"/>
      <c r="N317" s="14"/>
      <c r="O317" s="14"/>
      <c r="P317" s="14"/>
      <c r="Q317" s="14"/>
      <c r="R317" s="14"/>
      <c r="S317" s="14"/>
      <c r="T317" s="14"/>
      <c r="U317" s="14"/>
      <c r="V317" s="14"/>
      <c r="W317" s="14"/>
      <c r="X317" s="14"/>
      <c r="Y317" s="14"/>
      <c r="Z317" s="14"/>
      <c r="AA317" s="15"/>
      <c r="AB317" s="3"/>
      <c r="AC317" s="3"/>
      <c r="AD317" s="3"/>
      <c r="AE317" s="3"/>
      <c r="AF317" s="3"/>
      <c r="AG317" s="3"/>
      <c r="AH317" s="3"/>
      <c r="AI317" s="3"/>
      <c r="AJ317" s="3"/>
      <c r="AK317" s="3"/>
      <c r="AL317" s="3"/>
      <c r="AM317" s="3"/>
      <c r="AN317" s="3"/>
      <c r="AO317" s="3"/>
    </row>
    <row r="318" spans="2:41" s="171" customFormat="1" x14ac:dyDescent="0.25">
      <c r="B318" s="13"/>
      <c r="C318" s="14"/>
      <c r="D318" s="60"/>
      <c r="E318" s="56"/>
      <c r="F318" s="56"/>
      <c r="G318" s="14"/>
      <c r="H318" s="56"/>
      <c r="I318" s="14"/>
      <c r="J318" s="14"/>
      <c r="K318" s="14"/>
      <c r="L318" s="14"/>
      <c r="M318" s="14"/>
      <c r="N318" s="14"/>
      <c r="O318" s="14"/>
      <c r="P318" s="14"/>
      <c r="Q318" s="14"/>
      <c r="R318" s="14"/>
      <c r="S318" s="14"/>
      <c r="T318" s="14"/>
      <c r="U318" s="14"/>
      <c r="V318" s="14"/>
      <c r="W318" s="14"/>
      <c r="X318" s="14"/>
      <c r="Y318" s="14"/>
      <c r="Z318" s="14"/>
      <c r="AA318" s="15"/>
      <c r="AB318" s="3"/>
      <c r="AC318" s="3"/>
      <c r="AD318" s="3"/>
      <c r="AE318" s="3"/>
      <c r="AF318" s="3"/>
      <c r="AG318" s="3"/>
      <c r="AH318" s="3"/>
      <c r="AI318" s="3"/>
      <c r="AJ318" s="3"/>
      <c r="AK318" s="3"/>
      <c r="AL318" s="3"/>
      <c r="AM318" s="3"/>
      <c r="AN318" s="3"/>
      <c r="AO318" s="3"/>
    </row>
    <row r="319" spans="2:41" s="171" customFormat="1" x14ac:dyDescent="0.25">
      <c r="B319" s="13"/>
      <c r="C319" s="56"/>
      <c r="D319" s="60"/>
      <c r="E319" s="56"/>
      <c r="F319" s="56"/>
      <c r="G319" s="56"/>
      <c r="H319" s="56"/>
      <c r="I319" s="14"/>
      <c r="J319" s="14"/>
      <c r="K319" s="14"/>
      <c r="L319" s="14"/>
      <c r="M319" s="14"/>
      <c r="N319" s="14"/>
      <c r="O319" s="14"/>
      <c r="P319" s="14"/>
      <c r="Q319" s="14"/>
      <c r="R319" s="14"/>
      <c r="S319" s="14"/>
      <c r="T319" s="14"/>
      <c r="U319" s="14"/>
      <c r="V319" s="14"/>
      <c r="W319" s="14"/>
      <c r="X319" s="14"/>
      <c r="Y319" s="14"/>
      <c r="Z319" s="14"/>
      <c r="AA319" s="15"/>
      <c r="AB319" s="3"/>
      <c r="AC319" s="3"/>
      <c r="AD319" s="3"/>
      <c r="AE319" s="3"/>
      <c r="AF319" s="3"/>
      <c r="AG319" s="3"/>
      <c r="AH319" s="3"/>
      <c r="AI319" s="3"/>
      <c r="AJ319" s="3"/>
      <c r="AK319" s="3"/>
      <c r="AL319" s="3"/>
      <c r="AM319" s="3"/>
      <c r="AN319" s="3"/>
      <c r="AO319" s="3"/>
    </row>
    <row r="320" spans="2:41" s="171" customFormat="1" ht="18.75" x14ac:dyDescent="0.3">
      <c r="B320" s="67"/>
      <c r="C320" s="14"/>
      <c r="D320" s="60"/>
      <c r="E320" s="56"/>
      <c r="F320" s="56"/>
      <c r="G320" s="14"/>
      <c r="H320" s="56"/>
      <c r="I320" s="74"/>
      <c r="J320" s="14"/>
      <c r="K320" s="14"/>
      <c r="L320" s="14"/>
      <c r="M320" s="14"/>
      <c r="N320" s="14"/>
      <c r="O320" s="14"/>
      <c r="P320" s="14"/>
      <c r="Q320" s="14"/>
      <c r="R320" s="14"/>
      <c r="S320" s="14"/>
      <c r="T320" s="14"/>
      <c r="U320" s="14"/>
      <c r="V320" s="14"/>
      <c r="W320" s="14"/>
      <c r="X320" s="14"/>
      <c r="Y320" s="14"/>
      <c r="Z320" s="14"/>
      <c r="AA320" s="15"/>
      <c r="AB320" s="3"/>
      <c r="AC320" s="3"/>
      <c r="AD320" s="3"/>
      <c r="AE320" s="3"/>
      <c r="AF320" s="3"/>
      <c r="AG320" s="3"/>
      <c r="AH320" s="3"/>
      <c r="AI320" s="3"/>
      <c r="AJ320" s="3"/>
      <c r="AK320" s="3"/>
      <c r="AL320" s="3"/>
      <c r="AM320" s="3"/>
      <c r="AN320" s="3"/>
      <c r="AO320" s="3"/>
    </row>
    <row r="321" spans="2:41" s="171" customFormat="1" x14ac:dyDescent="0.25">
      <c r="B321" s="13"/>
      <c r="C321" s="14"/>
      <c r="D321" s="14"/>
      <c r="E321" s="56"/>
      <c r="F321" s="56"/>
      <c r="G321" s="14"/>
      <c r="H321" s="56"/>
      <c r="I321" s="14"/>
      <c r="J321" s="14"/>
      <c r="K321" s="14"/>
      <c r="L321" s="14"/>
      <c r="M321" s="14"/>
      <c r="N321" s="14"/>
      <c r="O321" s="14"/>
      <c r="P321" s="14"/>
      <c r="Q321" s="14"/>
      <c r="R321" s="14"/>
      <c r="S321" s="14"/>
      <c r="T321" s="14"/>
      <c r="U321" s="14"/>
      <c r="V321" s="14"/>
      <c r="W321" s="14"/>
      <c r="X321" s="14"/>
      <c r="Y321" s="14"/>
      <c r="Z321" s="14"/>
      <c r="AA321" s="15"/>
      <c r="AB321" s="3"/>
      <c r="AC321" s="3"/>
      <c r="AD321" s="3"/>
      <c r="AE321" s="3"/>
      <c r="AF321" s="3"/>
      <c r="AG321" s="3"/>
      <c r="AH321" s="3"/>
      <c r="AI321" s="3"/>
      <c r="AJ321" s="3"/>
      <c r="AK321" s="3"/>
      <c r="AL321" s="3"/>
      <c r="AM321" s="3"/>
      <c r="AN321" s="3"/>
      <c r="AO321" s="3"/>
    </row>
    <row r="322" spans="2:41" s="171" customFormat="1" x14ac:dyDescent="0.25">
      <c r="B322" s="13"/>
      <c r="C322" s="14"/>
      <c r="D322" s="60"/>
      <c r="E322" s="56"/>
      <c r="F322" s="56"/>
      <c r="G322" s="14"/>
      <c r="H322" s="14"/>
      <c r="I322" s="14"/>
      <c r="J322" s="14"/>
      <c r="K322" s="14"/>
      <c r="L322" s="14"/>
      <c r="M322" s="14"/>
      <c r="N322" s="14"/>
      <c r="O322" s="14"/>
      <c r="P322" s="14"/>
      <c r="Q322" s="14"/>
      <c r="R322" s="14"/>
      <c r="S322" s="14"/>
      <c r="T322" s="14"/>
      <c r="U322" s="14"/>
      <c r="V322" s="14"/>
      <c r="W322" s="14"/>
      <c r="X322" s="14"/>
      <c r="Y322" s="14"/>
      <c r="Z322" s="14"/>
      <c r="AA322" s="15"/>
      <c r="AB322" s="3"/>
      <c r="AC322" s="3"/>
      <c r="AD322" s="3"/>
      <c r="AE322" s="3"/>
      <c r="AF322" s="3"/>
      <c r="AG322" s="3"/>
      <c r="AH322" s="3"/>
      <c r="AI322" s="3"/>
      <c r="AJ322" s="3"/>
      <c r="AK322" s="3"/>
      <c r="AL322" s="3"/>
      <c r="AM322" s="3"/>
      <c r="AN322" s="3"/>
      <c r="AO322" s="3"/>
    </row>
    <row r="323" spans="2:41" s="171" customFormat="1" x14ac:dyDescent="0.25">
      <c r="B323" s="13"/>
      <c r="C323" s="14"/>
      <c r="D323" s="60"/>
      <c r="E323" s="56"/>
      <c r="F323" s="56"/>
      <c r="G323" s="14"/>
      <c r="H323" s="56"/>
      <c r="I323" s="14"/>
      <c r="J323" s="14"/>
      <c r="K323" s="14"/>
      <c r="L323" s="14"/>
      <c r="M323" s="14"/>
      <c r="N323" s="14"/>
      <c r="O323" s="14"/>
      <c r="P323" s="14"/>
      <c r="Q323" s="14"/>
      <c r="R323" s="14"/>
      <c r="S323" s="14"/>
      <c r="T323" s="14"/>
      <c r="U323" s="14"/>
      <c r="V323" s="14"/>
      <c r="W323" s="14"/>
      <c r="X323" s="14"/>
      <c r="Y323" s="14"/>
      <c r="Z323" s="14"/>
      <c r="AA323" s="15"/>
      <c r="AB323" s="3"/>
      <c r="AC323" s="3"/>
      <c r="AD323" s="3"/>
      <c r="AE323" s="3"/>
      <c r="AF323" s="3"/>
      <c r="AG323" s="3"/>
      <c r="AH323" s="3"/>
      <c r="AI323" s="3"/>
      <c r="AJ323" s="3"/>
      <c r="AK323" s="3"/>
      <c r="AL323" s="3"/>
      <c r="AM323" s="3"/>
      <c r="AN323" s="3"/>
      <c r="AO323" s="3"/>
    </row>
    <row r="324" spans="2:41" s="171" customFormat="1" x14ac:dyDescent="0.25">
      <c r="B324" s="13"/>
      <c r="C324" s="14"/>
      <c r="D324" s="60"/>
      <c r="E324" s="56"/>
      <c r="F324" s="56"/>
      <c r="G324" s="14"/>
      <c r="H324" s="56"/>
      <c r="I324" s="14"/>
      <c r="J324" s="14"/>
      <c r="K324" s="14"/>
      <c r="L324" s="14"/>
      <c r="M324" s="14"/>
      <c r="N324" s="14"/>
      <c r="O324" s="14"/>
      <c r="P324" s="14"/>
      <c r="Q324" s="14"/>
      <c r="R324" s="14"/>
      <c r="S324" s="14"/>
      <c r="T324" s="14"/>
      <c r="U324" s="14"/>
      <c r="V324" s="14"/>
      <c r="W324" s="14"/>
      <c r="X324" s="14"/>
      <c r="Y324" s="14"/>
      <c r="Z324" s="14"/>
      <c r="AA324" s="15"/>
      <c r="AB324" s="3"/>
      <c r="AC324" s="3"/>
      <c r="AD324" s="3"/>
      <c r="AE324" s="3"/>
      <c r="AF324" s="3"/>
      <c r="AG324" s="3"/>
      <c r="AH324" s="3"/>
      <c r="AI324" s="3"/>
      <c r="AJ324" s="3"/>
      <c r="AK324" s="3"/>
      <c r="AL324" s="3"/>
      <c r="AM324" s="3"/>
      <c r="AN324" s="3"/>
      <c r="AO324" s="3"/>
    </row>
    <row r="325" spans="2:41" s="171" customFormat="1" x14ac:dyDescent="0.25">
      <c r="B325" s="13"/>
      <c r="C325" s="14"/>
      <c r="D325" s="60"/>
      <c r="E325" s="56"/>
      <c r="F325" s="56"/>
      <c r="G325" s="14"/>
      <c r="H325" s="56"/>
      <c r="I325" s="14"/>
      <c r="J325" s="14"/>
      <c r="K325" s="14"/>
      <c r="L325" s="14"/>
      <c r="M325" s="14"/>
      <c r="N325" s="14"/>
      <c r="O325" s="14"/>
      <c r="P325" s="14"/>
      <c r="Q325" s="14"/>
      <c r="R325" s="14"/>
      <c r="S325" s="14"/>
      <c r="T325" s="14"/>
      <c r="U325" s="14"/>
      <c r="V325" s="14"/>
      <c r="W325" s="14"/>
      <c r="X325" s="14"/>
      <c r="Y325" s="14"/>
      <c r="Z325" s="14"/>
      <c r="AA325" s="15"/>
      <c r="AB325" s="3"/>
      <c r="AC325" s="3"/>
      <c r="AD325" s="3"/>
      <c r="AE325" s="3"/>
      <c r="AF325" s="3"/>
      <c r="AG325" s="3"/>
      <c r="AH325" s="3"/>
      <c r="AI325" s="3"/>
      <c r="AJ325" s="3"/>
      <c r="AK325" s="3"/>
      <c r="AL325" s="3"/>
      <c r="AM325" s="3"/>
      <c r="AN325" s="3"/>
      <c r="AO325" s="3"/>
    </row>
    <row r="326" spans="2:41" s="171" customFormat="1" x14ac:dyDescent="0.25">
      <c r="B326" s="13"/>
      <c r="C326" s="56"/>
      <c r="D326" s="60"/>
      <c r="E326" s="56"/>
      <c r="F326" s="56"/>
      <c r="G326" s="56"/>
      <c r="H326" s="56"/>
      <c r="I326" s="14"/>
      <c r="J326" s="14"/>
      <c r="K326" s="14"/>
      <c r="L326" s="14"/>
      <c r="M326" s="14"/>
      <c r="N326" s="14"/>
      <c r="O326" s="14"/>
      <c r="P326" s="14"/>
      <c r="Q326" s="14"/>
      <c r="R326" s="14"/>
      <c r="S326" s="14"/>
      <c r="T326" s="14"/>
      <c r="U326" s="14"/>
      <c r="V326" s="14"/>
      <c r="W326" s="14"/>
      <c r="X326" s="14"/>
      <c r="Y326" s="14"/>
      <c r="Z326" s="14"/>
      <c r="AA326" s="15"/>
      <c r="AB326" s="3"/>
      <c r="AC326" s="3"/>
      <c r="AD326" s="3"/>
      <c r="AE326" s="3"/>
      <c r="AF326" s="3"/>
      <c r="AG326" s="3"/>
      <c r="AH326" s="3"/>
      <c r="AI326" s="3"/>
      <c r="AJ326" s="3"/>
      <c r="AK326" s="3"/>
      <c r="AL326" s="3"/>
      <c r="AM326" s="3"/>
      <c r="AN326" s="3"/>
      <c r="AO326" s="3"/>
    </row>
    <row r="327" spans="2:41" s="171" customFormat="1" x14ac:dyDescent="0.25">
      <c r="B327" s="13"/>
      <c r="C327" s="14"/>
      <c r="D327" s="60"/>
      <c r="E327" s="56"/>
      <c r="F327" s="56"/>
      <c r="G327" s="14"/>
      <c r="H327" s="56"/>
      <c r="I327" s="14"/>
      <c r="J327" s="14"/>
      <c r="K327" s="14"/>
      <c r="L327" s="14"/>
      <c r="M327" s="14"/>
      <c r="N327" s="14"/>
      <c r="O327" s="14"/>
      <c r="P327" s="14"/>
      <c r="Q327" s="14"/>
      <c r="R327" s="14"/>
      <c r="S327" s="14"/>
      <c r="T327" s="14"/>
      <c r="U327" s="14"/>
      <c r="V327" s="14"/>
      <c r="W327" s="14"/>
      <c r="X327" s="14"/>
      <c r="Y327" s="14"/>
      <c r="Z327" s="14"/>
      <c r="AA327" s="15"/>
      <c r="AB327" s="3"/>
      <c r="AC327" s="3"/>
      <c r="AD327" s="3"/>
      <c r="AE327" s="3"/>
      <c r="AF327" s="3"/>
      <c r="AG327" s="3"/>
      <c r="AH327" s="3"/>
      <c r="AI327" s="3"/>
      <c r="AJ327" s="3"/>
      <c r="AK327" s="3"/>
      <c r="AL327" s="3"/>
      <c r="AM327" s="3"/>
      <c r="AN327" s="3"/>
      <c r="AO327" s="3"/>
    </row>
    <row r="328" spans="2:41" s="171" customFormat="1" ht="18.75" x14ac:dyDescent="0.3">
      <c r="B328" s="67"/>
      <c r="C328" s="14"/>
      <c r="D328" s="14"/>
      <c r="E328" s="56"/>
      <c r="F328" s="56"/>
      <c r="G328" s="14"/>
      <c r="H328" s="56"/>
      <c r="I328" s="74"/>
      <c r="J328" s="14"/>
      <c r="K328" s="14"/>
      <c r="L328" s="14"/>
      <c r="M328" s="14"/>
      <c r="N328" s="14"/>
      <c r="O328" s="14"/>
      <c r="P328" s="14"/>
      <c r="Q328" s="14"/>
      <c r="R328" s="14"/>
      <c r="S328" s="14"/>
      <c r="T328" s="14"/>
      <c r="U328" s="14"/>
      <c r="V328" s="14"/>
      <c r="W328" s="14"/>
      <c r="X328" s="14"/>
      <c r="Y328" s="14"/>
      <c r="Z328" s="14"/>
      <c r="AA328" s="15"/>
      <c r="AB328" s="3"/>
      <c r="AC328" s="3"/>
      <c r="AD328" s="3"/>
      <c r="AE328" s="3"/>
      <c r="AF328" s="3"/>
      <c r="AG328" s="3"/>
      <c r="AH328" s="3"/>
      <c r="AI328" s="3"/>
      <c r="AJ328" s="3"/>
      <c r="AK328" s="3"/>
      <c r="AL328" s="3"/>
      <c r="AM328" s="3"/>
      <c r="AN328" s="3"/>
      <c r="AO328" s="3"/>
    </row>
    <row r="329" spans="2:41" s="171" customFormat="1" x14ac:dyDescent="0.25">
      <c r="B329" s="13"/>
      <c r="C329" s="14"/>
      <c r="D329" s="60"/>
      <c r="E329" s="56"/>
      <c r="F329" s="56"/>
      <c r="G329" s="14"/>
      <c r="H329" s="14"/>
      <c r="I329" s="14"/>
      <c r="J329" s="14"/>
      <c r="K329" s="14"/>
      <c r="L329" s="14"/>
      <c r="M329" s="14"/>
      <c r="N329" s="14"/>
      <c r="O329" s="14"/>
      <c r="P329" s="14"/>
      <c r="Q329" s="14"/>
      <c r="R329" s="14"/>
      <c r="S329" s="14"/>
      <c r="T329" s="14"/>
      <c r="U329" s="14"/>
      <c r="V329" s="14"/>
      <c r="W329" s="14"/>
      <c r="X329" s="14"/>
      <c r="Y329" s="14"/>
      <c r="Z329" s="14"/>
      <c r="AA329" s="15"/>
      <c r="AB329" s="3"/>
      <c r="AC329" s="3"/>
      <c r="AD329" s="3"/>
      <c r="AE329" s="3"/>
      <c r="AF329" s="3"/>
      <c r="AG329" s="3"/>
      <c r="AH329" s="3"/>
      <c r="AI329" s="3"/>
      <c r="AJ329" s="3"/>
      <c r="AK329" s="3"/>
      <c r="AL329" s="3"/>
      <c r="AM329" s="3"/>
      <c r="AN329" s="3"/>
      <c r="AO329" s="3"/>
    </row>
    <row r="330" spans="2:41" s="171" customFormat="1" x14ac:dyDescent="0.25">
      <c r="B330" s="13"/>
      <c r="C330" s="14"/>
      <c r="D330" s="60"/>
      <c r="E330" s="56"/>
      <c r="F330" s="56"/>
      <c r="G330" s="14"/>
      <c r="H330" s="56"/>
      <c r="I330" s="14"/>
      <c r="J330" s="14"/>
      <c r="K330" s="14"/>
      <c r="L330" s="14"/>
      <c r="M330" s="14"/>
      <c r="N330" s="14"/>
      <c r="O330" s="14"/>
      <c r="P330" s="14"/>
      <c r="Q330" s="14"/>
      <c r="R330" s="14"/>
      <c r="S330" s="14"/>
      <c r="T330" s="14"/>
      <c r="U330" s="14"/>
      <c r="V330" s="14"/>
      <c r="W330" s="14"/>
      <c r="X330" s="14"/>
      <c r="Y330" s="14"/>
      <c r="Z330" s="14"/>
      <c r="AA330" s="15"/>
      <c r="AB330" s="3"/>
      <c r="AC330" s="3"/>
      <c r="AD330" s="3"/>
      <c r="AE330" s="3"/>
      <c r="AF330" s="3"/>
      <c r="AG330" s="3"/>
      <c r="AH330" s="3"/>
      <c r="AI330" s="3"/>
      <c r="AJ330" s="3"/>
      <c r="AK330" s="3"/>
      <c r="AL330" s="3"/>
      <c r="AM330" s="3"/>
      <c r="AN330" s="3"/>
      <c r="AO330" s="3"/>
    </row>
    <row r="331" spans="2:41" s="171" customFormat="1" x14ac:dyDescent="0.25">
      <c r="B331" s="13"/>
      <c r="C331" s="14"/>
      <c r="D331" s="60"/>
      <c r="E331" s="56"/>
      <c r="F331" s="56"/>
      <c r="G331" s="14"/>
      <c r="H331" s="56"/>
      <c r="I331" s="14"/>
      <c r="J331" s="14"/>
      <c r="K331" s="14"/>
      <c r="L331" s="14"/>
      <c r="M331" s="14"/>
      <c r="N331" s="14"/>
      <c r="O331" s="14"/>
      <c r="P331" s="14"/>
      <c r="Q331" s="14"/>
      <c r="R331" s="14"/>
      <c r="S331" s="14"/>
      <c r="T331" s="14"/>
      <c r="U331" s="14"/>
      <c r="V331" s="14"/>
      <c r="W331" s="14"/>
      <c r="X331" s="14"/>
      <c r="Y331" s="14"/>
      <c r="Z331" s="14"/>
      <c r="AA331" s="15"/>
      <c r="AB331" s="3"/>
      <c r="AC331" s="3"/>
      <c r="AD331" s="3"/>
      <c r="AE331" s="3"/>
      <c r="AF331" s="3"/>
      <c r="AG331" s="3"/>
      <c r="AH331" s="3"/>
      <c r="AI331" s="3"/>
      <c r="AJ331" s="3"/>
      <c r="AK331" s="3"/>
      <c r="AL331" s="3"/>
      <c r="AM331" s="3"/>
      <c r="AN331" s="3"/>
      <c r="AO331" s="3"/>
    </row>
    <row r="332" spans="2:41" s="171" customFormat="1" x14ac:dyDescent="0.25">
      <c r="B332" s="13"/>
      <c r="C332" s="14"/>
      <c r="D332" s="60"/>
      <c r="E332" s="56"/>
      <c r="F332" s="56"/>
      <c r="G332" s="14"/>
      <c r="H332" s="56"/>
      <c r="I332" s="14"/>
      <c r="J332" s="14"/>
      <c r="K332" s="14"/>
      <c r="L332" s="14"/>
      <c r="M332" s="14"/>
      <c r="N332" s="14"/>
      <c r="O332" s="14"/>
      <c r="P332" s="14"/>
      <c r="Q332" s="14"/>
      <c r="R332" s="14"/>
      <c r="S332" s="14"/>
      <c r="T332" s="14"/>
      <c r="U332" s="14"/>
      <c r="V332" s="14"/>
      <c r="W332" s="14"/>
      <c r="X332" s="14"/>
      <c r="Y332" s="14"/>
      <c r="Z332" s="14"/>
      <c r="AA332" s="15"/>
      <c r="AB332" s="3"/>
      <c r="AC332" s="3"/>
      <c r="AD332" s="3"/>
      <c r="AE332" s="3"/>
      <c r="AF332" s="3"/>
      <c r="AG332" s="3"/>
      <c r="AH332" s="3"/>
      <c r="AI332" s="3"/>
      <c r="AJ332" s="3"/>
      <c r="AK332" s="3"/>
      <c r="AL332" s="3"/>
      <c r="AM332" s="3"/>
      <c r="AN332" s="3"/>
      <c r="AO332" s="3"/>
    </row>
    <row r="333" spans="2:41" s="171" customFormat="1" x14ac:dyDescent="0.25">
      <c r="B333" s="13"/>
      <c r="C333" s="56"/>
      <c r="D333" s="60"/>
      <c r="E333" s="56"/>
      <c r="F333" s="56"/>
      <c r="G333" s="56"/>
      <c r="H333" s="56"/>
      <c r="I333" s="14"/>
      <c r="J333" s="14"/>
      <c r="K333" s="14"/>
      <c r="L333" s="14"/>
      <c r="M333" s="14"/>
      <c r="N333" s="14"/>
      <c r="O333" s="14"/>
      <c r="P333" s="14"/>
      <c r="Q333" s="14"/>
      <c r="R333" s="14"/>
      <c r="S333" s="14"/>
      <c r="T333" s="14"/>
      <c r="U333" s="14"/>
      <c r="V333" s="14"/>
      <c r="W333" s="14"/>
      <c r="X333" s="14"/>
      <c r="Y333" s="14"/>
      <c r="Z333" s="14"/>
      <c r="AA333" s="15"/>
      <c r="AB333" s="3"/>
      <c r="AC333" s="3"/>
      <c r="AD333" s="3"/>
      <c r="AE333" s="3"/>
      <c r="AF333" s="3"/>
      <c r="AG333" s="3"/>
      <c r="AH333" s="3"/>
      <c r="AI333" s="3"/>
      <c r="AJ333" s="3"/>
      <c r="AK333" s="3"/>
      <c r="AL333" s="3"/>
      <c r="AM333" s="3"/>
      <c r="AN333" s="3"/>
      <c r="AO333" s="3"/>
    </row>
    <row r="334" spans="2:41" s="171" customFormat="1" x14ac:dyDescent="0.25">
      <c r="B334" s="13"/>
      <c r="C334" s="14"/>
      <c r="D334" s="60"/>
      <c r="E334" s="56"/>
      <c r="F334" s="56"/>
      <c r="G334" s="14"/>
      <c r="H334" s="56"/>
      <c r="I334" s="14"/>
      <c r="J334" s="14"/>
      <c r="K334" s="14"/>
      <c r="L334" s="14"/>
      <c r="M334" s="14"/>
      <c r="N334" s="14"/>
      <c r="O334" s="14"/>
      <c r="P334" s="14"/>
      <c r="Q334" s="14"/>
      <c r="R334" s="14"/>
      <c r="S334" s="14"/>
      <c r="T334" s="14"/>
      <c r="U334" s="14"/>
      <c r="V334" s="14"/>
      <c r="W334" s="14"/>
      <c r="X334" s="14"/>
      <c r="Y334" s="14"/>
      <c r="Z334" s="14"/>
      <c r="AA334" s="15"/>
      <c r="AB334" s="3"/>
      <c r="AC334" s="3"/>
      <c r="AD334" s="3"/>
      <c r="AE334" s="3"/>
      <c r="AF334" s="3"/>
      <c r="AG334" s="3"/>
      <c r="AH334" s="3"/>
      <c r="AI334" s="3"/>
      <c r="AJ334" s="3"/>
      <c r="AK334" s="3"/>
      <c r="AL334" s="3"/>
      <c r="AM334" s="3"/>
      <c r="AN334" s="3"/>
      <c r="AO334" s="3"/>
    </row>
    <row r="335" spans="2:41" s="171" customFormat="1" x14ac:dyDescent="0.25">
      <c r="B335" s="13"/>
      <c r="C335" s="14"/>
      <c r="D335" s="14"/>
      <c r="E335" s="56"/>
      <c r="F335" s="56"/>
      <c r="G335" s="14"/>
      <c r="H335" s="56"/>
      <c r="I335" s="14"/>
      <c r="J335" s="14"/>
      <c r="K335" s="14"/>
      <c r="L335" s="14"/>
      <c r="M335" s="14"/>
      <c r="N335" s="14"/>
      <c r="O335" s="14"/>
      <c r="P335" s="14"/>
      <c r="Q335" s="14"/>
      <c r="R335" s="14"/>
      <c r="S335" s="14"/>
      <c r="T335" s="14"/>
      <c r="U335" s="14"/>
      <c r="V335" s="14"/>
      <c r="W335" s="14"/>
      <c r="X335" s="14"/>
      <c r="Y335" s="14"/>
      <c r="Z335" s="14"/>
      <c r="AA335" s="15"/>
      <c r="AB335" s="3"/>
      <c r="AC335" s="3"/>
      <c r="AD335" s="3"/>
      <c r="AE335" s="3"/>
      <c r="AF335" s="3"/>
      <c r="AG335" s="3"/>
      <c r="AH335" s="3"/>
      <c r="AI335" s="3"/>
      <c r="AJ335" s="3"/>
      <c r="AK335" s="3"/>
      <c r="AL335" s="3"/>
      <c r="AM335" s="3"/>
      <c r="AN335" s="3"/>
      <c r="AO335" s="3"/>
    </row>
    <row r="336" spans="2:41" s="171" customFormat="1" ht="18.75" x14ac:dyDescent="0.3">
      <c r="B336" s="67"/>
      <c r="C336" s="14"/>
      <c r="D336" s="60"/>
      <c r="E336" s="56"/>
      <c r="F336" s="56"/>
      <c r="G336" s="14"/>
      <c r="H336" s="14"/>
      <c r="I336" s="74"/>
      <c r="J336" s="14"/>
      <c r="K336" s="14"/>
      <c r="L336" s="14"/>
      <c r="M336" s="14"/>
      <c r="N336" s="14"/>
      <c r="O336" s="14"/>
      <c r="P336" s="14"/>
      <c r="Q336" s="14"/>
      <c r="R336" s="14"/>
      <c r="S336" s="14"/>
      <c r="T336" s="14"/>
      <c r="U336" s="14"/>
      <c r="V336" s="14"/>
      <c r="W336" s="14"/>
      <c r="X336" s="14"/>
      <c r="Y336" s="14"/>
      <c r="Z336" s="14"/>
      <c r="AA336" s="15"/>
      <c r="AB336" s="3"/>
      <c r="AC336" s="3"/>
      <c r="AD336" s="3"/>
      <c r="AE336" s="3"/>
      <c r="AF336" s="3"/>
      <c r="AG336" s="3"/>
      <c r="AH336" s="3"/>
      <c r="AI336" s="3"/>
      <c r="AJ336" s="3"/>
      <c r="AK336" s="3"/>
      <c r="AL336" s="3"/>
      <c r="AM336" s="3"/>
      <c r="AN336" s="3"/>
      <c r="AO336" s="3"/>
    </row>
    <row r="337" spans="2:41" s="171" customFormat="1" x14ac:dyDescent="0.25">
      <c r="B337" s="13"/>
      <c r="C337" s="14"/>
      <c r="D337" s="60"/>
      <c r="E337" s="56"/>
      <c r="F337" s="56"/>
      <c r="G337" s="14"/>
      <c r="H337" s="56"/>
      <c r="I337" s="14"/>
      <c r="J337" s="14"/>
      <c r="K337" s="14"/>
      <c r="L337" s="14"/>
      <c r="M337" s="14"/>
      <c r="N337" s="14"/>
      <c r="O337" s="14"/>
      <c r="P337" s="14"/>
      <c r="Q337" s="14"/>
      <c r="R337" s="14"/>
      <c r="S337" s="14"/>
      <c r="T337" s="14"/>
      <c r="U337" s="14"/>
      <c r="V337" s="14"/>
      <c r="W337" s="14"/>
      <c r="X337" s="14"/>
      <c r="Y337" s="14"/>
      <c r="Z337" s="14"/>
      <c r="AA337" s="15"/>
      <c r="AB337" s="3"/>
      <c r="AC337" s="3"/>
      <c r="AD337" s="3"/>
      <c r="AE337" s="3"/>
      <c r="AF337" s="3"/>
      <c r="AG337" s="3"/>
      <c r="AH337" s="3"/>
      <c r="AI337" s="3"/>
      <c r="AJ337" s="3"/>
      <c r="AK337" s="3"/>
      <c r="AL337" s="3"/>
      <c r="AM337" s="3"/>
      <c r="AN337" s="3"/>
      <c r="AO337" s="3"/>
    </row>
    <row r="338" spans="2:41" s="171" customFormat="1" x14ac:dyDescent="0.25">
      <c r="B338" s="13"/>
      <c r="C338" s="14"/>
      <c r="D338" s="60"/>
      <c r="E338" s="56"/>
      <c r="F338" s="56"/>
      <c r="G338" s="14"/>
      <c r="H338" s="56"/>
      <c r="I338" s="14"/>
      <c r="J338" s="14"/>
      <c r="K338" s="14"/>
      <c r="L338" s="14"/>
      <c r="M338" s="14"/>
      <c r="N338" s="14"/>
      <c r="O338" s="14"/>
      <c r="P338" s="14"/>
      <c r="Q338" s="14"/>
      <c r="R338" s="14"/>
      <c r="S338" s="14"/>
      <c r="T338" s="14"/>
      <c r="U338" s="14"/>
      <c r="V338" s="14"/>
      <c r="W338" s="14"/>
      <c r="X338" s="14"/>
      <c r="Y338" s="14"/>
      <c r="Z338" s="14"/>
      <c r="AA338" s="15"/>
      <c r="AB338" s="3"/>
      <c r="AC338" s="3"/>
      <c r="AD338" s="3"/>
      <c r="AE338" s="3"/>
      <c r="AF338" s="3"/>
      <c r="AG338" s="3"/>
      <c r="AH338" s="3"/>
      <c r="AI338" s="3"/>
      <c r="AJ338" s="3"/>
      <c r="AK338" s="3"/>
      <c r="AL338" s="3"/>
      <c r="AM338" s="3"/>
      <c r="AN338" s="3"/>
      <c r="AO338" s="3"/>
    </row>
    <row r="339" spans="2:41" s="171" customFormat="1" x14ac:dyDescent="0.25">
      <c r="B339" s="13"/>
      <c r="C339" s="14"/>
      <c r="D339" s="60"/>
      <c r="E339" s="56"/>
      <c r="F339" s="56"/>
      <c r="G339" s="14"/>
      <c r="H339" s="56"/>
      <c r="I339" s="14"/>
      <c r="J339" s="14"/>
      <c r="K339" s="14"/>
      <c r="L339" s="14"/>
      <c r="M339" s="14"/>
      <c r="N339" s="14"/>
      <c r="O339" s="14"/>
      <c r="P339" s="14"/>
      <c r="Q339" s="14"/>
      <c r="R339" s="14"/>
      <c r="S339" s="14"/>
      <c r="T339" s="14"/>
      <c r="U339" s="14"/>
      <c r="V339" s="14"/>
      <c r="W339" s="14"/>
      <c r="X339" s="14"/>
      <c r="Y339" s="14"/>
      <c r="Z339" s="14"/>
      <c r="AA339" s="15"/>
      <c r="AB339" s="3"/>
      <c r="AC339" s="3"/>
      <c r="AD339" s="3"/>
      <c r="AE339" s="3"/>
      <c r="AF339" s="3"/>
      <c r="AG339" s="3"/>
      <c r="AH339" s="3"/>
      <c r="AI339" s="3"/>
      <c r="AJ339" s="3"/>
      <c r="AK339" s="3"/>
      <c r="AL339" s="3"/>
      <c r="AM339" s="3"/>
      <c r="AN339" s="3"/>
      <c r="AO339" s="3"/>
    </row>
    <row r="340" spans="2:41" s="171" customFormat="1" x14ac:dyDescent="0.25">
      <c r="B340" s="13"/>
      <c r="C340" s="56"/>
      <c r="D340" s="60"/>
      <c r="E340" s="56"/>
      <c r="F340" s="56"/>
      <c r="G340" s="56"/>
      <c r="H340" s="56"/>
      <c r="I340" s="14"/>
      <c r="J340" s="14"/>
      <c r="K340" s="14"/>
      <c r="L340" s="14"/>
      <c r="M340" s="14"/>
      <c r="N340" s="14"/>
      <c r="O340" s="14"/>
      <c r="P340" s="14"/>
      <c r="Q340" s="14"/>
      <c r="R340" s="14"/>
      <c r="S340" s="14"/>
      <c r="T340" s="14"/>
      <c r="U340" s="14"/>
      <c r="V340" s="14"/>
      <c r="W340" s="14"/>
      <c r="X340" s="14"/>
      <c r="Y340" s="14"/>
      <c r="Z340" s="14"/>
      <c r="AA340" s="15"/>
      <c r="AB340" s="3"/>
      <c r="AC340" s="3"/>
      <c r="AD340" s="3"/>
      <c r="AE340" s="3"/>
      <c r="AF340" s="3"/>
      <c r="AG340" s="3"/>
      <c r="AH340" s="3"/>
      <c r="AI340" s="3"/>
      <c r="AJ340" s="3"/>
      <c r="AK340" s="3"/>
      <c r="AL340" s="3"/>
      <c r="AM340" s="3"/>
      <c r="AN340" s="3"/>
      <c r="AO340" s="3"/>
    </row>
    <row r="341" spans="2:41" s="171" customFormat="1" x14ac:dyDescent="0.25">
      <c r="B341" s="13"/>
      <c r="C341" s="14"/>
      <c r="D341" s="60"/>
      <c r="E341" s="56"/>
      <c r="F341" s="56"/>
      <c r="G341" s="14"/>
      <c r="H341" s="56"/>
      <c r="I341" s="14"/>
      <c r="J341" s="14"/>
      <c r="K341" s="14"/>
      <c r="L341" s="14"/>
      <c r="M341" s="14"/>
      <c r="N341" s="14"/>
      <c r="O341" s="14"/>
      <c r="P341" s="14"/>
      <c r="Q341" s="14"/>
      <c r="R341" s="14"/>
      <c r="S341" s="14"/>
      <c r="T341" s="14"/>
      <c r="U341" s="14"/>
      <c r="V341" s="14"/>
      <c r="W341" s="14"/>
      <c r="X341" s="14"/>
      <c r="Y341" s="14"/>
      <c r="Z341" s="14"/>
      <c r="AA341" s="15"/>
      <c r="AB341" s="3"/>
      <c r="AC341" s="3"/>
      <c r="AD341" s="3"/>
      <c r="AE341" s="3"/>
      <c r="AF341" s="3"/>
      <c r="AG341" s="3"/>
      <c r="AH341" s="3"/>
      <c r="AI341" s="3"/>
      <c r="AJ341" s="3"/>
      <c r="AK341" s="3"/>
      <c r="AL341" s="3"/>
      <c r="AM341" s="3"/>
      <c r="AN341" s="3"/>
      <c r="AO341" s="3"/>
    </row>
    <row r="342" spans="2:41" s="171" customFormat="1" x14ac:dyDescent="0.25">
      <c r="B342" s="13"/>
      <c r="C342" s="14"/>
      <c r="D342" s="14"/>
      <c r="E342" s="56"/>
      <c r="F342" s="56"/>
      <c r="G342" s="14"/>
      <c r="H342" s="56"/>
      <c r="I342" s="14"/>
      <c r="J342" s="14"/>
      <c r="K342" s="14"/>
      <c r="L342" s="14"/>
      <c r="M342" s="14"/>
      <c r="N342" s="14"/>
      <c r="O342" s="14"/>
      <c r="P342" s="14"/>
      <c r="Q342" s="14"/>
      <c r="R342" s="14"/>
      <c r="S342" s="14"/>
      <c r="T342" s="14"/>
      <c r="U342" s="14"/>
      <c r="V342" s="14"/>
      <c r="W342" s="14"/>
      <c r="X342" s="14"/>
      <c r="Y342" s="14"/>
      <c r="Z342" s="14"/>
      <c r="AA342" s="15"/>
      <c r="AB342" s="3"/>
      <c r="AC342" s="3"/>
      <c r="AD342" s="3"/>
      <c r="AE342" s="3"/>
      <c r="AF342" s="3"/>
      <c r="AG342" s="3"/>
      <c r="AH342" s="3"/>
      <c r="AI342" s="3"/>
      <c r="AJ342" s="3"/>
      <c r="AK342" s="3"/>
      <c r="AL342" s="3"/>
      <c r="AM342" s="3"/>
      <c r="AN342" s="3"/>
      <c r="AO342" s="3"/>
    </row>
    <row r="343" spans="2:41" s="171" customFormat="1" x14ac:dyDescent="0.25">
      <c r="B343" s="13"/>
      <c r="C343" s="14"/>
      <c r="D343" s="60"/>
      <c r="E343" s="56"/>
      <c r="F343" s="56"/>
      <c r="G343" s="14"/>
      <c r="H343" s="14"/>
      <c r="I343" s="14"/>
      <c r="J343" s="14"/>
      <c r="K343" s="14"/>
      <c r="L343" s="14"/>
      <c r="M343" s="14"/>
      <c r="N343" s="14"/>
      <c r="O343" s="14"/>
      <c r="P343" s="14"/>
      <c r="Q343" s="14"/>
      <c r="R343" s="14"/>
      <c r="S343" s="14"/>
      <c r="T343" s="14"/>
      <c r="U343" s="14"/>
      <c r="V343" s="14"/>
      <c r="W343" s="14"/>
      <c r="X343" s="14"/>
      <c r="Y343" s="14"/>
      <c r="Z343" s="14"/>
      <c r="AA343" s="15"/>
      <c r="AB343" s="3"/>
      <c r="AC343" s="3"/>
      <c r="AD343" s="3"/>
      <c r="AE343" s="3"/>
      <c r="AF343" s="3"/>
      <c r="AG343" s="3"/>
      <c r="AH343" s="3"/>
      <c r="AI343" s="3"/>
      <c r="AJ343" s="3"/>
      <c r="AK343" s="3"/>
      <c r="AL343" s="3"/>
      <c r="AM343" s="3"/>
      <c r="AN343" s="3"/>
      <c r="AO343" s="3"/>
    </row>
    <row r="344" spans="2:41" s="171" customFormat="1" ht="18.75" x14ac:dyDescent="0.3">
      <c r="B344" s="67"/>
      <c r="C344" s="14"/>
      <c r="D344" s="60"/>
      <c r="E344" s="56"/>
      <c r="F344" s="56"/>
      <c r="G344" s="14"/>
      <c r="H344" s="56"/>
      <c r="I344" s="74"/>
      <c r="J344" s="14"/>
      <c r="K344" s="14"/>
      <c r="L344" s="14"/>
      <c r="M344" s="14"/>
      <c r="N344" s="14"/>
      <c r="O344" s="14"/>
      <c r="P344" s="14"/>
      <c r="Q344" s="14"/>
      <c r="R344" s="14"/>
      <c r="S344" s="14"/>
      <c r="T344" s="14"/>
      <c r="U344" s="14"/>
      <c r="V344" s="14"/>
      <c r="W344" s="14"/>
      <c r="X344" s="14"/>
      <c r="Y344" s="14"/>
      <c r="Z344" s="14"/>
      <c r="AA344" s="15"/>
      <c r="AB344" s="3"/>
      <c r="AC344" s="3"/>
      <c r="AD344" s="3"/>
      <c r="AE344" s="3"/>
      <c r="AF344" s="3"/>
      <c r="AG344" s="3"/>
      <c r="AH344" s="3"/>
      <c r="AI344" s="3"/>
      <c r="AJ344" s="3"/>
      <c r="AK344" s="3"/>
      <c r="AL344" s="3"/>
      <c r="AM344" s="3"/>
      <c r="AN344" s="3"/>
      <c r="AO344" s="3"/>
    </row>
    <row r="345" spans="2:41" s="171" customFormat="1" x14ac:dyDescent="0.25">
      <c r="B345" s="13"/>
      <c r="C345" s="14"/>
      <c r="D345" s="60"/>
      <c r="E345" s="56"/>
      <c r="F345" s="56"/>
      <c r="G345" s="14"/>
      <c r="H345" s="56"/>
      <c r="I345" s="14"/>
      <c r="J345" s="14"/>
      <c r="K345" s="14"/>
      <c r="L345" s="14"/>
      <c r="M345" s="14"/>
      <c r="N345" s="14"/>
      <c r="O345" s="14"/>
      <c r="P345" s="14"/>
      <c r="Q345" s="14"/>
      <c r="R345" s="14"/>
      <c r="S345" s="14"/>
      <c r="T345" s="14"/>
      <c r="U345" s="14"/>
      <c r="V345" s="14"/>
      <c r="W345" s="14"/>
      <c r="X345" s="14"/>
      <c r="Y345" s="14"/>
      <c r="Z345" s="14"/>
      <c r="AA345" s="15"/>
      <c r="AB345" s="3"/>
      <c r="AC345" s="3"/>
      <c r="AD345" s="3"/>
      <c r="AE345" s="3"/>
      <c r="AF345" s="3"/>
      <c r="AG345" s="3"/>
      <c r="AH345" s="3"/>
      <c r="AI345" s="3"/>
      <c r="AJ345" s="3"/>
      <c r="AK345" s="3"/>
      <c r="AL345" s="3"/>
      <c r="AM345" s="3"/>
      <c r="AN345" s="3"/>
      <c r="AO345" s="3"/>
    </row>
    <row r="346" spans="2:41" s="171" customFormat="1" x14ac:dyDescent="0.25">
      <c r="B346" s="13"/>
      <c r="C346" s="14"/>
      <c r="D346" s="60"/>
      <c r="E346" s="56"/>
      <c r="F346" s="56"/>
      <c r="G346" s="14"/>
      <c r="H346" s="56"/>
      <c r="I346" s="14"/>
      <c r="J346" s="14"/>
      <c r="K346" s="14"/>
      <c r="L346" s="14"/>
      <c r="M346" s="14"/>
      <c r="N346" s="14"/>
      <c r="O346" s="14"/>
      <c r="P346" s="14"/>
      <c r="Q346" s="14"/>
      <c r="R346" s="14"/>
      <c r="S346" s="14"/>
      <c r="T346" s="14"/>
      <c r="U346" s="14"/>
      <c r="V346" s="14"/>
      <c r="W346" s="14"/>
      <c r="X346" s="14"/>
      <c r="Y346" s="14"/>
      <c r="Z346" s="14"/>
      <c r="AA346" s="15"/>
      <c r="AB346" s="3"/>
      <c r="AC346" s="3"/>
      <c r="AD346" s="3"/>
      <c r="AE346" s="3"/>
      <c r="AF346" s="3"/>
      <c r="AG346" s="3"/>
      <c r="AH346" s="3"/>
      <c r="AI346" s="3"/>
      <c r="AJ346" s="3"/>
      <c r="AK346" s="3"/>
      <c r="AL346" s="3"/>
      <c r="AM346" s="3"/>
      <c r="AN346" s="3"/>
      <c r="AO346" s="3"/>
    </row>
    <row r="347" spans="2:41" s="171" customFormat="1" x14ac:dyDescent="0.25">
      <c r="B347" s="13"/>
      <c r="C347" s="56"/>
      <c r="D347" s="60"/>
      <c r="E347" s="56"/>
      <c r="F347" s="56"/>
      <c r="G347" s="56"/>
      <c r="H347" s="56"/>
      <c r="I347" s="14"/>
      <c r="J347" s="14"/>
      <c r="K347" s="14"/>
      <c r="L347" s="14"/>
      <c r="M347" s="14"/>
      <c r="N347" s="14"/>
      <c r="O347" s="14"/>
      <c r="P347" s="14"/>
      <c r="Q347" s="14"/>
      <c r="R347" s="14"/>
      <c r="S347" s="14"/>
      <c r="T347" s="14"/>
      <c r="U347" s="14"/>
      <c r="V347" s="14"/>
      <c r="W347" s="14"/>
      <c r="X347" s="14"/>
      <c r="Y347" s="14"/>
      <c r="Z347" s="14"/>
      <c r="AA347" s="15"/>
      <c r="AB347" s="3"/>
      <c r="AC347" s="3"/>
      <c r="AD347" s="3"/>
      <c r="AE347" s="3"/>
      <c r="AF347" s="3"/>
      <c r="AG347" s="3"/>
      <c r="AH347" s="3"/>
      <c r="AI347" s="3"/>
      <c r="AJ347" s="3"/>
      <c r="AK347" s="3"/>
      <c r="AL347" s="3"/>
      <c r="AM347" s="3"/>
      <c r="AN347" s="3"/>
      <c r="AO347" s="3"/>
    </row>
    <row r="348" spans="2:41" s="171" customFormat="1" x14ac:dyDescent="0.25">
      <c r="B348" s="13"/>
      <c r="C348" s="14"/>
      <c r="D348" s="60"/>
      <c r="E348" s="56"/>
      <c r="F348" s="56"/>
      <c r="G348" s="14"/>
      <c r="H348" s="56"/>
      <c r="I348" s="14"/>
      <c r="J348" s="14"/>
      <c r="K348" s="14"/>
      <c r="L348" s="14"/>
      <c r="M348" s="14"/>
      <c r="N348" s="14"/>
      <c r="O348" s="14"/>
      <c r="P348" s="14"/>
      <c r="Q348" s="14"/>
      <c r="R348" s="14"/>
      <c r="S348" s="14"/>
      <c r="T348" s="14"/>
      <c r="U348" s="14"/>
      <c r="V348" s="14"/>
      <c r="W348" s="14"/>
      <c r="X348" s="14"/>
      <c r="Y348" s="14"/>
      <c r="Z348" s="14"/>
      <c r="AA348" s="15"/>
      <c r="AB348" s="3"/>
      <c r="AC348" s="3"/>
      <c r="AD348" s="3"/>
      <c r="AE348" s="3"/>
      <c r="AF348" s="3"/>
      <c r="AG348" s="3"/>
      <c r="AH348" s="3"/>
      <c r="AI348" s="3"/>
      <c r="AJ348" s="3"/>
      <c r="AK348" s="3"/>
      <c r="AL348" s="3"/>
      <c r="AM348" s="3"/>
      <c r="AN348" s="3"/>
      <c r="AO348" s="3"/>
    </row>
    <row r="349" spans="2:41" s="171" customFormat="1" x14ac:dyDescent="0.25">
      <c r="B349" s="13"/>
      <c r="C349" s="14"/>
      <c r="D349" s="14"/>
      <c r="E349" s="56"/>
      <c r="F349" s="56"/>
      <c r="G349" s="14"/>
      <c r="H349" s="56"/>
      <c r="I349" s="14"/>
      <c r="J349" s="14"/>
      <c r="K349" s="14"/>
      <c r="L349" s="14"/>
      <c r="M349" s="14"/>
      <c r="N349" s="14"/>
      <c r="O349" s="14"/>
      <c r="P349" s="14"/>
      <c r="Q349" s="14"/>
      <c r="R349" s="14"/>
      <c r="S349" s="14"/>
      <c r="T349" s="14"/>
      <c r="U349" s="14"/>
      <c r="V349" s="14"/>
      <c r="W349" s="14"/>
      <c r="X349" s="14"/>
      <c r="Y349" s="14"/>
      <c r="Z349" s="14"/>
      <c r="AA349" s="15"/>
      <c r="AB349" s="3"/>
      <c r="AC349" s="3"/>
      <c r="AD349" s="3"/>
      <c r="AE349" s="3"/>
      <c r="AF349" s="3"/>
      <c r="AG349" s="3"/>
      <c r="AH349" s="3"/>
      <c r="AI349" s="3"/>
      <c r="AJ349" s="3"/>
      <c r="AK349" s="3"/>
      <c r="AL349" s="3"/>
      <c r="AM349" s="3"/>
      <c r="AN349" s="3"/>
      <c r="AO349" s="3"/>
    </row>
    <row r="350" spans="2:41" s="171" customFormat="1" x14ac:dyDescent="0.25">
      <c r="B350" s="13"/>
      <c r="C350" s="14"/>
      <c r="D350" s="60"/>
      <c r="E350" s="56"/>
      <c r="F350" s="56"/>
      <c r="G350" s="14"/>
      <c r="H350" s="14"/>
      <c r="I350" s="14"/>
      <c r="J350" s="14"/>
      <c r="K350" s="14"/>
      <c r="L350" s="14"/>
      <c r="M350" s="14"/>
      <c r="N350" s="14"/>
      <c r="O350" s="14"/>
      <c r="P350" s="14"/>
      <c r="Q350" s="14"/>
      <c r="R350" s="14"/>
      <c r="S350" s="14"/>
      <c r="T350" s="14"/>
      <c r="U350" s="14"/>
      <c r="V350" s="14"/>
      <c r="W350" s="14"/>
      <c r="X350" s="14"/>
      <c r="Y350" s="14"/>
      <c r="Z350" s="14"/>
      <c r="AA350" s="15"/>
      <c r="AB350" s="3"/>
      <c r="AC350" s="3"/>
      <c r="AD350" s="3"/>
      <c r="AE350" s="3"/>
      <c r="AF350" s="3"/>
      <c r="AG350" s="3"/>
      <c r="AH350" s="3"/>
      <c r="AI350" s="3"/>
      <c r="AJ350" s="3"/>
      <c r="AK350" s="3"/>
      <c r="AL350" s="3"/>
      <c r="AM350" s="3"/>
      <c r="AN350" s="3"/>
      <c r="AO350" s="3"/>
    </row>
    <row r="351" spans="2:41" s="171" customFormat="1" x14ac:dyDescent="0.25">
      <c r="B351" s="13"/>
      <c r="C351" s="14"/>
      <c r="D351" s="60"/>
      <c r="E351" s="56"/>
      <c r="F351" s="56"/>
      <c r="G351" s="14"/>
      <c r="H351" s="56"/>
      <c r="I351" s="14"/>
      <c r="J351" s="14"/>
      <c r="K351" s="14"/>
      <c r="L351" s="14"/>
      <c r="M351" s="14"/>
      <c r="N351" s="14"/>
      <c r="O351" s="14"/>
      <c r="P351" s="14"/>
      <c r="Q351" s="14"/>
      <c r="R351" s="14"/>
      <c r="S351" s="14"/>
      <c r="T351" s="14"/>
      <c r="U351" s="14"/>
      <c r="V351" s="14"/>
      <c r="W351" s="14"/>
      <c r="X351" s="14"/>
      <c r="Y351" s="14"/>
      <c r="Z351" s="14"/>
      <c r="AA351" s="15"/>
      <c r="AB351" s="3"/>
      <c r="AC351" s="3"/>
      <c r="AD351" s="3"/>
      <c r="AE351" s="3"/>
      <c r="AF351" s="3"/>
      <c r="AG351" s="3"/>
      <c r="AH351" s="3"/>
      <c r="AI351" s="3"/>
      <c r="AJ351" s="3"/>
      <c r="AK351" s="3"/>
      <c r="AL351" s="3"/>
      <c r="AM351" s="3"/>
      <c r="AN351" s="3"/>
      <c r="AO351" s="3"/>
    </row>
    <row r="352" spans="2:41" s="171" customFormat="1" ht="18.75" x14ac:dyDescent="0.3">
      <c r="B352" s="67"/>
      <c r="C352" s="14"/>
      <c r="D352" s="60"/>
      <c r="E352" s="56"/>
      <c r="F352" s="56"/>
      <c r="G352" s="14"/>
      <c r="H352" s="56"/>
      <c r="I352" s="74"/>
      <c r="J352" s="14"/>
      <c r="K352" s="14"/>
      <c r="L352" s="14"/>
      <c r="M352" s="14"/>
      <c r="N352" s="14"/>
      <c r="O352" s="14"/>
      <c r="P352" s="14"/>
      <c r="Q352" s="14"/>
      <c r="R352" s="14"/>
      <c r="S352" s="14"/>
      <c r="T352" s="14"/>
      <c r="U352" s="14"/>
      <c r="V352" s="14"/>
      <c r="W352" s="14"/>
      <c r="X352" s="14"/>
      <c r="Y352" s="14"/>
      <c r="Z352" s="14"/>
      <c r="AA352" s="15"/>
      <c r="AB352" s="3"/>
      <c r="AC352" s="3"/>
      <c r="AD352" s="3"/>
      <c r="AE352" s="3"/>
      <c r="AF352" s="3"/>
      <c r="AG352" s="3"/>
      <c r="AH352" s="3"/>
      <c r="AI352" s="3"/>
      <c r="AJ352" s="3"/>
      <c r="AK352" s="3"/>
      <c r="AL352" s="3"/>
      <c r="AM352" s="3"/>
      <c r="AN352" s="3"/>
      <c r="AO352" s="3"/>
    </row>
    <row r="353" spans="2:41" s="171" customFormat="1" x14ac:dyDescent="0.25">
      <c r="B353" s="13"/>
      <c r="C353" s="14"/>
      <c r="D353" s="60"/>
      <c r="E353" s="56"/>
      <c r="F353" s="56"/>
      <c r="G353" s="14"/>
      <c r="H353" s="56"/>
      <c r="I353" s="14"/>
      <c r="J353" s="14"/>
      <c r="K353" s="14"/>
      <c r="L353" s="14"/>
      <c r="M353" s="14"/>
      <c r="N353" s="14"/>
      <c r="O353" s="14"/>
      <c r="P353" s="14"/>
      <c r="Q353" s="14"/>
      <c r="R353" s="14"/>
      <c r="S353" s="14"/>
      <c r="T353" s="14"/>
      <c r="U353" s="14"/>
      <c r="V353" s="14"/>
      <c r="W353" s="14"/>
      <c r="X353" s="14"/>
      <c r="Y353" s="14"/>
      <c r="Z353" s="14"/>
      <c r="AA353" s="15"/>
      <c r="AB353" s="3"/>
      <c r="AC353" s="3"/>
      <c r="AD353" s="3"/>
      <c r="AE353" s="3"/>
      <c r="AF353" s="3"/>
      <c r="AG353" s="3"/>
      <c r="AH353" s="3"/>
      <c r="AI353" s="3"/>
      <c r="AJ353" s="3"/>
      <c r="AK353" s="3"/>
      <c r="AL353" s="3"/>
      <c r="AM353" s="3"/>
      <c r="AN353" s="3"/>
      <c r="AO353" s="3"/>
    </row>
    <row r="354" spans="2:41" s="171" customFormat="1" x14ac:dyDescent="0.25">
      <c r="B354" s="13"/>
      <c r="C354" s="56"/>
      <c r="D354" s="60"/>
      <c r="E354" s="56"/>
      <c r="F354" s="56"/>
      <c r="G354" s="56"/>
      <c r="H354" s="56"/>
      <c r="I354" s="14"/>
      <c r="J354" s="14"/>
      <c r="K354" s="14"/>
      <c r="L354" s="14"/>
      <c r="M354" s="14"/>
      <c r="N354" s="14"/>
      <c r="O354" s="14"/>
      <c r="P354" s="14"/>
      <c r="Q354" s="14"/>
      <c r="R354" s="14"/>
      <c r="S354" s="14"/>
      <c r="T354" s="14"/>
      <c r="U354" s="14"/>
      <c r="V354" s="14"/>
      <c r="W354" s="14"/>
      <c r="X354" s="14"/>
      <c r="Y354" s="14"/>
      <c r="Z354" s="14"/>
      <c r="AA354" s="15"/>
      <c r="AB354" s="3"/>
      <c r="AC354" s="3"/>
      <c r="AD354" s="3"/>
      <c r="AE354" s="3"/>
      <c r="AF354" s="3"/>
      <c r="AG354" s="3"/>
      <c r="AH354" s="3"/>
      <c r="AI354" s="3"/>
      <c r="AJ354" s="3"/>
      <c r="AK354" s="3"/>
      <c r="AL354" s="3"/>
      <c r="AM354" s="3"/>
      <c r="AN354" s="3"/>
      <c r="AO354" s="3"/>
    </row>
    <row r="355" spans="2:41" s="171" customFormat="1" x14ac:dyDescent="0.25">
      <c r="B355" s="13"/>
      <c r="C355" s="14"/>
      <c r="D355" s="60"/>
      <c r="E355" s="56"/>
      <c r="F355" s="56"/>
      <c r="G355" s="14"/>
      <c r="H355" s="56"/>
      <c r="I355" s="14"/>
      <c r="J355" s="14"/>
      <c r="K355" s="14"/>
      <c r="L355" s="14"/>
      <c r="M355" s="14"/>
      <c r="N355" s="14"/>
      <c r="O355" s="14"/>
      <c r="P355" s="14"/>
      <c r="Q355" s="14"/>
      <c r="R355" s="14"/>
      <c r="S355" s="14"/>
      <c r="T355" s="14"/>
      <c r="U355" s="14"/>
      <c r="V355" s="14"/>
      <c r="W355" s="14"/>
      <c r="X355" s="14"/>
      <c r="Y355" s="14"/>
      <c r="Z355" s="14"/>
      <c r="AA355" s="15"/>
      <c r="AB355" s="3"/>
      <c r="AC355" s="3"/>
      <c r="AD355" s="3"/>
      <c r="AE355" s="3"/>
      <c r="AF355" s="3"/>
      <c r="AG355" s="3"/>
      <c r="AH355" s="3"/>
      <c r="AI355" s="3"/>
      <c r="AJ355" s="3"/>
      <c r="AK355" s="3"/>
      <c r="AL355" s="3"/>
      <c r="AM355" s="3"/>
      <c r="AN355" s="3"/>
      <c r="AO355" s="3"/>
    </row>
    <row r="356" spans="2:41" s="171" customFormat="1" x14ac:dyDescent="0.25">
      <c r="B356" s="13"/>
      <c r="C356" s="14"/>
      <c r="D356" s="14"/>
      <c r="E356" s="56"/>
      <c r="F356" s="56"/>
      <c r="G356" s="14"/>
      <c r="H356" s="56"/>
      <c r="I356" s="14"/>
      <c r="J356" s="14"/>
      <c r="K356" s="14"/>
      <c r="L356" s="14"/>
      <c r="M356" s="14"/>
      <c r="N356" s="14"/>
      <c r="O356" s="14"/>
      <c r="P356" s="14"/>
      <c r="Q356" s="14"/>
      <c r="R356" s="14"/>
      <c r="S356" s="14"/>
      <c r="T356" s="14"/>
      <c r="U356" s="14"/>
      <c r="V356" s="14"/>
      <c r="W356" s="14"/>
      <c r="X356" s="14"/>
      <c r="Y356" s="14"/>
      <c r="Z356" s="14"/>
      <c r="AA356" s="15"/>
      <c r="AB356" s="3"/>
      <c r="AC356" s="3"/>
      <c r="AD356" s="3"/>
      <c r="AE356" s="3"/>
      <c r="AF356" s="3"/>
      <c r="AG356" s="3"/>
      <c r="AH356" s="3"/>
      <c r="AI356" s="3"/>
      <c r="AJ356" s="3"/>
      <c r="AK356" s="3"/>
      <c r="AL356" s="3"/>
      <c r="AM356" s="3"/>
      <c r="AN356" s="3"/>
      <c r="AO356" s="3"/>
    </row>
    <row r="357" spans="2:41" s="171" customFormat="1" x14ac:dyDescent="0.25">
      <c r="B357" s="13"/>
      <c r="C357" s="14"/>
      <c r="D357" s="60"/>
      <c r="E357" s="56"/>
      <c r="F357" s="56"/>
      <c r="G357" s="14"/>
      <c r="H357" s="14"/>
      <c r="I357" s="14"/>
      <c r="J357" s="14"/>
      <c r="K357" s="14"/>
      <c r="L357" s="14"/>
      <c r="M357" s="14"/>
      <c r="N357" s="14"/>
      <c r="O357" s="14"/>
      <c r="P357" s="14"/>
      <c r="Q357" s="14"/>
      <c r="R357" s="14"/>
      <c r="S357" s="14"/>
      <c r="T357" s="14"/>
      <c r="U357" s="14"/>
      <c r="V357" s="14"/>
      <c r="W357" s="14"/>
      <c r="X357" s="14"/>
      <c r="Y357" s="14"/>
      <c r="Z357" s="14"/>
      <c r="AA357" s="15"/>
      <c r="AB357" s="3"/>
      <c r="AC357" s="3"/>
      <c r="AD357" s="3"/>
      <c r="AE357" s="3"/>
      <c r="AF357" s="3"/>
      <c r="AG357" s="3"/>
      <c r="AH357" s="3"/>
      <c r="AI357" s="3"/>
      <c r="AJ357" s="3"/>
      <c r="AK357" s="3"/>
      <c r="AL357" s="3"/>
      <c r="AM357" s="3"/>
      <c r="AN357" s="3"/>
      <c r="AO357" s="3"/>
    </row>
    <row r="358" spans="2:41" s="171" customFormat="1" x14ac:dyDescent="0.25">
      <c r="B358" s="13"/>
      <c r="C358" s="14"/>
      <c r="D358" s="60"/>
      <c r="E358" s="56"/>
      <c r="F358" s="56"/>
      <c r="G358" s="14"/>
      <c r="H358" s="56"/>
      <c r="I358" s="14"/>
      <c r="J358" s="14"/>
      <c r="K358" s="14"/>
      <c r="L358" s="14"/>
      <c r="M358" s="14"/>
      <c r="N358" s="14"/>
      <c r="O358" s="14"/>
      <c r="P358" s="14"/>
      <c r="Q358" s="14"/>
      <c r="R358" s="14"/>
      <c r="S358" s="14"/>
      <c r="T358" s="14"/>
      <c r="U358" s="14"/>
      <c r="V358" s="14"/>
      <c r="W358" s="14"/>
      <c r="X358" s="14"/>
      <c r="Y358" s="14"/>
      <c r="Z358" s="14"/>
      <c r="AA358" s="15"/>
      <c r="AB358" s="3"/>
      <c r="AC358" s="3"/>
      <c r="AD358" s="3"/>
      <c r="AE358" s="3"/>
      <c r="AF358" s="3"/>
      <c r="AG358" s="3"/>
      <c r="AH358" s="3"/>
      <c r="AI358" s="3"/>
      <c r="AJ358" s="3"/>
      <c r="AK358" s="3"/>
      <c r="AL358" s="3"/>
      <c r="AM358" s="3"/>
      <c r="AN358" s="3"/>
      <c r="AO358" s="3"/>
    </row>
    <row r="359" spans="2:41" s="171" customFormat="1" x14ac:dyDescent="0.25">
      <c r="B359" s="13"/>
      <c r="C359" s="14"/>
      <c r="D359" s="60"/>
      <c r="E359" s="56"/>
      <c r="F359" s="56"/>
      <c r="G359" s="14"/>
      <c r="H359" s="56"/>
      <c r="I359" s="14"/>
      <c r="J359" s="14"/>
      <c r="K359" s="14"/>
      <c r="L359" s="14"/>
      <c r="M359" s="14"/>
      <c r="N359" s="14"/>
      <c r="O359" s="14"/>
      <c r="P359" s="14"/>
      <c r="Q359" s="14"/>
      <c r="R359" s="14"/>
      <c r="S359" s="14"/>
      <c r="T359" s="14"/>
      <c r="U359" s="14"/>
      <c r="V359" s="14"/>
      <c r="W359" s="14"/>
      <c r="X359" s="14"/>
      <c r="Y359" s="14"/>
      <c r="Z359" s="14"/>
      <c r="AA359" s="15"/>
      <c r="AB359" s="3"/>
      <c r="AC359" s="3"/>
      <c r="AD359" s="3"/>
      <c r="AE359" s="3"/>
      <c r="AF359" s="3"/>
      <c r="AG359" s="3"/>
      <c r="AH359" s="3"/>
      <c r="AI359" s="3"/>
      <c r="AJ359" s="3"/>
      <c r="AK359" s="3"/>
      <c r="AL359" s="3"/>
      <c r="AM359" s="3"/>
      <c r="AN359" s="3"/>
      <c r="AO359" s="3"/>
    </row>
    <row r="360" spans="2:41" s="171" customFormat="1" ht="18.75" x14ac:dyDescent="0.3">
      <c r="B360" s="67"/>
      <c r="C360" s="14"/>
      <c r="D360" s="60"/>
      <c r="E360" s="56"/>
      <c r="F360" s="56"/>
      <c r="G360" s="14"/>
      <c r="H360" s="56"/>
      <c r="I360" s="74"/>
      <c r="J360" s="14"/>
      <c r="K360" s="14"/>
      <c r="L360" s="14"/>
      <c r="M360" s="14"/>
      <c r="N360" s="14"/>
      <c r="O360" s="14"/>
      <c r="P360" s="14"/>
      <c r="Q360" s="14"/>
      <c r="R360" s="14"/>
      <c r="S360" s="14"/>
      <c r="T360" s="14"/>
      <c r="U360" s="14"/>
      <c r="V360" s="14"/>
      <c r="W360" s="14"/>
      <c r="X360" s="14"/>
      <c r="Y360" s="14"/>
      <c r="Z360" s="14"/>
      <c r="AA360" s="15"/>
      <c r="AB360" s="3"/>
      <c r="AC360" s="3"/>
      <c r="AD360" s="3"/>
      <c r="AE360" s="3"/>
      <c r="AF360" s="3"/>
      <c r="AG360" s="3"/>
      <c r="AH360" s="3"/>
      <c r="AI360" s="3"/>
      <c r="AJ360" s="3"/>
      <c r="AK360" s="3"/>
      <c r="AL360" s="3"/>
      <c r="AM360" s="3"/>
      <c r="AN360" s="3"/>
      <c r="AO360" s="3"/>
    </row>
    <row r="361" spans="2:41" s="171" customFormat="1" x14ac:dyDescent="0.25">
      <c r="B361" s="13"/>
      <c r="C361" s="56"/>
      <c r="D361" s="60"/>
      <c r="E361" s="56"/>
      <c r="F361" s="56"/>
      <c r="G361" s="56"/>
      <c r="H361" s="56"/>
      <c r="I361" s="14"/>
      <c r="J361" s="14"/>
      <c r="K361" s="14"/>
      <c r="L361" s="14"/>
      <c r="M361" s="14"/>
      <c r="N361" s="14"/>
      <c r="O361" s="14"/>
      <c r="P361" s="14"/>
      <c r="Q361" s="14"/>
      <c r="R361" s="14"/>
      <c r="S361" s="14"/>
      <c r="T361" s="14"/>
      <c r="U361" s="14"/>
      <c r="V361" s="14"/>
      <c r="W361" s="14"/>
      <c r="X361" s="14"/>
      <c r="Y361" s="14"/>
      <c r="Z361" s="14"/>
      <c r="AA361" s="15"/>
      <c r="AB361" s="3"/>
      <c r="AC361" s="3"/>
      <c r="AD361" s="3"/>
      <c r="AE361" s="3"/>
      <c r="AF361" s="3"/>
      <c r="AG361" s="3"/>
      <c r="AH361" s="3"/>
      <c r="AI361" s="3"/>
      <c r="AJ361" s="3"/>
      <c r="AK361" s="3"/>
      <c r="AL361" s="3"/>
      <c r="AM361" s="3"/>
      <c r="AN361" s="3"/>
      <c r="AO361" s="3"/>
    </row>
    <row r="362" spans="2:41" s="171" customFormat="1" x14ac:dyDescent="0.25">
      <c r="B362" s="13"/>
      <c r="C362" s="14"/>
      <c r="D362" s="60"/>
      <c r="E362" s="56"/>
      <c r="F362" s="56"/>
      <c r="G362" s="14"/>
      <c r="H362" s="56"/>
      <c r="I362" s="14"/>
      <c r="J362" s="14"/>
      <c r="K362" s="14"/>
      <c r="L362" s="14"/>
      <c r="M362" s="14"/>
      <c r="N362" s="14"/>
      <c r="O362" s="14"/>
      <c r="P362" s="14"/>
      <c r="Q362" s="14"/>
      <c r="R362" s="14"/>
      <c r="S362" s="14"/>
      <c r="T362" s="14"/>
      <c r="U362" s="14"/>
      <c r="V362" s="14"/>
      <c r="W362" s="14"/>
      <c r="X362" s="14"/>
      <c r="Y362" s="14"/>
      <c r="Z362" s="14"/>
      <c r="AA362" s="15"/>
      <c r="AB362" s="3"/>
      <c r="AC362" s="3"/>
      <c r="AD362" s="3"/>
      <c r="AE362" s="3"/>
      <c r="AF362" s="3"/>
      <c r="AG362" s="3"/>
      <c r="AH362" s="3"/>
      <c r="AI362" s="3"/>
      <c r="AJ362" s="3"/>
      <c r="AK362" s="3"/>
      <c r="AL362" s="3"/>
      <c r="AM362" s="3"/>
      <c r="AN362" s="3"/>
      <c r="AO362" s="3"/>
    </row>
    <row r="363" spans="2:41" s="171" customFormat="1" x14ac:dyDescent="0.25">
      <c r="B363" s="13"/>
      <c r="C363" s="14"/>
      <c r="D363" s="14"/>
      <c r="E363" s="56"/>
      <c r="F363" s="56"/>
      <c r="G363" s="14"/>
      <c r="H363" s="56"/>
      <c r="I363" s="14"/>
      <c r="J363" s="14"/>
      <c r="K363" s="14"/>
      <c r="L363" s="14"/>
      <c r="M363" s="14"/>
      <c r="N363" s="14"/>
      <c r="O363" s="14"/>
      <c r="P363" s="14"/>
      <c r="Q363" s="14"/>
      <c r="R363" s="14"/>
      <c r="S363" s="14"/>
      <c r="T363" s="14"/>
      <c r="U363" s="14"/>
      <c r="V363" s="14"/>
      <c r="W363" s="14"/>
      <c r="X363" s="14"/>
      <c r="Y363" s="14"/>
      <c r="Z363" s="14"/>
      <c r="AA363" s="15"/>
      <c r="AB363" s="3"/>
      <c r="AC363" s="3"/>
      <c r="AD363" s="3"/>
      <c r="AE363" s="3"/>
      <c r="AF363" s="3"/>
      <c r="AG363" s="3"/>
      <c r="AH363" s="3"/>
      <c r="AI363" s="3"/>
      <c r="AJ363" s="3"/>
      <c r="AK363" s="3"/>
      <c r="AL363" s="3"/>
      <c r="AM363" s="3"/>
      <c r="AN363" s="3"/>
      <c r="AO363" s="3"/>
    </row>
    <row r="364" spans="2:41" s="171" customFormat="1" x14ac:dyDescent="0.25">
      <c r="B364" s="13"/>
      <c r="C364" s="14"/>
      <c r="D364" s="60"/>
      <c r="E364" s="56"/>
      <c r="F364" s="56"/>
      <c r="G364" s="14"/>
      <c r="H364" s="14"/>
      <c r="I364" s="14"/>
      <c r="J364" s="14"/>
      <c r="K364" s="14"/>
      <c r="L364" s="14"/>
      <c r="M364" s="14"/>
      <c r="N364" s="14"/>
      <c r="O364" s="14"/>
      <c r="P364" s="14"/>
      <c r="Q364" s="14"/>
      <c r="R364" s="14"/>
      <c r="S364" s="14"/>
      <c r="T364" s="14"/>
      <c r="U364" s="14"/>
      <c r="V364" s="14"/>
      <c r="W364" s="14"/>
      <c r="X364" s="14"/>
      <c r="Y364" s="14"/>
      <c r="Z364" s="14"/>
      <c r="AA364" s="15"/>
      <c r="AB364" s="3"/>
      <c r="AC364" s="3"/>
      <c r="AD364" s="3"/>
      <c r="AE364" s="3"/>
      <c r="AF364" s="3"/>
      <c r="AG364" s="3"/>
      <c r="AH364" s="3"/>
      <c r="AI364" s="3"/>
      <c r="AJ364" s="3"/>
      <c r="AK364" s="3"/>
      <c r="AL364" s="3"/>
      <c r="AM364" s="3"/>
      <c r="AN364" s="3"/>
      <c r="AO364" s="3"/>
    </row>
    <row r="365" spans="2:41" s="171" customFormat="1" x14ac:dyDescent="0.25">
      <c r="B365" s="13"/>
      <c r="C365" s="14"/>
      <c r="D365" s="60"/>
      <c r="E365" s="56"/>
      <c r="F365" s="56"/>
      <c r="G365" s="14"/>
      <c r="H365" s="56"/>
      <c r="I365" s="14"/>
      <c r="J365" s="14"/>
      <c r="K365" s="14"/>
      <c r="L365" s="14"/>
      <c r="M365" s="14"/>
      <c r="N365" s="14"/>
      <c r="O365" s="14"/>
      <c r="P365" s="14"/>
      <c r="Q365" s="14"/>
      <c r="R365" s="14"/>
      <c r="S365" s="14"/>
      <c r="T365" s="14"/>
      <c r="U365" s="14"/>
      <c r="V365" s="14"/>
      <c r="W365" s="14"/>
      <c r="X365" s="14"/>
      <c r="Y365" s="14"/>
      <c r="Z365" s="14"/>
      <c r="AA365" s="15"/>
      <c r="AB365" s="3"/>
      <c r="AC365" s="3"/>
      <c r="AD365" s="3"/>
      <c r="AE365" s="3"/>
      <c r="AF365" s="3"/>
      <c r="AG365" s="3"/>
      <c r="AH365" s="3"/>
      <c r="AI365" s="3"/>
      <c r="AJ365" s="3"/>
      <c r="AK365" s="3"/>
      <c r="AL365" s="3"/>
      <c r="AM365" s="3"/>
      <c r="AN365" s="3"/>
      <c r="AO365" s="3"/>
    </row>
    <row r="366" spans="2:41" s="171" customFormat="1" x14ac:dyDescent="0.25">
      <c r="B366" s="13"/>
      <c r="C366" s="14"/>
      <c r="D366" s="60"/>
      <c r="E366" s="56"/>
      <c r="F366" s="56"/>
      <c r="G366" s="14"/>
      <c r="H366" s="56"/>
      <c r="I366" s="14"/>
      <c r="J366" s="14"/>
      <c r="K366" s="14"/>
      <c r="L366" s="14"/>
      <c r="M366" s="14"/>
      <c r="N366" s="14"/>
      <c r="O366" s="14"/>
      <c r="P366" s="14"/>
      <c r="Q366" s="14"/>
      <c r="R366" s="14"/>
      <c r="S366" s="14"/>
      <c r="T366" s="14"/>
      <c r="U366" s="14"/>
      <c r="V366" s="14"/>
      <c r="W366" s="14"/>
      <c r="X366" s="14"/>
      <c r="Y366" s="14"/>
      <c r="Z366" s="14"/>
      <c r="AA366" s="15"/>
      <c r="AB366" s="3"/>
      <c r="AC366" s="3"/>
      <c r="AD366" s="3"/>
      <c r="AE366" s="3"/>
      <c r="AF366" s="3"/>
      <c r="AG366" s="3"/>
      <c r="AH366" s="3"/>
      <c r="AI366" s="3"/>
      <c r="AJ366" s="3"/>
      <c r="AK366" s="3"/>
      <c r="AL366" s="3"/>
      <c r="AM366" s="3"/>
      <c r="AN366" s="3"/>
      <c r="AO366" s="3"/>
    </row>
    <row r="367" spans="2:41" s="171" customFormat="1" x14ac:dyDescent="0.25">
      <c r="B367" s="13"/>
      <c r="C367" s="14"/>
      <c r="D367" s="60"/>
      <c r="E367" s="56"/>
      <c r="F367" s="56"/>
      <c r="G367" s="14"/>
      <c r="H367" s="56"/>
      <c r="I367" s="14"/>
      <c r="J367" s="14"/>
      <c r="K367" s="14"/>
      <c r="L367" s="14"/>
      <c r="M367" s="14"/>
      <c r="N367" s="14"/>
      <c r="O367" s="14"/>
      <c r="P367" s="14"/>
      <c r="Q367" s="14"/>
      <c r="R367" s="14"/>
      <c r="S367" s="14"/>
      <c r="T367" s="14"/>
      <c r="U367" s="14"/>
      <c r="V367" s="14"/>
      <c r="W367" s="14"/>
      <c r="X367" s="14"/>
      <c r="Y367" s="14"/>
      <c r="Z367" s="14"/>
      <c r="AA367" s="15"/>
      <c r="AB367" s="3"/>
      <c r="AC367" s="3"/>
      <c r="AD367" s="3"/>
      <c r="AE367" s="3"/>
      <c r="AF367" s="3"/>
      <c r="AG367" s="3"/>
      <c r="AH367" s="3"/>
      <c r="AI367" s="3"/>
      <c r="AJ367" s="3"/>
      <c r="AK367" s="3"/>
      <c r="AL367" s="3"/>
      <c r="AM367" s="3"/>
      <c r="AN367" s="3"/>
      <c r="AO367" s="3"/>
    </row>
    <row r="368" spans="2:41" s="171" customFormat="1" ht="18.75" x14ac:dyDescent="0.3">
      <c r="B368" s="67"/>
      <c r="C368" s="56"/>
      <c r="D368" s="60"/>
      <c r="E368" s="56"/>
      <c r="F368" s="56"/>
      <c r="G368" s="56"/>
      <c r="H368" s="56"/>
      <c r="I368" s="74"/>
      <c r="J368" s="14"/>
      <c r="K368" s="14"/>
      <c r="L368" s="14"/>
      <c r="M368" s="14"/>
      <c r="N368" s="14"/>
      <c r="O368" s="14"/>
      <c r="P368" s="14"/>
      <c r="Q368" s="14"/>
      <c r="R368" s="14"/>
      <c r="S368" s="14"/>
      <c r="T368" s="14"/>
      <c r="U368" s="14"/>
      <c r="V368" s="14"/>
      <c r="W368" s="14"/>
      <c r="X368" s="14"/>
      <c r="Y368" s="14"/>
      <c r="Z368" s="14"/>
      <c r="AA368" s="15"/>
      <c r="AB368" s="3"/>
      <c r="AC368" s="3"/>
      <c r="AD368" s="3"/>
      <c r="AE368" s="3"/>
      <c r="AF368" s="3"/>
      <c r="AG368" s="3"/>
      <c r="AH368" s="3"/>
      <c r="AI368" s="3"/>
      <c r="AJ368" s="3"/>
      <c r="AK368" s="3"/>
      <c r="AL368" s="3"/>
      <c r="AM368" s="3"/>
      <c r="AN368" s="3"/>
      <c r="AO368" s="3"/>
    </row>
    <row r="369" spans="2:41" s="171" customFormat="1" x14ac:dyDescent="0.25">
      <c r="B369" s="13"/>
      <c r="C369" s="14"/>
      <c r="D369" s="60"/>
      <c r="E369" s="56"/>
      <c r="F369" s="56"/>
      <c r="G369" s="14"/>
      <c r="H369" s="56"/>
      <c r="I369" s="14"/>
      <c r="J369" s="14"/>
      <c r="K369" s="14"/>
      <c r="L369" s="14"/>
      <c r="M369" s="14"/>
      <c r="N369" s="14"/>
      <c r="O369" s="14"/>
      <c r="P369" s="14"/>
      <c r="Q369" s="14"/>
      <c r="R369" s="14"/>
      <c r="S369" s="14"/>
      <c r="T369" s="14"/>
      <c r="U369" s="14"/>
      <c r="V369" s="14"/>
      <c r="W369" s="14"/>
      <c r="X369" s="14"/>
      <c r="Y369" s="14"/>
      <c r="Z369" s="14"/>
      <c r="AA369" s="15"/>
      <c r="AB369" s="3"/>
      <c r="AC369" s="3"/>
      <c r="AD369" s="3"/>
      <c r="AE369" s="3"/>
      <c r="AF369" s="3"/>
      <c r="AG369" s="3"/>
      <c r="AH369" s="3"/>
      <c r="AI369" s="3"/>
      <c r="AJ369" s="3"/>
      <c r="AK369" s="3"/>
      <c r="AL369" s="3"/>
      <c r="AM369" s="3"/>
      <c r="AN369" s="3"/>
      <c r="AO369" s="3"/>
    </row>
    <row r="370" spans="2:41" s="171" customFormat="1" x14ac:dyDescent="0.25">
      <c r="B370" s="13"/>
      <c r="C370" s="14"/>
      <c r="D370" s="14"/>
      <c r="E370" s="56"/>
      <c r="F370" s="56"/>
      <c r="G370" s="14"/>
      <c r="H370" s="56"/>
      <c r="I370" s="14"/>
      <c r="J370" s="14"/>
      <c r="K370" s="14"/>
      <c r="L370" s="14"/>
      <c r="M370" s="14"/>
      <c r="N370" s="14"/>
      <c r="O370" s="14"/>
      <c r="P370" s="14"/>
      <c r="Q370" s="14"/>
      <c r="R370" s="14"/>
      <c r="S370" s="14"/>
      <c r="T370" s="14"/>
      <c r="U370" s="14"/>
      <c r="V370" s="14"/>
      <c r="W370" s="14"/>
      <c r="X370" s="14"/>
      <c r="Y370" s="14"/>
      <c r="Z370" s="14"/>
      <c r="AA370" s="15"/>
      <c r="AB370" s="3"/>
      <c r="AC370" s="3"/>
      <c r="AD370" s="3"/>
      <c r="AE370" s="3"/>
      <c r="AF370" s="3"/>
      <c r="AG370" s="3"/>
      <c r="AH370" s="3"/>
      <c r="AI370" s="3"/>
      <c r="AJ370" s="3"/>
      <c r="AK370" s="3"/>
      <c r="AL370" s="3"/>
      <c r="AM370" s="3"/>
      <c r="AN370" s="3"/>
      <c r="AO370" s="3"/>
    </row>
    <row r="371" spans="2:41" s="171" customFormat="1" x14ac:dyDescent="0.25">
      <c r="B371" s="13"/>
      <c r="C371" s="14"/>
      <c r="D371" s="60"/>
      <c r="E371" s="56"/>
      <c r="F371" s="56"/>
      <c r="G371" s="14"/>
      <c r="H371" s="14"/>
      <c r="I371" s="14"/>
      <c r="J371" s="14"/>
      <c r="K371" s="14"/>
      <c r="L371" s="14"/>
      <c r="M371" s="14"/>
      <c r="N371" s="14"/>
      <c r="O371" s="14"/>
      <c r="P371" s="14"/>
      <c r="Q371" s="14"/>
      <c r="R371" s="14"/>
      <c r="S371" s="14"/>
      <c r="T371" s="14"/>
      <c r="U371" s="14"/>
      <c r="V371" s="14"/>
      <c r="W371" s="14"/>
      <c r="X371" s="14"/>
      <c r="Y371" s="14"/>
      <c r="Z371" s="14"/>
      <c r="AA371" s="15"/>
      <c r="AB371" s="3"/>
      <c r="AC371" s="3"/>
      <c r="AD371" s="3"/>
      <c r="AE371" s="3"/>
      <c r="AF371" s="3"/>
      <c r="AG371" s="3"/>
      <c r="AH371" s="3"/>
      <c r="AI371" s="3"/>
      <c r="AJ371" s="3"/>
      <c r="AK371" s="3"/>
      <c r="AL371" s="3"/>
      <c r="AM371" s="3"/>
      <c r="AN371" s="3"/>
      <c r="AO371" s="3"/>
    </row>
    <row r="372" spans="2:41" s="171" customFormat="1" x14ac:dyDescent="0.25">
      <c r="B372" s="13"/>
      <c r="C372" s="14"/>
      <c r="D372" s="60"/>
      <c r="E372" s="56"/>
      <c r="F372" s="56"/>
      <c r="G372" s="14"/>
      <c r="H372" s="56"/>
      <c r="I372" s="14"/>
      <c r="J372" s="14"/>
      <c r="K372" s="14"/>
      <c r="L372" s="14"/>
      <c r="M372" s="14"/>
      <c r="N372" s="14"/>
      <c r="O372" s="14"/>
      <c r="P372" s="14"/>
      <c r="Q372" s="14"/>
      <c r="R372" s="14"/>
      <c r="S372" s="14"/>
      <c r="T372" s="14"/>
      <c r="U372" s="14"/>
      <c r="V372" s="14"/>
      <c r="W372" s="14"/>
      <c r="X372" s="14"/>
      <c r="Y372" s="14"/>
      <c r="Z372" s="14"/>
      <c r="AA372" s="15"/>
      <c r="AB372" s="3"/>
      <c r="AC372" s="3"/>
      <c r="AD372" s="3"/>
      <c r="AE372" s="3"/>
      <c r="AF372" s="3"/>
      <c r="AG372" s="3"/>
      <c r="AH372" s="3"/>
      <c r="AI372" s="3"/>
      <c r="AJ372" s="3"/>
      <c r="AK372" s="3"/>
      <c r="AL372" s="3"/>
      <c r="AM372" s="3"/>
      <c r="AN372" s="3"/>
      <c r="AO372" s="3"/>
    </row>
    <row r="373" spans="2:41" s="171" customFormat="1" x14ac:dyDescent="0.25">
      <c r="B373" s="13"/>
      <c r="C373" s="14"/>
      <c r="D373" s="60"/>
      <c r="E373" s="56"/>
      <c r="F373" s="56"/>
      <c r="G373" s="14"/>
      <c r="H373" s="56"/>
      <c r="I373" s="14"/>
      <c r="J373" s="14"/>
      <c r="K373" s="14"/>
      <c r="L373" s="14"/>
      <c r="M373" s="14"/>
      <c r="N373" s="14"/>
      <c r="O373" s="14"/>
      <c r="P373" s="14"/>
      <c r="Q373" s="14"/>
      <c r="R373" s="14"/>
      <c r="S373" s="14"/>
      <c r="T373" s="14"/>
      <c r="U373" s="14"/>
      <c r="V373" s="14"/>
      <c r="W373" s="14"/>
      <c r="X373" s="14"/>
      <c r="Y373" s="14"/>
      <c r="Z373" s="14"/>
      <c r="AA373" s="15"/>
      <c r="AB373" s="3"/>
      <c r="AC373" s="3"/>
      <c r="AD373" s="3"/>
      <c r="AE373" s="3"/>
      <c r="AF373" s="3"/>
      <c r="AG373" s="3"/>
      <c r="AH373" s="3"/>
      <c r="AI373" s="3"/>
      <c r="AJ373" s="3"/>
      <c r="AK373" s="3"/>
      <c r="AL373" s="3"/>
      <c r="AM373" s="3"/>
      <c r="AN373" s="3"/>
      <c r="AO373" s="3"/>
    </row>
    <row r="374" spans="2:41" s="171" customFormat="1" x14ac:dyDescent="0.25">
      <c r="B374" s="13"/>
      <c r="C374" s="14"/>
      <c r="D374" s="60"/>
      <c r="E374" s="56"/>
      <c r="F374" s="56"/>
      <c r="G374" s="14"/>
      <c r="H374" s="56"/>
      <c r="I374" s="14"/>
      <c r="J374" s="14"/>
      <c r="K374" s="14"/>
      <c r="L374" s="14"/>
      <c r="M374" s="14"/>
      <c r="N374" s="14"/>
      <c r="O374" s="14"/>
      <c r="P374" s="14"/>
      <c r="Q374" s="14"/>
      <c r="R374" s="14"/>
      <c r="S374" s="14"/>
      <c r="T374" s="14"/>
      <c r="U374" s="14"/>
      <c r="V374" s="14"/>
      <c r="W374" s="14"/>
      <c r="X374" s="14"/>
      <c r="Y374" s="14"/>
      <c r="Z374" s="14"/>
      <c r="AA374" s="15"/>
      <c r="AB374" s="3"/>
      <c r="AC374" s="3"/>
      <c r="AD374" s="3"/>
      <c r="AE374" s="3"/>
      <c r="AF374" s="3"/>
      <c r="AG374" s="3"/>
      <c r="AH374" s="3"/>
      <c r="AI374" s="3"/>
      <c r="AJ374" s="3"/>
      <c r="AK374" s="3"/>
      <c r="AL374" s="3"/>
      <c r="AM374" s="3"/>
      <c r="AN374" s="3"/>
      <c r="AO374" s="3"/>
    </row>
    <row r="375" spans="2:41" s="171" customFormat="1" x14ac:dyDescent="0.25">
      <c r="B375" s="13"/>
      <c r="C375" s="56"/>
      <c r="D375" s="60"/>
      <c r="E375" s="56"/>
      <c r="F375" s="56"/>
      <c r="G375" s="56"/>
      <c r="H375" s="56"/>
      <c r="I375" s="14"/>
      <c r="J375" s="14"/>
      <c r="K375" s="14"/>
      <c r="L375" s="14"/>
      <c r="M375" s="14"/>
      <c r="N375" s="14"/>
      <c r="O375" s="14"/>
      <c r="P375" s="14"/>
      <c r="Q375" s="14"/>
      <c r="R375" s="14"/>
      <c r="S375" s="14"/>
      <c r="T375" s="14"/>
      <c r="U375" s="14"/>
      <c r="V375" s="14"/>
      <c r="W375" s="14"/>
      <c r="X375" s="14"/>
      <c r="Y375" s="14"/>
      <c r="Z375" s="14"/>
      <c r="AA375" s="15"/>
      <c r="AB375" s="3"/>
      <c r="AC375" s="3"/>
      <c r="AD375" s="3"/>
      <c r="AE375" s="3"/>
      <c r="AF375" s="3"/>
      <c r="AG375" s="3"/>
      <c r="AH375" s="3"/>
      <c r="AI375" s="3"/>
      <c r="AJ375" s="3"/>
      <c r="AK375" s="3"/>
      <c r="AL375" s="3"/>
      <c r="AM375" s="3"/>
      <c r="AN375" s="3"/>
      <c r="AO375" s="3"/>
    </row>
    <row r="376" spans="2:41" s="171" customFormat="1" ht="18.75" x14ac:dyDescent="0.3">
      <c r="B376" s="67"/>
      <c r="C376" s="14"/>
      <c r="D376" s="60"/>
      <c r="E376" s="56"/>
      <c r="F376" s="56"/>
      <c r="G376" s="14"/>
      <c r="H376" s="56"/>
      <c r="I376" s="74"/>
      <c r="J376" s="14"/>
      <c r="K376" s="14"/>
      <c r="L376" s="14"/>
      <c r="M376" s="14"/>
      <c r="N376" s="14"/>
      <c r="O376" s="14"/>
      <c r="P376" s="14"/>
      <c r="Q376" s="14"/>
      <c r="R376" s="14"/>
      <c r="S376" s="14"/>
      <c r="T376" s="14"/>
      <c r="U376" s="14"/>
      <c r="V376" s="14"/>
      <c r="W376" s="14"/>
      <c r="X376" s="14"/>
      <c r="Y376" s="14"/>
      <c r="Z376" s="14"/>
      <c r="AA376" s="15"/>
      <c r="AB376" s="3"/>
      <c r="AC376" s="3"/>
      <c r="AD376" s="3"/>
      <c r="AE376" s="3"/>
      <c r="AF376" s="3"/>
      <c r="AG376" s="3"/>
      <c r="AH376" s="3"/>
      <c r="AI376" s="3"/>
      <c r="AJ376" s="3"/>
      <c r="AK376" s="3"/>
      <c r="AL376" s="3"/>
      <c r="AM376" s="3"/>
      <c r="AN376" s="3"/>
      <c r="AO376" s="3"/>
    </row>
    <row r="377" spans="2:41" s="171" customFormat="1" x14ac:dyDescent="0.25">
      <c r="B377" s="13"/>
      <c r="C377" s="14"/>
      <c r="D377" s="14"/>
      <c r="E377" s="56"/>
      <c r="F377" s="56"/>
      <c r="G377" s="14"/>
      <c r="H377" s="56"/>
      <c r="I377" s="14"/>
      <c r="J377" s="14"/>
      <c r="K377" s="14"/>
      <c r="L377" s="14"/>
      <c r="M377" s="14"/>
      <c r="N377" s="14"/>
      <c r="O377" s="14"/>
      <c r="P377" s="14"/>
      <c r="Q377" s="14"/>
      <c r="R377" s="14"/>
      <c r="S377" s="14"/>
      <c r="T377" s="14"/>
      <c r="U377" s="14"/>
      <c r="V377" s="14"/>
      <c r="W377" s="14"/>
      <c r="X377" s="14"/>
      <c r="Y377" s="14"/>
      <c r="Z377" s="14"/>
      <c r="AA377" s="15"/>
      <c r="AB377" s="3"/>
      <c r="AC377" s="3"/>
      <c r="AD377" s="3"/>
      <c r="AE377" s="3"/>
      <c r="AF377" s="3"/>
      <c r="AG377" s="3"/>
      <c r="AH377" s="3"/>
      <c r="AI377" s="3"/>
      <c r="AJ377" s="3"/>
      <c r="AK377" s="3"/>
      <c r="AL377" s="3"/>
      <c r="AM377" s="3"/>
      <c r="AN377" s="3"/>
      <c r="AO377" s="3"/>
    </row>
    <row r="378" spans="2:41" s="171" customFormat="1" x14ac:dyDescent="0.25">
      <c r="B378" s="13"/>
      <c r="C378" s="14"/>
      <c r="D378" s="60"/>
      <c r="E378" s="56"/>
      <c r="F378" s="56"/>
      <c r="G378" s="14"/>
      <c r="H378" s="14"/>
      <c r="I378" s="14"/>
      <c r="J378" s="14"/>
      <c r="K378" s="14"/>
      <c r="L378" s="14"/>
      <c r="M378" s="14"/>
      <c r="N378" s="14"/>
      <c r="O378" s="14"/>
      <c r="P378" s="14"/>
      <c r="Q378" s="14"/>
      <c r="R378" s="14"/>
      <c r="S378" s="14"/>
      <c r="T378" s="14"/>
      <c r="U378" s="14"/>
      <c r="V378" s="14"/>
      <c r="W378" s="14"/>
      <c r="X378" s="14"/>
      <c r="Y378" s="14"/>
      <c r="Z378" s="14"/>
      <c r="AA378" s="15"/>
      <c r="AB378" s="3"/>
      <c r="AC378" s="3"/>
      <c r="AD378" s="3"/>
      <c r="AE378" s="3"/>
      <c r="AF378" s="3"/>
      <c r="AG378" s="3"/>
      <c r="AH378" s="3"/>
      <c r="AI378" s="3"/>
      <c r="AJ378" s="3"/>
      <c r="AK378" s="3"/>
      <c r="AL378" s="3"/>
      <c r="AM378" s="3"/>
      <c r="AN378" s="3"/>
      <c r="AO378" s="3"/>
    </row>
    <row r="379" spans="2:41" s="171" customFormat="1" x14ac:dyDescent="0.25">
      <c r="B379" s="13"/>
      <c r="C379" s="14"/>
      <c r="D379" s="60"/>
      <c r="E379" s="56"/>
      <c r="F379" s="56"/>
      <c r="G379" s="14"/>
      <c r="H379" s="56"/>
      <c r="I379" s="14"/>
      <c r="J379" s="14"/>
      <c r="K379" s="14"/>
      <c r="L379" s="14"/>
      <c r="M379" s="14"/>
      <c r="N379" s="14"/>
      <c r="O379" s="14"/>
      <c r="P379" s="14"/>
      <c r="Q379" s="14"/>
      <c r="R379" s="14"/>
      <c r="S379" s="14"/>
      <c r="T379" s="14"/>
      <c r="U379" s="14"/>
      <c r="V379" s="14"/>
      <c r="W379" s="14"/>
      <c r="X379" s="14"/>
      <c r="Y379" s="14"/>
      <c r="Z379" s="14"/>
      <c r="AA379" s="15"/>
      <c r="AB379" s="3"/>
      <c r="AC379" s="3"/>
      <c r="AD379" s="3"/>
      <c r="AE379" s="3"/>
      <c r="AF379" s="3"/>
      <c r="AG379" s="3"/>
      <c r="AH379" s="3"/>
      <c r="AI379" s="3"/>
      <c r="AJ379" s="3"/>
      <c r="AK379" s="3"/>
      <c r="AL379" s="3"/>
      <c r="AM379" s="3"/>
      <c r="AN379" s="3"/>
      <c r="AO379" s="3"/>
    </row>
    <row r="380" spans="2:41" s="171" customFormat="1" x14ac:dyDescent="0.25">
      <c r="B380" s="13"/>
      <c r="C380" s="14"/>
      <c r="D380" s="60"/>
      <c r="E380" s="56"/>
      <c r="F380" s="56"/>
      <c r="G380" s="14"/>
      <c r="H380" s="56"/>
      <c r="I380" s="14"/>
      <c r="J380" s="14"/>
      <c r="K380" s="14"/>
      <c r="L380" s="14"/>
      <c r="M380" s="14"/>
      <c r="N380" s="14"/>
      <c r="O380" s="14"/>
      <c r="P380" s="14"/>
      <c r="Q380" s="14"/>
      <c r="R380" s="14"/>
      <c r="S380" s="14"/>
      <c r="T380" s="14"/>
      <c r="U380" s="14"/>
      <c r="V380" s="14"/>
      <c r="W380" s="14"/>
      <c r="X380" s="14"/>
      <c r="Y380" s="14"/>
      <c r="Z380" s="14"/>
      <c r="AA380" s="15"/>
      <c r="AB380" s="3"/>
      <c r="AC380" s="3"/>
      <c r="AD380" s="3"/>
      <c r="AE380" s="3"/>
      <c r="AF380" s="3"/>
      <c r="AG380" s="3"/>
      <c r="AH380" s="3"/>
      <c r="AI380" s="3"/>
      <c r="AJ380" s="3"/>
      <c r="AK380" s="3"/>
      <c r="AL380" s="3"/>
      <c r="AM380" s="3"/>
      <c r="AN380" s="3"/>
      <c r="AO380" s="3"/>
    </row>
    <row r="381" spans="2:41" s="171" customFormat="1" x14ac:dyDescent="0.25">
      <c r="B381" s="13"/>
      <c r="C381" s="14"/>
      <c r="D381" s="60"/>
      <c r="E381" s="56"/>
      <c r="F381" s="56"/>
      <c r="G381" s="14"/>
      <c r="H381" s="56"/>
      <c r="I381" s="14"/>
      <c r="J381" s="14"/>
      <c r="K381" s="14"/>
      <c r="L381" s="14"/>
      <c r="M381" s="14"/>
      <c r="N381" s="14"/>
      <c r="O381" s="14"/>
      <c r="P381" s="14"/>
      <c r="Q381" s="14"/>
      <c r="R381" s="14"/>
      <c r="S381" s="14"/>
      <c r="T381" s="14"/>
      <c r="U381" s="14"/>
      <c r="V381" s="14"/>
      <c r="W381" s="14"/>
      <c r="X381" s="14"/>
      <c r="Y381" s="14"/>
      <c r="Z381" s="14"/>
      <c r="AA381" s="15"/>
      <c r="AB381" s="3"/>
      <c r="AC381" s="3"/>
      <c r="AD381" s="3"/>
      <c r="AE381" s="3"/>
      <c r="AF381" s="3"/>
      <c r="AG381" s="3"/>
      <c r="AH381" s="3"/>
      <c r="AI381" s="3"/>
      <c r="AJ381" s="3"/>
      <c r="AK381" s="3"/>
      <c r="AL381" s="3"/>
      <c r="AM381" s="3"/>
      <c r="AN381" s="3"/>
      <c r="AO381" s="3"/>
    </row>
    <row r="382" spans="2:41" s="171" customFormat="1" x14ac:dyDescent="0.25">
      <c r="B382" s="13"/>
      <c r="C382" s="56"/>
      <c r="D382" s="60"/>
      <c r="E382" s="56"/>
      <c r="F382" s="56"/>
      <c r="G382" s="56"/>
      <c r="H382" s="56"/>
      <c r="I382" s="14"/>
      <c r="J382" s="14"/>
      <c r="K382" s="14"/>
      <c r="L382" s="14"/>
      <c r="M382" s="14"/>
      <c r="N382" s="14"/>
      <c r="O382" s="14"/>
      <c r="P382" s="14"/>
      <c r="Q382" s="14"/>
      <c r="R382" s="14"/>
      <c r="S382" s="14"/>
      <c r="T382" s="14"/>
      <c r="U382" s="14"/>
      <c r="V382" s="14"/>
      <c r="W382" s="14"/>
      <c r="X382" s="14"/>
      <c r="Y382" s="14"/>
      <c r="Z382" s="14"/>
      <c r="AA382" s="15"/>
      <c r="AB382" s="3"/>
      <c r="AC382" s="3"/>
      <c r="AD382" s="3"/>
      <c r="AE382" s="3"/>
      <c r="AF382" s="3"/>
      <c r="AG382" s="3"/>
      <c r="AH382" s="3"/>
      <c r="AI382" s="3"/>
      <c r="AJ382" s="3"/>
      <c r="AK382" s="3"/>
      <c r="AL382" s="3"/>
      <c r="AM382" s="3"/>
      <c r="AN382" s="3"/>
      <c r="AO382" s="3"/>
    </row>
    <row r="383" spans="2:41" s="171" customFormat="1" x14ac:dyDescent="0.25">
      <c r="B383" s="13"/>
      <c r="C383" s="14"/>
      <c r="D383" s="60"/>
      <c r="E383" s="56"/>
      <c r="F383" s="56"/>
      <c r="G383" s="14"/>
      <c r="H383" s="56"/>
      <c r="I383" s="14"/>
      <c r="J383" s="14"/>
      <c r="K383" s="14"/>
      <c r="L383" s="14"/>
      <c r="M383" s="14"/>
      <c r="N383" s="14"/>
      <c r="O383" s="14"/>
      <c r="P383" s="14"/>
      <c r="Q383" s="14"/>
      <c r="R383" s="14"/>
      <c r="S383" s="14"/>
      <c r="T383" s="14"/>
      <c r="U383" s="14"/>
      <c r="V383" s="14"/>
      <c r="W383" s="14"/>
      <c r="X383" s="14"/>
      <c r="Y383" s="14"/>
      <c r="Z383" s="14"/>
      <c r="AA383" s="15"/>
      <c r="AB383" s="3"/>
      <c r="AC383" s="3"/>
      <c r="AD383" s="3"/>
      <c r="AE383" s="3"/>
      <c r="AF383" s="3"/>
      <c r="AG383" s="3"/>
      <c r="AH383" s="3"/>
      <c r="AI383" s="3"/>
      <c r="AJ383" s="3"/>
      <c r="AK383" s="3"/>
      <c r="AL383" s="3"/>
      <c r="AM383" s="3"/>
      <c r="AN383" s="3"/>
      <c r="AO383" s="3"/>
    </row>
    <row r="384" spans="2:41" s="171" customFormat="1" ht="18.75" x14ac:dyDescent="0.3">
      <c r="B384" s="67"/>
      <c r="C384" s="14"/>
      <c r="D384" s="14"/>
      <c r="E384" s="56"/>
      <c r="F384" s="56"/>
      <c r="G384" s="14"/>
      <c r="H384" s="56"/>
      <c r="I384" s="74"/>
      <c r="J384" s="14"/>
      <c r="K384" s="14"/>
      <c r="L384" s="14"/>
      <c r="M384" s="14"/>
      <c r="N384" s="14"/>
      <c r="O384" s="14"/>
      <c r="P384" s="14"/>
      <c r="Q384" s="14"/>
      <c r="R384" s="14"/>
      <c r="S384" s="14"/>
      <c r="T384" s="14"/>
      <c r="U384" s="14"/>
      <c r="V384" s="14"/>
      <c r="W384" s="14"/>
      <c r="X384" s="14"/>
      <c r="Y384" s="14"/>
      <c r="Z384" s="14"/>
      <c r="AA384" s="15"/>
      <c r="AB384" s="3"/>
      <c r="AC384" s="3"/>
      <c r="AD384" s="3"/>
      <c r="AE384" s="3"/>
      <c r="AF384" s="3"/>
      <c r="AG384" s="3"/>
      <c r="AH384" s="3"/>
      <c r="AI384" s="3"/>
      <c r="AJ384" s="3"/>
      <c r="AK384" s="3"/>
      <c r="AL384" s="3"/>
      <c r="AM384" s="3"/>
      <c r="AN384" s="3"/>
      <c r="AO384" s="3"/>
    </row>
    <row r="385" spans="2:41" s="171" customFormat="1" x14ac:dyDescent="0.25">
      <c r="B385" s="18"/>
      <c r="C385" s="19"/>
      <c r="D385" s="63"/>
      <c r="E385" s="64"/>
      <c r="F385" s="64"/>
      <c r="G385" s="19"/>
      <c r="H385" s="19"/>
      <c r="I385" s="19"/>
      <c r="J385" s="19"/>
      <c r="K385" s="19"/>
      <c r="L385" s="19"/>
      <c r="M385" s="19"/>
      <c r="N385" s="19"/>
      <c r="O385" s="19"/>
      <c r="P385" s="19"/>
      <c r="Q385" s="19"/>
      <c r="R385" s="19"/>
      <c r="S385" s="19"/>
      <c r="T385" s="19"/>
      <c r="U385" s="19"/>
      <c r="V385" s="19"/>
      <c r="W385" s="19"/>
      <c r="X385" s="19"/>
      <c r="Y385" s="19"/>
      <c r="Z385" s="19"/>
      <c r="AA385" s="20"/>
      <c r="AB385" s="3"/>
      <c r="AC385" s="3"/>
      <c r="AD385" s="3"/>
      <c r="AE385" s="3"/>
      <c r="AF385" s="3"/>
      <c r="AG385" s="3"/>
      <c r="AH385" s="3"/>
      <c r="AI385" s="3"/>
      <c r="AJ385" s="3"/>
      <c r="AK385" s="3"/>
      <c r="AL385" s="3"/>
      <c r="AM385" s="3"/>
      <c r="AN385" s="3"/>
      <c r="AO385" s="3"/>
    </row>
    <row r="386" spans="2:41" s="171" customFormat="1" x14ac:dyDescent="0.25">
      <c r="B386" s="13"/>
      <c r="C386" s="13"/>
      <c r="D386" s="60"/>
      <c r="E386" s="56"/>
      <c r="F386" s="56"/>
      <c r="G386" s="14"/>
      <c r="H386" s="61"/>
      <c r="I386" s="15"/>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row>
    <row r="387" spans="2:41" s="171" customFormat="1" x14ac:dyDescent="0.25">
      <c r="B387" s="13"/>
      <c r="C387" s="13"/>
      <c r="D387" s="60"/>
      <c r="E387" s="56"/>
      <c r="F387" s="56"/>
      <c r="G387" s="14"/>
      <c r="H387" s="61"/>
      <c r="I387" s="15"/>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row>
    <row r="388" spans="2:41" s="171" customFormat="1" x14ac:dyDescent="0.25">
      <c r="B388" s="13"/>
      <c r="C388" s="13"/>
      <c r="D388" s="60"/>
      <c r="E388" s="56"/>
      <c r="F388" s="56"/>
      <c r="G388" s="14"/>
      <c r="H388" s="61"/>
      <c r="I388" s="15"/>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row>
    <row r="389" spans="2:41" s="171" customFormat="1" x14ac:dyDescent="0.25">
      <c r="B389" s="13"/>
      <c r="C389" s="62"/>
      <c r="D389" s="63"/>
      <c r="E389" s="64"/>
      <c r="F389" s="64"/>
      <c r="G389" s="64"/>
      <c r="H389" s="65"/>
      <c r="I389" s="15"/>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row>
    <row r="390" spans="2:41" s="171" customFormat="1" x14ac:dyDescent="0.25">
      <c r="B390" s="13"/>
      <c r="C390" s="14"/>
      <c r="D390" s="60"/>
      <c r="E390" s="66"/>
      <c r="F390" s="56"/>
      <c r="G390" s="14"/>
      <c r="H390" s="56"/>
      <c r="I390" s="15"/>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row>
    <row r="391" spans="2:41" s="171" customFormat="1" x14ac:dyDescent="0.25">
      <c r="B391" s="13"/>
      <c r="C391" s="10"/>
      <c r="D391" s="11"/>
      <c r="E391" s="56"/>
      <c r="F391" s="58"/>
      <c r="G391" s="11"/>
      <c r="H391" s="59"/>
      <c r="I391" s="15"/>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row>
    <row r="392" spans="2:41" s="171" customFormat="1" ht="18.75" x14ac:dyDescent="0.3">
      <c r="B392" s="67"/>
      <c r="C392" s="13"/>
      <c r="D392" s="60"/>
      <c r="E392" s="56"/>
      <c r="F392" s="56"/>
      <c r="G392" s="14"/>
      <c r="H392" s="15"/>
      <c r="I392" s="68"/>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row>
    <row r="393" spans="2:41" s="171" customFormat="1" x14ac:dyDescent="0.25">
      <c r="B393" s="13"/>
      <c r="C393" s="13"/>
      <c r="D393" s="60"/>
      <c r="E393" s="56"/>
      <c r="F393" s="56"/>
      <c r="G393" s="14"/>
      <c r="H393" s="61"/>
      <c r="I393" s="15"/>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row>
    <row r="394" spans="2:41" s="171" customFormat="1" x14ac:dyDescent="0.25">
      <c r="B394" s="13"/>
      <c r="C394" s="13"/>
      <c r="D394" s="60"/>
      <c r="E394" s="56"/>
      <c r="F394" s="56"/>
      <c r="G394" s="14"/>
      <c r="H394" s="61"/>
      <c r="I394" s="15"/>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row>
    <row r="395" spans="2:41" s="171" customFormat="1" x14ac:dyDescent="0.25">
      <c r="B395" s="13"/>
      <c r="C395" s="13"/>
      <c r="D395" s="60"/>
      <c r="E395" s="56"/>
      <c r="F395" s="56"/>
      <c r="G395" s="14"/>
      <c r="H395" s="61"/>
      <c r="I395" s="15"/>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row>
    <row r="396" spans="2:41" s="171" customFormat="1" x14ac:dyDescent="0.25">
      <c r="B396" s="13"/>
      <c r="C396" s="62"/>
      <c r="D396" s="63"/>
      <c r="E396" s="64"/>
      <c r="F396" s="64"/>
      <c r="G396" s="64"/>
      <c r="H396" s="65"/>
      <c r="I396" s="15"/>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row>
    <row r="397" spans="2:41" s="171" customFormat="1" x14ac:dyDescent="0.25">
      <c r="B397" s="13"/>
      <c r="C397" s="14"/>
      <c r="D397" s="60"/>
      <c r="E397" s="66"/>
      <c r="F397" s="56"/>
      <c r="G397" s="14"/>
      <c r="H397" s="56"/>
      <c r="I397" s="15"/>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row>
    <row r="398" spans="2:41" s="171" customFormat="1" x14ac:dyDescent="0.25">
      <c r="B398" s="13"/>
      <c r="C398" s="10"/>
      <c r="D398" s="11"/>
      <c r="E398" s="56"/>
      <c r="F398" s="58"/>
      <c r="G398" s="11"/>
      <c r="H398" s="59"/>
      <c r="I398" s="15"/>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row>
    <row r="399" spans="2:41" s="171" customFormat="1" x14ac:dyDescent="0.25">
      <c r="B399" s="13"/>
      <c r="C399" s="13"/>
      <c r="D399" s="60"/>
      <c r="E399" s="56"/>
      <c r="F399" s="56"/>
      <c r="G399" s="14"/>
      <c r="H399" s="15"/>
      <c r="I399" s="15"/>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row>
    <row r="400" spans="2:41" s="171" customFormat="1" ht="18.75" x14ac:dyDescent="0.3">
      <c r="B400" s="67"/>
      <c r="C400" s="13"/>
      <c r="D400" s="60"/>
      <c r="E400" s="56"/>
      <c r="F400" s="56"/>
      <c r="G400" s="14"/>
      <c r="H400" s="61"/>
      <c r="I400" s="68"/>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row>
    <row r="401" spans="2:41" s="171" customFormat="1" x14ac:dyDescent="0.25">
      <c r="B401" s="13"/>
      <c r="C401" s="13"/>
      <c r="D401" s="60"/>
      <c r="E401" s="56"/>
      <c r="F401" s="56"/>
      <c r="G401" s="14"/>
      <c r="H401" s="61"/>
      <c r="I401" s="15"/>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row>
    <row r="402" spans="2:41" s="171" customFormat="1" x14ac:dyDescent="0.25">
      <c r="B402" s="13"/>
      <c r="C402" s="13"/>
      <c r="D402" s="60"/>
      <c r="E402" s="56"/>
      <c r="F402" s="56"/>
      <c r="G402" s="14"/>
      <c r="H402" s="61"/>
      <c r="I402" s="15"/>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row>
    <row r="403" spans="2:41" s="171" customFormat="1" x14ac:dyDescent="0.25">
      <c r="B403" s="13"/>
      <c r="C403" s="62"/>
      <c r="D403" s="63"/>
      <c r="E403" s="64"/>
      <c r="F403" s="64"/>
      <c r="G403" s="64"/>
      <c r="H403" s="65"/>
      <c r="I403" s="15"/>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row>
    <row r="404" spans="2:41" s="171" customFormat="1" x14ac:dyDescent="0.25">
      <c r="B404" s="13"/>
      <c r="C404" s="14"/>
      <c r="D404" s="60"/>
      <c r="E404" s="66"/>
      <c r="F404" s="56"/>
      <c r="G404" s="14"/>
      <c r="H404" s="56"/>
      <c r="I404" s="15"/>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row>
    <row r="405" spans="2:41" s="171" customFormat="1" x14ac:dyDescent="0.25">
      <c r="B405" s="13"/>
      <c r="C405" s="10"/>
      <c r="D405" s="11"/>
      <c r="E405" s="56"/>
      <c r="F405" s="58"/>
      <c r="G405" s="11"/>
      <c r="H405" s="59"/>
      <c r="I405" s="15"/>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row>
    <row r="406" spans="2:41" s="171" customFormat="1" x14ac:dyDescent="0.25">
      <c r="B406" s="13"/>
      <c r="C406" s="13"/>
      <c r="D406" s="60"/>
      <c r="E406" s="56"/>
      <c r="F406" s="56"/>
      <c r="G406" s="14"/>
      <c r="H406" s="15"/>
      <c r="I406" s="15"/>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row>
    <row r="407" spans="2:41" s="171" customFormat="1" x14ac:dyDescent="0.25">
      <c r="B407" s="13"/>
      <c r="C407" s="13"/>
      <c r="D407" s="60"/>
      <c r="E407" s="56"/>
      <c r="F407" s="56"/>
      <c r="G407" s="14"/>
      <c r="H407" s="61"/>
      <c r="I407" s="1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row>
    <row r="408" spans="2:41" s="171" customFormat="1" ht="18.75" x14ac:dyDescent="0.3">
      <c r="B408" s="67"/>
      <c r="C408" s="13"/>
      <c r="D408" s="60"/>
      <c r="E408" s="56"/>
      <c r="F408" s="56"/>
      <c r="G408" s="14"/>
      <c r="H408" s="61"/>
      <c r="I408" s="68"/>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row>
    <row r="409" spans="2:41" s="171" customFormat="1" x14ac:dyDescent="0.25">
      <c r="B409" s="13"/>
      <c r="C409" s="13"/>
      <c r="D409" s="60"/>
      <c r="E409" s="56"/>
      <c r="F409" s="56"/>
      <c r="G409" s="14"/>
      <c r="H409" s="61"/>
      <c r="I409" s="1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row>
    <row r="410" spans="2:41" s="171" customFormat="1" x14ac:dyDescent="0.25">
      <c r="B410" s="13"/>
      <c r="C410" s="62"/>
      <c r="D410" s="63"/>
      <c r="E410" s="64"/>
      <c r="F410" s="64"/>
      <c r="G410" s="64"/>
      <c r="H410" s="65"/>
      <c r="I410" s="15"/>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row>
    <row r="411" spans="2:41" s="171" customFormat="1" x14ac:dyDescent="0.25">
      <c r="B411" s="13"/>
      <c r="C411" s="14"/>
      <c r="D411" s="60"/>
      <c r="E411" s="66"/>
      <c r="F411" s="56"/>
      <c r="G411" s="14"/>
      <c r="H411" s="56"/>
      <c r="I411" s="15"/>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row>
    <row r="412" spans="2:41" s="171" customFormat="1" x14ac:dyDescent="0.25">
      <c r="B412" s="13"/>
      <c r="C412" s="10"/>
      <c r="D412" s="11"/>
      <c r="E412" s="56"/>
      <c r="F412" s="58"/>
      <c r="G412" s="11"/>
      <c r="H412" s="59"/>
      <c r="I412" s="15"/>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row>
    <row r="413" spans="2:41" s="171" customFormat="1" x14ac:dyDescent="0.25">
      <c r="B413" s="13"/>
      <c r="C413" s="13"/>
      <c r="D413" s="60"/>
      <c r="E413" s="56"/>
      <c r="F413" s="56"/>
      <c r="G413" s="14"/>
      <c r="H413" s="15"/>
      <c r="I413" s="15"/>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row>
    <row r="414" spans="2:41" s="171" customFormat="1" x14ac:dyDescent="0.25">
      <c r="B414" s="13"/>
      <c r="C414" s="13"/>
      <c r="D414" s="60"/>
      <c r="E414" s="56"/>
      <c r="F414" s="56"/>
      <c r="G414" s="14"/>
      <c r="H414" s="61"/>
      <c r="I414" s="15"/>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row>
    <row r="415" spans="2:41" s="171" customFormat="1" x14ac:dyDescent="0.25">
      <c r="B415" s="13"/>
      <c r="C415" s="13"/>
      <c r="D415" s="60"/>
      <c r="E415" s="56"/>
      <c r="F415" s="56"/>
      <c r="G415" s="14"/>
      <c r="H415" s="61"/>
      <c r="I415" s="15"/>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row>
    <row r="416" spans="2:41" s="171" customFormat="1" ht="18.75" x14ac:dyDescent="0.3">
      <c r="B416" s="67"/>
      <c r="C416" s="13"/>
      <c r="D416" s="60"/>
      <c r="E416" s="56"/>
      <c r="F416" s="56"/>
      <c r="G416" s="14"/>
      <c r="H416" s="61"/>
      <c r="I416" s="68"/>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row>
    <row r="417" spans="2:41" s="171" customFormat="1" x14ac:dyDescent="0.25">
      <c r="B417" s="13"/>
      <c r="C417" s="62"/>
      <c r="D417" s="63"/>
      <c r="E417" s="64"/>
      <c r="F417" s="64"/>
      <c r="G417" s="64"/>
      <c r="H417" s="65"/>
      <c r="I417" s="15"/>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row>
    <row r="418" spans="2:41" s="171" customFormat="1" x14ac:dyDescent="0.25">
      <c r="B418" s="13"/>
      <c r="C418" s="14"/>
      <c r="D418" s="60"/>
      <c r="E418" s="66"/>
      <c r="F418" s="56"/>
      <c r="G418" s="14"/>
      <c r="H418" s="56"/>
      <c r="I418" s="15"/>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row>
    <row r="419" spans="2:41" s="171" customFormat="1" x14ac:dyDescent="0.25">
      <c r="B419" s="13"/>
      <c r="C419" s="10"/>
      <c r="D419" s="11"/>
      <c r="E419" s="56"/>
      <c r="F419" s="58"/>
      <c r="G419" s="11"/>
      <c r="H419" s="59"/>
      <c r="I419" s="15"/>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row>
    <row r="420" spans="2:41" s="171" customFormat="1" x14ac:dyDescent="0.25">
      <c r="B420" s="13"/>
      <c r="C420" s="13"/>
      <c r="D420" s="60"/>
      <c r="E420" s="56"/>
      <c r="F420" s="56"/>
      <c r="G420" s="14"/>
      <c r="H420" s="15"/>
      <c r="I420" s="15"/>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row>
    <row r="421" spans="2:41" s="171" customFormat="1" x14ac:dyDescent="0.25">
      <c r="B421" s="13"/>
      <c r="C421" s="13"/>
      <c r="D421" s="60"/>
      <c r="E421" s="56"/>
      <c r="F421" s="56"/>
      <c r="G421" s="14"/>
      <c r="H421" s="61"/>
      <c r="I421" s="15"/>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row>
    <row r="422" spans="2:41" s="171" customFormat="1" x14ac:dyDescent="0.25">
      <c r="B422" s="13"/>
      <c r="C422" s="13"/>
      <c r="D422" s="60"/>
      <c r="E422" s="56"/>
      <c r="F422" s="56"/>
      <c r="G422" s="14"/>
      <c r="H422" s="61"/>
      <c r="I422" s="15"/>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row>
    <row r="423" spans="2:41" s="171" customFormat="1" x14ac:dyDescent="0.25">
      <c r="B423" s="13"/>
      <c r="C423" s="13"/>
      <c r="D423" s="60"/>
      <c r="E423" s="56"/>
      <c r="F423" s="56"/>
      <c r="G423" s="14"/>
      <c r="H423" s="61"/>
      <c r="I423" s="15"/>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row>
    <row r="424" spans="2:41" s="171" customFormat="1" ht="18.75" x14ac:dyDescent="0.3">
      <c r="B424" s="67"/>
      <c r="C424" s="62"/>
      <c r="D424" s="63"/>
      <c r="E424" s="64"/>
      <c r="F424" s="64"/>
      <c r="G424" s="64"/>
      <c r="H424" s="65"/>
      <c r="I424" s="68"/>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row>
    <row r="425" spans="2:41" s="171" customFormat="1" x14ac:dyDescent="0.25">
      <c r="B425" s="13"/>
      <c r="C425" s="14"/>
      <c r="D425" s="60"/>
      <c r="E425" s="66"/>
      <c r="F425" s="56"/>
      <c r="G425" s="14"/>
      <c r="H425" s="56"/>
      <c r="I425" s="15"/>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row>
    <row r="426" spans="2:41" s="171" customFormat="1" x14ac:dyDescent="0.25">
      <c r="B426" s="13"/>
      <c r="C426" s="10"/>
      <c r="D426" s="11"/>
      <c r="E426" s="56"/>
      <c r="F426" s="58"/>
      <c r="G426" s="11"/>
      <c r="H426" s="59"/>
      <c r="I426" s="15"/>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row>
    <row r="427" spans="2:41" s="171" customFormat="1" x14ac:dyDescent="0.25">
      <c r="B427" s="13"/>
      <c r="C427" s="13"/>
      <c r="D427" s="60"/>
      <c r="E427" s="56"/>
      <c r="F427" s="56"/>
      <c r="G427" s="14"/>
      <c r="H427" s="15"/>
      <c r="I427" s="15"/>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row>
    <row r="428" spans="2:41" s="171" customFormat="1" x14ac:dyDescent="0.25">
      <c r="B428" s="13"/>
      <c r="C428" s="13"/>
      <c r="D428" s="60"/>
      <c r="E428" s="56"/>
      <c r="F428" s="56"/>
      <c r="G428" s="14"/>
      <c r="H428" s="61"/>
      <c r="I428" s="15"/>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row>
    <row r="429" spans="2:41" s="171" customFormat="1" x14ac:dyDescent="0.25">
      <c r="B429" s="13"/>
      <c r="C429" s="13"/>
      <c r="D429" s="60"/>
      <c r="E429" s="56"/>
      <c r="F429" s="56"/>
      <c r="G429" s="14"/>
      <c r="H429" s="61"/>
      <c r="I429" s="15"/>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row>
    <row r="430" spans="2:41" s="171" customFormat="1" x14ac:dyDescent="0.25">
      <c r="B430" s="13"/>
      <c r="C430" s="13"/>
      <c r="D430" s="60"/>
      <c r="E430" s="56"/>
      <c r="F430" s="56"/>
      <c r="G430" s="14"/>
      <c r="H430" s="61"/>
      <c r="I430" s="15"/>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row>
    <row r="431" spans="2:41" s="171" customFormat="1" x14ac:dyDescent="0.25">
      <c r="B431" s="13"/>
      <c r="C431" s="62"/>
      <c r="D431" s="63"/>
      <c r="E431" s="64"/>
      <c r="F431" s="64"/>
      <c r="G431" s="64"/>
      <c r="H431" s="65"/>
      <c r="I431" s="15"/>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row>
    <row r="432" spans="2:41" s="171" customFormat="1" ht="18.75" x14ac:dyDescent="0.3">
      <c r="B432" s="67"/>
      <c r="C432" s="14"/>
      <c r="D432" s="60"/>
      <c r="E432" s="66"/>
      <c r="F432" s="56"/>
      <c r="G432" s="14"/>
      <c r="H432" s="56"/>
      <c r="I432" s="68"/>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row>
    <row r="433" spans="2:41" s="171" customFormat="1" x14ac:dyDescent="0.25">
      <c r="B433" s="13"/>
      <c r="C433" s="10"/>
      <c r="D433" s="11"/>
      <c r="E433" s="56"/>
      <c r="F433" s="58"/>
      <c r="G433" s="11"/>
      <c r="H433" s="59"/>
      <c r="I433" s="15"/>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row>
    <row r="434" spans="2:41" s="171" customFormat="1" x14ac:dyDescent="0.25">
      <c r="B434" s="13"/>
      <c r="C434" s="13"/>
      <c r="D434" s="60"/>
      <c r="E434" s="56"/>
      <c r="F434" s="56"/>
      <c r="G434" s="14"/>
      <c r="H434" s="15"/>
      <c r="I434" s="15"/>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row>
    <row r="435" spans="2:41" s="171" customFormat="1" x14ac:dyDescent="0.25">
      <c r="B435" s="13"/>
      <c r="C435" s="13"/>
      <c r="D435" s="60"/>
      <c r="E435" s="56"/>
      <c r="F435" s="56"/>
      <c r="G435" s="14"/>
      <c r="H435" s="61"/>
      <c r="I435" s="15"/>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row>
    <row r="436" spans="2:41" s="171" customFormat="1" x14ac:dyDescent="0.25">
      <c r="B436" s="13"/>
      <c r="C436" s="13"/>
      <c r="D436" s="60"/>
      <c r="E436" s="56"/>
      <c r="F436" s="56"/>
      <c r="G436" s="14"/>
      <c r="H436" s="61"/>
      <c r="I436" s="15"/>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row>
    <row r="437" spans="2:41" s="171" customFormat="1" x14ac:dyDescent="0.25">
      <c r="B437" s="13"/>
      <c r="C437" s="13"/>
      <c r="D437" s="60"/>
      <c r="E437" s="56"/>
      <c r="F437" s="56"/>
      <c r="G437" s="14"/>
      <c r="H437" s="61"/>
      <c r="I437" s="15"/>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row>
    <row r="438" spans="2:41" s="171" customFormat="1" x14ac:dyDescent="0.25">
      <c r="B438" s="13"/>
      <c r="C438" s="62"/>
      <c r="D438" s="63"/>
      <c r="E438" s="64"/>
      <c r="F438" s="64"/>
      <c r="G438" s="64"/>
      <c r="H438" s="65"/>
      <c r="I438" s="15"/>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row>
    <row r="439" spans="2:41" s="171" customFormat="1" x14ac:dyDescent="0.25">
      <c r="B439" s="13"/>
      <c r="C439" s="14"/>
      <c r="D439" s="60"/>
      <c r="E439" s="66"/>
      <c r="F439" s="56"/>
      <c r="G439" s="14"/>
      <c r="H439" s="56"/>
      <c r="I439" s="15"/>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row>
    <row r="440" spans="2:41" s="171" customFormat="1" ht="18.75" x14ac:dyDescent="0.3">
      <c r="B440" s="67"/>
      <c r="C440" s="10"/>
      <c r="D440" s="11"/>
      <c r="E440" s="56"/>
      <c r="F440" s="58"/>
      <c r="G440" s="11"/>
      <c r="H440" s="59"/>
      <c r="I440" s="68"/>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row>
    <row r="441" spans="2:41" s="171" customFormat="1" x14ac:dyDescent="0.25">
      <c r="B441" s="13"/>
      <c r="C441" s="13"/>
      <c r="D441" s="60"/>
      <c r="E441" s="56"/>
      <c r="F441" s="56"/>
      <c r="G441" s="14"/>
      <c r="H441" s="15"/>
      <c r="I441" s="15"/>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row>
    <row r="442" spans="2:41" s="171" customFormat="1" x14ac:dyDescent="0.25">
      <c r="B442" s="13"/>
      <c r="C442" s="13"/>
      <c r="D442" s="60"/>
      <c r="E442" s="56"/>
      <c r="F442" s="56"/>
      <c r="G442" s="14"/>
      <c r="H442" s="61"/>
      <c r="I442" s="15"/>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row>
    <row r="443" spans="2:41" s="171" customFormat="1" x14ac:dyDescent="0.25">
      <c r="B443" s="13"/>
      <c r="C443" s="13"/>
      <c r="D443" s="60"/>
      <c r="E443" s="56"/>
      <c r="F443" s="56"/>
      <c r="G443" s="14"/>
      <c r="H443" s="61"/>
      <c r="I443" s="15"/>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row>
    <row r="444" spans="2:41" s="171" customFormat="1" x14ac:dyDescent="0.25">
      <c r="B444" s="13"/>
      <c r="C444" s="13"/>
      <c r="D444" s="60"/>
      <c r="E444" s="56"/>
      <c r="F444" s="56"/>
      <c r="G444" s="14"/>
      <c r="H444" s="61"/>
      <c r="I444" s="15"/>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row>
    <row r="445" spans="2:41" s="171" customFormat="1" x14ac:dyDescent="0.25">
      <c r="B445" s="13"/>
      <c r="C445" s="62"/>
      <c r="D445" s="63"/>
      <c r="E445" s="64"/>
      <c r="F445" s="64"/>
      <c r="G445" s="64"/>
      <c r="H445" s="65"/>
      <c r="I445" s="15"/>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row>
    <row r="446" spans="2:41" s="171" customFormat="1" x14ac:dyDescent="0.25">
      <c r="B446" s="13"/>
      <c r="C446" s="14"/>
      <c r="D446" s="60"/>
      <c r="E446" s="66"/>
      <c r="F446" s="56"/>
      <c r="G446" s="14"/>
      <c r="H446" s="56"/>
      <c r="I446" s="15"/>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row>
    <row r="447" spans="2:41" s="171" customFormat="1" x14ac:dyDescent="0.25">
      <c r="B447" s="13"/>
      <c r="C447" s="10"/>
      <c r="D447" s="11"/>
      <c r="E447" s="56"/>
      <c r="F447" s="58"/>
      <c r="G447" s="11"/>
      <c r="H447" s="59"/>
      <c r="I447" s="15"/>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row>
    <row r="448" spans="2:41" s="171" customFormat="1" ht="18.75" x14ac:dyDescent="0.3">
      <c r="B448" s="67"/>
      <c r="C448" s="13"/>
      <c r="D448" s="60"/>
      <c r="E448" s="56"/>
      <c r="F448" s="56"/>
      <c r="G448" s="14"/>
      <c r="H448" s="15"/>
      <c r="I448" s="68"/>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row>
    <row r="449" spans="2:41" s="171" customFormat="1" x14ac:dyDescent="0.25">
      <c r="B449" s="13"/>
      <c r="C449" s="13"/>
      <c r="D449" s="60"/>
      <c r="E449" s="56"/>
      <c r="F449" s="56"/>
      <c r="G449" s="14"/>
      <c r="H449" s="61"/>
      <c r="I449" s="15"/>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row>
    <row r="450" spans="2:41" s="171" customFormat="1" x14ac:dyDescent="0.25">
      <c r="B450" s="13"/>
      <c r="C450" s="13"/>
      <c r="D450" s="60"/>
      <c r="E450" s="56"/>
      <c r="F450" s="56"/>
      <c r="G450" s="14"/>
      <c r="H450" s="61"/>
      <c r="I450" s="15"/>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row>
    <row r="451" spans="2:41" s="171" customFormat="1" x14ac:dyDescent="0.25">
      <c r="B451" s="13"/>
      <c r="C451" s="13"/>
      <c r="D451" s="60"/>
      <c r="E451" s="56"/>
      <c r="F451" s="56"/>
      <c r="G451" s="14"/>
      <c r="H451" s="61"/>
      <c r="I451" s="15"/>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row>
    <row r="452" spans="2:41" s="171" customFormat="1" x14ac:dyDescent="0.25">
      <c r="B452" s="13"/>
      <c r="C452" s="62"/>
      <c r="D452" s="63"/>
      <c r="E452" s="64"/>
      <c r="F452" s="64"/>
      <c r="G452" s="64"/>
      <c r="H452" s="65"/>
      <c r="I452" s="15"/>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row>
    <row r="453" spans="2:41" s="171" customFormat="1" x14ac:dyDescent="0.25">
      <c r="B453" s="13"/>
      <c r="C453" s="14"/>
      <c r="D453" s="60"/>
      <c r="E453" s="66"/>
      <c r="F453" s="56"/>
      <c r="G453" s="14"/>
      <c r="H453" s="56"/>
      <c r="I453" s="15"/>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row>
    <row r="454" spans="2:41" s="171" customFormat="1" x14ac:dyDescent="0.25">
      <c r="B454" s="13"/>
      <c r="C454" s="10"/>
      <c r="D454" s="11"/>
      <c r="E454" s="56"/>
      <c r="F454" s="58"/>
      <c r="G454" s="11"/>
      <c r="H454" s="59"/>
      <c r="I454" s="15"/>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row>
    <row r="455" spans="2:41" s="171" customFormat="1" x14ac:dyDescent="0.25">
      <c r="B455" s="13"/>
      <c r="C455" s="13"/>
      <c r="D455" s="60"/>
      <c r="E455" s="56"/>
      <c r="F455" s="56"/>
      <c r="G455" s="14"/>
      <c r="H455" s="15"/>
      <c r="I455" s="15"/>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row>
    <row r="456" spans="2:41" s="171" customFormat="1" ht="18.75" x14ac:dyDescent="0.3">
      <c r="B456" s="67"/>
      <c r="C456" s="13"/>
      <c r="D456" s="60"/>
      <c r="E456" s="56"/>
      <c r="F456" s="56"/>
      <c r="G456" s="14"/>
      <c r="H456" s="61"/>
      <c r="I456" s="68"/>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row>
    <row r="457" spans="2:41" s="171" customFormat="1" x14ac:dyDescent="0.25">
      <c r="B457" s="13"/>
      <c r="C457" s="13"/>
      <c r="D457" s="60"/>
      <c r="E457" s="56"/>
      <c r="F457" s="56"/>
      <c r="G457" s="14"/>
      <c r="H457" s="61"/>
      <c r="I457" s="15"/>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row>
    <row r="458" spans="2:41" s="171" customFormat="1" x14ac:dyDescent="0.25">
      <c r="B458" s="13"/>
      <c r="C458" s="13"/>
      <c r="D458" s="60"/>
      <c r="E458" s="56"/>
      <c r="F458" s="56"/>
      <c r="G458" s="14"/>
      <c r="H458" s="61"/>
      <c r="I458" s="15"/>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row>
    <row r="459" spans="2:41" s="171" customFormat="1" x14ac:dyDescent="0.25">
      <c r="B459" s="13"/>
      <c r="C459" s="62"/>
      <c r="D459" s="63"/>
      <c r="E459" s="64"/>
      <c r="F459" s="64"/>
      <c r="G459" s="64"/>
      <c r="H459" s="65"/>
      <c r="I459" s="15"/>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row>
    <row r="460" spans="2:41" s="171" customFormat="1" x14ac:dyDescent="0.25">
      <c r="B460" s="13"/>
      <c r="C460" s="14"/>
      <c r="D460" s="60"/>
      <c r="E460" s="66"/>
      <c r="F460" s="56"/>
      <c r="G460" s="14"/>
      <c r="H460" s="56"/>
      <c r="I460" s="15"/>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row>
    <row r="461" spans="2:41" s="171" customFormat="1" x14ac:dyDescent="0.25">
      <c r="B461" s="13"/>
      <c r="C461" s="10"/>
      <c r="D461" s="11"/>
      <c r="E461" s="56"/>
      <c r="F461" s="58"/>
      <c r="G461" s="11"/>
      <c r="H461" s="59"/>
      <c r="I461" s="15"/>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row>
    <row r="462" spans="2:41" s="171" customFormat="1" x14ac:dyDescent="0.25">
      <c r="B462" s="13"/>
      <c r="C462" s="13"/>
      <c r="D462" s="60"/>
      <c r="E462" s="56"/>
      <c r="F462" s="56"/>
      <c r="G462" s="14"/>
      <c r="H462" s="15"/>
      <c r="I462" s="15"/>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row>
    <row r="463" spans="2:41" s="171" customFormat="1" x14ac:dyDescent="0.25">
      <c r="B463" s="13"/>
      <c r="C463" s="13"/>
      <c r="D463" s="60"/>
      <c r="E463" s="56"/>
      <c r="F463" s="56"/>
      <c r="G463" s="14"/>
      <c r="H463" s="61"/>
      <c r="I463" s="15"/>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row>
    <row r="464" spans="2:41" s="171" customFormat="1" ht="18.75" x14ac:dyDescent="0.3">
      <c r="B464" s="67"/>
      <c r="C464" s="13"/>
      <c r="D464" s="60"/>
      <c r="E464" s="56"/>
      <c r="F464" s="56"/>
      <c r="G464" s="14"/>
      <c r="H464" s="61"/>
      <c r="I464" s="68"/>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row>
    <row r="465" spans="2:41" s="171" customFormat="1" x14ac:dyDescent="0.25">
      <c r="B465" s="13"/>
      <c r="C465" s="13"/>
      <c r="D465" s="60"/>
      <c r="E465" s="56"/>
      <c r="F465" s="56"/>
      <c r="G465" s="14"/>
      <c r="H465" s="61"/>
      <c r="I465" s="15"/>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row>
    <row r="466" spans="2:41" s="171" customFormat="1" x14ac:dyDescent="0.25">
      <c r="B466" s="13"/>
      <c r="C466" s="62"/>
      <c r="D466" s="63"/>
      <c r="E466" s="64"/>
      <c r="F466" s="64"/>
      <c r="G466" s="64"/>
      <c r="H466" s="65"/>
      <c r="I466" s="15"/>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row>
    <row r="467" spans="2:41" s="171" customFormat="1" x14ac:dyDescent="0.25">
      <c r="B467" s="13"/>
      <c r="C467" s="14"/>
      <c r="D467" s="60"/>
      <c r="E467" s="66"/>
      <c r="F467" s="56"/>
      <c r="G467" s="14"/>
      <c r="H467" s="56"/>
      <c r="I467" s="15"/>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row>
    <row r="468" spans="2:41" s="171" customFormat="1" x14ac:dyDescent="0.25">
      <c r="B468" s="13"/>
      <c r="C468" s="10"/>
      <c r="D468" s="11"/>
      <c r="E468" s="56"/>
      <c r="F468" s="58"/>
      <c r="G468" s="11"/>
      <c r="H468" s="59"/>
      <c r="I468" s="15"/>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row>
    <row r="469" spans="2:41" s="171" customFormat="1" x14ac:dyDescent="0.25">
      <c r="B469" s="13"/>
      <c r="C469" s="13"/>
      <c r="D469" s="60"/>
      <c r="E469" s="56"/>
      <c r="F469" s="56"/>
      <c r="G469" s="14"/>
      <c r="H469" s="15"/>
      <c r="I469" s="15"/>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row>
    <row r="470" spans="2:41" s="171" customFormat="1" x14ac:dyDescent="0.25">
      <c r="B470" s="13"/>
      <c r="C470" s="13"/>
      <c r="D470" s="60"/>
      <c r="E470" s="56"/>
      <c r="F470" s="56"/>
      <c r="G470" s="14"/>
      <c r="H470" s="61"/>
      <c r="I470" s="15"/>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row>
    <row r="471" spans="2:41" s="171" customFormat="1" x14ac:dyDescent="0.25">
      <c r="B471" s="13"/>
      <c r="C471" s="13"/>
      <c r="D471" s="60"/>
      <c r="E471" s="56"/>
      <c r="F471" s="56"/>
      <c r="G471" s="14"/>
      <c r="H471" s="61"/>
      <c r="I471" s="15"/>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row>
    <row r="472" spans="2:41" s="171" customFormat="1" ht="18.75" x14ac:dyDescent="0.3">
      <c r="B472" s="67"/>
      <c r="C472" s="13"/>
      <c r="D472" s="60"/>
      <c r="E472" s="56"/>
      <c r="F472" s="56"/>
      <c r="G472" s="14"/>
      <c r="H472" s="61"/>
      <c r="I472" s="68"/>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row>
    <row r="473" spans="2:41" s="171" customFormat="1" x14ac:dyDescent="0.25">
      <c r="B473" s="13"/>
      <c r="C473" s="62"/>
      <c r="D473" s="63"/>
      <c r="E473" s="64"/>
      <c r="F473" s="64"/>
      <c r="G473" s="64"/>
      <c r="H473" s="65"/>
      <c r="I473" s="15"/>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row>
    <row r="474" spans="2:41" s="171" customFormat="1" x14ac:dyDescent="0.25">
      <c r="B474" s="13"/>
      <c r="C474" s="14"/>
      <c r="D474" s="60"/>
      <c r="E474" s="66"/>
      <c r="F474" s="56"/>
      <c r="G474" s="14"/>
      <c r="H474" s="56"/>
      <c r="I474" s="1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row>
    <row r="475" spans="2:41" s="171" customFormat="1" x14ac:dyDescent="0.25">
      <c r="B475" s="13"/>
      <c r="C475" s="10"/>
      <c r="D475" s="11"/>
      <c r="E475" s="56"/>
      <c r="F475" s="58"/>
      <c r="G475" s="11"/>
      <c r="H475" s="59"/>
      <c r="I475" s="15"/>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row>
    <row r="476" spans="2:41" s="171" customFormat="1" x14ac:dyDescent="0.25">
      <c r="B476" s="13"/>
      <c r="C476" s="13"/>
      <c r="D476" s="60"/>
      <c r="E476" s="56"/>
      <c r="F476" s="56"/>
      <c r="G476" s="14"/>
      <c r="H476" s="15"/>
      <c r="I476" s="15"/>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row>
    <row r="477" spans="2:41" s="171" customFormat="1" x14ac:dyDescent="0.25">
      <c r="B477" s="13"/>
      <c r="C477" s="13"/>
      <c r="D477" s="60"/>
      <c r="E477" s="56"/>
      <c r="F477" s="56"/>
      <c r="G477" s="14"/>
      <c r="H477" s="61"/>
      <c r="I477" s="15"/>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row>
    <row r="478" spans="2:41" s="171" customFormat="1" x14ac:dyDescent="0.25">
      <c r="B478" s="13"/>
      <c r="C478" s="13"/>
      <c r="D478" s="60"/>
      <c r="E478" s="56"/>
      <c r="F478" s="56"/>
      <c r="G478" s="14"/>
      <c r="H478" s="61"/>
      <c r="I478" s="15"/>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row>
    <row r="479" spans="2:41" s="171" customFormat="1" x14ac:dyDescent="0.25">
      <c r="B479" s="13"/>
      <c r="C479" s="13"/>
      <c r="D479" s="60"/>
      <c r="E479" s="56"/>
      <c r="F479" s="56"/>
      <c r="G479" s="14"/>
      <c r="H479" s="61"/>
      <c r="I479" s="15"/>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row>
    <row r="480" spans="2:41" s="171" customFormat="1" ht="18.75" x14ac:dyDescent="0.3">
      <c r="B480" s="67"/>
      <c r="C480" s="62"/>
      <c r="D480" s="63"/>
      <c r="E480" s="64"/>
      <c r="F480" s="64"/>
      <c r="G480" s="64"/>
      <c r="H480" s="65"/>
      <c r="I480" s="68"/>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row>
    <row r="481" spans="2:41" s="171" customFormat="1" x14ac:dyDescent="0.25">
      <c r="B481" s="13"/>
      <c r="C481" s="14"/>
      <c r="D481" s="60"/>
      <c r="E481" s="66"/>
      <c r="F481" s="56"/>
      <c r="G481" s="14"/>
      <c r="H481" s="56"/>
      <c r="I481" s="15"/>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row>
    <row r="482" spans="2:41" s="171" customFormat="1" x14ac:dyDescent="0.25">
      <c r="B482" s="13"/>
      <c r="C482" s="10"/>
      <c r="D482" s="11"/>
      <c r="E482" s="56"/>
      <c r="F482" s="58"/>
      <c r="G482" s="11"/>
      <c r="H482" s="59"/>
      <c r="I482" s="15"/>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row>
    <row r="483" spans="2:41" s="171" customFormat="1" x14ac:dyDescent="0.25">
      <c r="B483" s="13"/>
      <c r="C483" s="13"/>
      <c r="D483" s="60"/>
      <c r="E483" s="56"/>
      <c r="F483" s="56"/>
      <c r="G483" s="14"/>
      <c r="H483" s="15"/>
      <c r="I483" s="15"/>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row>
    <row r="484" spans="2:41" s="171" customFormat="1" x14ac:dyDescent="0.25">
      <c r="B484" s="13"/>
      <c r="C484" s="13"/>
      <c r="D484" s="60"/>
      <c r="E484" s="56"/>
      <c r="F484" s="56"/>
      <c r="G484" s="14"/>
      <c r="H484" s="61"/>
      <c r="I484" s="15"/>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row>
    <row r="485" spans="2:41" s="171" customFormat="1" x14ac:dyDescent="0.25">
      <c r="B485" s="13"/>
      <c r="C485" s="13"/>
      <c r="D485" s="60"/>
      <c r="E485" s="56"/>
      <c r="F485" s="56"/>
      <c r="G485" s="14"/>
      <c r="H485" s="61"/>
      <c r="I485" s="15"/>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row>
    <row r="486" spans="2:41" s="171" customFormat="1" x14ac:dyDescent="0.25">
      <c r="B486" s="13"/>
      <c r="C486" s="13"/>
      <c r="D486" s="60"/>
      <c r="E486" s="56"/>
      <c r="F486" s="56"/>
      <c r="G486" s="14"/>
      <c r="H486" s="61"/>
      <c r="I486" s="15"/>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row>
    <row r="487" spans="2:41" s="171" customFormat="1" x14ac:dyDescent="0.25">
      <c r="B487" s="13"/>
      <c r="C487" s="62"/>
      <c r="D487" s="63"/>
      <c r="E487" s="64"/>
      <c r="F487" s="64"/>
      <c r="G487" s="64"/>
      <c r="H487" s="65"/>
      <c r="I487" s="15"/>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row>
    <row r="488" spans="2:41" s="171" customFormat="1" ht="18.75" x14ac:dyDescent="0.3">
      <c r="B488" s="67"/>
      <c r="C488" s="14"/>
      <c r="D488" s="60"/>
      <c r="E488" s="66"/>
      <c r="F488" s="56"/>
      <c r="G488" s="14"/>
      <c r="H488" s="56"/>
      <c r="I488" s="68"/>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row>
    <row r="489" spans="2:41" s="171" customFormat="1" x14ac:dyDescent="0.25">
      <c r="B489" s="13"/>
      <c r="C489" s="10"/>
      <c r="D489" s="11"/>
      <c r="E489" s="56"/>
      <c r="F489" s="58"/>
      <c r="G489" s="11"/>
      <c r="H489" s="59"/>
      <c r="I489" s="15"/>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row>
    <row r="490" spans="2:41" s="171" customFormat="1" x14ac:dyDescent="0.25">
      <c r="B490" s="13"/>
      <c r="C490" s="13"/>
      <c r="D490" s="60"/>
      <c r="E490" s="56"/>
      <c r="F490" s="56"/>
      <c r="G490" s="14"/>
      <c r="H490" s="15"/>
      <c r="I490" s="15"/>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row>
    <row r="491" spans="2:41" s="171" customFormat="1" x14ac:dyDescent="0.25">
      <c r="B491" s="13"/>
      <c r="C491" s="13"/>
      <c r="D491" s="60"/>
      <c r="E491" s="56"/>
      <c r="F491" s="56"/>
      <c r="G491" s="14"/>
      <c r="H491" s="61"/>
      <c r="I491" s="15"/>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row>
    <row r="492" spans="2:41" s="171" customFormat="1" x14ac:dyDescent="0.25">
      <c r="B492" s="13"/>
      <c r="C492" s="13"/>
      <c r="D492" s="60"/>
      <c r="E492" s="56"/>
      <c r="F492" s="56"/>
      <c r="G492" s="14"/>
      <c r="H492" s="61"/>
      <c r="I492" s="15"/>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row>
    <row r="493" spans="2:41" s="171" customFormat="1" x14ac:dyDescent="0.25">
      <c r="B493" s="13"/>
      <c r="C493" s="13"/>
      <c r="D493" s="60"/>
      <c r="E493" s="56"/>
      <c r="F493" s="56"/>
      <c r="G493" s="14"/>
      <c r="H493" s="61"/>
      <c r="I493" s="15"/>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row>
    <row r="494" spans="2:41" s="171" customFormat="1" x14ac:dyDescent="0.25">
      <c r="B494" s="13"/>
      <c r="C494" s="62"/>
      <c r="D494" s="63"/>
      <c r="E494" s="64"/>
      <c r="F494" s="64"/>
      <c r="G494" s="64"/>
      <c r="H494" s="65"/>
      <c r="I494" s="15"/>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row>
    <row r="495" spans="2:41" s="171" customFormat="1" x14ac:dyDescent="0.25">
      <c r="B495" s="13"/>
      <c r="C495" s="14"/>
      <c r="D495" s="60"/>
      <c r="E495" s="66"/>
      <c r="F495" s="56"/>
      <c r="G495" s="14"/>
      <c r="H495" s="56"/>
      <c r="I495" s="15"/>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row>
    <row r="496" spans="2:41" s="171" customFormat="1" ht="18.75" x14ac:dyDescent="0.3">
      <c r="B496" s="67"/>
      <c r="C496" s="10"/>
      <c r="D496" s="11"/>
      <c r="E496" s="56"/>
      <c r="F496" s="58"/>
      <c r="G496" s="11"/>
      <c r="H496" s="59"/>
      <c r="I496" s="68"/>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row>
    <row r="497" spans="2:41" s="171" customFormat="1" x14ac:dyDescent="0.25">
      <c r="B497" s="13"/>
      <c r="C497" s="13"/>
      <c r="D497" s="60"/>
      <c r="E497" s="56"/>
      <c r="F497" s="56"/>
      <c r="G497" s="14"/>
      <c r="H497" s="15"/>
      <c r="I497" s="15"/>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row>
    <row r="498" spans="2:41" s="171" customFormat="1" x14ac:dyDescent="0.25">
      <c r="B498" s="13"/>
      <c r="C498" s="13"/>
      <c r="D498" s="60"/>
      <c r="E498" s="56"/>
      <c r="F498" s="56"/>
      <c r="G498" s="14"/>
      <c r="H498" s="61"/>
      <c r="I498" s="15"/>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row>
    <row r="499" spans="2:41" s="171" customFormat="1" x14ac:dyDescent="0.25">
      <c r="B499" s="13"/>
      <c r="C499" s="13"/>
      <c r="D499" s="60"/>
      <c r="E499" s="56"/>
      <c r="F499" s="56"/>
      <c r="G499" s="14"/>
      <c r="H499" s="61"/>
      <c r="I499" s="15"/>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row>
    <row r="500" spans="2:41" s="171" customFormat="1" x14ac:dyDescent="0.25">
      <c r="B500" s="13"/>
      <c r="C500" s="13"/>
      <c r="D500" s="60"/>
      <c r="E500" s="56"/>
      <c r="F500" s="56"/>
      <c r="G500" s="14"/>
      <c r="H500" s="61"/>
      <c r="I500" s="15"/>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row>
    <row r="501" spans="2:41" s="171" customFormat="1" x14ac:dyDescent="0.25">
      <c r="B501" s="13"/>
      <c r="C501" s="62"/>
      <c r="D501" s="63"/>
      <c r="E501" s="64"/>
      <c r="F501" s="64"/>
      <c r="G501" s="64"/>
      <c r="H501" s="65"/>
      <c r="I501" s="15"/>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row>
    <row r="502" spans="2:41" s="171" customFormat="1" x14ac:dyDescent="0.25">
      <c r="B502" s="13"/>
      <c r="C502" s="14"/>
      <c r="D502" s="60"/>
      <c r="E502" s="66"/>
      <c r="F502" s="56"/>
      <c r="G502" s="14"/>
      <c r="H502" s="56"/>
      <c r="I502" s="15"/>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row>
    <row r="503" spans="2:41" s="171" customFormat="1" x14ac:dyDescent="0.25">
      <c r="B503" s="13"/>
      <c r="C503" s="10"/>
      <c r="D503" s="11"/>
      <c r="E503" s="56"/>
      <c r="F503" s="58"/>
      <c r="G503" s="11"/>
      <c r="H503" s="59"/>
      <c r="I503" s="15"/>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row>
    <row r="504" spans="2:41" s="171" customFormat="1" ht="18.75" x14ac:dyDescent="0.3">
      <c r="B504" s="67"/>
      <c r="C504" s="13"/>
      <c r="D504" s="60"/>
      <c r="E504" s="56"/>
      <c r="F504" s="56"/>
      <c r="G504" s="14"/>
      <c r="H504" s="15"/>
      <c r="I504" s="68"/>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row>
    <row r="505" spans="2:41" s="171" customFormat="1" x14ac:dyDescent="0.25">
      <c r="B505" s="13"/>
      <c r="C505" s="13"/>
      <c r="D505" s="60"/>
      <c r="E505" s="56"/>
      <c r="F505" s="56"/>
      <c r="G505" s="14"/>
      <c r="H505" s="61"/>
      <c r="I505" s="15"/>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row>
    <row r="506" spans="2:41" s="171" customFormat="1" x14ac:dyDescent="0.25">
      <c r="B506" s="13"/>
      <c r="C506" s="13"/>
      <c r="D506" s="60"/>
      <c r="E506" s="56"/>
      <c r="F506" s="56"/>
      <c r="G506" s="14"/>
      <c r="H506" s="61"/>
      <c r="I506" s="15"/>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row>
    <row r="507" spans="2:41" s="171" customFormat="1" x14ac:dyDescent="0.25">
      <c r="B507" s="13"/>
      <c r="C507" s="13"/>
      <c r="D507" s="60"/>
      <c r="E507" s="56"/>
      <c r="F507" s="56"/>
      <c r="G507" s="14"/>
      <c r="H507" s="61"/>
      <c r="I507" s="15"/>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row>
    <row r="508" spans="2:41" s="171" customFormat="1" x14ac:dyDescent="0.25">
      <c r="B508" s="13"/>
      <c r="C508" s="62"/>
      <c r="D508" s="63"/>
      <c r="E508" s="64"/>
      <c r="F508" s="64"/>
      <c r="G508" s="64"/>
      <c r="H508" s="65"/>
      <c r="I508" s="15"/>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row>
    <row r="509" spans="2:41" s="171" customFormat="1" x14ac:dyDescent="0.25">
      <c r="B509" s="13"/>
      <c r="C509" s="14"/>
      <c r="D509" s="60"/>
      <c r="E509" s="66"/>
      <c r="F509" s="56"/>
      <c r="G509" s="14"/>
      <c r="H509" s="56"/>
      <c r="I509" s="15"/>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row>
    <row r="510" spans="2:41" s="171" customFormat="1" x14ac:dyDescent="0.25">
      <c r="B510" s="13"/>
      <c r="C510" s="10"/>
      <c r="D510" s="11"/>
      <c r="E510" s="56"/>
      <c r="F510" s="58"/>
      <c r="G510" s="11"/>
      <c r="H510" s="59"/>
      <c r="I510" s="15"/>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row>
    <row r="511" spans="2:41" s="171" customFormat="1" x14ac:dyDescent="0.25">
      <c r="B511" s="13"/>
      <c r="C511" s="13"/>
      <c r="D511" s="60"/>
      <c r="E511" s="56"/>
      <c r="F511" s="56"/>
      <c r="G511" s="14"/>
      <c r="H511" s="15"/>
      <c r="I511" s="15"/>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row>
    <row r="512" spans="2:41" s="171" customFormat="1" ht="18.75" x14ac:dyDescent="0.3">
      <c r="B512" s="67"/>
      <c r="C512" s="13"/>
      <c r="D512" s="60"/>
      <c r="E512" s="56"/>
      <c r="F512" s="56"/>
      <c r="G512" s="14"/>
      <c r="H512" s="61"/>
      <c r="I512" s="68"/>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row>
    <row r="513" spans="2:41" s="171" customFormat="1" x14ac:dyDescent="0.25">
      <c r="B513" s="13"/>
      <c r="C513" s="13"/>
      <c r="D513" s="60"/>
      <c r="E513" s="56"/>
      <c r="F513" s="56"/>
      <c r="G513" s="14"/>
      <c r="H513" s="61"/>
      <c r="I513" s="15"/>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row>
    <row r="514" spans="2:41" s="171" customFormat="1" x14ac:dyDescent="0.25">
      <c r="B514" s="13"/>
      <c r="C514" s="13"/>
      <c r="D514" s="60"/>
      <c r="E514" s="56"/>
      <c r="F514" s="56"/>
      <c r="G514" s="14"/>
      <c r="H514" s="61"/>
      <c r="I514" s="15"/>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row>
    <row r="515" spans="2:41" s="171" customFormat="1" x14ac:dyDescent="0.25">
      <c r="B515" s="13"/>
      <c r="C515" s="62"/>
      <c r="D515" s="63"/>
      <c r="E515" s="64"/>
      <c r="F515" s="64"/>
      <c r="G515" s="64"/>
      <c r="H515" s="65"/>
      <c r="I515" s="15"/>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row>
    <row r="516" spans="2:41" s="171" customFormat="1" x14ac:dyDescent="0.25">
      <c r="B516" s="13"/>
      <c r="C516" s="14"/>
      <c r="D516" s="60"/>
      <c r="E516" s="66"/>
      <c r="F516" s="56"/>
      <c r="G516" s="14"/>
      <c r="H516" s="56"/>
      <c r="I516" s="15"/>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row>
    <row r="517" spans="2:41" s="171" customFormat="1" x14ac:dyDescent="0.25">
      <c r="B517" s="13"/>
      <c r="C517" s="10"/>
      <c r="D517" s="11"/>
      <c r="E517" s="56"/>
      <c r="F517" s="58"/>
      <c r="G517" s="11"/>
      <c r="H517" s="59"/>
      <c r="I517" s="15"/>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row>
    <row r="518" spans="2:41" s="171" customFormat="1" x14ac:dyDescent="0.25">
      <c r="B518" s="13"/>
      <c r="C518" s="13"/>
      <c r="D518" s="60"/>
      <c r="E518" s="56"/>
      <c r="F518" s="56"/>
      <c r="G518" s="14"/>
      <c r="H518" s="15"/>
      <c r="I518" s="15"/>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row>
    <row r="519" spans="2:41" s="171" customFormat="1" x14ac:dyDescent="0.25">
      <c r="B519" s="13"/>
      <c r="C519" s="13"/>
      <c r="D519" s="60"/>
      <c r="E519" s="56"/>
      <c r="F519" s="56"/>
      <c r="G519" s="14"/>
      <c r="H519" s="61"/>
      <c r="I519" s="15"/>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row>
    <row r="520" spans="2:41" s="171" customFormat="1" ht="18.75" x14ac:dyDescent="0.3">
      <c r="B520" s="67"/>
      <c r="C520" s="13"/>
      <c r="D520" s="60"/>
      <c r="E520" s="56"/>
      <c r="F520" s="56"/>
      <c r="G520" s="14"/>
      <c r="H520" s="61"/>
      <c r="I520" s="68"/>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row>
    <row r="521" spans="2:41" s="171" customFormat="1" x14ac:dyDescent="0.25">
      <c r="B521" s="13"/>
      <c r="C521" s="13"/>
      <c r="D521" s="60"/>
      <c r="E521" s="56"/>
      <c r="F521" s="56"/>
      <c r="G521" s="14"/>
      <c r="H521" s="61"/>
      <c r="I521" s="15"/>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row>
    <row r="522" spans="2:41" s="171" customFormat="1" x14ac:dyDescent="0.25">
      <c r="B522" s="13"/>
      <c r="C522" s="62"/>
      <c r="D522" s="63"/>
      <c r="E522" s="64"/>
      <c r="F522" s="64"/>
      <c r="G522" s="64"/>
      <c r="H522" s="65"/>
      <c r="I522" s="15"/>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row>
    <row r="523" spans="2:41" s="171" customFormat="1" x14ac:dyDescent="0.25">
      <c r="B523" s="13"/>
      <c r="C523" s="14"/>
      <c r="D523" s="60"/>
      <c r="E523" s="66"/>
      <c r="F523" s="56"/>
      <c r="G523" s="14"/>
      <c r="H523" s="56"/>
      <c r="I523" s="15"/>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row>
    <row r="524" spans="2:41" s="171" customFormat="1" x14ac:dyDescent="0.25">
      <c r="B524" s="13"/>
      <c r="C524" s="10"/>
      <c r="D524" s="11"/>
      <c r="E524" s="56"/>
      <c r="F524" s="58"/>
      <c r="G524" s="11"/>
      <c r="H524" s="59"/>
      <c r="I524" s="15"/>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row>
    <row r="525" spans="2:41" s="171" customFormat="1" x14ac:dyDescent="0.25">
      <c r="B525" s="13"/>
      <c r="C525" s="13"/>
      <c r="D525" s="60"/>
      <c r="E525" s="56"/>
      <c r="F525" s="56"/>
      <c r="G525" s="14"/>
      <c r="H525" s="15"/>
      <c r="I525" s="15"/>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row>
    <row r="526" spans="2:41" s="171" customFormat="1" x14ac:dyDescent="0.25">
      <c r="B526" s="8"/>
      <c r="C526" s="23"/>
      <c r="D526" s="47"/>
      <c r="E526" s="48"/>
      <c r="F526" s="48"/>
      <c r="G526" s="24"/>
      <c r="H526" s="49"/>
      <c r="I526" s="27"/>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row>
    <row r="527" spans="2:41" s="171" customFormat="1" x14ac:dyDescent="0.25">
      <c r="B527" s="8"/>
      <c r="C527" s="23"/>
      <c r="D527" s="47"/>
      <c r="E527" s="48"/>
      <c r="F527" s="48"/>
      <c r="G527" s="24"/>
      <c r="H527" s="49"/>
      <c r="I527" s="27"/>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row>
    <row r="528" spans="2:41" s="171" customFormat="1" ht="18.75" x14ac:dyDescent="0.3">
      <c r="B528" s="28"/>
      <c r="C528" s="23"/>
      <c r="D528" s="47"/>
      <c r="E528" s="48"/>
      <c r="F528" s="48"/>
      <c r="G528" s="24"/>
      <c r="H528" s="49"/>
      <c r="I528" s="29"/>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row>
    <row r="529" spans="2:41" s="171" customFormat="1" x14ac:dyDescent="0.25">
      <c r="B529" s="8"/>
      <c r="C529" s="50"/>
      <c r="D529" s="51"/>
      <c r="E529" s="52"/>
      <c r="F529" s="52"/>
      <c r="G529" s="52"/>
      <c r="H529" s="53"/>
      <c r="I529" s="27"/>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row>
    <row r="530" spans="2:41" s="171" customFormat="1" x14ac:dyDescent="0.25">
      <c r="B530" s="8"/>
      <c r="C530" s="9"/>
      <c r="D530" s="54"/>
      <c r="E530" s="55"/>
      <c r="F530" s="44"/>
      <c r="G530" s="9"/>
      <c r="H530" s="44"/>
      <c r="I530" s="27"/>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row>
    <row r="531" spans="2:41" s="171" customFormat="1" x14ac:dyDescent="0.25">
      <c r="B531" s="8"/>
      <c r="C531" s="21"/>
      <c r="D531" s="22"/>
      <c r="E531" s="48"/>
      <c r="F531" s="45"/>
      <c r="G531" s="22"/>
      <c r="H531" s="46"/>
      <c r="I531" s="27"/>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row>
    <row r="532" spans="2:41" s="171" customFormat="1" x14ac:dyDescent="0.25">
      <c r="B532" s="8"/>
      <c r="C532" s="23"/>
      <c r="D532" s="47"/>
      <c r="E532" s="48"/>
      <c r="F532" s="48"/>
      <c r="G532" s="24"/>
      <c r="H532" s="25"/>
      <c r="I532" s="27"/>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row>
    <row r="533" spans="2:41" s="171" customFormat="1" x14ac:dyDescent="0.25">
      <c r="B533" s="8"/>
      <c r="C533" s="23"/>
      <c r="D533" s="47"/>
      <c r="E533" s="48"/>
      <c r="F533" s="48"/>
      <c r="G533" s="24"/>
      <c r="H533" s="49"/>
      <c r="I533" s="27"/>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row>
    <row r="534" spans="2:41" s="171" customFormat="1" x14ac:dyDescent="0.25">
      <c r="B534" s="8"/>
      <c r="C534" s="23"/>
      <c r="D534" s="47"/>
      <c r="E534" s="48"/>
      <c r="F534" s="48"/>
      <c r="G534" s="24"/>
      <c r="H534" s="49"/>
      <c r="I534" s="27"/>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row>
    <row r="535" spans="2:41" s="171" customFormat="1" x14ac:dyDescent="0.25">
      <c r="B535" s="8"/>
      <c r="C535" s="23"/>
      <c r="D535" s="47"/>
      <c r="E535" s="48"/>
      <c r="F535" s="48"/>
      <c r="G535" s="24"/>
      <c r="H535" s="49"/>
      <c r="I535" s="27"/>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row>
    <row r="536" spans="2:41" s="171" customFormat="1" ht="18.75" x14ac:dyDescent="0.3">
      <c r="B536" s="28"/>
      <c r="C536" s="50"/>
      <c r="D536" s="51"/>
      <c r="E536" s="52"/>
      <c r="F536" s="52"/>
      <c r="G536" s="52"/>
      <c r="H536" s="53"/>
      <c r="I536" s="29"/>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row>
    <row r="537" spans="2:41" s="171" customFormat="1" x14ac:dyDescent="0.25">
      <c r="B537" s="8"/>
      <c r="C537" s="9"/>
      <c r="D537" s="54"/>
      <c r="E537" s="55"/>
      <c r="F537" s="44"/>
      <c r="G537" s="9"/>
      <c r="H537" s="44"/>
      <c r="I537" s="27"/>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row>
    <row r="538" spans="2:41" s="171" customFormat="1" x14ac:dyDescent="0.25">
      <c r="B538" s="8"/>
      <c r="C538" s="21"/>
      <c r="D538" s="22"/>
      <c r="E538" s="48"/>
      <c r="F538" s="45"/>
      <c r="G538" s="22"/>
      <c r="H538" s="46"/>
      <c r="I538" s="27"/>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row>
    <row r="539" spans="2:41" s="171" customFormat="1" x14ac:dyDescent="0.25">
      <c r="B539" s="8"/>
      <c r="C539" s="23"/>
      <c r="D539" s="47"/>
      <c r="E539" s="48"/>
      <c r="F539" s="48"/>
      <c r="G539" s="24"/>
      <c r="H539" s="25"/>
      <c r="I539" s="27"/>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row>
    <row r="540" spans="2:41" s="171" customFormat="1" x14ac:dyDescent="0.25">
      <c r="B540" s="8"/>
      <c r="C540" s="23"/>
      <c r="D540" s="47"/>
      <c r="E540" s="48"/>
      <c r="F540" s="48"/>
      <c r="G540" s="24"/>
      <c r="H540" s="49"/>
      <c r="I540" s="27"/>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row>
    <row r="541" spans="2:41" s="171" customFormat="1" x14ac:dyDescent="0.25">
      <c r="B541" s="8"/>
      <c r="C541" s="23"/>
      <c r="D541" s="47"/>
      <c r="E541" s="48"/>
      <c r="F541" s="48"/>
      <c r="G541" s="24"/>
      <c r="H541" s="49"/>
      <c r="I541" s="27"/>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row>
    <row r="542" spans="2:41" s="171" customFormat="1" x14ac:dyDescent="0.25">
      <c r="B542" s="8"/>
      <c r="C542" s="23"/>
      <c r="D542" s="47"/>
      <c r="E542" s="48"/>
      <c r="F542" s="48"/>
      <c r="G542" s="24"/>
      <c r="H542" s="49"/>
      <c r="I542" s="27"/>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row>
    <row r="543" spans="2:41" s="171" customFormat="1" x14ac:dyDescent="0.25">
      <c r="B543" s="8"/>
      <c r="C543" s="50"/>
      <c r="D543" s="51"/>
      <c r="E543" s="52"/>
      <c r="F543" s="52"/>
      <c r="G543" s="52"/>
      <c r="H543" s="53"/>
      <c r="I543" s="27"/>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row>
    <row r="544" spans="2:41" s="171" customFormat="1" ht="18.75" x14ac:dyDescent="0.3">
      <c r="B544" s="28"/>
      <c r="C544" s="9"/>
      <c r="D544" s="54"/>
      <c r="E544" s="55"/>
      <c r="F544" s="44"/>
      <c r="G544" s="9"/>
      <c r="H544" s="44"/>
      <c r="I544" s="29"/>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row>
    <row r="545" spans="2:41" s="171" customFormat="1" x14ac:dyDescent="0.25">
      <c r="B545" s="8"/>
      <c r="C545" s="21"/>
      <c r="D545" s="22"/>
      <c r="E545" s="48"/>
      <c r="F545" s="45"/>
      <c r="G545" s="22"/>
      <c r="H545" s="46"/>
      <c r="I545" s="27"/>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row>
    <row r="546" spans="2:41" s="171" customFormat="1" x14ac:dyDescent="0.25">
      <c r="B546" s="8"/>
      <c r="C546" s="23"/>
      <c r="D546" s="47"/>
      <c r="E546" s="48"/>
      <c r="F546" s="48"/>
      <c r="G546" s="24"/>
      <c r="H546" s="25"/>
      <c r="I546" s="27"/>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row>
    <row r="547" spans="2:41" s="171" customFormat="1" x14ac:dyDescent="0.25">
      <c r="B547" s="8"/>
      <c r="C547" s="23"/>
      <c r="D547" s="47"/>
      <c r="E547" s="48"/>
      <c r="F547" s="48"/>
      <c r="G547" s="24"/>
      <c r="H547" s="49"/>
      <c r="I547" s="27"/>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row>
    <row r="548" spans="2:41" s="171" customFormat="1" x14ac:dyDescent="0.25">
      <c r="B548" s="8"/>
      <c r="C548" s="23"/>
      <c r="D548" s="47"/>
      <c r="E548" s="48"/>
      <c r="F548" s="48"/>
      <c r="G548" s="24"/>
      <c r="H548" s="49"/>
      <c r="I548" s="27"/>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row>
    <row r="549" spans="2:41" s="171" customFormat="1" x14ac:dyDescent="0.25">
      <c r="B549" s="8"/>
      <c r="C549" s="23"/>
      <c r="D549" s="47"/>
      <c r="E549" s="48"/>
      <c r="F549" s="48"/>
      <c r="G549" s="24"/>
      <c r="H549" s="49"/>
      <c r="I549" s="27"/>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row>
    <row r="550" spans="2:41" s="171" customFormat="1" x14ac:dyDescent="0.25">
      <c r="B550" s="8"/>
      <c r="C550" s="50"/>
      <c r="D550" s="51"/>
      <c r="E550" s="52"/>
      <c r="F550" s="52"/>
      <c r="G550" s="52"/>
      <c r="H550" s="53"/>
      <c r="I550" s="27"/>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row>
    <row r="551" spans="2:41" s="171" customFormat="1" x14ac:dyDescent="0.25">
      <c r="B551" s="8"/>
      <c r="C551" s="9"/>
      <c r="D551" s="54"/>
      <c r="E551" s="55"/>
      <c r="F551" s="44"/>
      <c r="G551" s="9"/>
      <c r="H551" s="44"/>
      <c r="I551" s="27"/>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row>
    <row r="552" spans="2:41" s="171" customFormat="1" ht="18.75" x14ac:dyDescent="0.3">
      <c r="B552" s="28"/>
      <c r="C552" s="21"/>
      <c r="D552" s="22"/>
      <c r="E552" s="48"/>
      <c r="F552" s="45"/>
      <c r="G552" s="22"/>
      <c r="H552" s="46"/>
      <c r="I552" s="29"/>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row>
    <row r="553" spans="2:41" s="171" customFormat="1" x14ac:dyDescent="0.25">
      <c r="B553" s="8"/>
      <c r="C553" s="23"/>
      <c r="D553" s="47"/>
      <c r="E553" s="48"/>
      <c r="F553" s="48"/>
      <c r="G553" s="24"/>
      <c r="H553" s="25"/>
      <c r="I553" s="27"/>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row>
    <row r="554" spans="2:41" s="171" customFormat="1" x14ac:dyDescent="0.25">
      <c r="B554" s="8"/>
      <c r="C554" s="23"/>
      <c r="D554" s="47"/>
      <c r="E554" s="48"/>
      <c r="F554" s="48"/>
      <c r="G554" s="24"/>
      <c r="H554" s="49"/>
      <c r="I554" s="27"/>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row>
    <row r="555" spans="2:41" s="171" customFormat="1" x14ac:dyDescent="0.25">
      <c r="B555" s="8"/>
      <c r="C555" s="23"/>
      <c r="D555" s="47"/>
      <c r="E555" s="48"/>
      <c r="F555" s="48"/>
      <c r="G555" s="24"/>
      <c r="H555" s="49"/>
      <c r="I555" s="27"/>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row>
    <row r="556" spans="2:41" s="171" customFormat="1" x14ac:dyDescent="0.25">
      <c r="B556" s="8"/>
      <c r="C556" s="23"/>
      <c r="D556" s="47"/>
      <c r="E556" s="48"/>
      <c r="F556" s="48"/>
      <c r="G556" s="24"/>
      <c r="H556" s="49"/>
      <c r="I556" s="27"/>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row>
    <row r="557" spans="2:41" s="171" customFormat="1" x14ac:dyDescent="0.25">
      <c r="B557" s="8"/>
      <c r="C557" s="50"/>
      <c r="D557" s="51"/>
      <c r="E557" s="52"/>
      <c r="F557" s="52"/>
      <c r="G557" s="52"/>
      <c r="H557" s="53"/>
      <c r="I557" s="27"/>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row>
    <row r="558" spans="2:41" s="171" customFormat="1" x14ac:dyDescent="0.25">
      <c r="B558" s="8"/>
      <c r="C558" s="9"/>
      <c r="D558" s="54"/>
      <c r="E558" s="55"/>
      <c r="F558" s="44"/>
      <c r="G558" s="9"/>
      <c r="H558" s="44"/>
      <c r="I558" s="27"/>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row>
    <row r="559" spans="2:41" s="171" customFormat="1" x14ac:dyDescent="0.25">
      <c r="B559" s="8"/>
      <c r="C559" s="21"/>
      <c r="D559" s="22"/>
      <c r="E559" s="48"/>
      <c r="F559" s="45"/>
      <c r="G559" s="22"/>
      <c r="H559" s="46"/>
      <c r="I559" s="27"/>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row>
    <row r="560" spans="2:41" s="171" customFormat="1" ht="18.75" x14ac:dyDescent="0.3">
      <c r="B560" s="28"/>
      <c r="C560" s="23"/>
      <c r="D560" s="47"/>
      <c r="E560" s="48"/>
      <c r="F560" s="48"/>
      <c r="G560" s="24"/>
      <c r="H560" s="25"/>
      <c r="I560" s="29"/>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row>
    <row r="561" spans="2:41" s="171" customFormat="1" x14ac:dyDescent="0.25">
      <c r="B561" s="8"/>
      <c r="C561" s="23"/>
      <c r="D561" s="47"/>
      <c r="E561" s="48"/>
      <c r="F561" s="48"/>
      <c r="G561" s="24"/>
      <c r="H561" s="49"/>
      <c r="I561" s="27"/>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row>
    <row r="562" spans="2:41" s="171" customFormat="1" x14ac:dyDescent="0.25">
      <c r="B562" s="8"/>
      <c r="C562" s="23"/>
      <c r="D562" s="47"/>
      <c r="E562" s="48"/>
      <c r="F562" s="48"/>
      <c r="G562" s="24"/>
      <c r="H562" s="49"/>
      <c r="I562" s="27"/>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row>
    <row r="563" spans="2:41" s="171" customFormat="1" x14ac:dyDescent="0.25">
      <c r="B563" s="8"/>
      <c r="C563" s="23"/>
      <c r="D563" s="47"/>
      <c r="E563" s="48"/>
      <c r="F563" s="48"/>
      <c r="G563" s="24"/>
      <c r="H563" s="49"/>
      <c r="I563" s="27"/>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row>
    <row r="564" spans="2:41" s="171" customFormat="1" x14ac:dyDescent="0.25">
      <c r="B564" s="8"/>
      <c r="C564" s="50"/>
      <c r="D564" s="51"/>
      <c r="E564" s="52"/>
      <c r="F564" s="52"/>
      <c r="G564" s="52"/>
      <c r="H564" s="53"/>
      <c r="I564" s="27"/>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row>
    <row r="565" spans="2:41" s="171" customFormat="1" x14ac:dyDescent="0.25">
      <c r="B565" s="8"/>
      <c r="C565" s="9"/>
      <c r="D565" s="54"/>
      <c r="E565" s="55"/>
      <c r="F565" s="44"/>
      <c r="G565" s="9"/>
      <c r="H565" s="44"/>
      <c r="I565" s="27"/>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row>
    <row r="566" spans="2:41" s="171" customFormat="1" x14ac:dyDescent="0.25">
      <c r="B566" s="8"/>
      <c r="C566" s="21"/>
      <c r="D566" s="22"/>
      <c r="E566" s="48"/>
      <c r="F566" s="45"/>
      <c r="G566" s="22"/>
      <c r="H566" s="46"/>
      <c r="I566" s="27"/>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row>
    <row r="567" spans="2:41" s="171" customFormat="1" x14ac:dyDescent="0.25">
      <c r="B567" s="8"/>
      <c r="C567" s="23"/>
      <c r="D567" s="47"/>
      <c r="E567" s="48"/>
      <c r="F567" s="48"/>
      <c r="G567" s="24"/>
      <c r="H567" s="25"/>
      <c r="I567" s="27"/>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row>
    <row r="568" spans="2:41" s="171" customFormat="1" ht="18.75" x14ac:dyDescent="0.3">
      <c r="B568" s="28"/>
      <c r="C568" s="23"/>
      <c r="D568" s="47"/>
      <c r="E568" s="48"/>
      <c r="F568" s="48"/>
      <c r="G568" s="24"/>
      <c r="H568" s="49"/>
      <c r="I568" s="29"/>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row>
    <row r="569" spans="2:41" s="171" customFormat="1" x14ac:dyDescent="0.25">
      <c r="B569" s="8"/>
      <c r="C569" s="23"/>
      <c r="D569" s="47"/>
      <c r="E569" s="48"/>
      <c r="F569" s="48"/>
      <c r="G569" s="24"/>
      <c r="H569" s="49"/>
      <c r="I569" s="27"/>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row>
    <row r="570" spans="2:41" s="171" customFormat="1" x14ac:dyDescent="0.25">
      <c r="B570" s="8"/>
      <c r="C570" s="23"/>
      <c r="D570" s="47"/>
      <c r="E570" s="48"/>
      <c r="F570" s="48"/>
      <c r="G570" s="24"/>
      <c r="H570" s="49"/>
      <c r="I570" s="27"/>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row>
    <row r="571" spans="2:41" s="171" customFormat="1" x14ac:dyDescent="0.25">
      <c r="B571" s="8"/>
      <c r="C571" s="50"/>
      <c r="D571" s="51"/>
      <c r="E571" s="52"/>
      <c r="F571" s="52"/>
      <c r="G571" s="52"/>
      <c r="H571" s="53"/>
      <c r="I571" s="27"/>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row>
    <row r="572" spans="2:41" s="171" customFormat="1" x14ac:dyDescent="0.25">
      <c r="B572" s="8"/>
      <c r="C572" s="9"/>
      <c r="D572" s="54"/>
      <c r="E572" s="55"/>
      <c r="F572" s="44"/>
      <c r="G572" s="9"/>
      <c r="H572" s="44"/>
      <c r="I572" s="27"/>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row>
    <row r="573" spans="2:41" s="171" customFormat="1" x14ac:dyDescent="0.25">
      <c r="B573" s="8"/>
      <c r="C573" s="21"/>
      <c r="D573" s="22"/>
      <c r="E573" s="48"/>
      <c r="F573" s="45"/>
      <c r="G573" s="22"/>
      <c r="H573" s="46"/>
      <c r="I573" s="27"/>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row>
    <row r="574" spans="2:41" s="171" customFormat="1" x14ac:dyDescent="0.25">
      <c r="B574" s="8"/>
      <c r="C574" s="23"/>
      <c r="D574" s="47"/>
      <c r="E574" s="48"/>
      <c r="F574" s="48"/>
      <c r="G574" s="24"/>
      <c r="H574" s="25"/>
      <c r="I574" s="27"/>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row>
    <row r="575" spans="2:41" s="171" customFormat="1" x14ac:dyDescent="0.25">
      <c r="B575" s="8"/>
      <c r="C575" s="23"/>
      <c r="D575" s="47"/>
      <c r="E575" s="48"/>
      <c r="F575" s="48"/>
      <c r="G575" s="24"/>
      <c r="H575" s="49"/>
      <c r="I575" s="27"/>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row>
    <row r="576" spans="2:41" s="171" customFormat="1" ht="18.75" x14ac:dyDescent="0.3">
      <c r="B576" s="28"/>
      <c r="C576" s="23"/>
      <c r="D576" s="47"/>
      <c r="E576" s="48"/>
      <c r="F576" s="48"/>
      <c r="G576" s="24"/>
      <c r="H576" s="49"/>
      <c r="I576" s="29"/>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row>
    <row r="577" spans="2:41" s="171" customFormat="1" x14ac:dyDescent="0.25">
      <c r="B577" s="8"/>
      <c r="C577" s="23"/>
      <c r="D577" s="47"/>
      <c r="E577" s="48"/>
      <c r="F577" s="48"/>
      <c r="G577" s="24"/>
      <c r="H577" s="49"/>
      <c r="I577" s="27"/>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row>
    <row r="578" spans="2:41" s="171" customFormat="1" x14ac:dyDescent="0.25">
      <c r="B578" s="8"/>
      <c r="C578" s="50"/>
      <c r="D578" s="51"/>
      <c r="E578" s="52"/>
      <c r="F578" s="52"/>
      <c r="G578" s="52"/>
      <c r="H578" s="53"/>
      <c r="I578" s="27"/>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row>
    <row r="579" spans="2:41" s="171" customFormat="1" x14ac:dyDescent="0.25">
      <c r="B579" s="8"/>
      <c r="C579" s="9"/>
      <c r="D579" s="54"/>
      <c r="E579" s="55"/>
      <c r="F579" s="44"/>
      <c r="G579" s="9"/>
      <c r="H579" s="44"/>
      <c r="I579" s="27"/>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row>
    <row r="580" spans="2:41" s="171" customFormat="1" x14ac:dyDescent="0.25">
      <c r="B580" s="8"/>
      <c r="C580" s="21"/>
      <c r="D580" s="22"/>
      <c r="E580" s="48"/>
      <c r="F580" s="45"/>
      <c r="G580" s="22"/>
      <c r="H580" s="46"/>
      <c r="I580" s="27"/>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row>
    <row r="581" spans="2:41" s="171" customFormat="1" x14ac:dyDescent="0.25">
      <c r="B581" s="8"/>
      <c r="C581" s="23"/>
      <c r="D581" s="47"/>
      <c r="E581" s="48"/>
      <c r="F581" s="48"/>
      <c r="G581" s="24"/>
      <c r="H581" s="25"/>
      <c r="I581" s="27"/>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row>
    <row r="582" spans="2:41" s="171" customFormat="1" x14ac:dyDescent="0.25">
      <c r="B582" s="8"/>
      <c r="C582" s="23"/>
      <c r="D582" s="47"/>
      <c r="E582" s="48"/>
      <c r="F582" s="48"/>
      <c r="G582" s="24"/>
      <c r="H582" s="49"/>
      <c r="I582" s="27"/>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row>
    <row r="583" spans="2:41" s="171" customFormat="1" x14ac:dyDescent="0.25">
      <c r="B583" s="8"/>
      <c r="C583" s="23"/>
      <c r="D583" s="47"/>
      <c r="E583" s="48"/>
      <c r="F583" s="48"/>
      <c r="G583" s="24"/>
      <c r="H583" s="49"/>
      <c r="I583" s="27"/>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row>
    <row r="584" spans="2:41" s="171" customFormat="1" ht="18.75" x14ac:dyDescent="0.3">
      <c r="B584" s="28"/>
      <c r="C584" s="23"/>
      <c r="D584" s="47"/>
      <c r="E584" s="48"/>
      <c r="F584" s="48"/>
      <c r="G584" s="24"/>
      <c r="H584" s="49"/>
      <c r="I584" s="29"/>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row>
    <row r="585" spans="2:41" s="171" customFormat="1" x14ac:dyDescent="0.25">
      <c r="B585" s="8"/>
      <c r="C585" s="50"/>
      <c r="D585" s="51"/>
      <c r="E585" s="52"/>
      <c r="F585" s="52"/>
      <c r="G585" s="52"/>
      <c r="H585" s="53"/>
      <c r="I585" s="27"/>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row>
    <row r="586" spans="2:41" s="171" customFormat="1" x14ac:dyDescent="0.25">
      <c r="B586" s="8"/>
      <c r="C586" s="9"/>
      <c r="D586" s="54"/>
      <c r="E586" s="55"/>
      <c r="F586" s="44"/>
      <c r="G586" s="9"/>
      <c r="H586" s="44"/>
      <c r="I586" s="27"/>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row>
    <row r="587" spans="2:41" s="171" customFormat="1" x14ac:dyDescent="0.25">
      <c r="B587" s="8"/>
      <c r="C587" s="21"/>
      <c r="D587" s="22"/>
      <c r="E587" s="48"/>
      <c r="F587" s="45"/>
      <c r="G587" s="22"/>
      <c r="H587" s="46"/>
      <c r="I587" s="27"/>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row>
    <row r="588" spans="2:41" s="171" customFormat="1" x14ac:dyDescent="0.25">
      <c r="B588" s="8"/>
      <c r="C588" s="23"/>
      <c r="D588" s="47"/>
      <c r="E588" s="48"/>
      <c r="F588" s="48"/>
      <c r="G588" s="24"/>
      <c r="H588" s="25"/>
      <c r="I588" s="27"/>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row>
    <row r="589" spans="2:41" s="171" customFormat="1" x14ac:dyDescent="0.25">
      <c r="B589" s="8"/>
      <c r="C589" s="23"/>
      <c r="D589" s="47"/>
      <c r="E589" s="48"/>
      <c r="F589" s="48"/>
      <c r="G589" s="24"/>
      <c r="H589" s="49"/>
      <c r="I589" s="27"/>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row>
    <row r="590" spans="2:41" s="171" customFormat="1" x14ac:dyDescent="0.25">
      <c r="B590" s="8"/>
      <c r="C590" s="23"/>
      <c r="D590" s="47"/>
      <c r="E590" s="48"/>
      <c r="F590" s="48"/>
      <c r="G590" s="24"/>
      <c r="H590" s="49"/>
      <c r="I590" s="27"/>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row>
    <row r="591" spans="2:41" s="171" customFormat="1" x14ac:dyDescent="0.25">
      <c r="B591" s="8"/>
      <c r="C591" s="23"/>
      <c r="D591" s="47"/>
      <c r="E591" s="48"/>
      <c r="F591" s="48"/>
      <c r="G591" s="24"/>
      <c r="H591" s="49"/>
      <c r="I591" s="27"/>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row>
    <row r="592" spans="2:41" s="171" customFormat="1" ht="18.75" x14ac:dyDescent="0.3">
      <c r="B592" s="28"/>
      <c r="C592" s="50"/>
      <c r="D592" s="51"/>
      <c r="E592" s="52"/>
      <c r="F592" s="52"/>
      <c r="G592" s="52"/>
      <c r="H592" s="53"/>
      <c r="I592" s="29"/>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row>
    <row r="593" spans="2:32" s="171" customFormat="1" x14ac:dyDescent="0.25">
      <c r="B593" s="8"/>
      <c r="C593" s="9"/>
      <c r="D593" s="54"/>
      <c r="E593" s="55"/>
      <c r="F593" s="44"/>
      <c r="G593" s="9"/>
      <c r="H593" s="44"/>
      <c r="I593" s="27"/>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row>
    <row r="594" spans="2:32" s="171" customFormat="1" x14ac:dyDescent="0.25">
      <c r="B594" s="8"/>
      <c r="C594" s="21"/>
      <c r="D594" s="22"/>
      <c r="E594" s="48"/>
      <c r="F594" s="45"/>
      <c r="G594" s="22"/>
      <c r="H594" s="46"/>
      <c r="I594" s="27"/>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row>
    <row r="595" spans="2:32" s="171" customFormat="1" x14ac:dyDescent="0.25">
      <c r="B595" s="8"/>
      <c r="C595" s="23"/>
      <c r="D595" s="47"/>
      <c r="E595" s="48"/>
      <c r="F595" s="48"/>
      <c r="G595" s="24"/>
      <c r="H595" s="25"/>
      <c r="I595" s="27"/>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row>
  </sheetData>
  <conditionalFormatting sqref="E139:E144">
    <cfRule type="cellIs" dxfId="78" priority="1" operator="equal">
      <formula>#REF!</formula>
    </cfRule>
  </conditionalFormatting>
  <conditionalFormatting sqref="E196:E270">
    <cfRule type="cellIs" dxfId="77" priority="15" operator="equal">
      <formula>#REF!</formula>
    </cfRule>
  </conditionalFormatting>
  <conditionalFormatting sqref="E145:E194 E275:E595">
    <cfRule type="cellIs" dxfId="76" priority="13" operator="equal">
      <formula>#REF!</formula>
    </cfRule>
  </conditionalFormatting>
  <conditionalFormatting sqref="F5">
    <cfRule type="cellIs" dxfId="75" priority="14" operator="equal">
      <formula>#REF!</formula>
    </cfRule>
  </conditionalFormatting>
  <conditionalFormatting sqref="E138">
    <cfRule type="cellIs" dxfId="74" priority="2" operator="equal">
      <formula>#REF!</formula>
    </cfRule>
  </conditionalFormatting>
  <conditionalFormatting sqref="E82">
    <cfRule type="cellIs" dxfId="73" priority="12" operator="equal">
      <formula>#REF!</formula>
    </cfRule>
  </conditionalFormatting>
  <conditionalFormatting sqref="E83:E88">
    <cfRule type="cellIs" dxfId="72" priority="11" operator="equal">
      <formula>#REF!</formula>
    </cfRule>
  </conditionalFormatting>
  <conditionalFormatting sqref="E89:E95">
    <cfRule type="cellIs" dxfId="71" priority="10" operator="equal">
      <formula>#REF!</formula>
    </cfRule>
  </conditionalFormatting>
  <conditionalFormatting sqref="E96">
    <cfRule type="cellIs" dxfId="70" priority="9" operator="equal">
      <formula>#REF!</formula>
    </cfRule>
  </conditionalFormatting>
  <conditionalFormatting sqref="E97:E102">
    <cfRule type="cellIs" dxfId="69" priority="8" operator="equal">
      <formula>#REF!</formula>
    </cfRule>
  </conditionalFormatting>
  <conditionalFormatting sqref="E103:E109">
    <cfRule type="cellIs" dxfId="68" priority="7" operator="equal">
      <formula>#REF!</formula>
    </cfRule>
  </conditionalFormatting>
  <conditionalFormatting sqref="E110">
    <cfRule type="cellIs" dxfId="67" priority="6" operator="equal">
      <formula>#REF!</formula>
    </cfRule>
  </conditionalFormatting>
  <conditionalFormatting sqref="E124">
    <cfRule type="cellIs" dxfId="66" priority="5" operator="equal">
      <formula>#REF!</formula>
    </cfRule>
  </conditionalFormatting>
  <conditionalFormatting sqref="E125:E130">
    <cfRule type="cellIs" dxfId="65" priority="4" operator="equal">
      <formula>#REF!</formula>
    </cfRule>
  </conditionalFormatting>
  <conditionalFormatting sqref="E131:E137">
    <cfRule type="cellIs" dxfId="64" priority="3" operator="equal">
      <formula>#REF!</formula>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4" tint="-0.249977111117893"/>
  </sheetPr>
  <dimension ref="A1"/>
  <sheetViews>
    <sheetView workbookViewId="0"/>
  </sheetViews>
  <sheetFormatPr defaultColWidth="8.85546875" defaultRowHeight="15" x14ac:dyDescent="0.25"/>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9"/>
  <dimension ref="B1:BI83"/>
  <sheetViews>
    <sheetView zoomScaleNormal="100" workbookViewId="0"/>
  </sheetViews>
  <sheetFormatPr defaultColWidth="9.140625" defaultRowHeight="15" x14ac:dyDescent="0.25"/>
  <cols>
    <col min="1" max="1" width="9.140625" style="201"/>
    <col min="2" max="2" width="3.7109375" style="201" customWidth="1"/>
    <col min="3" max="3" width="22.42578125" style="201" bestFit="1" customWidth="1"/>
    <col min="4" max="4" width="17.85546875" style="201" customWidth="1"/>
    <col min="5" max="5" width="12.85546875" style="201" bestFit="1" customWidth="1"/>
    <col min="6" max="6" width="9.42578125" style="201" bestFit="1" customWidth="1"/>
    <col min="7" max="7" width="14.5703125" style="201" bestFit="1" customWidth="1"/>
    <col min="8" max="8" width="19.28515625" style="201" bestFit="1" customWidth="1"/>
    <col min="9" max="9" width="14.28515625" style="201" bestFit="1" customWidth="1"/>
    <col min="10" max="10" width="15.5703125" style="201" customWidth="1"/>
    <col min="11" max="11" width="19.140625" style="201" bestFit="1" customWidth="1"/>
    <col min="12" max="12" width="10.5703125" style="201" customWidth="1"/>
    <col min="13" max="13" width="18.85546875" style="201" bestFit="1" customWidth="1"/>
    <col min="14" max="14" width="17" style="201" bestFit="1" customWidth="1"/>
    <col min="15" max="15" width="11.5703125" style="201" bestFit="1" customWidth="1"/>
    <col min="16" max="16" width="8.28515625" style="201" customWidth="1"/>
    <col min="17" max="17" width="19" style="201" bestFit="1" customWidth="1"/>
    <col min="18" max="18" width="10" style="201" bestFit="1" customWidth="1"/>
    <col min="19" max="20" width="15.28515625" style="201" bestFit="1" customWidth="1"/>
    <col min="21" max="21" width="21.85546875" style="201" customWidth="1"/>
    <col min="22" max="22" width="17.42578125" style="201" bestFit="1" customWidth="1"/>
    <col min="23" max="23" width="6.85546875" style="201" bestFit="1" customWidth="1"/>
    <col min="24" max="24" width="16.85546875" style="201" bestFit="1" customWidth="1"/>
    <col min="25" max="28" width="9.140625" style="201"/>
    <col min="29" max="29" width="11.5703125" style="201" bestFit="1" customWidth="1"/>
    <col min="30" max="31" width="9.140625" style="201"/>
    <col min="32" max="32" width="14.28515625" style="201" bestFit="1" customWidth="1"/>
    <col min="33" max="33" width="9.140625" style="201"/>
    <col min="34" max="34" width="9.5703125" style="201" bestFit="1" customWidth="1"/>
    <col min="35" max="38" width="9.140625" style="201"/>
    <col min="39" max="39" width="10.5703125" style="201" bestFit="1" customWidth="1"/>
    <col min="40" max="40" width="9.140625" style="201"/>
    <col min="41" max="41" width="13.7109375" style="201" bestFit="1" customWidth="1"/>
    <col min="42" max="42" width="10.5703125" style="201" bestFit="1" customWidth="1"/>
    <col min="43" max="16384" width="9.140625" style="201"/>
  </cols>
  <sheetData>
    <row r="1" spans="2:59" ht="45" customHeight="1" x14ac:dyDescent="0.4">
      <c r="B1" s="200" t="str">
        <f>"ELECTROLYSIS ("&amp;Parameters!$D$6&amp;")"</f>
        <v>ELECTROLYSIS (P15 Scenario 1)</v>
      </c>
    </row>
    <row r="2" spans="2:59" x14ac:dyDescent="0.25">
      <c r="B2" s="202"/>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row>
    <row r="3" spans="2:59" x14ac:dyDescent="0.25">
      <c r="B3" s="202"/>
      <c r="C3" s="202"/>
      <c r="D3" s="202"/>
      <c r="E3" s="202"/>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c r="BA3" s="202"/>
      <c r="BB3" s="202"/>
      <c r="BC3" s="202"/>
      <c r="BD3" s="202"/>
    </row>
    <row r="4" spans="2:59" x14ac:dyDescent="0.25">
      <c r="B4" s="202"/>
      <c r="C4" s="225" t="s">
        <v>579</v>
      </c>
      <c r="D4" s="898"/>
      <c r="E4" s="224"/>
      <c r="F4" s="224"/>
      <c r="G4" s="224"/>
      <c r="H4" s="224"/>
      <c r="I4" s="224"/>
      <c r="J4" s="223"/>
      <c r="K4" s="202"/>
      <c r="L4" s="225" t="s">
        <v>578</v>
      </c>
      <c r="M4" s="224"/>
      <c r="N4" s="224"/>
      <c r="O4" s="224"/>
      <c r="P4" s="223"/>
      <c r="Q4" s="202"/>
      <c r="R4" s="225" t="s">
        <v>577</v>
      </c>
      <c r="S4" s="224"/>
      <c r="T4" s="224"/>
      <c r="U4" s="224"/>
      <c r="V4" s="223"/>
      <c r="W4" s="202"/>
      <c r="X4" s="202"/>
      <c r="Y4" s="202"/>
      <c r="Z4" s="232"/>
      <c r="AA4" s="195"/>
      <c r="AB4" s="202"/>
      <c r="AC4" s="202"/>
      <c r="AD4" s="202"/>
      <c r="AE4" s="21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c r="BF4" s="202"/>
      <c r="BG4" s="202"/>
    </row>
    <row r="5" spans="2:59" x14ac:dyDescent="0.25">
      <c r="B5" s="202"/>
      <c r="C5" s="211"/>
      <c r="D5" s="210" t="str">
        <f>Parameters!E15</f>
        <v>Electricity price scenario</v>
      </c>
      <c r="E5" s="210" t="str">
        <f>Parameters!G15</f>
        <v>Frontier Base Case</v>
      </c>
      <c r="F5" s="210" t="str">
        <f>Parameters!F15</f>
        <v>[EUR/MWh]</v>
      </c>
      <c r="G5" s="210"/>
      <c r="H5" s="210"/>
      <c r="I5" s="210"/>
      <c r="J5" s="208"/>
      <c r="K5" s="202"/>
      <c r="L5" s="211"/>
      <c r="M5" s="210"/>
      <c r="N5" s="210"/>
      <c r="O5" s="210"/>
      <c r="P5" s="208"/>
      <c r="Q5" s="202"/>
      <c r="R5" s="211"/>
      <c r="S5" s="210"/>
      <c r="T5" s="210"/>
      <c r="U5" s="210"/>
      <c r="V5" s="208"/>
      <c r="W5" s="202"/>
      <c r="X5" s="202"/>
      <c r="Y5" s="202"/>
      <c r="Z5" s="244"/>
      <c r="AA5" s="196"/>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E5" s="202"/>
      <c r="BF5" s="202"/>
      <c r="BG5" s="202"/>
    </row>
    <row r="6" spans="2:59" x14ac:dyDescent="0.25">
      <c r="B6" s="202"/>
      <c r="C6" s="211"/>
      <c r="D6" s="236" t="str">
        <f>Parameters!E391</f>
        <v>Size electrolyser</v>
      </c>
      <c r="E6" s="295">
        <f>Parameters!G391</f>
        <v>100</v>
      </c>
      <c r="F6" s="236" t="str">
        <f>Parameters!F391</f>
        <v>MW</v>
      </c>
      <c r="G6" s="210"/>
      <c r="H6" s="236"/>
      <c r="I6" s="236"/>
      <c r="J6" s="208"/>
      <c r="K6" s="202"/>
      <c r="L6" s="211"/>
      <c r="M6" s="210"/>
      <c r="N6" s="210"/>
      <c r="O6" s="210"/>
      <c r="P6" s="208"/>
      <c r="Q6" s="202"/>
      <c r="R6" s="211"/>
      <c r="S6" s="210"/>
      <c r="T6" s="210"/>
      <c r="U6" s="210"/>
      <c r="V6" s="208"/>
      <c r="W6" s="202"/>
      <c r="X6" s="202"/>
      <c r="Y6" s="202"/>
      <c r="Z6" s="244"/>
      <c r="AA6" s="196"/>
      <c r="AB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AZ6" s="202"/>
      <c r="BA6" s="202"/>
      <c r="BB6" s="202"/>
      <c r="BC6" s="202"/>
      <c r="BD6" s="202"/>
      <c r="BE6" s="202"/>
      <c r="BF6" s="202"/>
      <c r="BG6" s="202"/>
    </row>
    <row r="7" spans="2:59" x14ac:dyDescent="0.25">
      <c r="B7" s="202"/>
      <c r="C7" s="211"/>
      <c r="D7" s="414" t="str">
        <f>Parameters!E392</f>
        <v>Electricity benchmark price</v>
      </c>
      <c r="E7" s="897">
        <f>Parameters!G392</f>
        <v>42.553191489361701</v>
      </c>
      <c r="F7" s="239" t="s">
        <v>1045</v>
      </c>
      <c r="G7" s="210"/>
      <c r="H7" s="239"/>
      <c r="I7" s="239"/>
      <c r="J7" s="215"/>
      <c r="K7" s="202"/>
      <c r="L7" s="211"/>
      <c r="M7" s="239" t="s">
        <v>559</v>
      </c>
      <c r="N7" s="236"/>
      <c r="O7" s="236"/>
      <c r="P7" s="215"/>
      <c r="Q7" s="202"/>
      <c r="R7" s="211"/>
      <c r="S7" s="289" t="s">
        <v>559</v>
      </c>
      <c r="T7" s="240"/>
      <c r="U7" s="236"/>
      <c r="V7" s="215"/>
      <c r="W7" s="202"/>
      <c r="X7" s="202"/>
      <c r="Y7" s="202"/>
      <c r="Z7" s="197"/>
      <c r="AA7" s="196"/>
      <c r="AB7" s="202"/>
      <c r="AC7" s="202"/>
      <c r="AD7" s="202"/>
      <c r="AE7" s="202"/>
      <c r="AF7" s="202"/>
      <c r="AG7" s="202"/>
      <c r="AH7" s="202"/>
      <c r="AI7" s="202"/>
      <c r="AJ7" s="202"/>
      <c r="AK7" s="202"/>
      <c r="AL7" s="202"/>
      <c r="AM7" s="202"/>
      <c r="AN7" s="202"/>
      <c r="AO7" s="202"/>
      <c r="AP7" s="202"/>
      <c r="AQ7" s="202"/>
      <c r="AR7" s="202"/>
      <c r="AS7" s="202"/>
      <c r="AT7" s="202"/>
      <c r="AU7" s="202"/>
      <c r="AV7" s="202"/>
      <c r="AW7" s="202"/>
      <c r="AX7" s="202"/>
      <c r="AY7" s="202"/>
      <c r="AZ7" s="202"/>
      <c r="BA7" s="202"/>
      <c r="BB7" s="202"/>
      <c r="BC7" s="202"/>
      <c r="BD7" s="202"/>
      <c r="BE7" s="202"/>
      <c r="BF7" s="202"/>
      <c r="BG7" s="202"/>
    </row>
    <row r="8" spans="2:59" x14ac:dyDescent="0.25">
      <c r="B8" s="202"/>
      <c r="C8" s="211"/>
      <c r="D8" s="220" t="str">
        <f>Parameters!E405</f>
        <v>Hours below benchmark price</v>
      </c>
      <c r="E8" s="264">
        <f>Parameters!G405</f>
        <v>0.42894592162422679</v>
      </c>
      <c r="F8" s="891"/>
      <c r="G8" s="891"/>
      <c r="H8" s="239"/>
      <c r="I8" s="239"/>
      <c r="J8" s="215"/>
      <c r="K8" s="202"/>
      <c r="L8" s="211"/>
      <c r="M8" s="236" t="str">
        <f>Parameters!E415</f>
        <v>Power requirement desalination unit</v>
      </c>
      <c r="N8" s="243">
        <f>Parameters!G415</f>
        <v>8.9999999999999993E-3</v>
      </c>
      <c r="O8" s="267" t="str">
        <f>Parameters!F415</f>
        <v>kW / (litre/hour)</v>
      </c>
      <c r="P8" s="215"/>
      <c r="Q8" s="202"/>
      <c r="R8" s="211"/>
      <c r="S8" s="414" t="str">
        <f>I52</f>
        <v>Relative capex desalination unit</v>
      </c>
      <c r="T8" s="295">
        <f>J52</f>
        <v>842400.00000000012</v>
      </c>
      <c r="U8" s="239" t="str">
        <f t="shared" ref="U8" si="0">K52</f>
        <v>€</v>
      </c>
      <c r="V8" s="215"/>
      <c r="W8" s="202"/>
      <c r="X8" s="202"/>
      <c r="Y8" s="202"/>
      <c r="Z8" s="232"/>
      <c r="AA8" s="232"/>
      <c r="AB8" s="232"/>
      <c r="AC8" s="202"/>
      <c r="AD8" s="202"/>
      <c r="AE8" s="202"/>
      <c r="AF8" s="202"/>
      <c r="AG8" s="202"/>
      <c r="AH8" s="202"/>
      <c r="AI8" s="202"/>
      <c r="AJ8" s="202"/>
      <c r="AK8" s="202"/>
      <c r="AL8" s="202"/>
      <c r="AM8" s="202"/>
      <c r="AN8" s="202"/>
      <c r="AO8" s="202"/>
      <c r="AP8" s="202"/>
      <c r="AQ8" s="202"/>
      <c r="AR8" s="202"/>
      <c r="AS8" s="202"/>
      <c r="AT8" s="202"/>
      <c r="AU8" s="202"/>
      <c r="AV8" s="202"/>
      <c r="AW8" s="202"/>
      <c r="AX8" s="202"/>
      <c r="AY8" s="202"/>
      <c r="AZ8" s="202"/>
      <c r="BA8" s="202"/>
      <c r="BB8" s="202"/>
      <c r="BC8" s="202"/>
      <c r="BD8" s="202"/>
      <c r="BE8" s="202"/>
      <c r="BF8" s="202"/>
      <c r="BG8" s="202"/>
    </row>
    <row r="9" spans="2:59" x14ac:dyDescent="0.25">
      <c r="B9" s="202"/>
      <c r="C9" s="211"/>
      <c r="D9" s="302" t="str">
        <f>Parameters!E406</f>
        <v>Average price during period below benchmark</v>
      </c>
      <c r="E9" s="976">
        <f>IFERROR(Parameters!G406,0)</f>
        <v>30.291688346263779</v>
      </c>
      <c r="F9" s="239" t="str">
        <f>Parameters!F406</f>
        <v>€/MWh</v>
      </c>
      <c r="G9" s="894"/>
      <c r="H9" s="237"/>
      <c r="I9" s="237"/>
      <c r="J9" s="208"/>
      <c r="K9" s="202"/>
      <c r="L9" s="211"/>
      <c r="M9" s="236" t="str">
        <f>Parameters!E395</f>
        <v>Fresh water infeed electrolyser</v>
      </c>
      <c r="N9" s="243">
        <f>Parameters!G395</f>
        <v>270</v>
      </c>
      <c r="O9" s="235" t="str">
        <f>Parameters!F395</f>
        <v>litre / MWh</v>
      </c>
      <c r="P9" s="208"/>
      <c r="Q9" s="202"/>
      <c r="R9" s="211"/>
      <c r="S9" s="414" t="str">
        <f>I53</f>
        <v>Relative opex desalination unit</v>
      </c>
      <c r="T9" s="240">
        <f t="shared" ref="T9:U9" si="1">J53</f>
        <v>21060.000000000004</v>
      </c>
      <c r="U9" s="239" t="str">
        <f t="shared" si="1"/>
        <v>€ / a</v>
      </c>
      <c r="V9" s="208"/>
      <c r="W9" s="202"/>
      <c r="X9" s="202"/>
      <c r="Y9" s="202"/>
      <c r="Z9" s="232"/>
      <c r="AA9" s="232"/>
      <c r="AB9" s="232"/>
      <c r="AC9" s="202"/>
      <c r="AD9" s="202"/>
      <c r="AE9" s="202"/>
      <c r="AF9" s="202"/>
      <c r="AG9" s="202"/>
      <c r="AH9" s="202"/>
      <c r="AI9" s="202"/>
      <c r="AJ9" s="202"/>
      <c r="AK9" s="202"/>
      <c r="AL9" s="202"/>
      <c r="AM9" s="202"/>
      <c r="AN9" s="202"/>
      <c r="AO9" s="202"/>
      <c r="AP9" s="202"/>
      <c r="AQ9" s="202"/>
      <c r="AR9" s="202"/>
      <c r="AS9" s="202"/>
      <c r="AT9" s="202"/>
      <c r="AU9" s="202"/>
      <c r="AV9" s="202"/>
      <c r="AW9" s="202"/>
      <c r="AX9" s="202"/>
      <c r="AY9" s="202"/>
      <c r="AZ9" s="202"/>
      <c r="BA9" s="202"/>
      <c r="BB9" s="202"/>
      <c r="BC9" s="202"/>
      <c r="BD9" s="202"/>
      <c r="BE9" s="202"/>
      <c r="BF9" s="202"/>
      <c r="BG9" s="202"/>
    </row>
    <row r="10" spans="2:59" x14ac:dyDescent="0.25">
      <c r="B10" s="202"/>
      <c r="C10" s="211"/>
      <c r="D10" s="236" t="str">
        <f>Parameters!E37</f>
        <v>Transport tariff</v>
      </c>
      <c r="E10" s="295">
        <f>Parameters!$G$37</f>
        <v>2</v>
      </c>
      <c r="F10" s="236" t="str">
        <f>Parameters!F37</f>
        <v>EUR / MWh</v>
      </c>
      <c r="G10" s="210"/>
      <c r="H10" s="237"/>
      <c r="I10" s="237"/>
      <c r="J10" s="208"/>
      <c r="K10" s="202"/>
      <c r="L10" s="211"/>
      <c r="M10" s="214"/>
      <c r="N10" s="241"/>
      <c r="O10" s="210"/>
      <c r="P10" s="208"/>
      <c r="Q10" s="238"/>
      <c r="R10" s="211"/>
      <c r="S10" s="236" t="str">
        <f>U43</f>
        <v>Energy requirement desalination unit</v>
      </c>
      <c r="T10" s="240">
        <f t="shared" ref="T10:U10" si="2">V43</f>
        <v>913.08860444305901</v>
      </c>
      <c r="U10" s="239" t="str">
        <f t="shared" si="2"/>
        <v>MWh/a</v>
      </c>
      <c r="V10" s="208"/>
      <c r="W10" s="202"/>
      <c r="X10" s="202"/>
      <c r="Y10" s="202"/>
      <c r="Z10" s="232"/>
      <c r="AA10" s="232"/>
      <c r="AB10" s="232"/>
      <c r="AC10" s="202"/>
      <c r="AD10" s="202"/>
      <c r="AE10" s="202"/>
      <c r="AF10" s="202"/>
      <c r="AG10" s="202"/>
      <c r="AH10" s="202"/>
      <c r="AI10" s="202"/>
      <c r="AJ10" s="202"/>
      <c r="AK10" s="202"/>
      <c r="AL10" s="202"/>
      <c r="AM10" s="202"/>
      <c r="AN10" s="202"/>
      <c r="AO10" s="202"/>
      <c r="AP10" s="202"/>
      <c r="AQ10" s="202"/>
      <c r="AR10" s="202"/>
      <c r="AS10" s="202"/>
      <c r="AT10" s="202"/>
      <c r="AU10" s="202"/>
      <c r="AV10" s="202"/>
      <c r="AW10" s="202"/>
      <c r="AX10" s="202"/>
      <c r="AY10" s="202"/>
      <c r="AZ10" s="202"/>
      <c r="BA10" s="202"/>
      <c r="BB10" s="202"/>
      <c r="BC10" s="202"/>
      <c r="BD10" s="202"/>
      <c r="BE10" s="202"/>
      <c r="BF10" s="202"/>
      <c r="BG10" s="202"/>
    </row>
    <row r="11" spans="2:59" x14ac:dyDescent="0.25">
      <c r="B11" s="202"/>
      <c r="C11" s="211"/>
      <c r="D11" s="242"/>
      <c r="E11" s="237"/>
      <c r="F11" s="237"/>
      <c r="G11" s="210"/>
      <c r="H11" s="237"/>
      <c r="I11" s="237"/>
      <c r="J11" s="208"/>
      <c r="K11" s="202"/>
      <c r="L11" s="211"/>
      <c r="M11" s="214"/>
      <c r="N11" s="241"/>
      <c r="O11" s="210"/>
      <c r="P11" s="208"/>
      <c r="Q11" s="238"/>
      <c r="R11" s="211"/>
      <c r="S11" s="236"/>
      <c r="T11" s="240"/>
      <c r="U11" s="239"/>
      <c r="V11" s="208"/>
      <c r="W11" s="202"/>
      <c r="X11" s="202"/>
      <c r="Y11" s="202"/>
      <c r="Z11" s="232"/>
      <c r="AA11" s="232"/>
      <c r="AB11" s="232"/>
      <c r="AC11" s="202"/>
      <c r="AD11" s="202"/>
      <c r="AE11" s="202"/>
      <c r="AF11" s="202"/>
      <c r="AG11" s="202"/>
      <c r="AH11" s="202"/>
      <c r="AI11" s="202"/>
      <c r="AJ11" s="202"/>
      <c r="AK11" s="202"/>
      <c r="AL11" s="202"/>
      <c r="AM11" s="202"/>
      <c r="AN11" s="202"/>
      <c r="AO11" s="202"/>
      <c r="AP11" s="202"/>
      <c r="AQ11" s="202"/>
      <c r="AR11" s="202"/>
      <c r="AS11" s="202"/>
      <c r="AT11" s="202"/>
      <c r="AU11" s="202"/>
      <c r="AV11" s="202"/>
      <c r="AW11" s="202"/>
      <c r="AX11" s="202"/>
      <c r="AY11" s="202"/>
      <c r="AZ11" s="202"/>
      <c r="BA11" s="202"/>
      <c r="BB11" s="202"/>
      <c r="BC11" s="202"/>
      <c r="BD11" s="202"/>
      <c r="BE11" s="202"/>
      <c r="BF11" s="202"/>
      <c r="BG11" s="202"/>
    </row>
    <row r="12" spans="2:59" x14ac:dyDescent="0.25">
      <c r="B12" s="202"/>
      <c r="C12" s="211"/>
      <c r="D12" s="242" t="str">
        <f>Parameters!E14</f>
        <v>Availability</v>
      </c>
      <c r="E12" s="237">
        <f>Parameters!G14</f>
        <v>8760</v>
      </c>
      <c r="F12" s="237" t="str">
        <f>Parameters!F14</f>
        <v>hours / a</v>
      </c>
      <c r="G12" s="210"/>
      <c r="H12" s="237"/>
      <c r="I12" s="237"/>
      <c r="J12" s="208"/>
      <c r="K12" s="202"/>
      <c r="L12" s="211"/>
      <c r="M12" s="236"/>
      <c r="N12" s="236"/>
      <c r="O12" s="236"/>
      <c r="P12" s="208"/>
      <c r="Q12" s="202"/>
      <c r="R12" s="211"/>
      <c r="S12" s="288" t="s">
        <v>589</v>
      </c>
      <c r="T12" s="236"/>
      <c r="U12" s="236"/>
      <c r="V12" s="208"/>
      <c r="W12" s="202"/>
      <c r="X12" s="202"/>
      <c r="Y12" s="202"/>
      <c r="Z12" s="232"/>
      <c r="AA12" s="232"/>
      <c r="AB12" s="202"/>
      <c r="AC12" s="202"/>
      <c r="AD12" s="202"/>
      <c r="AE12" s="202"/>
      <c r="AF12" s="202"/>
      <c r="AG12" s="202"/>
      <c r="AH12" s="202"/>
      <c r="AI12" s="202"/>
      <c r="AJ12" s="202"/>
      <c r="AK12" s="202"/>
      <c r="AL12" s="202"/>
      <c r="AM12" s="202"/>
      <c r="AN12" s="202"/>
      <c r="AO12" s="202"/>
      <c r="AP12" s="202"/>
      <c r="AQ12" s="202"/>
      <c r="AR12" s="202"/>
      <c r="AS12" s="202"/>
      <c r="AT12" s="202"/>
      <c r="AU12" s="202"/>
      <c r="AV12" s="202"/>
      <c r="AW12" s="202"/>
      <c r="AX12" s="202"/>
      <c r="AY12" s="202"/>
      <c r="AZ12" s="202"/>
      <c r="BA12" s="202"/>
      <c r="BB12" s="202"/>
      <c r="BC12" s="202"/>
      <c r="BD12" s="202"/>
      <c r="BE12" s="202"/>
      <c r="BF12" s="202"/>
      <c r="BG12" s="202"/>
    </row>
    <row r="13" spans="2:59" x14ac:dyDescent="0.25">
      <c r="B13" s="202"/>
      <c r="C13" s="211"/>
      <c r="D13" s="242"/>
      <c r="E13" s="237"/>
      <c r="F13" s="237"/>
      <c r="G13" s="210"/>
      <c r="H13" s="237"/>
      <c r="I13" s="237"/>
      <c r="J13" s="208"/>
      <c r="K13" s="202"/>
      <c r="L13" s="211"/>
      <c r="M13" s="236" t="str">
        <f>Parameters!E399</f>
        <v>ηtransformer</v>
      </c>
      <c r="N13" s="236">
        <f>Parameters!G399</f>
        <v>0.99</v>
      </c>
      <c r="O13" s="236"/>
      <c r="P13" s="208"/>
      <c r="Q13" s="202"/>
      <c r="R13" s="211"/>
      <c r="S13" s="236" t="str">
        <f t="shared" ref="S13:U14" si="3">I54</f>
        <v>Capex electrolyser</v>
      </c>
      <c r="T13" s="240">
        <f t="shared" si="3"/>
        <v>62989987.597081833</v>
      </c>
      <c r="U13" s="239" t="str">
        <f t="shared" si="3"/>
        <v>€</v>
      </c>
      <c r="V13" s="208"/>
      <c r="W13" s="202"/>
      <c r="X13" s="202"/>
      <c r="Y13" s="202"/>
      <c r="Z13" s="232"/>
      <c r="AA13" s="232"/>
      <c r="AB13" s="202"/>
      <c r="AC13" s="202"/>
      <c r="AD13" s="238"/>
      <c r="AE13" s="202"/>
      <c r="AF13" s="202"/>
      <c r="AG13" s="202"/>
      <c r="AH13" s="202"/>
      <c r="AI13" s="202"/>
      <c r="AJ13" s="202"/>
      <c r="AK13" s="202"/>
      <c r="AL13" s="202"/>
      <c r="AM13" s="202"/>
      <c r="AN13" s="202"/>
      <c r="AO13" s="202"/>
      <c r="AP13" s="202"/>
      <c r="AQ13" s="202"/>
      <c r="AR13" s="202"/>
      <c r="AS13" s="202"/>
      <c r="AT13" s="202"/>
      <c r="AU13" s="202"/>
      <c r="AV13" s="202"/>
      <c r="AW13" s="202"/>
      <c r="AX13" s="202"/>
      <c r="AY13" s="202"/>
      <c r="AZ13" s="202"/>
      <c r="BA13" s="202"/>
      <c r="BB13" s="202"/>
      <c r="BC13" s="202"/>
      <c r="BD13" s="202"/>
      <c r="BE13" s="202"/>
      <c r="BF13" s="202"/>
      <c r="BG13" s="202"/>
    </row>
    <row r="14" spans="2:59" x14ac:dyDescent="0.25">
      <c r="B14" s="202"/>
      <c r="C14" s="211"/>
      <c r="D14" s="219" t="str">
        <f>Parameters!E393</f>
        <v>Efficiency electrolyser</v>
      </c>
      <c r="E14" s="237">
        <f>Parameters!G393</f>
        <v>47</v>
      </c>
      <c r="F14" s="237" t="str">
        <f>Parameters!F393</f>
        <v>kWhel / kg H2</v>
      </c>
      <c r="G14" s="210"/>
      <c r="H14" s="237"/>
      <c r="I14" s="237"/>
      <c r="J14" s="208"/>
      <c r="K14" s="202"/>
      <c r="L14" s="211"/>
      <c r="M14" s="236" t="str">
        <f>Parameters!E400</f>
        <v>ηconverter</v>
      </c>
      <c r="N14" s="236">
        <f>Parameters!G400</f>
        <v>0.96</v>
      </c>
      <c r="O14" s="235"/>
      <c r="P14" s="208"/>
      <c r="Q14" s="202"/>
      <c r="R14" s="211"/>
      <c r="S14" s="236" t="str">
        <f t="shared" si="3"/>
        <v>Opex electrolyser</v>
      </c>
      <c r="T14" s="240">
        <f t="shared" si="3"/>
        <v>1574749.689927046</v>
      </c>
      <c r="U14" s="239" t="str">
        <f t="shared" si="3"/>
        <v>€ / a</v>
      </c>
      <c r="V14" s="208"/>
      <c r="W14" s="202"/>
      <c r="X14" s="202"/>
      <c r="Y14" s="202"/>
      <c r="Z14" s="232"/>
      <c r="AA14" s="232"/>
      <c r="AB14" s="202"/>
      <c r="AC14" s="202"/>
      <c r="AD14" s="202"/>
      <c r="AE14" s="202"/>
      <c r="AF14" s="202"/>
      <c r="AG14" s="202"/>
      <c r="AH14" s="202"/>
      <c r="AI14" s="202"/>
      <c r="AJ14" s="202"/>
      <c r="AK14" s="202"/>
      <c r="AL14" s="202"/>
      <c r="AM14" s="202"/>
      <c r="AN14" s="202"/>
      <c r="AO14" s="202"/>
      <c r="AP14" s="202"/>
      <c r="AQ14" s="202"/>
      <c r="AR14" s="202"/>
      <c r="AS14" s="202"/>
      <c r="AT14" s="202"/>
      <c r="AU14" s="202"/>
      <c r="AV14" s="202"/>
      <c r="AW14" s="202"/>
      <c r="AX14" s="202"/>
      <c r="AY14" s="202"/>
      <c r="AZ14" s="202"/>
      <c r="BA14" s="202"/>
      <c r="BB14" s="202"/>
      <c r="BC14" s="202"/>
      <c r="BD14" s="202"/>
      <c r="BE14" s="202"/>
      <c r="BF14" s="202"/>
      <c r="BG14" s="202"/>
    </row>
    <row r="15" spans="2:59" x14ac:dyDescent="0.25">
      <c r="B15" s="202"/>
      <c r="C15" s="211"/>
      <c r="D15" s="219" t="str">
        <f>Parameters!E394</f>
        <v>Outlet pressure electrolyser</v>
      </c>
      <c r="E15" s="237">
        <f>Parameters!G394</f>
        <v>35</v>
      </c>
      <c r="F15" s="237" t="str">
        <f>Parameters!F394</f>
        <v>bar</v>
      </c>
      <c r="G15" s="210"/>
      <c r="H15" s="237"/>
      <c r="I15" s="237"/>
      <c r="J15" s="208"/>
      <c r="K15" s="202"/>
      <c r="L15" s="211"/>
      <c r="M15" s="236"/>
      <c r="N15" s="236"/>
      <c r="O15" s="235"/>
      <c r="P15" s="208"/>
      <c r="Q15" s="202"/>
      <c r="R15" s="211"/>
      <c r="S15" s="236" t="str">
        <f>I58</f>
        <v>Electricity costs electrolysis</v>
      </c>
      <c r="T15" s="414">
        <f>J58</f>
        <v>12133815.904197609</v>
      </c>
      <c r="U15" s="237" t="str">
        <f>K58</f>
        <v>EUR/a</v>
      </c>
      <c r="V15" s="208"/>
      <c r="W15" s="202"/>
      <c r="X15" s="202"/>
      <c r="Y15" s="202"/>
      <c r="Z15" s="232"/>
      <c r="AA15" s="232"/>
      <c r="AB15" s="202"/>
      <c r="AC15" s="202"/>
      <c r="AD15" s="202"/>
      <c r="AE15" s="202"/>
      <c r="AF15" s="202"/>
      <c r="AG15" s="202"/>
      <c r="AH15" s="202"/>
      <c r="AI15" s="202"/>
      <c r="AJ15" s="202"/>
      <c r="AK15" s="202"/>
      <c r="AL15" s="202"/>
      <c r="AM15" s="202"/>
      <c r="AN15" s="202"/>
      <c r="AO15" s="202"/>
      <c r="AP15" s="202"/>
      <c r="AQ15" s="202"/>
      <c r="AR15" s="202"/>
      <c r="AS15" s="202"/>
      <c r="AT15" s="202"/>
      <c r="AU15" s="202"/>
      <c r="AV15" s="202"/>
      <c r="AW15" s="202"/>
      <c r="AX15" s="202"/>
      <c r="AY15" s="202"/>
      <c r="AZ15" s="202"/>
      <c r="BA15" s="202"/>
      <c r="BB15" s="202"/>
      <c r="BC15" s="202"/>
      <c r="BD15" s="202"/>
      <c r="BE15" s="202"/>
      <c r="BF15" s="202"/>
      <c r="BG15" s="202"/>
    </row>
    <row r="16" spans="2:59" x14ac:dyDescent="0.25">
      <c r="B16" s="202"/>
      <c r="C16" s="211"/>
      <c r="D16" s="210" t="str">
        <f>Parameters!E396</f>
        <v>Lifetime system</v>
      </c>
      <c r="E16" s="890">
        <f>Parameters!G396</f>
        <v>20</v>
      </c>
      <c r="F16" s="891" t="str">
        <f>Parameters!F396</f>
        <v>a</v>
      </c>
      <c r="G16" s="891"/>
      <c r="H16" s="891"/>
      <c r="I16" s="891"/>
      <c r="J16" s="892"/>
      <c r="K16" s="202"/>
      <c r="L16" s="211"/>
      <c r="M16" s="236"/>
      <c r="N16" s="236"/>
      <c r="O16" s="235"/>
      <c r="P16" s="208"/>
      <c r="Q16" s="202"/>
      <c r="R16" s="211"/>
      <c r="S16" s="236" t="str">
        <f>I56</f>
        <v>Capex stack replacement</v>
      </c>
      <c r="T16" s="295">
        <f t="shared" ref="T16:U16" si="4">J56</f>
        <v>31494993.798540916</v>
      </c>
      <c r="U16" s="1067" t="str">
        <f t="shared" si="4"/>
        <v>EUR</v>
      </c>
      <c r="V16" s="208"/>
      <c r="W16" s="202"/>
      <c r="X16" s="202"/>
      <c r="Y16" s="202"/>
      <c r="Z16" s="232"/>
      <c r="AA16" s="23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c r="BA16" s="202"/>
      <c r="BB16" s="202"/>
      <c r="BC16" s="202"/>
      <c r="BD16" s="202"/>
      <c r="BE16" s="202"/>
      <c r="BF16" s="202"/>
      <c r="BG16" s="202"/>
    </row>
    <row r="17" spans="2:61" x14ac:dyDescent="0.25">
      <c r="B17" s="202"/>
      <c r="C17" s="889"/>
      <c r="D17" s="210" t="str">
        <f>Parameters!E397</f>
        <v>Lifetime stack</v>
      </c>
      <c r="E17" s="890">
        <f>Parameters!G397</f>
        <v>10</v>
      </c>
      <c r="F17" s="891" t="str">
        <f>Parameters!F397</f>
        <v>a</v>
      </c>
      <c r="G17" s="894"/>
      <c r="H17" s="894"/>
      <c r="I17" s="894"/>
      <c r="J17" s="895"/>
      <c r="K17" s="202"/>
      <c r="L17" s="211"/>
      <c r="M17" s="236"/>
      <c r="N17" s="236"/>
      <c r="O17" s="235"/>
      <c r="P17" s="208"/>
      <c r="Q17" s="202"/>
      <c r="R17" s="211"/>
      <c r="S17" s="236" t="str">
        <f t="shared" ref="S17:U18" si="5">M53</f>
        <v>Total electrolyser weigth</v>
      </c>
      <c r="T17" s="295">
        <f t="shared" si="5"/>
        <v>1485.472</v>
      </c>
      <c r="U17" s="1067" t="str">
        <f t="shared" si="5"/>
        <v>ton</v>
      </c>
      <c r="V17" s="208"/>
      <c r="W17" s="202"/>
      <c r="X17" s="202"/>
      <c r="Y17" s="202"/>
      <c r="Z17" s="232"/>
      <c r="AA17" s="232"/>
      <c r="AB17" s="202"/>
      <c r="AC17" s="202"/>
      <c r="AD17" s="202"/>
      <c r="AE17" s="202"/>
      <c r="AF17" s="202"/>
      <c r="AG17" s="202"/>
      <c r="AH17" s="202"/>
      <c r="AI17" s="202"/>
      <c r="AJ17" s="202"/>
      <c r="AK17" s="202"/>
      <c r="AL17" s="202"/>
      <c r="AM17" s="202"/>
      <c r="AN17" s="202"/>
      <c r="AO17" s="202"/>
      <c r="AP17" s="202"/>
      <c r="AQ17" s="202"/>
      <c r="AR17" s="202"/>
      <c r="AS17" s="202"/>
      <c r="AT17" s="202"/>
      <c r="AU17" s="202"/>
      <c r="AV17" s="202"/>
      <c r="AW17" s="202"/>
      <c r="AX17" s="202"/>
      <c r="AY17" s="202"/>
      <c r="AZ17" s="202"/>
      <c r="BA17" s="202"/>
      <c r="BB17" s="202"/>
      <c r="BC17" s="202"/>
      <c r="BD17" s="202"/>
      <c r="BE17" s="202"/>
      <c r="BF17" s="202"/>
      <c r="BG17" s="202"/>
    </row>
    <row r="18" spans="2:61" x14ac:dyDescent="0.25">
      <c r="B18" s="202"/>
      <c r="C18" s="889"/>
      <c r="D18" s="210" t="str">
        <f>Parameters!E398</f>
        <v>Capex share stack</v>
      </c>
      <c r="E18" s="893">
        <f>Parameters!G398</f>
        <v>0.5</v>
      </c>
      <c r="F18" s="891"/>
      <c r="G18" s="894"/>
      <c r="H18" s="894"/>
      <c r="I18" s="894"/>
      <c r="J18" s="895"/>
      <c r="K18" s="202"/>
      <c r="L18" s="211"/>
      <c r="M18" s="236"/>
      <c r="N18" s="236"/>
      <c r="O18" s="235"/>
      <c r="P18" s="208"/>
      <c r="Q18" s="202"/>
      <c r="R18" s="211"/>
      <c r="S18" s="236" t="str">
        <f t="shared" si="5"/>
        <v>Total electrolyser area</v>
      </c>
      <c r="T18" s="295">
        <f t="shared" si="5"/>
        <v>1019.9999999999999</v>
      </c>
      <c r="U18" s="1067" t="str">
        <f t="shared" si="5"/>
        <v>m²</v>
      </c>
      <c r="V18" s="208"/>
      <c r="W18" s="202"/>
      <c r="X18" s="202"/>
      <c r="Y18" s="202"/>
      <c r="Z18" s="232"/>
      <c r="AA18" s="232"/>
      <c r="AB18" s="202"/>
      <c r="AC18" s="202"/>
      <c r="AD18" s="202"/>
      <c r="AE18" s="202"/>
      <c r="AF18" s="202"/>
      <c r="AG18" s="202"/>
      <c r="AH18" s="202"/>
      <c r="AI18" s="202"/>
      <c r="AJ18" s="202"/>
      <c r="AK18" s="202"/>
      <c r="AL18" s="202"/>
      <c r="AM18" s="202"/>
      <c r="AN18" s="202"/>
      <c r="AO18" s="202"/>
      <c r="AP18" s="202"/>
      <c r="AQ18" s="202"/>
      <c r="AR18" s="202"/>
      <c r="AS18" s="202"/>
      <c r="AT18" s="202"/>
      <c r="AU18" s="202"/>
      <c r="AV18" s="202"/>
      <c r="AW18" s="202"/>
      <c r="AX18" s="202"/>
      <c r="AY18" s="202"/>
      <c r="AZ18" s="202"/>
      <c r="BA18" s="202"/>
      <c r="BB18" s="202"/>
      <c r="BC18" s="202"/>
      <c r="BD18" s="202"/>
      <c r="BE18" s="202"/>
      <c r="BF18" s="202"/>
      <c r="BG18" s="202"/>
    </row>
    <row r="19" spans="2:61" x14ac:dyDescent="0.25">
      <c r="B19" s="202"/>
      <c r="C19" s="889"/>
      <c r="D19" s="246"/>
      <c r="E19" s="893"/>
      <c r="F19" s="894"/>
      <c r="G19" s="894"/>
      <c r="H19" s="894"/>
      <c r="I19" s="894"/>
      <c r="J19" s="895"/>
      <c r="K19" s="202"/>
      <c r="L19" s="211"/>
      <c r="M19" s="236"/>
      <c r="N19" s="236"/>
      <c r="O19" s="235"/>
      <c r="P19" s="208"/>
      <c r="Q19" s="202"/>
      <c r="R19" s="211"/>
      <c r="S19" s="236" t="str">
        <f>M56</f>
        <v>Total desalination unit area</v>
      </c>
      <c r="T19" s="295">
        <f t="shared" ref="T19:U19" si="6">N56</f>
        <v>38.298856933808544</v>
      </c>
      <c r="U19" s="1067" t="str">
        <f t="shared" si="6"/>
        <v>m²</v>
      </c>
      <c r="V19" s="208"/>
      <c r="W19" s="202"/>
      <c r="X19" s="202"/>
      <c r="Y19" s="202"/>
      <c r="Z19" s="232"/>
      <c r="AA19" s="232"/>
      <c r="AB19" s="202"/>
      <c r="AC19" s="202"/>
      <c r="AD19" s="202"/>
      <c r="AE19" s="202"/>
      <c r="AF19" s="202"/>
      <c r="AG19" s="202"/>
      <c r="AH19" s="202"/>
      <c r="AI19" s="202"/>
      <c r="AJ19" s="202"/>
      <c r="AK19" s="202"/>
      <c r="AL19" s="202"/>
      <c r="AM19" s="202"/>
      <c r="AN19" s="202"/>
      <c r="AO19" s="202"/>
      <c r="AP19" s="202"/>
      <c r="AQ19" s="202"/>
      <c r="AR19" s="202"/>
      <c r="AS19" s="202"/>
      <c r="AT19" s="202"/>
      <c r="AU19" s="202"/>
      <c r="AV19" s="202"/>
      <c r="AW19" s="202"/>
      <c r="AX19" s="202"/>
      <c r="AY19" s="202"/>
      <c r="AZ19" s="202"/>
      <c r="BA19" s="202"/>
      <c r="BB19" s="202"/>
      <c r="BC19" s="202"/>
      <c r="BD19" s="202"/>
      <c r="BE19" s="202"/>
      <c r="BF19" s="202"/>
      <c r="BG19" s="202"/>
    </row>
    <row r="20" spans="2:61" x14ac:dyDescent="0.25">
      <c r="B20" s="202"/>
      <c r="C20" s="207"/>
      <c r="D20" s="206"/>
      <c r="E20" s="234"/>
      <c r="F20" s="234"/>
      <c r="G20" s="206"/>
      <c r="H20" s="206"/>
      <c r="I20" s="206"/>
      <c r="J20" s="204"/>
      <c r="K20" s="202"/>
      <c r="L20" s="207"/>
      <c r="M20" s="233"/>
      <c r="N20" s="233"/>
      <c r="O20" s="206"/>
      <c r="P20" s="204"/>
      <c r="Q20" s="202"/>
      <c r="R20" s="207"/>
      <c r="S20" s="233" t="str">
        <f t="shared" ref="S20:U20" si="7">M57</f>
        <v>Total desalination unit weight</v>
      </c>
      <c r="T20" s="1061">
        <f t="shared" si="7"/>
        <v>55.776352556057304</v>
      </c>
      <c r="U20" s="1068" t="str">
        <f t="shared" si="7"/>
        <v>ton</v>
      </c>
      <c r="V20" s="204"/>
      <c r="W20" s="202"/>
      <c r="X20" s="202"/>
      <c r="Y20" s="202"/>
      <c r="Z20" s="232"/>
      <c r="AA20" s="232"/>
      <c r="AB20" s="202"/>
      <c r="AC20" s="202"/>
      <c r="AD20" s="202"/>
      <c r="AE20" s="202"/>
      <c r="AF20" s="202"/>
      <c r="AG20" s="202"/>
      <c r="AH20" s="202"/>
      <c r="AI20" s="202"/>
      <c r="AJ20" s="202"/>
      <c r="AK20" s="202"/>
      <c r="AL20" s="202"/>
      <c r="AM20" s="202"/>
      <c r="AN20" s="202"/>
      <c r="AO20" s="202"/>
      <c r="AP20" s="202"/>
      <c r="AQ20" s="202"/>
      <c r="AR20" s="202"/>
      <c r="AS20" s="202"/>
      <c r="AT20" s="202"/>
      <c r="AU20" s="202"/>
      <c r="AV20" s="202"/>
      <c r="AW20" s="202"/>
      <c r="AX20" s="202"/>
      <c r="AY20" s="202"/>
      <c r="AZ20" s="202"/>
      <c r="BA20" s="202"/>
      <c r="BB20" s="202"/>
      <c r="BC20" s="202"/>
      <c r="BD20" s="202"/>
      <c r="BE20" s="202"/>
      <c r="BF20" s="202"/>
      <c r="BG20" s="202"/>
    </row>
    <row r="21" spans="2:61" x14ac:dyDescent="0.25">
      <c r="B21" s="202"/>
      <c r="C21" s="202"/>
      <c r="D21" s="202"/>
      <c r="E21" s="202"/>
      <c r="F21" s="202"/>
      <c r="G21" s="202"/>
      <c r="H21" s="202"/>
      <c r="I21" s="202"/>
      <c r="J21" s="202"/>
      <c r="K21" s="202"/>
      <c r="L21" s="202"/>
      <c r="M21" s="202"/>
      <c r="N21" s="202"/>
      <c r="O21" s="202"/>
      <c r="P21" s="202"/>
      <c r="Q21" s="198"/>
      <c r="R21" s="202"/>
      <c r="S21" s="202"/>
      <c r="T21" s="202"/>
      <c r="U21" s="202"/>
      <c r="V21" s="202"/>
      <c r="W21" s="232"/>
      <c r="X21" s="232"/>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c r="AU21" s="202"/>
      <c r="AV21" s="202"/>
      <c r="AW21" s="202"/>
      <c r="AX21" s="202"/>
      <c r="AY21" s="202"/>
      <c r="AZ21" s="202"/>
      <c r="BA21" s="202"/>
      <c r="BB21" s="202"/>
      <c r="BC21" s="202"/>
      <c r="BD21" s="202"/>
    </row>
    <row r="22" spans="2:61" ht="21" x14ac:dyDescent="0.35">
      <c r="B22" s="231"/>
      <c r="C22" s="231" t="s">
        <v>572</v>
      </c>
      <c r="D22" s="202"/>
      <c r="E22" s="202"/>
      <c r="F22" s="202"/>
      <c r="G22" s="230"/>
      <c r="H22" s="202"/>
      <c r="I22" s="202"/>
      <c r="J22" s="202"/>
      <c r="K22" s="202"/>
      <c r="L22" s="202"/>
      <c r="M22" s="202"/>
      <c r="N22" s="202"/>
      <c r="O22" s="202"/>
      <c r="P22" s="202"/>
      <c r="Q22" s="202"/>
      <c r="R22" s="202"/>
      <c r="S22" s="202"/>
      <c r="T22" s="202"/>
      <c r="U22" s="202"/>
      <c r="V22" s="202"/>
      <c r="W22" s="202"/>
      <c r="X22" s="202"/>
      <c r="Y22" s="202"/>
      <c r="Z22" s="229"/>
      <c r="AA22" s="229"/>
      <c r="AB22" s="229"/>
      <c r="AC22" s="229"/>
      <c r="AD22" s="202"/>
      <c r="AE22" s="202"/>
      <c r="AF22" s="202"/>
      <c r="AG22" s="202"/>
      <c r="AH22" s="202"/>
      <c r="AI22" s="202"/>
      <c r="AJ22" s="202"/>
      <c r="AK22" s="202"/>
      <c r="AL22" s="202"/>
      <c r="AM22" s="202"/>
      <c r="AN22" s="202"/>
      <c r="AO22" s="202"/>
      <c r="AP22" s="202"/>
      <c r="AQ22" s="202"/>
      <c r="AR22" s="202"/>
      <c r="AS22" s="202"/>
      <c r="AT22" s="202"/>
      <c r="AU22" s="202"/>
      <c r="AV22" s="202"/>
      <c r="AW22" s="202"/>
      <c r="AX22" s="202"/>
      <c r="AY22" s="202"/>
      <c r="AZ22" s="202"/>
      <c r="BA22" s="202"/>
      <c r="BB22" s="202"/>
      <c r="BC22" s="202"/>
      <c r="BD22" s="202"/>
    </row>
    <row r="23" spans="2:61" x14ac:dyDescent="0.25">
      <c r="B23" s="202"/>
      <c r="C23" s="202"/>
      <c r="D23" s="202"/>
      <c r="E23" s="202"/>
      <c r="F23" s="202"/>
      <c r="G23" s="202"/>
      <c r="H23" s="202"/>
      <c r="I23" s="202"/>
      <c r="J23" s="202"/>
      <c r="K23" s="202"/>
      <c r="L23" s="202"/>
      <c r="M23" s="202"/>
      <c r="N23" s="202"/>
      <c r="O23" s="202"/>
      <c r="P23" s="202"/>
      <c r="Q23" s="202"/>
      <c r="R23" s="202"/>
      <c r="S23" s="202"/>
      <c r="T23" s="202"/>
      <c r="U23" s="202"/>
      <c r="V23" s="202"/>
      <c r="W23" s="202"/>
      <c r="X23" s="202"/>
      <c r="Y23" s="202"/>
      <c r="Z23" s="229"/>
      <c r="AA23" s="229"/>
      <c r="AB23" s="229"/>
      <c r="AC23" s="229"/>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2"/>
      <c r="AZ23" s="202"/>
      <c r="BA23" s="202"/>
      <c r="BB23" s="202"/>
      <c r="BC23" s="202"/>
      <c r="BD23" s="202"/>
    </row>
    <row r="24" spans="2:61" x14ac:dyDescent="0.25">
      <c r="B24" s="229"/>
      <c r="C24" s="228" t="s">
        <v>571</v>
      </c>
      <c r="D24" s="227"/>
      <c r="E24" s="227"/>
      <c r="F24" s="226"/>
      <c r="G24" s="202"/>
      <c r="H24" s="228" t="s">
        <v>569</v>
      </c>
      <c r="I24" s="227"/>
      <c r="J24" s="227"/>
      <c r="K24" s="226"/>
      <c r="L24" s="202"/>
      <c r="M24" s="228" t="s">
        <v>571</v>
      </c>
      <c r="N24" s="227"/>
      <c r="O24" s="227"/>
      <c r="P24" s="226"/>
      <c r="Q24" s="202"/>
      <c r="R24" s="228" t="s">
        <v>569</v>
      </c>
      <c r="S24" s="227"/>
      <c r="T24" s="227"/>
      <c r="U24" s="226"/>
      <c r="V24" s="202"/>
      <c r="W24" s="228" t="s">
        <v>570</v>
      </c>
      <c r="X24" s="227"/>
      <c r="Y24" s="226"/>
      <c r="Z24" s="202"/>
      <c r="AA24" s="228" t="s">
        <v>569</v>
      </c>
      <c r="AB24" s="227"/>
      <c r="AC24" s="226"/>
      <c r="AD24" s="202"/>
      <c r="AE24" s="228" t="s">
        <v>656</v>
      </c>
      <c r="AF24" s="227"/>
      <c r="AG24" s="227"/>
      <c r="AH24" s="226"/>
      <c r="AI24" s="202"/>
      <c r="AJ24" s="202"/>
      <c r="AK24" s="202"/>
      <c r="AL24" s="202"/>
      <c r="AM24" s="202"/>
      <c r="AN24" s="202"/>
      <c r="AO24" s="202"/>
      <c r="AP24" s="202"/>
      <c r="AQ24" s="202"/>
      <c r="AR24" s="202"/>
      <c r="AS24" s="202"/>
      <c r="AT24" s="202"/>
      <c r="AU24" s="202"/>
      <c r="AV24" s="202"/>
      <c r="AW24" s="202"/>
      <c r="AX24" s="202"/>
      <c r="AY24" s="202"/>
      <c r="AZ24" s="202"/>
      <c r="BA24" s="202"/>
      <c r="BB24" s="202"/>
      <c r="BC24" s="202"/>
      <c r="BD24" s="202"/>
      <c r="BE24" s="202"/>
      <c r="BF24" s="202"/>
      <c r="BG24" s="202"/>
      <c r="BH24" s="202"/>
      <c r="BI24" s="202"/>
    </row>
    <row r="25" spans="2:61" x14ac:dyDescent="0.25">
      <c r="B25" s="202"/>
      <c r="C25" s="202"/>
      <c r="D25" s="202"/>
      <c r="E25" s="202"/>
      <c r="F25" s="202"/>
      <c r="G25" s="202"/>
      <c r="H25" s="202"/>
      <c r="I25" s="202"/>
      <c r="J25" s="202"/>
      <c r="K25" s="202"/>
      <c r="L25" s="202"/>
      <c r="M25" s="202"/>
      <c r="N25" s="202"/>
      <c r="O25" s="202"/>
      <c r="P25" s="202"/>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c r="BF25" s="202"/>
      <c r="BG25" s="202"/>
      <c r="BH25" s="202"/>
      <c r="BI25" s="202"/>
    </row>
    <row r="26" spans="2:61" x14ac:dyDescent="0.25">
      <c r="B26" s="202"/>
      <c r="C26" s="249" t="s">
        <v>648</v>
      </c>
      <c r="D26" s="224"/>
      <c r="E26" s="224"/>
      <c r="F26" s="223"/>
      <c r="G26" s="203"/>
      <c r="H26" s="225"/>
      <c r="I26" s="224"/>
      <c r="J26" s="224"/>
      <c r="K26" s="223"/>
      <c r="L26" s="202"/>
      <c r="M26" s="249" t="s">
        <v>648</v>
      </c>
      <c r="N26" s="224"/>
      <c r="O26" s="224"/>
      <c r="P26" s="223"/>
      <c r="Q26" s="202"/>
      <c r="R26" s="225"/>
      <c r="S26" s="224"/>
      <c r="T26" s="224"/>
      <c r="U26" s="223"/>
      <c r="V26" s="202"/>
      <c r="W26" s="225" t="s">
        <v>649</v>
      </c>
      <c r="X26" s="224"/>
      <c r="Y26" s="223"/>
      <c r="Z26" s="202"/>
      <c r="AA26" s="225"/>
      <c r="AB26" s="224"/>
      <c r="AC26" s="223"/>
      <c r="AD26" s="202"/>
      <c r="AE26" s="225" t="s">
        <v>567</v>
      </c>
      <c r="AF26" s="224"/>
      <c r="AG26" s="224"/>
      <c r="AH26" s="223"/>
      <c r="AI26" s="202"/>
      <c r="AJ26" s="202"/>
      <c r="AK26" s="202"/>
      <c r="AL26" s="202"/>
      <c r="AM26" s="202"/>
      <c r="AN26" s="202"/>
      <c r="AO26" s="202"/>
      <c r="AP26" s="202"/>
      <c r="AQ26" s="202"/>
      <c r="AR26" s="202"/>
      <c r="AS26" s="202"/>
      <c r="AT26" s="202"/>
      <c r="AU26" s="202"/>
      <c r="AV26" s="202"/>
      <c r="AW26" s="202"/>
      <c r="AX26" s="202"/>
      <c r="AY26" s="202"/>
      <c r="AZ26" s="202"/>
      <c r="BA26" s="202"/>
      <c r="BB26" s="202"/>
      <c r="BC26" s="202"/>
      <c r="BD26" s="202"/>
      <c r="BE26" s="202"/>
      <c r="BF26" s="202"/>
      <c r="BG26" s="202"/>
      <c r="BH26" s="202"/>
      <c r="BI26" s="202"/>
    </row>
    <row r="27" spans="2:61" ht="18" x14ac:dyDescent="0.35">
      <c r="B27" s="202"/>
      <c r="C27" s="222"/>
      <c r="D27" s="210"/>
      <c r="E27" s="210"/>
      <c r="F27" s="208"/>
      <c r="G27" s="202"/>
      <c r="H27" s="222"/>
      <c r="I27" s="220" t="s">
        <v>1235</v>
      </c>
      <c r="J27" s="899">
        <f>E7</f>
        <v>42.553191489361701</v>
      </c>
      <c r="K27" s="900" t="str">
        <f>F7</f>
        <v>€/MWh</v>
      </c>
      <c r="L27" s="202"/>
      <c r="M27" s="222"/>
      <c r="N27" s="210"/>
      <c r="O27" s="210"/>
      <c r="P27" s="208"/>
      <c r="Q27" s="202"/>
      <c r="R27" s="222"/>
      <c r="S27" s="220" t="s">
        <v>652</v>
      </c>
      <c r="T27" s="302">
        <f>IFERROR(N28/(D28*8760),0)</f>
        <v>0.42894592162422679</v>
      </c>
      <c r="U27" s="208"/>
      <c r="V27" s="202"/>
      <c r="W27" s="222"/>
      <c r="X27" s="210"/>
      <c r="Y27" s="208"/>
      <c r="Z27" s="202"/>
      <c r="AA27" s="303" t="str">
        <f>D14</f>
        <v>Efficiency electrolyser</v>
      </c>
      <c r="AB27" s="299">
        <f>E14</f>
        <v>47</v>
      </c>
      <c r="AC27" s="208" t="s">
        <v>566</v>
      </c>
      <c r="AD27" s="202"/>
      <c r="AE27" s="304"/>
      <c r="AF27" s="213"/>
      <c r="AG27" s="210"/>
      <c r="AH27" s="208"/>
      <c r="AI27" s="202"/>
      <c r="AJ27" s="202"/>
      <c r="AK27" s="202"/>
      <c r="AL27" s="202"/>
      <c r="AM27" s="202"/>
      <c r="AN27" s="202"/>
      <c r="AO27" s="202"/>
      <c r="AP27" s="202"/>
      <c r="AQ27" s="202"/>
      <c r="AR27" s="202"/>
      <c r="AS27" s="202"/>
      <c r="AT27" s="202"/>
      <c r="AU27" s="202"/>
      <c r="AV27" s="202"/>
      <c r="AW27" s="202"/>
      <c r="AX27" s="202"/>
      <c r="AY27" s="202"/>
      <c r="AZ27" s="202"/>
      <c r="BA27" s="202"/>
      <c r="BB27" s="202"/>
      <c r="BC27" s="202"/>
      <c r="BD27" s="202"/>
      <c r="BE27" s="202"/>
      <c r="BF27" s="202"/>
      <c r="BG27" s="202"/>
      <c r="BH27" s="202"/>
      <c r="BI27" s="202"/>
    </row>
    <row r="28" spans="2:61" x14ac:dyDescent="0.25">
      <c r="B28" s="202"/>
      <c r="C28" s="887" t="str">
        <f>D6</f>
        <v>Size electrolyser</v>
      </c>
      <c r="D28" s="296">
        <f>E6</f>
        <v>100</v>
      </c>
      <c r="E28" s="888" t="str">
        <f>F6</f>
        <v>MW</v>
      </c>
      <c r="F28" s="208"/>
      <c r="G28" s="202"/>
      <c r="H28" s="222"/>
      <c r="I28" s="220" t="str">
        <f>D8</f>
        <v>Hours below benchmark price</v>
      </c>
      <c r="J28" s="220">
        <f>E8</f>
        <v>0.42894592162422679</v>
      </c>
      <c r="K28" s="208"/>
      <c r="L28" s="202"/>
      <c r="M28" s="887" t="s">
        <v>1201</v>
      </c>
      <c r="N28" s="296">
        <f>D28*E12*J28</f>
        <v>375756.62734282267</v>
      </c>
      <c r="O28" s="888" t="s">
        <v>836</v>
      </c>
      <c r="P28" s="208"/>
      <c r="Q28" s="202"/>
      <c r="R28" s="222"/>
      <c r="S28" s="220" t="str">
        <f>M13</f>
        <v>ηtransformer</v>
      </c>
      <c r="T28" s="220">
        <f>N13</f>
        <v>0.99</v>
      </c>
      <c r="U28" s="208"/>
      <c r="V28" s="202"/>
      <c r="W28" s="303" t="str">
        <f>M28</f>
        <v>Available electricity electrolysis</v>
      </c>
      <c r="X28" s="297">
        <f>N28*$T$28*$T$29</f>
        <v>357119.09862661868</v>
      </c>
      <c r="Y28" s="900" t="str">
        <f>O28</f>
        <v>MWh/a</v>
      </c>
      <c r="Z28" s="202"/>
      <c r="AA28" s="303"/>
      <c r="AB28" s="299"/>
      <c r="AC28" s="208"/>
      <c r="AD28" s="202"/>
      <c r="AE28" s="303" t="s">
        <v>565</v>
      </c>
      <c r="AF28" s="299">
        <f>IFERROR(X28*1000/AB27,0)</f>
        <v>7598278.6941833766</v>
      </c>
      <c r="AG28" s="214" t="s">
        <v>657</v>
      </c>
      <c r="AH28" s="208"/>
      <c r="AI28" s="202"/>
      <c r="AJ28" s="202"/>
      <c r="AK28" s="202"/>
      <c r="AL28" s="202"/>
      <c r="AM28" s="202"/>
      <c r="AN28" s="202"/>
      <c r="AO28" s="202"/>
      <c r="AP28" s="202"/>
      <c r="AQ28" s="202"/>
      <c r="AR28" s="202"/>
      <c r="AS28" s="202"/>
      <c r="AT28" s="202"/>
      <c r="AU28" s="202"/>
      <c r="AV28" s="202"/>
      <c r="AW28" s="202"/>
      <c r="AX28" s="202"/>
      <c r="AY28" s="202"/>
      <c r="AZ28" s="202"/>
      <c r="BA28" s="202"/>
      <c r="BB28" s="202"/>
      <c r="BC28" s="202"/>
      <c r="BD28" s="202"/>
      <c r="BE28" s="202"/>
      <c r="BF28" s="202"/>
      <c r="BG28" s="202"/>
      <c r="BH28" s="202"/>
      <c r="BI28" s="202"/>
    </row>
    <row r="29" spans="2:61" x14ac:dyDescent="0.25">
      <c r="B29" s="202"/>
      <c r="C29" s="211"/>
      <c r="D29" s="210"/>
      <c r="E29" s="221"/>
      <c r="F29" s="208"/>
      <c r="G29" s="202"/>
      <c r="H29" s="211"/>
      <c r="I29" s="220"/>
      <c r="J29" s="246"/>
      <c r="K29" s="208"/>
      <c r="L29" s="202"/>
      <c r="M29" s="211"/>
      <c r="N29" s="416"/>
      <c r="O29" s="221"/>
      <c r="P29" s="208"/>
      <c r="Q29" s="202"/>
      <c r="R29" s="211"/>
      <c r="S29" s="220" t="str">
        <f>M14</f>
        <v>ηconverter</v>
      </c>
      <c r="T29" s="220">
        <f>N14</f>
        <v>0.96</v>
      </c>
      <c r="U29" s="208"/>
      <c r="V29" s="202"/>
      <c r="W29" s="211"/>
      <c r="X29" s="210"/>
      <c r="Y29" s="208"/>
      <c r="Z29" s="202"/>
      <c r="AA29" s="211"/>
      <c r="AB29" s="299"/>
      <c r="AC29" s="208"/>
      <c r="AD29" s="202"/>
      <c r="AE29" s="211" t="s">
        <v>875</v>
      </c>
      <c r="AF29" s="299">
        <f>IFERROR(E6*1000/3600/E14,0)</f>
        <v>0.59101654846335694</v>
      </c>
      <c r="AG29" s="210" t="s">
        <v>658</v>
      </c>
      <c r="AH29" s="208"/>
      <c r="AI29" s="202"/>
      <c r="AJ29" s="202"/>
      <c r="AK29" s="202"/>
      <c r="AL29" s="202"/>
      <c r="AM29" s="202"/>
      <c r="AN29" s="202"/>
      <c r="AO29" s="202"/>
      <c r="AP29" s="202"/>
      <c r="AQ29" s="202"/>
      <c r="AR29" s="202"/>
      <c r="AS29" s="202"/>
      <c r="AT29" s="202"/>
      <c r="AU29" s="202"/>
      <c r="AV29" s="202"/>
      <c r="AW29" s="202"/>
      <c r="AX29" s="202"/>
      <c r="AY29" s="202"/>
      <c r="AZ29" s="202"/>
      <c r="BA29" s="202"/>
      <c r="BB29" s="202"/>
      <c r="BC29" s="202"/>
      <c r="BD29" s="202"/>
      <c r="BE29" s="202"/>
      <c r="BF29" s="202"/>
      <c r="BG29" s="202"/>
      <c r="BH29" s="202"/>
      <c r="BI29" s="202"/>
    </row>
    <row r="30" spans="2:61" x14ac:dyDescent="0.25">
      <c r="B30" s="202"/>
      <c r="C30" s="207"/>
      <c r="D30" s="234"/>
      <c r="E30" s="234"/>
      <c r="F30" s="204"/>
      <c r="G30" s="218"/>
      <c r="H30" s="207"/>
      <c r="I30" s="234"/>
      <c r="J30" s="234"/>
      <c r="K30" s="204"/>
      <c r="L30" s="202"/>
      <c r="M30" s="207"/>
      <c r="N30" s="234"/>
      <c r="O30" s="234"/>
      <c r="P30" s="204"/>
      <c r="Q30" s="202"/>
      <c r="R30" s="207"/>
      <c r="S30" s="234"/>
      <c r="T30" s="234"/>
      <c r="U30" s="204"/>
      <c r="V30" s="202"/>
      <c r="W30" s="207"/>
      <c r="X30" s="234"/>
      <c r="Y30" s="204"/>
      <c r="Z30" s="202"/>
      <c r="AA30" s="207"/>
      <c r="AB30" s="263"/>
      <c r="AC30" s="204"/>
      <c r="AD30" s="202"/>
      <c r="AE30" s="207"/>
      <c r="AF30" s="903"/>
      <c r="AG30" s="305"/>
      <c r="AH30" s="204"/>
      <c r="AI30" s="202"/>
      <c r="AJ30" s="203"/>
      <c r="AK30" s="202"/>
      <c r="AL30" s="202"/>
      <c r="AM30" s="202"/>
      <c r="AN30" s="202"/>
      <c r="AO30" s="202"/>
      <c r="AP30" s="202"/>
      <c r="AQ30" s="202"/>
      <c r="AR30" s="202"/>
      <c r="AS30" s="202"/>
      <c r="AT30" s="202"/>
      <c r="AU30" s="203"/>
      <c r="AV30" s="202"/>
      <c r="AW30" s="202"/>
      <c r="AX30" s="202"/>
      <c r="AY30" s="202"/>
      <c r="AZ30" s="202"/>
      <c r="BA30" s="202"/>
      <c r="BB30" s="202"/>
      <c r="BC30" s="202"/>
      <c r="BD30" s="202"/>
      <c r="BE30" s="202"/>
      <c r="BF30" s="202"/>
      <c r="BG30" s="202"/>
      <c r="BH30" s="202"/>
      <c r="BI30" s="202"/>
    </row>
    <row r="31" spans="2:61" x14ac:dyDescent="0.25">
      <c r="B31" s="202"/>
      <c r="C31" s="202"/>
      <c r="D31" s="202"/>
      <c r="E31" s="202"/>
      <c r="F31" s="202"/>
      <c r="G31" s="202"/>
      <c r="H31" s="202"/>
      <c r="I31" s="202"/>
      <c r="J31" s="202"/>
      <c r="K31" s="202"/>
      <c r="L31" s="202"/>
      <c r="M31" s="202"/>
      <c r="N31" s="202"/>
      <c r="O31" s="202"/>
      <c r="P31" s="202"/>
      <c r="Q31" s="202"/>
      <c r="R31" s="202"/>
      <c r="S31" s="202"/>
      <c r="T31" s="202"/>
      <c r="U31" s="202"/>
      <c r="V31" s="202"/>
      <c r="W31" s="202"/>
      <c r="X31" s="202"/>
      <c r="Y31" s="202"/>
      <c r="Z31" s="202"/>
      <c r="AA31" s="202"/>
      <c r="AB31" s="202"/>
      <c r="AC31" s="202"/>
      <c r="AD31" s="202"/>
      <c r="AE31" s="202"/>
      <c r="AF31" s="202"/>
      <c r="AG31" s="202"/>
      <c r="AH31" s="202"/>
      <c r="AI31" s="202"/>
      <c r="AJ31" s="202"/>
      <c r="AK31" s="202"/>
      <c r="AL31" s="202"/>
      <c r="AM31" s="202"/>
      <c r="AN31" s="202"/>
      <c r="AO31" s="202"/>
      <c r="AP31" s="202"/>
      <c r="AQ31" s="202"/>
      <c r="AR31" s="202"/>
      <c r="AS31" s="202"/>
      <c r="AT31" s="202"/>
      <c r="AU31" s="202"/>
      <c r="AV31" s="202"/>
      <c r="AW31" s="202"/>
      <c r="AX31" s="202"/>
      <c r="AY31" s="202"/>
      <c r="AZ31" s="202"/>
      <c r="BA31" s="202"/>
      <c r="BB31" s="202"/>
      <c r="BC31" s="202"/>
      <c r="BD31" s="202"/>
      <c r="BE31" s="202"/>
      <c r="BF31" s="202"/>
      <c r="BG31" s="202"/>
      <c r="BH31" s="202"/>
      <c r="BI31" s="202"/>
    </row>
    <row r="32" spans="2:61" x14ac:dyDescent="0.25">
      <c r="B32" s="202"/>
      <c r="C32" s="202"/>
      <c r="D32" s="202"/>
      <c r="E32" s="202"/>
      <c r="F32" s="202"/>
      <c r="G32" s="202"/>
      <c r="H32" s="202"/>
      <c r="I32" s="202"/>
      <c r="J32" s="202"/>
      <c r="K32" s="202"/>
      <c r="L32" s="202"/>
      <c r="M32" s="202"/>
      <c r="N32" s="202"/>
      <c r="O32" s="202"/>
      <c r="P32" s="202"/>
      <c r="Q32" s="202"/>
      <c r="R32" s="228"/>
      <c r="S32" s="227"/>
      <c r="T32" s="227"/>
      <c r="U32" s="226"/>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c r="AU32" s="202"/>
      <c r="AV32" s="202"/>
      <c r="AW32" s="202"/>
      <c r="AX32" s="202"/>
      <c r="AY32" s="202"/>
      <c r="AZ32" s="202"/>
      <c r="BA32" s="202"/>
      <c r="BB32" s="202"/>
      <c r="BC32" s="202"/>
      <c r="BD32" s="202"/>
      <c r="BE32" s="202"/>
      <c r="BF32" s="202"/>
      <c r="BG32" s="202"/>
      <c r="BH32" s="202"/>
      <c r="BI32" s="202"/>
    </row>
    <row r="33" spans="2:61" x14ac:dyDescent="0.25">
      <c r="B33" s="202"/>
      <c r="C33" s="202"/>
      <c r="D33" s="202"/>
      <c r="E33" s="202"/>
      <c r="F33" s="202"/>
      <c r="G33" s="202"/>
      <c r="H33" s="202"/>
      <c r="I33" s="202"/>
      <c r="J33" s="202"/>
      <c r="K33" s="202"/>
      <c r="L33" s="202"/>
      <c r="M33" s="202"/>
      <c r="N33" s="202"/>
      <c r="O33" s="202"/>
      <c r="P33" s="202"/>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c r="BA33" s="202"/>
      <c r="BB33" s="202"/>
      <c r="BC33" s="202"/>
      <c r="BD33" s="202"/>
      <c r="BE33" s="202"/>
      <c r="BF33" s="202"/>
      <c r="BG33" s="202"/>
      <c r="BH33" s="202"/>
      <c r="BI33" s="202"/>
    </row>
    <row r="34" spans="2:61" x14ac:dyDescent="0.25">
      <c r="B34" s="202"/>
      <c r="C34" s="202"/>
      <c r="D34" s="202"/>
      <c r="E34" s="202"/>
      <c r="F34" s="202"/>
      <c r="G34" s="202"/>
      <c r="H34" s="202"/>
      <c r="I34" s="202"/>
      <c r="J34" s="202"/>
      <c r="K34" s="202"/>
      <c r="L34" s="202"/>
      <c r="M34" s="202"/>
      <c r="N34" s="202"/>
      <c r="O34" s="202"/>
      <c r="P34" s="202"/>
      <c r="Q34" s="202"/>
      <c r="R34" s="225"/>
      <c r="S34" s="224"/>
      <c r="T34" s="224"/>
      <c r="U34" s="223"/>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02"/>
      <c r="BB34" s="202"/>
      <c r="BC34" s="202"/>
      <c r="BD34" s="202"/>
      <c r="BE34" s="202"/>
      <c r="BF34" s="202"/>
      <c r="BG34" s="202"/>
      <c r="BH34" s="202"/>
      <c r="BI34" s="202"/>
    </row>
    <row r="35" spans="2:61" x14ac:dyDescent="0.25">
      <c r="B35" s="202"/>
      <c r="C35" s="202"/>
      <c r="D35" s="202"/>
      <c r="E35" s="202"/>
      <c r="F35" s="202"/>
      <c r="G35" s="202"/>
      <c r="H35" s="202"/>
      <c r="I35" s="202"/>
      <c r="J35" s="202"/>
      <c r="K35" s="202"/>
      <c r="L35" s="202"/>
      <c r="M35" s="202"/>
      <c r="N35" s="202"/>
      <c r="O35" s="202"/>
      <c r="P35" s="202"/>
      <c r="Q35" s="202"/>
      <c r="R35" s="304"/>
      <c r="S35" s="213"/>
      <c r="T35" s="213"/>
      <c r="U35" s="208"/>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c r="BA35" s="202"/>
      <c r="BB35" s="202"/>
      <c r="BC35" s="202"/>
      <c r="BD35" s="202"/>
      <c r="BE35" s="202"/>
      <c r="BF35" s="202"/>
      <c r="BG35" s="202"/>
      <c r="BH35" s="202"/>
      <c r="BI35" s="202"/>
    </row>
    <row r="36" spans="2:61" x14ac:dyDescent="0.25">
      <c r="B36" s="202"/>
      <c r="C36" s="202"/>
      <c r="D36" s="202"/>
      <c r="E36" s="202"/>
      <c r="F36" s="202"/>
      <c r="G36" s="202"/>
      <c r="H36" s="202"/>
      <c r="I36" s="202"/>
      <c r="J36" s="202"/>
      <c r="K36" s="202"/>
      <c r="L36" s="202"/>
      <c r="M36" s="202"/>
      <c r="N36" s="202"/>
      <c r="O36" s="202"/>
      <c r="P36" s="202"/>
      <c r="Q36" s="202"/>
      <c r="R36" s="304"/>
      <c r="S36" s="213"/>
      <c r="T36" s="299"/>
      <c r="U36" s="208"/>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AX36" s="202"/>
      <c r="AY36" s="202"/>
      <c r="AZ36" s="202"/>
      <c r="BA36" s="202"/>
      <c r="BB36" s="202"/>
      <c r="BC36" s="202"/>
      <c r="BD36" s="202"/>
      <c r="BE36" s="202"/>
      <c r="BF36" s="202"/>
      <c r="BG36" s="202"/>
      <c r="BH36" s="202"/>
      <c r="BI36" s="202"/>
    </row>
    <row r="37" spans="2:61" x14ac:dyDescent="0.25">
      <c r="B37" s="202"/>
      <c r="C37" s="202"/>
      <c r="D37" s="202"/>
      <c r="E37" s="202"/>
      <c r="F37" s="202"/>
      <c r="G37" s="202"/>
      <c r="H37" s="202"/>
      <c r="I37" s="202"/>
      <c r="J37" s="202"/>
      <c r="K37" s="202"/>
      <c r="L37" s="202"/>
      <c r="M37" s="202"/>
      <c r="N37" s="202"/>
      <c r="O37" s="202"/>
      <c r="P37" s="202"/>
      <c r="Q37" s="202"/>
      <c r="R37" s="211"/>
      <c r="S37" s="214"/>
      <c r="T37" s="214"/>
      <c r="U37" s="208"/>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c r="BA37" s="202"/>
      <c r="BB37" s="202"/>
      <c r="BC37" s="202"/>
      <c r="BD37" s="202"/>
      <c r="BE37" s="202"/>
      <c r="BF37" s="202"/>
      <c r="BG37" s="202"/>
      <c r="BH37" s="202"/>
      <c r="BI37" s="202"/>
    </row>
    <row r="38" spans="2:61" x14ac:dyDescent="0.25">
      <c r="B38" s="202"/>
      <c r="C38" s="202"/>
      <c r="D38" s="202"/>
      <c r="E38" s="202"/>
      <c r="F38" s="202"/>
      <c r="G38" s="202"/>
      <c r="H38" s="202"/>
      <c r="I38" s="202"/>
      <c r="J38" s="202"/>
      <c r="K38" s="202"/>
      <c r="L38" s="202"/>
      <c r="M38" s="202"/>
      <c r="N38" s="202"/>
      <c r="O38" s="202"/>
      <c r="P38" s="202"/>
      <c r="Q38" s="202"/>
      <c r="R38" s="207"/>
      <c r="S38" s="263"/>
      <c r="T38" s="263"/>
      <c r="U38" s="204"/>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c r="BA38" s="202"/>
      <c r="BB38" s="202"/>
      <c r="BC38" s="202"/>
      <c r="BD38" s="202"/>
      <c r="BE38" s="202"/>
      <c r="BF38" s="202"/>
      <c r="BG38" s="202"/>
      <c r="BH38" s="202"/>
      <c r="BI38" s="202"/>
    </row>
    <row r="39" spans="2:61" x14ac:dyDescent="0.25">
      <c r="B39" s="202"/>
      <c r="C39" s="202"/>
      <c r="D39" s="202"/>
      <c r="E39" s="202"/>
      <c r="F39" s="202"/>
      <c r="G39" s="202"/>
      <c r="H39" s="202"/>
      <c r="I39" s="202"/>
      <c r="J39" s="202"/>
      <c r="K39" s="202"/>
      <c r="L39" s="202"/>
      <c r="M39" s="202"/>
      <c r="N39" s="202"/>
      <c r="O39" s="202"/>
      <c r="P39" s="202"/>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c r="BA39" s="202"/>
      <c r="BB39" s="202"/>
      <c r="BC39" s="202"/>
      <c r="BD39" s="202"/>
    </row>
    <row r="40" spans="2:61" x14ac:dyDescent="0.25">
      <c r="B40" s="202"/>
      <c r="C40" s="228" t="s">
        <v>650</v>
      </c>
      <c r="D40" s="227"/>
      <c r="E40" s="227"/>
      <c r="F40" s="226"/>
      <c r="G40" s="202"/>
      <c r="H40" s="228" t="s">
        <v>621</v>
      </c>
      <c r="I40" s="227"/>
      <c r="J40" s="227"/>
      <c r="K40" s="226"/>
      <c r="L40" s="202"/>
      <c r="M40" s="228" t="s">
        <v>621</v>
      </c>
      <c r="N40" s="227"/>
      <c r="O40" s="226"/>
      <c r="P40" s="202"/>
      <c r="Q40" s="228" t="s">
        <v>621</v>
      </c>
      <c r="R40" s="227"/>
      <c r="S40" s="226"/>
      <c r="T40" s="202"/>
      <c r="U40" s="228" t="s">
        <v>651</v>
      </c>
      <c r="V40" s="227"/>
      <c r="W40" s="227"/>
      <c r="X40" s="226"/>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c r="BA40" s="202"/>
      <c r="BB40" s="202"/>
      <c r="BC40" s="202"/>
      <c r="BD40" s="202"/>
    </row>
    <row r="41" spans="2:61" x14ac:dyDescent="0.25">
      <c r="B41" s="202"/>
      <c r="C41" s="202"/>
      <c r="D41" s="202"/>
      <c r="E41" s="202"/>
      <c r="F41" s="202"/>
      <c r="G41" s="202"/>
      <c r="H41" s="202"/>
      <c r="I41" s="202"/>
      <c r="J41" s="202"/>
      <c r="K41" s="202"/>
      <c r="L41" s="202"/>
      <c r="M41" s="202"/>
      <c r="N41" s="202"/>
      <c r="O41" s="202"/>
      <c r="P41" s="202"/>
      <c r="Q41" s="202"/>
      <c r="R41" s="202"/>
      <c r="S41" s="202"/>
      <c r="T41" s="202"/>
      <c r="U41" s="202"/>
      <c r="V41" s="202"/>
      <c r="W41" s="202"/>
      <c r="X41" s="202"/>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c r="AU41" s="202"/>
      <c r="AV41" s="202"/>
      <c r="AW41" s="202"/>
      <c r="AX41" s="202"/>
      <c r="AY41" s="202"/>
      <c r="AZ41" s="202"/>
      <c r="BA41" s="202"/>
      <c r="BB41" s="202"/>
      <c r="BC41" s="202"/>
      <c r="BD41" s="202"/>
    </row>
    <row r="42" spans="2:61" x14ac:dyDescent="0.25">
      <c r="B42" s="202"/>
      <c r="C42" s="249" t="s">
        <v>648</v>
      </c>
      <c r="D42" s="224"/>
      <c r="E42" s="224"/>
      <c r="F42" s="223"/>
      <c r="G42" s="202"/>
      <c r="H42" s="225"/>
      <c r="I42" s="224"/>
      <c r="J42" s="224"/>
      <c r="K42" s="223"/>
      <c r="L42" s="202"/>
      <c r="M42" s="225"/>
      <c r="N42" s="224"/>
      <c r="O42" s="223"/>
      <c r="P42" s="202"/>
      <c r="Q42" s="225"/>
      <c r="R42" s="224"/>
      <c r="S42" s="223"/>
      <c r="T42" s="202"/>
      <c r="U42" s="225"/>
      <c r="V42" s="224"/>
      <c r="W42" s="224"/>
      <c r="X42" s="223"/>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c r="AU42" s="202"/>
      <c r="AV42" s="202"/>
      <c r="AW42" s="202"/>
      <c r="AX42" s="202"/>
      <c r="AY42" s="202"/>
      <c r="AZ42" s="202"/>
      <c r="BA42" s="202"/>
      <c r="BB42" s="202"/>
      <c r="BC42" s="202"/>
      <c r="BD42" s="202"/>
    </row>
    <row r="43" spans="2:61" x14ac:dyDescent="0.25">
      <c r="B43" s="202"/>
      <c r="C43" s="222"/>
      <c r="D43" s="210"/>
      <c r="E43" s="210"/>
      <c r="F43" s="208"/>
      <c r="G43" s="202"/>
      <c r="H43" s="222"/>
      <c r="I43" s="210"/>
      <c r="J43" s="210"/>
      <c r="K43" s="208"/>
      <c r="L43" s="202"/>
      <c r="M43" s="303" t="str">
        <f>I44</f>
        <v>Fresh water infeed electrolyser</v>
      </c>
      <c r="N43" s="297">
        <f>J44*D44</f>
        <v>101454289.38256212</v>
      </c>
      <c r="O43" s="208" t="s">
        <v>859</v>
      </c>
      <c r="P43" s="202"/>
      <c r="Q43" s="301" t="str">
        <f>M8</f>
        <v>Power requirement desalination unit</v>
      </c>
      <c r="R43" s="299">
        <f>N44*N8/1000</f>
        <v>0.24299999999999997</v>
      </c>
      <c r="S43" s="208" t="s">
        <v>46</v>
      </c>
      <c r="T43" s="202"/>
      <c r="U43" s="303" t="str">
        <f>Parameters!E420</f>
        <v>Energy requirement desalination unit</v>
      </c>
      <c r="V43" s="297">
        <f>R43*E12*R44</f>
        <v>913.08860444305901</v>
      </c>
      <c r="W43" s="210" t="str">
        <f>Parameters!F420</f>
        <v>MWh/a</v>
      </c>
      <c r="X43" s="208"/>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c r="BA43" s="202"/>
      <c r="BB43" s="202"/>
      <c r="BC43" s="202"/>
      <c r="BD43" s="202"/>
    </row>
    <row r="44" spans="2:61" x14ac:dyDescent="0.25">
      <c r="B44" s="202"/>
      <c r="C44" s="887" t="str">
        <f>M28</f>
        <v>Available electricity electrolysis</v>
      </c>
      <c r="D44" s="296">
        <f>N28</f>
        <v>375756.62734282267</v>
      </c>
      <c r="E44" s="888" t="str">
        <f>O28</f>
        <v>MWh/a</v>
      </c>
      <c r="F44" s="208"/>
      <c r="G44" s="202"/>
      <c r="H44" s="222"/>
      <c r="I44" s="220" t="str">
        <f>M9</f>
        <v>Fresh water infeed electrolyser</v>
      </c>
      <c r="J44" s="299">
        <f>N9</f>
        <v>270</v>
      </c>
      <c r="K44" s="208" t="str">
        <f>O9</f>
        <v>litre / MWh</v>
      </c>
      <c r="L44" s="202"/>
      <c r="M44" s="298" t="str">
        <f>Parameters!E408</f>
        <v>Max water infeed</v>
      </c>
      <c r="N44" s="299">
        <f>$E$6*J44</f>
        <v>27000</v>
      </c>
      <c r="O44" s="208" t="str">
        <f>Parameters!F408</f>
        <v>litre/h</v>
      </c>
      <c r="P44" s="202"/>
      <c r="Q44" s="211" t="s">
        <v>654</v>
      </c>
      <c r="R44" s="302">
        <f>IFERROR(D44/(E6*8760),0)</f>
        <v>0.42894592162422679</v>
      </c>
      <c r="S44" s="208"/>
      <c r="T44" s="202"/>
      <c r="U44" s="303" t="str">
        <f t="shared" ref="U44:W45" si="8">M43</f>
        <v>Fresh water infeed electrolyser</v>
      </c>
      <c r="V44" s="297">
        <f t="shared" si="8"/>
        <v>101454289.38256212</v>
      </c>
      <c r="W44" s="210" t="str">
        <f t="shared" si="8"/>
        <v>litre/a</v>
      </c>
      <c r="X44" s="208"/>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c r="BA44" s="202"/>
      <c r="BB44" s="202"/>
      <c r="BC44" s="202"/>
      <c r="BD44" s="202"/>
    </row>
    <row r="45" spans="2:61" x14ac:dyDescent="0.25">
      <c r="B45" s="202"/>
      <c r="C45" s="211"/>
      <c r="D45" s="210"/>
      <c r="E45" s="221"/>
      <c r="F45" s="208"/>
      <c r="G45" s="202"/>
      <c r="H45" s="211"/>
      <c r="I45" s="220"/>
      <c r="J45" s="299"/>
      <c r="K45" s="208"/>
      <c r="L45" s="202"/>
      <c r="M45" s="211"/>
      <c r="N45" s="220"/>
      <c r="O45" s="208"/>
      <c r="P45" s="202"/>
      <c r="Q45" s="211"/>
      <c r="R45" s="220"/>
      <c r="S45" s="208"/>
      <c r="T45" s="202"/>
      <c r="U45" s="303" t="str">
        <f t="shared" si="8"/>
        <v>Max water infeed</v>
      </c>
      <c r="V45" s="297">
        <f t="shared" si="8"/>
        <v>27000</v>
      </c>
      <c r="W45" s="210" t="str">
        <f t="shared" si="8"/>
        <v>litre/h</v>
      </c>
      <c r="X45" s="208"/>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c r="BA45" s="202"/>
      <c r="BB45" s="202"/>
      <c r="BC45" s="202"/>
      <c r="BD45" s="202"/>
    </row>
    <row r="46" spans="2:61" x14ac:dyDescent="0.25">
      <c r="B46" s="202"/>
      <c r="C46" s="207"/>
      <c r="D46" s="234"/>
      <c r="E46" s="234"/>
      <c r="F46" s="204"/>
      <c r="G46" s="202"/>
      <c r="H46" s="207"/>
      <c r="I46" s="234"/>
      <c r="J46" s="234"/>
      <c r="K46" s="204"/>
      <c r="L46" s="202"/>
      <c r="M46" s="207"/>
      <c r="N46" s="234"/>
      <c r="O46" s="204"/>
      <c r="P46" s="202"/>
      <c r="Q46" s="207"/>
      <c r="R46" s="234"/>
      <c r="S46" s="204"/>
      <c r="T46" s="202"/>
      <c r="U46" s="207"/>
      <c r="V46" s="234"/>
      <c r="W46" s="234"/>
      <c r="X46" s="204"/>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row>
    <row r="47" spans="2:61" x14ac:dyDescent="0.25">
      <c r="B47" s="202"/>
      <c r="C47" s="202"/>
      <c r="D47" s="202"/>
      <c r="E47" s="202"/>
      <c r="F47" s="202"/>
      <c r="G47" s="202"/>
      <c r="H47" s="202"/>
      <c r="I47" s="202"/>
      <c r="J47" s="202"/>
      <c r="K47" s="202"/>
      <c r="L47" s="202"/>
      <c r="M47" s="202"/>
      <c r="N47" s="202"/>
      <c r="O47" s="202"/>
      <c r="P47" s="202"/>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2"/>
      <c r="AZ47" s="202"/>
      <c r="BA47" s="202"/>
      <c r="BB47" s="202"/>
      <c r="BC47" s="202"/>
      <c r="BD47" s="202"/>
    </row>
    <row r="48" spans="2:61" x14ac:dyDescent="0.25">
      <c r="B48" s="202"/>
      <c r="C48" s="202"/>
      <c r="D48" s="202"/>
      <c r="E48" s="202"/>
      <c r="F48" s="202"/>
      <c r="G48" s="202"/>
      <c r="H48" s="202"/>
      <c r="I48" s="202"/>
      <c r="J48" s="202"/>
      <c r="K48" s="202"/>
      <c r="L48" s="202"/>
      <c r="M48" s="202"/>
      <c r="N48" s="202"/>
      <c r="O48" s="202"/>
      <c r="P48" s="202"/>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c r="BA48" s="202"/>
      <c r="BB48" s="202"/>
      <c r="BC48" s="202"/>
      <c r="BD48" s="202"/>
    </row>
    <row r="49" spans="2:56" x14ac:dyDescent="0.25">
      <c r="B49" s="202"/>
      <c r="C49" s="228" t="s">
        <v>860</v>
      </c>
      <c r="D49" s="227"/>
      <c r="E49" s="227"/>
      <c r="F49" s="226"/>
      <c r="G49" s="202"/>
      <c r="H49" s="228" t="s">
        <v>860</v>
      </c>
      <c r="I49" s="227"/>
      <c r="J49" s="227"/>
      <c r="K49" s="226"/>
      <c r="L49" s="202"/>
      <c r="M49" s="228" t="s">
        <v>1239</v>
      </c>
      <c r="N49" s="227"/>
      <c r="O49" s="227"/>
      <c r="P49" s="226"/>
      <c r="Q49" s="202"/>
      <c r="R49" s="202"/>
      <c r="S49" s="202"/>
      <c r="T49" s="202"/>
      <c r="U49" s="202"/>
      <c r="V49" s="202"/>
      <c r="W49" s="202"/>
      <c r="X49" s="202"/>
      <c r="Y49" s="202"/>
      <c r="Z49" s="202"/>
      <c r="AA49" s="202"/>
      <c r="AB49" s="202"/>
      <c r="AC49" s="202"/>
      <c r="AD49" s="202"/>
      <c r="AE49" s="202"/>
      <c r="AF49" s="202"/>
      <c r="AG49" s="202"/>
      <c r="AH49" s="202"/>
      <c r="AI49" s="202"/>
      <c r="AJ49" s="202"/>
      <c r="AK49" s="202"/>
      <c r="AL49" s="202"/>
      <c r="AM49" s="202"/>
      <c r="AN49" s="202"/>
      <c r="AO49" s="202"/>
      <c r="AP49" s="202"/>
      <c r="AQ49" s="202"/>
      <c r="AR49" s="202"/>
      <c r="AS49" s="202"/>
      <c r="AT49" s="202"/>
      <c r="AU49" s="202"/>
      <c r="AV49" s="202"/>
      <c r="AW49" s="202"/>
      <c r="AX49" s="202"/>
      <c r="AY49" s="202"/>
      <c r="AZ49" s="202"/>
      <c r="BA49" s="202"/>
      <c r="BB49" s="202"/>
      <c r="BC49" s="202"/>
      <c r="BD49" s="202"/>
    </row>
    <row r="50" spans="2:56" x14ac:dyDescent="0.25">
      <c r="B50" s="202"/>
      <c r="C50" s="202"/>
      <c r="D50" s="202"/>
      <c r="E50" s="202"/>
      <c r="F50" s="202"/>
      <c r="G50" s="202"/>
      <c r="H50" s="202"/>
      <c r="I50" s="202"/>
      <c r="J50" s="202"/>
      <c r="K50" s="202"/>
      <c r="L50" s="202"/>
      <c r="M50" s="202"/>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c r="AU50" s="202"/>
      <c r="AV50" s="202"/>
      <c r="AW50" s="202"/>
      <c r="AX50" s="202"/>
      <c r="AY50" s="202"/>
      <c r="AZ50" s="202"/>
      <c r="BA50" s="202"/>
      <c r="BB50" s="202"/>
      <c r="BC50" s="202"/>
      <c r="BD50" s="202"/>
    </row>
    <row r="51" spans="2:56" x14ac:dyDescent="0.25">
      <c r="B51" s="202"/>
      <c r="C51" s="411"/>
      <c r="D51" s="224"/>
      <c r="E51" s="224"/>
      <c r="F51" s="223"/>
      <c r="G51" s="202"/>
      <c r="H51" s="411" t="s">
        <v>561</v>
      </c>
      <c r="I51" s="224"/>
      <c r="J51" s="224"/>
      <c r="K51" s="223"/>
      <c r="L51" s="202"/>
      <c r="M51" s="249" t="s">
        <v>1228</v>
      </c>
      <c r="N51" s="224"/>
      <c r="O51" s="224"/>
      <c r="P51" s="223"/>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c r="AU51" s="202"/>
      <c r="AV51" s="202"/>
      <c r="AW51" s="202"/>
      <c r="AX51" s="202"/>
      <c r="AY51" s="202"/>
      <c r="AZ51" s="202"/>
      <c r="BA51" s="202"/>
      <c r="BB51" s="202"/>
      <c r="BC51" s="202"/>
      <c r="BD51" s="202"/>
    </row>
    <row r="52" spans="2:56" x14ac:dyDescent="0.25">
      <c r="B52" s="202"/>
      <c r="C52" s="217" t="str">
        <f>Parameters!E417</f>
        <v>Relative capex desalination unit</v>
      </c>
      <c r="D52" s="296">
        <f>Parameters!G417</f>
        <v>31.200000000000003</v>
      </c>
      <c r="E52" s="216" t="str">
        <f>Parameters!F417</f>
        <v>EUR / (litre/hour)</v>
      </c>
      <c r="F52" s="208"/>
      <c r="G52" s="202"/>
      <c r="H52" s="217"/>
      <c r="I52" s="413" t="str">
        <f>C52</f>
        <v>Relative capex desalination unit</v>
      </c>
      <c r="J52" s="412">
        <f>D52*N44</f>
        <v>842400.00000000012</v>
      </c>
      <c r="K52" s="208" t="s">
        <v>23</v>
      </c>
      <c r="L52" s="202"/>
      <c r="M52" s="887" t="str">
        <f>D6</f>
        <v>Size electrolyser</v>
      </c>
      <c r="N52" s="416">
        <f>E6</f>
        <v>100</v>
      </c>
      <c r="O52" s="210" t="s">
        <v>46</v>
      </c>
      <c r="P52" s="208"/>
      <c r="Q52" s="202"/>
      <c r="R52" s="202"/>
      <c r="S52" s="202"/>
      <c r="T52" s="202"/>
      <c r="U52" s="202"/>
      <c r="V52" s="202"/>
      <c r="W52" s="202"/>
      <c r="X52" s="202"/>
      <c r="Y52" s="202"/>
      <c r="Z52" s="202"/>
      <c r="AA52" s="202"/>
      <c r="AB52" s="202"/>
      <c r="AC52" s="202"/>
      <c r="AD52" s="202"/>
      <c r="AE52" s="202"/>
      <c r="AF52" s="202"/>
      <c r="AG52" s="202"/>
      <c r="AH52" s="202"/>
      <c r="AI52" s="202"/>
      <c r="AJ52" s="202"/>
      <c r="AK52" s="202"/>
      <c r="AL52" s="202"/>
      <c r="AM52" s="202"/>
      <c r="AN52" s="202"/>
      <c r="AO52" s="202"/>
      <c r="AP52" s="202"/>
      <c r="AQ52" s="202"/>
      <c r="AR52" s="202"/>
      <c r="AS52" s="202"/>
      <c r="AT52" s="202"/>
      <c r="AU52" s="202"/>
      <c r="AV52" s="202"/>
      <c r="AW52" s="202"/>
      <c r="AX52" s="202"/>
      <c r="AY52" s="202"/>
      <c r="AZ52" s="202"/>
      <c r="BA52" s="202"/>
      <c r="BB52" s="202"/>
      <c r="BC52" s="202"/>
      <c r="BD52" s="202"/>
    </row>
    <row r="53" spans="2:56" x14ac:dyDescent="0.25">
      <c r="B53" s="202"/>
      <c r="C53" s="217" t="str">
        <f>Parameters!E418</f>
        <v>Relative opex desalination unit</v>
      </c>
      <c r="D53" s="415">
        <f>Parameters!G418</f>
        <v>2.5000000000000001E-2</v>
      </c>
      <c r="E53" s="216" t="str">
        <f>Parameters!F418</f>
        <v>% of Capex</v>
      </c>
      <c r="F53" s="208"/>
      <c r="G53" s="202"/>
      <c r="H53" s="217"/>
      <c r="I53" s="413" t="str">
        <f>C53</f>
        <v>Relative opex desalination unit</v>
      </c>
      <c r="J53" s="412">
        <f>J52*D53</f>
        <v>21060.000000000004</v>
      </c>
      <c r="K53" s="208" t="s">
        <v>774</v>
      </c>
      <c r="L53" s="202"/>
      <c r="M53" s="217" t="s">
        <v>1550</v>
      </c>
      <c r="N53" s="416">
        <f>N52*D66</f>
        <v>1485.472</v>
      </c>
      <c r="O53" s="210" t="s">
        <v>112</v>
      </c>
      <c r="P53" s="208"/>
      <c r="Q53" s="202"/>
      <c r="R53" s="202"/>
      <c r="S53" s="202"/>
      <c r="T53" s="202"/>
      <c r="U53" s="202"/>
      <c r="V53" s="202"/>
      <c r="W53" s="202"/>
      <c r="X53" s="202"/>
      <c r="Y53" s="202"/>
      <c r="Z53" s="202"/>
      <c r="AA53" s="202"/>
      <c r="AB53" s="202"/>
      <c r="AC53" s="202"/>
      <c r="AD53" s="202"/>
      <c r="AE53" s="202"/>
      <c r="AF53" s="202"/>
      <c r="AG53" s="202"/>
      <c r="AH53" s="202"/>
      <c r="AI53" s="202"/>
      <c r="AJ53" s="202"/>
      <c r="AK53" s="202"/>
      <c r="AL53" s="202"/>
      <c r="AM53" s="202"/>
      <c r="AN53" s="202"/>
      <c r="AO53" s="202"/>
      <c r="AP53" s="202"/>
      <c r="AQ53" s="202"/>
      <c r="AR53" s="202"/>
      <c r="AS53" s="202"/>
      <c r="AT53" s="202"/>
      <c r="AU53" s="202"/>
      <c r="AV53" s="202"/>
      <c r="AW53" s="202"/>
      <c r="AX53" s="202"/>
      <c r="AY53" s="202"/>
      <c r="AZ53" s="202"/>
      <c r="BA53" s="202"/>
      <c r="BB53" s="202"/>
      <c r="BC53" s="202"/>
      <c r="BD53" s="202"/>
    </row>
    <row r="54" spans="2:56" x14ac:dyDescent="0.25">
      <c r="B54" s="202"/>
      <c r="C54" s="211" t="str">
        <f>Parameters!E403</f>
        <v>Relative capex electrolyser</v>
      </c>
      <c r="D54" s="416">
        <f>Parameters!G403</f>
        <v>629.89987597081836</v>
      </c>
      <c r="E54" s="216" t="str">
        <f>Parameters!F403</f>
        <v>EUR / kW</v>
      </c>
      <c r="F54" s="208"/>
      <c r="G54" s="202"/>
      <c r="H54" s="211"/>
      <c r="I54" s="214" t="str">
        <f>Parameters!E409</f>
        <v>Capex electrolyser</v>
      </c>
      <c r="J54" s="412">
        <f>D54*1000*E6</f>
        <v>62989987.597081833</v>
      </c>
      <c r="K54" s="208" t="s">
        <v>23</v>
      </c>
      <c r="L54" s="202"/>
      <c r="M54" s="301" t="s">
        <v>1551</v>
      </c>
      <c r="N54" s="416">
        <f>D65*N52</f>
        <v>1019.9999999999999</v>
      </c>
      <c r="O54" s="210" t="s">
        <v>810</v>
      </c>
      <c r="P54" s="208"/>
      <c r="Q54" s="202"/>
      <c r="R54" s="202"/>
      <c r="S54" s="202"/>
      <c r="T54" s="202"/>
      <c r="U54" s="202"/>
      <c r="V54" s="202"/>
      <c r="W54" s="202"/>
      <c r="X54" s="202"/>
      <c r="Y54" s="202"/>
      <c r="Z54" s="202"/>
      <c r="AA54" s="202"/>
      <c r="AB54" s="202"/>
      <c r="AC54" s="202"/>
      <c r="AD54" s="202"/>
      <c r="AE54" s="202"/>
      <c r="AF54" s="202"/>
      <c r="AG54" s="202"/>
      <c r="AH54" s="202"/>
      <c r="AI54" s="202"/>
      <c r="AJ54" s="202"/>
      <c r="AK54" s="202"/>
      <c r="AL54" s="202"/>
      <c r="AM54" s="202"/>
      <c r="AN54" s="202"/>
      <c r="AO54" s="202"/>
      <c r="AP54" s="202"/>
      <c r="AQ54" s="202"/>
      <c r="AR54" s="202"/>
      <c r="AS54" s="202"/>
      <c r="AT54" s="202"/>
      <c r="AU54" s="202"/>
      <c r="AV54" s="202"/>
      <c r="AW54" s="202"/>
      <c r="AX54" s="202"/>
      <c r="AY54" s="202"/>
      <c r="AZ54" s="202"/>
      <c r="BA54" s="202"/>
      <c r="BB54" s="202"/>
      <c r="BC54" s="202"/>
      <c r="BD54" s="202"/>
    </row>
    <row r="55" spans="2:56" x14ac:dyDescent="0.25">
      <c r="B55" s="202"/>
      <c r="C55" s="211" t="str">
        <f>Parameters!E404</f>
        <v>Relative opex electrolyser</v>
      </c>
      <c r="D55" s="416">
        <f>Parameters!G404</f>
        <v>2.5000000000000001E-2</v>
      </c>
      <c r="E55" s="216" t="str">
        <f>Parameters!F404</f>
        <v>% of Capex</v>
      </c>
      <c r="F55" s="208"/>
      <c r="G55" s="202"/>
      <c r="H55" s="211"/>
      <c r="I55" s="214" t="str">
        <f>Parameters!E411</f>
        <v>Opex electrolyser</v>
      </c>
      <c r="J55" s="412">
        <f>D55*J54</f>
        <v>1574749.689927046</v>
      </c>
      <c r="K55" s="208" t="s">
        <v>774</v>
      </c>
      <c r="L55" s="202"/>
      <c r="M55" s="211"/>
      <c r="N55" s="416"/>
      <c r="O55" s="241"/>
      <c r="P55" s="208"/>
      <c r="Q55" s="202"/>
      <c r="R55" s="202"/>
      <c r="S55" s="202"/>
      <c r="T55" s="202"/>
      <c r="U55" s="202"/>
      <c r="V55" s="202"/>
      <c r="W55" s="202"/>
      <c r="X55" s="202"/>
      <c r="Y55" s="202"/>
      <c r="Z55" s="202"/>
      <c r="AA55" s="202"/>
      <c r="AB55" s="202"/>
      <c r="AC55" s="202"/>
      <c r="AD55" s="202"/>
      <c r="AE55" s="202"/>
      <c r="AF55" s="202"/>
      <c r="AG55" s="202"/>
      <c r="AH55" s="202"/>
      <c r="AI55" s="202"/>
      <c r="AJ55" s="202"/>
      <c r="AK55" s="202"/>
      <c r="AL55" s="202"/>
      <c r="AM55" s="202"/>
      <c r="AN55" s="202"/>
      <c r="AO55" s="202"/>
      <c r="AP55" s="202"/>
      <c r="AQ55" s="202"/>
      <c r="AR55" s="202"/>
      <c r="AS55" s="202"/>
      <c r="AT55" s="202"/>
      <c r="AU55" s="202"/>
      <c r="AV55" s="202"/>
      <c r="AW55" s="202"/>
      <c r="AX55" s="202"/>
      <c r="AY55" s="202"/>
      <c r="AZ55" s="202"/>
      <c r="BA55" s="202"/>
      <c r="BB55" s="202"/>
      <c r="BC55" s="202"/>
      <c r="BD55" s="202"/>
    </row>
    <row r="56" spans="2:56" x14ac:dyDescent="0.25">
      <c r="B56" s="202"/>
      <c r="C56" s="211" t="str">
        <f>D18</f>
        <v>Capex share stack</v>
      </c>
      <c r="D56" s="299">
        <f t="shared" ref="D56" si="9">E18</f>
        <v>0.5</v>
      </c>
      <c r="E56" s="412"/>
      <c r="F56" s="208"/>
      <c r="G56" s="202"/>
      <c r="H56" s="211"/>
      <c r="I56" s="214" t="str">
        <f>Parameters!E410</f>
        <v>Capex stack replacement</v>
      </c>
      <c r="J56" s="412">
        <f>D56*J54</f>
        <v>31494993.798540916</v>
      </c>
      <c r="K56" s="208" t="str">
        <f>Parameters!F410</f>
        <v>EUR</v>
      </c>
      <c r="L56" s="202"/>
      <c r="M56" s="211" t="s">
        <v>1552</v>
      </c>
      <c r="N56" s="299">
        <f>Parameters!J416*N44</f>
        <v>38.298856933808544</v>
      </c>
      <c r="O56" s="412" t="s">
        <v>810</v>
      </c>
      <c r="P56" s="208"/>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c r="BA56" s="202"/>
      <c r="BB56" s="202"/>
      <c r="BC56" s="202"/>
      <c r="BD56" s="202"/>
    </row>
    <row r="57" spans="2:56" x14ac:dyDescent="0.25">
      <c r="B57" s="202"/>
      <c r="C57" s="211"/>
      <c r="D57" s="214"/>
      <c r="E57" s="412"/>
      <c r="F57" s="208"/>
      <c r="G57" s="202"/>
      <c r="H57" s="211"/>
      <c r="I57" s="214"/>
      <c r="J57" s="412"/>
      <c r="K57" s="208"/>
      <c r="L57" s="202"/>
      <c r="M57" s="211" t="s">
        <v>1553</v>
      </c>
      <c r="N57" s="299">
        <f>D70*N56</f>
        <v>55.776352556057304</v>
      </c>
      <c r="O57" s="412" t="s">
        <v>112</v>
      </c>
      <c r="P57" s="208"/>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c r="BA57" s="202"/>
      <c r="BB57" s="202"/>
      <c r="BC57" s="202"/>
      <c r="BD57" s="202"/>
    </row>
    <row r="58" spans="2:56" x14ac:dyDescent="0.25">
      <c r="B58" s="202"/>
      <c r="C58" s="301" t="str">
        <f>M28</f>
        <v>Available electricity electrolysis</v>
      </c>
      <c r="D58" s="260">
        <f>N28</f>
        <v>375756.62734282267</v>
      </c>
      <c r="E58" s="412" t="s">
        <v>836</v>
      </c>
      <c r="F58" s="208"/>
      <c r="G58" s="202"/>
      <c r="H58" s="211"/>
      <c r="I58" s="220" t="str">
        <f>Parameters!E412</f>
        <v>Electricity costs electrolysis</v>
      </c>
      <c r="J58" s="412">
        <f>D58*(D60+D59)</f>
        <v>12133815.904197609</v>
      </c>
      <c r="K58" s="208" t="s">
        <v>914</v>
      </c>
      <c r="L58" s="202"/>
      <c r="M58" s="207"/>
      <c r="N58" s="234"/>
      <c r="O58" s="692"/>
      <c r="P58" s="204"/>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c r="BD58" s="202"/>
    </row>
    <row r="59" spans="2:56" x14ac:dyDescent="0.25">
      <c r="B59" s="202"/>
      <c r="C59" s="301" t="str">
        <f>D9</f>
        <v>Average price during period below benchmark</v>
      </c>
      <c r="D59" s="299">
        <f t="shared" ref="D59:E60" si="10">E9</f>
        <v>30.291688346263779</v>
      </c>
      <c r="E59" s="412" t="str">
        <f t="shared" si="10"/>
        <v>€/MWh</v>
      </c>
      <c r="F59" s="208"/>
      <c r="G59" s="202"/>
      <c r="H59" s="211"/>
      <c r="I59" s="214"/>
      <c r="J59" s="412"/>
      <c r="K59" s="208"/>
      <c r="L59" s="202"/>
      <c r="M59" s="202"/>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c r="BA59" s="202"/>
      <c r="BB59" s="202"/>
      <c r="BC59" s="202"/>
      <c r="BD59" s="202"/>
    </row>
    <row r="60" spans="2:56" x14ac:dyDescent="0.25">
      <c r="B60" s="202"/>
      <c r="C60" s="301" t="str">
        <f>D10</f>
        <v>Transport tariff</v>
      </c>
      <c r="D60" s="416">
        <f t="shared" si="10"/>
        <v>2</v>
      </c>
      <c r="E60" s="241" t="str">
        <f t="shared" si="10"/>
        <v>EUR / MWh</v>
      </c>
      <c r="F60" s="208"/>
      <c r="G60" s="202"/>
      <c r="H60" s="211"/>
      <c r="I60" s="214"/>
      <c r="J60" s="412"/>
      <c r="K60" s="208"/>
      <c r="L60" s="202"/>
      <c r="M60" s="202"/>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c r="BA60" s="202"/>
      <c r="BB60" s="202"/>
      <c r="BC60" s="202"/>
      <c r="BD60" s="202"/>
    </row>
    <row r="61" spans="2:56" x14ac:dyDescent="0.25">
      <c r="B61" s="202"/>
      <c r="C61" s="207"/>
      <c r="D61" s="205"/>
      <c r="E61" s="245"/>
      <c r="F61" s="204"/>
      <c r="G61" s="202"/>
      <c r="H61" s="207"/>
      <c r="I61" s="234"/>
      <c r="J61" s="692"/>
      <c r="K61" s="204"/>
      <c r="L61" s="202"/>
      <c r="M61" s="202"/>
      <c r="N61" s="202"/>
      <c r="O61" s="202"/>
      <c r="P61" s="202"/>
      <c r="Q61" s="202"/>
      <c r="R61" s="202"/>
      <c r="S61" s="202"/>
      <c r="T61" s="202"/>
      <c r="U61" s="202"/>
      <c r="V61" s="202"/>
      <c r="W61" s="202"/>
      <c r="X61" s="202"/>
      <c r="Y61" s="202"/>
      <c r="Z61" s="202"/>
      <c r="AA61" s="202"/>
      <c r="AB61" s="202"/>
      <c r="AC61" s="202"/>
      <c r="AD61" s="202"/>
      <c r="AE61" s="202"/>
      <c r="AF61" s="202"/>
      <c r="AG61" s="202"/>
      <c r="AH61" s="202"/>
      <c r="AI61" s="202"/>
      <c r="AJ61" s="202"/>
      <c r="AK61" s="202"/>
      <c r="AL61" s="202"/>
      <c r="AM61" s="202"/>
      <c r="AN61" s="202"/>
      <c r="AO61" s="202"/>
      <c r="AP61" s="202"/>
      <c r="AQ61" s="202"/>
      <c r="AR61" s="202"/>
      <c r="AS61" s="202"/>
      <c r="AT61" s="202"/>
      <c r="AU61" s="202"/>
      <c r="AV61" s="202"/>
      <c r="AW61" s="202"/>
      <c r="AX61" s="202"/>
      <c r="AY61" s="202"/>
      <c r="AZ61" s="202"/>
      <c r="BA61" s="202"/>
      <c r="BB61" s="202"/>
      <c r="BC61" s="202"/>
      <c r="BD61" s="202"/>
    </row>
    <row r="62" spans="2:56" x14ac:dyDescent="0.25">
      <c r="B62" s="202"/>
      <c r="C62" s="202"/>
      <c r="D62" s="202"/>
      <c r="E62" s="202"/>
      <c r="F62" s="202"/>
      <c r="G62" s="202"/>
      <c r="H62" s="202"/>
      <c r="I62" s="202"/>
      <c r="J62" s="202"/>
      <c r="K62" s="202"/>
      <c r="L62" s="202"/>
      <c r="M62" s="202"/>
      <c r="N62" s="202"/>
      <c r="O62" s="202"/>
      <c r="P62" s="202"/>
      <c r="Q62" s="202"/>
      <c r="R62" s="202"/>
      <c r="S62" s="202"/>
      <c r="T62" s="202"/>
      <c r="U62" s="202"/>
      <c r="V62" s="202"/>
      <c r="W62" s="202"/>
      <c r="X62" s="202"/>
      <c r="Y62" s="202"/>
      <c r="Z62" s="202"/>
      <c r="AA62" s="202"/>
      <c r="AB62" s="202"/>
      <c r="AC62" s="202"/>
      <c r="AD62" s="202"/>
      <c r="AE62" s="202"/>
      <c r="AF62" s="202"/>
      <c r="AG62" s="202"/>
      <c r="AH62" s="202"/>
      <c r="AI62" s="202"/>
      <c r="AJ62" s="202"/>
      <c r="AK62" s="202"/>
      <c r="AL62" s="202"/>
      <c r="AM62" s="202"/>
      <c r="AN62" s="202"/>
      <c r="AO62" s="202"/>
      <c r="AP62" s="202"/>
      <c r="AQ62" s="202"/>
      <c r="AR62" s="202"/>
      <c r="AS62" s="202"/>
      <c r="AT62" s="202"/>
      <c r="AU62" s="202"/>
      <c r="AV62" s="202"/>
      <c r="AW62" s="202"/>
      <c r="AX62" s="202"/>
      <c r="AY62" s="202"/>
      <c r="AZ62" s="202"/>
      <c r="BA62" s="202"/>
      <c r="BB62" s="202"/>
      <c r="BC62" s="202"/>
      <c r="BD62" s="202"/>
    </row>
    <row r="63" spans="2:56" x14ac:dyDescent="0.25">
      <c r="B63" s="202"/>
      <c r="C63" s="411" t="s">
        <v>83</v>
      </c>
      <c r="D63" s="224"/>
      <c r="E63" s="224"/>
      <c r="F63" s="223"/>
      <c r="G63" s="202"/>
      <c r="H63" s="202"/>
      <c r="I63" s="202"/>
      <c r="J63" s="202"/>
      <c r="K63" s="202"/>
      <c r="L63" s="202"/>
      <c r="M63" s="202"/>
      <c r="N63" s="202"/>
      <c r="O63" s="202"/>
      <c r="P63" s="202"/>
      <c r="Q63" s="202"/>
      <c r="R63" s="202"/>
      <c r="S63" s="202"/>
      <c r="T63" s="202"/>
      <c r="U63" s="202"/>
      <c r="V63" s="202"/>
      <c r="W63" s="202"/>
      <c r="X63" s="202"/>
      <c r="Y63" s="202"/>
      <c r="Z63" s="202"/>
      <c r="AA63" s="202"/>
      <c r="AB63" s="202"/>
      <c r="AC63" s="202"/>
      <c r="AD63" s="202"/>
      <c r="AE63" s="202"/>
      <c r="AF63" s="202"/>
      <c r="AG63" s="202"/>
      <c r="AH63" s="202"/>
      <c r="AI63" s="202"/>
      <c r="AJ63" s="202"/>
      <c r="AK63" s="202"/>
      <c r="AL63" s="202"/>
      <c r="AM63" s="202"/>
      <c r="AN63" s="202"/>
      <c r="AO63" s="202"/>
      <c r="AP63" s="202"/>
      <c r="AQ63" s="202"/>
      <c r="AR63" s="202"/>
      <c r="AS63" s="202"/>
      <c r="AT63" s="202"/>
      <c r="AU63" s="202"/>
      <c r="AV63" s="202"/>
      <c r="AW63" s="202"/>
      <c r="AX63" s="202"/>
      <c r="AY63" s="202"/>
      <c r="AZ63" s="202"/>
      <c r="BA63" s="202"/>
      <c r="BB63" s="202"/>
      <c r="BC63" s="202"/>
      <c r="BD63" s="202"/>
    </row>
    <row r="64" spans="2:56" x14ac:dyDescent="0.25">
      <c r="B64" s="202"/>
      <c r="C64" s="217" t="s">
        <v>589</v>
      </c>
      <c r="D64" s="296"/>
      <c r="E64" s="216"/>
      <c r="F64" s="208"/>
      <c r="G64" s="202"/>
      <c r="H64" s="202"/>
      <c r="I64" s="202"/>
      <c r="J64" s="202"/>
      <c r="K64" s="202"/>
      <c r="L64" s="202"/>
      <c r="M64" s="202"/>
      <c r="N64" s="202"/>
      <c r="O64" s="202"/>
      <c r="P64" s="202"/>
      <c r="Q64" s="202"/>
      <c r="R64" s="202"/>
      <c r="S64" s="202"/>
      <c r="T64" s="202"/>
      <c r="U64" s="202"/>
      <c r="V64" s="202"/>
      <c r="W64" s="202"/>
      <c r="X64" s="202"/>
      <c r="Y64" s="202"/>
      <c r="Z64" s="202"/>
      <c r="AA64" s="202"/>
      <c r="AB64" s="202"/>
      <c r="AC64" s="202"/>
      <c r="AD64" s="202"/>
      <c r="AE64" s="202"/>
      <c r="AF64" s="202"/>
      <c r="AG64" s="202"/>
      <c r="AH64" s="202"/>
      <c r="AI64" s="202"/>
      <c r="AJ64" s="202"/>
      <c r="AK64" s="202"/>
      <c r="AL64" s="202"/>
      <c r="AM64" s="202"/>
      <c r="AN64" s="202"/>
      <c r="AO64" s="202"/>
      <c r="AP64" s="202"/>
      <c r="AQ64" s="202"/>
      <c r="AR64" s="202"/>
      <c r="AS64" s="202"/>
      <c r="AT64" s="202"/>
      <c r="AU64" s="202"/>
      <c r="AV64" s="202"/>
      <c r="AW64" s="202"/>
      <c r="AX64" s="202"/>
      <c r="AY64" s="202"/>
      <c r="AZ64" s="202"/>
      <c r="BA64" s="202"/>
      <c r="BB64" s="202"/>
      <c r="BC64" s="202"/>
      <c r="BD64" s="202"/>
    </row>
    <row r="65" spans="2:56" x14ac:dyDescent="0.25">
      <c r="B65" s="202"/>
      <c r="C65" s="211" t="str">
        <f>Parameters!E401</f>
        <v>Relative electrolyser weight</v>
      </c>
      <c r="D65" s="416">
        <f>Parameters!G401</f>
        <v>10.199999999999999</v>
      </c>
      <c r="E65" s="241" t="str">
        <f>Parameters!F401</f>
        <v>ton / MW</v>
      </c>
      <c r="F65" s="208"/>
      <c r="G65" s="202"/>
      <c r="H65" s="202"/>
      <c r="I65" s="202"/>
      <c r="J65" s="202"/>
      <c r="K65" s="202"/>
      <c r="L65" s="202"/>
      <c r="M65" s="202"/>
      <c r="N65" s="202"/>
      <c r="O65" s="202"/>
      <c r="P65" s="202"/>
      <c r="Q65" s="202"/>
      <c r="R65" s="202"/>
      <c r="S65" s="202"/>
      <c r="T65" s="202"/>
      <c r="U65" s="202"/>
      <c r="V65" s="202"/>
      <c r="W65" s="202"/>
      <c r="X65" s="202"/>
      <c r="Y65" s="202"/>
      <c r="Z65" s="202"/>
      <c r="AA65" s="202"/>
      <c r="AB65" s="202"/>
      <c r="AC65" s="202"/>
      <c r="AD65" s="202"/>
      <c r="AE65" s="202"/>
      <c r="AF65" s="202"/>
      <c r="AG65" s="202"/>
      <c r="AH65" s="202"/>
      <c r="AI65" s="202"/>
      <c r="AJ65" s="202"/>
      <c r="AK65" s="202"/>
      <c r="AL65" s="202"/>
      <c r="AM65" s="202"/>
      <c r="AN65" s="202"/>
      <c r="AO65" s="202"/>
      <c r="AP65" s="202"/>
      <c r="AQ65" s="202"/>
      <c r="AR65" s="202"/>
      <c r="AS65" s="202"/>
      <c r="AT65" s="202"/>
      <c r="AU65" s="202"/>
      <c r="AV65" s="202"/>
      <c r="AW65" s="202"/>
      <c r="AX65" s="202"/>
      <c r="AY65" s="202"/>
      <c r="AZ65" s="202"/>
      <c r="BA65" s="202"/>
      <c r="BB65" s="202"/>
      <c r="BC65" s="202"/>
      <c r="BD65" s="202"/>
    </row>
    <row r="66" spans="2:56" x14ac:dyDescent="0.25">
      <c r="B66" s="202"/>
      <c r="C66" s="211" t="str">
        <f>Parameters!E402</f>
        <v>Relative electrolyser area</v>
      </c>
      <c r="D66" s="416">
        <f>Parameters!G402</f>
        <v>14.85472</v>
      </c>
      <c r="E66" s="241" t="str">
        <f>Parameters!F402</f>
        <v>m² / MW</v>
      </c>
      <c r="F66" s="208"/>
      <c r="G66" s="202"/>
      <c r="H66" s="202"/>
      <c r="I66" s="202"/>
      <c r="J66" s="202"/>
      <c r="K66" s="202"/>
      <c r="L66" s="202"/>
      <c r="M66" s="202"/>
      <c r="N66" s="202"/>
      <c r="O66" s="202"/>
      <c r="P66" s="202"/>
      <c r="Q66" s="202"/>
      <c r="R66" s="202"/>
      <c r="S66" s="202"/>
      <c r="T66" s="202"/>
      <c r="U66" s="202"/>
      <c r="V66" s="202"/>
      <c r="W66" s="202"/>
      <c r="X66" s="202"/>
      <c r="Y66" s="202"/>
      <c r="Z66" s="202"/>
      <c r="AA66" s="202"/>
      <c r="AB66" s="202"/>
      <c r="AC66" s="202"/>
      <c r="AD66" s="202"/>
      <c r="AE66" s="202"/>
      <c r="AF66" s="202"/>
      <c r="AG66" s="202"/>
      <c r="AH66" s="202"/>
      <c r="AI66" s="202"/>
      <c r="AJ66" s="202"/>
      <c r="AK66" s="202"/>
      <c r="AL66" s="202"/>
      <c r="AM66" s="202"/>
      <c r="AN66" s="202"/>
      <c r="AO66" s="202"/>
      <c r="AP66" s="202"/>
      <c r="AQ66" s="202"/>
      <c r="AR66" s="202"/>
      <c r="AS66" s="202"/>
      <c r="AT66" s="202"/>
      <c r="AU66" s="202"/>
      <c r="AV66" s="202"/>
      <c r="AW66" s="202"/>
      <c r="AX66" s="202"/>
      <c r="AY66" s="202"/>
      <c r="AZ66" s="202"/>
      <c r="BA66" s="202"/>
      <c r="BB66" s="202"/>
      <c r="BC66" s="202"/>
      <c r="BD66" s="202"/>
    </row>
    <row r="67" spans="2:56" x14ac:dyDescent="0.25">
      <c r="B67" s="202"/>
      <c r="C67" s="211"/>
      <c r="D67" s="416"/>
      <c r="E67" s="216"/>
      <c r="F67" s="208"/>
      <c r="G67" s="202"/>
      <c r="H67" s="202"/>
      <c r="I67" s="202"/>
      <c r="J67" s="202"/>
      <c r="K67" s="202"/>
      <c r="L67" s="202"/>
      <c r="M67" s="202"/>
      <c r="N67" s="202"/>
      <c r="O67" s="202"/>
      <c r="P67" s="202"/>
      <c r="Q67" s="202"/>
      <c r="R67" s="202"/>
      <c r="S67" s="202"/>
      <c r="T67" s="202"/>
      <c r="U67" s="202"/>
      <c r="V67" s="202"/>
      <c r="W67" s="202"/>
      <c r="X67" s="202"/>
      <c r="Y67" s="202"/>
      <c r="Z67" s="202"/>
      <c r="AA67" s="202"/>
      <c r="AB67" s="202"/>
      <c r="AC67" s="202"/>
      <c r="AD67" s="202"/>
      <c r="AE67" s="202"/>
      <c r="AF67" s="202"/>
      <c r="AG67" s="202"/>
      <c r="AH67" s="202"/>
      <c r="AI67" s="202"/>
      <c r="AJ67" s="202"/>
      <c r="AK67" s="202"/>
      <c r="AL67" s="202"/>
      <c r="AM67" s="202"/>
      <c r="AN67" s="202"/>
      <c r="AO67" s="202"/>
      <c r="AP67" s="202"/>
      <c r="AQ67" s="202"/>
      <c r="AR67" s="202"/>
      <c r="AS67" s="202"/>
      <c r="AT67" s="202"/>
      <c r="AU67" s="202"/>
      <c r="AV67" s="202"/>
      <c r="AW67" s="202"/>
      <c r="AX67" s="202"/>
      <c r="AY67" s="202"/>
      <c r="AZ67" s="202"/>
      <c r="BA67" s="202"/>
      <c r="BB67" s="202"/>
      <c r="BC67" s="202"/>
      <c r="BD67" s="202"/>
    </row>
    <row r="68" spans="2:56" x14ac:dyDescent="0.25">
      <c r="B68" s="202"/>
      <c r="C68" s="211" t="s">
        <v>1246</v>
      </c>
      <c r="D68" s="299"/>
      <c r="E68" s="412"/>
      <c r="F68" s="208"/>
      <c r="G68" s="202"/>
      <c r="H68" s="202"/>
      <c r="I68" s="202"/>
      <c r="J68" s="202"/>
      <c r="K68" s="202"/>
      <c r="L68" s="202"/>
      <c r="M68" s="202"/>
      <c r="N68" s="202"/>
      <c r="O68" s="202"/>
      <c r="P68" s="202"/>
      <c r="Q68" s="202"/>
      <c r="R68" s="202"/>
      <c r="S68" s="202"/>
      <c r="T68" s="202"/>
      <c r="U68" s="202"/>
      <c r="V68" s="202"/>
      <c r="W68" s="202"/>
      <c r="X68" s="202"/>
      <c r="Y68" s="202"/>
      <c r="Z68" s="202"/>
      <c r="AA68" s="202"/>
      <c r="AB68" s="202"/>
      <c r="AC68" s="202"/>
      <c r="AD68" s="202"/>
      <c r="AE68" s="202"/>
      <c r="AF68" s="202"/>
      <c r="AG68" s="202"/>
      <c r="AH68" s="202"/>
      <c r="AI68" s="202"/>
      <c r="AJ68" s="202"/>
      <c r="AK68" s="202"/>
      <c r="AL68" s="202"/>
      <c r="AM68" s="202"/>
      <c r="AN68" s="202"/>
      <c r="AO68" s="202"/>
      <c r="AP68" s="202"/>
      <c r="AQ68" s="202"/>
      <c r="AR68" s="202"/>
      <c r="AS68" s="202"/>
      <c r="AT68" s="202"/>
      <c r="AU68" s="202"/>
      <c r="AV68" s="202"/>
      <c r="AW68" s="202"/>
      <c r="AX68" s="202"/>
      <c r="AY68" s="202"/>
      <c r="AZ68" s="202"/>
      <c r="BA68" s="202"/>
      <c r="BB68" s="202"/>
      <c r="BC68" s="202"/>
      <c r="BD68" s="202"/>
    </row>
    <row r="69" spans="2:56" x14ac:dyDescent="0.25">
      <c r="B69" s="202"/>
      <c r="C69" s="211" t="str">
        <f>Parameters!E293</f>
        <v>Total electrolyser area</v>
      </c>
      <c r="D69" s="299">
        <f>Parameters!G293</f>
        <v>148.5472</v>
      </c>
      <c r="E69" s="412" t="str">
        <f>Parameters!F293</f>
        <v>m²</v>
      </c>
      <c r="F69" s="208"/>
      <c r="G69" s="202"/>
      <c r="H69" s="202"/>
      <c r="I69" s="202"/>
      <c r="J69" s="202"/>
      <c r="K69" s="202"/>
      <c r="L69" s="202"/>
      <c r="M69" s="202"/>
      <c r="N69" s="202"/>
      <c r="O69" s="202"/>
      <c r="P69" s="202"/>
      <c r="Q69" s="202"/>
      <c r="R69" s="202"/>
      <c r="S69" s="202"/>
      <c r="T69" s="202"/>
      <c r="U69" s="202"/>
      <c r="V69" s="202"/>
      <c r="W69" s="202"/>
      <c r="X69" s="202"/>
      <c r="Y69" s="202"/>
      <c r="Z69" s="202"/>
      <c r="AA69" s="202"/>
      <c r="AB69" s="202"/>
      <c r="AC69" s="202"/>
      <c r="AD69" s="202"/>
      <c r="AE69" s="202"/>
      <c r="AF69" s="202"/>
      <c r="AG69" s="202"/>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row>
    <row r="70" spans="2:56" x14ac:dyDescent="0.25">
      <c r="B70" s="202"/>
      <c r="C70" s="211" t="s">
        <v>1247</v>
      </c>
      <c r="D70" s="299">
        <f>IFERROR(N53/N54,0)</f>
        <v>1.4563450980392159</v>
      </c>
      <c r="E70" s="412" t="s">
        <v>1248</v>
      </c>
      <c r="F70" s="208"/>
      <c r="G70" s="202"/>
      <c r="H70" s="202"/>
      <c r="I70" s="202"/>
      <c r="J70" s="202"/>
      <c r="K70" s="202"/>
      <c r="L70" s="202"/>
      <c r="M70" s="202"/>
      <c r="N70" s="202"/>
      <c r="O70" s="202"/>
      <c r="P70" s="202"/>
      <c r="Q70" s="202"/>
      <c r="R70" s="202"/>
      <c r="S70" s="202"/>
      <c r="T70" s="202"/>
      <c r="U70" s="202"/>
      <c r="V70" s="202"/>
      <c r="W70" s="202"/>
      <c r="X70" s="202"/>
      <c r="Y70" s="202"/>
      <c r="Z70" s="202"/>
      <c r="AA70" s="202"/>
      <c r="AB70" s="202"/>
      <c r="AC70" s="202"/>
      <c r="AD70" s="202"/>
      <c r="AE70" s="202"/>
      <c r="AF70" s="202"/>
      <c r="AG70" s="202"/>
      <c r="AH70" s="202"/>
      <c r="AI70" s="202"/>
      <c r="AJ70" s="202"/>
      <c r="AK70" s="202"/>
      <c r="AL70" s="202"/>
      <c r="AM70" s="202"/>
      <c r="AN70" s="202"/>
      <c r="AO70" s="202"/>
      <c r="AP70" s="202"/>
      <c r="AQ70" s="202"/>
      <c r="AR70" s="202"/>
      <c r="AS70" s="202"/>
      <c r="AT70" s="202"/>
      <c r="AU70" s="202"/>
      <c r="AV70" s="202"/>
      <c r="AW70" s="202"/>
      <c r="AX70" s="202"/>
      <c r="AY70" s="202"/>
      <c r="AZ70" s="202"/>
      <c r="BA70" s="202"/>
      <c r="BB70" s="202"/>
      <c r="BC70" s="202"/>
      <c r="BD70" s="202"/>
    </row>
    <row r="71" spans="2:56" x14ac:dyDescent="0.25">
      <c r="B71" s="202"/>
      <c r="C71" s="211"/>
      <c r="D71" s="299"/>
      <c r="E71" s="412"/>
      <c r="F71" s="208"/>
      <c r="G71" s="202"/>
      <c r="H71" s="202"/>
      <c r="I71" s="202"/>
      <c r="J71" s="202"/>
      <c r="K71" s="202"/>
      <c r="L71" s="202"/>
      <c r="M71" s="202"/>
      <c r="N71" s="202"/>
      <c r="O71" s="202"/>
      <c r="P71" s="202"/>
      <c r="Q71" s="202"/>
      <c r="R71" s="202"/>
      <c r="S71" s="202"/>
      <c r="T71" s="202"/>
      <c r="U71" s="202"/>
      <c r="V71" s="202"/>
      <c r="W71" s="202"/>
      <c r="X71" s="202"/>
      <c r="Y71" s="202"/>
      <c r="Z71" s="202"/>
      <c r="AA71" s="202"/>
      <c r="AB71" s="202"/>
      <c r="AC71" s="202"/>
      <c r="AD71" s="202"/>
      <c r="AE71" s="202"/>
      <c r="AF71" s="202"/>
      <c r="AG71" s="202"/>
      <c r="AH71" s="202"/>
      <c r="AI71" s="202"/>
      <c r="AJ71" s="202"/>
      <c r="AK71" s="202"/>
      <c r="AL71" s="202"/>
      <c r="AM71" s="202"/>
      <c r="AN71" s="202"/>
      <c r="AO71" s="202"/>
      <c r="AP71" s="202"/>
      <c r="AQ71" s="202"/>
      <c r="AR71" s="202"/>
      <c r="AS71" s="202"/>
      <c r="AT71" s="202"/>
      <c r="AU71" s="202"/>
      <c r="AV71" s="202"/>
      <c r="AW71" s="202"/>
      <c r="AX71" s="202"/>
      <c r="AY71" s="202"/>
      <c r="AZ71" s="202"/>
      <c r="BA71" s="202"/>
      <c r="BB71" s="202"/>
      <c r="BC71" s="202"/>
      <c r="BD71" s="202"/>
    </row>
    <row r="72" spans="2:56" x14ac:dyDescent="0.25">
      <c r="B72" s="202"/>
      <c r="C72" s="211"/>
      <c r="D72" s="416"/>
      <c r="E72" s="241"/>
      <c r="F72" s="208"/>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row>
    <row r="73" spans="2:56" x14ac:dyDescent="0.25">
      <c r="B73" s="202"/>
      <c r="C73" s="207"/>
      <c r="D73" s="205"/>
      <c r="E73" s="245"/>
      <c r="F73" s="204"/>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row>
    <row r="74" spans="2:56" x14ac:dyDescent="0.25">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row>
    <row r="75" spans="2:56" x14ac:dyDescent="0.25">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row>
    <row r="76" spans="2:56" x14ac:dyDescent="0.25">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row>
    <row r="77" spans="2:56" x14ac:dyDescent="0.25">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row>
    <row r="78" spans="2:56" x14ac:dyDescent="0.25">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row>
    <row r="79" spans="2:56" x14ac:dyDescent="0.25">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row>
    <row r="80" spans="2:56" x14ac:dyDescent="0.25">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row>
    <row r="81" spans="2:56" x14ac:dyDescent="0.25">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row>
    <row r="82" spans="2:56" x14ac:dyDescent="0.25">
      <c r="B82" s="202"/>
      <c r="C82" s="202"/>
      <c r="D82" s="202"/>
      <c r="E82" s="202"/>
      <c r="F82" s="202"/>
      <c r="G82" s="202"/>
      <c r="H82" s="202"/>
      <c r="I82" s="202"/>
      <c r="J82" s="202"/>
      <c r="K82" s="202"/>
      <c r="L82" s="202"/>
      <c r="M82" s="202"/>
      <c r="N82" s="202"/>
      <c r="O82" s="202"/>
      <c r="P82" s="202"/>
      <c r="Q82" s="202"/>
      <c r="R82" s="202"/>
      <c r="S82" s="202"/>
      <c r="T82" s="202"/>
      <c r="U82" s="202"/>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row>
    <row r="83" spans="2:56" x14ac:dyDescent="0.25">
      <c r="B83" s="202"/>
      <c r="C83" s="202"/>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row>
  </sheetData>
  <pageMargins left="0.7" right="0.7" top="0.75" bottom="0.75" header="0.3" footer="0.3"/>
  <pageSetup paperSize="9" orientation="portrait" horizontalDpi="4294967295" verticalDpi="4294967295"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B1:BE51"/>
  <sheetViews>
    <sheetView workbookViewId="0">
      <selection activeCell="B2" sqref="B2"/>
    </sheetView>
  </sheetViews>
  <sheetFormatPr defaultColWidth="9.140625" defaultRowHeight="15" x14ac:dyDescent="0.25"/>
  <cols>
    <col min="1" max="1" width="9.140625" style="201"/>
    <col min="2" max="2" width="3.7109375" style="201" customWidth="1"/>
    <col min="3" max="3" width="29.7109375" style="201" customWidth="1"/>
    <col min="4" max="4" width="16.140625" style="201" customWidth="1"/>
    <col min="5" max="5" width="18.7109375" style="201" bestFit="1" customWidth="1"/>
    <col min="6" max="6" width="9.140625" style="201"/>
    <col min="7" max="7" width="14.28515625" style="201" bestFit="1" customWidth="1"/>
    <col min="8" max="8" width="18.7109375" style="201" bestFit="1" customWidth="1"/>
    <col min="9" max="9" width="23" style="201" bestFit="1" customWidth="1"/>
    <col min="10" max="10" width="39.7109375" style="201" customWidth="1"/>
    <col min="11" max="11" width="7" style="201" bestFit="1" customWidth="1"/>
    <col min="12" max="12" width="9.5703125" style="201" bestFit="1" customWidth="1"/>
    <col min="13" max="13" width="8.7109375" style="201" customWidth="1"/>
    <col min="14" max="14" width="13.28515625" style="201" bestFit="1" customWidth="1"/>
    <col min="15" max="15" width="12" style="201" bestFit="1" customWidth="1"/>
    <col min="16" max="16" width="22.85546875" style="201" bestFit="1" customWidth="1"/>
    <col min="17" max="17" width="14.28515625" style="201" bestFit="1" customWidth="1"/>
    <col min="18" max="18" width="15.5703125" style="201" customWidth="1"/>
    <col min="19" max="19" width="5.28515625" style="201" bestFit="1" customWidth="1"/>
    <col min="20" max="20" width="14.42578125" style="201" customWidth="1"/>
    <col min="21" max="21" width="9.140625" style="201"/>
    <col min="22" max="23" width="14.28515625" style="201" bestFit="1" customWidth="1"/>
    <col min="24" max="29" width="9.140625" style="201"/>
    <col min="30" max="30" width="9.85546875" style="201" bestFit="1" customWidth="1"/>
    <col min="31" max="16384" width="9.140625" style="201"/>
  </cols>
  <sheetData>
    <row r="1" spans="2:57" ht="45" customHeight="1" x14ac:dyDescent="0.4">
      <c r="B1" s="200" t="str">
        <f>"PLATFORM ("&amp;Parameters!$D$6&amp;")"</f>
        <v>PLATFORM (P15 Scenario 1)</v>
      </c>
    </row>
    <row r="2" spans="2:57" x14ac:dyDescent="0.25">
      <c r="B2" s="202"/>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c r="BE2" s="202"/>
    </row>
    <row r="3" spans="2:57" x14ac:dyDescent="0.25">
      <c r="B3" s="202"/>
      <c r="C3" s="202"/>
      <c r="D3" s="202"/>
      <c r="E3" s="202"/>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c r="BA3" s="202"/>
      <c r="BB3" s="202"/>
      <c r="BC3" s="202"/>
      <c r="BD3" s="202"/>
      <c r="BE3" s="202"/>
    </row>
    <row r="4" spans="2:57" x14ac:dyDescent="0.25">
      <c r="B4" s="202"/>
      <c r="C4" s="225"/>
      <c r="D4" s="224"/>
      <c r="E4" s="224"/>
      <c r="F4" s="224"/>
      <c r="G4" s="223"/>
      <c r="H4" s="202"/>
      <c r="I4" s="225" t="str">
        <f>C5</f>
        <v>Compressor variables</v>
      </c>
      <c r="J4" s="224"/>
      <c r="K4" s="224"/>
      <c r="L4" s="224"/>
      <c r="M4" s="223"/>
      <c r="N4" s="202"/>
      <c r="O4" s="225" t="s">
        <v>577</v>
      </c>
      <c r="P4" s="224"/>
      <c r="Q4" s="224"/>
      <c r="R4" s="224"/>
      <c r="S4" s="223"/>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row>
    <row r="5" spans="2:57" x14ac:dyDescent="0.25">
      <c r="B5" s="202"/>
      <c r="C5" s="222" t="s">
        <v>583</v>
      </c>
      <c r="D5" s="255"/>
      <c r="E5" s="255"/>
      <c r="F5" s="210"/>
      <c r="G5" s="208"/>
      <c r="H5" s="202"/>
      <c r="I5" s="211"/>
      <c r="J5" s="214" t="str">
        <f>Parameters!E425</f>
        <v>Inlet pressure compressor</v>
      </c>
      <c r="K5" s="260">
        <f>Parameters!G425</f>
        <v>35</v>
      </c>
      <c r="L5" s="210" t="str">
        <f>Parameters!F425</f>
        <v>bar</v>
      </c>
      <c r="M5" s="208"/>
      <c r="N5" s="202"/>
      <c r="O5" s="211"/>
      <c r="P5" s="255" t="str">
        <f t="shared" ref="P5:R6" si="0">H44</f>
        <v>Capex compressor</v>
      </c>
      <c r="Q5" s="256">
        <f t="shared" si="0"/>
        <v>1942380.7603457738</v>
      </c>
      <c r="R5" s="254" t="str">
        <f t="shared" si="0"/>
        <v>EUR2014</v>
      </c>
      <c r="S5" s="208"/>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c r="BD5" s="202"/>
      <c r="BE5" s="202"/>
    </row>
    <row r="6" spans="2:57" x14ac:dyDescent="0.25">
      <c r="B6" s="202"/>
      <c r="C6" s="211"/>
      <c r="D6" s="254"/>
      <c r="E6" s="254"/>
      <c r="F6" s="255"/>
      <c r="G6" s="208"/>
      <c r="H6" s="202"/>
      <c r="I6" s="211"/>
      <c r="J6" s="214" t="str">
        <f>Parameters!E426</f>
        <v xml:space="preserve">Outlet pressure of the compressor </v>
      </c>
      <c r="K6" s="214">
        <f>Parameters!G426</f>
        <v>100</v>
      </c>
      <c r="L6" s="210" t="str">
        <f>Parameters!F426</f>
        <v>bar</v>
      </c>
      <c r="M6" s="208"/>
      <c r="N6" s="202"/>
      <c r="O6" s="211"/>
      <c r="P6" s="255" t="str">
        <f t="shared" si="0"/>
        <v>Opex compressor</v>
      </c>
      <c r="Q6" s="256">
        <f t="shared" si="0"/>
        <v>48559.519008644347</v>
      </c>
      <c r="R6" s="254" t="str">
        <f t="shared" si="0"/>
        <v>EUR / a</v>
      </c>
      <c r="S6" s="208"/>
      <c r="T6" s="202"/>
      <c r="U6" s="202"/>
      <c r="V6" s="202"/>
      <c r="W6" s="202"/>
      <c r="X6" s="202"/>
      <c r="Y6" s="202"/>
      <c r="Z6" s="202"/>
      <c r="AA6" s="202"/>
      <c r="AB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AZ6" s="202"/>
      <c r="BA6" s="202"/>
      <c r="BB6" s="202"/>
      <c r="BC6" s="202"/>
      <c r="BD6" s="202"/>
      <c r="BE6" s="202"/>
    </row>
    <row r="7" spans="2:57" x14ac:dyDescent="0.25">
      <c r="B7" s="202"/>
      <c r="C7" s="211" t="str">
        <f>Parameters!E436</f>
        <v>Capacity compressor</v>
      </c>
      <c r="D7" s="253">
        <f>(D10)*(($K$13*$K$8*$K$12)/($K$10*$K$11))*(($K$7*$K$9)/($K$9-1))*(($K$6/$K$5)^(($K$9-1)/($K$9*$K$7))-1)/1000</f>
        <v>1.0150752107111509</v>
      </c>
      <c r="E7" s="251" t="str">
        <f>Parameters!F436</f>
        <v>MW</v>
      </c>
      <c r="F7" s="255"/>
      <c r="G7" s="208"/>
      <c r="H7" s="202"/>
      <c r="I7" s="211"/>
      <c r="J7" s="214" t="str">
        <f>Parameters!E427</f>
        <v>Number of compressor stages,</v>
      </c>
      <c r="K7" s="214">
        <f>Parameters!G427</f>
        <v>2</v>
      </c>
      <c r="L7" s="210"/>
      <c r="M7" s="208"/>
      <c r="N7" s="202"/>
      <c r="O7" s="211"/>
      <c r="P7" s="255" t="str">
        <f>M34</f>
        <v>Compressor electricity</v>
      </c>
      <c r="Q7" s="256">
        <f>N34</f>
        <v>3814.2123767612716</v>
      </c>
      <c r="R7" s="254" t="str">
        <f>O34</f>
        <v>MWh / a</v>
      </c>
      <c r="S7" s="208"/>
      <c r="T7" s="202"/>
      <c r="U7" s="202"/>
      <c r="V7" s="202"/>
      <c r="W7" s="202"/>
      <c r="X7" s="202"/>
      <c r="Y7" s="202"/>
      <c r="Z7" s="202"/>
      <c r="AA7" s="202"/>
      <c r="AB7" s="202"/>
      <c r="AC7" s="202"/>
      <c r="AD7" s="202"/>
      <c r="AE7" s="202"/>
      <c r="AF7" s="202"/>
      <c r="AG7" s="202"/>
      <c r="AH7" s="202"/>
      <c r="AI7" s="202"/>
      <c r="AJ7" s="202"/>
      <c r="AK7" s="202"/>
      <c r="AL7" s="202"/>
      <c r="AM7" s="202"/>
      <c r="AN7" s="202"/>
      <c r="AO7" s="202"/>
      <c r="AP7" s="202"/>
      <c r="AQ7" s="202"/>
      <c r="AR7" s="202"/>
      <c r="AS7" s="202"/>
      <c r="AT7" s="202"/>
      <c r="AU7" s="202"/>
      <c r="AV7" s="202"/>
      <c r="AW7" s="202"/>
      <c r="AX7" s="202"/>
      <c r="AY7" s="202"/>
      <c r="AZ7" s="202"/>
      <c r="BA7" s="202"/>
      <c r="BB7" s="202"/>
      <c r="BC7" s="202"/>
      <c r="BD7" s="202"/>
      <c r="BE7" s="202"/>
    </row>
    <row r="8" spans="2:57" x14ac:dyDescent="0.25">
      <c r="B8" s="202"/>
      <c r="C8" s="211" t="str">
        <f>Parameters!E431</f>
        <v>Losses compressor</v>
      </c>
      <c r="D8" s="258">
        <f>Parameters!G431</f>
        <v>3.8E-3</v>
      </c>
      <c r="E8" s="251"/>
      <c r="F8" s="255"/>
      <c r="G8" s="208"/>
      <c r="H8" s="202"/>
      <c r="I8" s="211"/>
      <c r="J8" s="214" t="str">
        <f>Parameters!E428</f>
        <v>Inlet temperature of the compressor</v>
      </c>
      <c r="K8" s="214">
        <f>Parameters!G428</f>
        <v>273</v>
      </c>
      <c r="L8" s="210" t="str">
        <f>Parameters!F428</f>
        <v>K</v>
      </c>
      <c r="M8" s="208"/>
      <c r="N8" s="202"/>
      <c r="O8" s="211"/>
      <c r="P8" s="255"/>
      <c r="Q8" s="259"/>
      <c r="R8" s="255"/>
      <c r="S8" s="208"/>
      <c r="T8" s="202"/>
      <c r="U8" s="202"/>
      <c r="V8" s="202"/>
      <c r="W8" s="202"/>
      <c r="X8" s="202"/>
      <c r="Y8" s="202"/>
      <c r="Z8" s="202"/>
      <c r="AA8" s="202"/>
      <c r="AB8" s="202"/>
      <c r="AC8" s="202"/>
      <c r="AD8" s="202"/>
      <c r="AE8" s="202"/>
      <c r="AF8" s="202"/>
      <c r="AG8" s="202"/>
      <c r="AH8" s="202"/>
      <c r="AI8" s="202"/>
      <c r="AJ8" s="202"/>
      <c r="AK8" s="202"/>
      <c r="AL8" s="202"/>
      <c r="AM8" s="202"/>
      <c r="AN8" s="202"/>
      <c r="AO8" s="202"/>
      <c r="AP8" s="202"/>
      <c r="AQ8" s="202"/>
      <c r="AR8" s="202"/>
      <c r="AS8" s="202"/>
      <c r="AT8" s="202"/>
      <c r="AU8" s="202"/>
      <c r="AV8" s="202"/>
      <c r="AW8" s="202"/>
      <c r="AX8" s="202"/>
      <c r="AY8" s="202"/>
      <c r="AZ8" s="202"/>
      <c r="BA8" s="202"/>
      <c r="BB8" s="202"/>
      <c r="BC8" s="202"/>
      <c r="BD8" s="202"/>
      <c r="BE8" s="202"/>
    </row>
    <row r="9" spans="2:57" x14ac:dyDescent="0.25">
      <c r="B9" s="202"/>
      <c r="C9" s="211"/>
      <c r="D9" s="253"/>
      <c r="E9" s="251"/>
      <c r="F9" s="255"/>
      <c r="G9" s="208"/>
      <c r="H9" s="202"/>
      <c r="I9" s="211"/>
      <c r="J9" s="214" t="str">
        <f>Parameters!E386</f>
        <v>Diatomic constant factor</v>
      </c>
      <c r="K9" s="214">
        <f>Parameters!G386</f>
        <v>1.4</v>
      </c>
      <c r="L9" s="210"/>
      <c r="M9" s="208"/>
      <c r="N9" s="202"/>
      <c r="O9" s="211"/>
      <c r="P9" s="693"/>
      <c r="Q9" s="694"/>
      <c r="R9" s="695"/>
      <c r="S9" s="208"/>
      <c r="T9" s="202"/>
      <c r="U9" s="202"/>
      <c r="V9" s="202"/>
      <c r="W9" s="202"/>
      <c r="X9" s="202"/>
      <c r="Y9" s="202"/>
      <c r="Z9" s="202"/>
      <c r="AA9" s="202"/>
      <c r="AB9" s="202"/>
      <c r="AC9" s="202"/>
      <c r="AD9" s="202"/>
      <c r="AE9" s="202"/>
      <c r="AF9" s="202"/>
      <c r="AG9" s="202"/>
      <c r="AH9" s="202"/>
      <c r="AI9" s="202"/>
      <c r="AJ9" s="202"/>
      <c r="AK9" s="202"/>
      <c r="AL9" s="202"/>
      <c r="AM9" s="202"/>
      <c r="AN9" s="202"/>
      <c r="AO9" s="202"/>
      <c r="AP9" s="202"/>
      <c r="AQ9" s="202"/>
      <c r="AR9" s="202"/>
      <c r="AS9" s="202"/>
      <c r="AT9" s="202"/>
      <c r="AU9" s="202"/>
      <c r="AV9" s="202"/>
      <c r="AW9" s="202"/>
      <c r="AX9" s="202"/>
      <c r="AY9" s="202"/>
      <c r="AZ9" s="202"/>
      <c r="BA9" s="202"/>
      <c r="BB9" s="202"/>
      <c r="BC9" s="202"/>
      <c r="BD9" s="202"/>
      <c r="BE9" s="202"/>
    </row>
    <row r="10" spans="2:57" x14ac:dyDescent="0.25">
      <c r="B10" s="202"/>
      <c r="C10" s="211" t="str">
        <f>ELECTROLYSIS!AE29</f>
        <v>Max. hydrogen output electrolysis</v>
      </c>
      <c r="D10" s="253">
        <f>ELECTROLYSIS!AF29</f>
        <v>0.59101654846335694</v>
      </c>
      <c r="E10" s="254" t="str">
        <f>ELECTROLYSIS!AG29</f>
        <v>kg / s</v>
      </c>
      <c r="F10" s="255"/>
      <c r="G10" s="208"/>
      <c r="H10" s="202"/>
      <c r="I10" s="211"/>
      <c r="J10" s="255" t="str">
        <f>Parameters!E387</f>
        <v>Molecular mass H2</v>
      </c>
      <c r="K10" s="255">
        <f>Parameters!G387</f>
        <v>2.0158</v>
      </c>
      <c r="L10" s="254" t="str">
        <f>Parameters!F387</f>
        <v>g / mol</v>
      </c>
      <c r="M10" s="208"/>
      <c r="N10" s="202"/>
      <c r="O10" s="211"/>
      <c r="P10" s="255"/>
      <c r="Q10" s="256"/>
      <c r="R10" s="256"/>
      <c r="S10" s="208"/>
      <c r="T10" s="202"/>
      <c r="U10" s="202"/>
      <c r="V10" s="202"/>
      <c r="W10" s="202"/>
      <c r="X10" s="202"/>
      <c r="Y10" s="202"/>
      <c r="Z10" s="202"/>
      <c r="AA10" s="202"/>
      <c r="AB10" s="202"/>
      <c r="AC10" s="202"/>
      <c r="AD10" s="202"/>
      <c r="AE10" s="202"/>
      <c r="AF10" s="202"/>
      <c r="AG10" s="202"/>
      <c r="AH10" s="202"/>
      <c r="AI10" s="202"/>
      <c r="AJ10" s="202"/>
      <c r="AK10" s="202"/>
      <c r="AL10" s="202"/>
      <c r="AM10" s="202"/>
      <c r="AN10" s="202"/>
      <c r="AO10" s="202"/>
      <c r="AP10" s="202"/>
      <c r="AQ10" s="202"/>
      <c r="AR10" s="202"/>
      <c r="AS10" s="202"/>
      <c r="AT10" s="202"/>
      <c r="AU10" s="202"/>
      <c r="AV10" s="202"/>
      <c r="AW10" s="202"/>
      <c r="AX10" s="202"/>
      <c r="AY10" s="202"/>
      <c r="AZ10" s="202"/>
      <c r="BA10" s="202"/>
      <c r="BB10" s="202"/>
      <c r="BC10" s="202"/>
      <c r="BD10" s="202"/>
      <c r="BE10" s="202"/>
    </row>
    <row r="11" spans="2:57" x14ac:dyDescent="0.25">
      <c r="B11" s="202"/>
      <c r="C11" s="211"/>
      <c r="D11" s="255"/>
      <c r="E11" s="253"/>
      <c r="F11" s="255"/>
      <c r="G11" s="208"/>
      <c r="H11" s="202"/>
      <c r="I11" s="211"/>
      <c r="J11" s="255" t="str">
        <f>Parameters!E429</f>
        <v>Compressor efficiency</v>
      </c>
      <c r="K11" s="252">
        <f>Parameters!G429</f>
        <v>0.75</v>
      </c>
      <c r="L11" s="254"/>
      <c r="M11" s="208"/>
      <c r="N11" s="202"/>
      <c r="O11" s="211"/>
      <c r="P11" s="255"/>
      <c r="Q11" s="694"/>
      <c r="R11" s="255"/>
      <c r="S11" s="208"/>
      <c r="T11" s="202"/>
      <c r="U11" s="202"/>
      <c r="V11" s="202"/>
      <c r="W11" s="202"/>
      <c r="X11" s="202"/>
      <c r="Y11" s="202"/>
      <c r="Z11" s="202"/>
      <c r="AA11" s="202"/>
      <c r="AB11" s="202"/>
      <c r="AC11" s="202"/>
      <c r="AD11" s="202"/>
      <c r="AE11" s="202"/>
      <c r="AF11" s="202"/>
      <c r="AG11" s="202"/>
      <c r="AH11" s="202"/>
      <c r="AI11" s="202"/>
      <c r="AJ11" s="202"/>
      <c r="AK11" s="202"/>
      <c r="AL11" s="202"/>
      <c r="AM11" s="202"/>
      <c r="AN11" s="202"/>
      <c r="AO11" s="202"/>
      <c r="AP11" s="202"/>
      <c r="AQ11" s="202"/>
      <c r="AR11" s="202"/>
      <c r="AS11" s="202"/>
      <c r="AT11" s="202"/>
      <c r="AU11" s="202"/>
      <c r="AV11" s="202"/>
      <c r="AW11" s="202"/>
      <c r="AX11" s="202"/>
      <c r="AY11" s="202"/>
      <c r="AZ11" s="202"/>
      <c r="BA11" s="202"/>
      <c r="BB11" s="202"/>
      <c r="BC11" s="202"/>
      <c r="BD11" s="202"/>
      <c r="BE11" s="202"/>
    </row>
    <row r="12" spans="2:57" x14ac:dyDescent="0.25">
      <c r="B12" s="202"/>
      <c r="C12" s="211" t="str">
        <f>Parameters!E14</f>
        <v>Availability</v>
      </c>
      <c r="D12" s="253">
        <f>Parameters!G14</f>
        <v>8760</v>
      </c>
      <c r="E12" s="254" t="str">
        <f>Parameters!F14</f>
        <v>hours / a</v>
      </c>
      <c r="F12" s="255"/>
      <c r="G12" s="208"/>
      <c r="H12" s="202"/>
      <c r="I12" s="211"/>
      <c r="J12" s="255" t="str">
        <f>Parameters!E388</f>
        <v>Universal constant of ideal gas</v>
      </c>
      <c r="K12" s="256">
        <f>Parameters!G388</f>
        <v>8.3144597999999998</v>
      </c>
      <c r="L12" s="254" t="str">
        <f>Parameters!F388</f>
        <v>J / (mol*K)</v>
      </c>
      <c r="M12" s="208"/>
      <c r="N12" s="202"/>
      <c r="O12" s="211"/>
      <c r="P12" s="255"/>
      <c r="Q12" s="694"/>
      <c r="R12" s="255"/>
      <c r="S12" s="208"/>
      <c r="T12" s="202"/>
      <c r="U12" s="202"/>
      <c r="V12" s="202"/>
      <c r="W12" s="202"/>
      <c r="X12" s="202"/>
      <c r="Y12" s="202"/>
      <c r="Z12" s="202"/>
      <c r="AA12" s="202"/>
      <c r="AB12" s="202"/>
      <c r="AC12" s="202"/>
      <c r="AD12" s="202"/>
      <c r="AE12" s="202"/>
      <c r="AF12" s="202"/>
      <c r="AG12" s="202"/>
      <c r="AH12" s="202"/>
      <c r="AI12" s="202"/>
      <c r="AJ12" s="202"/>
      <c r="AK12" s="202"/>
      <c r="AL12" s="202"/>
      <c r="AM12" s="202"/>
      <c r="AN12" s="202"/>
      <c r="AO12" s="202"/>
      <c r="AP12" s="202"/>
      <c r="AQ12" s="202"/>
      <c r="AR12" s="202"/>
      <c r="AS12" s="202"/>
      <c r="AT12" s="202"/>
      <c r="AU12" s="202"/>
      <c r="AV12" s="202"/>
      <c r="AW12" s="202"/>
      <c r="AX12" s="202"/>
      <c r="AY12" s="202"/>
      <c r="AZ12" s="202"/>
      <c r="BA12" s="202"/>
      <c r="BB12" s="202"/>
      <c r="BC12" s="202"/>
      <c r="BD12" s="202"/>
      <c r="BE12" s="202"/>
    </row>
    <row r="13" spans="2:57" x14ac:dyDescent="0.25">
      <c r="B13" s="202"/>
      <c r="C13" s="211"/>
      <c r="D13" s="255"/>
      <c r="E13" s="253"/>
      <c r="F13" s="255"/>
      <c r="G13" s="208"/>
      <c r="H13" s="202"/>
      <c r="I13" s="211"/>
      <c r="J13" s="255" t="str">
        <f>Parameters!E389</f>
        <v>Dimensionless compressibility factor</v>
      </c>
      <c r="K13" s="255">
        <f>Parameters!G389</f>
        <v>1.01</v>
      </c>
      <c r="L13" s="257"/>
      <c r="M13" s="208"/>
      <c r="N13" s="202"/>
      <c r="O13" s="211"/>
      <c r="P13" s="255" t="str">
        <f t="shared" ref="P13:P14" si="1">M47</f>
        <v>Total area compressor</v>
      </c>
      <c r="Q13" s="694">
        <f t="shared" ref="Q13:Q14" si="2">N47</f>
        <v>80.97815123132979</v>
      </c>
      <c r="R13" s="255" t="str">
        <f t="shared" ref="R13:R14" si="3">O47</f>
        <v>m²</v>
      </c>
      <c r="S13" s="208"/>
      <c r="T13" s="202"/>
      <c r="U13" s="202"/>
      <c r="V13" s="202"/>
      <c r="W13" s="202"/>
      <c r="X13" s="202"/>
      <c r="Y13" s="202"/>
      <c r="Z13" s="202"/>
      <c r="AA13" s="202"/>
      <c r="AB13" s="202"/>
      <c r="AC13" s="202"/>
      <c r="AD13" s="202"/>
      <c r="AE13" s="202"/>
      <c r="AF13" s="202"/>
      <c r="AG13" s="202"/>
      <c r="AH13" s="202"/>
      <c r="AI13" s="202"/>
      <c r="AJ13" s="202"/>
      <c r="AK13" s="202"/>
      <c r="AL13" s="202"/>
      <c r="AM13" s="202"/>
      <c r="AN13" s="202"/>
      <c r="AO13" s="202"/>
      <c r="AP13" s="202"/>
      <c r="AQ13" s="202"/>
      <c r="AR13" s="202"/>
      <c r="AS13" s="202"/>
      <c r="AT13" s="202"/>
      <c r="AU13" s="202"/>
      <c r="AV13" s="202"/>
      <c r="AW13" s="202"/>
      <c r="AX13" s="202"/>
      <c r="AY13" s="202"/>
      <c r="AZ13" s="202"/>
      <c r="BA13" s="202"/>
      <c r="BB13" s="202"/>
      <c r="BC13" s="202"/>
      <c r="BD13" s="202"/>
      <c r="BE13" s="202"/>
    </row>
    <row r="14" spans="2:57" x14ac:dyDescent="0.25">
      <c r="B14" s="202"/>
      <c r="C14" s="211"/>
      <c r="D14" s="255"/>
      <c r="E14" s="253"/>
      <c r="F14" s="255"/>
      <c r="G14" s="208"/>
      <c r="H14" s="202"/>
      <c r="I14" s="211"/>
      <c r="J14" s="255" t="str">
        <f>Parameters!E430</f>
        <v>Driver thermal efficiency</v>
      </c>
      <c r="K14" s="252">
        <f>Parameters!G430</f>
        <v>0.9</v>
      </c>
      <c r="L14" s="254"/>
      <c r="M14" s="208"/>
      <c r="N14" s="202"/>
      <c r="O14" s="211"/>
      <c r="P14" s="255" t="str">
        <f t="shared" si="1"/>
        <v>Total weight compressor</v>
      </c>
      <c r="Q14" s="694">
        <f t="shared" si="2"/>
        <v>9.6165019962109053</v>
      </c>
      <c r="R14" s="255" t="str">
        <f t="shared" si="3"/>
        <v>t</v>
      </c>
      <c r="S14" s="208"/>
      <c r="T14" s="202"/>
      <c r="U14" s="202"/>
      <c r="V14" s="202"/>
      <c r="W14" s="202"/>
      <c r="X14" s="202"/>
      <c r="Y14" s="202"/>
      <c r="Z14" s="202"/>
      <c r="AA14" s="202"/>
      <c r="AB14" s="202"/>
      <c r="AC14" s="202"/>
      <c r="AD14" s="202"/>
      <c r="AE14" s="202"/>
      <c r="AF14" s="202"/>
      <c r="AG14" s="202"/>
      <c r="AH14" s="202"/>
      <c r="AI14" s="202"/>
      <c r="AJ14" s="202"/>
      <c r="AK14" s="202"/>
      <c r="AL14" s="202"/>
      <c r="AM14" s="202"/>
      <c r="AN14" s="202"/>
      <c r="AO14" s="202"/>
      <c r="AP14" s="202"/>
      <c r="AQ14" s="202"/>
      <c r="AR14" s="202"/>
      <c r="AS14" s="202"/>
      <c r="AT14" s="202"/>
      <c r="AU14" s="202"/>
      <c r="AV14" s="202"/>
      <c r="AW14" s="202"/>
      <c r="AX14" s="202"/>
      <c r="AY14" s="202"/>
      <c r="AZ14" s="202"/>
      <c r="BA14" s="202"/>
      <c r="BB14" s="202"/>
      <c r="BC14" s="202"/>
      <c r="BD14" s="202"/>
      <c r="BE14" s="202"/>
    </row>
    <row r="15" spans="2:57" x14ac:dyDescent="0.25">
      <c r="B15" s="202"/>
      <c r="C15" s="211"/>
      <c r="D15" s="255"/>
      <c r="E15" s="253"/>
      <c r="F15" s="255"/>
      <c r="G15" s="208"/>
      <c r="H15" s="202"/>
      <c r="I15" s="211"/>
      <c r="J15" s="253" t="str">
        <f>Parameters!E385</f>
        <v>Density H2</v>
      </c>
      <c r="K15" s="418">
        <f>Parameters!G385</f>
        <v>8.9899999999999994E-2</v>
      </c>
      <c r="L15" s="254" t="str">
        <f>Parameters!F385</f>
        <v>kg / Nm³</v>
      </c>
      <c r="M15" s="208"/>
      <c r="N15" s="202"/>
      <c r="O15" s="211"/>
      <c r="P15" s="255"/>
      <c r="Q15" s="255"/>
      <c r="R15" s="255"/>
      <c r="S15" s="208"/>
      <c r="T15" s="202"/>
      <c r="U15" s="202"/>
      <c r="V15" s="202"/>
      <c r="W15" s="202"/>
      <c r="X15" s="202"/>
      <c r="Y15" s="202"/>
      <c r="Z15" s="202"/>
      <c r="AA15" s="202"/>
      <c r="AB15" s="202"/>
      <c r="AC15" s="202"/>
      <c r="AD15" s="202"/>
      <c r="AE15" s="202"/>
      <c r="AF15" s="202"/>
      <c r="AG15" s="202"/>
      <c r="AH15" s="202"/>
      <c r="AI15" s="202"/>
      <c r="AJ15" s="202"/>
      <c r="AK15" s="202"/>
      <c r="AL15" s="202"/>
      <c r="AM15" s="202"/>
      <c r="AN15" s="202"/>
      <c r="AO15" s="202"/>
      <c r="AP15" s="202"/>
      <c r="AQ15" s="202"/>
      <c r="AR15" s="202"/>
      <c r="AS15" s="202"/>
      <c r="AT15" s="202"/>
      <c r="AU15" s="202"/>
      <c r="AV15" s="202"/>
      <c r="AW15" s="202"/>
      <c r="AX15" s="202"/>
      <c r="AY15" s="202"/>
      <c r="AZ15" s="202"/>
      <c r="BA15" s="202"/>
      <c r="BB15" s="202"/>
      <c r="BC15" s="202"/>
      <c r="BD15" s="202"/>
      <c r="BE15" s="202"/>
    </row>
    <row r="16" spans="2:57" x14ac:dyDescent="0.25">
      <c r="B16" s="202"/>
      <c r="C16" s="211"/>
      <c r="D16" s="255"/>
      <c r="E16" s="253"/>
      <c r="F16" s="254"/>
      <c r="G16" s="208"/>
      <c r="H16" s="202"/>
      <c r="I16" s="211"/>
      <c r="J16" s="255"/>
      <c r="K16" s="255"/>
      <c r="L16" s="254"/>
      <c r="M16" s="208"/>
      <c r="N16" s="202"/>
      <c r="O16" s="211"/>
      <c r="P16" s="253"/>
      <c r="Q16" s="252"/>
      <c r="R16" s="251"/>
      <c r="S16" s="208"/>
      <c r="T16" s="202"/>
      <c r="U16" s="202"/>
      <c r="V16" s="202"/>
      <c r="W16" s="202"/>
      <c r="X16" s="202"/>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c r="BA16" s="202"/>
      <c r="BB16" s="202"/>
      <c r="BC16" s="202"/>
      <c r="BD16" s="202"/>
      <c r="BE16" s="202"/>
    </row>
    <row r="17" spans="2:57" x14ac:dyDescent="0.25">
      <c r="B17" s="202"/>
      <c r="C17" s="207"/>
      <c r="D17" s="206"/>
      <c r="E17" s="206"/>
      <c r="F17" s="206"/>
      <c r="G17" s="204"/>
      <c r="H17" s="202"/>
      <c r="I17" s="207"/>
      <c r="J17" s="263" t="str">
        <f>Parameters!E383</f>
        <v>LHV H2</v>
      </c>
      <c r="K17" s="206">
        <f>Parameters!G383</f>
        <v>33.33</v>
      </c>
      <c r="L17" s="206" t="str">
        <f>Parameters!F383</f>
        <v>kWh/kg</v>
      </c>
      <c r="M17" s="204"/>
      <c r="N17" s="202"/>
      <c r="O17" s="207"/>
      <c r="P17" s="206"/>
      <c r="Q17" s="250"/>
      <c r="R17" s="206"/>
      <c r="S17" s="204"/>
      <c r="T17" s="202"/>
      <c r="U17" s="202"/>
      <c r="V17" s="202"/>
      <c r="W17" s="202"/>
      <c r="X17" s="202"/>
      <c r="Y17" s="202"/>
      <c r="Z17" s="202"/>
      <c r="AA17" s="202"/>
      <c r="AB17" s="202"/>
      <c r="AC17" s="202"/>
      <c r="AD17" s="202"/>
      <c r="AE17" s="202"/>
      <c r="AF17" s="202"/>
      <c r="AG17" s="202"/>
      <c r="AH17" s="202"/>
      <c r="AI17" s="202"/>
      <c r="AJ17" s="202"/>
      <c r="AK17" s="202"/>
      <c r="AL17" s="202"/>
      <c r="AM17" s="202"/>
      <c r="AN17" s="202"/>
      <c r="AO17" s="202"/>
      <c r="AP17" s="202"/>
      <c r="AQ17" s="202"/>
      <c r="AR17" s="202"/>
      <c r="AS17" s="202"/>
      <c r="AT17" s="202"/>
      <c r="AU17" s="202"/>
      <c r="AV17" s="202"/>
      <c r="AW17" s="202"/>
      <c r="AX17" s="202"/>
      <c r="AY17" s="202"/>
      <c r="AZ17" s="202"/>
      <c r="BA17" s="202"/>
      <c r="BB17" s="202"/>
      <c r="BC17" s="202"/>
      <c r="BD17" s="202"/>
      <c r="BE17" s="202"/>
    </row>
    <row r="18" spans="2:57" x14ac:dyDescent="0.25">
      <c r="B18" s="202"/>
      <c r="C18" s="202"/>
      <c r="D18" s="202"/>
      <c r="E18" s="202"/>
      <c r="F18" s="202"/>
      <c r="G18" s="202"/>
      <c r="H18" s="202"/>
      <c r="I18" s="202"/>
      <c r="J18" s="202"/>
      <c r="K18" s="202"/>
      <c r="L18" s="202"/>
      <c r="M18" s="202"/>
      <c r="N18" s="202"/>
      <c r="O18" s="202"/>
      <c r="P18" s="202"/>
      <c r="Q18" s="212"/>
      <c r="R18" s="212"/>
      <c r="S18" s="202"/>
      <c r="T18" s="202"/>
      <c r="U18" s="202"/>
      <c r="V18" s="202"/>
      <c r="W18" s="202"/>
      <c r="X18" s="202"/>
      <c r="Y18" s="202"/>
      <c r="Z18" s="202"/>
      <c r="AA18" s="202"/>
      <c r="AB18" s="202"/>
      <c r="AC18" s="202"/>
      <c r="AD18" s="202"/>
      <c r="AE18" s="202"/>
      <c r="AF18" s="202"/>
      <c r="AG18" s="202"/>
      <c r="AH18" s="202"/>
      <c r="AI18" s="202"/>
      <c r="AJ18" s="202"/>
      <c r="AK18" s="202"/>
      <c r="AL18" s="202"/>
      <c r="AM18" s="202"/>
      <c r="AN18" s="202"/>
      <c r="AO18" s="202"/>
      <c r="AP18" s="202"/>
      <c r="AQ18" s="202"/>
      <c r="AR18" s="202"/>
      <c r="AS18" s="202"/>
      <c r="AT18" s="202"/>
      <c r="AU18" s="202"/>
      <c r="AV18" s="202"/>
      <c r="AW18" s="202"/>
      <c r="AX18" s="202"/>
      <c r="AY18" s="202"/>
      <c r="AZ18" s="202"/>
      <c r="BA18" s="202"/>
      <c r="BB18" s="202"/>
      <c r="BC18" s="202"/>
      <c r="BD18" s="202"/>
      <c r="BE18" s="202"/>
    </row>
    <row r="19" spans="2:57" ht="21" x14ac:dyDescent="0.35">
      <c r="B19" s="231"/>
      <c r="C19" s="231" t="s">
        <v>572</v>
      </c>
      <c r="D19" s="202"/>
      <c r="E19" s="202"/>
      <c r="F19" s="202"/>
      <c r="G19" s="202"/>
      <c r="H19" s="202"/>
      <c r="I19" s="202"/>
      <c r="J19" s="202"/>
      <c r="K19" s="202"/>
      <c r="L19" s="202"/>
      <c r="M19" s="202"/>
      <c r="N19" s="202"/>
      <c r="O19" s="202"/>
      <c r="P19" s="202"/>
      <c r="Q19" s="212"/>
      <c r="R19" s="202"/>
      <c r="S19" s="202"/>
      <c r="T19" s="202"/>
      <c r="U19" s="202"/>
      <c r="V19" s="202"/>
      <c r="W19" s="202"/>
      <c r="X19" s="202"/>
      <c r="Y19" s="202"/>
      <c r="Z19" s="202"/>
      <c r="AA19" s="202"/>
      <c r="AB19" s="202"/>
      <c r="AC19" s="202"/>
      <c r="AD19" s="202"/>
      <c r="AE19" s="202"/>
      <c r="AF19" s="202"/>
      <c r="AG19" s="202"/>
      <c r="AH19" s="202"/>
      <c r="AI19" s="202"/>
      <c r="AJ19" s="202"/>
      <c r="AK19" s="202"/>
      <c r="AL19" s="202"/>
      <c r="AM19" s="202"/>
      <c r="AN19" s="202"/>
      <c r="AO19" s="202"/>
      <c r="AP19" s="202"/>
      <c r="AQ19" s="202"/>
      <c r="AR19" s="202"/>
      <c r="AS19" s="202"/>
      <c r="AT19" s="202"/>
      <c r="AU19" s="202"/>
      <c r="AV19" s="202"/>
      <c r="AW19" s="202"/>
      <c r="AX19" s="202"/>
      <c r="AY19" s="202"/>
      <c r="AZ19" s="202"/>
      <c r="BA19" s="202"/>
      <c r="BB19" s="202"/>
      <c r="BC19" s="202"/>
      <c r="BD19" s="202"/>
      <c r="BE19" s="202"/>
    </row>
    <row r="20" spans="2:57" x14ac:dyDescent="0.25">
      <c r="B20" s="202"/>
      <c r="C20" s="202"/>
      <c r="D20" s="202"/>
      <c r="E20" s="202"/>
      <c r="F20" s="202"/>
      <c r="G20" s="202"/>
      <c r="H20" s="202"/>
      <c r="I20" s="202"/>
      <c r="J20" s="202"/>
      <c r="K20" s="202"/>
      <c r="L20" s="202"/>
      <c r="M20" s="202"/>
      <c r="N20" s="202"/>
      <c r="O20" s="202"/>
      <c r="P20" s="202"/>
      <c r="Q20" s="202"/>
      <c r="R20" s="202"/>
      <c r="S20" s="202"/>
      <c r="T20" s="202"/>
      <c r="U20" s="202"/>
      <c r="V20" s="202"/>
      <c r="W20" s="202"/>
      <c r="X20" s="202"/>
      <c r="Y20" s="202"/>
      <c r="Z20" s="202"/>
      <c r="AA20" s="202"/>
      <c r="AB20" s="202"/>
      <c r="AC20" s="202"/>
      <c r="AD20" s="202"/>
      <c r="AE20" s="202"/>
      <c r="AF20" s="202"/>
      <c r="AG20" s="202"/>
      <c r="AH20" s="202"/>
      <c r="AI20" s="202"/>
      <c r="AJ20" s="202"/>
      <c r="AK20" s="202"/>
      <c r="AL20" s="202"/>
      <c r="AM20" s="202"/>
      <c r="AN20" s="202"/>
      <c r="AO20" s="202"/>
      <c r="AP20" s="202"/>
      <c r="AQ20" s="202"/>
      <c r="AR20" s="202"/>
      <c r="AS20" s="202"/>
      <c r="AT20" s="202"/>
      <c r="AU20" s="202"/>
      <c r="AV20" s="202"/>
      <c r="AW20" s="202"/>
      <c r="AX20" s="202"/>
      <c r="AY20" s="202"/>
      <c r="AZ20" s="202"/>
      <c r="BA20" s="202"/>
      <c r="BB20" s="202"/>
      <c r="BC20" s="202"/>
      <c r="BD20" s="202"/>
      <c r="BE20" s="202"/>
    </row>
    <row r="21" spans="2:57" x14ac:dyDescent="0.25">
      <c r="B21" s="229"/>
      <c r="C21" s="228" t="s">
        <v>571</v>
      </c>
      <c r="D21" s="227"/>
      <c r="E21" s="227"/>
      <c r="F21" s="226"/>
      <c r="G21" s="202"/>
      <c r="H21" s="228" t="s">
        <v>569</v>
      </c>
      <c r="I21" s="227"/>
      <c r="J21" s="227"/>
      <c r="K21" s="226"/>
      <c r="L21" s="202"/>
      <c r="M21" s="228" t="s">
        <v>568</v>
      </c>
      <c r="N21" s="227"/>
      <c r="O21" s="227"/>
      <c r="P21" s="226"/>
      <c r="Q21" s="202"/>
      <c r="R21" s="202"/>
      <c r="S21" s="202"/>
      <c r="T21" s="202"/>
      <c r="U21" s="202"/>
      <c r="V21" s="202"/>
      <c r="W21" s="202"/>
      <c r="X21" s="202"/>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c r="AU21" s="202"/>
      <c r="AV21" s="202"/>
      <c r="AW21" s="202"/>
      <c r="AX21" s="202"/>
      <c r="AY21" s="202"/>
      <c r="AZ21" s="202"/>
      <c r="BA21" s="202"/>
      <c r="BB21" s="202"/>
      <c r="BC21" s="202"/>
      <c r="BD21" s="202"/>
      <c r="BE21" s="202"/>
    </row>
    <row r="22" spans="2:57" x14ac:dyDescent="0.25">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c r="Z22" s="202"/>
      <c r="AA22" s="202"/>
      <c r="AB22" s="202"/>
      <c r="AC22" s="202"/>
      <c r="AD22" s="202"/>
      <c r="AE22" s="202"/>
      <c r="AF22" s="202"/>
      <c r="AG22" s="202"/>
      <c r="AH22" s="202"/>
      <c r="AI22" s="202"/>
      <c r="AJ22" s="202"/>
      <c r="AK22" s="202"/>
      <c r="AL22" s="202"/>
      <c r="AM22" s="202"/>
      <c r="AN22" s="202"/>
      <c r="AO22" s="202"/>
      <c r="AP22" s="202"/>
      <c r="AQ22" s="202"/>
      <c r="AR22" s="202"/>
      <c r="AS22" s="202"/>
      <c r="AT22" s="202"/>
      <c r="AU22" s="202"/>
      <c r="AV22" s="202"/>
      <c r="AW22" s="202"/>
      <c r="AX22" s="202"/>
      <c r="AY22" s="202"/>
      <c r="AZ22" s="202"/>
      <c r="BA22" s="202"/>
      <c r="BB22" s="202"/>
      <c r="BC22" s="202"/>
      <c r="BD22" s="202"/>
      <c r="BE22" s="202"/>
    </row>
    <row r="23" spans="2:57" x14ac:dyDescent="0.25">
      <c r="B23" s="202"/>
      <c r="C23" s="249" t="str">
        <f>ELECTROLYSIS!AE26</f>
        <v>Hydrogen production to compressor</v>
      </c>
      <c r="D23" s="224"/>
      <c r="E23" s="224"/>
      <c r="F23" s="223"/>
      <c r="G23" s="202"/>
      <c r="H23" s="225"/>
      <c r="I23" s="224"/>
      <c r="J23" s="224"/>
      <c r="K23" s="223"/>
      <c r="L23" s="202"/>
      <c r="M23" s="225" t="s">
        <v>580</v>
      </c>
      <c r="N23" s="224"/>
      <c r="O23" s="224"/>
      <c r="P23" s="223"/>
      <c r="Q23" s="202"/>
      <c r="R23" s="202"/>
      <c r="S23" s="202"/>
      <c r="T23" s="202"/>
      <c r="U23" s="202"/>
      <c r="V23" s="202"/>
      <c r="W23" s="202"/>
      <c r="X23" s="202"/>
      <c r="Y23" s="202"/>
      <c r="Z23" s="202"/>
      <c r="AA23" s="202"/>
      <c r="AB23" s="202"/>
      <c r="AC23" s="202"/>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2"/>
      <c r="AZ23" s="202"/>
      <c r="BA23" s="202"/>
      <c r="BB23" s="202"/>
      <c r="BC23" s="202"/>
      <c r="BD23" s="202"/>
      <c r="BE23" s="202"/>
    </row>
    <row r="24" spans="2:57" x14ac:dyDescent="0.25">
      <c r="B24" s="202"/>
      <c r="C24" s="248"/>
      <c r="D24" s="210"/>
      <c r="E24" s="210"/>
      <c r="F24" s="208"/>
      <c r="G24" s="202"/>
      <c r="H24" s="222"/>
      <c r="I24" s="210"/>
      <c r="J24" s="210"/>
      <c r="K24" s="208"/>
      <c r="L24" s="202"/>
      <c r="M24" s="222"/>
      <c r="N24" s="210"/>
      <c r="O24" s="210"/>
      <c r="P24" s="208"/>
      <c r="Q24" s="202"/>
      <c r="R24" s="202"/>
      <c r="S24" s="202"/>
      <c r="T24" s="202"/>
      <c r="U24" s="202"/>
      <c r="V24" s="202"/>
      <c r="W24" s="202"/>
      <c r="X24" s="202"/>
      <c r="Y24" s="202"/>
      <c r="Z24" s="202"/>
      <c r="AA24" s="202"/>
      <c r="AB24" s="202"/>
      <c r="AC24" s="202"/>
      <c r="AD24" s="202"/>
      <c r="AE24" s="202"/>
      <c r="AF24" s="202"/>
      <c r="AG24" s="202"/>
      <c r="AH24" s="202"/>
      <c r="AI24" s="202"/>
      <c r="AJ24" s="202"/>
      <c r="AK24" s="202"/>
      <c r="AL24" s="202"/>
      <c r="AM24" s="202"/>
      <c r="AN24" s="202"/>
      <c r="AO24" s="202"/>
      <c r="AP24" s="202"/>
      <c r="AQ24" s="202"/>
      <c r="AR24" s="202"/>
      <c r="AS24" s="202"/>
      <c r="AT24" s="202"/>
      <c r="AU24" s="202"/>
      <c r="AV24" s="202"/>
      <c r="AW24" s="202"/>
      <c r="AX24" s="202"/>
      <c r="AY24" s="202"/>
      <c r="AZ24" s="202"/>
      <c r="BA24" s="202"/>
      <c r="BB24" s="202"/>
      <c r="BC24" s="202"/>
      <c r="BD24" s="202"/>
      <c r="BE24" s="202"/>
    </row>
    <row r="25" spans="2:57" x14ac:dyDescent="0.25">
      <c r="B25" s="202"/>
      <c r="C25" s="306"/>
      <c r="D25" s="210"/>
      <c r="E25" s="210"/>
      <c r="F25" s="208"/>
      <c r="G25" s="202"/>
      <c r="H25" s="222"/>
      <c r="I25" s="210"/>
      <c r="J25" s="210"/>
      <c r="K25" s="208"/>
      <c r="L25" s="202"/>
      <c r="M25" s="222"/>
      <c r="N25" s="210"/>
      <c r="O25" s="210"/>
      <c r="P25" s="208"/>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row>
    <row r="26" spans="2:57" x14ac:dyDescent="0.25">
      <c r="B26" s="202"/>
      <c r="C26" s="301" t="str">
        <f>ELECTROLYSIS!AE28</f>
        <v>Hydrogen produced</v>
      </c>
      <c r="D26" s="297">
        <f>ELECTROLYSIS!AF28</f>
        <v>7598278.6941833766</v>
      </c>
      <c r="E26" s="210" t="str">
        <f>ELECTROLYSIS!AG28</f>
        <v>kg/a</v>
      </c>
      <c r="F26" s="208"/>
      <c r="G26" s="202"/>
      <c r="H26" s="211"/>
      <c r="I26" s="219" t="str">
        <f>C8</f>
        <v>Losses compressor</v>
      </c>
      <c r="J26" s="247">
        <f>D8</f>
        <v>3.8E-3</v>
      </c>
      <c r="K26" s="208"/>
      <c r="L26" s="202"/>
      <c r="M26" s="211" t="s">
        <v>580</v>
      </c>
      <c r="N26" s="297">
        <f>D26*(1-$J$26)</f>
        <v>7569405.2351454794</v>
      </c>
      <c r="O26" s="210" t="str">
        <f>E26</f>
        <v>kg/a</v>
      </c>
      <c r="P26" s="208"/>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U26" s="202"/>
      <c r="AV26" s="202"/>
      <c r="AW26" s="202"/>
      <c r="AX26" s="202"/>
      <c r="AY26" s="202"/>
      <c r="AZ26" s="202"/>
      <c r="BA26" s="202"/>
      <c r="BB26" s="202"/>
      <c r="BC26" s="202"/>
      <c r="BD26" s="202"/>
      <c r="BE26" s="202"/>
    </row>
    <row r="27" spans="2:57" x14ac:dyDescent="0.25">
      <c r="B27" s="202"/>
      <c r="C27" s="211"/>
      <c r="D27" s="210"/>
      <c r="E27" s="241"/>
      <c r="F27" s="208"/>
      <c r="G27" s="202"/>
      <c r="H27" s="211"/>
      <c r="I27" s="214"/>
      <c r="J27" s="247"/>
      <c r="K27" s="208"/>
      <c r="L27" s="202"/>
      <c r="M27" s="211"/>
      <c r="N27" s="210"/>
      <c r="O27" s="209"/>
      <c r="P27" s="208"/>
      <c r="Q27" s="202"/>
      <c r="R27" s="202"/>
      <c r="S27" s="202"/>
      <c r="T27" s="202"/>
      <c r="U27" s="202"/>
      <c r="V27" s="202"/>
      <c r="W27" s="202"/>
      <c r="X27" s="202"/>
      <c r="Y27" s="202"/>
      <c r="Z27" s="202"/>
      <c r="AA27" s="202"/>
      <c r="AB27" s="202"/>
      <c r="AC27" s="202"/>
      <c r="AD27" s="202"/>
      <c r="AE27" s="202"/>
      <c r="AF27" s="202"/>
      <c r="AG27" s="202"/>
      <c r="AH27" s="202"/>
      <c r="AI27" s="202"/>
      <c r="AJ27" s="202"/>
      <c r="AK27" s="202"/>
      <c r="AL27" s="202"/>
      <c r="AM27" s="202"/>
      <c r="AN27" s="202"/>
      <c r="AO27" s="202"/>
      <c r="AP27" s="202"/>
      <c r="AQ27" s="202"/>
      <c r="AR27" s="202"/>
      <c r="AS27" s="202"/>
      <c r="AT27" s="202"/>
      <c r="AU27" s="202"/>
      <c r="AV27" s="202"/>
      <c r="AW27" s="202"/>
      <c r="AX27" s="202"/>
      <c r="AY27" s="202"/>
      <c r="AZ27" s="202"/>
      <c r="BA27" s="202"/>
      <c r="BB27" s="202"/>
      <c r="BC27" s="202"/>
      <c r="BD27" s="202"/>
      <c r="BE27" s="202"/>
    </row>
    <row r="28" spans="2:57" x14ac:dyDescent="0.25">
      <c r="B28" s="202"/>
      <c r="C28" s="211"/>
      <c r="D28" s="210"/>
      <c r="E28" s="241"/>
      <c r="F28" s="208"/>
      <c r="G28" s="202"/>
      <c r="H28" s="211"/>
      <c r="I28" s="214" t="str">
        <f>C12</f>
        <v>Availability</v>
      </c>
      <c r="J28" s="297">
        <f>D12</f>
        <v>8760</v>
      </c>
      <c r="K28" s="208"/>
      <c r="L28" s="202"/>
      <c r="M28" s="211"/>
      <c r="N28" s="210"/>
      <c r="O28" s="209"/>
      <c r="P28" s="208"/>
      <c r="Q28" s="202"/>
      <c r="R28" s="202"/>
      <c r="S28" s="202"/>
      <c r="T28" s="202"/>
      <c r="U28" s="202"/>
      <c r="V28" s="202"/>
      <c r="W28" s="202"/>
      <c r="X28" s="202"/>
      <c r="Y28" s="202"/>
      <c r="Z28" s="202"/>
      <c r="AA28" s="202"/>
      <c r="AB28" s="202"/>
      <c r="AC28" s="202"/>
      <c r="AD28" s="202"/>
      <c r="AE28" s="202"/>
      <c r="AF28" s="202"/>
      <c r="AG28" s="202"/>
      <c r="AH28" s="202"/>
      <c r="AI28" s="202"/>
      <c r="AJ28" s="202"/>
      <c r="AK28" s="202"/>
      <c r="AL28" s="202"/>
      <c r="AM28" s="202"/>
      <c r="AN28" s="202"/>
      <c r="AO28" s="202"/>
      <c r="AP28" s="202"/>
      <c r="AQ28" s="202"/>
      <c r="AR28" s="202"/>
      <c r="AS28" s="202"/>
      <c r="AT28" s="202"/>
      <c r="AU28" s="202"/>
      <c r="AV28" s="202"/>
      <c r="AW28" s="202"/>
      <c r="AX28" s="202"/>
      <c r="AY28" s="202"/>
      <c r="AZ28" s="202"/>
      <c r="BA28" s="202"/>
      <c r="BB28" s="202"/>
      <c r="BC28" s="202"/>
      <c r="BD28" s="202"/>
      <c r="BE28" s="202"/>
    </row>
    <row r="29" spans="2:57" x14ac:dyDescent="0.25">
      <c r="B29" s="202"/>
      <c r="C29" s="207"/>
      <c r="D29" s="206"/>
      <c r="E29" s="245"/>
      <c r="F29" s="204"/>
      <c r="G29" s="202"/>
      <c r="H29" s="207"/>
      <c r="I29" s="206"/>
      <c r="J29" s="205"/>
      <c r="K29" s="204"/>
      <c r="L29" s="202"/>
      <c r="M29" s="207"/>
      <c r="N29" s="206"/>
      <c r="O29" s="205"/>
      <c r="P29" s="204"/>
      <c r="Q29" s="202"/>
      <c r="R29" s="202"/>
      <c r="S29" s="202"/>
      <c r="T29" s="202"/>
      <c r="U29" s="202"/>
      <c r="V29" s="202"/>
      <c r="W29" s="202"/>
      <c r="X29" s="202"/>
      <c r="Y29" s="202"/>
      <c r="Z29" s="202"/>
      <c r="AA29" s="202"/>
      <c r="AB29" s="202"/>
      <c r="AC29" s="202"/>
      <c r="AD29" s="202"/>
      <c r="AE29" s="202"/>
      <c r="AF29" s="202"/>
      <c r="AG29" s="202"/>
      <c r="AH29" s="202"/>
      <c r="AI29" s="202"/>
      <c r="AJ29" s="202"/>
      <c r="AK29" s="202"/>
      <c r="AL29" s="202"/>
      <c r="AM29" s="202"/>
      <c r="AN29" s="202"/>
      <c r="AO29" s="202"/>
      <c r="AP29" s="202"/>
      <c r="AQ29" s="202"/>
      <c r="AR29" s="202"/>
      <c r="AS29" s="202"/>
      <c r="AT29" s="202"/>
      <c r="AU29" s="202"/>
      <c r="AV29" s="202"/>
      <c r="AW29" s="202"/>
      <c r="AX29" s="202"/>
      <c r="AY29" s="202"/>
      <c r="AZ29" s="202"/>
      <c r="BA29" s="202"/>
      <c r="BB29" s="202"/>
      <c r="BC29" s="202"/>
      <c r="BD29" s="202"/>
      <c r="BE29" s="202"/>
    </row>
    <row r="30" spans="2:57" x14ac:dyDescent="0.25">
      <c r="B30" s="202"/>
      <c r="C30" s="202"/>
      <c r="D30" s="202"/>
      <c r="E30" s="202"/>
      <c r="F30" s="202"/>
      <c r="G30" s="202"/>
      <c r="H30" s="202"/>
      <c r="I30" s="202"/>
      <c r="J30" s="202"/>
      <c r="K30" s="202"/>
      <c r="L30" s="202"/>
      <c r="M30" s="202"/>
      <c r="N30" s="202"/>
      <c r="O30" s="202"/>
      <c r="P30" s="202"/>
      <c r="Q30" s="202"/>
      <c r="R30" s="202"/>
      <c r="S30" s="202"/>
      <c r="T30" s="202"/>
      <c r="U30" s="202"/>
      <c r="V30" s="202"/>
      <c r="W30" s="202"/>
      <c r="X30" s="202"/>
      <c r="Y30" s="202"/>
      <c r="Z30" s="202"/>
      <c r="AA30" s="202"/>
      <c r="AB30" s="202"/>
      <c r="AC30" s="202"/>
      <c r="AD30" s="202"/>
      <c r="AE30" s="202"/>
      <c r="AF30" s="202"/>
      <c r="AG30" s="202"/>
      <c r="AH30" s="202"/>
      <c r="AI30" s="202"/>
      <c r="AJ30" s="202"/>
      <c r="AK30" s="202"/>
      <c r="AL30" s="202"/>
      <c r="AM30" s="202"/>
      <c r="AN30" s="202"/>
      <c r="AO30" s="202"/>
      <c r="AP30" s="202"/>
      <c r="AQ30" s="202"/>
      <c r="AR30" s="202"/>
      <c r="AS30" s="202"/>
      <c r="AT30" s="202"/>
      <c r="AU30" s="202"/>
      <c r="AV30" s="202"/>
      <c r="AW30" s="202"/>
      <c r="AX30" s="202"/>
      <c r="AY30" s="202"/>
      <c r="AZ30" s="202"/>
      <c r="BA30" s="202"/>
      <c r="BB30" s="202"/>
      <c r="BC30" s="202"/>
      <c r="BD30" s="202"/>
      <c r="BE30" s="202"/>
    </row>
    <row r="31" spans="2:57" x14ac:dyDescent="0.25">
      <c r="B31" s="202"/>
      <c r="C31" s="228" t="s">
        <v>659</v>
      </c>
      <c r="D31" s="227"/>
      <c r="E31" s="227"/>
      <c r="F31" s="226"/>
      <c r="G31" s="202"/>
      <c r="H31" s="228" t="s">
        <v>621</v>
      </c>
      <c r="I31" s="227"/>
      <c r="J31" s="227"/>
      <c r="K31" s="226"/>
      <c r="L31" s="202"/>
      <c r="M31" s="228" t="s">
        <v>660</v>
      </c>
      <c r="N31" s="227"/>
      <c r="O31" s="227"/>
      <c r="P31" s="226"/>
      <c r="Q31" s="202"/>
      <c r="R31" s="202"/>
      <c r="S31" s="202"/>
      <c r="T31" s="202"/>
      <c r="U31" s="202"/>
      <c r="V31" s="202"/>
      <c r="W31" s="202"/>
      <c r="X31" s="202"/>
      <c r="Y31" s="202"/>
      <c r="Z31" s="202"/>
      <c r="AA31" s="202"/>
      <c r="AB31" s="202"/>
      <c r="AC31" s="202"/>
      <c r="AD31" s="202"/>
      <c r="AE31" s="202"/>
      <c r="AF31" s="202"/>
      <c r="AG31" s="202"/>
      <c r="AH31" s="202"/>
      <c r="AI31" s="202"/>
      <c r="AJ31" s="202"/>
      <c r="AK31" s="202"/>
      <c r="AL31" s="202"/>
      <c r="AM31" s="202"/>
      <c r="AN31" s="202"/>
      <c r="AO31" s="202"/>
      <c r="AP31" s="202"/>
      <c r="AQ31" s="202"/>
      <c r="AR31" s="202"/>
      <c r="AS31" s="202"/>
      <c r="AT31" s="202"/>
      <c r="AU31" s="202"/>
      <c r="AV31" s="202"/>
      <c r="AW31" s="202"/>
      <c r="AX31" s="202"/>
      <c r="AY31" s="202"/>
      <c r="AZ31" s="202"/>
      <c r="BA31" s="202"/>
      <c r="BB31" s="202"/>
      <c r="BC31" s="202"/>
      <c r="BD31" s="202"/>
      <c r="BE31" s="202"/>
    </row>
    <row r="32" spans="2:57" x14ac:dyDescent="0.25">
      <c r="B32" s="202"/>
      <c r="C32" s="202"/>
      <c r="D32" s="202"/>
      <c r="E32" s="202"/>
      <c r="F32" s="202"/>
      <c r="G32" s="202"/>
      <c r="H32" s="202"/>
      <c r="I32" s="202"/>
      <c r="J32" s="202"/>
      <c r="K32" s="202"/>
      <c r="L32" s="202"/>
      <c r="M32" s="202"/>
      <c r="N32" s="202"/>
      <c r="O32" s="202"/>
      <c r="P32" s="202"/>
      <c r="Q32" s="202"/>
      <c r="R32" s="202"/>
      <c r="S32" s="202"/>
      <c r="T32" s="202"/>
      <c r="U32" s="202"/>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c r="AU32" s="202"/>
      <c r="AV32" s="202"/>
      <c r="AW32" s="202"/>
      <c r="AX32" s="202"/>
      <c r="AY32" s="202"/>
      <c r="AZ32" s="202"/>
      <c r="BA32" s="202"/>
      <c r="BB32" s="202"/>
      <c r="BC32" s="202"/>
      <c r="BD32" s="202"/>
      <c r="BE32" s="202"/>
    </row>
    <row r="33" spans="2:57" x14ac:dyDescent="0.25">
      <c r="B33" s="202"/>
      <c r="C33" s="249" t="str">
        <f>C23</f>
        <v>Hydrogen production to compressor</v>
      </c>
      <c r="D33" s="224"/>
      <c r="E33" s="224"/>
      <c r="F33" s="223"/>
      <c r="G33" s="202"/>
      <c r="H33" s="225"/>
      <c r="I33" s="224"/>
      <c r="J33" s="224"/>
      <c r="K33" s="223"/>
      <c r="L33" s="202"/>
      <c r="M33" s="225"/>
      <c r="N33" s="224"/>
      <c r="O33" s="224"/>
      <c r="P33" s="223"/>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c r="BA33" s="202"/>
      <c r="BB33" s="202"/>
      <c r="BC33" s="202"/>
      <c r="BD33" s="202"/>
      <c r="BE33" s="202"/>
    </row>
    <row r="34" spans="2:57" x14ac:dyDescent="0.25">
      <c r="B34" s="202"/>
      <c r="C34" s="248"/>
      <c r="D34" s="210"/>
      <c r="E34" s="210"/>
      <c r="F34" s="208"/>
      <c r="G34" s="202"/>
      <c r="H34" s="222" t="str">
        <f>C7</f>
        <v>Capacity compressor</v>
      </c>
      <c r="I34" s="297">
        <f>D7</f>
        <v>1.0150752107111509</v>
      </c>
      <c r="J34" s="210" t="str">
        <f>E7</f>
        <v>MW</v>
      </c>
      <c r="K34" s="208"/>
      <c r="L34" s="202"/>
      <c r="M34" s="298" t="s">
        <v>582</v>
      </c>
      <c r="N34" s="297">
        <f>I34*8760*I35</f>
        <v>3814.2123767612716</v>
      </c>
      <c r="O34" s="210" t="s">
        <v>885</v>
      </c>
      <c r="P34" s="208"/>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02"/>
      <c r="BB34" s="202"/>
      <c r="BC34" s="202"/>
      <c r="BD34" s="202"/>
      <c r="BE34" s="202"/>
    </row>
    <row r="35" spans="2:57" x14ac:dyDescent="0.25">
      <c r="B35" s="202"/>
      <c r="C35" s="248"/>
      <c r="D35" s="210"/>
      <c r="E35" s="210"/>
      <c r="F35" s="208"/>
      <c r="G35" s="202"/>
      <c r="H35" s="300" t="str">
        <f>ELECTROLYSIS!S27</f>
        <v>Capacity factor electrolyser</v>
      </c>
      <c r="I35" s="302">
        <f>ELECTROLYSIS!T27</f>
        <v>0.42894592162422679</v>
      </c>
      <c r="J35" s="210"/>
      <c r="K35" s="208"/>
      <c r="L35" s="202"/>
      <c r="M35" s="300"/>
      <c r="N35" s="302"/>
      <c r="O35" s="210"/>
      <c r="P35" s="208"/>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c r="BA35" s="202"/>
      <c r="BB35" s="202"/>
      <c r="BC35" s="202"/>
      <c r="BD35" s="202"/>
      <c r="BE35" s="202"/>
    </row>
    <row r="36" spans="2:57" x14ac:dyDescent="0.25">
      <c r="B36" s="202"/>
      <c r="C36" s="301" t="str">
        <f>C26</f>
        <v>Hydrogen produced</v>
      </c>
      <c r="D36" s="297">
        <f>D26</f>
        <v>7598278.6941833766</v>
      </c>
      <c r="E36" s="210" t="str">
        <f>E26</f>
        <v>kg/a</v>
      </c>
      <c r="F36" s="208"/>
      <c r="G36" s="202"/>
      <c r="H36" s="211"/>
      <c r="I36" s="219"/>
      <c r="J36" s="247"/>
      <c r="K36" s="208"/>
      <c r="L36" s="202"/>
      <c r="M36" s="211"/>
      <c r="N36" s="219"/>
      <c r="O36" s="247"/>
      <c r="P36" s="208"/>
      <c r="Q36" s="202"/>
      <c r="R36" s="202"/>
      <c r="S36" s="202"/>
      <c r="T36" s="202"/>
      <c r="U36" s="202"/>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AX36" s="202"/>
      <c r="AY36" s="202"/>
      <c r="AZ36" s="202"/>
      <c r="BA36" s="202"/>
      <c r="BB36" s="202"/>
      <c r="BC36" s="202"/>
      <c r="BD36" s="202"/>
      <c r="BE36" s="202"/>
    </row>
    <row r="37" spans="2:57" x14ac:dyDescent="0.25">
      <c r="B37" s="202"/>
      <c r="C37" s="211"/>
      <c r="D37" s="416"/>
      <c r="E37" s="241"/>
      <c r="F37" s="208"/>
      <c r="G37" s="202"/>
      <c r="H37" s="211"/>
      <c r="I37" s="214"/>
      <c r="J37" s="247"/>
      <c r="K37" s="208"/>
      <c r="L37" s="202"/>
      <c r="M37" s="211"/>
      <c r="N37" s="214"/>
      <c r="O37" s="247"/>
      <c r="P37" s="208"/>
      <c r="Q37" s="202"/>
      <c r="R37" s="202"/>
      <c r="S37" s="202"/>
      <c r="T37" s="202"/>
      <c r="U37" s="202"/>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c r="BA37" s="202"/>
      <c r="BB37" s="202"/>
      <c r="BC37" s="202"/>
      <c r="BD37" s="202"/>
      <c r="BE37" s="202"/>
    </row>
    <row r="38" spans="2:57" x14ac:dyDescent="0.25">
      <c r="B38" s="202"/>
      <c r="C38" s="211"/>
      <c r="D38" s="210"/>
      <c r="E38" s="241"/>
      <c r="F38" s="208"/>
      <c r="G38" s="202"/>
      <c r="H38" s="211"/>
      <c r="I38" s="214"/>
      <c r="J38" s="246"/>
      <c r="K38" s="208"/>
      <c r="L38" s="202"/>
      <c r="M38" s="211"/>
      <c r="N38" s="214"/>
      <c r="O38" s="246"/>
      <c r="P38" s="208"/>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c r="BA38" s="202"/>
      <c r="BB38" s="202"/>
      <c r="BC38" s="202"/>
      <c r="BD38" s="202"/>
      <c r="BE38" s="202"/>
    </row>
    <row r="39" spans="2:57" x14ac:dyDescent="0.25">
      <c r="B39" s="202"/>
      <c r="C39" s="207"/>
      <c r="D39" s="206"/>
      <c r="E39" s="245"/>
      <c r="F39" s="204"/>
      <c r="G39" s="202"/>
      <c r="H39" s="207"/>
      <c r="I39" s="206"/>
      <c r="J39" s="205"/>
      <c r="K39" s="204"/>
      <c r="L39" s="202"/>
      <c r="M39" s="207"/>
      <c r="N39" s="206"/>
      <c r="O39" s="205"/>
      <c r="P39" s="204"/>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c r="BA39" s="202"/>
      <c r="BB39" s="202"/>
      <c r="BC39" s="202"/>
      <c r="BD39" s="202"/>
      <c r="BE39" s="202"/>
    </row>
    <row r="40" spans="2:57" x14ac:dyDescent="0.25">
      <c r="B40" s="202"/>
      <c r="C40" s="202"/>
      <c r="D40" s="202"/>
      <c r="E40" s="202"/>
      <c r="F40" s="202"/>
      <c r="G40" s="202"/>
      <c r="H40" s="202"/>
      <c r="I40" s="202"/>
      <c r="J40" s="202"/>
      <c r="K40" s="202"/>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c r="BA40" s="202"/>
      <c r="BB40" s="202"/>
      <c r="BC40" s="202"/>
      <c r="BD40" s="202"/>
      <c r="BE40" s="202"/>
    </row>
    <row r="41" spans="2:57" x14ac:dyDescent="0.25">
      <c r="B41" s="202"/>
      <c r="C41" s="228" t="s">
        <v>860</v>
      </c>
      <c r="D41" s="227"/>
      <c r="E41" s="227"/>
      <c r="F41" s="226"/>
      <c r="G41" s="202"/>
      <c r="H41" s="228" t="s">
        <v>860</v>
      </c>
      <c r="I41" s="227"/>
      <c r="J41" s="227"/>
      <c r="K41" s="226"/>
      <c r="L41" s="202"/>
      <c r="M41" s="228" t="s">
        <v>1239</v>
      </c>
      <c r="N41" s="227"/>
      <c r="O41" s="227"/>
      <c r="P41" s="226"/>
      <c r="Q41" s="202"/>
      <c r="R41" s="202"/>
      <c r="S41" s="202"/>
      <c r="T41" s="202"/>
      <c r="U41" s="202"/>
      <c r="V41" s="202"/>
      <c r="W41" s="202"/>
      <c r="X41" s="202"/>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c r="AU41" s="202"/>
      <c r="AV41" s="202"/>
      <c r="AW41" s="202"/>
      <c r="AX41" s="202"/>
      <c r="AY41" s="202"/>
      <c r="AZ41" s="202"/>
      <c r="BA41" s="202"/>
      <c r="BB41" s="202"/>
      <c r="BC41" s="202"/>
      <c r="BD41" s="202"/>
      <c r="BE41" s="202"/>
    </row>
    <row r="42" spans="2:57" x14ac:dyDescent="0.25">
      <c r="B42" s="202"/>
      <c r="C42" s="202"/>
      <c r="D42" s="202"/>
      <c r="E42" s="202"/>
      <c r="F42" s="202"/>
      <c r="G42" s="202"/>
      <c r="H42" s="202"/>
      <c r="I42" s="202"/>
      <c r="J42" s="202"/>
      <c r="K42" s="202"/>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c r="AU42" s="202"/>
      <c r="AV42" s="202"/>
      <c r="AW42" s="202"/>
      <c r="AX42" s="202"/>
      <c r="AY42" s="202"/>
      <c r="AZ42" s="202"/>
      <c r="BA42" s="202"/>
      <c r="BB42" s="202"/>
      <c r="BC42" s="202"/>
      <c r="BD42" s="202"/>
      <c r="BE42" s="202"/>
    </row>
    <row r="43" spans="2:57" x14ac:dyDescent="0.25">
      <c r="B43" s="202"/>
      <c r="C43" s="249" t="s">
        <v>560</v>
      </c>
      <c r="D43" s="224"/>
      <c r="E43" s="224"/>
      <c r="F43" s="223"/>
      <c r="G43" s="202"/>
      <c r="H43" s="249" t="s">
        <v>560</v>
      </c>
      <c r="I43" s="224"/>
      <c r="J43" s="224"/>
      <c r="K43" s="223"/>
      <c r="L43" s="202"/>
      <c r="M43" s="249"/>
      <c r="N43" s="224"/>
      <c r="O43" s="224"/>
      <c r="P43" s="223"/>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c r="BA43" s="202"/>
      <c r="BB43" s="202"/>
      <c r="BC43" s="202"/>
      <c r="BD43" s="202"/>
      <c r="BE43" s="202"/>
    </row>
    <row r="44" spans="2:57" ht="18" x14ac:dyDescent="0.35">
      <c r="B44" s="202"/>
      <c r="C44" s="217" t="str">
        <f>Parameters!E432</f>
        <v>Relative capex compressor</v>
      </c>
      <c r="D44" s="416">
        <f>Parameters!G432</f>
        <v>1913.5338345864661</v>
      </c>
      <c r="E44" s="210" t="str">
        <f>Parameters!F432</f>
        <v>EUR2014 / kW</v>
      </c>
      <c r="F44" s="208"/>
      <c r="G44" s="202"/>
      <c r="H44" s="217" t="str">
        <f>Parameters!E438</f>
        <v>Capex compressor</v>
      </c>
      <c r="I44" s="416">
        <f>D44*D7*1000</f>
        <v>1942380.7603457738</v>
      </c>
      <c r="J44" s="210" t="s">
        <v>586</v>
      </c>
      <c r="K44" s="208"/>
      <c r="L44" s="202"/>
      <c r="M44" s="217" t="s">
        <v>633</v>
      </c>
      <c r="N44" s="416">
        <f>I34</f>
        <v>1.0150752107111509</v>
      </c>
      <c r="O44" s="210" t="s">
        <v>46</v>
      </c>
      <c r="P44" s="208"/>
      <c r="Q44" s="202"/>
      <c r="R44" s="202"/>
      <c r="S44" s="202"/>
      <c r="T44" s="202"/>
      <c r="U44" s="202"/>
      <c r="V44" s="202"/>
      <c r="W44" s="202"/>
      <c r="X44" s="202"/>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c r="BA44" s="202"/>
      <c r="BB44" s="202"/>
      <c r="BC44" s="202"/>
      <c r="BD44" s="202"/>
      <c r="BE44" s="202"/>
    </row>
    <row r="45" spans="2:57" x14ac:dyDescent="0.25">
      <c r="B45" s="202"/>
      <c r="C45" s="217" t="str">
        <f>Parameters!E433</f>
        <v>Relative opex compressor</v>
      </c>
      <c r="D45" s="419">
        <f>Parameters!G433</f>
        <v>2.5000000000000001E-2</v>
      </c>
      <c r="E45" s="210"/>
      <c r="F45" s="208"/>
      <c r="G45" s="202"/>
      <c r="H45" s="217" t="str">
        <f>Parameters!E439</f>
        <v>Opex compressor</v>
      </c>
      <c r="I45" s="416">
        <f>D45*I44</f>
        <v>48559.519008644347</v>
      </c>
      <c r="J45" s="210" t="s">
        <v>862</v>
      </c>
      <c r="K45" s="208"/>
      <c r="L45" s="202"/>
      <c r="M45" s="217" t="str">
        <f>Parameters!E434</f>
        <v>Relative area compressor</v>
      </c>
      <c r="N45" s="297">
        <f>Parameters!G434</f>
        <v>79.775518480642788</v>
      </c>
      <c r="O45" s="297" t="str">
        <f>Parameters!F434</f>
        <v>m²/MW</v>
      </c>
      <c r="P45" s="208"/>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c r="BA45" s="202"/>
      <c r="BB45" s="202"/>
      <c r="BC45" s="202"/>
      <c r="BD45" s="202"/>
      <c r="BE45" s="202"/>
    </row>
    <row r="46" spans="2:57" x14ac:dyDescent="0.25">
      <c r="B46" s="202"/>
      <c r="C46" s="301"/>
      <c r="D46" s="297"/>
      <c r="E46" s="297"/>
      <c r="F46" s="208"/>
      <c r="G46" s="202"/>
      <c r="H46" s="301"/>
      <c r="I46" s="297"/>
      <c r="J46" s="210"/>
      <c r="K46" s="208"/>
      <c r="L46" s="202"/>
      <c r="M46" s="217" t="str">
        <f>Parameters!E435</f>
        <v>Relative weight compressor</v>
      </c>
      <c r="N46" s="297">
        <f>Parameters!G435</f>
        <v>9.4736842105263168</v>
      </c>
      <c r="O46" s="297" t="str">
        <f>Parameters!F435</f>
        <v>ton/MW</v>
      </c>
      <c r="P46" s="208"/>
      <c r="Q46" s="202"/>
      <c r="R46" s="202"/>
      <c r="S46" s="202"/>
      <c r="T46" s="202"/>
      <c r="U46" s="202"/>
      <c r="V46" s="202"/>
      <c r="W46" s="202"/>
      <c r="X46" s="202"/>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2"/>
    </row>
    <row r="47" spans="2:57" x14ac:dyDescent="0.25">
      <c r="B47" s="202"/>
      <c r="C47" s="211"/>
      <c r="D47" s="210"/>
      <c r="E47" s="241"/>
      <c r="F47" s="208"/>
      <c r="G47" s="202"/>
      <c r="H47" s="211"/>
      <c r="I47" s="210"/>
      <c r="J47" s="241"/>
      <c r="K47" s="208"/>
      <c r="L47" s="202"/>
      <c r="M47" s="301" t="s">
        <v>1558</v>
      </c>
      <c r="N47" s="297">
        <f>N45*N44</f>
        <v>80.97815123132979</v>
      </c>
      <c r="O47" s="297" t="s">
        <v>810</v>
      </c>
      <c r="P47" s="208"/>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2"/>
      <c r="AZ47" s="202"/>
      <c r="BA47" s="202"/>
      <c r="BB47" s="202"/>
      <c r="BC47" s="202"/>
      <c r="BD47" s="202"/>
      <c r="BE47" s="202"/>
    </row>
    <row r="48" spans="2:57" x14ac:dyDescent="0.25">
      <c r="B48" s="202"/>
      <c r="C48" s="211"/>
      <c r="D48" s="210"/>
      <c r="E48" s="241"/>
      <c r="F48" s="208"/>
      <c r="G48" s="202"/>
      <c r="H48" s="211"/>
      <c r="I48" s="210"/>
      <c r="J48" s="241"/>
      <c r="K48" s="208"/>
      <c r="L48" s="202"/>
      <c r="M48" s="211" t="s">
        <v>1559</v>
      </c>
      <c r="N48" s="297">
        <f>N46*N44</f>
        <v>9.6165019962109053</v>
      </c>
      <c r="O48" s="297" t="s">
        <v>1540</v>
      </c>
      <c r="P48" s="208"/>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c r="BA48" s="202"/>
      <c r="BB48" s="202"/>
      <c r="BC48" s="202"/>
      <c r="BD48" s="202"/>
      <c r="BE48" s="202"/>
    </row>
    <row r="49" spans="2:57" x14ac:dyDescent="0.25">
      <c r="B49" s="202"/>
      <c r="C49" s="207"/>
      <c r="D49" s="206"/>
      <c r="E49" s="245"/>
      <c r="F49" s="204"/>
      <c r="G49" s="202"/>
      <c r="H49" s="207"/>
      <c r="I49" s="206"/>
      <c r="J49" s="245"/>
      <c r="K49" s="204"/>
      <c r="L49" s="202"/>
      <c r="M49" s="207"/>
      <c r="N49" s="205"/>
      <c r="O49" s="245"/>
      <c r="P49" s="204"/>
      <c r="Q49" s="202"/>
      <c r="R49" s="202"/>
      <c r="S49" s="202"/>
      <c r="T49" s="202"/>
      <c r="U49" s="202"/>
      <c r="V49" s="202"/>
      <c r="W49" s="202"/>
      <c r="X49" s="202"/>
      <c r="Y49" s="202"/>
      <c r="Z49" s="202"/>
      <c r="AA49" s="202"/>
      <c r="AB49" s="202"/>
      <c r="AC49" s="202"/>
      <c r="AD49" s="202"/>
      <c r="AE49" s="202"/>
      <c r="AF49" s="202"/>
      <c r="AG49" s="202"/>
      <c r="AH49" s="202"/>
      <c r="AI49" s="202"/>
      <c r="AJ49" s="202"/>
      <c r="AK49" s="202"/>
      <c r="AL49" s="202"/>
      <c r="AM49" s="202"/>
      <c r="AN49" s="202"/>
      <c r="AO49" s="202"/>
      <c r="AP49" s="202"/>
      <c r="AQ49" s="202"/>
      <c r="AR49" s="202"/>
      <c r="AS49" s="202"/>
      <c r="AT49" s="202"/>
      <c r="AU49" s="202"/>
      <c r="AV49" s="202"/>
      <c r="AW49" s="202"/>
      <c r="AX49" s="202"/>
      <c r="AY49" s="202"/>
      <c r="AZ49" s="202"/>
      <c r="BA49" s="202"/>
      <c r="BB49" s="202"/>
      <c r="BC49" s="202"/>
      <c r="BD49" s="202"/>
      <c r="BE49" s="202"/>
    </row>
    <row r="50" spans="2:57" x14ac:dyDescent="0.25">
      <c r="B50" s="202"/>
      <c r="C50" s="202"/>
      <c r="D50" s="202"/>
      <c r="E50" s="202"/>
      <c r="F50" s="202"/>
      <c r="G50" s="202"/>
      <c r="H50" s="202"/>
      <c r="I50" s="202"/>
      <c r="J50" s="202"/>
      <c r="K50" s="202"/>
      <c r="L50" s="202"/>
      <c r="M50" s="202"/>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c r="AU50" s="202"/>
      <c r="AV50" s="202"/>
      <c r="AW50" s="202"/>
      <c r="AX50" s="202"/>
      <c r="AY50" s="202"/>
      <c r="AZ50" s="202"/>
      <c r="BA50" s="202"/>
      <c r="BB50" s="202"/>
      <c r="BC50" s="202"/>
      <c r="BD50" s="202"/>
      <c r="BE50" s="202"/>
    </row>
    <row r="51" spans="2:57" x14ac:dyDescent="0.25">
      <c r="B51" s="202"/>
      <c r="C51" s="202"/>
      <c r="D51" s="202"/>
      <c r="E51" s="202"/>
      <c r="F51" s="202"/>
      <c r="G51" s="202"/>
      <c r="H51" s="202"/>
      <c r="I51" s="202"/>
      <c r="J51" s="202"/>
      <c r="K51" s="202"/>
      <c r="L51" s="202"/>
      <c r="M51" s="202"/>
      <c r="N51" s="202"/>
      <c r="O51" s="202"/>
      <c r="P51" s="202"/>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c r="AU51" s="202"/>
      <c r="AV51" s="202"/>
      <c r="AW51" s="202"/>
      <c r="AX51" s="202"/>
      <c r="AY51" s="202"/>
      <c r="AZ51" s="202"/>
      <c r="BA51" s="202"/>
      <c r="BB51" s="202"/>
      <c r="BC51" s="202"/>
      <c r="BD51" s="202"/>
      <c r="BE51" s="202"/>
    </row>
  </sheetData>
  <pageMargins left="0.7" right="0.7" top="0.75" bottom="0.75" header="0.3" footer="0.3"/>
  <pageSetup paperSize="9" orientation="portrait" horizontalDpi="4294967295" verticalDpi="4294967295"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B1:AZ64"/>
  <sheetViews>
    <sheetView workbookViewId="0">
      <selection activeCell="B2" sqref="B2"/>
    </sheetView>
  </sheetViews>
  <sheetFormatPr defaultColWidth="9.140625" defaultRowHeight="15" x14ac:dyDescent="0.25"/>
  <cols>
    <col min="1" max="1" width="9.140625" style="201"/>
    <col min="2" max="2" width="3.7109375" style="201" customWidth="1"/>
    <col min="3" max="3" width="19" style="201" customWidth="1"/>
    <col min="4" max="4" width="23.85546875" style="201" customWidth="1"/>
    <col min="5" max="5" width="12.5703125" style="201" bestFit="1" customWidth="1"/>
    <col min="6" max="6" width="9.28515625" style="201" customWidth="1"/>
    <col min="7" max="7" width="9.140625" style="201"/>
    <col min="8" max="8" width="14.28515625" style="201" bestFit="1" customWidth="1"/>
    <col min="9" max="9" width="47.42578125" style="201" customWidth="1"/>
    <col min="10" max="10" width="9.28515625" style="201" customWidth="1"/>
    <col min="11" max="11" width="9.140625" style="201"/>
    <col min="12" max="12" width="5.42578125" style="201" customWidth="1"/>
    <col min="13" max="13" width="9.140625" style="201"/>
    <col min="14" max="14" width="17.140625" style="201" customWidth="1"/>
    <col min="15" max="15" width="18.85546875" style="201" bestFit="1" customWidth="1"/>
    <col min="16" max="17" width="9.140625" style="201"/>
    <col min="18" max="18" width="24.28515625" style="201" bestFit="1" customWidth="1"/>
    <col min="19" max="19" width="5.5703125" style="201" bestFit="1" customWidth="1"/>
    <col min="20" max="20" width="10" style="201" customWidth="1"/>
    <col min="21" max="24" width="9.140625" style="201"/>
    <col min="25" max="25" width="13.28515625" style="201" bestFit="1" customWidth="1"/>
    <col min="26" max="16384" width="9.140625" style="201"/>
  </cols>
  <sheetData>
    <row r="1" spans="2:52" ht="45" customHeight="1" x14ac:dyDescent="0.4">
      <c r="B1" s="200" t="str">
        <f>"H2 PIPELINE ("&amp;Parameters!$D$6&amp;")"</f>
        <v>H2 PIPELINE (P15 Scenario 1)</v>
      </c>
    </row>
    <row r="2" spans="2:52" x14ac:dyDescent="0.25">
      <c r="B2" s="202"/>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row>
    <row r="3" spans="2:52" x14ac:dyDescent="0.25">
      <c r="B3" s="202"/>
      <c r="C3" s="202"/>
      <c r="D3" s="202"/>
      <c r="E3" s="202"/>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row>
    <row r="4" spans="2:52" x14ac:dyDescent="0.25">
      <c r="B4" s="202"/>
      <c r="C4" s="225" t="s">
        <v>579</v>
      </c>
      <c r="D4" s="224"/>
      <c r="E4" s="270" t="str">
        <f>Parameters!E442</f>
        <v>Distribution pipeline system</v>
      </c>
      <c r="F4" s="223" t="str">
        <f>Parameters!G442</f>
        <v>existing</v>
      </c>
      <c r="G4" s="202"/>
      <c r="H4" s="225" t="s">
        <v>579</v>
      </c>
      <c r="I4" s="224"/>
      <c r="J4" s="224"/>
      <c r="K4" s="223"/>
      <c r="L4" s="202"/>
      <c r="M4" s="225" t="s">
        <v>577</v>
      </c>
      <c r="N4" s="224"/>
      <c r="O4" s="224"/>
      <c r="P4" s="223"/>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row>
    <row r="5" spans="2:52" x14ac:dyDescent="0.25">
      <c r="B5" s="202"/>
      <c r="C5" s="211"/>
      <c r="D5" s="210"/>
      <c r="E5" s="210"/>
      <c r="F5" s="208"/>
      <c r="G5" s="202"/>
      <c r="H5" s="211"/>
      <c r="I5" s="219"/>
      <c r="J5" s="219"/>
      <c r="K5" s="208"/>
      <c r="L5" s="202"/>
      <c r="M5" s="211"/>
      <c r="N5" s="219"/>
      <c r="O5" s="219"/>
      <c r="P5" s="208"/>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row>
    <row r="6" spans="2:52" x14ac:dyDescent="0.25">
      <c r="B6" s="202"/>
      <c r="C6" s="211"/>
      <c r="D6" s="219" t="str">
        <f>Parameters!E443</f>
        <v>Pipeline length</v>
      </c>
      <c r="E6" s="243">
        <f>Parameters!G443</f>
        <v>40</v>
      </c>
      <c r="F6" s="208" t="str">
        <f>Parameters!F443</f>
        <v>km</v>
      </c>
      <c r="G6" s="202"/>
      <c r="H6" s="211"/>
      <c r="I6" s="243" t="str">
        <f>Parameters!E385</f>
        <v>Density H2</v>
      </c>
      <c r="J6" s="243">
        <f>Parameters!G385</f>
        <v>8.9899999999999994E-2</v>
      </c>
      <c r="K6" s="208" t="str">
        <f>Parameters!F385</f>
        <v>kg / Nm³</v>
      </c>
      <c r="L6" s="202"/>
      <c r="M6" s="211"/>
      <c r="N6" s="269"/>
      <c r="O6" s="241"/>
      <c r="P6" s="208"/>
      <c r="Q6" s="202"/>
      <c r="R6" s="202"/>
      <c r="S6" s="202"/>
      <c r="T6" s="202"/>
      <c r="U6" s="202"/>
      <c r="V6" s="202"/>
      <c r="W6" s="202"/>
      <c r="X6" s="202"/>
      <c r="Y6" s="202"/>
      <c r="Z6" s="202"/>
      <c r="AA6" s="202"/>
      <c r="AB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AZ6" s="202"/>
    </row>
    <row r="7" spans="2:52" x14ac:dyDescent="0.25">
      <c r="B7" s="202"/>
      <c r="C7" s="211"/>
      <c r="D7" s="243" t="str">
        <f>IF($F$4="New",Parameters!E446,IF($F$4="Existing",Parameters!E445))</f>
        <v>Pipeline losses (existing pipeline)</v>
      </c>
      <c r="E7" s="421">
        <f>IF($F$4="New",Parameters!G446,IF($F$4="Existing",Parameters!G445))</f>
        <v>0.01</v>
      </c>
      <c r="F7" s="208"/>
      <c r="G7" s="202"/>
      <c r="H7" s="211"/>
      <c r="I7" s="264" t="str">
        <f>Parameters!E470</f>
        <v>Dimensionless coefficient of friction (Darcy-Weisbach friction factor)</v>
      </c>
      <c r="J7" s="268">
        <f>Parameters!G470</f>
        <v>1.4E-2</v>
      </c>
      <c r="K7" s="208"/>
      <c r="L7" s="202"/>
      <c r="M7" s="211"/>
      <c r="N7" s="219" t="str">
        <f>H39</f>
        <v>Capex existing pipeline</v>
      </c>
      <c r="O7" s="243">
        <f t="shared" ref="O7:P7" si="0">I39</f>
        <v>0</v>
      </c>
      <c r="P7" s="208" t="str">
        <f t="shared" si="0"/>
        <v>EUR 2014</v>
      </c>
      <c r="Q7" s="202"/>
      <c r="R7" s="202"/>
      <c r="S7" s="202"/>
      <c r="T7" s="202"/>
      <c r="U7" s="202"/>
      <c r="V7" s="202"/>
      <c r="W7" s="202"/>
      <c r="X7" s="202"/>
      <c r="Y7" s="202"/>
      <c r="Z7" s="202"/>
      <c r="AA7" s="202"/>
      <c r="AB7" s="202"/>
      <c r="AC7" s="202"/>
      <c r="AD7" s="202"/>
      <c r="AE7" s="202"/>
      <c r="AF7" s="202"/>
      <c r="AG7" s="202"/>
      <c r="AH7" s="202"/>
      <c r="AI7" s="202"/>
      <c r="AJ7" s="202"/>
      <c r="AK7" s="202"/>
      <c r="AL7" s="202"/>
      <c r="AM7" s="202"/>
      <c r="AN7" s="202"/>
      <c r="AO7" s="202"/>
      <c r="AP7" s="202"/>
      <c r="AQ7" s="202"/>
      <c r="AR7" s="202"/>
      <c r="AS7" s="202"/>
      <c r="AT7" s="202"/>
      <c r="AU7" s="202"/>
      <c r="AV7" s="202"/>
      <c r="AW7" s="202"/>
      <c r="AX7" s="202"/>
      <c r="AY7" s="202"/>
      <c r="AZ7" s="202"/>
    </row>
    <row r="8" spans="2:52" x14ac:dyDescent="0.25">
      <c r="B8" s="202"/>
      <c r="C8" s="211"/>
      <c r="D8" s="219" t="str">
        <f>Parameters!E467</f>
        <v>Inlet pressure pipeline</v>
      </c>
      <c r="E8" s="243">
        <f>Parameters!G467</f>
        <v>100</v>
      </c>
      <c r="F8" s="208" t="str">
        <f>Parameters!F467</f>
        <v>bar</v>
      </c>
      <c r="G8" s="202"/>
      <c r="H8" s="211"/>
      <c r="I8" s="264" t="str">
        <f>Parameters!E389</f>
        <v>Dimensionless compressibility factor</v>
      </c>
      <c r="J8" s="422">
        <f>Parameters!G389</f>
        <v>1.01</v>
      </c>
      <c r="K8" s="265"/>
      <c r="L8" s="202"/>
      <c r="M8" s="211"/>
      <c r="N8" s="219" t="str">
        <f>H40</f>
        <v>Opex existing pipeline</v>
      </c>
      <c r="O8" s="243">
        <f>I40</f>
        <v>0</v>
      </c>
      <c r="P8" s="208" t="str">
        <f t="shared" ref="P8" si="1">J40</f>
        <v>EUR / a</v>
      </c>
      <c r="Q8" s="202"/>
      <c r="R8" s="202"/>
      <c r="S8" s="202"/>
      <c r="T8" s="202"/>
      <c r="U8" s="202"/>
      <c r="V8" s="202"/>
      <c r="W8" s="202"/>
      <c r="X8" s="202"/>
      <c r="Y8" s="202"/>
      <c r="Z8" s="202"/>
      <c r="AA8" s="202"/>
      <c r="AB8" s="202"/>
      <c r="AC8" s="202"/>
      <c r="AD8" s="202"/>
      <c r="AE8" s="202"/>
      <c r="AF8" s="202"/>
      <c r="AG8" s="202"/>
      <c r="AH8" s="202"/>
      <c r="AI8" s="202"/>
      <c r="AJ8" s="202"/>
      <c r="AK8" s="202"/>
      <c r="AL8" s="202"/>
      <c r="AM8" s="202"/>
      <c r="AN8" s="202"/>
      <c r="AO8" s="202"/>
      <c r="AP8" s="202"/>
      <c r="AQ8" s="202"/>
      <c r="AR8" s="202"/>
      <c r="AS8" s="202"/>
      <c r="AT8" s="202"/>
      <c r="AU8" s="202"/>
      <c r="AV8" s="202"/>
      <c r="AW8" s="202"/>
      <c r="AX8" s="202"/>
      <c r="AY8" s="202"/>
      <c r="AZ8" s="202"/>
    </row>
    <row r="9" spans="2:52" x14ac:dyDescent="0.25">
      <c r="B9" s="202"/>
      <c r="C9" s="211"/>
      <c r="D9" s="219" t="str">
        <f>Parameters!E444</f>
        <v>Outlet pressure pipeline</v>
      </c>
      <c r="E9" s="243">
        <f>Parameters!G444</f>
        <v>80</v>
      </c>
      <c r="F9" s="208" t="str">
        <f>Parameters!F444</f>
        <v>bar</v>
      </c>
      <c r="G9" s="202"/>
      <c r="H9" s="211"/>
      <c r="I9" s="264" t="str">
        <f>Parameters!E468</f>
        <v>Gas mean temperature (seawater)</v>
      </c>
      <c r="J9" s="243">
        <f>Parameters!G468</f>
        <v>277.39999999999998</v>
      </c>
      <c r="K9" s="265" t="str">
        <f>Parameters!F468</f>
        <v>K</v>
      </c>
      <c r="L9" s="202"/>
      <c r="M9" s="266"/>
      <c r="N9" s="219" t="str">
        <f>H41</f>
        <v>Opex existing pipeline</v>
      </c>
      <c r="O9" s="243">
        <f>I41</f>
        <v>545991.62754050805</v>
      </c>
      <c r="P9" s="208" t="str">
        <f t="shared" ref="P9" si="2">J41</f>
        <v>EUR/a</v>
      </c>
      <c r="Q9" s="202"/>
      <c r="R9" s="202"/>
      <c r="S9" s="202"/>
      <c r="T9" s="202"/>
      <c r="U9" s="202"/>
      <c r="V9" s="202"/>
      <c r="W9" s="202"/>
      <c r="X9" s="202"/>
      <c r="Y9" s="202"/>
      <c r="Z9" s="202"/>
      <c r="AA9" s="202"/>
      <c r="AB9" s="202"/>
      <c r="AC9" s="202"/>
      <c r="AD9" s="202"/>
      <c r="AE9" s="202"/>
      <c r="AF9" s="202"/>
      <c r="AG9" s="202"/>
      <c r="AH9" s="202"/>
      <c r="AI9" s="202"/>
      <c r="AJ9" s="202"/>
      <c r="AK9" s="202"/>
      <c r="AL9" s="202"/>
      <c r="AM9" s="202"/>
      <c r="AN9" s="202"/>
      <c r="AO9" s="202"/>
      <c r="AP9" s="202"/>
      <c r="AQ9" s="202"/>
      <c r="AR9" s="202"/>
      <c r="AS9" s="202"/>
      <c r="AT9" s="202"/>
      <c r="AU9" s="202"/>
      <c r="AV9" s="202"/>
      <c r="AW9" s="202"/>
      <c r="AX9" s="202"/>
      <c r="AY9" s="202"/>
      <c r="AZ9" s="202"/>
    </row>
    <row r="10" spans="2:52" x14ac:dyDescent="0.25">
      <c r="B10" s="202"/>
      <c r="C10" s="211"/>
      <c r="D10" s="219" t="str">
        <f>Parameters!E469</f>
        <v>Pipeline diameter</v>
      </c>
      <c r="E10" s="243">
        <f>((((O16/$J$6)/(0.0129*SQRT($E$8^2-$E$9^2)))^2)*$J$7*$J$8*$J$9*$E$6*$J$10)^(1/5)</f>
        <v>100.39435257214974</v>
      </c>
      <c r="F10" s="208" t="str">
        <f>Parameters!F469</f>
        <v>mm</v>
      </c>
      <c r="G10" s="202"/>
      <c r="H10" s="211"/>
      <c r="I10" s="264" t="str">
        <f>Parameters!E384</f>
        <v>Relative density hydrogen to air</v>
      </c>
      <c r="J10" s="423">
        <f>Parameters!G384</f>
        <v>6.9522852060938833E-2</v>
      </c>
      <c r="K10" s="265"/>
      <c r="L10" s="202"/>
      <c r="M10" s="211"/>
      <c r="N10" s="219" t="str">
        <f>H43</f>
        <v>Cost of hydrogen extraction (admix)</v>
      </c>
      <c r="O10" s="422">
        <f>I43</f>
        <v>1449545.698320738</v>
      </c>
      <c r="P10" s="1038" t="str">
        <f>J43</f>
        <v>EUR/a</v>
      </c>
      <c r="Q10" s="202"/>
      <c r="R10" s="202"/>
      <c r="S10" s="202"/>
      <c r="T10" s="202"/>
      <c r="U10" s="202"/>
      <c r="V10" s="202"/>
      <c r="W10" s="202"/>
      <c r="X10" s="202"/>
      <c r="Y10" s="202"/>
      <c r="Z10" s="202"/>
      <c r="AA10" s="202"/>
      <c r="AB10" s="202"/>
      <c r="AC10" s="202"/>
      <c r="AD10" s="202"/>
      <c r="AE10" s="202"/>
      <c r="AF10" s="202"/>
      <c r="AG10" s="202"/>
      <c r="AH10" s="202"/>
      <c r="AI10" s="202"/>
      <c r="AJ10" s="202"/>
      <c r="AK10" s="202"/>
      <c r="AL10" s="202"/>
      <c r="AM10" s="202"/>
      <c r="AN10" s="202"/>
      <c r="AO10" s="202"/>
      <c r="AP10" s="202"/>
      <c r="AQ10" s="202"/>
      <c r="AR10" s="202"/>
      <c r="AS10" s="202"/>
      <c r="AT10" s="202"/>
      <c r="AU10" s="202"/>
      <c r="AV10" s="202"/>
      <c r="AW10" s="202"/>
      <c r="AX10" s="202"/>
      <c r="AY10" s="202"/>
      <c r="AZ10" s="202"/>
    </row>
    <row r="11" spans="2:52" x14ac:dyDescent="0.25">
      <c r="B11" s="202"/>
      <c r="C11" s="211"/>
      <c r="D11" s="214" t="str">
        <f>'H2 COMPRESSION'!C10</f>
        <v>Max. hydrogen output electrolysis</v>
      </c>
      <c r="E11" s="241">
        <f>'H2 COMPRESSION'!D10</f>
        <v>0.59101654846335694</v>
      </c>
      <c r="F11" s="208" t="str">
        <f>'H2 COMPRESSION'!E10</f>
        <v>kg / s</v>
      </c>
      <c r="G11" s="202"/>
      <c r="H11" s="211"/>
      <c r="I11" s="264"/>
      <c r="J11" s="264"/>
      <c r="K11" s="208"/>
      <c r="L11" s="202"/>
      <c r="M11" s="211"/>
      <c r="N11" s="210"/>
      <c r="O11" s="416"/>
      <c r="P11" s="208"/>
      <c r="Q11" s="202"/>
      <c r="R11" s="202"/>
      <c r="S11" s="202"/>
      <c r="T11" s="202"/>
      <c r="U11" s="202"/>
      <c r="V11" s="202"/>
      <c r="W11" s="202"/>
      <c r="X11" s="202"/>
      <c r="Y11" s="202"/>
      <c r="Z11" s="202"/>
      <c r="AA11" s="202"/>
      <c r="AB11" s="202"/>
      <c r="AC11" s="202"/>
      <c r="AD11" s="202"/>
      <c r="AE11" s="202"/>
      <c r="AF11" s="202"/>
      <c r="AG11" s="202"/>
      <c r="AH11" s="202"/>
      <c r="AI11" s="202"/>
      <c r="AJ11" s="202"/>
      <c r="AK11" s="202"/>
      <c r="AL11" s="202"/>
      <c r="AM11" s="202"/>
      <c r="AN11" s="202"/>
      <c r="AO11" s="202"/>
      <c r="AP11" s="202"/>
      <c r="AQ11" s="202"/>
      <c r="AR11" s="202"/>
      <c r="AS11" s="202"/>
      <c r="AT11" s="202"/>
      <c r="AU11" s="202"/>
      <c r="AV11" s="202"/>
      <c r="AW11" s="202"/>
      <c r="AX11" s="202"/>
      <c r="AY11" s="202"/>
      <c r="AZ11" s="202"/>
    </row>
    <row r="12" spans="2:52" x14ac:dyDescent="0.25">
      <c r="B12" s="202"/>
      <c r="C12" s="211"/>
      <c r="D12" s="214"/>
      <c r="E12" s="241"/>
      <c r="F12" s="208"/>
      <c r="G12" s="202"/>
      <c r="H12" s="211"/>
      <c r="I12" s="243" t="str">
        <f>Parameters!E465</f>
        <v>Hydrogen recovery factor separation (admix)</v>
      </c>
      <c r="J12" s="1036">
        <f>Parameters!G465</f>
        <v>0.8</v>
      </c>
      <c r="K12" s="208"/>
      <c r="L12" s="202"/>
      <c r="M12" s="211"/>
      <c r="N12" s="210" t="str">
        <f>Parameters!E475</f>
        <v>Capex H2 pipeline crossings &amp; landing</v>
      </c>
      <c r="O12" s="416">
        <f>SUM(I45:I51)</f>
        <v>0</v>
      </c>
      <c r="P12" s="208" t="str">
        <f>Parameters!F475</f>
        <v>EUR</v>
      </c>
      <c r="Q12" s="202"/>
      <c r="R12" s="202"/>
      <c r="S12" s="202"/>
      <c r="T12" s="202"/>
      <c r="U12" s="202"/>
      <c r="V12" s="202"/>
      <c r="W12" s="202"/>
      <c r="X12" s="202"/>
      <c r="Y12" s="202"/>
      <c r="Z12" s="202"/>
      <c r="AA12" s="202"/>
      <c r="AB12" s="202"/>
      <c r="AC12" s="202"/>
      <c r="AD12" s="202"/>
      <c r="AE12" s="202"/>
      <c r="AF12" s="202"/>
      <c r="AG12" s="202"/>
      <c r="AH12" s="202"/>
      <c r="AI12" s="202"/>
      <c r="AJ12" s="202"/>
      <c r="AK12" s="202"/>
      <c r="AL12" s="202"/>
      <c r="AM12" s="202"/>
      <c r="AN12" s="202"/>
      <c r="AO12" s="202"/>
      <c r="AP12" s="202"/>
      <c r="AQ12" s="202"/>
      <c r="AR12" s="202"/>
      <c r="AS12" s="202"/>
      <c r="AT12" s="202"/>
      <c r="AU12" s="202"/>
      <c r="AV12" s="202"/>
      <c r="AW12" s="202"/>
      <c r="AX12" s="202"/>
      <c r="AY12" s="202"/>
      <c r="AZ12" s="202"/>
    </row>
    <row r="13" spans="2:52" x14ac:dyDescent="0.25">
      <c r="B13" s="202"/>
      <c r="C13" s="211"/>
      <c r="D13" s="214" t="str">
        <f>Parameters!E450</f>
        <v>Trenching to beach</v>
      </c>
      <c r="E13" s="214">
        <f>Parameters!G450</f>
        <v>0</v>
      </c>
      <c r="F13" s="208"/>
      <c r="G13" s="202"/>
      <c r="H13" s="211"/>
      <c r="I13" s="243"/>
      <c r="J13" s="243"/>
      <c r="K13" s="208"/>
      <c r="L13" s="202"/>
      <c r="M13" s="211"/>
      <c r="N13" s="210"/>
      <c r="O13" s="297"/>
      <c r="P13" s="208"/>
      <c r="Q13" s="202"/>
      <c r="R13" s="202"/>
      <c r="S13" s="202"/>
      <c r="T13" s="202"/>
      <c r="U13" s="202"/>
      <c r="V13" s="202"/>
      <c r="W13" s="202"/>
      <c r="X13" s="202"/>
      <c r="Y13" s="202"/>
      <c r="Z13" s="202"/>
      <c r="AA13" s="202"/>
      <c r="AB13" s="202"/>
      <c r="AC13" s="202"/>
      <c r="AD13" s="202"/>
      <c r="AE13" s="202"/>
      <c r="AF13" s="202"/>
      <c r="AG13" s="202"/>
      <c r="AH13" s="202"/>
      <c r="AI13" s="202"/>
      <c r="AJ13" s="202"/>
      <c r="AK13" s="202"/>
      <c r="AL13" s="202"/>
      <c r="AM13" s="202"/>
      <c r="AN13" s="202"/>
      <c r="AO13" s="202"/>
      <c r="AP13" s="202"/>
      <c r="AQ13" s="202"/>
      <c r="AR13" s="202"/>
      <c r="AS13" s="202"/>
      <c r="AT13" s="202"/>
      <c r="AU13" s="202"/>
      <c r="AV13" s="202"/>
      <c r="AW13" s="202"/>
      <c r="AX13" s="202"/>
      <c r="AY13" s="202"/>
      <c r="AZ13" s="202"/>
    </row>
    <row r="14" spans="2:52" x14ac:dyDescent="0.25">
      <c r="B14" s="202"/>
      <c r="C14" s="211"/>
      <c r="D14" s="214" t="str">
        <f>Parameters!E451</f>
        <v>Onshore - Road</v>
      </c>
      <c r="E14" s="214">
        <f>Parameters!G451</f>
        <v>0</v>
      </c>
      <c r="F14" s="208"/>
      <c r="G14" s="202"/>
      <c r="H14" s="211"/>
      <c r="I14" s="243"/>
      <c r="J14" s="243"/>
      <c r="K14" s="208"/>
      <c r="L14" s="202"/>
      <c r="M14" s="211"/>
      <c r="N14" s="210"/>
      <c r="O14" s="210"/>
      <c r="P14" s="208"/>
      <c r="Q14" s="202"/>
      <c r="R14" s="202"/>
      <c r="S14" s="202"/>
      <c r="T14" s="202"/>
      <c r="U14" s="202"/>
      <c r="V14" s="202"/>
      <c r="W14" s="202"/>
      <c r="X14" s="202"/>
      <c r="Y14" s="202"/>
      <c r="Z14" s="202"/>
      <c r="AA14" s="202"/>
      <c r="AB14" s="202"/>
      <c r="AC14" s="202"/>
      <c r="AD14" s="202"/>
      <c r="AE14" s="202"/>
      <c r="AF14" s="202"/>
      <c r="AG14" s="202"/>
      <c r="AH14" s="202"/>
      <c r="AI14" s="202"/>
      <c r="AJ14" s="202"/>
      <c r="AK14" s="202"/>
      <c r="AL14" s="202"/>
      <c r="AM14" s="202"/>
      <c r="AN14" s="202"/>
      <c r="AO14" s="202"/>
      <c r="AP14" s="202"/>
      <c r="AQ14" s="202"/>
      <c r="AR14" s="202"/>
      <c r="AS14" s="202"/>
      <c r="AT14" s="202"/>
      <c r="AU14" s="202"/>
      <c r="AV14" s="202"/>
      <c r="AW14" s="202"/>
      <c r="AX14" s="202"/>
      <c r="AY14" s="202"/>
      <c r="AZ14" s="202"/>
    </row>
    <row r="15" spans="2:52" x14ac:dyDescent="0.25">
      <c r="B15" s="202"/>
      <c r="C15" s="211"/>
      <c r="D15" s="214" t="str">
        <f>Parameters!E452</f>
        <v>Onshore - Pipeline</v>
      </c>
      <c r="E15" s="214">
        <f>Parameters!G452</f>
        <v>0</v>
      </c>
      <c r="F15" s="208"/>
      <c r="G15" s="202"/>
      <c r="H15" s="211"/>
      <c r="I15" s="243"/>
      <c r="J15" s="243"/>
      <c r="K15" s="208"/>
      <c r="L15" s="202"/>
      <c r="M15" s="211"/>
      <c r="N15" s="210"/>
      <c r="O15" s="210"/>
      <c r="P15" s="208"/>
      <c r="Q15" s="202"/>
      <c r="R15" s="202"/>
      <c r="S15" s="202"/>
      <c r="T15" s="202"/>
      <c r="U15" s="202"/>
      <c r="V15" s="202"/>
      <c r="W15" s="202"/>
      <c r="X15" s="202"/>
      <c r="Y15" s="202"/>
      <c r="Z15" s="202"/>
      <c r="AA15" s="202"/>
      <c r="AB15" s="202"/>
      <c r="AC15" s="202"/>
      <c r="AD15" s="202"/>
      <c r="AE15" s="202"/>
      <c r="AF15" s="202"/>
      <c r="AG15" s="202"/>
      <c r="AH15" s="202"/>
      <c r="AI15" s="202"/>
      <c r="AJ15" s="202"/>
      <c r="AK15" s="202"/>
      <c r="AL15" s="202"/>
      <c r="AM15" s="202"/>
      <c r="AN15" s="202"/>
      <c r="AO15" s="202"/>
      <c r="AP15" s="202"/>
      <c r="AQ15" s="202"/>
      <c r="AR15" s="202"/>
      <c r="AS15" s="202"/>
      <c r="AT15" s="202"/>
      <c r="AU15" s="202"/>
      <c r="AV15" s="202"/>
      <c r="AW15" s="202"/>
      <c r="AX15" s="202"/>
      <c r="AY15" s="202"/>
      <c r="AZ15" s="202"/>
    </row>
    <row r="16" spans="2:52" x14ac:dyDescent="0.25">
      <c r="B16" s="202"/>
      <c r="C16" s="211"/>
      <c r="D16" s="214" t="str">
        <f>Parameters!E453</f>
        <v>Onshore - Other</v>
      </c>
      <c r="E16" s="214">
        <f>Parameters!G453</f>
        <v>0</v>
      </c>
      <c r="F16" s="208"/>
      <c r="G16" s="202"/>
      <c r="H16" s="211"/>
      <c r="I16" s="243"/>
      <c r="J16" s="243"/>
      <c r="K16" s="208"/>
      <c r="L16" s="202"/>
      <c r="M16" s="211"/>
      <c r="N16" s="307" t="str">
        <f>Parameters!E466</f>
        <v>Hydrogen capacity</v>
      </c>
      <c r="O16" s="416">
        <f>E11*3600</f>
        <v>2127.6595744680849</v>
      </c>
      <c r="P16" s="208" t="str">
        <f>Parameters!F466</f>
        <v>kg/h</v>
      </c>
      <c r="Q16" s="202"/>
      <c r="R16" s="202"/>
      <c r="S16" s="202"/>
      <c r="T16" s="202"/>
      <c r="U16" s="202"/>
      <c r="V16" s="202"/>
      <c r="W16" s="202"/>
      <c r="X16" s="202"/>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row>
    <row r="17" spans="2:52" x14ac:dyDescent="0.25">
      <c r="B17" s="202"/>
      <c r="C17" s="211"/>
      <c r="D17" s="214" t="str">
        <f>Parameters!E454</f>
        <v>Offshore - Pipeline</v>
      </c>
      <c r="E17" s="214">
        <f>Parameters!G454</f>
        <v>0</v>
      </c>
      <c r="F17" s="208"/>
      <c r="G17" s="202"/>
      <c r="H17" s="211"/>
      <c r="I17" s="243"/>
      <c r="J17" s="243"/>
      <c r="K17" s="208"/>
      <c r="L17" s="202"/>
      <c r="M17" s="211"/>
      <c r="N17" s="210"/>
      <c r="O17" s="210"/>
      <c r="P17" s="208"/>
      <c r="Q17" s="202"/>
      <c r="R17" s="202"/>
      <c r="S17" s="202"/>
      <c r="T17" s="202"/>
      <c r="U17" s="202"/>
      <c r="V17" s="202"/>
      <c r="W17" s="202"/>
      <c r="X17" s="202"/>
      <c r="Y17" s="202"/>
      <c r="Z17" s="202"/>
      <c r="AA17" s="202"/>
      <c r="AB17" s="202"/>
      <c r="AC17" s="202"/>
      <c r="AD17" s="202"/>
      <c r="AE17" s="202"/>
      <c r="AF17" s="202"/>
      <c r="AG17" s="202"/>
      <c r="AH17" s="202"/>
      <c r="AI17" s="202"/>
      <c r="AJ17" s="202"/>
      <c r="AK17" s="202"/>
      <c r="AL17" s="202"/>
      <c r="AM17" s="202"/>
      <c r="AN17" s="202"/>
      <c r="AO17" s="202"/>
      <c r="AP17" s="202"/>
      <c r="AQ17" s="202"/>
      <c r="AR17" s="202"/>
      <c r="AS17" s="202"/>
      <c r="AT17" s="202"/>
      <c r="AU17" s="202"/>
      <c r="AV17" s="202"/>
      <c r="AW17" s="202"/>
      <c r="AX17" s="202"/>
      <c r="AY17" s="202"/>
      <c r="AZ17" s="202"/>
    </row>
    <row r="18" spans="2:52" x14ac:dyDescent="0.25">
      <c r="B18" s="202"/>
      <c r="C18" s="211"/>
      <c r="D18" s="214" t="str">
        <f>Parameters!E455</f>
        <v>Submarine cables</v>
      </c>
      <c r="E18" s="214">
        <f>Parameters!G455</f>
        <v>0</v>
      </c>
      <c r="F18" s="208"/>
      <c r="G18" s="202"/>
      <c r="H18" s="211"/>
      <c r="I18" s="243"/>
      <c r="J18" s="243"/>
      <c r="K18" s="208"/>
      <c r="L18" s="202"/>
      <c r="M18" s="211"/>
      <c r="N18" s="210"/>
      <c r="O18" s="210"/>
      <c r="P18" s="208"/>
      <c r="Q18" s="202"/>
      <c r="R18" s="202"/>
      <c r="S18" s="202"/>
      <c r="T18" s="202"/>
      <c r="U18" s="202"/>
      <c r="V18" s="202"/>
      <c r="W18" s="202"/>
      <c r="X18" s="202"/>
      <c r="Y18" s="202"/>
      <c r="Z18" s="202"/>
      <c r="AA18" s="202"/>
      <c r="AB18" s="202"/>
      <c r="AC18" s="202"/>
      <c r="AD18" s="202"/>
      <c r="AE18" s="202"/>
      <c r="AF18" s="202"/>
      <c r="AG18" s="202"/>
      <c r="AH18" s="202"/>
      <c r="AI18" s="202"/>
      <c r="AJ18" s="202"/>
      <c r="AK18" s="202"/>
      <c r="AL18" s="202"/>
      <c r="AM18" s="202"/>
      <c r="AN18" s="202"/>
      <c r="AO18" s="202"/>
      <c r="AP18" s="202"/>
      <c r="AQ18" s="202"/>
      <c r="AR18" s="202"/>
      <c r="AS18" s="202"/>
      <c r="AT18" s="202"/>
      <c r="AU18" s="202"/>
      <c r="AV18" s="202"/>
      <c r="AW18" s="202"/>
      <c r="AX18" s="202"/>
      <c r="AY18" s="202"/>
      <c r="AZ18" s="202"/>
    </row>
    <row r="19" spans="2:52" x14ac:dyDescent="0.25">
      <c r="B19" s="202"/>
      <c r="C19" s="211"/>
      <c r="D19" s="214" t="str">
        <f>Parameters!E456</f>
        <v>Offshore – shipping lane</v>
      </c>
      <c r="E19" s="214">
        <f>Parameters!G456</f>
        <v>0</v>
      </c>
      <c r="F19" s="208"/>
      <c r="G19" s="202"/>
      <c r="H19" s="211"/>
      <c r="I19" s="243"/>
      <c r="J19" s="243"/>
      <c r="K19" s="208"/>
      <c r="L19" s="202"/>
      <c r="M19" s="211"/>
      <c r="N19" s="210"/>
      <c r="O19" s="210"/>
      <c r="P19" s="208"/>
      <c r="Q19" s="202"/>
      <c r="R19" s="202"/>
      <c r="S19" s="202"/>
      <c r="T19" s="202"/>
      <c r="U19" s="202"/>
      <c r="V19" s="202"/>
      <c r="W19" s="202"/>
      <c r="X19" s="202"/>
      <c r="Y19" s="202"/>
      <c r="Z19" s="202"/>
      <c r="AA19" s="202"/>
      <c r="AB19" s="202"/>
      <c r="AC19" s="202"/>
      <c r="AD19" s="202"/>
      <c r="AE19" s="202"/>
      <c r="AF19" s="202"/>
      <c r="AG19" s="202"/>
      <c r="AH19" s="202"/>
      <c r="AI19" s="202"/>
      <c r="AJ19" s="202"/>
      <c r="AK19" s="202"/>
      <c r="AL19" s="202"/>
      <c r="AM19" s="202"/>
      <c r="AN19" s="202"/>
      <c r="AO19" s="202"/>
      <c r="AP19" s="202"/>
      <c r="AQ19" s="202"/>
      <c r="AR19" s="202"/>
      <c r="AS19" s="202"/>
      <c r="AT19" s="202"/>
      <c r="AU19" s="202"/>
      <c r="AV19" s="202"/>
      <c r="AW19" s="202"/>
      <c r="AX19" s="202"/>
      <c r="AY19" s="202"/>
      <c r="AZ19" s="202"/>
    </row>
    <row r="20" spans="2:52" x14ac:dyDescent="0.25">
      <c r="B20" s="202"/>
      <c r="C20" s="207"/>
      <c r="D20" s="263"/>
      <c r="E20" s="245"/>
      <c r="F20" s="204"/>
      <c r="G20" s="202"/>
      <c r="H20" s="207"/>
      <c r="I20" s="263"/>
      <c r="J20" s="245"/>
      <c r="K20" s="204"/>
      <c r="L20" s="202"/>
      <c r="M20" s="207"/>
      <c r="N20" s="206"/>
      <c r="O20" s="206"/>
      <c r="P20" s="204"/>
      <c r="Q20" s="202"/>
      <c r="R20" s="202"/>
      <c r="S20" s="202"/>
      <c r="T20" s="202"/>
      <c r="U20" s="202"/>
      <c r="V20" s="202"/>
      <c r="W20" s="202"/>
      <c r="X20" s="202"/>
      <c r="Y20" s="202"/>
      <c r="Z20" s="202"/>
      <c r="AA20" s="202"/>
      <c r="AB20" s="202"/>
      <c r="AC20" s="202"/>
      <c r="AD20" s="202"/>
      <c r="AE20" s="202"/>
      <c r="AF20" s="202"/>
      <c r="AG20" s="202"/>
      <c r="AH20" s="202"/>
      <c r="AI20" s="202"/>
      <c r="AJ20" s="202"/>
      <c r="AK20" s="202"/>
      <c r="AL20" s="202"/>
      <c r="AM20" s="202"/>
      <c r="AN20" s="202"/>
      <c r="AO20" s="202"/>
      <c r="AP20" s="202"/>
      <c r="AQ20" s="202"/>
      <c r="AR20" s="202"/>
      <c r="AS20" s="202"/>
      <c r="AT20" s="202"/>
      <c r="AU20" s="202"/>
      <c r="AV20" s="202"/>
      <c r="AW20" s="202"/>
      <c r="AX20" s="202"/>
      <c r="AY20" s="202"/>
      <c r="AZ20" s="202"/>
    </row>
    <row r="21" spans="2:52" x14ac:dyDescent="0.25">
      <c r="B21" s="202"/>
      <c r="C21" s="202"/>
      <c r="D21" s="202"/>
      <c r="E21" s="202"/>
      <c r="F21" s="202"/>
      <c r="G21" s="202"/>
      <c r="H21" s="202"/>
      <c r="I21" s="202"/>
      <c r="J21" s="202"/>
      <c r="K21" s="202"/>
      <c r="L21" s="202"/>
      <c r="M21" s="202"/>
      <c r="N21" s="202"/>
      <c r="O21" s="202"/>
      <c r="P21" s="202"/>
      <c r="Q21" s="202"/>
      <c r="R21" s="202"/>
      <c r="S21" s="202"/>
      <c r="T21" s="202"/>
      <c r="U21" s="202"/>
      <c r="V21" s="202"/>
      <c r="W21" s="202"/>
      <c r="X21" s="202"/>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c r="AU21" s="202"/>
      <c r="AV21" s="202"/>
      <c r="AW21" s="202"/>
      <c r="AX21" s="202"/>
      <c r="AY21" s="202"/>
      <c r="AZ21" s="202"/>
    </row>
    <row r="22" spans="2:52" x14ac:dyDescent="0.25">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c r="Z22" s="202"/>
      <c r="AA22" s="202"/>
      <c r="AB22" s="202"/>
      <c r="AC22" s="202"/>
      <c r="AD22" s="202"/>
      <c r="AE22" s="202"/>
      <c r="AF22" s="202"/>
      <c r="AG22" s="202"/>
      <c r="AH22" s="202"/>
      <c r="AI22" s="202"/>
      <c r="AJ22" s="202"/>
      <c r="AK22" s="202"/>
      <c r="AL22" s="202"/>
      <c r="AM22" s="202"/>
      <c r="AN22" s="202"/>
      <c r="AO22" s="202"/>
      <c r="AP22" s="202"/>
      <c r="AQ22" s="202"/>
      <c r="AR22" s="202"/>
      <c r="AS22" s="202"/>
      <c r="AT22" s="202"/>
      <c r="AU22" s="202"/>
      <c r="AV22" s="202"/>
      <c r="AW22" s="202"/>
      <c r="AX22" s="202"/>
      <c r="AY22" s="202"/>
      <c r="AZ22" s="202"/>
    </row>
    <row r="23" spans="2:52" ht="21" x14ac:dyDescent="0.35">
      <c r="B23" s="231"/>
      <c r="C23" s="231" t="s">
        <v>572</v>
      </c>
      <c r="D23" s="202"/>
      <c r="E23" s="202"/>
      <c r="F23" s="202"/>
      <c r="G23" s="202"/>
      <c r="H23" s="202"/>
      <c r="I23" s="202"/>
      <c r="J23" s="202"/>
      <c r="K23" s="202"/>
      <c r="L23" s="202"/>
      <c r="M23" s="202"/>
      <c r="N23" s="202"/>
      <c r="O23" s="202"/>
      <c r="P23" s="202"/>
      <c r="Q23" s="202"/>
      <c r="R23" s="202"/>
      <c r="S23" s="202"/>
      <c r="T23" s="202"/>
      <c r="U23" s="202"/>
      <c r="V23" s="202"/>
      <c r="W23" s="202"/>
      <c r="X23" s="202"/>
      <c r="Y23" s="202"/>
      <c r="Z23" s="202"/>
      <c r="AA23" s="202"/>
      <c r="AB23" s="202"/>
      <c r="AC23" s="202"/>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2"/>
      <c r="AZ23" s="202"/>
    </row>
    <row r="24" spans="2:52" x14ac:dyDescent="0.25">
      <c r="B24" s="202"/>
      <c r="C24" s="202"/>
      <c r="D24" s="202"/>
      <c r="E24" s="202"/>
      <c r="F24" s="202"/>
      <c r="G24" s="202"/>
      <c r="H24" s="202"/>
      <c r="I24" s="202"/>
      <c r="J24" s="202"/>
      <c r="K24" s="202"/>
      <c r="L24" s="202"/>
      <c r="M24" s="202"/>
      <c r="N24" s="202"/>
      <c r="O24" s="202"/>
      <c r="P24" s="202"/>
      <c r="Q24" s="202"/>
      <c r="R24" s="202"/>
      <c r="S24" s="202"/>
      <c r="T24" s="202"/>
      <c r="U24" s="202"/>
      <c r="V24" s="202"/>
      <c r="W24" s="202"/>
      <c r="X24" s="202"/>
      <c r="Y24" s="202"/>
      <c r="Z24" s="202"/>
      <c r="AA24" s="202"/>
      <c r="AB24" s="202"/>
      <c r="AC24" s="202"/>
      <c r="AD24" s="202"/>
      <c r="AE24" s="202"/>
      <c r="AF24" s="202"/>
      <c r="AG24" s="202"/>
      <c r="AH24" s="202"/>
      <c r="AI24" s="202"/>
      <c r="AJ24" s="202"/>
      <c r="AK24" s="202"/>
      <c r="AL24" s="202"/>
      <c r="AM24" s="202"/>
      <c r="AN24" s="202"/>
      <c r="AO24" s="202"/>
      <c r="AP24" s="202"/>
      <c r="AQ24" s="202"/>
      <c r="AR24" s="202"/>
      <c r="AS24" s="202"/>
      <c r="AT24" s="202"/>
      <c r="AU24" s="202"/>
      <c r="AV24" s="202"/>
      <c r="AW24" s="202"/>
      <c r="AX24" s="202"/>
      <c r="AY24" s="202"/>
      <c r="AZ24" s="202"/>
    </row>
    <row r="25" spans="2:52" x14ac:dyDescent="0.25">
      <c r="B25" s="229"/>
      <c r="C25" s="228" t="s">
        <v>571</v>
      </c>
      <c r="D25" s="227"/>
      <c r="E25" s="227"/>
      <c r="F25" s="226"/>
      <c r="G25" s="202"/>
      <c r="H25" s="228" t="s">
        <v>569</v>
      </c>
      <c r="I25" s="227"/>
      <c r="J25" s="227"/>
      <c r="K25" s="226"/>
      <c r="L25" s="202"/>
      <c r="M25" s="228" t="s">
        <v>1487</v>
      </c>
      <c r="N25" s="227"/>
      <c r="O25" s="227"/>
      <c r="P25" s="226"/>
      <c r="Q25" s="202"/>
      <c r="R25" s="228" t="s">
        <v>569</v>
      </c>
      <c r="S25" s="227"/>
      <c r="T25" s="227"/>
      <c r="U25" s="226"/>
      <c r="V25" s="202"/>
      <c r="W25" s="228" t="s">
        <v>568</v>
      </c>
      <c r="X25" s="227"/>
      <c r="Y25" s="227"/>
      <c r="Z25" s="226"/>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row>
    <row r="26" spans="2:52" x14ac:dyDescent="0.25">
      <c r="B26" s="202"/>
      <c r="C26" s="202"/>
      <c r="D26" s="202"/>
      <c r="E26" s="202"/>
      <c r="F26" s="202"/>
      <c r="G26" s="202"/>
      <c r="H26" s="202"/>
      <c r="I26" s="202"/>
      <c r="J26" s="202"/>
      <c r="K26" s="202"/>
      <c r="L26" s="202"/>
      <c r="M26" s="202"/>
      <c r="N26" s="202"/>
      <c r="O26" s="202"/>
      <c r="P26" s="202"/>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U26" s="202"/>
      <c r="AV26" s="202"/>
      <c r="AW26" s="202"/>
      <c r="AX26" s="202"/>
      <c r="AY26" s="202"/>
      <c r="AZ26" s="202"/>
    </row>
    <row r="27" spans="2:52" x14ac:dyDescent="0.25">
      <c r="B27" s="202"/>
      <c r="C27" s="249" t="str">
        <f>'H2 COMPRESSION'!M23</f>
        <v>Hydrogen compressed</v>
      </c>
      <c r="D27" s="224"/>
      <c r="E27" s="224"/>
      <c r="F27" s="223"/>
      <c r="G27" s="202"/>
      <c r="H27" s="225"/>
      <c r="I27" s="224"/>
      <c r="J27" s="224"/>
      <c r="K27" s="223"/>
      <c r="L27" s="202"/>
      <c r="M27" s="225" t="s">
        <v>584</v>
      </c>
      <c r="N27" s="224"/>
      <c r="O27" s="224"/>
      <c r="P27" s="223"/>
      <c r="Q27" s="202"/>
      <c r="R27" s="225" t="s">
        <v>1488</v>
      </c>
      <c r="S27" s="224"/>
      <c r="T27" s="224"/>
      <c r="U27" s="223"/>
      <c r="V27" s="202"/>
      <c r="W27" s="225" t="s">
        <v>584</v>
      </c>
      <c r="X27" s="224"/>
      <c r="Y27" s="224"/>
      <c r="Z27" s="223"/>
      <c r="AA27" s="202"/>
      <c r="AB27" s="202"/>
      <c r="AC27" s="202"/>
      <c r="AD27" s="202"/>
      <c r="AE27" s="202"/>
      <c r="AF27" s="202"/>
      <c r="AG27" s="202"/>
      <c r="AH27" s="202"/>
      <c r="AI27" s="202"/>
      <c r="AJ27" s="202"/>
      <c r="AK27" s="202"/>
      <c r="AL27" s="202"/>
      <c r="AM27" s="202"/>
      <c r="AN27" s="202"/>
      <c r="AO27" s="202"/>
      <c r="AP27" s="202"/>
      <c r="AQ27" s="202"/>
      <c r="AR27" s="202"/>
      <c r="AS27" s="202"/>
      <c r="AT27" s="202"/>
      <c r="AU27" s="202"/>
      <c r="AV27" s="202"/>
      <c r="AW27" s="202"/>
      <c r="AX27" s="202"/>
      <c r="AY27" s="202"/>
      <c r="AZ27" s="202"/>
    </row>
    <row r="28" spans="2:52" x14ac:dyDescent="0.25">
      <c r="B28" s="202"/>
      <c r="C28" s="211" t="str">
        <f>'H2 COMPRESSION'!M26</f>
        <v>Hydrogen compressed</v>
      </c>
      <c r="D28" s="297">
        <f>'H2 COMPRESSION'!N26</f>
        <v>7569405.2351454794</v>
      </c>
      <c r="E28" s="210" t="str">
        <f>'H2 COMPRESSION'!O26</f>
        <v>kg/a</v>
      </c>
      <c r="F28" s="208"/>
      <c r="G28" s="202"/>
      <c r="H28" s="211"/>
      <c r="I28" s="219"/>
      <c r="J28" s="262"/>
      <c r="K28" s="208"/>
      <c r="L28" s="202"/>
      <c r="M28" s="211"/>
      <c r="N28" s="210"/>
      <c r="O28" s="210"/>
      <c r="P28" s="208"/>
      <c r="Q28" s="202"/>
      <c r="R28" s="211"/>
      <c r="S28" s="219"/>
      <c r="T28" s="262"/>
      <c r="U28" s="208"/>
      <c r="V28" s="202"/>
      <c r="W28" s="211"/>
      <c r="X28" s="210"/>
      <c r="Y28" s="210"/>
      <c r="Z28" s="208"/>
      <c r="AA28" s="202"/>
      <c r="AB28" s="202"/>
      <c r="AC28" s="202"/>
      <c r="AD28" s="202"/>
      <c r="AE28" s="202"/>
      <c r="AF28" s="202"/>
      <c r="AG28" s="202"/>
      <c r="AH28" s="202"/>
      <c r="AI28" s="202"/>
      <c r="AJ28" s="202"/>
      <c r="AK28" s="202"/>
      <c r="AL28" s="202"/>
      <c r="AM28" s="202"/>
      <c r="AN28" s="202"/>
      <c r="AO28" s="202"/>
      <c r="AP28" s="202"/>
      <c r="AQ28" s="202"/>
      <c r="AR28" s="202"/>
      <c r="AS28" s="202"/>
      <c r="AT28" s="202"/>
      <c r="AU28" s="202"/>
      <c r="AV28" s="202"/>
      <c r="AW28" s="202"/>
      <c r="AX28" s="202"/>
      <c r="AY28" s="202"/>
      <c r="AZ28" s="202"/>
    </row>
    <row r="29" spans="2:52" x14ac:dyDescent="0.25">
      <c r="B29" s="202"/>
      <c r="C29" s="211"/>
      <c r="D29" s="210"/>
      <c r="E29" s="241"/>
      <c r="F29" s="208"/>
      <c r="G29" s="202"/>
      <c r="H29" s="211"/>
      <c r="I29" s="214" t="str">
        <f>D6</f>
        <v>Pipeline length</v>
      </c>
      <c r="J29" s="209">
        <f>E6</f>
        <v>40</v>
      </c>
      <c r="K29" s="208" t="str">
        <f>F6</f>
        <v>km</v>
      </c>
      <c r="L29" s="202"/>
      <c r="M29" s="211"/>
      <c r="N29" s="214" t="str">
        <f>Parameters!E474</f>
        <v>Hydrogen transported</v>
      </c>
      <c r="O29" s="209">
        <f>D28*(1-$J$30)</f>
        <v>7493711.1827940242</v>
      </c>
      <c r="P29" s="208" t="str">
        <f>Parameters!F474</f>
        <v>kg / a</v>
      </c>
      <c r="Q29" s="202"/>
      <c r="R29" s="1037" t="str">
        <f>I12</f>
        <v>Hydrogen recovery factor separation (admix)</v>
      </c>
      <c r="S29" s="220">
        <f>IF($F$4="existing",J12,IF($F$4="new",100%,"Add new Scenario"))</f>
        <v>0.8</v>
      </c>
      <c r="T29" s="416"/>
      <c r="U29" s="208"/>
      <c r="V29" s="202"/>
      <c r="W29" s="211"/>
      <c r="X29" s="214" t="str">
        <f>N29</f>
        <v>Hydrogen transported</v>
      </c>
      <c r="Y29" s="416">
        <f>O29*S29</f>
        <v>5994968.9462352199</v>
      </c>
      <c r="Z29" s="208" t="str">
        <f>P29</f>
        <v>kg / a</v>
      </c>
      <c r="AA29" s="202"/>
      <c r="AB29" s="202"/>
      <c r="AC29" s="202"/>
      <c r="AD29" s="202"/>
      <c r="AE29" s="202"/>
      <c r="AF29" s="202"/>
      <c r="AG29" s="202"/>
      <c r="AH29" s="202"/>
      <c r="AI29" s="202"/>
      <c r="AJ29" s="202"/>
      <c r="AK29" s="202"/>
      <c r="AL29" s="202"/>
      <c r="AM29" s="202"/>
      <c r="AN29" s="202"/>
      <c r="AO29" s="202"/>
      <c r="AP29" s="202"/>
      <c r="AQ29" s="202"/>
      <c r="AR29" s="202"/>
      <c r="AS29" s="202"/>
      <c r="AT29" s="202"/>
      <c r="AU29" s="202"/>
      <c r="AV29" s="202"/>
      <c r="AW29" s="202"/>
      <c r="AX29" s="202"/>
      <c r="AY29" s="202"/>
      <c r="AZ29" s="202"/>
    </row>
    <row r="30" spans="2:52" x14ac:dyDescent="0.25">
      <c r="B30" s="202"/>
      <c r="C30" s="211"/>
      <c r="D30" s="210"/>
      <c r="E30" s="241"/>
      <c r="F30" s="208"/>
      <c r="G30" s="202"/>
      <c r="H30" s="211"/>
      <c r="I30" s="214" t="str">
        <f>D7</f>
        <v>Pipeline losses (existing pipeline)</v>
      </c>
      <c r="J30" s="261">
        <f>E7</f>
        <v>0.01</v>
      </c>
      <c r="K30" s="208"/>
      <c r="L30" s="202"/>
      <c r="M30" s="211"/>
      <c r="N30" s="210"/>
      <c r="O30" s="209"/>
      <c r="P30" s="208"/>
      <c r="Q30" s="202"/>
      <c r="R30" s="211"/>
      <c r="S30" s="214"/>
      <c r="T30" s="261"/>
      <c r="U30" s="208"/>
      <c r="V30" s="202"/>
      <c r="W30" s="211"/>
      <c r="X30" s="210"/>
      <c r="Y30" s="416"/>
      <c r="Z30" s="208"/>
      <c r="AA30" s="202"/>
      <c r="AB30" s="202"/>
      <c r="AC30" s="202"/>
      <c r="AD30" s="202"/>
      <c r="AE30" s="202"/>
      <c r="AF30" s="202"/>
      <c r="AG30" s="202"/>
      <c r="AH30" s="202"/>
      <c r="AI30" s="202"/>
      <c r="AJ30" s="202"/>
      <c r="AK30" s="202"/>
      <c r="AL30" s="202"/>
      <c r="AM30" s="202"/>
      <c r="AN30" s="202"/>
      <c r="AO30" s="202"/>
      <c r="AP30" s="202"/>
      <c r="AQ30" s="202"/>
      <c r="AR30" s="202"/>
      <c r="AS30" s="202"/>
      <c r="AT30" s="202"/>
      <c r="AU30" s="202"/>
      <c r="AV30" s="202"/>
      <c r="AW30" s="202"/>
      <c r="AX30" s="202"/>
      <c r="AY30" s="202"/>
      <c r="AZ30" s="202"/>
    </row>
    <row r="31" spans="2:52" x14ac:dyDescent="0.25">
      <c r="B31" s="202"/>
      <c r="C31" s="207"/>
      <c r="D31" s="206"/>
      <c r="E31" s="245"/>
      <c r="F31" s="204"/>
      <c r="G31" s="202"/>
      <c r="H31" s="207"/>
      <c r="I31" s="206"/>
      <c r="J31" s="245"/>
      <c r="K31" s="204"/>
      <c r="L31" s="202"/>
      <c r="M31" s="207"/>
      <c r="N31" s="206"/>
      <c r="O31" s="205"/>
      <c r="P31" s="204"/>
      <c r="Q31" s="202"/>
      <c r="R31" s="207"/>
      <c r="S31" s="206"/>
      <c r="T31" s="245"/>
      <c r="U31" s="204"/>
      <c r="V31" s="202"/>
      <c r="W31" s="207"/>
      <c r="X31" s="206"/>
      <c r="Y31" s="205"/>
      <c r="Z31" s="204"/>
      <c r="AA31" s="202"/>
      <c r="AB31" s="202"/>
      <c r="AC31" s="202"/>
      <c r="AD31" s="202"/>
      <c r="AE31" s="202"/>
      <c r="AF31" s="202"/>
      <c r="AG31" s="202"/>
      <c r="AH31" s="202"/>
      <c r="AI31" s="202"/>
      <c r="AJ31" s="202"/>
      <c r="AK31" s="202"/>
      <c r="AL31" s="202"/>
      <c r="AM31" s="202"/>
      <c r="AN31" s="202"/>
      <c r="AO31" s="202"/>
      <c r="AP31" s="202"/>
      <c r="AQ31" s="202"/>
      <c r="AR31" s="202"/>
      <c r="AS31" s="202"/>
      <c r="AT31" s="202"/>
      <c r="AU31" s="202"/>
      <c r="AV31" s="202"/>
      <c r="AW31" s="202"/>
      <c r="AX31" s="202"/>
      <c r="AY31" s="202"/>
      <c r="AZ31" s="202"/>
    </row>
    <row r="32" spans="2:52" x14ac:dyDescent="0.25">
      <c r="B32" s="202"/>
      <c r="C32" s="202"/>
      <c r="D32" s="202"/>
      <c r="E32" s="202"/>
      <c r="F32" s="202"/>
      <c r="G32" s="202"/>
      <c r="H32" s="202"/>
      <c r="I32" s="202"/>
      <c r="J32" s="202"/>
      <c r="K32" s="202"/>
      <c r="L32" s="202"/>
      <c r="M32" s="202"/>
      <c r="N32" s="202"/>
      <c r="O32" s="202"/>
      <c r="P32" s="202"/>
      <c r="Q32" s="202"/>
      <c r="R32" s="202"/>
      <c r="S32" s="202"/>
      <c r="T32" s="202"/>
      <c r="U32" s="202"/>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c r="AU32" s="202"/>
      <c r="AV32" s="202"/>
      <c r="AW32" s="202"/>
      <c r="AX32" s="202"/>
      <c r="AY32" s="202"/>
      <c r="AZ32" s="202"/>
    </row>
    <row r="33" spans="2:52" x14ac:dyDescent="0.25">
      <c r="B33" s="202"/>
      <c r="C33" s="202"/>
      <c r="D33" s="202"/>
      <c r="E33" s="202"/>
      <c r="F33" s="202"/>
      <c r="G33" s="202"/>
      <c r="H33" s="202"/>
      <c r="I33" s="202"/>
      <c r="J33" s="202"/>
      <c r="K33" s="202"/>
      <c r="L33" s="202"/>
      <c r="M33" s="202"/>
      <c r="N33" s="202"/>
      <c r="O33" s="202"/>
      <c r="P33" s="202"/>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row>
    <row r="34" spans="2:52" ht="21" x14ac:dyDescent="0.35">
      <c r="B34" s="202"/>
      <c r="C34" s="231" t="s">
        <v>877</v>
      </c>
      <c r="D34" s="202"/>
      <c r="E34" s="202"/>
      <c r="F34" s="202"/>
      <c r="G34" s="202"/>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row>
    <row r="35" spans="2:52" x14ac:dyDescent="0.25">
      <c r="B35" s="202"/>
      <c r="C35" s="202"/>
      <c r="D35" s="202"/>
      <c r="E35" s="202"/>
      <c r="F35" s="202"/>
      <c r="G35" s="202"/>
      <c r="H35" s="202"/>
      <c r="I35" s="202"/>
      <c r="J35" s="202"/>
      <c r="K35" s="202"/>
      <c r="L35" s="202"/>
      <c r="M35" s="202"/>
      <c r="N35" s="202"/>
      <c r="O35" s="202"/>
      <c r="P35" s="202"/>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row>
    <row r="36" spans="2:52" x14ac:dyDescent="0.25">
      <c r="B36" s="202"/>
      <c r="C36" s="202"/>
      <c r="D36" s="202"/>
      <c r="E36" s="202"/>
      <c r="F36" s="202"/>
      <c r="G36" s="202"/>
      <c r="H36" s="202"/>
      <c r="I36" s="202"/>
      <c r="J36" s="202"/>
      <c r="K36" s="202"/>
      <c r="L36" s="202"/>
      <c r="M36" s="202"/>
      <c r="N36" s="202"/>
      <c r="O36" s="202"/>
      <c r="P36" s="202"/>
      <c r="Q36" s="202"/>
      <c r="R36" s="202"/>
      <c r="S36" s="202"/>
      <c r="T36" s="202"/>
      <c r="U36" s="202"/>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AX36" s="202"/>
      <c r="AY36" s="202"/>
      <c r="AZ36" s="202"/>
    </row>
    <row r="37" spans="2:52" x14ac:dyDescent="0.25">
      <c r="B37" s="202"/>
      <c r="C37" s="228" t="s">
        <v>878</v>
      </c>
      <c r="D37" s="227"/>
      <c r="E37" s="227"/>
      <c r="F37" s="226"/>
      <c r="G37" s="202"/>
      <c r="H37" s="228" t="s">
        <v>9</v>
      </c>
      <c r="I37" s="227"/>
      <c r="J37" s="227"/>
      <c r="K37" s="226"/>
      <c r="L37" s="202"/>
      <c r="M37" s="202"/>
      <c r="N37" s="202"/>
      <c r="O37" s="202"/>
      <c r="P37" s="202"/>
      <c r="Q37" s="202"/>
      <c r="R37" s="202"/>
      <c r="S37" s="202"/>
      <c r="T37" s="202"/>
      <c r="U37" s="202"/>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row>
    <row r="38" spans="2:52" x14ac:dyDescent="0.25">
      <c r="B38" s="202"/>
      <c r="C38" s="202"/>
      <c r="D38" s="202"/>
      <c r="E38" s="202"/>
      <c r="F38" s="202"/>
      <c r="G38" s="202"/>
      <c r="H38" s="202"/>
      <c r="I38" s="202"/>
      <c r="J38" s="202"/>
      <c r="K38" s="202"/>
      <c r="L38" s="202"/>
      <c r="M38" s="202"/>
      <c r="N38" s="202"/>
      <c r="O38" s="202"/>
      <c r="P38" s="202"/>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row>
    <row r="39" spans="2:52" ht="18" x14ac:dyDescent="0.35">
      <c r="B39" s="202"/>
      <c r="C39" s="411" t="str">
        <f>Parameters!E471</f>
        <v>Capex existing pipeline</v>
      </c>
      <c r="D39" s="424">
        <f>IF($F$4="new",Parameters!$G$447,0)</f>
        <v>0</v>
      </c>
      <c r="E39" s="425" t="s">
        <v>587</v>
      </c>
      <c r="F39" s="223"/>
      <c r="G39" s="202"/>
      <c r="H39" s="411" t="str">
        <f>C39</f>
        <v>Capex existing pipeline</v>
      </c>
      <c r="I39" s="426">
        <f>IF($D$28=0,0,D39*E6)</f>
        <v>0</v>
      </c>
      <c r="J39" s="425" t="s">
        <v>880</v>
      </c>
      <c r="K39" s="223"/>
      <c r="L39" s="202"/>
      <c r="M39" s="202"/>
      <c r="N39" s="202"/>
      <c r="O39" s="202"/>
      <c r="P39" s="202"/>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row>
    <row r="40" spans="2:52" x14ac:dyDescent="0.25">
      <c r="B40" s="202"/>
      <c r="C40" s="211" t="str">
        <f>Parameters!E472</f>
        <v>Opex existing pipeline</v>
      </c>
      <c r="D40" s="302">
        <f>Parameters!G449</f>
        <v>0.02</v>
      </c>
      <c r="E40" s="210"/>
      <c r="F40" s="208"/>
      <c r="G40" s="202"/>
      <c r="H40" s="211" t="str">
        <f>C40</f>
        <v>Opex existing pipeline</v>
      </c>
      <c r="I40" s="297">
        <f>IF($D$28=0,0,I39*D40)</f>
        <v>0</v>
      </c>
      <c r="J40" s="210" t="s">
        <v>862</v>
      </c>
      <c r="K40" s="208"/>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row>
    <row r="41" spans="2:52" x14ac:dyDescent="0.25">
      <c r="B41" s="202"/>
      <c r="C41" s="211" t="str">
        <f>Parameters!E448</f>
        <v>Opex existing pipeline</v>
      </c>
      <c r="D41" s="296">
        <f>Parameters!$G$447*E6*D40</f>
        <v>545991.62754050805</v>
      </c>
      <c r="E41" s="241" t="str">
        <f>Parameters!F448</f>
        <v>EUR/a</v>
      </c>
      <c r="F41" s="208"/>
      <c r="G41" s="202"/>
      <c r="H41" s="211" t="str">
        <f>C41</f>
        <v>Opex existing pipeline</v>
      </c>
      <c r="I41" s="297">
        <f>IF($D$28=0,0,D41)</f>
        <v>545991.62754050805</v>
      </c>
      <c r="J41" s="241" t="str">
        <f t="shared" ref="J41" si="3">E41</f>
        <v>EUR/a</v>
      </c>
      <c r="K41" s="208"/>
      <c r="L41" s="202"/>
      <c r="M41" s="202"/>
      <c r="N41" s="202"/>
      <c r="O41" s="202"/>
      <c r="P41" s="202"/>
      <c r="Q41" s="202"/>
      <c r="R41" s="202"/>
      <c r="S41" s="202"/>
      <c r="T41" s="202"/>
      <c r="U41" s="202"/>
      <c r="V41" s="202"/>
      <c r="W41" s="202"/>
      <c r="X41" s="202"/>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c r="AU41" s="202"/>
      <c r="AV41" s="202"/>
      <c r="AW41" s="202"/>
      <c r="AX41" s="202"/>
      <c r="AY41" s="202"/>
      <c r="AZ41" s="202"/>
    </row>
    <row r="42" spans="2:52" x14ac:dyDescent="0.25">
      <c r="B42" s="202"/>
      <c r="C42" s="211"/>
      <c r="D42" s="296"/>
      <c r="E42" s="241"/>
      <c r="F42" s="208"/>
      <c r="G42" s="202"/>
      <c r="H42" s="211"/>
      <c r="I42" s="297"/>
      <c r="J42" s="241"/>
      <c r="K42" s="208"/>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c r="AU42" s="202"/>
      <c r="AV42" s="202"/>
      <c r="AW42" s="202"/>
      <c r="AX42" s="202"/>
      <c r="AY42" s="202"/>
      <c r="AZ42" s="202"/>
    </row>
    <row r="43" spans="2:52" x14ac:dyDescent="0.25">
      <c r="B43" s="202"/>
      <c r="C43" s="211" t="str">
        <f>Parameters!E464</f>
        <v>Relative cost of hydrogen separation (admix)</v>
      </c>
      <c r="D43" s="296">
        <f>IF($F$4="existing",Parameters!$G$464,IF($F$4="new",0,"Add new Scenario"))</f>
        <v>0.24179369590079999</v>
      </c>
      <c r="E43" s="241" t="str">
        <f>Parameters!F464</f>
        <v>EUR/kg H2</v>
      </c>
      <c r="F43" s="208"/>
      <c r="G43" s="202"/>
      <c r="H43" s="211" t="str">
        <f>Parameters!E473</f>
        <v>Cost of hydrogen extraction (admix)</v>
      </c>
      <c r="I43" s="297">
        <f>D43*Y29</f>
        <v>1449545.698320738</v>
      </c>
      <c r="J43" s="241" t="str">
        <f>Parameters!F473</f>
        <v>EUR/a</v>
      </c>
      <c r="K43" s="208"/>
      <c r="L43" s="202"/>
      <c r="M43" s="202"/>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row>
    <row r="44" spans="2:52" x14ac:dyDescent="0.25">
      <c r="B44" s="202"/>
      <c r="C44" s="211"/>
      <c r="D44" s="297"/>
      <c r="E44" s="241"/>
      <c r="F44" s="208"/>
      <c r="G44" s="202"/>
      <c r="H44" s="211"/>
      <c r="I44" s="297"/>
      <c r="J44" s="241"/>
      <c r="K44" s="208"/>
      <c r="L44" s="202"/>
      <c r="M44" s="202"/>
      <c r="N44" s="202"/>
      <c r="O44" s="202"/>
      <c r="P44" s="202"/>
      <c r="Q44" s="202"/>
      <c r="R44" s="202"/>
      <c r="S44" s="202"/>
      <c r="T44" s="202"/>
      <c r="U44" s="202"/>
      <c r="V44" s="202"/>
      <c r="W44" s="202"/>
      <c r="X44" s="202"/>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row>
    <row r="45" spans="2:52" x14ac:dyDescent="0.25">
      <c r="B45" s="202"/>
      <c r="C45" s="211" t="str">
        <f>Parameters!E457</f>
        <v>Costs trenching to beach</v>
      </c>
      <c r="D45" s="297">
        <f>Parameters!G457</f>
        <v>7000000</v>
      </c>
      <c r="E45" s="241" t="str">
        <f>Parameters!F457</f>
        <v>EUR / crossing</v>
      </c>
      <c r="F45" s="208"/>
      <c r="G45" s="202"/>
      <c r="H45" s="211" t="str">
        <f>C45</f>
        <v>Costs trenching to beach</v>
      </c>
      <c r="I45" s="297">
        <f t="shared" ref="I45:I51" si="4">D45*E13</f>
        <v>0</v>
      </c>
      <c r="J45" s="241" t="s">
        <v>562</v>
      </c>
      <c r="K45" s="208"/>
      <c r="L45" s="202"/>
      <c r="M45" s="202"/>
      <c r="N45" s="202"/>
      <c r="O45" s="202"/>
      <c r="P45" s="202"/>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row>
    <row r="46" spans="2:52" x14ac:dyDescent="0.25">
      <c r="B46" s="202"/>
      <c r="C46" s="211" t="str">
        <f>Parameters!E458</f>
        <v>Costs onshore - road</v>
      </c>
      <c r="D46" s="297">
        <f>Parameters!G458</f>
        <v>4000000</v>
      </c>
      <c r="E46" s="241" t="str">
        <f>Parameters!F458</f>
        <v>EUR / crossing</v>
      </c>
      <c r="F46" s="208"/>
      <c r="G46" s="202"/>
      <c r="H46" s="211" t="str">
        <f t="shared" ref="H46:H51" si="5">C46</f>
        <v>Costs onshore - road</v>
      </c>
      <c r="I46" s="297">
        <f t="shared" si="4"/>
        <v>0</v>
      </c>
      <c r="J46" s="241" t="s">
        <v>562</v>
      </c>
      <c r="K46" s="208"/>
      <c r="L46" s="202"/>
      <c r="M46" s="202"/>
      <c r="N46" s="202"/>
      <c r="O46" s="202"/>
      <c r="P46" s="202"/>
      <c r="Q46" s="202"/>
      <c r="R46" s="202"/>
      <c r="S46" s="202"/>
      <c r="T46" s="202"/>
      <c r="U46" s="202"/>
      <c r="V46" s="202"/>
      <c r="W46" s="202"/>
      <c r="X46" s="202"/>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row>
    <row r="47" spans="2:52" x14ac:dyDescent="0.25">
      <c r="B47" s="202"/>
      <c r="C47" s="211" t="str">
        <f>Parameters!E459</f>
        <v>Costs onshore - pipeline</v>
      </c>
      <c r="D47" s="297">
        <f>Parameters!G459</f>
        <v>4000000</v>
      </c>
      <c r="E47" s="241" t="str">
        <f>Parameters!F459</f>
        <v>EUR / crossing</v>
      </c>
      <c r="F47" s="208"/>
      <c r="G47" s="202"/>
      <c r="H47" s="211" t="str">
        <f t="shared" si="5"/>
        <v>Costs onshore - pipeline</v>
      </c>
      <c r="I47" s="297">
        <f t="shared" si="4"/>
        <v>0</v>
      </c>
      <c r="J47" s="241" t="s">
        <v>562</v>
      </c>
      <c r="K47" s="208"/>
      <c r="L47" s="202"/>
      <c r="M47" s="202"/>
      <c r="N47" s="202"/>
      <c r="O47" s="202"/>
      <c r="P47" s="202"/>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2"/>
      <c r="AZ47" s="202"/>
    </row>
    <row r="48" spans="2:52" x14ac:dyDescent="0.25">
      <c r="B48" s="202"/>
      <c r="C48" s="211" t="str">
        <f>Parameters!E460</f>
        <v>Costs onshore - other</v>
      </c>
      <c r="D48" s="297">
        <f>Parameters!G460</f>
        <v>4000000</v>
      </c>
      <c r="E48" s="241" t="str">
        <f>Parameters!F460</f>
        <v>EUR / crossing</v>
      </c>
      <c r="F48" s="208"/>
      <c r="G48" s="202"/>
      <c r="H48" s="211" t="str">
        <f t="shared" si="5"/>
        <v>Costs onshore - other</v>
      </c>
      <c r="I48" s="297">
        <f t="shared" si="4"/>
        <v>0</v>
      </c>
      <c r="J48" s="241" t="s">
        <v>562</v>
      </c>
      <c r="K48" s="208"/>
      <c r="L48" s="202"/>
      <c r="M48" s="202"/>
      <c r="N48" s="202"/>
      <c r="O48" s="202"/>
      <c r="P48" s="202"/>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row>
    <row r="49" spans="2:52" x14ac:dyDescent="0.25">
      <c r="B49" s="202"/>
      <c r="C49" s="211" t="str">
        <f>Parameters!E461</f>
        <v>Costs offshore - pipeline</v>
      </c>
      <c r="D49" s="297">
        <f>Parameters!G461</f>
        <v>6000000</v>
      </c>
      <c r="E49" s="241" t="str">
        <f>Parameters!F461</f>
        <v>EUR / crossing</v>
      </c>
      <c r="F49" s="208"/>
      <c r="G49" s="202"/>
      <c r="H49" s="211" t="str">
        <f t="shared" si="5"/>
        <v>Costs offshore - pipeline</v>
      </c>
      <c r="I49" s="297">
        <f t="shared" si="4"/>
        <v>0</v>
      </c>
      <c r="J49" s="241" t="s">
        <v>562</v>
      </c>
      <c r="K49" s="208"/>
      <c r="L49" s="202"/>
      <c r="M49" s="202"/>
      <c r="N49" s="202"/>
      <c r="O49" s="202"/>
      <c r="P49" s="202"/>
      <c r="Q49" s="202"/>
      <c r="R49" s="202"/>
      <c r="S49" s="202"/>
      <c r="T49" s="202"/>
      <c r="U49" s="202"/>
      <c r="V49" s="202"/>
      <c r="W49" s="202"/>
      <c r="X49" s="202"/>
      <c r="Y49" s="202"/>
      <c r="Z49" s="202"/>
      <c r="AA49" s="202"/>
      <c r="AB49" s="202"/>
      <c r="AC49" s="202"/>
      <c r="AD49" s="202"/>
      <c r="AE49" s="202"/>
      <c r="AF49" s="202"/>
      <c r="AG49" s="202"/>
      <c r="AH49" s="202"/>
      <c r="AI49" s="202"/>
      <c r="AJ49" s="202"/>
      <c r="AK49" s="202"/>
      <c r="AL49" s="202"/>
      <c r="AM49" s="202"/>
      <c r="AN49" s="202"/>
      <c r="AO49" s="202"/>
      <c r="AP49" s="202"/>
      <c r="AQ49" s="202"/>
      <c r="AR49" s="202"/>
      <c r="AS49" s="202"/>
      <c r="AT49" s="202"/>
      <c r="AU49" s="202"/>
      <c r="AV49" s="202"/>
      <c r="AW49" s="202"/>
      <c r="AX49" s="202"/>
      <c r="AY49" s="202"/>
      <c r="AZ49" s="202"/>
    </row>
    <row r="50" spans="2:52" x14ac:dyDescent="0.25">
      <c r="B50" s="202"/>
      <c r="C50" s="211" t="str">
        <f>Parameters!E462</f>
        <v>Costs submarine cables</v>
      </c>
      <c r="D50" s="297">
        <f>Parameters!G462</f>
        <v>6000000</v>
      </c>
      <c r="E50" s="241" t="str">
        <f>Parameters!F462</f>
        <v>EUR / crossing</v>
      </c>
      <c r="F50" s="208"/>
      <c r="G50" s="202"/>
      <c r="H50" s="211" t="str">
        <f t="shared" si="5"/>
        <v>Costs submarine cables</v>
      </c>
      <c r="I50" s="297">
        <f t="shared" si="4"/>
        <v>0</v>
      </c>
      <c r="J50" s="241" t="s">
        <v>562</v>
      </c>
      <c r="K50" s="208"/>
      <c r="L50" s="202"/>
      <c r="M50" s="202"/>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c r="AU50" s="202"/>
      <c r="AV50" s="202"/>
      <c r="AW50" s="202"/>
      <c r="AX50" s="202"/>
      <c r="AY50" s="202"/>
      <c r="AZ50" s="202"/>
    </row>
    <row r="51" spans="2:52" x14ac:dyDescent="0.25">
      <c r="B51" s="202"/>
      <c r="C51" s="211" t="str">
        <f>Parameters!E463</f>
        <v>Costs offshore – shipping lane</v>
      </c>
      <c r="D51" s="297">
        <f>Parameters!G463</f>
        <v>11000000</v>
      </c>
      <c r="E51" s="241" t="str">
        <f>Parameters!F463</f>
        <v>EUR / crossing</v>
      </c>
      <c r="F51" s="208"/>
      <c r="G51" s="202"/>
      <c r="H51" s="211" t="str">
        <f t="shared" si="5"/>
        <v>Costs offshore – shipping lane</v>
      </c>
      <c r="I51" s="297">
        <f t="shared" si="4"/>
        <v>0</v>
      </c>
      <c r="J51" s="241" t="s">
        <v>562</v>
      </c>
      <c r="K51" s="208"/>
      <c r="L51" s="202"/>
      <c r="M51" s="202"/>
      <c r="N51" s="202"/>
      <c r="O51" s="202"/>
      <c r="P51" s="202"/>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c r="AU51" s="202"/>
      <c r="AV51" s="202"/>
      <c r="AW51" s="202"/>
      <c r="AX51" s="202"/>
      <c r="AY51" s="202"/>
      <c r="AZ51" s="202"/>
    </row>
    <row r="52" spans="2:52" x14ac:dyDescent="0.25">
      <c r="B52" s="202"/>
      <c r="C52" s="211"/>
      <c r="D52" s="297"/>
      <c r="E52" s="241"/>
      <c r="F52" s="208"/>
      <c r="G52" s="202"/>
      <c r="H52" s="211"/>
      <c r="I52" s="297"/>
      <c r="J52" s="241"/>
      <c r="K52" s="208"/>
      <c r="L52" s="202"/>
      <c r="M52" s="202"/>
      <c r="N52" s="202"/>
      <c r="O52" s="202"/>
      <c r="P52" s="202"/>
      <c r="Q52" s="202"/>
      <c r="R52" s="202"/>
      <c r="S52" s="202"/>
      <c r="T52" s="202"/>
      <c r="U52" s="202"/>
      <c r="V52" s="202"/>
      <c r="W52" s="202"/>
      <c r="X52" s="202"/>
      <c r="Y52" s="202"/>
      <c r="Z52" s="202"/>
      <c r="AA52" s="202"/>
      <c r="AB52" s="202"/>
      <c r="AC52" s="202"/>
      <c r="AD52" s="202"/>
      <c r="AE52" s="202"/>
      <c r="AF52" s="202"/>
      <c r="AG52" s="202"/>
      <c r="AH52" s="202"/>
      <c r="AI52" s="202"/>
      <c r="AJ52" s="202"/>
      <c r="AK52" s="202"/>
      <c r="AL52" s="202"/>
      <c r="AM52" s="202"/>
      <c r="AN52" s="202"/>
      <c r="AO52" s="202"/>
      <c r="AP52" s="202"/>
      <c r="AQ52" s="202"/>
      <c r="AR52" s="202"/>
      <c r="AS52" s="202"/>
      <c r="AT52" s="202"/>
      <c r="AU52" s="202"/>
      <c r="AV52" s="202"/>
      <c r="AW52" s="202"/>
      <c r="AX52" s="202"/>
      <c r="AY52" s="202"/>
      <c r="AZ52" s="202"/>
    </row>
    <row r="53" spans="2:52" x14ac:dyDescent="0.25">
      <c r="B53" s="202"/>
      <c r="C53" s="211"/>
      <c r="D53" s="297"/>
      <c r="E53" s="241"/>
      <c r="F53" s="208"/>
      <c r="G53" s="202"/>
      <c r="H53" s="211"/>
      <c r="I53" s="297"/>
      <c r="J53" s="241"/>
      <c r="K53" s="208"/>
      <c r="L53" s="202"/>
      <c r="M53" s="202"/>
      <c r="N53" s="202"/>
      <c r="O53" s="202"/>
      <c r="P53" s="202"/>
      <c r="Q53" s="202"/>
      <c r="R53" s="202"/>
      <c r="S53" s="202"/>
      <c r="T53" s="202"/>
      <c r="U53" s="202"/>
      <c r="V53" s="202"/>
      <c r="W53" s="202"/>
      <c r="X53" s="202"/>
      <c r="Y53" s="202"/>
      <c r="Z53" s="202"/>
      <c r="AA53" s="202"/>
      <c r="AB53" s="202"/>
      <c r="AC53" s="202"/>
      <c r="AD53" s="202"/>
      <c r="AE53" s="202"/>
      <c r="AF53" s="202"/>
      <c r="AG53" s="202"/>
      <c r="AH53" s="202"/>
      <c r="AI53" s="202"/>
      <c r="AJ53" s="202"/>
      <c r="AK53" s="202"/>
      <c r="AL53" s="202"/>
      <c r="AM53" s="202"/>
      <c r="AN53" s="202"/>
      <c r="AO53" s="202"/>
      <c r="AP53" s="202"/>
      <c r="AQ53" s="202"/>
      <c r="AR53" s="202"/>
      <c r="AS53" s="202"/>
      <c r="AT53" s="202"/>
      <c r="AU53" s="202"/>
      <c r="AV53" s="202"/>
      <c r="AW53" s="202"/>
      <c r="AX53" s="202"/>
      <c r="AY53" s="202"/>
      <c r="AZ53" s="202"/>
    </row>
    <row r="54" spans="2:52" x14ac:dyDescent="0.25">
      <c r="B54" s="202"/>
      <c r="C54" s="207"/>
      <c r="D54" s="206"/>
      <c r="E54" s="245"/>
      <c r="F54" s="204"/>
      <c r="G54" s="202"/>
      <c r="H54" s="207"/>
      <c r="I54" s="206"/>
      <c r="J54" s="245"/>
      <c r="K54" s="204"/>
      <c r="L54" s="202"/>
      <c r="M54" s="202"/>
      <c r="N54" s="202"/>
      <c r="O54" s="202"/>
      <c r="P54" s="202"/>
      <c r="Q54" s="202"/>
      <c r="R54" s="202"/>
      <c r="S54" s="202"/>
      <c r="T54" s="202"/>
      <c r="U54" s="202"/>
      <c r="V54" s="202"/>
      <c r="W54" s="202"/>
      <c r="X54" s="202"/>
      <c r="Y54" s="202"/>
      <c r="Z54" s="202"/>
      <c r="AA54" s="202"/>
      <c r="AB54" s="202"/>
      <c r="AC54" s="202"/>
      <c r="AD54" s="202"/>
      <c r="AE54" s="202"/>
      <c r="AF54" s="202"/>
      <c r="AG54" s="202"/>
      <c r="AH54" s="202"/>
      <c r="AI54" s="202"/>
      <c r="AJ54" s="202"/>
      <c r="AK54" s="202"/>
      <c r="AL54" s="202"/>
      <c r="AM54" s="202"/>
      <c r="AN54" s="202"/>
      <c r="AO54" s="202"/>
      <c r="AP54" s="202"/>
      <c r="AQ54" s="202"/>
      <c r="AR54" s="202"/>
      <c r="AS54" s="202"/>
      <c r="AT54" s="202"/>
      <c r="AU54" s="202"/>
      <c r="AV54" s="202"/>
      <c r="AW54" s="202"/>
      <c r="AX54" s="202"/>
      <c r="AY54" s="202"/>
      <c r="AZ54" s="202"/>
    </row>
    <row r="55" spans="2:52" x14ac:dyDescent="0.25">
      <c r="B55" s="202"/>
      <c r="C55" s="202"/>
      <c r="D55" s="202"/>
      <c r="E55" s="202"/>
      <c r="F55" s="202"/>
      <c r="G55" s="202"/>
      <c r="H55" s="202"/>
      <c r="I55" s="202"/>
      <c r="J55" s="202"/>
      <c r="K55" s="202"/>
      <c r="L55" s="202"/>
      <c r="M55" s="202"/>
      <c r="N55" s="202"/>
      <c r="O55" s="202"/>
      <c r="P55" s="202"/>
      <c r="Q55" s="202"/>
      <c r="R55" s="202"/>
      <c r="S55" s="202"/>
      <c r="T55" s="202"/>
      <c r="U55" s="202"/>
      <c r="V55" s="202"/>
      <c r="W55" s="202"/>
      <c r="X55" s="202"/>
      <c r="Y55" s="202"/>
      <c r="Z55" s="202"/>
      <c r="AA55" s="202"/>
      <c r="AB55" s="202"/>
      <c r="AC55" s="202"/>
      <c r="AD55" s="202"/>
      <c r="AE55" s="202"/>
      <c r="AF55" s="202"/>
      <c r="AG55" s="202"/>
      <c r="AH55" s="202"/>
      <c r="AI55" s="202"/>
      <c r="AJ55" s="202"/>
      <c r="AK55" s="202"/>
      <c r="AL55" s="202"/>
      <c r="AM55" s="202"/>
      <c r="AN55" s="202"/>
      <c r="AO55" s="202"/>
      <c r="AP55" s="202"/>
      <c r="AQ55" s="202"/>
      <c r="AR55" s="202"/>
      <c r="AS55" s="202"/>
      <c r="AT55" s="202"/>
      <c r="AU55" s="202"/>
      <c r="AV55" s="202"/>
      <c r="AW55" s="202"/>
      <c r="AX55" s="202"/>
      <c r="AY55" s="202"/>
      <c r="AZ55" s="202"/>
    </row>
    <row r="56" spans="2:52" x14ac:dyDescent="0.25">
      <c r="B56" s="202"/>
      <c r="C56" s="202"/>
      <c r="D56" s="202"/>
      <c r="E56" s="202"/>
      <c r="F56" s="202"/>
      <c r="G56" s="202"/>
      <c r="H56" s="202"/>
      <c r="I56" s="202"/>
      <c r="J56" s="202"/>
      <c r="K56" s="202"/>
      <c r="L56" s="202"/>
      <c r="M56" s="202"/>
      <c r="N56" s="202"/>
      <c r="O56" s="202"/>
      <c r="P56" s="202"/>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row>
    <row r="57" spans="2:52" x14ac:dyDescent="0.25">
      <c r="B57" s="202"/>
      <c r="C57" s="202"/>
      <c r="D57" s="202"/>
      <c r="E57" s="202"/>
      <c r="F57" s="202"/>
      <c r="G57" s="202"/>
      <c r="H57" s="202"/>
      <c r="I57" s="202"/>
      <c r="J57" s="202"/>
      <c r="K57" s="202"/>
      <c r="L57" s="202"/>
      <c r="M57" s="202"/>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row>
    <row r="58" spans="2:52" x14ac:dyDescent="0.25">
      <c r="B58" s="202"/>
      <c r="C58" s="202"/>
      <c r="D58" s="202"/>
      <c r="E58" s="202"/>
      <c r="F58" s="202"/>
      <c r="G58" s="202"/>
      <c r="H58" s="202"/>
      <c r="I58" s="202"/>
      <c r="J58" s="202"/>
      <c r="K58" s="202"/>
      <c r="L58" s="202"/>
      <c r="M58" s="202"/>
      <c r="N58" s="202"/>
      <c r="O58" s="202"/>
      <c r="P58" s="202"/>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row>
    <row r="59" spans="2:52" x14ac:dyDescent="0.25">
      <c r="B59" s="202"/>
      <c r="C59" s="202"/>
      <c r="D59" s="202"/>
      <c r="E59" s="202"/>
      <c r="F59" s="202"/>
      <c r="G59" s="202"/>
      <c r="H59" s="202"/>
      <c r="I59" s="202"/>
      <c r="J59" s="202"/>
      <c r="K59" s="202"/>
      <c r="L59" s="202"/>
      <c r="M59" s="202"/>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row>
    <row r="60" spans="2:52" x14ac:dyDescent="0.25">
      <c r="B60" s="202"/>
      <c r="C60" s="202"/>
      <c r="D60" s="202"/>
      <c r="E60" s="202"/>
      <c r="F60" s="202"/>
      <c r="G60" s="202"/>
      <c r="H60" s="202"/>
      <c r="I60" s="202"/>
      <c r="J60" s="202"/>
      <c r="K60" s="202"/>
      <c r="L60" s="202"/>
      <c r="M60" s="202"/>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row>
    <row r="61" spans="2:52" x14ac:dyDescent="0.25">
      <c r="B61" s="202"/>
      <c r="C61" s="202"/>
      <c r="D61" s="202"/>
      <c r="E61" s="202"/>
      <c r="F61" s="202"/>
      <c r="G61" s="202"/>
      <c r="H61" s="202"/>
      <c r="I61" s="202"/>
      <c r="J61" s="202"/>
      <c r="K61" s="202"/>
      <c r="L61" s="202"/>
      <c r="M61" s="202"/>
      <c r="N61" s="202"/>
      <c r="O61" s="202"/>
      <c r="P61" s="202"/>
      <c r="Q61" s="202"/>
      <c r="R61" s="202"/>
      <c r="S61" s="202"/>
      <c r="T61" s="202"/>
      <c r="U61" s="202"/>
      <c r="V61" s="202"/>
      <c r="W61" s="202"/>
      <c r="X61" s="202"/>
      <c r="Y61" s="202"/>
      <c r="Z61" s="202"/>
      <c r="AA61" s="202"/>
      <c r="AB61" s="202"/>
      <c r="AC61" s="202"/>
      <c r="AD61" s="202"/>
      <c r="AE61" s="202"/>
      <c r="AF61" s="202"/>
      <c r="AG61" s="202"/>
      <c r="AH61" s="202"/>
      <c r="AI61" s="202"/>
      <c r="AJ61" s="202"/>
      <c r="AK61" s="202"/>
      <c r="AL61" s="202"/>
      <c r="AM61" s="202"/>
      <c r="AN61" s="202"/>
      <c r="AO61" s="202"/>
      <c r="AP61" s="202"/>
      <c r="AQ61" s="202"/>
      <c r="AR61" s="202"/>
      <c r="AS61" s="202"/>
      <c r="AT61" s="202"/>
      <c r="AU61" s="202"/>
      <c r="AV61" s="202"/>
      <c r="AW61" s="202"/>
      <c r="AX61" s="202"/>
      <c r="AY61" s="202"/>
      <c r="AZ61" s="202"/>
    </row>
    <row r="62" spans="2:52" x14ac:dyDescent="0.25">
      <c r="B62" s="202"/>
      <c r="C62" s="202"/>
      <c r="D62" s="202"/>
      <c r="E62" s="202"/>
      <c r="F62" s="202"/>
      <c r="G62" s="202"/>
      <c r="H62" s="202"/>
      <c r="I62" s="202"/>
      <c r="J62" s="202"/>
      <c r="K62" s="202"/>
      <c r="L62" s="202"/>
      <c r="M62" s="202"/>
      <c r="N62" s="202"/>
      <c r="O62" s="202"/>
      <c r="P62" s="202"/>
      <c r="Q62" s="202"/>
      <c r="R62" s="202"/>
      <c r="S62" s="202"/>
      <c r="T62" s="202"/>
      <c r="U62" s="202"/>
      <c r="V62" s="202"/>
      <c r="W62" s="202"/>
      <c r="X62" s="202"/>
      <c r="Y62" s="202"/>
      <c r="Z62" s="202"/>
      <c r="AA62" s="202"/>
      <c r="AB62" s="202"/>
      <c r="AC62" s="202"/>
      <c r="AD62" s="202"/>
      <c r="AE62" s="202"/>
      <c r="AF62" s="202"/>
      <c r="AG62" s="202"/>
      <c r="AH62" s="202"/>
      <c r="AI62" s="202"/>
      <c r="AJ62" s="202"/>
      <c r="AK62" s="202"/>
      <c r="AL62" s="202"/>
      <c r="AM62" s="202"/>
      <c r="AN62" s="202"/>
      <c r="AO62" s="202"/>
      <c r="AP62" s="202"/>
      <c r="AQ62" s="202"/>
      <c r="AR62" s="202"/>
      <c r="AS62" s="202"/>
      <c r="AT62" s="202"/>
      <c r="AU62" s="202"/>
      <c r="AV62" s="202"/>
      <c r="AW62" s="202"/>
      <c r="AX62" s="202"/>
      <c r="AY62" s="202"/>
      <c r="AZ62" s="202"/>
    </row>
    <row r="63" spans="2:52" x14ac:dyDescent="0.25">
      <c r="B63" s="202"/>
      <c r="C63" s="202"/>
      <c r="D63" s="202"/>
      <c r="E63" s="202"/>
      <c r="F63" s="202"/>
      <c r="G63" s="202"/>
      <c r="H63" s="202"/>
      <c r="I63" s="202"/>
      <c r="J63" s="202"/>
      <c r="K63" s="202"/>
      <c r="L63" s="202"/>
      <c r="M63" s="202"/>
      <c r="N63" s="202"/>
      <c r="O63" s="202"/>
      <c r="P63" s="202"/>
      <c r="Q63" s="202"/>
      <c r="R63" s="202"/>
      <c r="S63" s="202"/>
      <c r="T63" s="202"/>
      <c r="U63" s="202"/>
      <c r="V63" s="202"/>
      <c r="W63" s="202"/>
      <c r="X63" s="202"/>
      <c r="Y63" s="202"/>
      <c r="Z63" s="202"/>
      <c r="AA63" s="202"/>
      <c r="AB63" s="202"/>
      <c r="AC63" s="202"/>
      <c r="AD63" s="202"/>
      <c r="AE63" s="202"/>
      <c r="AF63" s="202"/>
      <c r="AG63" s="202"/>
      <c r="AH63" s="202"/>
      <c r="AI63" s="202"/>
      <c r="AJ63" s="202"/>
      <c r="AK63" s="202"/>
      <c r="AL63" s="202"/>
      <c r="AM63" s="202"/>
      <c r="AN63" s="202"/>
      <c r="AO63" s="202"/>
      <c r="AP63" s="202"/>
      <c r="AQ63" s="202"/>
      <c r="AR63" s="202"/>
      <c r="AS63" s="202"/>
      <c r="AT63" s="202"/>
      <c r="AU63" s="202"/>
      <c r="AV63" s="202"/>
      <c r="AW63" s="202"/>
      <c r="AX63" s="202"/>
      <c r="AY63" s="202"/>
      <c r="AZ63" s="202"/>
    </row>
    <row r="64" spans="2:52" x14ac:dyDescent="0.25">
      <c r="B64" s="202"/>
      <c r="C64" s="202"/>
      <c r="D64" s="202"/>
      <c r="E64" s="202"/>
      <c r="F64" s="202"/>
      <c r="G64" s="202"/>
      <c r="H64" s="202"/>
      <c r="I64" s="202"/>
      <c r="J64" s="202"/>
      <c r="K64" s="202"/>
      <c r="L64" s="202"/>
      <c r="M64" s="202"/>
      <c r="N64" s="202"/>
      <c r="O64" s="202"/>
      <c r="P64" s="202"/>
      <c r="Q64" s="202"/>
      <c r="R64" s="202"/>
      <c r="S64" s="202"/>
      <c r="T64" s="202"/>
      <c r="U64" s="202"/>
      <c r="V64" s="202"/>
      <c r="W64" s="202"/>
      <c r="X64" s="202"/>
      <c r="Y64" s="202"/>
      <c r="Z64" s="202"/>
      <c r="AA64" s="202"/>
      <c r="AB64" s="202"/>
      <c r="AC64" s="202"/>
      <c r="AD64" s="202"/>
      <c r="AE64" s="202"/>
      <c r="AF64" s="202"/>
      <c r="AG64" s="202"/>
      <c r="AH64" s="202"/>
      <c r="AI64" s="202"/>
      <c r="AJ64" s="202"/>
      <c r="AK64" s="202"/>
      <c r="AL64" s="202"/>
      <c r="AM64" s="202"/>
      <c r="AN64" s="202"/>
      <c r="AO64" s="202"/>
      <c r="AP64" s="202"/>
      <c r="AQ64" s="202"/>
      <c r="AR64" s="202"/>
      <c r="AS64" s="202"/>
      <c r="AT64" s="202"/>
      <c r="AU64" s="202"/>
      <c r="AV64" s="202"/>
      <c r="AW64" s="202"/>
      <c r="AX64" s="202"/>
      <c r="AY64" s="202"/>
      <c r="AZ64" s="202"/>
    </row>
  </sheetData>
  <pageMargins left="0.7" right="0.7" top="0.75" bottom="0.75" header="0.3" footer="0.3"/>
  <pageSetup paperSize="9" orientation="portrait" horizontalDpi="4294967295" verticalDpi="4294967295"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A1:AO595"/>
  <sheetViews>
    <sheetView zoomScale="80" zoomScaleNormal="80" workbookViewId="0">
      <selection activeCell="B2" sqref="B2"/>
    </sheetView>
  </sheetViews>
  <sheetFormatPr defaultColWidth="8.85546875" defaultRowHeight="15" x14ac:dyDescent="0.25"/>
  <cols>
    <col min="1" max="1" width="9.28515625" style="3" customWidth="1"/>
    <col min="2" max="2" width="8.85546875" style="171"/>
    <col min="3" max="3" width="55.42578125" style="171" customWidth="1"/>
    <col min="4" max="4" width="20.5703125" style="171" customWidth="1"/>
    <col min="5" max="5" width="21.85546875" style="171" customWidth="1"/>
    <col min="6" max="6" width="17.85546875" style="171" customWidth="1"/>
    <col min="7" max="7" width="29.7109375" style="171" customWidth="1"/>
    <col min="8" max="8" width="22" style="171" bestFit="1" customWidth="1"/>
    <col min="9" max="9" width="12.7109375" style="171" bestFit="1" customWidth="1"/>
    <col min="10" max="10" width="11.42578125" style="171" customWidth="1"/>
    <col min="11" max="11" width="24.85546875" style="171" bestFit="1" customWidth="1"/>
    <col min="12" max="12" width="15.28515625" style="171" bestFit="1" customWidth="1"/>
    <col min="13" max="14" width="13" style="171" customWidth="1"/>
    <col min="15" max="15" width="20.85546875" style="171" customWidth="1"/>
    <col min="16" max="16" width="14" style="171" bestFit="1" customWidth="1"/>
    <col min="17" max="17" width="34.140625" style="171" customWidth="1"/>
    <col min="18" max="18" width="16.28515625" style="171" customWidth="1"/>
    <col min="19" max="19" width="25" style="171" customWidth="1"/>
    <col min="20" max="20" width="33.7109375" style="171" bestFit="1" customWidth="1"/>
    <col min="21" max="21" width="10" style="171" customWidth="1"/>
    <col min="22" max="22" width="31.28515625" style="171" bestFit="1" customWidth="1"/>
    <col min="23" max="16384" width="8.85546875" style="171"/>
  </cols>
  <sheetData>
    <row r="1" spans="1:41" s="3" customFormat="1" ht="54" customHeight="1" x14ac:dyDescent="0.65">
      <c r="A1" s="30"/>
      <c r="B1" s="179" t="str">
        <f>"PLATFORM ("&amp;Parameters!$D$6&amp;")"</f>
        <v>PLATFORM (P15 Scenario 1)</v>
      </c>
    </row>
    <row r="2" spans="1:41" s="165" customFormat="1" x14ac:dyDescent="0.25">
      <c r="A2" s="164"/>
      <c r="B2" s="172"/>
      <c r="C2" s="173"/>
      <c r="D2" s="173"/>
      <c r="E2" s="173"/>
      <c r="F2" s="173"/>
      <c r="G2" s="173"/>
      <c r="H2" s="151"/>
      <c r="I2" s="151"/>
      <c r="J2" s="151"/>
      <c r="K2" s="58"/>
      <c r="L2" s="58"/>
      <c r="M2" s="58"/>
      <c r="N2" s="58"/>
      <c r="O2" s="58"/>
      <c r="P2" s="58"/>
      <c r="Q2" s="58"/>
      <c r="R2" s="58"/>
      <c r="S2" s="58"/>
      <c r="T2" s="58"/>
      <c r="U2" s="58"/>
      <c r="V2" s="58"/>
      <c r="W2" s="58"/>
      <c r="X2" s="58"/>
      <c r="Y2" s="58"/>
      <c r="Z2" s="58"/>
      <c r="AA2" s="59"/>
      <c r="AB2" s="164"/>
      <c r="AC2" s="164"/>
      <c r="AD2" s="164"/>
      <c r="AE2" s="164"/>
      <c r="AF2" s="164"/>
      <c r="AG2" s="164"/>
      <c r="AH2" s="164"/>
      <c r="AI2" s="164"/>
      <c r="AJ2" s="164"/>
      <c r="AK2" s="164"/>
      <c r="AL2" s="164"/>
      <c r="AM2" s="164"/>
      <c r="AN2" s="164"/>
      <c r="AO2" s="164"/>
    </row>
    <row r="3" spans="1:41" x14ac:dyDescent="0.25">
      <c r="B3" s="13"/>
      <c r="C3" s="39" t="s">
        <v>1</v>
      </c>
      <c r="D3" s="40"/>
      <c r="E3" s="41"/>
      <c r="F3" s="57"/>
      <c r="G3" s="39" t="s">
        <v>2</v>
      </c>
      <c r="H3" s="40"/>
      <c r="I3" s="41"/>
      <c r="J3" s="14"/>
      <c r="K3" s="14"/>
      <c r="L3" s="14"/>
      <c r="M3" s="14"/>
      <c r="N3" s="14"/>
      <c r="O3" s="14"/>
      <c r="P3" s="14"/>
      <c r="Q3" s="14"/>
      <c r="R3" s="14"/>
      <c r="S3" s="14"/>
      <c r="T3" s="14"/>
      <c r="U3" s="14"/>
      <c r="V3" s="14"/>
      <c r="W3" s="14"/>
      <c r="X3" s="14"/>
      <c r="Y3" s="14"/>
      <c r="Z3" s="14"/>
      <c r="AA3" s="15"/>
      <c r="AB3" s="3"/>
      <c r="AC3" s="3"/>
      <c r="AD3" s="3"/>
      <c r="AE3" s="3"/>
      <c r="AF3" s="3"/>
      <c r="AG3" s="3"/>
      <c r="AH3" s="3"/>
      <c r="AI3" s="3"/>
      <c r="AJ3" s="3"/>
      <c r="AK3" s="3"/>
      <c r="AL3" s="3"/>
      <c r="AM3" s="3"/>
      <c r="AN3" s="3"/>
      <c r="AO3" s="3"/>
    </row>
    <row r="4" spans="1:41" x14ac:dyDescent="0.25">
      <c r="B4" s="13"/>
      <c r="C4" s="14"/>
      <c r="D4" s="14"/>
      <c r="E4" s="14"/>
      <c r="F4" s="56"/>
      <c r="G4" s="14"/>
      <c r="H4" s="14"/>
      <c r="I4" s="14"/>
      <c r="J4" s="56"/>
      <c r="K4" s="14"/>
      <c r="L4" s="14"/>
      <c r="M4" s="14"/>
      <c r="N4" s="14"/>
      <c r="O4" s="16"/>
      <c r="P4" s="14"/>
      <c r="Q4" s="16"/>
      <c r="R4" s="16"/>
      <c r="S4" s="16"/>
      <c r="T4" s="16"/>
      <c r="U4" s="14"/>
      <c r="V4" s="14"/>
      <c r="W4" s="14"/>
      <c r="X4" s="14"/>
      <c r="Y4" s="14"/>
      <c r="Z4" s="14"/>
      <c r="AA4" s="15"/>
      <c r="AB4" s="3"/>
      <c r="AC4" s="3"/>
      <c r="AD4" s="3"/>
      <c r="AE4" s="3"/>
      <c r="AF4" s="129">
        <v>3</v>
      </c>
      <c r="AG4" s="120">
        <v>6</v>
      </c>
      <c r="AH4" s="120">
        <v>9</v>
      </c>
      <c r="AI4" s="3"/>
      <c r="AJ4" s="3"/>
      <c r="AK4" s="3"/>
      <c r="AL4" s="3"/>
      <c r="AM4" s="3"/>
      <c r="AN4" s="3"/>
      <c r="AO4" s="3"/>
    </row>
    <row r="5" spans="1:41" s="141" customFormat="1" x14ac:dyDescent="0.25">
      <c r="A5" s="138"/>
      <c r="B5" s="139"/>
      <c r="C5" s="32" t="str">
        <f>Parameters!E219</f>
        <v>Platform selection</v>
      </c>
      <c r="D5" s="699" t="str">
        <f>Parameters!G476</f>
        <v>K15-FB-1</v>
      </c>
      <c r="E5" s="34"/>
      <c r="F5" s="144"/>
      <c r="G5" s="122" t="str">
        <f t="shared" ref="G5:I6" si="0">G21</f>
        <v>Capex adjustments H2 on platform</v>
      </c>
      <c r="H5" s="86">
        <f t="shared" si="0"/>
        <v>0</v>
      </c>
      <c r="I5" s="34" t="str">
        <f t="shared" si="0"/>
        <v>EUR</v>
      </c>
      <c r="J5" s="56"/>
      <c r="K5" s="144"/>
      <c r="L5" s="144"/>
      <c r="M5" s="144"/>
      <c r="N5" s="144"/>
      <c r="O5" s="144"/>
      <c r="P5" s="16"/>
      <c r="Q5" s="16"/>
      <c r="R5" s="16"/>
      <c r="S5" s="73"/>
      <c r="T5" s="73"/>
      <c r="U5" s="16"/>
      <c r="V5" s="73"/>
      <c r="W5" s="14"/>
      <c r="X5" s="16"/>
      <c r="Y5" s="16"/>
      <c r="Z5" s="16"/>
      <c r="AA5" s="140"/>
      <c r="AB5" s="138"/>
      <c r="AC5" s="138"/>
      <c r="AD5" s="138"/>
      <c r="AE5" s="138"/>
      <c r="AF5" s="142">
        <v>2</v>
      </c>
      <c r="AG5" s="142">
        <v>3</v>
      </c>
      <c r="AH5" s="142">
        <v>5</v>
      </c>
      <c r="AI5" s="138"/>
      <c r="AJ5" s="138"/>
      <c r="AK5" s="138"/>
      <c r="AL5" s="138"/>
      <c r="AM5" s="138"/>
      <c r="AN5" s="138"/>
      <c r="AO5" s="138"/>
    </row>
    <row r="6" spans="1:41" x14ac:dyDescent="0.25">
      <c r="B6" s="13"/>
      <c r="C6" s="168" t="str">
        <f>Parameters!E196</f>
        <v>Storage field</v>
      </c>
      <c r="D6" s="92" t="str">
        <f>Parameters!G476</f>
        <v>K15-FB-1</v>
      </c>
      <c r="E6" s="169"/>
      <c r="F6" s="56"/>
      <c r="G6" s="108" t="str">
        <f t="shared" si="0"/>
        <v>Opex platform</v>
      </c>
      <c r="H6" s="81">
        <f t="shared" si="0"/>
        <v>7936805.8527467251</v>
      </c>
      <c r="I6" s="35" t="str">
        <f t="shared" si="0"/>
        <v>EUR / a</v>
      </c>
      <c r="J6" s="56"/>
      <c r="K6" s="14"/>
      <c r="L6" s="14"/>
      <c r="M6" s="14"/>
      <c r="N6" s="14"/>
      <c r="O6" s="16"/>
      <c r="P6" s="14"/>
      <c r="Q6" s="16"/>
      <c r="R6" s="16"/>
      <c r="S6" s="16"/>
      <c r="T6" s="16"/>
      <c r="U6" s="14"/>
      <c r="V6" s="16"/>
      <c r="W6" s="14"/>
      <c r="X6" s="14"/>
      <c r="Y6" s="14"/>
      <c r="Z6" s="14"/>
      <c r="AA6" s="15"/>
      <c r="AB6" s="3"/>
      <c r="AC6" s="3"/>
      <c r="AD6" s="3"/>
      <c r="AE6" s="3"/>
      <c r="AF6" s="120">
        <v>6</v>
      </c>
      <c r="AG6" s="120">
        <v>9</v>
      </c>
      <c r="AH6" s="120">
        <v>12</v>
      </c>
      <c r="AI6" s="3"/>
      <c r="AJ6" s="3"/>
      <c r="AK6" s="3"/>
      <c r="AL6" s="3"/>
      <c r="AM6" s="3"/>
      <c r="AN6" s="3"/>
      <c r="AO6" s="3"/>
    </row>
    <row r="7" spans="1:41" x14ac:dyDescent="0.25">
      <c r="B7" s="13"/>
      <c r="C7" s="6" t="str">
        <f>Parameters!E477</f>
        <v>Additional platforms required</v>
      </c>
      <c r="D7" s="92">
        <f>Parameters!G477</f>
        <v>1</v>
      </c>
      <c r="E7" s="35"/>
      <c r="F7" s="14"/>
      <c r="G7" s="108" t="str">
        <f>G24</f>
        <v>Total capex new platforms (LH2)</v>
      </c>
      <c r="H7" s="81">
        <f t="shared" ref="H7:I7" si="1">H24</f>
        <v>80000000</v>
      </c>
      <c r="I7" s="35" t="str">
        <f t="shared" si="1"/>
        <v>EUR</v>
      </c>
      <c r="J7" s="56"/>
      <c r="K7" s="56"/>
      <c r="L7" s="56"/>
      <c r="M7" s="56"/>
      <c r="N7" s="56"/>
      <c r="O7" s="56"/>
      <c r="P7" s="14"/>
      <c r="Q7" s="14"/>
      <c r="R7" s="14"/>
      <c r="S7" s="14"/>
      <c r="T7" s="14"/>
      <c r="U7" s="14"/>
      <c r="V7" s="14"/>
      <c r="W7" s="14"/>
      <c r="X7" s="14"/>
      <c r="Y7" s="14"/>
      <c r="Z7" s="14"/>
      <c r="AA7" s="15"/>
      <c r="AB7" s="3"/>
      <c r="AC7" s="3"/>
      <c r="AD7" s="3"/>
      <c r="AE7" s="3"/>
      <c r="AF7" s="129">
        <v>1.1000000000000001</v>
      </c>
      <c r="AG7" s="3"/>
      <c r="AH7" s="3"/>
      <c r="AI7" s="3"/>
      <c r="AJ7" s="3"/>
      <c r="AK7" s="3"/>
      <c r="AL7" s="3"/>
      <c r="AM7" s="3"/>
      <c r="AN7" s="3"/>
      <c r="AO7" s="3"/>
    </row>
    <row r="8" spans="1:41" ht="15" customHeight="1" x14ac:dyDescent="0.25">
      <c r="B8" s="13"/>
      <c r="C8" s="6"/>
      <c r="D8" s="92"/>
      <c r="E8" s="35"/>
      <c r="F8" s="56"/>
      <c r="G8" s="6"/>
      <c r="H8" s="94"/>
      <c r="I8" s="35"/>
      <c r="J8" s="56"/>
      <c r="K8" s="56"/>
      <c r="L8" s="56"/>
      <c r="M8" s="56"/>
      <c r="N8" s="56"/>
      <c r="O8" s="56"/>
      <c r="P8" s="14"/>
      <c r="Q8" s="14"/>
      <c r="R8" s="14"/>
      <c r="S8" s="14"/>
      <c r="T8" s="14"/>
      <c r="U8" s="14"/>
      <c r="V8" s="14"/>
      <c r="W8" s="14"/>
      <c r="X8" s="14"/>
      <c r="Y8" s="14"/>
      <c r="Z8" s="14"/>
      <c r="AA8" s="15"/>
      <c r="AB8" s="3"/>
      <c r="AC8" s="3"/>
      <c r="AD8" s="3"/>
      <c r="AE8" s="3"/>
      <c r="AF8" s="3"/>
      <c r="AG8" s="3"/>
      <c r="AH8" s="3"/>
      <c r="AI8" s="3"/>
      <c r="AJ8" s="3"/>
      <c r="AK8" s="3"/>
      <c r="AL8" s="3"/>
      <c r="AM8" s="3"/>
      <c r="AN8" s="3"/>
      <c r="AO8" s="3"/>
    </row>
    <row r="9" spans="1:41" x14ac:dyDescent="0.25">
      <c r="B9" s="13"/>
      <c r="C9" s="6"/>
      <c r="D9" s="92"/>
      <c r="E9" s="35"/>
      <c r="F9" s="56"/>
      <c r="G9" s="6" t="str">
        <f t="shared" ref="G9:I10" si="2">G35</f>
        <v>Capex cable (H2)</v>
      </c>
      <c r="H9" s="81">
        <f t="shared" si="2"/>
        <v>46277627.294251874</v>
      </c>
      <c r="I9" s="112" t="str">
        <f t="shared" si="2"/>
        <v>EUR</v>
      </c>
      <c r="J9" s="56"/>
      <c r="K9" s="56"/>
      <c r="L9" s="56"/>
      <c r="M9" s="56"/>
      <c r="N9" s="56"/>
      <c r="O9" s="56"/>
      <c r="P9" s="14"/>
      <c r="Q9" s="14"/>
      <c r="R9" s="14"/>
      <c r="S9" s="14"/>
      <c r="T9" s="14"/>
      <c r="U9" s="14"/>
      <c r="V9" s="14"/>
      <c r="W9" s="14"/>
      <c r="X9" s="14"/>
      <c r="Y9" s="14"/>
      <c r="Z9" s="14"/>
      <c r="AA9" s="15"/>
      <c r="AB9" s="3"/>
      <c r="AC9" s="3"/>
      <c r="AD9" s="3"/>
      <c r="AE9" s="3"/>
      <c r="AF9" s="3"/>
      <c r="AG9" s="3"/>
      <c r="AH9" s="3"/>
      <c r="AI9" s="3"/>
      <c r="AJ9" s="3"/>
      <c r="AK9" s="3"/>
      <c r="AL9" s="3"/>
      <c r="AM9" s="3"/>
      <c r="AN9" s="3"/>
      <c r="AO9" s="3"/>
    </row>
    <row r="10" spans="1:41" x14ac:dyDescent="0.25">
      <c r="B10" s="13"/>
      <c r="C10" s="6" t="str">
        <f>Parameters!E42</f>
        <v>Cable length</v>
      </c>
      <c r="D10" s="145">
        <f>Parameters!G42</f>
        <v>37.799999999999997</v>
      </c>
      <c r="E10" s="35" t="str">
        <f>Parameters!F42</f>
        <v>km</v>
      </c>
      <c r="F10" s="56"/>
      <c r="G10" s="6" t="str">
        <f t="shared" si="2"/>
        <v>Opex cable (H2)</v>
      </c>
      <c r="H10" s="81">
        <f t="shared" si="2"/>
        <v>0</v>
      </c>
      <c r="I10" s="112" t="str">
        <f t="shared" si="2"/>
        <v>EUR/a</v>
      </c>
      <c r="J10" s="56"/>
      <c r="K10" s="56"/>
      <c r="L10" s="56"/>
      <c r="M10" s="56"/>
      <c r="N10" s="56"/>
      <c r="O10" s="56"/>
      <c r="P10" s="14"/>
      <c r="Q10" s="14"/>
      <c r="R10" s="14"/>
      <c r="S10" s="14"/>
      <c r="T10" s="14"/>
      <c r="U10" s="14"/>
      <c r="V10" s="14"/>
      <c r="W10" s="14"/>
      <c r="X10" s="14"/>
      <c r="Y10" s="14"/>
      <c r="Z10" s="14"/>
      <c r="AA10" s="15"/>
      <c r="AB10" s="3"/>
      <c r="AC10" s="3"/>
      <c r="AD10" s="3"/>
      <c r="AE10" s="3"/>
      <c r="AF10" s="3"/>
      <c r="AG10" s="3"/>
      <c r="AH10" s="3"/>
      <c r="AI10" s="3"/>
      <c r="AJ10" s="3"/>
      <c r="AK10" s="3"/>
      <c r="AL10" s="3"/>
      <c r="AM10" s="3"/>
      <c r="AN10" s="3"/>
      <c r="AO10" s="3"/>
    </row>
    <row r="11" spans="1:41" x14ac:dyDescent="0.25">
      <c r="B11" s="13"/>
      <c r="C11" s="6"/>
      <c r="D11" s="92"/>
      <c r="E11" s="35"/>
      <c r="F11" s="56"/>
      <c r="G11" s="6"/>
      <c r="H11" s="81"/>
      <c r="I11" s="35"/>
      <c r="J11" s="56"/>
      <c r="K11" s="56"/>
      <c r="L11" s="56"/>
      <c r="M11" s="56"/>
      <c r="N11" s="56"/>
      <c r="O11" s="56"/>
      <c r="P11" s="14"/>
      <c r="Q11" s="14"/>
      <c r="R11" s="14"/>
      <c r="S11" s="14"/>
      <c r="T11" s="14"/>
      <c r="U11" s="14"/>
      <c r="V11" s="14"/>
      <c r="W11" s="14"/>
      <c r="X11" s="14"/>
      <c r="Y11" s="14"/>
      <c r="Z11" s="14"/>
      <c r="AA11" s="15"/>
      <c r="AB11" s="3"/>
      <c r="AC11" s="3"/>
      <c r="AD11" s="3"/>
      <c r="AE11" s="3"/>
      <c r="AF11" s="3"/>
      <c r="AG11" s="3"/>
      <c r="AH11" s="3"/>
      <c r="AI11" s="3"/>
      <c r="AJ11" s="3"/>
      <c r="AK11" s="3"/>
      <c r="AL11" s="3"/>
      <c r="AM11" s="3"/>
      <c r="AN11" s="3"/>
      <c r="AO11" s="3"/>
    </row>
    <row r="12" spans="1:41" x14ac:dyDescent="0.25">
      <c r="B12" s="13"/>
      <c r="C12" s="6" t="str">
        <f>Parameters!E479</f>
        <v>Existing electric connection</v>
      </c>
      <c r="D12" s="83">
        <f>Parameters!G479</f>
        <v>30.11971706980685</v>
      </c>
      <c r="E12" s="35" t="str">
        <f>Parameters!F479</f>
        <v>MW</v>
      </c>
      <c r="F12" s="56"/>
      <c r="G12" s="6"/>
      <c r="H12" s="94"/>
      <c r="I12" s="35"/>
      <c r="J12" s="56"/>
      <c r="K12" s="56"/>
      <c r="L12" s="56"/>
      <c r="M12" s="56"/>
      <c r="N12" s="56"/>
      <c r="O12" s="56"/>
      <c r="P12" s="14"/>
      <c r="Q12" s="14"/>
      <c r="R12" s="14"/>
      <c r="S12" s="14"/>
      <c r="T12" s="14"/>
      <c r="U12" s="14"/>
      <c r="V12" s="14"/>
      <c r="W12" s="14"/>
      <c r="X12" s="14"/>
      <c r="Y12" s="14"/>
      <c r="Z12" s="14"/>
      <c r="AA12" s="15"/>
      <c r="AB12" s="3"/>
      <c r="AC12" s="3"/>
      <c r="AD12" s="3"/>
      <c r="AE12" s="3"/>
      <c r="AF12" s="3"/>
      <c r="AG12" s="3"/>
      <c r="AH12" s="3"/>
      <c r="AI12" s="3"/>
      <c r="AJ12" s="3"/>
      <c r="AK12" s="3"/>
      <c r="AL12" s="3"/>
      <c r="AM12" s="3"/>
      <c r="AN12" s="3"/>
      <c r="AO12" s="3"/>
    </row>
    <row r="13" spans="1:41" x14ac:dyDescent="0.25">
      <c r="B13" s="13"/>
      <c r="C13" s="6" t="str">
        <f>Parameters!E480</f>
        <v>Additional electric connection</v>
      </c>
      <c r="D13" s="83">
        <f>Parameters!G480</f>
        <v>101.25807521071114</v>
      </c>
      <c r="E13" s="35" t="str">
        <f>Parameters!F480</f>
        <v>MW</v>
      </c>
      <c r="F13" s="56"/>
      <c r="G13" s="6" t="str">
        <f>K37</f>
        <v>Total area electrical equipment</v>
      </c>
      <c r="H13" s="81">
        <f t="shared" ref="H13:I13" si="3">L37</f>
        <v>939.98980405499447</v>
      </c>
      <c r="I13" s="35" t="str">
        <f t="shared" si="3"/>
        <v>m²</v>
      </c>
      <c r="J13" s="56"/>
      <c r="K13" s="56"/>
      <c r="L13" s="56"/>
      <c r="M13" s="56"/>
      <c r="N13" s="56"/>
      <c r="O13" s="56"/>
      <c r="P13" s="14"/>
      <c r="Q13" s="14"/>
      <c r="R13" s="14"/>
      <c r="S13" s="14"/>
      <c r="T13" s="14"/>
      <c r="U13" s="14"/>
      <c r="V13" s="14"/>
      <c r="W13" s="14"/>
      <c r="X13" s="14"/>
      <c r="Y13" s="14"/>
      <c r="Z13" s="14"/>
      <c r="AA13" s="15"/>
      <c r="AB13" s="3"/>
      <c r="AC13" s="3"/>
      <c r="AD13" s="3"/>
      <c r="AE13" s="3"/>
      <c r="AF13" s="3"/>
      <c r="AG13" s="3"/>
      <c r="AH13" s="3"/>
      <c r="AI13" s="3"/>
      <c r="AJ13" s="3"/>
      <c r="AK13" s="3"/>
      <c r="AL13" s="3"/>
      <c r="AM13" s="3"/>
      <c r="AN13" s="3"/>
      <c r="AO13" s="3"/>
    </row>
    <row r="14" spans="1:41" x14ac:dyDescent="0.25">
      <c r="B14" s="13"/>
      <c r="C14" s="6"/>
      <c r="D14" s="167"/>
      <c r="E14" s="35"/>
      <c r="F14" s="56"/>
      <c r="G14" s="6" t="str">
        <f t="shared" ref="G14:I14" si="4">K38</f>
        <v>Total weight electrical equipment</v>
      </c>
      <c r="H14" s="81">
        <f t="shared" si="4"/>
        <v>65.891727261697454</v>
      </c>
      <c r="I14" s="35" t="str">
        <f t="shared" si="4"/>
        <v>t</v>
      </c>
      <c r="J14" s="56"/>
      <c r="K14" s="56"/>
      <c r="L14" s="56"/>
      <c r="M14" s="56"/>
      <c r="N14" s="56"/>
      <c r="O14" s="56"/>
      <c r="P14" s="14"/>
      <c r="Q14" s="14"/>
      <c r="R14" s="14"/>
      <c r="S14" s="14"/>
      <c r="T14" s="14"/>
      <c r="U14" s="14"/>
      <c r="V14" s="14"/>
      <c r="W14" s="14"/>
      <c r="X14" s="14"/>
      <c r="Y14" s="14"/>
      <c r="Z14" s="14"/>
      <c r="AA14" s="15"/>
      <c r="AB14" s="3"/>
      <c r="AC14" s="3"/>
      <c r="AD14" s="3"/>
      <c r="AE14" s="3"/>
      <c r="AF14" s="3"/>
      <c r="AG14" s="3"/>
      <c r="AH14" s="3"/>
      <c r="AI14" s="3"/>
      <c r="AJ14" s="3"/>
      <c r="AK14" s="3"/>
      <c r="AL14" s="3"/>
      <c r="AM14" s="3"/>
      <c r="AN14" s="3"/>
      <c r="AO14" s="3"/>
    </row>
    <row r="15" spans="1:41" x14ac:dyDescent="0.25">
      <c r="B15" s="13"/>
      <c r="C15" s="6"/>
      <c r="D15" s="167"/>
      <c r="E15" s="35"/>
      <c r="F15" s="56"/>
      <c r="G15" s="6"/>
      <c r="H15" s="94"/>
      <c r="I15" s="35"/>
      <c r="J15" s="56"/>
      <c r="K15" s="56"/>
      <c r="L15" s="56"/>
      <c r="M15" s="56"/>
      <c r="N15" s="56"/>
      <c r="O15" s="56"/>
      <c r="P15" s="14"/>
      <c r="Q15" s="14"/>
      <c r="R15" s="14"/>
      <c r="S15" s="14"/>
      <c r="T15" s="14"/>
      <c r="U15" s="14"/>
      <c r="V15" s="14"/>
      <c r="W15" s="14"/>
      <c r="X15" s="14"/>
      <c r="Y15" s="14"/>
      <c r="Z15" s="14"/>
      <c r="AA15" s="15"/>
      <c r="AB15" s="3"/>
      <c r="AC15" s="3"/>
      <c r="AD15" s="3"/>
      <c r="AE15" s="3"/>
      <c r="AF15" s="3"/>
      <c r="AG15" s="3"/>
      <c r="AH15" s="3"/>
      <c r="AI15" s="3"/>
      <c r="AJ15" s="3"/>
      <c r="AK15" s="3"/>
      <c r="AL15" s="3"/>
      <c r="AM15" s="3"/>
      <c r="AN15" s="3"/>
      <c r="AO15" s="3"/>
    </row>
    <row r="16" spans="1:41" x14ac:dyDescent="0.25">
      <c r="B16" s="13"/>
      <c r="C16" s="108" t="str">
        <f>Parameters!E43</f>
        <v>Cable CAPEX: One-off, demand-driven or lease contracat</v>
      </c>
      <c r="D16" s="167" t="str">
        <f>Parameters!G43</f>
        <v>Demand driven</v>
      </c>
      <c r="E16" s="149"/>
      <c r="F16" s="5"/>
      <c r="G16" s="6"/>
      <c r="H16" s="94"/>
      <c r="I16" s="35"/>
      <c r="J16" s="5"/>
      <c r="K16" s="5"/>
      <c r="L16" s="5"/>
      <c r="M16" s="5"/>
      <c r="N16" s="14"/>
      <c r="O16" s="14"/>
      <c r="P16" s="14"/>
      <c r="Q16" s="14"/>
      <c r="R16" s="14"/>
      <c r="S16" s="14"/>
      <c r="T16" s="14"/>
      <c r="U16" s="14"/>
      <c r="V16" s="14"/>
      <c r="W16" s="14"/>
      <c r="X16" s="14"/>
      <c r="Y16" s="14"/>
      <c r="Z16" s="14"/>
      <c r="AA16" s="15"/>
      <c r="AB16" s="3"/>
      <c r="AC16" s="3"/>
      <c r="AD16" s="3"/>
      <c r="AE16" s="3"/>
      <c r="AF16" s="3"/>
      <c r="AG16" s="3"/>
      <c r="AH16" s="3"/>
      <c r="AI16" s="3"/>
      <c r="AJ16" s="3"/>
      <c r="AK16" s="3"/>
      <c r="AL16" s="3"/>
      <c r="AM16" s="3"/>
      <c r="AN16" s="3"/>
      <c r="AO16" s="3"/>
    </row>
    <row r="17" spans="1:41" x14ac:dyDescent="0.25">
      <c r="B17" s="13"/>
      <c r="C17" s="153"/>
      <c r="D17" s="177"/>
      <c r="E17" s="150"/>
      <c r="F17" s="5"/>
      <c r="G17" s="36"/>
      <c r="H17" s="97"/>
      <c r="I17" s="38"/>
      <c r="J17" s="5"/>
      <c r="K17" s="5"/>
      <c r="L17" s="5"/>
      <c r="M17" s="5"/>
      <c r="N17" s="14"/>
      <c r="O17" s="14"/>
      <c r="P17" s="14"/>
      <c r="Q17" s="14"/>
      <c r="R17" s="14"/>
      <c r="S17" s="14"/>
      <c r="T17" s="14"/>
      <c r="U17" s="14"/>
      <c r="V17" s="14"/>
      <c r="W17" s="14"/>
      <c r="X17" s="14"/>
      <c r="Y17" s="14"/>
      <c r="Z17" s="14"/>
      <c r="AA17" s="15"/>
      <c r="AB17" s="3"/>
      <c r="AC17" s="3"/>
      <c r="AD17" s="3"/>
      <c r="AE17" s="3"/>
      <c r="AF17" s="3"/>
      <c r="AG17" s="3"/>
      <c r="AH17" s="3"/>
      <c r="AI17" s="3"/>
      <c r="AJ17" s="3"/>
      <c r="AK17" s="3"/>
      <c r="AL17" s="3"/>
      <c r="AM17" s="3"/>
      <c r="AN17" s="3"/>
      <c r="AO17" s="3"/>
    </row>
    <row r="18" spans="1:41" x14ac:dyDescent="0.25">
      <c r="B18" s="13"/>
      <c r="C18" s="5"/>
      <c r="D18" s="5"/>
      <c r="E18" s="5"/>
      <c r="F18" s="14"/>
      <c r="G18" s="5"/>
      <c r="H18" s="5"/>
      <c r="I18" s="5"/>
      <c r="J18" s="5"/>
      <c r="K18" s="5"/>
      <c r="L18" s="5"/>
      <c r="M18" s="5"/>
      <c r="N18" s="14"/>
      <c r="O18" s="14"/>
      <c r="P18" s="14"/>
      <c r="Q18" s="14"/>
      <c r="R18" s="14"/>
      <c r="S18" s="14"/>
      <c r="T18" s="14"/>
      <c r="U18" s="14"/>
      <c r="V18" s="14"/>
      <c r="W18" s="14"/>
      <c r="X18" s="14"/>
      <c r="Y18" s="14"/>
      <c r="Z18" s="14"/>
      <c r="AA18" s="15"/>
      <c r="AB18" s="3"/>
      <c r="AC18" s="3"/>
      <c r="AD18" s="3"/>
      <c r="AE18" s="3"/>
      <c r="AF18" s="3"/>
      <c r="AG18" s="3"/>
      <c r="AH18" s="3"/>
      <c r="AI18" s="3"/>
      <c r="AJ18" s="3"/>
      <c r="AK18" s="3"/>
      <c r="AL18" s="3"/>
      <c r="AM18" s="3"/>
      <c r="AN18" s="3"/>
      <c r="AO18" s="3"/>
    </row>
    <row r="19" spans="1:41" x14ac:dyDescent="0.25">
      <c r="B19" s="13"/>
      <c r="C19" s="148" t="s">
        <v>627</v>
      </c>
      <c r="D19" s="40"/>
      <c r="E19" s="41"/>
      <c r="F19" s="14"/>
      <c r="G19" s="148" t="s">
        <v>627</v>
      </c>
      <c r="H19" s="40"/>
      <c r="I19" s="41"/>
      <c r="J19" s="5"/>
      <c r="K19" s="5"/>
      <c r="L19" s="5"/>
      <c r="M19" s="5"/>
      <c r="N19" s="14"/>
      <c r="O19" s="14"/>
      <c r="P19" s="14"/>
      <c r="Q19" s="14"/>
      <c r="R19" s="14"/>
      <c r="S19" s="14"/>
      <c r="T19" s="5"/>
      <c r="U19" s="14"/>
      <c r="V19" s="5"/>
      <c r="W19" s="5"/>
      <c r="X19" s="14"/>
      <c r="Y19" s="14"/>
      <c r="Z19" s="14"/>
      <c r="AA19" s="15"/>
      <c r="AB19" s="3"/>
      <c r="AC19" s="3"/>
      <c r="AD19" s="3"/>
      <c r="AE19" s="3"/>
      <c r="AF19" s="3"/>
      <c r="AG19" s="3"/>
      <c r="AH19" s="3"/>
      <c r="AI19" s="3"/>
      <c r="AJ19" s="3"/>
      <c r="AK19" s="3"/>
      <c r="AL19" s="3"/>
      <c r="AM19" s="3"/>
      <c r="AN19" s="3"/>
      <c r="AO19" s="3"/>
    </row>
    <row r="20" spans="1:41" x14ac:dyDescent="0.25">
      <c r="B20" s="13"/>
      <c r="C20" s="14"/>
      <c r="D20" s="14"/>
      <c r="E20" s="14"/>
      <c r="F20" s="14"/>
      <c r="G20" s="14"/>
      <c r="H20" s="14"/>
      <c r="I20" s="14"/>
      <c r="J20" s="5"/>
      <c r="K20" s="5"/>
      <c r="L20" s="5"/>
      <c r="M20" s="5"/>
      <c r="N20" s="14"/>
      <c r="O20" s="14"/>
      <c r="P20" s="14"/>
      <c r="Q20" s="14"/>
      <c r="R20" s="14"/>
      <c r="S20" s="14"/>
      <c r="T20" s="5"/>
      <c r="U20" s="14"/>
      <c r="V20" s="5"/>
      <c r="W20" s="5"/>
      <c r="X20" s="14"/>
      <c r="Y20" s="14"/>
      <c r="Z20" s="14"/>
      <c r="AA20" s="15"/>
      <c r="AB20" s="3"/>
      <c r="AC20" s="3"/>
      <c r="AD20" s="3"/>
      <c r="AE20" s="3"/>
      <c r="AF20" s="3"/>
      <c r="AG20" s="3"/>
      <c r="AH20" s="3"/>
      <c r="AI20" s="3"/>
      <c r="AJ20" s="3"/>
      <c r="AK20" s="3"/>
      <c r="AL20" s="3"/>
      <c r="AM20" s="3"/>
      <c r="AN20" s="3"/>
      <c r="AO20" s="3"/>
    </row>
    <row r="21" spans="1:41" x14ac:dyDescent="0.25">
      <c r="B21" s="13"/>
      <c r="C21" s="122"/>
      <c r="D21" s="86"/>
      <c r="E21" s="427"/>
      <c r="F21" s="14"/>
      <c r="G21" s="122" t="str">
        <f>Parameters!E486</f>
        <v>Capex adjustments H2 on platform</v>
      </c>
      <c r="H21" s="86">
        <f>Parameters!G486</f>
        <v>0</v>
      </c>
      <c r="I21" s="427" t="str">
        <f>Parameters!F486</f>
        <v>EUR</v>
      </c>
      <c r="J21" s="5"/>
      <c r="K21" s="5"/>
      <c r="L21" s="5"/>
      <c r="M21" s="5"/>
      <c r="N21" s="14"/>
      <c r="O21" s="14"/>
      <c r="P21" s="14"/>
      <c r="Q21" s="14"/>
      <c r="R21" s="14"/>
      <c r="S21" s="14"/>
      <c r="T21" s="5"/>
      <c r="U21" s="14"/>
      <c r="V21" s="5"/>
      <c r="W21" s="5"/>
      <c r="X21" s="14"/>
      <c r="Y21" s="14"/>
      <c r="Z21" s="14"/>
      <c r="AA21" s="15"/>
      <c r="AB21" s="3"/>
      <c r="AC21" s="3"/>
      <c r="AD21" s="3"/>
      <c r="AE21" s="3"/>
      <c r="AF21" s="3"/>
      <c r="AG21" s="3"/>
      <c r="AH21" s="3"/>
      <c r="AI21" s="3"/>
      <c r="AJ21" s="3"/>
      <c r="AK21" s="3"/>
      <c r="AL21" s="3"/>
      <c r="AM21" s="3"/>
      <c r="AN21" s="3"/>
      <c r="AO21" s="3"/>
    </row>
    <row r="22" spans="1:41" x14ac:dyDescent="0.25">
      <c r="B22" s="91"/>
      <c r="C22" s="6" t="str">
        <f>Parameters!E478</f>
        <v>Relative capex platforms</v>
      </c>
      <c r="D22" s="92">
        <f>Parameters!G478</f>
        <v>80000000</v>
      </c>
      <c r="E22" s="35" t="str">
        <f>Parameters!F478</f>
        <v>EUR/platform</v>
      </c>
      <c r="F22" s="14"/>
      <c r="G22" s="108" t="str">
        <f>Parameters!E488</f>
        <v>Opex platform</v>
      </c>
      <c r="H22" s="81">
        <f>Parameters!G488</f>
        <v>7936805.8527467251</v>
      </c>
      <c r="I22" s="35" t="str">
        <f>Parameters!F488</f>
        <v>EUR / a</v>
      </c>
      <c r="J22" s="5"/>
      <c r="K22" s="5"/>
      <c r="L22" s="5"/>
      <c r="M22" s="5"/>
      <c r="N22" s="14"/>
      <c r="O22" s="14"/>
      <c r="P22" s="14"/>
      <c r="Q22" s="14"/>
      <c r="R22" s="14"/>
      <c r="S22" s="14"/>
      <c r="T22" s="5"/>
      <c r="U22" s="14"/>
      <c r="V22" s="5"/>
      <c r="W22" s="5"/>
      <c r="X22" s="14"/>
      <c r="Y22" s="14"/>
      <c r="Z22" s="14"/>
      <c r="AA22" s="15"/>
      <c r="AB22" s="3"/>
      <c r="AC22" s="3"/>
      <c r="AD22" s="3"/>
      <c r="AE22" s="3"/>
      <c r="AF22" s="3"/>
      <c r="AG22" s="3"/>
      <c r="AH22" s="3"/>
      <c r="AI22" s="3"/>
      <c r="AJ22" s="3"/>
      <c r="AK22" s="3"/>
      <c r="AL22" s="3"/>
      <c r="AM22" s="3"/>
      <c r="AN22" s="3"/>
      <c r="AO22" s="3"/>
    </row>
    <row r="23" spans="1:41" x14ac:dyDescent="0.25">
      <c r="B23" s="13"/>
      <c r="C23" s="6"/>
      <c r="D23" s="92"/>
      <c r="E23" s="35"/>
      <c r="F23" s="14"/>
      <c r="G23" s="108"/>
      <c r="H23" s="81"/>
      <c r="I23" s="35"/>
      <c r="J23" s="5"/>
      <c r="K23" s="5"/>
      <c r="L23" s="5"/>
      <c r="M23" s="5"/>
      <c r="N23" s="14"/>
      <c r="O23" s="14"/>
      <c r="P23" s="14"/>
      <c r="Q23" s="14"/>
      <c r="R23" s="14"/>
      <c r="S23" s="14"/>
      <c r="T23" s="14"/>
      <c r="U23" s="14"/>
      <c r="V23" s="14"/>
      <c r="W23" s="14"/>
      <c r="X23" s="14"/>
      <c r="Y23" s="14"/>
      <c r="Z23" s="14"/>
      <c r="AA23" s="15"/>
      <c r="AB23" s="3"/>
      <c r="AC23" s="3"/>
      <c r="AD23" s="3"/>
      <c r="AE23" s="3"/>
      <c r="AF23" s="3"/>
      <c r="AG23" s="3"/>
      <c r="AH23" s="3"/>
      <c r="AI23" s="3"/>
      <c r="AJ23" s="3"/>
      <c r="AK23" s="3"/>
      <c r="AL23" s="3"/>
      <c r="AM23" s="3"/>
      <c r="AN23" s="3"/>
      <c r="AO23" s="3"/>
    </row>
    <row r="24" spans="1:41" x14ac:dyDescent="0.25">
      <c r="B24" s="13"/>
      <c r="C24" s="6"/>
      <c r="D24" s="92"/>
      <c r="E24" s="35"/>
      <c r="F24" s="14"/>
      <c r="G24" s="6" t="s">
        <v>1696</v>
      </c>
      <c r="H24" s="81">
        <f>D22*$D$7</f>
        <v>80000000</v>
      </c>
      <c r="I24" s="35" t="s">
        <v>562</v>
      </c>
      <c r="J24" s="5"/>
      <c r="K24" s="5"/>
      <c r="L24" s="5"/>
      <c r="M24" s="5"/>
      <c r="N24" s="14"/>
      <c r="O24" s="14"/>
      <c r="P24" s="14"/>
      <c r="Q24" s="14"/>
      <c r="R24" s="14"/>
      <c r="S24" s="14"/>
      <c r="T24" s="14"/>
      <c r="U24" s="14"/>
      <c r="V24" s="14"/>
      <c r="W24" s="14"/>
      <c r="X24" s="14"/>
      <c r="Y24" s="14"/>
      <c r="Z24" s="14"/>
      <c r="AA24" s="15"/>
      <c r="AB24" s="3"/>
      <c r="AC24" s="3"/>
      <c r="AD24" s="3"/>
      <c r="AE24" s="3"/>
      <c r="AF24" s="3"/>
      <c r="AG24" s="3"/>
      <c r="AH24" s="3"/>
      <c r="AI24" s="3"/>
      <c r="AJ24" s="3"/>
      <c r="AK24" s="3"/>
      <c r="AL24" s="3"/>
      <c r="AM24" s="3"/>
      <c r="AN24" s="3"/>
      <c r="AO24" s="3"/>
    </row>
    <row r="25" spans="1:41" x14ac:dyDescent="0.25">
      <c r="B25" s="13"/>
      <c r="C25" s="6"/>
      <c r="D25" s="92"/>
      <c r="E25" s="35"/>
      <c r="F25" s="14"/>
      <c r="G25" s="6"/>
      <c r="H25" s="94"/>
      <c r="I25" s="84"/>
      <c r="J25" s="5"/>
      <c r="K25" s="5"/>
      <c r="L25" s="5"/>
      <c r="M25" s="5"/>
      <c r="N25" s="14"/>
      <c r="O25" s="14"/>
      <c r="P25" s="14"/>
      <c r="Q25" s="14"/>
      <c r="R25" s="14"/>
      <c r="S25" s="14"/>
      <c r="T25" s="14"/>
      <c r="U25" s="14"/>
      <c r="V25" s="14"/>
      <c r="W25" s="14"/>
      <c r="X25" s="14"/>
      <c r="Y25" s="14"/>
      <c r="Z25" s="14"/>
      <c r="AA25" s="15"/>
      <c r="AB25" s="3"/>
      <c r="AC25" s="3"/>
      <c r="AD25" s="3"/>
      <c r="AE25" s="3"/>
      <c r="AF25" s="3"/>
      <c r="AG25" s="3"/>
      <c r="AH25" s="3"/>
      <c r="AI25" s="3"/>
      <c r="AJ25" s="3"/>
      <c r="AK25" s="3"/>
      <c r="AL25" s="3"/>
      <c r="AM25" s="3"/>
      <c r="AN25" s="3"/>
      <c r="AO25" s="3"/>
    </row>
    <row r="26" spans="1:41" x14ac:dyDescent="0.25">
      <c r="B26" s="13"/>
      <c r="C26" s="6"/>
      <c r="D26" s="93"/>
      <c r="E26" s="84"/>
      <c r="F26" s="14"/>
      <c r="G26" s="6"/>
      <c r="H26" s="93"/>
      <c r="I26" s="84"/>
      <c r="J26" s="5"/>
      <c r="K26" s="5"/>
      <c r="L26" s="5"/>
      <c r="M26" s="5"/>
      <c r="N26" s="14"/>
      <c r="O26" s="14"/>
      <c r="P26" s="14"/>
      <c r="Q26" s="14"/>
      <c r="R26" s="14"/>
      <c r="S26" s="14"/>
      <c r="T26" s="14"/>
      <c r="U26" s="14"/>
      <c r="V26" s="14"/>
      <c r="W26" s="14"/>
      <c r="X26" s="14"/>
      <c r="Y26" s="14"/>
      <c r="Z26" s="14"/>
      <c r="AA26" s="15"/>
      <c r="AB26" s="3"/>
      <c r="AC26" s="3"/>
      <c r="AD26" s="3"/>
      <c r="AE26" s="3"/>
      <c r="AF26" s="3"/>
      <c r="AG26" s="3"/>
      <c r="AH26" s="3"/>
      <c r="AI26" s="3"/>
      <c r="AJ26" s="3"/>
      <c r="AK26" s="3"/>
      <c r="AL26" s="3"/>
      <c r="AM26" s="3"/>
      <c r="AN26" s="3"/>
      <c r="AO26" s="3"/>
    </row>
    <row r="27" spans="1:41" x14ac:dyDescent="0.25">
      <c r="B27" s="13"/>
      <c r="C27" s="152"/>
      <c r="D27" s="166"/>
      <c r="E27" s="96"/>
      <c r="F27" s="14"/>
      <c r="G27" s="6"/>
      <c r="H27" s="178"/>
      <c r="I27" s="96"/>
      <c r="J27" s="5"/>
      <c r="K27" s="5"/>
      <c r="L27" s="5"/>
      <c r="M27" s="5"/>
      <c r="N27" s="14"/>
      <c r="O27" s="14"/>
      <c r="P27" s="14"/>
      <c r="Q27" s="14"/>
      <c r="R27" s="14"/>
      <c r="S27" s="14"/>
      <c r="T27" s="14"/>
      <c r="U27" s="14"/>
      <c r="V27" s="14"/>
      <c r="W27" s="14"/>
      <c r="X27" s="14"/>
      <c r="Y27" s="14"/>
      <c r="Z27" s="14"/>
      <c r="AA27" s="15"/>
      <c r="AB27" s="3"/>
      <c r="AC27" s="3"/>
      <c r="AD27" s="3"/>
      <c r="AE27" s="3"/>
      <c r="AF27" s="3"/>
      <c r="AG27" s="3"/>
      <c r="AH27" s="3"/>
      <c r="AI27" s="3"/>
      <c r="AJ27" s="3"/>
      <c r="AK27" s="3"/>
      <c r="AL27" s="3"/>
      <c r="AM27" s="3"/>
      <c r="AN27" s="3"/>
      <c r="AO27" s="3"/>
    </row>
    <row r="28" spans="1:41" x14ac:dyDescent="0.25">
      <c r="B28" s="13"/>
      <c r="C28" s="6"/>
      <c r="D28" s="119"/>
      <c r="E28" s="96"/>
      <c r="F28" s="14"/>
      <c r="G28" s="6"/>
      <c r="H28" s="119"/>
      <c r="I28" s="96"/>
      <c r="J28" s="5"/>
      <c r="K28" s="5"/>
      <c r="L28" s="5"/>
      <c r="M28" s="5"/>
      <c r="N28" s="14"/>
      <c r="O28" s="14"/>
      <c r="P28" s="14"/>
      <c r="Q28" s="14"/>
      <c r="R28" s="14"/>
      <c r="S28" s="14"/>
      <c r="T28" s="14"/>
      <c r="U28" s="14"/>
      <c r="V28" s="14"/>
      <c r="W28" s="14"/>
      <c r="X28" s="14"/>
      <c r="Y28" s="14"/>
      <c r="Z28" s="14"/>
      <c r="AA28" s="15"/>
      <c r="AB28" s="3"/>
      <c r="AC28" s="3"/>
      <c r="AD28" s="3"/>
      <c r="AE28" s="3"/>
      <c r="AF28" s="3"/>
      <c r="AG28" s="3"/>
      <c r="AH28" s="3"/>
      <c r="AI28" s="3"/>
      <c r="AJ28" s="3"/>
      <c r="AK28" s="3"/>
      <c r="AL28" s="3"/>
      <c r="AM28" s="3"/>
      <c r="AN28" s="3"/>
      <c r="AO28" s="3"/>
    </row>
    <row r="29" spans="1:41" x14ac:dyDescent="0.25">
      <c r="B29" s="13"/>
      <c r="C29" s="6"/>
      <c r="D29" s="93"/>
      <c r="E29" s="96"/>
      <c r="F29" s="14"/>
      <c r="G29" s="6"/>
      <c r="H29" s="93"/>
      <c r="I29" s="96"/>
      <c r="J29" s="5"/>
      <c r="K29" s="5"/>
      <c r="L29" s="5"/>
      <c r="M29" s="5"/>
      <c r="N29" s="14"/>
      <c r="O29" s="14"/>
      <c r="P29" s="14"/>
      <c r="Q29" s="14"/>
      <c r="R29" s="14"/>
      <c r="S29" s="14"/>
      <c r="T29" s="14"/>
      <c r="U29" s="14"/>
      <c r="V29" s="14"/>
      <c r="W29" s="14"/>
      <c r="X29" s="14"/>
      <c r="Y29" s="14"/>
      <c r="Z29" s="14"/>
      <c r="AA29" s="15"/>
      <c r="AB29" s="3"/>
      <c r="AC29" s="3"/>
      <c r="AD29" s="3"/>
      <c r="AE29" s="3"/>
      <c r="AF29" s="3"/>
      <c r="AG29" s="3"/>
      <c r="AH29" s="3"/>
      <c r="AI29" s="3"/>
      <c r="AJ29" s="3"/>
      <c r="AK29" s="3"/>
      <c r="AL29" s="3"/>
      <c r="AM29" s="3"/>
      <c r="AN29" s="3"/>
      <c r="AO29" s="3"/>
    </row>
    <row r="30" spans="1:41" x14ac:dyDescent="0.25">
      <c r="B30" s="13"/>
      <c r="C30" s="36"/>
      <c r="D30" s="106"/>
      <c r="E30" s="174"/>
      <c r="F30" s="14"/>
      <c r="G30" s="36"/>
      <c r="H30" s="106"/>
      <c r="I30" s="174"/>
      <c r="J30" s="5"/>
      <c r="K30" s="5"/>
      <c r="L30" s="5"/>
      <c r="M30" s="5"/>
      <c r="N30" s="14"/>
      <c r="O30" s="14"/>
      <c r="P30" s="14"/>
      <c r="Q30" s="14"/>
      <c r="R30" s="14"/>
      <c r="S30" s="14"/>
      <c r="T30" s="14"/>
      <c r="U30" s="14"/>
      <c r="V30" s="14"/>
      <c r="W30" s="14"/>
      <c r="X30" s="14"/>
      <c r="Y30" s="14"/>
      <c r="Z30" s="14"/>
      <c r="AA30" s="15"/>
      <c r="AB30" s="3"/>
      <c r="AC30" s="3"/>
      <c r="AD30" s="3"/>
      <c r="AE30" s="3"/>
      <c r="AF30" s="3"/>
      <c r="AG30" s="3"/>
      <c r="AH30" s="3"/>
      <c r="AI30" s="3"/>
      <c r="AJ30" s="3"/>
      <c r="AK30" s="3"/>
      <c r="AL30" s="3"/>
      <c r="AM30" s="3"/>
      <c r="AN30" s="3"/>
      <c r="AO30" s="3"/>
    </row>
    <row r="31" spans="1:41" s="127" customFormat="1" x14ac:dyDescent="0.25">
      <c r="A31" s="125"/>
      <c r="B31" s="126"/>
      <c r="C31" s="5"/>
      <c r="D31" s="5"/>
      <c r="E31" s="5"/>
      <c r="F31" s="158"/>
      <c r="G31" s="158"/>
      <c r="H31" s="158"/>
      <c r="I31" s="158"/>
      <c r="J31" s="17"/>
      <c r="K31" s="17"/>
      <c r="L31" s="17"/>
      <c r="M31" s="17"/>
      <c r="N31" s="17"/>
      <c r="O31" s="17"/>
      <c r="P31" s="17"/>
      <c r="Q31" s="17"/>
      <c r="R31" s="17"/>
      <c r="S31" s="17"/>
      <c r="T31" s="17"/>
      <c r="U31" s="17"/>
      <c r="V31" s="17"/>
      <c r="W31" s="17"/>
      <c r="X31" s="17"/>
      <c r="Y31" s="17"/>
      <c r="Z31" s="17"/>
      <c r="AA31" s="131"/>
      <c r="AB31" s="125"/>
      <c r="AC31" s="125"/>
      <c r="AD31" s="125"/>
      <c r="AE31" s="125"/>
      <c r="AF31" s="125"/>
      <c r="AG31" s="125"/>
      <c r="AH31" s="125"/>
      <c r="AI31" s="125"/>
      <c r="AJ31" s="125"/>
      <c r="AK31" s="125"/>
      <c r="AL31" s="125"/>
      <c r="AM31" s="125"/>
      <c r="AN31" s="125"/>
      <c r="AO31" s="125"/>
    </row>
    <row r="32" spans="1:41" x14ac:dyDescent="0.25">
      <c r="B32" s="13"/>
      <c r="C32" s="39" t="s">
        <v>746</v>
      </c>
      <c r="D32" s="40"/>
      <c r="E32" s="41"/>
      <c r="F32" s="5"/>
      <c r="G32" s="39" t="s">
        <v>746</v>
      </c>
      <c r="H32" s="40"/>
      <c r="I32" s="41"/>
      <c r="J32" s="14"/>
      <c r="K32" s="39" t="s">
        <v>83</v>
      </c>
      <c r="L32" s="40"/>
      <c r="M32" s="41"/>
      <c r="N32" s="14"/>
      <c r="O32" s="14"/>
      <c r="P32" s="14"/>
      <c r="Q32" s="14"/>
      <c r="R32" s="14"/>
      <c r="S32" s="14"/>
      <c r="T32" s="14"/>
      <c r="U32" s="14"/>
      <c r="V32" s="14"/>
      <c r="W32" s="14"/>
      <c r="X32" s="14"/>
      <c r="Y32" s="14"/>
      <c r="Z32" s="14"/>
      <c r="AA32" s="15"/>
      <c r="AB32" s="3"/>
      <c r="AC32" s="3"/>
      <c r="AD32" s="3"/>
      <c r="AE32" s="3"/>
      <c r="AF32" s="3"/>
      <c r="AG32" s="3"/>
      <c r="AH32" s="3"/>
      <c r="AI32" s="3"/>
      <c r="AJ32" s="3"/>
      <c r="AK32" s="3"/>
      <c r="AL32" s="3"/>
      <c r="AM32" s="3"/>
      <c r="AN32" s="3"/>
      <c r="AO32" s="3"/>
    </row>
    <row r="33" spans="2:41" x14ac:dyDescent="0.25">
      <c r="B33" s="13"/>
      <c r="C33" s="14"/>
      <c r="D33" s="14"/>
      <c r="E33" s="14"/>
      <c r="F33" s="5"/>
      <c r="G33" s="14"/>
      <c r="H33" s="14"/>
      <c r="I33" s="14"/>
      <c r="J33" s="14"/>
      <c r="K33" s="14"/>
      <c r="L33" s="14"/>
      <c r="M33" s="14"/>
      <c r="N33" s="14"/>
      <c r="O33" s="14"/>
      <c r="P33" s="14"/>
      <c r="Q33" s="14"/>
      <c r="R33" s="14"/>
      <c r="S33" s="14"/>
      <c r="T33" s="14"/>
      <c r="U33" s="14"/>
      <c r="V33" s="14"/>
      <c r="W33" s="14"/>
      <c r="X33" s="14"/>
      <c r="Y33" s="14"/>
      <c r="Z33" s="14"/>
      <c r="AA33" s="15"/>
      <c r="AB33" s="3"/>
      <c r="AC33" s="3"/>
      <c r="AD33" s="3"/>
      <c r="AE33" s="3"/>
      <c r="AF33" s="3"/>
      <c r="AG33" s="3"/>
      <c r="AH33" s="3"/>
      <c r="AI33" s="3"/>
      <c r="AJ33" s="3"/>
      <c r="AK33" s="3"/>
      <c r="AL33" s="3"/>
      <c r="AM33" s="3"/>
      <c r="AN33" s="3"/>
      <c r="AO33" s="3"/>
    </row>
    <row r="34" spans="2:41" x14ac:dyDescent="0.25">
      <c r="B34" s="13"/>
      <c r="C34" s="32"/>
      <c r="D34" s="33"/>
      <c r="E34" s="34"/>
      <c r="F34" s="5"/>
      <c r="G34" s="32"/>
      <c r="H34" s="33"/>
      <c r="I34" s="34"/>
      <c r="J34" s="14"/>
      <c r="K34" s="32" t="str">
        <f>C13</f>
        <v>Additional electric connection</v>
      </c>
      <c r="L34" s="86">
        <f t="shared" ref="L34:M34" si="5">D13</f>
        <v>101.25807521071114</v>
      </c>
      <c r="M34" s="34" t="str">
        <f t="shared" si="5"/>
        <v>MW</v>
      </c>
      <c r="N34" s="14"/>
      <c r="O34" s="14"/>
      <c r="P34" s="14"/>
      <c r="Q34" s="14"/>
      <c r="R34" s="14"/>
      <c r="S34" s="14"/>
      <c r="T34" s="14"/>
      <c r="U34" s="14"/>
      <c r="V34" s="14"/>
      <c r="W34" s="14"/>
      <c r="X34" s="14"/>
      <c r="Y34" s="14"/>
      <c r="Z34" s="14"/>
      <c r="AA34" s="15"/>
      <c r="AB34" s="3"/>
      <c r="AC34" s="3"/>
      <c r="AD34" s="3"/>
      <c r="AE34" s="3"/>
      <c r="AF34" s="3"/>
      <c r="AG34" s="3"/>
      <c r="AH34" s="3"/>
      <c r="AI34" s="3"/>
      <c r="AJ34" s="3"/>
      <c r="AK34" s="3"/>
      <c r="AL34" s="3"/>
      <c r="AM34" s="3"/>
      <c r="AN34" s="3"/>
      <c r="AO34" s="3"/>
    </row>
    <row r="35" spans="2:41" x14ac:dyDescent="0.25">
      <c r="B35" s="13"/>
      <c r="C35" s="6" t="str">
        <f>Parameters!$E$38</f>
        <v>Cable cost constant</v>
      </c>
      <c r="D35" s="348">
        <f>Parameters!$G$38*ROUNDUP($D$13/E_cable_costs!$D$163,0)</f>
        <v>15706800</v>
      </c>
      <c r="E35" s="704" t="str">
        <f>Parameters!$F$38</f>
        <v>EUR</v>
      </c>
      <c r="F35" s="5"/>
      <c r="G35" s="6" t="str">
        <f>Parameters!E484</f>
        <v>Capex cable (H2)</v>
      </c>
      <c r="H35" s="348">
        <f>IF($D$16="One-off",0,D35+D38*D10+((D37+D36*D13)*D10))</f>
        <v>46277627.294251874</v>
      </c>
      <c r="I35" s="701" t="str">
        <f>E35</f>
        <v>EUR</v>
      </c>
      <c r="J35" s="14"/>
      <c r="K35" s="6" t="str">
        <f>Parameters!E481</f>
        <v>Specific area electrical equipment</v>
      </c>
      <c r="L35" s="348">
        <f>Parameters!G481</f>
        <v>9.2831095406360422</v>
      </c>
      <c r="M35" s="701" t="str">
        <f>Parameters!F481</f>
        <v>m²/MW</v>
      </c>
      <c r="N35" s="14"/>
      <c r="O35" s="14"/>
      <c r="P35" s="14"/>
      <c r="Q35" s="14"/>
      <c r="R35" s="14"/>
      <c r="S35" s="14"/>
      <c r="T35" s="14"/>
      <c r="U35" s="14"/>
      <c r="V35" s="14"/>
      <c r="W35" s="14"/>
      <c r="X35" s="14"/>
      <c r="Y35" s="14"/>
      <c r="Z35" s="14"/>
      <c r="AA35" s="15"/>
      <c r="AB35" s="3"/>
      <c r="AC35" s="3"/>
      <c r="AD35" s="3"/>
      <c r="AE35" s="3"/>
      <c r="AF35" s="3"/>
      <c r="AG35" s="3"/>
      <c r="AH35" s="3"/>
      <c r="AI35" s="3"/>
      <c r="AJ35" s="3"/>
      <c r="AK35" s="3"/>
      <c r="AL35" s="3"/>
      <c r="AM35" s="3"/>
      <c r="AN35" s="3"/>
      <c r="AO35" s="3"/>
    </row>
    <row r="36" spans="2:41" ht="14.45" customHeight="1" x14ac:dyDescent="0.25">
      <c r="B36" s="13"/>
      <c r="C36" s="6" t="str">
        <f>Parameters!$E$39</f>
        <v>Cable supply coefficient 1</v>
      </c>
      <c r="D36" s="348">
        <f>Parameters!$G$39</f>
        <v>2820</v>
      </c>
      <c r="E36" s="704" t="str">
        <f>Parameters!$F$39</f>
        <v>EUR/(MW*km)</v>
      </c>
      <c r="F36" s="5"/>
      <c r="G36" s="6" t="str">
        <f>Parameters!E485</f>
        <v>Opex cable (H2)</v>
      </c>
      <c r="H36" s="700">
        <f>IF($D$16="One-off",0,D39*H35)</f>
        <v>0</v>
      </c>
      <c r="I36" s="702" t="str">
        <f>Parameters!F485</f>
        <v>EUR/a</v>
      </c>
      <c r="J36" s="14"/>
      <c r="K36" s="6" t="str">
        <f>Parameters!E482</f>
        <v>Specific weight electrical equipment</v>
      </c>
      <c r="L36" s="348">
        <f>Parameters!G482</f>
        <v>0.65073059234615382</v>
      </c>
      <c r="M36" s="701" t="str">
        <f>Parameters!F482</f>
        <v>ton / MW</v>
      </c>
      <c r="N36" s="14"/>
      <c r="O36" s="14"/>
      <c r="P36" s="14"/>
      <c r="Q36" s="14"/>
      <c r="R36" s="14"/>
      <c r="S36" s="14"/>
      <c r="T36" s="14"/>
      <c r="U36" s="14"/>
      <c r="V36" s="14"/>
      <c r="W36" s="14"/>
      <c r="X36" s="14"/>
      <c r="Y36" s="14"/>
      <c r="Z36" s="14"/>
      <c r="AA36" s="15"/>
      <c r="AB36" s="3"/>
      <c r="AC36" s="3"/>
      <c r="AD36" s="3"/>
      <c r="AE36" s="3"/>
      <c r="AF36" s="3"/>
      <c r="AG36" s="3"/>
      <c r="AH36" s="3"/>
      <c r="AI36" s="3"/>
      <c r="AJ36" s="3"/>
      <c r="AK36" s="3"/>
      <c r="AL36" s="3"/>
      <c r="AM36" s="3"/>
      <c r="AN36" s="3"/>
      <c r="AO36" s="3"/>
    </row>
    <row r="37" spans="2:41" x14ac:dyDescent="0.25">
      <c r="B37" s="13"/>
      <c r="C37" s="6" t="str">
        <f>Parameters!$E$40</f>
        <v>Cable supply coefficient 2</v>
      </c>
      <c r="D37" s="348">
        <f>Parameters!$G$40*ROUNDUP($D$13/E_cable_costs!$D$163,0)</f>
        <v>280000</v>
      </c>
      <c r="E37" s="704" t="str">
        <f>Parameters!$F$40</f>
        <v>EUR/(MW*km)</v>
      </c>
      <c r="F37" s="5"/>
      <c r="G37" s="6"/>
      <c r="H37" s="72"/>
      <c r="I37" s="35"/>
      <c r="J37" s="14"/>
      <c r="K37" s="6" t="s">
        <v>1546</v>
      </c>
      <c r="L37" s="81">
        <f>L35*$L$34</f>
        <v>939.98980405499447</v>
      </c>
      <c r="M37" s="35" t="s">
        <v>810</v>
      </c>
      <c r="N37" s="14"/>
      <c r="O37" s="14"/>
      <c r="P37" s="14"/>
      <c r="Q37" s="14"/>
      <c r="R37" s="14"/>
      <c r="S37" s="14"/>
      <c r="T37" s="14"/>
      <c r="U37" s="14"/>
      <c r="V37" s="14"/>
      <c r="W37" s="14"/>
      <c r="X37" s="14"/>
      <c r="Y37" s="14"/>
      <c r="Z37" s="14"/>
      <c r="AA37" s="15"/>
      <c r="AB37" s="3"/>
      <c r="AC37" s="3"/>
      <c r="AD37" s="3"/>
      <c r="AE37" s="3"/>
      <c r="AF37" s="3"/>
      <c r="AG37" s="3"/>
      <c r="AH37" s="3"/>
      <c r="AI37" s="3"/>
      <c r="AJ37" s="3"/>
      <c r="AK37" s="3"/>
      <c r="AL37" s="3"/>
      <c r="AM37" s="3"/>
      <c r="AN37" s="3"/>
      <c r="AO37" s="3"/>
    </row>
    <row r="38" spans="2:41" x14ac:dyDescent="0.25">
      <c r="B38" s="13"/>
      <c r="C38" s="6" t="str">
        <f>Parameters!$E$41</f>
        <v>Cable cost coefficient 1</v>
      </c>
      <c r="D38" s="348">
        <f>Parameters!$G$41*ROUNDUP($D$13/E_cable_costs!$D$163,0)</f>
        <v>243204.27272727274</v>
      </c>
      <c r="E38" s="704" t="str">
        <f>Parameters!$F$41</f>
        <v>EUR/km</v>
      </c>
      <c r="F38" s="5"/>
      <c r="G38" s="6"/>
      <c r="H38" s="347"/>
      <c r="I38" s="703"/>
      <c r="J38" s="14"/>
      <c r="K38" s="6" t="s">
        <v>1547</v>
      </c>
      <c r="L38" s="81">
        <f>L36*$L$34</f>
        <v>65.891727261697454</v>
      </c>
      <c r="M38" s="703" t="s">
        <v>1540</v>
      </c>
      <c r="N38" s="14"/>
      <c r="O38" s="14"/>
      <c r="P38" s="14"/>
      <c r="Q38" s="14"/>
      <c r="R38" s="14"/>
      <c r="S38" s="14"/>
      <c r="T38" s="14"/>
      <c r="U38" s="14"/>
      <c r="V38" s="14"/>
      <c r="W38" s="14"/>
      <c r="X38" s="14"/>
      <c r="Y38" s="14"/>
      <c r="Z38" s="14"/>
      <c r="AA38" s="15"/>
      <c r="AB38" s="3"/>
      <c r="AC38" s="3"/>
      <c r="AD38" s="3"/>
      <c r="AE38" s="3"/>
      <c r="AF38" s="3"/>
      <c r="AG38" s="3"/>
      <c r="AH38" s="3"/>
      <c r="AI38" s="3"/>
      <c r="AJ38" s="3"/>
      <c r="AK38" s="3"/>
      <c r="AL38" s="3"/>
      <c r="AM38" s="3"/>
      <c r="AN38" s="3"/>
      <c r="AO38" s="3"/>
    </row>
    <row r="39" spans="2:41" x14ac:dyDescent="0.25">
      <c r="B39" s="13"/>
      <c r="C39" s="6" t="str">
        <f>Parameters!E483</f>
        <v>Relative opex cable</v>
      </c>
      <c r="D39" s="291">
        <f>Parameters!G483</f>
        <v>0</v>
      </c>
      <c r="E39" s="35"/>
      <c r="F39" s="5"/>
      <c r="G39" s="6"/>
      <c r="H39" s="43"/>
      <c r="I39" s="35"/>
      <c r="J39" s="14"/>
      <c r="K39" s="6"/>
      <c r="L39" s="43"/>
      <c r="M39" s="35"/>
      <c r="N39" s="14"/>
      <c r="O39" s="14"/>
      <c r="P39" s="14"/>
      <c r="Q39" s="14"/>
      <c r="R39" s="14"/>
      <c r="S39" s="14"/>
      <c r="T39" s="14"/>
      <c r="U39" s="14"/>
      <c r="V39" s="14"/>
      <c r="W39" s="14"/>
      <c r="X39" s="14"/>
      <c r="Y39" s="14"/>
      <c r="Z39" s="14"/>
      <c r="AA39" s="15"/>
      <c r="AB39" s="3"/>
      <c r="AC39" s="3"/>
      <c r="AD39" s="3"/>
      <c r="AE39" s="3"/>
      <c r="AF39" s="3"/>
      <c r="AG39" s="3"/>
      <c r="AH39" s="3"/>
      <c r="AI39" s="3"/>
      <c r="AJ39" s="3"/>
      <c r="AK39" s="3"/>
      <c r="AL39" s="3"/>
      <c r="AM39" s="3"/>
      <c r="AN39" s="3"/>
      <c r="AO39" s="3"/>
    </row>
    <row r="40" spans="2:41" x14ac:dyDescent="0.25">
      <c r="B40" s="13"/>
      <c r="C40" s="36"/>
      <c r="D40" s="37"/>
      <c r="E40" s="38"/>
      <c r="F40" s="5"/>
      <c r="G40" s="36"/>
      <c r="H40" s="37"/>
      <c r="I40" s="38"/>
      <c r="J40" s="14"/>
      <c r="K40" s="36"/>
      <c r="L40" s="37"/>
      <c r="M40" s="38"/>
      <c r="N40" s="14"/>
      <c r="O40" s="14"/>
      <c r="P40" s="14"/>
      <c r="Q40" s="14"/>
      <c r="R40" s="14"/>
      <c r="S40" s="14"/>
      <c r="T40" s="14"/>
      <c r="U40" s="14"/>
      <c r="V40" s="14"/>
      <c r="W40" s="14"/>
      <c r="X40" s="14"/>
      <c r="Y40" s="14"/>
      <c r="Z40" s="14"/>
      <c r="AA40" s="15"/>
      <c r="AB40" s="3"/>
      <c r="AC40" s="3"/>
      <c r="AD40" s="3"/>
      <c r="AE40" s="3"/>
      <c r="AF40" s="3"/>
      <c r="AG40" s="3"/>
      <c r="AH40" s="3"/>
      <c r="AI40" s="3"/>
      <c r="AJ40" s="3"/>
      <c r="AK40" s="3"/>
      <c r="AL40" s="3"/>
      <c r="AM40" s="3"/>
      <c r="AN40" s="3"/>
      <c r="AO40" s="3"/>
    </row>
    <row r="41" spans="2:41" ht="18.75" x14ac:dyDescent="0.3">
      <c r="B41" s="67"/>
      <c r="C41" s="5"/>
      <c r="D41" s="5"/>
      <c r="E41" s="5"/>
      <c r="F41" s="5"/>
      <c r="G41" s="5"/>
      <c r="H41" s="5"/>
      <c r="I41" s="5"/>
      <c r="J41" s="14"/>
      <c r="K41" s="14"/>
      <c r="L41" s="14"/>
      <c r="M41" s="14"/>
      <c r="N41" s="14"/>
      <c r="O41" s="14"/>
      <c r="P41" s="14"/>
      <c r="Q41" s="14"/>
      <c r="R41" s="14"/>
      <c r="S41" s="14"/>
      <c r="T41" s="14"/>
      <c r="U41" s="14"/>
      <c r="V41" s="14"/>
      <c r="W41" s="14"/>
      <c r="X41" s="14"/>
      <c r="Y41" s="14"/>
      <c r="Z41" s="14"/>
      <c r="AA41" s="15"/>
      <c r="AB41" s="3"/>
      <c r="AC41" s="3"/>
      <c r="AD41" s="3"/>
      <c r="AE41" s="3"/>
      <c r="AF41" s="3"/>
      <c r="AG41" s="3"/>
      <c r="AH41" s="3"/>
      <c r="AI41" s="3"/>
      <c r="AJ41" s="3"/>
      <c r="AK41" s="3"/>
      <c r="AL41" s="3"/>
      <c r="AM41" s="3"/>
      <c r="AN41" s="3"/>
      <c r="AO41" s="3"/>
    </row>
    <row r="42" spans="2:41" x14ac:dyDescent="0.25">
      <c r="B42" s="13"/>
      <c r="C42" s="5"/>
      <c r="D42" s="158"/>
      <c r="E42" s="5"/>
      <c r="F42" s="5"/>
      <c r="G42" s="5"/>
      <c r="H42" s="14"/>
      <c r="I42" s="14"/>
      <c r="J42" s="14"/>
      <c r="K42" s="14"/>
      <c r="L42" s="14"/>
      <c r="M42" s="14"/>
      <c r="N42" s="14"/>
      <c r="O42" s="14"/>
      <c r="P42" s="14"/>
      <c r="Q42" s="14"/>
      <c r="R42" s="14"/>
      <c r="S42" s="14"/>
      <c r="T42" s="14"/>
      <c r="U42" s="14"/>
      <c r="V42" s="14"/>
      <c r="W42" s="14"/>
      <c r="X42" s="14"/>
      <c r="Y42" s="14"/>
      <c r="Z42" s="14"/>
      <c r="AA42" s="15"/>
      <c r="AB42" s="3"/>
      <c r="AC42" s="3"/>
      <c r="AD42" s="3"/>
      <c r="AE42" s="3"/>
      <c r="AF42" s="3"/>
      <c r="AG42" s="3"/>
      <c r="AH42" s="3"/>
      <c r="AI42" s="3"/>
      <c r="AJ42" s="3"/>
      <c r="AK42" s="3"/>
      <c r="AL42" s="3"/>
      <c r="AM42" s="3"/>
      <c r="AN42" s="3"/>
      <c r="AO42" s="3"/>
    </row>
    <row r="43" spans="2:41" x14ac:dyDescent="0.25">
      <c r="B43" s="13"/>
      <c r="C43" s="5"/>
      <c r="D43" s="158"/>
      <c r="E43" s="158"/>
      <c r="F43" s="158"/>
      <c r="G43" s="158"/>
      <c r="H43" s="158"/>
      <c r="I43" s="14"/>
      <c r="J43" s="14"/>
      <c r="K43" s="14"/>
      <c r="L43" s="14"/>
      <c r="M43" s="14"/>
      <c r="N43" s="14"/>
      <c r="O43" s="14"/>
      <c r="P43" s="14"/>
      <c r="Q43" s="14"/>
      <c r="R43" s="14"/>
      <c r="S43" s="14"/>
      <c r="T43" s="14"/>
      <c r="U43" s="14"/>
      <c r="V43" s="14"/>
      <c r="W43" s="14"/>
      <c r="X43" s="14"/>
      <c r="Y43" s="14"/>
      <c r="Z43" s="14"/>
      <c r="AA43" s="15"/>
      <c r="AB43" s="3"/>
      <c r="AC43" s="3"/>
      <c r="AD43" s="3"/>
      <c r="AE43" s="3"/>
      <c r="AF43" s="3"/>
      <c r="AG43" s="3"/>
      <c r="AH43" s="3"/>
      <c r="AI43" s="3"/>
      <c r="AJ43" s="3"/>
      <c r="AK43" s="3"/>
      <c r="AL43" s="3"/>
      <c r="AM43" s="3"/>
      <c r="AN43" s="3"/>
      <c r="AO43" s="3"/>
    </row>
    <row r="44" spans="2:41" x14ac:dyDescent="0.25">
      <c r="B44" s="13"/>
      <c r="C44" s="5"/>
      <c r="D44" s="158"/>
      <c r="E44" s="158"/>
      <c r="F44" s="158"/>
      <c r="G44" s="158"/>
      <c r="H44" s="158"/>
      <c r="I44" s="14"/>
      <c r="J44" s="14"/>
      <c r="K44" s="14"/>
      <c r="L44" s="14"/>
      <c r="M44" s="14"/>
      <c r="N44" s="14"/>
      <c r="O44" s="14"/>
      <c r="P44" s="14"/>
      <c r="Q44" s="14"/>
      <c r="R44" s="14"/>
      <c r="S44" s="14"/>
      <c r="T44" s="14"/>
      <c r="U44" s="14"/>
      <c r="V44" s="14"/>
      <c r="W44" s="14"/>
      <c r="X44" s="14"/>
      <c r="Y44" s="14"/>
      <c r="Z44" s="14"/>
      <c r="AA44" s="15"/>
      <c r="AB44" s="3"/>
      <c r="AC44" s="3"/>
      <c r="AD44" s="3"/>
      <c r="AE44" s="3"/>
      <c r="AF44" s="3"/>
      <c r="AG44" s="3"/>
      <c r="AH44" s="3"/>
      <c r="AI44" s="3"/>
      <c r="AJ44" s="3"/>
      <c r="AK44" s="3"/>
      <c r="AL44" s="3"/>
      <c r="AM44" s="3"/>
      <c r="AN44" s="3"/>
      <c r="AO44" s="3"/>
    </row>
    <row r="45" spans="2:41" x14ac:dyDescent="0.25">
      <c r="B45" s="13"/>
      <c r="C45" s="5"/>
      <c r="D45" s="158"/>
      <c r="E45" s="5"/>
      <c r="F45" s="5"/>
      <c r="G45" s="5"/>
      <c r="H45" s="14"/>
      <c r="I45" s="14"/>
      <c r="J45" s="14"/>
      <c r="K45" s="14"/>
      <c r="L45" s="14"/>
      <c r="M45" s="14"/>
      <c r="N45" s="14"/>
      <c r="O45" s="14"/>
      <c r="P45" s="14"/>
      <c r="Q45" s="14"/>
      <c r="R45" s="14"/>
      <c r="S45" s="14"/>
      <c r="T45" s="14"/>
      <c r="U45" s="14"/>
      <c r="V45" s="14"/>
      <c r="W45" s="14"/>
      <c r="X45" s="14"/>
      <c r="Y45" s="14"/>
      <c r="Z45" s="14"/>
      <c r="AA45" s="15"/>
      <c r="AB45" s="3"/>
      <c r="AC45" s="3"/>
      <c r="AD45" s="3"/>
      <c r="AE45" s="3"/>
      <c r="AF45" s="3"/>
      <c r="AG45" s="3"/>
      <c r="AH45" s="3"/>
      <c r="AI45" s="3"/>
      <c r="AJ45" s="3"/>
      <c r="AK45" s="3"/>
      <c r="AL45" s="3"/>
      <c r="AM45" s="3"/>
      <c r="AN45" s="3"/>
      <c r="AO45" s="3"/>
    </row>
    <row r="46" spans="2:41" x14ac:dyDescent="0.25">
      <c r="B46" s="13"/>
      <c r="C46" s="185"/>
      <c r="D46" s="187"/>
      <c r="E46" s="185"/>
      <c r="F46" s="185"/>
      <c r="G46" s="185"/>
      <c r="H46" s="185"/>
      <c r="I46" s="14"/>
      <c r="J46" s="14"/>
      <c r="K46" s="14"/>
      <c r="L46" s="14"/>
      <c r="M46" s="14"/>
      <c r="N46" s="14"/>
      <c r="O46" s="14"/>
      <c r="P46" s="14"/>
      <c r="Q46" s="14"/>
      <c r="R46" s="14"/>
      <c r="S46" s="14"/>
      <c r="T46" s="14"/>
      <c r="U46" s="14"/>
      <c r="V46" s="14"/>
      <c r="W46" s="14"/>
      <c r="X46" s="14"/>
      <c r="Y46" s="14"/>
      <c r="Z46" s="14"/>
      <c r="AA46" s="15"/>
      <c r="AB46" s="3"/>
      <c r="AC46" s="3"/>
      <c r="AD46" s="3"/>
      <c r="AE46" s="3"/>
      <c r="AF46" s="3"/>
      <c r="AG46" s="3"/>
      <c r="AH46" s="3"/>
      <c r="AI46" s="3"/>
      <c r="AJ46" s="3"/>
      <c r="AK46" s="3"/>
      <c r="AL46" s="3"/>
      <c r="AM46" s="3"/>
      <c r="AN46" s="3"/>
      <c r="AO46" s="3"/>
    </row>
    <row r="47" spans="2:41" x14ac:dyDescent="0.25">
      <c r="B47" s="13"/>
      <c r="C47" s="132"/>
      <c r="D47" s="124"/>
      <c r="E47" s="134"/>
      <c r="F47" s="134"/>
      <c r="G47" s="134"/>
      <c r="H47" s="14"/>
      <c r="I47" s="14"/>
      <c r="J47" s="14"/>
      <c r="K47" s="14"/>
      <c r="L47" s="14"/>
      <c r="M47" s="14"/>
      <c r="N47" s="14"/>
      <c r="O47" s="14"/>
      <c r="P47" s="14"/>
      <c r="Q47" s="14"/>
      <c r="R47" s="14"/>
      <c r="S47" s="14"/>
      <c r="T47" s="14"/>
      <c r="U47" s="14"/>
      <c r="V47" s="14"/>
      <c r="W47" s="14"/>
      <c r="X47" s="14"/>
      <c r="Y47" s="14"/>
      <c r="Z47" s="14"/>
      <c r="AA47" s="15"/>
      <c r="AB47" s="3"/>
      <c r="AC47" s="3"/>
      <c r="AD47" s="3"/>
      <c r="AE47" s="3"/>
      <c r="AF47" s="3"/>
      <c r="AG47" s="3"/>
      <c r="AH47" s="3"/>
      <c r="AI47" s="3"/>
      <c r="AJ47" s="3"/>
      <c r="AK47" s="3"/>
      <c r="AL47" s="3"/>
      <c r="AM47" s="3"/>
      <c r="AN47" s="3"/>
      <c r="AO47" s="3"/>
    </row>
    <row r="48" spans="2:41" ht="18.75" x14ac:dyDescent="0.3">
      <c r="B48" s="67"/>
      <c r="C48" s="132"/>
      <c r="D48" s="134"/>
      <c r="E48" s="134"/>
      <c r="F48" s="134"/>
      <c r="G48" s="134"/>
      <c r="H48" s="14"/>
      <c r="I48" s="14"/>
      <c r="J48" s="14"/>
      <c r="K48" s="14"/>
      <c r="L48" s="14"/>
      <c r="M48" s="14"/>
      <c r="N48" s="14"/>
      <c r="O48" s="14"/>
      <c r="P48" s="14"/>
      <c r="Q48" s="14"/>
      <c r="R48" s="14"/>
      <c r="S48" s="14"/>
      <c r="T48" s="14"/>
      <c r="U48" s="14"/>
      <c r="V48" s="14"/>
      <c r="W48" s="14"/>
      <c r="X48" s="14"/>
      <c r="Y48" s="14"/>
      <c r="Z48" s="14"/>
      <c r="AA48" s="15"/>
      <c r="AB48" s="3"/>
      <c r="AC48" s="3"/>
      <c r="AD48" s="3"/>
      <c r="AE48" s="3"/>
      <c r="AF48" s="3"/>
      <c r="AG48" s="3"/>
      <c r="AH48" s="3"/>
      <c r="AI48" s="3"/>
      <c r="AJ48" s="3"/>
      <c r="AK48" s="3"/>
      <c r="AL48" s="3"/>
      <c r="AM48" s="3"/>
      <c r="AN48" s="3"/>
      <c r="AO48" s="3"/>
    </row>
    <row r="49" spans="2:41" x14ac:dyDescent="0.25">
      <c r="B49" s="13"/>
      <c r="C49" s="14"/>
      <c r="D49" s="14"/>
      <c r="E49" s="14"/>
      <c r="F49" s="14"/>
      <c r="G49" s="14"/>
      <c r="H49" s="14"/>
      <c r="I49" s="14"/>
      <c r="J49" s="14"/>
      <c r="K49" s="14"/>
      <c r="L49" s="14"/>
      <c r="M49" s="14"/>
      <c r="N49" s="14"/>
      <c r="O49" s="14"/>
      <c r="P49" s="14"/>
      <c r="Q49" s="14"/>
      <c r="R49" s="14"/>
      <c r="S49" s="14"/>
      <c r="T49" s="14"/>
      <c r="U49" s="14"/>
      <c r="V49" s="14"/>
      <c r="W49" s="14"/>
      <c r="X49" s="14"/>
      <c r="Y49" s="14"/>
      <c r="Z49" s="14"/>
      <c r="AA49" s="15"/>
      <c r="AB49" s="3"/>
      <c r="AC49" s="3"/>
      <c r="AD49" s="3"/>
      <c r="AE49" s="3"/>
      <c r="AF49" s="3"/>
      <c r="AG49" s="3"/>
      <c r="AH49" s="3"/>
      <c r="AI49" s="3"/>
      <c r="AJ49" s="3"/>
      <c r="AK49" s="3"/>
      <c r="AL49" s="3"/>
      <c r="AM49" s="3"/>
      <c r="AN49" s="3"/>
      <c r="AO49" s="3"/>
    </row>
    <row r="50" spans="2:41" x14ac:dyDescent="0.25">
      <c r="B50" s="13"/>
      <c r="C50" s="14"/>
      <c r="D50" s="14"/>
      <c r="E50" s="14"/>
      <c r="F50" s="14"/>
      <c r="G50" s="14"/>
      <c r="H50" s="14"/>
      <c r="I50" s="14"/>
      <c r="J50" s="14"/>
      <c r="K50" s="14"/>
      <c r="L50" s="14"/>
      <c r="M50" s="14"/>
      <c r="N50" s="14"/>
      <c r="O50" s="14"/>
      <c r="P50" s="14"/>
      <c r="Q50" s="14"/>
      <c r="R50" s="14"/>
      <c r="S50" s="14"/>
      <c r="T50" s="14"/>
      <c r="U50" s="14"/>
      <c r="V50" s="14"/>
      <c r="W50" s="14"/>
      <c r="X50" s="14"/>
      <c r="Y50" s="14"/>
      <c r="Z50" s="14"/>
      <c r="AA50" s="15"/>
      <c r="AB50" s="3"/>
      <c r="AC50" s="3"/>
      <c r="AD50" s="3"/>
      <c r="AE50" s="3"/>
      <c r="AF50" s="3"/>
      <c r="AG50" s="3"/>
      <c r="AH50" s="3"/>
      <c r="AI50" s="3"/>
      <c r="AJ50" s="3"/>
      <c r="AK50" s="3"/>
      <c r="AL50" s="3"/>
      <c r="AM50" s="3"/>
      <c r="AN50" s="3"/>
      <c r="AO50" s="3"/>
    </row>
    <row r="51" spans="2:41" x14ac:dyDescent="0.25">
      <c r="B51" s="13"/>
      <c r="C51" s="14"/>
      <c r="D51" s="14"/>
      <c r="E51" s="14"/>
      <c r="F51" s="14"/>
      <c r="G51" s="14"/>
      <c r="H51" s="14"/>
      <c r="I51" s="14"/>
      <c r="J51" s="14"/>
      <c r="K51" s="14"/>
      <c r="L51" s="14"/>
      <c r="M51" s="14"/>
      <c r="N51" s="14"/>
      <c r="O51" s="14"/>
      <c r="P51" s="14"/>
      <c r="Q51" s="14"/>
      <c r="R51" s="14"/>
      <c r="S51" s="14"/>
      <c r="T51" s="14"/>
      <c r="U51" s="14"/>
      <c r="V51" s="14"/>
      <c r="W51" s="14"/>
      <c r="X51" s="14"/>
      <c r="Y51" s="14"/>
      <c r="Z51" s="14"/>
      <c r="AA51" s="15"/>
      <c r="AB51" s="3"/>
      <c r="AC51" s="3"/>
      <c r="AD51" s="3"/>
      <c r="AE51" s="3"/>
      <c r="AF51" s="3"/>
      <c r="AG51" s="3"/>
      <c r="AH51" s="3"/>
      <c r="AI51" s="3"/>
      <c r="AJ51" s="3"/>
      <c r="AK51" s="3"/>
      <c r="AL51" s="3"/>
      <c r="AM51" s="3"/>
      <c r="AN51" s="3"/>
      <c r="AO51" s="3"/>
    </row>
    <row r="52" spans="2:41" x14ac:dyDescent="0.25">
      <c r="B52" s="13"/>
      <c r="C52" s="14"/>
      <c r="D52" s="14"/>
      <c r="E52" s="14"/>
      <c r="F52" s="14"/>
      <c r="G52" s="14"/>
      <c r="H52" s="14"/>
      <c r="I52" s="14"/>
      <c r="J52" s="14"/>
      <c r="K52" s="14"/>
      <c r="L52" s="14"/>
      <c r="M52" s="14"/>
      <c r="N52" s="14"/>
      <c r="O52" s="14"/>
      <c r="P52" s="14"/>
      <c r="Q52" s="14"/>
      <c r="R52" s="14"/>
      <c r="S52" s="14"/>
      <c r="T52" s="14"/>
      <c r="U52" s="14"/>
      <c r="V52" s="14"/>
      <c r="W52" s="14"/>
      <c r="X52" s="14"/>
      <c r="Y52" s="14"/>
      <c r="Z52" s="14"/>
      <c r="AA52" s="15"/>
      <c r="AB52" s="3"/>
      <c r="AC52" s="3"/>
      <c r="AD52" s="3"/>
      <c r="AE52" s="3"/>
      <c r="AF52" s="3"/>
      <c r="AG52" s="3"/>
      <c r="AH52" s="3"/>
      <c r="AI52" s="3"/>
      <c r="AJ52" s="3"/>
      <c r="AK52" s="3"/>
      <c r="AL52" s="3"/>
      <c r="AM52" s="3"/>
      <c r="AN52" s="3"/>
      <c r="AO52" s="3"/>
    </row>
    <row r="53" spans="2:41" x14ac:dyDescent="0.25">
      <c r="B53" s="13"/>
      <c r="C53" s="14"/>
      <c r="D53" s="14"/>
      <c r="E53" s="14"/>
      <c r="F53" s="14"/>
      <c r="G53" s="14"/>
      <c r="H53" s="14"/>
      <c r="I53" s="14"/>
      <c r="J53" s="14"/>
      <c r="K53" s="14"/>
      <c r="L53" s="14"/>
      <c r="M53" s="14"/>
      <c r="N53" s="14"/>
      <c r="O53" s="14"/>
      <c r="P53" s="14"/>
      <c r="Q53" s="14"/>
      <c r="R53" s="14"/>
      <c r="S53" s="14"/>
      <c r="T53" s="14"/>
      <c r="U53" s="14"/>
      <c r="V53" s="14"/>
      <c r="W53" s="14"/>
      <c r="X53" s="14"/>
      <c r="Y53" s="14"/>
      <c r="Z53" s="14"/>
      <c r="AA53" s="15"/>
      <c r="AB53" s="3"/>
      <c r="AC53" s="3"/>
      <c r="AD53" s="3"/>
      <c r="AE53" s="3"/>
      <c r="AF53" s="3"/>
      <c r="AG53" s="3"/>
      <c r="AH53" s="3"/>
      <c r="AI53" s="3"/>
      <c r="AJ53" s="3"/>
      <c r="AK53" s="3"/>
      <c r="AL53" s="3"/>
      <c r="AM53" s="3"/>
      <c r="AN53" s="3"/>
      <c r="AO53" s="3"/>
    </row>
    <row r="54" spans="2:41" x14ac:dyDescent="0.25">
      <c r="B54" s="13"/>
      <c r="C54" s="14"/>
      <c r="D54" s="14"/>
      <c r="E54" s="14"/>
      <c r="F54" s="14"/>
      <c r="G54" s="14"/>
      <c r="H54" s="14"/>
      <c r="I54" s="14"/>
      <c r="J54" s="14"/>
      <c r="K54" s="14"/>
      <c r="L54" s="14"/>
      <c r="M54" s="14"/>
      <c r="N54" s="14"/>
      <c r="O54" s="14"/>
      <c r="P54" s="14"/>
      <c r="Q54" s="14"/>
      <c r="R54" s="14"/>
      <c r="S54" s="14"/>
      <c r="T54" s="14"/>
      <c r="U54" s="14"/>
      <c r="V54" s="14"/>
      <c r="W54" s="14"/>
      <c r="X54" s="14"/>
      <c r="Y54" s="14"/>
      <c r="Z54" s="14"/>
      <c r="AA54" s="15"/>
      <c r="AB54" s="3"/>
      <c r="AC54" s="3"/>
      <c r="AD54" s="3"/>
      <c r="AE54" s="3"/>
      <c r="AF54" s="3"/>
      <c r="AG54" s="3"/>
      <c r="AH54" s="3"/>
      <c r="AI54" s="3"/>
      <c r="AJ54" s="3"/>
      <c r="AK54" s="3"/>
      <c r="AL54" s="3"/>
      <c r="AM54" s="3"/>
      <c r="AN54" s="3"/>
      <c r="AO54" s="3"/>
    </row>
    <row r="55" spans="2:41" x14ac:dyDescent="0.25">
      <c r="B55" s="13"/>
      <c r="C55" s="14"/>
      <c r="D55" s="14"/>
      <c r="E55" s="14"/>
      <c r="F55" s="14"/>
      <c r="G55" s="14"/>
      <c r="H55" s="14"/>
      <c r="I55" s="14"/>
      <c r="J55" s="14"/>
      <c r="K55" s="14"/>
      <c r="L55" s="14"/>
      <c r="M55" s="14"/>
      <c r="N55" s="14"/>
      <c r="O55" s="14"/>
      <c r="P55" s="14"/>
      <c r="Q55" s="14"/>
      <c r="R55" s="14"/>
      <c r="S55" s="14"/>
      <c r="T55" s="14"/>
      <c r="U55" s="14"/>
      <c r="V55" s="14"/>
      <c r="W55" s="14"/>
      <c r="X55" s="14"/>
      <c r="Y55" s="14"/>
      <c r="Z55" s="14"/>
      <c r="AA55" s="15"/>
      <c r="AB55" s="3"/>
      <c r="AC55" s="3"/>
      <c r="AD55" s="3"/>
      <c r="AE55" s="3"/>
      <c r="AF55" s="3"/>
      <c r="AG55" s="3"/>
      <c r="AH55" s="3"/>
      <c r="AI55" s="3"/>
      <c r="AJ55" s="3"/>
      <c r="AK55" s="3"/>
      <c r="AL55" s="3"/>
      <c r="AM55" s="3"/>
      <c r="AN55" s="3"/>
      <c r="AO55" s="3"/>
    </row>
    <row r="56" spans="2:41" x14ac:dyDescent="0.25">
      <c r="B56" s="13"/>
      <c r="C56" s="14"/>
      <c r="D56" s="14"/>
      <c r="E56" s="14"/>
      <c r="F56" s="14"/>
      <c r="G56" s="14"/>
      <c r="H56" s="14"/>
      <c r="I56" s="14"/>
      <c r="J56" s="14"/>
      <c r="K56" s="14"/>
      <c r="L56" s="14"/>
      <c r="M56" s="14"/>
      <c r="N56" s="14"/>
      <c r="O56" s="14"/>
      <c r="P56" s="14"/>
      <c r="Q56" s="14"/>
      <c r="R56" s="14"/>
      <c r="S56" s="14"/>
      <c r="T56" s="14"/>
      <c r="U56" s="14"/>
      <c r="V56" s="14"/>
      <c r="W56" s="14"/>
      <c r="X56" s="14"/>
      <c r="Y56" s="14"/>
      <c r="Z56" s="14"/>
      <c r="AA56" s="15"/>
      <c r="AB56" s="3"/>
      <c r="AC56" s="3"/>
      <c r="AD56" s="3"/>
      <c r="AE56" s="3"/>
      <c r="AF56" s="3"/>
      <c r="AG56" s="3"/>
      <c r="AH56" s="3"/>
      <c r="AI56" s="3"/>
      <c r="AJ56" s="3"/>
      <c r="AK56" s="3"/>
      <c r="AL56" s="3"/>
      <c r="AM56" s="3"/>
      <c r="AN56" s="3"/>
      <c r="AO56" s="3"/>
    </row>
    <row r="57" spans="2:41" x14ac:dyDescent="0.25">
      <c r="B57" s="13"/>
      <c r="C57" s="14"/>
      <c r="D57" s="14"/>
      <c r="E57" s="14"/>
      <c r="F57" s="14"/>
      <c r="G57" s="14"/>
      <c r="H57" s="14"/>
      <c r="I57" s="14"/>
      <c r="J57" s="14"/>
      <c r="K57" s="14"/>
      <c r="L57" s="14"/>
      <c r="M57" s="14"/>
      <c r="N57" s="14"/>
      <c r="O57" s="14"/>
      <c r="P57" s="14"/>
      <c r="Q57" s="14"/>
      <c r="R57" s="14"/>
      <c r="S57" s="14"/>
      <c r="T57" s="14"/>
      <c r="U57" s="14"/>
      <c r="V57" s="14"/>
      <c r="W57" s="14"/>
      <c r="X57" s="14"/>
      <c r="Y57" s="14"/>
      <c r="Z57" s="14"/>
      <c r="AA57" s="15"/>
      <c r="AB57" s="3"/>
      <c r="AC57" s="3"/>
      <c r="AD57" s="3"/>
      <c r="AE57" s="3"/>
      <c r="AF57" s="3"/>
      <c r="AG57" s="3"/>
      <c r="AH57" s="3"/>
      <c r="AI57" s="3"/>
      <c r="AJ57" s="3"/>
      <c r="AK57" s="3"/>
      <c r="AL57" s="3"/>
      <c r="AM57" s="3"/>
      <c r="AN57" s="3"/>
      <c r="AO57" s="3"/>
    </row>
    <row r="58" spans="2:41" x14ac:dyDescent="0.25">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5"/>
      <c r="AB58" s="3"/>
      <c r="AC58" s="3"/>
      <c r="AD58" s="3"/>
      <c r="AE58" s="3"/>
      <c r="AF58" s="3"/>
      <c r="AG58" s="3"/>
      <c r="AH58" s="3"/>
      <c r="AI58" s="3"/>
      <c r="AJ58" s="3"/>
      <c r="AK58" s="3"/>
      <c r="AL58" s="3"/>
      <c r="AM58" s="3"/>
      <c r="AN58" s="3"/>
      <c r="AO58" s="3"/>
    </row>
    <row r="59" spans="2:41" x14ac:dyDescent="0.25">
      <c r="B59" s="13"/>
      <c r="C59" s="14"/>
      <c r="D59" s="14"/>
      <c r="E59" s="14"/>
      <c r="F59" s="14"/>
      <c r="G59" s="14"/>
      <c r="H59" s="14"/>
      <c r="I59" s="14"/>
      <c r="J59" s="14"/>
      <c r="K59" s="14"/>
      <c r="L59" s="14"/>
      <c r="M59" s="14"/>
      <c r="N59" s="14"/>
      <c r="O59" s="14"/>
      <c r="P59" s="14"/>
      <c r="Q59" s="14"/>
      <c r="R59" s="14"/>
      <c r="S59" s="14"/>
      <c r="T59" s="14"/>
      <c r="U59" s="14"/>
      <c r="V59" s="14"/>
      <c r="W59" s="14"/>
      <c r="X59" s="14"/>
      <c r="Y59" s="14"/>
      <c r="Z59" s="14"/>
      <c r="AA59" s="15"/>
      <c r="AB59" s="3"/>
      <c r="AC59" s="3"/>
      <c r="AD59" s="3"/>
      <c r="AE59" s="3"/>
      <c r="AF59" s="3"/>
      <c r="AG59" s="3"/>
      <c r="AH59" s="3"/>
      <c r="AI59" s="3"/>
      <c r="AJ59" s="3"/>
      <c r="AK59" s="3"/>
      <c r="AL59" s="3"/>
      <c r="AM59" s="3"/>
      <c r="AN59" s="3"/>
      <c r="AO59" s="3"/>
    </row>
    <row r="60" spans="2:41" x14ac:dyDescent="0.25">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5"/>
      <c r="AB60" s="3"/>
      <c r="AC60" s="3"/>
      <c r="AD60" s="3"/>
      <c r="AE60" s="3"/>
      <c r="AF60" s="3"/>
      <c r="AG60" s="3"/>
      <c r="AH60" s="3"/>
      <c r="AI60" s="3"/>
      <c r="AJ60" s="3"/>
      <c r="AK60" s="3"/>
      <c r="AL60" s="3"/>
      <c r="AM60" s="3"/>
      <c r="AN60" s="3"/>
      <c r="AO60" s="3"/>
    </row>
    <row r="61" spans="2:41" ht="15" customHeight="1" x14ac:dyDescent="0.3">
      <c r="B61" s="67"/>
      <c r="C61" s="14"/>
      <c r="D61" s="14"/>
      <c r="E61" s="14"/>
      <c r="F61" s="14"/>
      <c r="G61" s="14"/>
      <c r="H61" s="14"/>
      <c r="I61" s="14"/>
      <c r="J61" s="14"/>
      <c r="K61" s="14"/>
      <c r="L61" s="14"/>
      <c r="M61" s="14"/>
      <c r="N61" s="14"/>
      <c r="O61" s="14"/>
      <c r="P61" s="14"/>
      <c r="Q61" s="14"/>
      <c r="R61" s="14"/>
      <c r="S61" s="14"/>
      <c r="T61" s="14"/>
      <c r="U61" s="14"/>
      <c r="V61" s="14"/>
      <c r="W61" s="14"/>
      <c r="X61" s="14"/>
      <c r="Y61" s="14"/>
      <c r="Z61" s="14"/>
      <c r="AA61" s="15"/>
      <c r="AB61" s="3"/>
      <c r="AC61" s="3"/>
      <c r="AD61" s="3"/>
      <c r="AE61" s="3"/>
      <c r="AF61" s="3"/>
      <c r="AG61" s="3"/>
      <c r="AH61" s="3"/>
      <c r="AI61" s="3"/>
      <c r="AJ61" s="3"/>
      <c r="AK61" s="3"/>
      <c r="AL61" s="3"/>
      <c r="AM61" s="3"/>
      <c r="AN61" s="3"/>
      <c r="AO61" s="3"/>
    </row>
    <row r="62" spans="2:41" x14ac:dyDescent="0.25">
      <c r="B62" s="13"/>
      <c r="C62" s="14"/>
      <c r="D62" s="14"/>
      <c r="E62" s="14"/>
      <c r="F62" s="14"/>
      <c r="G62" s="14"/>
      <c r="H62" s="14"/>
      <c r="I62" s="14"/>
      <c r="J62" s="14"/>
      <c r="K62" s="14"/>
      <c r="L62" s="14"/>
      <c r="M62" s="14"/>
      <c r="N62" s="14"/>
      <c r="O62" s="14"/>
      <c r="P62" s="14"/>
      <c r="Q62" s="14"/>
      <c r="R62" s="14"/>
      <c r="S62" s="14"/>
      <c r="T62" s="14"/>
      <c r="U62" s="14"/>
      <c r="V62" s="14"/>
      <c r="W62" s="14"/>
      <c r="X62" s="14"/>
      <c r="Y62" s="14"/>
      <c r="Z62" s="14"/>
      <c r="AA62" s="15"/>
      <c r="AB62" s="3"/>
      <c r="AC62" s="3"/>
      <c r="AD62" s="3"/>
      <c r="AE62" s="3"/>
      <c r="AF62" s="3"/>
      <c r="AG62" s="3"/>
      <c r="AH62" s="3"/>
      <c r="AI62" s="3"/>
      <c r="AJ62" s="3"/>
      <c r="AK62" s="3"/>
      <c r="AL62" s="3"/>
      <c r="AM62" s="3"/>
      <c r="AN62" s="3"/>
      <c r="AO62" s="3"/>
    </row>
    <row r="63" spans="2:41" x14ac:dyDescent="0.25">
      <c r="B63" s="13"/>
      <c r="C63" s="14"/>
      <c r="D63" s="14"/>
      <c r="E63" s="14"/>
      <c r="F63" s="14"/>
      <c r="G63" s="14"/>
      <c r="H63" s="14"/>
      <c r="I63" s="14"/>
      <c r="J63" s="14"/>
      <c r="K63" s="14"/>
      <c r="L63" s="14"/>
      <c r="M63" s="14"/>
      <c r="N63" s="14"/>
      <c r="O63" s="14"/>
      <c r="P63" s="14"/>
      <c r="Q63" s="14"/>
      <c r="R63" s="14"/>
      <c r="S63" s="14"/>
      <c r="T63" s="14"/>
      <c r="U63" s="14"/>
      <c r="V63" s="14"/>
      <c r="W63" s="14"/>
      <c r="X63" s="14"/>
      <c r="Y63" s="14"/>
      <c r="Z63" s="14"/>
      <c r="AA63" s="15"/>
      <c r="AB63" s="3"/>
      <c r="AC63" s="3"/>
      <c r="AD63" s="3"/>
      <c r="AE63" s="3"/>
      <c r="AF63" s="3"/>
      <c r="AG63" s="3"/>
      <c r="AH63" s="3"/>
      <c r="AI63" s="3"/>
      <c r="AJ63" s="3"/>
      <c r="AK63" s="3"/>
      <c r="AL63" s="3"/>
      <c r="AM63" s="3"/>
      <c r="AN63" s="3"/>
      <c r="AO63" s="3"/>
    </row>
    <row r="64" spans="2:41" x14ac:dyDescent="0.25">
      <c r="B64" s="13"/>
      <c r="C64" s="14"/>
      <c r="D64" s="14"/>
      <c r="E64" s="14"/>
      <c r="F64" s="14"/>
      <c r="G64" s="14"/>
      <c r="H64" s="14"/>
      <c r="I64" s="14"/>
      <c r="J64" s="14"/>
      <c r="K64" s="14"/>
      <c r="L64" s="14"/>
      <c r="M64" s="14"/>
      <c r="N64" s="14"/>
      <c r="O64" s="14"/>
      <c r="P64" s="14"/>
      <c r="Q64" s="14"/>
      <c r="R64" s="14"/>
      <c r="S64" s="14"/>
      <c r="T64" s="14"/>
      <c r="U64" s="14"/>
      <c r="V64" s="14"/>
      <c r="W64" s="14"/>
      <c r="X64" s="14"/>
      <c r="Y64" s="14"/>
      <c r="Z64" s="14"/>
      <c r="AA64" s="15"/>
      <c r="AB64" s="3"/>
      <c r="AC64" s="3"/>
      <c r="AD64" s="3"/>
      <c r="AE64" s="3"/>
      <c r="AF64" s="3"/>
      <c r="AG64" s="3"/>
      <c r="AH64" s="3"/>
      <c r="AI64" s="3"/>
      <c r="AJ64" s="3"/>
      <c r="AK64" s="3"/>
      <c r="AL64" s="3"/>
      <c r="AM64" s="3"/>
      <c r="AN64" s="3"/>
      <c r="AO64" s="3"/>
    </row>
    <row r="65" spans="2:41" x14ac:dyDescent="0.25">
      <c r="B65" s="13"/>
      <c r="C65" s="14"/>
      <c r="D65" s="14"/>
      <c r="E65" s="14"/>
      <c r="F65" s="14"/>
      <c r="G65" s="14"/>
      <c r="H65" s="14"/>
      <c r="I65" s="14"/>
      <c r="J65" s="14"/>
      <c r="K65" s="14"/>
      <c r="L65" s="14"/>
      <c r="M65" s="14"/>
      <c r="N65" s="14"/>
      <c r="O65" s="14"/>
      <c r="P65" s="14"/>
      <c r="Q65" s="14"/>
      <c r="R65" s="14"/>
      <c r="S65" s="14"/>
      <c r="T65" s="14"/>
      <c r="U65" s="14"/>
      <c r="V65" s="14"/>
      <c r="W65" s="14"/>
      <c r="X65" s="14"/>
      <c r="Y65" s="14"/>
      <c r="Z65" s="14"/>
      <c r="AA65" s="15"/>
      <c r="AB65" s="3"/>
      <c r="AC65" s="3"/>
      <c r="AD65" s="3"/>
      <c r="AE65" s="3"/>
      <c r="AF65" s="3"/>
      <c r="AG65" s="3"/>
      <c r="AH65" s="3"/>
      <c r="AI65" s="3"/>
      <c r="AJ65" s="3"/>
      <c r="AK65" s="3"/>
      <c r="AL65" s="3"/>
      <c r="AM65" s="3"/>
      <c r="AN65" s="3"/>
      <c r="AO65" s="3"/>
    </row>
    <row r="66" spans="2:41" x14ac:dyDescent="0.25">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5"/>
      <c r="AB66" s="3"/>
      <c r="AC66" s="3"/>
      <c r="AD66" s="3"/>
      <c r="AE66" s="3"/>
      <c r="AF66" s="3"/>
      <c r="AG66" s="3"/>
      <c r="AH66" s="3"/>
      <c r="AI66" s="3"/>
      <c r="AJ66" s="3"/>
      <c r="AK66" s="3"/>
      <c r="AL66" s="3"/>
      <c r="AM66" s="3"/>
      <c r="AN66" s="3"/>
      <c r="AO66" s="3"/>
    </row>
    <row r="67" spans="2:41" x14ac:dyDescent="0.25">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5"/>
      <c r="AB67" s="3"/>
      <c r="AC67" s="3"/>
      <c r="AD67" s="3"/>
      <c r="AE67" s="3"/>
      <c r="AF67" s="3"/>
      <c r="AG67" s="3"/>
      <c r="AH67" s="3"/>
      <c r="AI67" s="3"/>
      <c r="AJ67" s="3"/>
      <c r="AK67" s="3"/>
      <c r="AL67" s="3"/>
      <c r="AM67" s="3"/>
      <c r="AN67" s="3"/>
      <c r="AO67" s="3"/>
    </row>
    <row r="68" spans="2:41" x14ac:dyDescent="0.25">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5"/>
      <c r="AB68" s="3"/>
      <c r="AC68" s="3"/>
      <c r="AD68" s="3"/>
      <c r="AE68" s="3"/>
      <c r="AF68" s="3"/>
      <c r="AG68" s="3"/>
      <c r="AH68" s="3"/>
      <c r="AI68" s="3"/>
      <c r="AJ68" s="3"/>
      <c r="AK68" s="3"/>
      <c r="AL68" s="3"/>
      <c r="AM68" s="3"/>
      <c r="AN68" s="3"/>
      <c r="AO68" s="3"/>
    </row>
    <row r="69" spans="2:41" x14ac:dyDescent="0.25">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5"/>
      <c r="AB69" s="3"/>
      <c r="AC69" s="3"/>
      <c r="AD69" s="3"/>
      <c r="AE69" s="3"/>
      <c r="AF69" s="3"/>
      <c r="AG69" s="3"/>
      <c r="AH69" s="3"/>
      <c r="AI69" s="3"/>
      <c r="AJ69" s="3"/>
      <c r="AK69" s="3"/>
      <c r="AL69" s="3"/>
      <c r="AM69" s="3"/>
      <c r="AN69" s="3"/>
      <c r="AO69" s="3"/>
    </row>
    <row r="70" spans="2:41" x14ac:dyDescent="0.25">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5"/>
      <c r="AB70" s="3"/>
      <c r="AC70" s="3"/>
      <c r="AD70" s="3"/>
      <c r="AE70" s="3"/>
      <c r="AF70" s="3"/>
      <c r="AG70" s="3"/>
      <c r="AH70" s="3"/>
      <c r="AI70" s="3"/>
      <c r="AJ70" s="3"/>
      <c r="AK70" s="3"/>
      <c r="AL70" s="3"/>
      <c r="AM70" s="3"/>
      <c r="AN70" s="3"/>
      <c r="AO70" s="3"/>
    </row>
    <row r="71" spans="2:41" x14ac:dyDescent="0.25">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5"/>
      <c r="AB71" s="3"/>
      <c r="AC71" s="3"/>
      <c r="AD71" s="3"/>
      <c r="AE71" s="3"/>
      <c r="AF71" s="3"/>
      <c r="AG71" s="3"/>
      <c r="AH71" s="3"/>
      <c r="AI71" s="3"/>
      <c r="AJ71" s="3"/>
      <c r="AK71" s="3"/>
      <c r="AL71" s="3"/>
      <c r="AM71" s="3"/>
      <c r="AN71" s="3"/>
      <c r="AO71" s="3"/>
    </row>
    <row r="72" spans="2:41" x14ac:dyDescent="0.25">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5"/>
      <c r="AB72" s="3"/>
      <c r="AC72" s="3"/>
      <c r="AD72" s="3"/>
      <c r="AE72" s="3"/>
      <c r="AF72" s="3"/>
      <c r="AG72" s="3"/>
      <c r="AH72" s="3"/>
      <c r="AI72" s="3"/>
      <c r="AJ72" s="3"/>
      <c r="AK72" s="3"/>
      <c r="AL72" s="3"/>
      <c r="AM72" s="3"/>
      <c r="AN72" s="3"/>
      <c r="AO72" s="3"/>
    </row>
    <row r="73" spans="2:41" x14ac:dyDescent="0.25">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5"/>
      <c r="AB73" s="3"/>
      <c r="AC73" s="3"/>
      <c r="AD73" s="3"/>
      <c r="AE73" s="3"/>
      <c r="AF73" s="3"/>
      <c r="AG73" s="3"/>
      <c r="AH73" s="3"/>
      <c r="AI73" s="3"/>
      <c r="AJ73" s="3"/>
      <c r="AK73" s="3"/>
      <c r="AL73" s="3"/>
      <c r="AM73" s="3"/>
      <c r="AN73" s="3"/>
      <c r="AO73" s="3"/>
    </row>
    <row r="74" spans="2:41" x14ac:dyDescent="0.25">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5"/>
      <c r="AB74" s="3"/>
      <c r="AC74" s="3"/>
      <c r="AD74" s="3"/>
      <c r="AE74" s="3"/>
      <c r="AF74" s="3"/>
      <c r="AG74" s="3"/>
      <c r="AH74" s="3"/>
      <c r="AI74" s="3"/>
      <c r="AJ74" s="3"/>
      <c r="AK74" s="3"/>
      <c r="AL74" s="3"/>
      <c r="AM74" s="3"/>
      <c r="AN74" s="3"/>
      <c r="AO74" s="3"/>
    </row>
    <row r="75" spans="2:41" x14ac:dyDescent="0.25">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5"/>
      <c r="AB75" s="3"/>
      <c r="AC75" s="3"/>
      <c r="AD75" s="3"/>
      <c r="AE75" s="3"/>
      <c r="AF75" s="3"/>
      <c r="AG75" s="3"/>
      <c r="AH75" s="3"/>
      <c r="AI75" s="3"/>
      <c r="AJ75" s="3"/>
      <c r="AK75" s="3"/>
      <c r="AL75" s="3"/>
      <c r="AM75" s="3"/>
      <c r="AN75" s="3"/>
      <c r="AO75" s="3"/>
    </row>
    <row r="76" spans="2:41" x14ac:dyDescent="0.25">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5"/>
      <c r="AB76" s="3"/>
      <c r="AC76" s="3"/>
      <c r="AD76" s="3"/>
      <c r="AE76" s="3"/>
      <c r="AF76" s="3"/>
      <c r="AG76" s="3"/>
      <c r="AH76" s="3"/>
      <c r="AI76" s="3"/>
      <c r="AJ76" s="3"/>
      <c r="AK76" s="3"/>
      <c r="AL76" s="3"/>
      <c r="AM76" s="3"/>
      <c r="AN76" s="3"/>
      <c r="AO76" s="3"/>
    </row>
    <row r="77" spans="2:41" x14ac:dyDescent="0.25">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5"/>
      <c r="AB77" s="3"/>
      <c r="AC77" s="3"/>
      <c r="AD77" s="3"/>
      <c r="AE77" s="3"/>
      <c r="AF77" s="3"/>
      <c r="AG77" s="3"/>
      <c r="AH77" s="3"/>
      <c r="AI77" s="3"/>
      <c r="AJ77" s="3"/>
      <c r="AK77" s="3"/>
      <c r="AL77" s="3"/>
      <c r="AM77" s="3"/>
      <c r="AN77" s="3"/>
      <c r="AO77" s="3"/>
    </row>
    <row r="78" spans="2:41" x14ac:dyDescent="0.25">
      <c r="B78" s="13"/>
      <c r="C78" s="135"/>
      <c r="D78" s="14"/>
      <c r="E78" s="14"/>
      <c r="F78" s="14"/>
      <c r="G78" s="14"/>
      <c r="H78" s="14"/>
      <c r="I78" s="14"/>
      <c r="J78" s="14"/>
      <c r="K78" s="14"/>
      <c r="L78" s="14"/>
      <c r="M78" s="14"/>
      <c r="N78" s="14"/>
      <c r="O78" s="14"/>
      <c r="P78" s="14"/>
      <c r="Q78" s="14"/>
      <c r="R78" s="14"/>
      <c r="S78" s="14"/>
      <c r="T78" s="14"/>
      <c r="U78" s="14"/>
      <c r="V78" s="14"/>
      <c r="W78" s="14"/>
      <c r="X78" s="14"/>
      <c r="Y78" s="14"/>
      <c r="Z78" s="14"/>
      <c r="AA78" s="15"/>
      <c r="AB78" s="3"/>
      <c r="AC78" s="3"/>
      <c r="AD78" s="3"/>
      <c r="AE78" s="3"/>
      <c r="AF78" s="3"/>
      <c r="AG78" s="3"/>
      <c r="AH78" s="3"/>
      <c r="AI78" s="3"/>
      <c r="AJ78" s="3"/>
      <c r="AK78" s="3"/>
      <c r="AL78" s="3"/>
      <c r="AM78" s="3"/>
      <c r="AN78" s="3"/>
      <c r="AO78" s="3"/>
    </row>
    <row r="79" spans="2:41" x14ac:dyDescent="0.25">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5"/>
      <c r="AB79" s="3"/>
      <c r="AC79" s="3"/>
      <c r="AD79" s="3"/>
      <c r="AE79" s="3"/>
      <c r="AF79" s="3"/>
      <c r="AG79" s="3"/>
      <c r="AH79" s="3"/>
      <c r="AI79" s="3"/>
      <c r="AJ79" s="3"/>
      <c r="AK79" s="3"/>
      <c r="AL79" s="3"/>
      <c r="AM79" s="3"/>
      <c r="AN79" s="3"/>
      <c r="AO79" s="3"/>
    </row>
    <row r="80" spans="2:41" x14ac:dyDescent="0.25">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5"/>
      <c r="AB80" s="3"/>
      <c r="AC80" s="3"/>
      <c r="AD80" s="3"/>
      <c r="AE80" s="3"/>
      <c r="AF80" s="3"/>
      <c r="AG80" s="3"/>
      <c r="AH80" s="3"/>
      <c r="AI80" s="3"/>
      <c r="AJ80" s="3"/>
      <c r="AK80" s="3"/>
      <c r="AL80" s="3"/>
      <c r="AM80" s="3"/>
      <c r="AN80" s="3"/>
      <c r="AO80" s="3"/>
    </row>
    <row r="81" spans="2:41" x14ac:dyDescent="0.25">
      <c r="B81" s="13"/>
      <c r="C81" s="135"/>
      <c r="D81" s="14"/>
      <c r="E81" s="14"/>
      <c r="F81" s="14"/>
      <c r="G81" s="14"/>
      <c r="H81" s="14"/>
      <c r="I81" s="14"/>
      <c r="J81" s="14"/>
      <c r="K81" s="14"/>
      <c r="L81" s="14"/>
      <c r="M81" s="14"/>
      <c r="N81" s="14"/>
      <c r="O81" s="14"/>
      <c r="P81" s="14"/>
      <c r="Q81" s="14"/>
      <c r="R81" s="14"/>
      <c r="S81" s="14"/>
      <c r="T81" s="14"/>
      <c r="U81" s="14"/>
      <c r="V81" s="14"/>
      <c r="W81" s="14"/>
      <c r="X81" s="14"/>
      <c r="Y81" s="14"/>
      <c r="Z81" s="14"/>
      <c r="AA81" s="15"/>
      <c r="AB81" s="3"/>
      <c r="AC81" s="3"/>
      <c r="AD81" s="3"/>
      <c r="AE81" s="3"/>
      <c r="AF81" s="3"/>
      <c r="AG81" s="3"/>
      <c r="AH81" s="3"/>
      <c r="AI81" s="3"/>
      <c r="AJ81" s="3"/>
      <c r="AK81" s="3"/>
      <c r="AL81" s="3"/>
      <c r="AM81" s="3"/>
      <c r="AN81" s="3"/>
      <c r="AO81" s="3"/>
    </row>
    <row r="82" spans="2:41" ht="18.75" x14ac:dyDescent="0.3">
      <c r="B82" s="67"/>
      <c r="C82" s="14"/>
      <c r="D82" s="60"/>
      <c r="E82" s="56"/>
      <c r="F82" s="56"/>
      <c r="G82" s="14"/>
      <c r="H82" s="56"/>
      <c r="I82" s="74"/>
      <c r="J82" s="14"/>
      <c r="K82" s="14"/>
      <c r="L82" s="14"/>
      <c r="M82" s="14"/>
      <c r="N82" s="14"/>
      <c r="O82" s="14"/>
      <c r="P82" s="14"/>
      <c r="Q82" s="14"/>
      <c r="R82" s="14"/>
      <c r="S82" s="14"/>
      <c r="T82" s="14"/>
      <c r="U82" s="14"/>
      <c r="V82" s="14"/>
      <c r="W82" s="14"/>
      <c r="X82" s="14"/>
      <c r="Y82" s="14"/>
      <c r="Z82" s="14"/>
      <c r="AA82" s="15"/>
      <c r="AB82" s="3"/>
      <c r="AC82" s="3"/>
      <c r="AD82" s="3"/>
      <c r="AE82" s="3"/>
      <c r="AF82" s="3"/>
      <c r="AG82" s="3"/>
      <c r="AH82" s="3"/>
      <c r="AI82" s="3"/>
      <c r="AJ82" s="3"/>
      <c r="AK82" s="3"/>
      <c r="AL82" s="3"/>
      <c r="AM82" s="3"/>
      <c r="AN82" s="3"/>
      <c r="AO82" s="3"/>
    </row>
    <row r="83" spans="2:41" x14ac:dyDescent="0.25">
      <c r="B83" s="13"/>
      <c r="C83" s="14"/>
      <c r="D83" s="14"/>
      <c r="E83" s="56"/>
      <c r="F83" s="56"/>
      <c r="G83" s="14"/>
      <c r="H83" s="56"/>
      <c r="I83" s="14"/>
      <c r="J83" s="14"/>
      <c r="K83" s="14"/>
      <c r="L83" s="14"/>
      <c r="M83" s="14"/>
      <c r="N83" s="14"/>
      <c r="O83" s="14"/>
      <c r="P83" s="14"/>
      <c r="Q83" s="14"/>
      <c r="R83" s="14"/>
      <c r="S83" s="14"/>
      <c r="T83" s="14"/>
      <c r="U83" s="14"/>
      <c r="V83" s="14"/>
      <c r="W83" s="14"/>
      <c r="X83" s="14"/>
      <c r="Y83" s="14"/>
      <c r="Z83" s="14"/>
      <c r="AA83" s="15"/>
      <c r="AB83" s="3"/>
      <c r="AC83" s="3"/>
      <c r="AD83" s="3"/>
      <c r="AE83" s="3"/>
      <c r="AF83" s="3"/>
      <c r="AG83" s="3"/>
      <c r="AH83" s="3"/>
      <c r="AI83" s="3"/>
      <c r="AJ83" s="3"/>
      <c r="AK83" s="3"/>
      <c r="AL83" s="3"/>
      <c r="AM83" s="3"/>
      <c r="AN83" s="3"/>
      <c r="AO83" s="3"/>
    </row>
    <row r="84" spans="2:41" x14ac:dyDescent="0.25">
      <c r="B84" s="13"/>
      <c r="C84" s="136"/>
      <c r="D84" s="60"/>
      <c r="E84" s="56"/>
      <c r="F84" s="56"/>
      <c r="G84" s="57"/>
      <c r="H84" s="14"/>
      <c r="I84" s="14"/>
      <c r="J84" s="14"/>
      <c r="K84" s="14"/>
      <c r="L84" s="14"/>
      <c r="M84" s="14"/>
      <c r="N84" s="14"/>
      <c r="O84" s="14"/>
      <c r="P84" s="14"/>
      <c r="Q84" s="14"/>
      <c r="R84" s="14"/>
      <c r="S84" s="14"/>
      <c r="T84" s="14"/>
      <c r="U84" s="14"/>
      <c r="V84" s="14"/>
      <c r="W84" s="14"/>
      <c r="X84" s="14"/>
      <c r="Y84" s="14"/>
      <c r="Z84" s="14"/>
      <c r="AA84" s="15"/>
      <c r="AB84" s="3"/>
      <c r="AC84" s="3"/>
      <c r="AD84" s="3"/>
      <c r="AE84" s="3"/>
      <c r="AF84" s="3"/>
      <c r="AG84" s="3"/>
      <c r="AH84" s="3"/>
      <c r="AI84" s="3"/>
      <c r="AJ84" s="3"/>
      <c r="AK84" s="3"/>
      <c r="AL84" s="3"/>
      <c r="AM84" s="3"/>
      <c r="AN84" s="3"/>
      <c r="AO84" s="3"/>
    </row>
    <row r="85" spans="2:41" x14ac:dyDescent="0.25">
      <c r="B85" s="13"/>
      <c r="C85" s="14"/>
      <c r="D85" s="60"/>
      <c r="E85" s="56"/>
      <c r="F85" s="56"/>
      <c r="G85" s="128"/>
      <c r="H85" s="56"/>
      <c r="I85" s="14"/>
      <c r="J85" s="14"/>
      <c r="K85" s="14"/>
      <c r="L85" s="14"/>
      <c r="M85" s="14"/>
      <c r="N85" s="14"/>
      <c r="O85" s="14"/>
      <c r="P85" s="14"/>
      <c r="Q85" s="14"/>
      <c r="R85" s="14"/>
      <c r="S85" s="14"/>
      <c r="T85" s="14"/>
      <c r="U85" s="14"/>
      <c r="V85" s="14"/>
      <c r="W85" s="14"/>
      <c r="X85" s="14"/>
      <c r="Y85" s="14"/>
      <c r="Z85" s="14"/>
      <c r="AA85" s="15"/>
      <c r="AB85" s="3"/>
      <c r="AC85" s="3"/>
      <c r="AD85" s="3"/>
      <c r="AE85" s="3"/>
      <c r="AF85" s="3"/>
      <c r="AG85" s="3"/>
      <c r="AH85" s="3"/>
      <c r="AI85" s="3"/>
      <c r="AJ85" s="3"/>
      <c r="AK85" s="3"/>
      <c r="AL85" s="3"/>
      <c r="AM85" s="3"/>
      <c r="AN85" s="3"/>
      <c r="AO85" s="3"/>
    </row>
    <row r="86" spans="2:41" x14ac:dyDescent="0.25">
      <c r="B86" s="13"/>
      <c r="C86" s="14"/>
      <c r="D86" s="60"/>
      <c r="E86" s="56"/>
      <c r="F86" s="56"/>
      <c r="G86" s="14"/>
      <c r="H86" s="56"/>
      <c r="I86" s="14"/>
      <c r="J86" s="14"/>
      <c r="K86" s="14"/>
      <c r="L86" s="14"/>
      <c r="M86" s="14"/>
      <c r="N86" s="14"/>
      <c r="O86" s="14"/>
      <c r="P86" s="14"/>
      <c r="Q86" s="14"/>
      <c r="R86" s="14"/>
      <c r="S86" s="14"/>
      <c r="T86" s="14"/>
      <c r="U86" s="14"/>
      <c r="V86" s="14"/>
      <c r="W86" s="14"/>
      <c r="X86" s="14"/>
      <c r="Y86" s="14"/>
      <c r="Z86" s="14"/>
      <c r="AA86" s="15"/>
      <c r="AB86" s="3"/>
      <c r="AC86" s="3"/>
      <c r="AD86" s="3"/>
      <c r="AE86" s="3"/>
      <c r="AF86" s="3"/>
      <c r="AG86" s="3"/>
      <c r="AH86" s="3"/>
      <c r="AI86" s="3"/>
      <c r="AJ86" s="3"/>
      <c r="AK86" s="3"/>
      <c r="AL86" s="3"/>
      <c r="AM86" s="3"/>
      <c r="AN86" s="3"/>
      <c r="AO86" s="3"/>
    </row>
    <row r="87" spans="2:41" x14ac:dyDescent="0.25">
      <c r="B87" s="13"/>
      <c r="C87" s="14"/>
      <c r="D87" s="60"/>
      <c r="E87" s="56"/>
      <c r="F87" s="56"/>
      <c r="G87" s="14"/>
      <c r="H87" s="56"/>
      <c r="I87" s="14"/>
      <c r="J87" s="14"/>
      <c r="K87" s="14"/>
      <c r="L87" s="14"/>
      <c r="M87" s="14"/>
      <c r="N87" s="14"/>
      <c r="O87" s="14"/>
      <c r="P87" s="14"/>
      <c r="Q87" s="14"/>
      <c r="R87" s="14"/>
      <c r="S87" s="14"/>
      <c r="T87" s="14"/>
      <c r="U87" s="14"/>
      <c r="V87" s="14"/>
      <c r="W87" s="14"/>
      <c r="X87" s="14"/>
      <c r="Y87" s="14"/>
      <c r="Z87" s="14"/>
      <c r="AA87" s="15"/>
      <c r="AB87" s="3"/>
      <c r="AC87" s="3"/>
      <c r="AD87" s="3"/>
      <c r="AE87" s="3"/>
      <c r="AF87" s="3"/>
      <c r="AG87" s="3"/>
      <c r="AH87" s="3"/>
      <c r="AI87" s="3"/>
      <c r="AJ87" s="3"/>
      <c r="AK87" s="3"/>
      <c r="AL87" s="3"/>
      <c r="AM87" s="3"/>
      <c r="AN87" s="3"/>
      <c r="AO87" s="3"/>
    </row>
    <row r="88" spans="2:41" x14ac:dyDescent="0.25">
      <c r="B88" s="13"/>
      <c r="C88" s="56"/>
      <c r="D88" s="60"/>
      <c r="E88" s="56"/>
      <c r="F88" s="56"/>
      <c r="G88" s="56"/>
      <c r="H88" s="56"/>
      <c r="I88" s="14"/>
      <c r="J88" s="14"/>
      <c r="K88" s="14"/>
      <c r="L88" s="14"/>
      <c r="M88" s="14"/>
      <c r="N88" s="14"/>
      <c r="O88" s="14"/>
      <c r="P88" s="14"/>
      <c r="Q88" s="14"/>
      <c r="R88" s="14"/>
      <c r="S88" s="14"/>
      <c r="T88" s="14"/>
      <c r="U88" s="14"/>
      <c r="V88" s="14"/>
      <c r="W88" s="14"/>
      <c r="X88" s="14"/>
      <c r="Y88" s="14"/>
      <c r="Z88" s="14"/>
      <c r="AA88" s="15"/>
      <c r="AB88" s="3"/>
      <c r="AC88" s="3"/>
      <c r="AD88" s="3"/>
      <c r="AE88" s="3"/>
      <c r="AF88" s="3"/>
      <c r="AG88" s="3"/>
      <c r="AH88" s="3"/>
      <c r="AI88" s="3"/>
      <c r="AJ88" s="3"/>
      <c r="AK88" s="3"/>
      <c r="AL88" s="3"/>
      <c r="AM88" s="3"/>
      <c r="AN88" s="3"/>
      <c r="AO88" s="3"/>
    </row>
    <row r="89" spans="2:41" x14ac:dyDescent="0.25">
      <c r="B89" s="13"/>
      <c r="C89" s="14"/>
      <c r="D89" s="60"/>
      <c r="E89" s="56"/>
      <c r="F89" s="56"/>
      <c r="G89" s="14"/>
      <c r="H89" s="56"/>
      <c r="I89" s="14"/>
      <c r="J89" s="14"/>
      <c r="K89" s="14"/>
      <c r="L89" s="14"/>
      <c r="M89" s="14"/>
      <c r="N89" s="14"/>
      <c r="O89" s="14"/>
      <c r="P89" s="14"/>
      <c r="Q89" s="14"/>
      <c r="R89" s="14"/>
      <c r="S89" s="14"/>
      <c r="T89" s="14"/>
      <c r="U89" s="14"/>
      <c r="V89" s="14"/>
      <c r="W89" s="14"/>
      <c r="X89" s="14"/>
      <c r="Y89" s="14"/>
      <c r="Z89" s="14"/>
      <c r="AA89" s="15"/>
      <c r="AB89" s="3"/>
      <c r="AC89" s="3"/>
      <c r="AD89" s="3"/>
      <c r="AE89" s="3"/>
      <c r="AF89" s="3"/>
      <c r="AG89" s="3"/>
      <c r="AH89" s="3"/>
      <c r="AI89" s="3"/>
      <c r="AJ89" s="3"/>
      <c r="AK89" s="3"/>
      <c r="AL89" s="3"/>
      <c r="AM89" s="3"/>
      <c r="AN89" s="3"/>
      <c r="AO89" s="3"/>
    </row>
    <row r="90" spans="2:41" x14ac:dyDescent="0.25">
      <c r="B90" s="13"/>
      <c r="C90" s="14"/>
      <c r="D90" s="14"/>
      <c r="E90" s="56"/>
      <c r="F90" s="56"/>
      <c r="G90" s="14"/>
      <c r="H90" s="56"/>
      <c r="I90" s="14"/>
      <c r="J90" s="14"/>
      <c r="K90" s="14"/>
      <c r="L90" s="14"/>
      <c r="M90" s="14"/>
      <c r="N90" s="14"/>
      <c r="O90" s="14"/>
      <c r="P90" s="14"/>
      <c r="Q90" s="14"/>
      <c r="R90" s="14"/>
      <c r="S90" s="14"/>
      <c r="T90" s="14"/>
      <c r="U90" s="14"/>
      <c r="V90" s="14"/>
      <c r="W90" s="14"/>
      <c r="X90" s="14"/>
      <c r="Y90" s="14"/>
      <c r="Z90" s="14"/>
      <c r="AA90" s="15"/>
      <c r="AB90" s="3"/>
      <c r="AC90" s="3"/>
      <c r="AD90" s="3"/>
      <c r="AE90" s="3"/>
      <c r="AF90" s="3"/>
      <c r="AG90" s="3"/>
      <c r="AH90" s="3"/>
      <c r="AI90" s="3"/>
      <c r="AJ90" s="3"/>
      <c r="AK90" s="3"/>
      <c r="AL90" s="3"/>
      <c r="AM90" s="3"/>
      <c r="AN90" s="3"/>
      <c r="AO90" s="3"/>
    </row>
    <row r="91" spans="2:41" x14ac:dyDescent="0.25">
      <c r="B91" s="13"/>
      <c r="C91" s="14"/>
      <c r="D91" s="60"/>
      <c r="E91" s="56"/>
      <c r="F91" s="56"/>
      <c r="G91" s="57"/>
      <c r="H91" s="14"/>
      <c r="I91" s="14"/>
      <c r="J91" s="14"/>
      <c r="K91" s="14"/>
      <c r="L91" s="14"/>
      <c r="M91" s="14"/>
      <c r="N91" s="14"/>
      <c r="O91" s="14"/>
      <c r="P91" s="14"/>
      <c r="Q91" s="14"/>
      <c r="R91" s="14"/>
      <c r="S91" s="14"/>
      <c r="T91" s="14"/>
      <c r="U91" s="14"/>
      <c r="V91" s="14"/>
      <c r="W91" s="14"/>
      <c r="X91" s="14"/>
      <c r="Y91" s="14"/>
      <c r="Z91" s="14"/>
      <c r="AA91" s="15"/>
      <c r="AB91" s="3"/>
      <c r="AC91" s="3"/>
      <c r="AD91" s="3"/>
      <c r="AE91" s="3"/>
      <c r="AF91" s="3"/>
      <c r="AG91" s="3"/>
      <c r="AH91" s="3"/>
      <c r="AI91" s="3"/>
      <c r="AJ91" s="3"/>
      <c r="AK91" s="3"/>
      <c r="AL91" s="3"/>
      <c r="AM91" s="3"/>
      <c r="AN91" s="3"/>
      <c r="AO91" s="3"/>
    </row>
    <row r="92" spans="2:41" x14ac:dyDescent="0.25">
      <c r="B92" s="13"/>
      <c r="C92" s="14"/>
      <c r="D92" s="60"/>
      <c r="E92" s="56"/>
      <c r="F92" s="56"/>
      <c r="G92" s="128"/>
      <c r="H92" s="56"/>
      <c r="I92" s="14"/>
      <c r="J92" s="14"/>
      <c r="K92" s="14"/>
      <c r="L92" s="14"/>
      <c r="M92" s="14"/>
      <c r="N92" s="14"/>
      <c r="O92" s="14"/>
      <c r="P92" s="14"/>
      <c r="Q92" s="14"/>
      <c r="R92" s="14"/>
      <c r="S92" s="14"/>
      <c r="T92" s="14"/>
      <c r="U92" s="14"/>
      <c r="V92" s="14"/>
      <c r="W92" s="14"/>
      <c r="X92" s="14"/>
      <c r="Y92" s="14"/>
      <c r="Z92" s="14"/>
      <c r="AA92" s="15"/>
      <c r="AB92" s="3"/>
      <c r="AC92" s="3"/>
      <c r="AD92" s="3"/>
      <c r="AE92" s="3"/>
      <c r="AF92" s="3"/>
      <c r="AG92" s="3"/>
      <c r="AH92" s="3"/>
      <c r="AI92" s="3"/>
      <c r="AJ92" s="3"/>
      <c r="AK92" s="3"/>
      <c r="AL92" s="3"/>
      <c r="AM92" s="3"/>
      <c r="AN92" s="3"/>
      <c r="AO92" s="3"/>
    </row>
    <row r="93" spans="2:41" x14ac:dyDescent="0.25">
      <c r="B93" s="13"/>
      <c r="C93" s="14"/>
      <c r="D93" s="60"/>
      <c r="E93" s="56"/>
      <c r="F93" s="56"/>
      <c r="G93" s="14"/>
      <c r="H93" s="56"/>
      <c r="I93" s="14"/>
      <c r="J93" s="14"/>
      <c r="K93" s="14"/>
      <c r="L93" s="14"/>
      <c r="M93" s="14"/>
      <c r="N93" s="14"/>
      <c r="O93" s="14"/>
      <c r="P93" s="14"/>
      <c r="Q93" s="14"/>
      <c r="R93" s="14"/>
      <c r="S93" s="14"/>
      <c r="T93" s="14"/>
      <c r="U93" s="14"/>
      <c r="V93" s="14"/>
      <c r="W93" s="14"/>
      <c r="X93" s="14"/>
      <c r="Y93" s="14"/>
      <c r="Z93" s="14"/>
      <c r="AA93" s="15"/>
      <c r="AB93" s="3"/>
      <c r="AC93" s="3"/>
      <c r="AD93" s="3"/>
      <c r="AE93" s="3"/>
      <c r="AF93" s="3"/>
      <c r="AG93" s="3"/>
      <c r="AH93" s="3"/>
      <c r="AI93" s="3"/>
      <c r="AJ93" s="3"/>
      <c r="AK93" s="3"/>
      <c r="AL93" s="3"/>
      <c r="AM93" s="3"/>
      <c r="AN93" s="3"/>
      <c r="AO93" s="3"/>
    </row>
    <row r="94" spans="2:41" x14ac:dyDescent="0.25">
      <c r="B94" s="13"/>
      <c r="C94" s="14"/>
      <c r="D94" s="60"/>
      <c r="E94" s="56"/>
      <c r="F94" s="56"/>
      <c r="G94" s="14"/>
      <c r="H94" s="56"/>
      <c r="I94" s="14"/>
      <c r="J94" s="14"/>
      <c r="K94" s="14"/>
      <c r="L94" s="14"/>
      <c r="M94" s="14"/>
      <c r="N94" s="14"/>
      <c r="O94" s="14"/>
      <c r="P94" s="14"/>
      <c r="Q94" s="14"/>
      <c r="R94" s="14"/>
      <c r="S94" s="14"/>
      <c r="T94" s="14"/>
      <c r="U94" s="14"/>
      <c r="V94" s="14"/>
      <c r="W94" s="14"/>
      <c r="X94" s="14"/>
      <c r="Y94" s="14"/>
      <c r="Z94" s="14"/>
      <c r="AA94" s="15"/>
      <c r="AB94" s="3"/>
      <c r="AC94" s="3"/>
      <c r="AD94" s="3"/>
      <c r="AE94" s="3"/>
      <c r="AF94" s="3"/>
      <c r="AG94" s="3"/>
      <c r="AH94" s="3"/>
      <c r="AI94" s="3"/>
      <c r="AJ94" s="3"/>
      <c r="AK94" s="3"/>
      <c r="AL94" s="3"/>
      <c r="AM94" s="3"/>
      <c r="AN94" s="3"/>
      <c r="AO94" s="3"/>
    </row>
    <row r="95" spans="2:41" x14ac:dyDescent="0.25">
      <c r="B95" s="13"/>
      <c r="C95" s="56"/>
      <c r="D95" s="60"/>
      <c r="E95" s="56"/>
      <c r="F95" s="56"/>
      <c r="G95" s="56"/>
      <c r="H95" s="56"/>
      <c r="I95" s="14"/>
      <c r="J95" s="14"/>
      <c r="K95" s="14"/>
      <c r="L95" s="14"/>
      <c r="M95" s="14"/>
      <c r="N95" s="14"/>
      <c r="O95" s="14"/>
      <c r="P95" s="14"/>
      <c r="Q95" s="14"/>
      <c r="R95" s="14"/>
      <c r="S95" s="14"/>
      <c r="T95" s="14"/>
      <c r="U95" s="14"/>
      <c r="V95" s="14"/>
      <c r="W95" s="14"/>
      <c r="X95" s="14"/>
      <c r="Y95" s="14"/>
      <c r="Z95" s="14"/>
      <c r="AA95" s="15"/>
      <c r="AB95" s="3"/>
      <c r="AC95" s="3"/>
      <c r="AD95" s="3"/>
      <c r="AE95" s="3"/>
      <c r="AF95" s="3"/>
      <c r="AG95" s="3"/>
      <c r="AH95" s="3"/>
      <c r="AI95" s="3"/>
      <c r="AJ95" s="3"/>
      <c r="AK95" s="3"/>
      <c r="AL95" s="3"/>
      <c r="AM95" s="3"/>
      <c r="AN95" s="3"/>
      <c r="AO95" s="3"/>
    </row>
    <row r="96" spans="2:41" ht="18.75" x14ac:dyDescent="0.3">
      <c r="B96" s="67"/>
      <c r="C96" s="14"/>
      <c r="D96" s="60"/>
      <c r="E96" s="56"/>
      <c r="F96" s="56"/>
      <c r="G96" s="14"/>
      <c r="H96" s="56"/>
      <c r="I96" s="74"/>
      <c r="J96" s="14"/>
      <c r="K96" s="14"/>
      <c r="L96" s="14"/>
      <c r="M96" s="14"/>
      <c r="N96" s="14"/>
      <c r="O96" s="14"/>
      <c r="P96" s="14"/>
      <c r="Q96" s="14"/>
      <c r="R96" s="14"/>
      <c r="S96" s="14"/>
      <c r="T96" s="14"/>
      <c r="U96" s="14"/>
      <c r="V96" s="14"/>
      <c r="W96" s="14"/>
      <c r="X96" s="14"/>
      <c r="Y96" s="14"/>
      <c r="Z96" s="14"/>
      <c r="AA96" s="15"/>
      <c r="AB96" s="3"/>
      <c r="AC96" s="3"/>
      <c r="AD96" s="3"/>
      <c r="AE96" s="3"/>
      <c r="AF96" s="3"/>
      <c r="AG96" s="3"/>
      <c r="AH96" s="3"/>
      <c r="AI96" s="3"/>
      <c r="AJ96" s="3"/>
      <c r="AK96" s="3"/>
      <c r="AL96" s="3"/>
      <c r="AM96" s="3"/>
      <c r="AN96" s="3"/>
      <c r="AO96" s="3"/>
    </row>
    <row r="97" spans="2:41" x14ac:dyDescent="0.25">
      <c r="B97" s="13"/>
      <c r="C97" s="14"/>
      <c r="D97" s="14"/>
      <c r="E97" s="56"/>
      <c r="F97" s="56"/>
      <c r="G97" s="14"/>
      <c r="H97" s="56"/>
      <c r="I97" s="14"/>
      <c r="J97" s="14"/>
      <c r="K97" s="14"/>
      <c r="L97" s="14"/>
      <c r="M97" s="14"/>
      <c r="N97" s="14"/>
      <c r="O97" s="14"/>
      <c r="P97" s="14"/>
      <c r="Q97" s="14"/>
      <c r="R97" s="14"/>
      <c r="S97" s="14"/>
      <c r="T97" s="14"/>
      <c r="U97" s="14"/>
      <c r="V97" s="14"/>
      <c r="W97" s="14"/>
      <c r="X97" s="14"/>
      <c r="Y97" s="14"/>
      <c r="Z97" s="14"/>
      <c r="AA97" s="15"/>
      <c r="AB97" s="3"/>
      <c r="AC97" s="3"/>
      <c r="AD97" s="3"/>
      <c r="AE97" s="3"/>
      <c r="AF97" s="3"/>
      <c r="AG97" s="3"/>
      <c r="AH97" s="3"/>
      <c r="AI97" s="3"/>
      <c r="AJ97" s="3"/>
      <c r="AK97" s="3"/>
      <c r="AL97" s="3"/>
      <c r="AM97" s="3"/>
      <c r="AN97" s="3"/>
      <c r="AO97" s="3"/>
    </row>
    <row r="98" spans="2:41" x14ac:dyDescent="0.25">
      <c r="B98" s="13"/>
      <c r="C98" s="14"/>
      <c r="D98" s="60"/>
      <c r="E98" s="56"/>
      <c r="F98" s="56"/>
      <c r="G98" s="57"/>
      <c r="H98" s="14"/>
      <c r="I98" s="14"/>
      <c r="J98" s="14"/>
      <c r="K98" s="14"/>
      <c r="L98" s="14"/>
      <c r="M98" s="14"/>
      <c r="N98" s="14"/>
      <c r="O98" s="14"/>
      <c r="P98" s="14"/>
      <c r="Q98" s="14"/>
      <c r="R98" s="14"/>
      <c r="S98" s="14"/>
      <c r="T98" s="14"/>
      <c r="U98" s="14"/>
      <c r="V98" s="14"/>
      <c r="W98" s="14"/>
      <c r="X98" s="14"/>
      <c r="Y98" s="14"/>
      <c r="Z98" s="14"/>
      <c r="AA98" s="15"/>
      <c r="AB98" s="3"/>
      <c r="AC98" s="3"/>
      <c r="AD98" s="3"/>
      <c r="AE98" s="3"/>
      <c r="AF98" s="3"/>
      <c r="AG98" s="3"/>
      <c r="AH98" s="3"/>
      <c r="AI98" s="3"/>
      <c r="AJ98" s="3"/>
      <c r="AK98" s="3"/>
      <c r="AL98" s="3"/>
      <c r="AM98" s="3"/>
      <c r="AN98" s="3"/>
      <c r="AO98" s="3"/>
    </row>
    <row r="99" spans="2:41" x14ac:dyDescent="0.25">
      <c r="B99" s="13"/>
      <c r="C99" s="14"/>
      <c r="D99" s="60"/>
      <c r="E99" s="56"/>
      <c r="F99" s="56"/>
      <c r="G99" s="128"/>
      <c r="H99" s="56"/>
      <c r="I99" s="14"/>
      <c r="J99" s="14"/>
      <c r="K99" s="14"/>
      <c r="L99" s="14"/>
      <c r="M99" s="14"/>
      <c r="N99" s="14"/>
      <c r="O99" s="14"/>
      <c r="P99" s="14"/>
      <c r="Q99" s="14"/>
      <c r="R99" s="14"/>
      <c r="S99" s="14"/>
      <c r="T99" s="14"/>
      <c r="U99" s="14"/>
      <c r="V99" s="14"/>
      <c r="W99" s="14"/>
      <c r="X99" s="14"/>
      <c r="Y99" s="14"/>
      <c r="Z99" s="14"/>
      <c r="AA99" s="15"/>
      <c r="AB99" s="3"/>
      <c r="AC99" s="3"/>
      <c r="AD99" s="3"/>
      <c r="AE99" s="3"/>
      <c r="AF99" s="3"/>
      <c r="AG99" s="3"/>
      <c r="AH99" s="3"/>
      <c r="AI99" s="3"/>
      <c r="AJ99" s="3"/>
      <c r="AK99" s="3"/>
      <c r="AL99" s="3"/>
      <c r="AM99" s="3"/>
      <c r="AN99" s="3"/>
      <c r="AO99" s="3"/>
    </row>
    <row r="100" spans="2:41" x14ac:dyDescent="0.25">
      <c r="B100" s="13"/>
      <c r="C100" s="14"/>
      <c r="D100" s="60"/>
      <c r="E100" s="56"/>
      <c r="F100" s="56"/>
      <c r="G100" s="14"/>
      <c r="H100" s="56"/>
      <c r="I100" s="14"/>
      <c r="J100" s="14"/>
      <c r="K100" s="14"/>
      <c r="L100" s="14"/>
      <c r="M100" s="14"/>
      <c r="N100" s="14"/>
      <c r="O100" s="14"/>
      <c r="P100" s="14"/>
      <c r="Q100" s="14"/>
      <c r="R100" s="14"/>
      <c r="S100" s="14"/>
      <c r="T100" s="14"/>
      <c r="U100" s="14"/>
      <c r="V100" s="14"/>
      <c r="W100" s="14"/>
      <c r="X100" s="14"/>
      <c r="Y100" s="14"/>
      <c r="Z100" s="14"/>
      <c r="AA100" s="15"/>
      <c r="AB100" s="3"/>
      <c r="AC100" s="3"/>
      <c r="AD100" s="3"/>
      <c r="AE100" s="3"/>
      <c r="AF100" s="3"/>
      <c r="AG100" s="3"/>
      <c r="AH100" s="3"/>
      <c r="AI100" s="3"/>
      <c r="AJ100" s="3"/>
      <c r="AK100" s="3"/>
      <c r="AL100" s="3"/>
      <c r="AM100" s="3"/>
      <c r="AN100" s="3"/>
      <c r="AO100" s="3"/>
    </row>
    <row r="101" spans="2:41" x14ac:dyDescent="0.25">
      <c r="B101" s="13"/>
      <c r="C101" s="14"/>
      <c r="D101" s="60"/>
      <c r="E101" s="56"/>
      <c r="F101" s="56"/>
      <c r="G101" s="14"/>
      <c r="H101" s="56"/>
      <c r="I101" s="14"/>
      <c r="J101" s="14"/>
      <c r="K101" s="14"/>
      <c r="L101" s="14"/>
      <c r="M101" s="14"/>
      <c r="N101" s="14"/>
      <c r="O101" s="14"/>
      <c r="P101" s="14"/>
      <c r="Q101" s="14"/>
      <c r="R101" s="14"/>
      <c r="S101" s="14"/>
      <c r="T101" s="14"/>
      <c r="U101" s="14"/>
      <c r="V101" s="14"/>
      <c r="W101" s="14"/>
      <c r="X101" s="14"/>
      <c r="Y101" s="14"/>
      <c r="Z101" s="14"/>
      <c r="AA101" s="15"/>
      <c r="AB101" s="3"/>
      <c r="AC101" s="3"/>
      <c r="AD101" s="3"/>
      <c r="AE101" s="3"/>
      <c r="AF101" s="3"/>
      <c r="AG101" s="3"/>
      <c r="AH101" s="3"/>
      <c r="AI101" s="3"/>
      <c r="AJ101" s="3"/>
      <c r="AK101" s="3"/>
      <c r="AL101" s="3"/>
      <c r="AM101" s="3"/>
      <c r="AN101" s="3"/>
      <c r="AO101" s="3"/>
    </row>
    <row r="102" spans="2:41" x14ac:dyDescent="0.25">
      <c r="B102" s="13"/>
      <c r="C102" s="56"/>
      <c r="D102" s="60"/>
      <c r="E102" s="56"/>
      <c r="F102" s="56"/>
      <c r="G102" s="56"/>
      <c r="H102" s="56"/>
      <c r="I102" s="14"/>
      <c r="J102" s="14"/>
      <c r="K102" s="14"/>
      <c r="L102" s="14"/>
      <c r="M102" s="14"/>
      <c r="N102" s="14"/>
      <c r="O102" s="14"/>
      <c r="P102" s="14"/>
      <c r="Q102" s="14"/>
      <c r="R102" s="14"/>
      <c r="S102" s="14"/>
      <c r="T102" s="14"/>
      <c r="U102" s="14"/>
      <c r="V102" s="14"/>
      <c r="W102" s="14"/>
      <c r="X102" s="14"/>
      <c r="Y102" s="14"/>
      <c r="Z102" s="14"/>
      <c r="AA102" s="15"/>
      <c r="AB102" s="3"/>
      <c r="AC102" s="3"/>
      <c r="AD102" s="3"/>
      <c r="AE102" s="3"/>
      <c r="AF102" s="3"/>
      <c r="AG102" s="3"/>
      <c r="AH102" s="3"/>
      <c r="AI102" s="3"/>
      <c r="AJ102" s="3"/>
      <c r="AK102" s="3"/>
      <c r="AL102" s="3"/>
      <c r="AM102" s="3"/>
      <c r="AN102" s="3"/>
      <c r="AO102" s="3"/>
    </row>
    <row r="103" spans="2:41" x14ac:dyDescent="0.25">
      <c r="B103" s="13"/>
      <c r="C103" s="14"/>
      <c r="D103" s="60"/>
      <c r="E103" s="56"/>
      <c r="F103" s="56"/>
      <c r="G103" s="14"/>
      <c r="H103" s="56"/>
      <c r="I103" s="14"/>
      <c r="J103" s="14"/>
      <c r="K103" s="14"/>
      <c r="L103" s="14"/>
      <c r="M103" s="14"/>
      <c r="N103" s="14"/>
      <c r="O103" s="14"/>
      <c r="P103" s="14"/>
      <c r="Q103" s="14"/>
      <c r="R103" s="14"/>
      <c r="S103" s="14"/>
      <c r="T103" s="14"/>
      <c r="U103" s="14"/>
      <c r="V103" s="14"/>
      <c r="W103" s="14"/>
      <c r="X103" s="14"/>
      <c r="Y103" s="14"/>
      <c r="Z103" s="14"/>
      <c r="AA103" s="15"/>
      <c r="AB103" s="3"/>
      <c r="AC103" s="3"/>
      <c r="AD103" s="3"/>
      <c r="AE103" s="3"/>
      <c r="AF103" s="3"/>
      <c r="AG103" s="3"/>
      <c r="AH103" s="3"/>
      <c r="AI103" s="3"/>
      <c r="AJ103" s="3"/>
      <c r="AK103" s="3"/>
      <c r="AL103" s="3"/>
      <c r="AM103" s="3"/>
      <c r="AN103" s="3"/>
      <c r="AO103" s="3"/>
    </row>
    <row r="104" spans="2:41" x14ac:dyDescent="0.25">
      <c r="B104" s="13"/>
      <c r="C104" s="14"/>
      <c r="D104" s="14"/>
      <c r="E104" s="56"/>
      <c r="F104" s="56"/>
      <c r="G104" s="14"/>
      <c r="H104" s="56"/>
      <c r="I104" s="14"/>
      <c r="J104" s="14"/>
      <c r="K104" s="14"/>
      <c r="L104" s="14"/>
      <c r="M104" s="14"/>
      <c r="N104" s="14"/>
      <c r="O104" s="14"/>
      <c r="P104" s="14"/>
      <c r="Q104" s="14"/>
      <c r="R104" s="14"/>
      <c r="S104" s="14"/>
      <c r="T104" s="14"/>
      <c r="U104" s="14"/>
      <c r="V104" s="14"/>
      <c r="W104" s="14"/>
      <c r="X104" s="14"/>
      <c r="Y104" s="14"/>
      <c r="Z104" s="14"/>
      <c r="AA104" s="15"/>
      <c r="AB104" s="3"/>
      <c r="AC104" s="3"/>
      <c r="AD104" s="3"/>
      <c r="AE104" s="3"/>
      <c r="AF104" s="3"/>
      <c r="AG104" s="3"/>
      <c r="AH104" s="3"/>
      <c r="AI104" s="3"/>
      <c r="AJ104" s="3"/>
      <c r="AK104" s="3"/>
      <c r="AL104" s="3"/>
      <c r="AM104" s="3"/>
      <c r="AN104" s="3"/>
      <c r="AO104" s="3"/>
    </row>
    <row r="105" spans="2:41" x14ac:dyDescent="0.25">
      <c r="B105" s="13"/>
      <c r="C105" s="14"/>
      <c r="D105" s="60"/>
      <c r="E105" s="56"/>
      <c r="F105" s="56"/>
      <c r="G105" s="57"/>
      <c r="H105" s="14"/>
      <c r="I105" s="14"/>
      <c r="J105" s="14"/>
      <c r="K105" s="14"/>
      <c r="L105" s="14"/>
      <c r="M105" s="14"/>
      <c r="N105" s="14"/>
      <c r="O105" s="14"/>
      <c r="P105" s="14"/>
      <c r="Q105" s="14"/>
      <c r="R105" s="14"/>
      <c r="S105" s="14"/>
      <c r="T105" s="14"/>
      <c r="U105" s="14"/>
      <c r="V105" s="14"/>
      <c r="W105" s="14"/>
      <c r="X105" s="14"/>
      <c r="Y105" s="14"/>
      <c r="Z105" s="14"/>
      <c r="AA105" s="15"/>
      <c r="AB105" s="3"/>
      <c r="AC105" s="3"/>
      <c r="AD105" s="3"/>
      <c r="AE105" s="3"/>
      <c r="AF105" s="3"/>
      <c r="AG105" s="3"/>
      <c r="AH105" s="3"/>
      <c r="AI105" s="3"/>
      <c r="AJ105" s="3"/>
      <c r="AK105" s="3"/>
      <c r="AL105" s="3"/>
      <c r="AM105" s="3"/>
      <c r="AN105" s="3"/>
      <c r="AO105" s="3"/>
    </row>
    <row r="106" spans="2:41" x14ac:dyDescent="0.25">
      <c r="B106" s="13"/>
      <c r="C106" s="14"/>
      <c r="D106" s="60"/>
      <c r="E106" s="56"/>
      <c r="F106" s="56"/>
      <c r="G106" s="128"/>
      <c r="H106" s="56"/>
      <c r="I106" s="14"/>
      <c r="J106" s="14"/>
      <c r="K106" s="14"/>
      <c r="L106" s="14"/>
      <c r="M106" s="14"/>
      <c r="N106" s="14"/>
      <c r="O106" s="14"/>
      <c r="P106" s="14"/>
      <c r="Q106" s="14"/>
      <c r="R106" s="14"/>
      <c r="S106" s="14"/>
      <c r="T106" s="14"/>
      <c r="U106" s="14"/>
      <c r="V106" s="14"/>
      <c r="W106" s="14"/>
      <c r="X106" s="14"/>
      <c r="Y106" s="14"/>
      <c r="Z106" s="14"/>
      <c r="AA106" s="15"/>
      <c r="AB106" s="3"/>
      <c r="AC106" s="3"/>
      <c r="AD106" s="3"/>
      <c r="AE106" s="3"/>
      <c r="AF106" s="3"/>
      <c r="AG106" s="3"/>
      <c r="AH106" s="3"/>
      <c r="AI106" s="3"/>
      <c r="AJ106" s="3"/>
      <c r="AK106" s="3"/>
      <c r="AL106" s="3"/>
      <c r="AM106" s="3"/>
      <c r="AN106" s="3"/>
      <c r="AO106" s="3"/>
    </row>
    <row r="107" spans="2:41" x14ac:dyDescent="0.25">
      <c r="B107" s="13"/>
      <c r="C107" s="14"/>
      <c r="D107" s="60"/>
      <c r="E107" s="56"/>
      <c r="F107" s="56"/>
      <c r="G107" s="14"/>
      <c r="H107" s="56"/>
      <c r="I107" s="14"/>
      <c r="J107" s="14"/>
      <c r="K107" s="14"/>
      <c r="L107" s="14"/>
      <c r="M107" s="14"/>
      <c r="N107" s="14"/>
      <c r="O107" s="14"/>
      <c r="P107" s="14"/>
      <c r="Q107" s="14"/>
      <c r="R107" s="14"/>
      <c r="S107" s="14"/>
      <c r="T107" s="14"/>
      <c r="U107" s="14"/>
      <c r="V107" s="14"/>
      <c r="W107" s="14"/>
      <c r="X107" s="14"/>
      <c r="Y107" s="14"/>
      <c r="Z107" s="14"/>
      <c r="AA107" s="15"/>
      <c r="AB107" s="3"/>
      <c r="AC107" s="3"/>
      <c r="AD107" s="3"/>
      <c r="AE107" s="3"/>
      <c r="AF107" s="3"/>
      <c r="AG107" s="3"/>
      <c r="AH107" s="3"/>
      <c r="AI107" s="3"/>
      <c r="AJ107" s="3"/>
      <c r="AK107" s="3"/>
      <c r="AL107" s="3"/>
      <c r="AM107" s="3"/>
      <c r="AN107" s="3"/>
      <c r="AO107" s="3"/>
    </row>
    <row r="108" spans="2:41" x14ac:dyDescent="0.25">
      <c r="B108" s="13"/>
      <c r="C108" s="14"/>
      <c r="D108" s="60"/>
      <c r="E108" s="56"/>
      <c r="F108" s="56"/>
      <c r="G108" s="14"/>
      <c r="H108" s="56"/>
      <c r="I108" s="14"/>
      <c r="J108" s="14"/>
      <c r="K108" s="14"/>
      <c r="L108" s="14"/>
      <c r="M108" s="14"/>
      <c r="N108" s="14"/>
      <c r="O108" s="14"/>
      <c r="P108" s="14"/>
      <c r="Q108" s="14"/>
      <c r="R108" s="14"/>
      <c r="S108" s="14"/>
      <c r="T108" s="14"/>
      <c r="U108" s="14"/>
      <c r="V108" s="14"/>
      <c r="W108" s="14"/>
      <c r="X108" s="14"/>
      <c r="Y108" s="14"/>
      <c r="Z108" s="14"/>
      <c r="AA108" s="15"/>
      <c r="AB108" s="3"/>
      <c r="AC108" s="3"/>
      <c r="AD108" s="3"/>
      <c r="AE108" s="3"/>
      <c r="AF108" s="3"/>
      <c r="AG108" s="3"/>
      <c r="AH108" s="3"/>
      <c r="AI108" s="3"/>
      <c r="AJ108" s="3"/>
      <c r="AK108" s="3"/>
      <c r="AL108" s="3"/>
      <c r="AM108" s="3"/>
      <c r="AN108" s="3"/>
      <c r="AO108" s="3"/>
    </row>
    <row r="109" spans="2:41" x14ac:dyDescent="0.25">
      <c r="B109" s="13"/>
      <c r="C109" s="56"/>
      <c r="D109" s="60"/>
      <c r="E109" s="56"/>
      <c r="F109" s="56"/>
      <c r="G109" s="56"/>
      <c r="H109" s="56"/>
      <c r="I109" s="14"/>
      <c r="J109" s="14"/>
      <c r="K109" s="14"/>
      <c r="L109" s="14"/>
      <c r="M109" s="14"/>
      <c r="N109" s="14"/>
      <c r="O109" s="14"/>
      <c r="P109" s="14"/>
      <c r="Q109" s="14"/>
      <c r="R109" s="14"/>
      <c r="S109" s="14"/>
      <c r="T109" s="14"/>
      <c r="U109" s="14"/>
      <c r="V109" s="14"/>
      <c r="W109" s="14"/>
      <c r="X109" s="14"/>
      <c r="Y109" s="14"/>
      <c r="Z109" s="14"/>
      <c r="AA109" s="15"/>
      <c r="AB109" s="3"/>
      <c r="AC109" s="3"/>
      <c r="AD109" s="3"/>
      <c r="AE109" s="3"/>
      <c r="AF109" s="3"/>
      <c r="AG109" s="3"/>
      <c r="AH109" s="3"/>
      <c r="AI109" s="3"/>
      <c r="AJ109" s="3"/>
      <c r="AK109" s="3"/>
      <c r="AL109" s="3"/>
      <c r="AM109" s="3"/>
      <c r="AN109" s="3"/>
      <c r="AO109" s="3"/>
    </row>
    <row r="110" spans="2:41" ht="18.75" x14ac:dyDescent="0.3">
      <c r="B110" s="67"/>
      <c r="C110" s="14"/>
      <c r="D110" s="60"/>
      <c r="E110" s="56"/>
      <c r="F110" s="56"/>
      <c r="G110" s="14"/>
      <c r="H110" s="56"/>
      <c r="I110" s="74"/>
      <c r="J110" s="14"/>
      <c r="K110" s="14"/>
      <c r="L110" s="14"/>
      <c r="M110" s="14"/>
      <c r="N110" s="14"/>
      <c r="O110" s="14"/>
      <c r="P110" s="14"/>
      <c r="Q110" s="14"/>
      <c r="R110" s="14"/>
      <c r="S110" s="14"/>
      <c r="T110" s="14"/>
      <c r="U110" s="14"/>
      <c r="V110" s="14"/>
      <c r="W110" s="14"/>
      <c r="X110" s="14"/>
      <c r="Y110" s="14"/>
      <c r="Z110" s="14"/>
      <c r="AA110" s="15"/>
      <c r="AB110" s="3"/>
      <c r="AC110" s="3"/>
      <c r="AD110" s="3"/>
      <c r="AE110" s="3"/>
      <c r="AF110" s="3"/>
      <c r="AG110" s="3"/>
      <c r="AH110" s="3"/>
      <c r="AI110" s="3"/>
      <c r="AJ110" s="3"/>
      <c r="AK110" s="3"/>
      <c r="AL110" s="3"/>
      <c r="AM110" s="3"/>
      <c r="AN110" s="3"/>
      <c r="AO110" s="3"/>
    </row>
    <row r="111" spans="2:41" x14ac:dyDescent="0.25">
      <c r="B111" s="13"/>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5"/>
      <c r="AB111" s="3"/>
      <c r="AC111" s="3"/>
      <c r="AD111" s="3"/>
      <c r="AE111" s="3"/>
      <c r="AF111" s="3"/>
      <c r="AG111" s="3"/>
      <c r="AH111" s="3"/>
      <c r="AI111" s="3"/>
      <c r="AJ111" s="3"/>
      <c r="AK111" s="3"/>
      <c r="AL111" s="3"/>
      <c r="AM111" s="3"/>
      <c r="AN111" s="3"/>
      <c r="AO111" s="3"/>
    </row>
    <row r="112" spans="2:41" x14ac:dyDescent="0.25">
      <c r="B112" s="13"/>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5"/>
      <c r="AB112" s="3"/>
      <c r="AC112" s="3"/>
      <c r="AD112" s="3"/>
      <c r="AE112" s="3"/>
      <c r="AF112" s="3"/>
      <c r="AG112" s="3"/>
      <c r="AH112" s="3"/>
      <c r="AI112" s="3"/>
      <c r="AJ112" s="3"/>
      <c r="AK112" s="3"/>
      <c r="AL112" s="3"/>
      <c r="AM112" s="3"/>
      <c r="AN112" s="3"/>
      <c r="AO112" s="3"/>
    </row>
    <row r="113" spans="2:41" x14ac:dyDescent="0.25">
      <c r="B113" s="13"/>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5"/>
      <c r="AB113" s="3"/>
      <c r="AC113" s="3"/>
      <c r="AD113" s="3"/>
      <c r="AE113" s="3"/>
      <c r="AF113" s="3"/>
      <c r="AG113" s="3"/>
      <c r="AH113" s="3"/>
      <c r="AI113" s="3"/>
      <c r="AJ113" s="3"/>
      <c r="AK113" s="3"/>
      <c r="AL113" s="3"/>
      <c r="AM113" s="3"/>
      <c r="AN113" s="3"/>
      <c r="AO113" s="3"/>
    </row>
    <row r="114" spans="2:41" x14ac:dyDescent="0.25">
      <c r="B114" s="13"/>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5"/>
      <c r="AB114" s="3"/>
      <c r="AC114" s="3"/>
      <c r="AD114" s="3"/>
      <c r="AE114" s="3"/>
      <c r="AF114" s="3"/>
      <c r="AG114" s="3"/>
      <c r="AH114" s="3"/>
      <c r="AI114" s="3"/>
      <c r="AJ114" s="3"/>
      <c r="AK114" s="3"/>
      <c r="AL114" s="3"/>
      <c r="AM114" s="3"/>
      <c r="AN114" s="3"/>
      <c r="AO114" s="3"/>
    </row>
    <row r="115" spans="2:41" x14ac:dyDescent="0.25">
      <c r="B115" s="13"/>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5"/>
      <c r="AB115" s="3"/>
      <c r="AC115" s="3"/>
      <c r="AD115" s="3"/>
      <c r="AE115" s="3"/>
      <c r="AF115" s="3"/>
      <c r="AG115" s="3"/>
      <c r="AH115" s="3"/>
      <c r="AI115" s="3"/>
      <c r="AJ115" s="3"/>
      <c r="AK115" s="3"/>
      <c r="AL115" s="3"/>
      <c r="AM115" s="3"/>
      <c r="AN115" s="3"/>
      <c r="AO115" s="3"/>
    </row>
    <row r="116" spans="2:41" x14ac:dyDescent="0.25">
      <c r="B116" s="13"/>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5"/>
      <c r="AB116" s="3"/>
      <c r="AC116" s="3"/>
      <c r="AD116" s="3"/>
      <c r="AE116" s="3"/>
      <c r="AF116" s="3"/>
      <c r="AG116" s="3"/>
      <c r="AH116" s="3"/>
      <c r="AI116" s="3"/>
      <c r="AJ116" s="3"/>
      <c r="AK116" s="3"/>
      <c r="AL116" s="3"/>
      <c r="AM116" s="3"/>
      <c r="AN116" s="3"/>
      <c r="AO116" s="3"/>
    </row>
    <row r="117" spans="2:41" x14ac:dyDescent="0.25">
      <c r="B117" s="13"/>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5"/>
      <c r="AB117" s="3"/>
      <c r="AC117" s="3"/>
      <c r="AD117" s="3"/>
      <c r="AE117" s="3"/>
      <c r="AF117" s="3"/>
      <c r="AG117" s="3"/>
      <c r="AH117" s="3"/>
      <c r="AI117" s="3"/>
      <c r="AJ117" s="3"/>
      <c r="AK117" s="3"/>
      <c r="AL117" s="3"/>
      <c r="AM117" s="3"/>
      <c r="AN117" s="3"/>
      <c r="AO117" s="3"/>
    </row>
    <row r="118" spans="2:41" x14ac:dyDescent="0.25">
      <c r="B118" s="13"/>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5"/>
      <c r="AB118" s="3"/>
      <c r="AC118" s="3"/>
      <c r="AD118" s="3"/>
      <c r="AE118" s="3"/>
      <c r="AF118" s="3"/>
      <c r="AG118" s="3"/>
      <c r="AH118" s="3"/>
      <c r="AI118" s="3"/>
      <c r="AJ118" s="3"/>
      <c r="AK118" s="3"/>
      <c r="AL118" s="3"/>
      <c r="AM118" s="3"/>
      <c r="AN118" s="3"/>
      <c r="AO118" s="3"/>
    </row>
    <row r="119" spans="2:41" ht="15.4" customHeight="1" x14ac:dyDescent="0.25">
      <c r="B119" s="13"/>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5"/>
      <c r="AB119" s="3"/>
      <c r="AC119" s="3"/>
      <c r="AD119" s="3"/>
      <c r="AE119" s="3"/>
      <c r="AF119" s="3"/>
      <c r="AG119" s="3"/>
      <c r="AH119" s="3"/>
      <c r="AI119" s="3"/>
      <c r="AJ119" s="3"/>
      <c r="AK119" s="3"/>
      <c r="AL119" s="3"/>
      <c r="AM119" s="3"/>
      <c r="AN119" s="3"/>
      <c r="AO119" s="3"/>
    </row>
    <row r="120" spans="2:41" x14ac:dyDescent="0.25">
      <c r="B120" s="13"/>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5"/>
      <c r="AB120" s="3"/>
      <c r="AC120" s="3"/>
      <c r="AD120" s="3"/>
      <c r="AE120" s="3"/>
      <c r="AF120" s="3"/>
      <c r="AG120" s="3"/>
      <c r="AH120" s="3"/>
      <c r="AI120" s="3"/>
      <c r="AJ120" s="3"/>
      <c r="AK120" s="3"/>
      <c r="AL120" s="3"/>
      <c r="AM120" s="3"/>
      <c r="AN120" s="3"/>
      <c r="AO120" s="3"/>
    </row>
    <row r="121" spans="2:41" x14ac:dyDescent="0.25">
      <c r="B121" s="13"/>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5"/>
      <c r="AB121" s="3"/>
      <c r="AC121" s="3"/>
      <c r="AD121" s="3"/>
      <c r="AE121" s="3"/>
      <c r="AF121" s="3"/>
      <c r="AG121" s="3"/>
      <c r="AH121" s="3"/>
      <c r="AI121" s="3"/>
      <c r="AJ121" s="3"/>
      <c r="AK121" s="3"/>
      <c r="AL121" s="3"/>
      <c r="AM121" s="3"/>
      <c r="AN121" s="3"/>
      <c r="AO121" s="3"/>
    </row>
    <row r="122" spans="2:41" x14ac:dyDescent="0.25">
      <c r="B122" s="13"/>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5"/>
      <c r="AB122" s="3"/>
      <c r="AC122" s="3"/>
      <c r="AD122" s="3"/>
      <c r="AE122" s="3"/>
      <c r="AF122" s="3"/>
      <c r="AG122" s="3"/>
      <c r="AH122" s="3"/>
      <c r="AI122" s="3"/>
      <c r="AJ122" s="3"/>
      <c r="AK122" s="3"/>
      <c r="AL122" s="3"/>
      <c r="AM122" s="3"/>
      <c r="AN122" s="3"/>
      <c r="AO122" s="3"/>
    </row>
    <row r="123" spans="2:41" x14ac:dyDescent="0.25">
      <c r="B123" s="13"/>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5"/>
      <c r="AB123" s="3"/>
      <c r="AC123" s="3"/>
      <c r="AD123" s="3"/>
      <c r="AE123" s="3"/>
      <c r="AF123" s="3"/>
      <c r="AG123" s="3"/>
      <c r="AH123" s="3"/>
      <c r="AI123" s="3"/>
      <c r="AJ123" s="3"/>
      <c r="AK123" s="3"/>
      <c r="AL123" s="3"/>
      <c r="AM123" s="3"/>
      <c r="AN123" s="3"/>
      <c r="AO123" s="3"/>
    </row>
    <row r="124" spans="2:41" ht="18.75" x14ac:dyDescent="0.3">
      <c r="B124" s="67"/>
      <c r="C124" s="14"/>
      <c r="D124" s="60"/>
      <c r="E124" s="56"/>
      <c r="F124" s="56"/>
      <c r="G124" s="14"/>
      <c r="H124" s="56"/>
      <c r="I124" s="74"/>
      <c r="J124" s="14"/>
      <c r="K124" s="14"/>
      <c r="L124" s="14"/>
      <c r="M124" s="14"/>
      <c r="N124" s="14"/>
      <c r="O124" s="14"/>
      <c r="P124" s="14"/>
      <c r="Q124" s="14"/>
      <c r="R124" s="14"/>
      <c r="S124" s="14"/>
      <c r="T124" s="14"/>
      <c r="U124" s="14"/>
      <c r="V124" s="14"/>
      <c r="W124" s="14"/>
      <c r="X124" s="14"/>
      <c r="Y124" s="14"/>
      <c r="Z124" s="14"/>
      <c r="AA124" s="15"/>
      <c r="AB124" s="3"/>
      <c r="AC124" s="3"/>
      <c r="AD124" s="3"/>
      <c r="AE124" s="3"/>
      <c r="AF124" s="3"/>
      <c r="AG124" s="3"/>
      <c r="AH124" s="3"/>
      <c r="AI124" s="3"/>
      <c r="AJ124" s="3"/>
      <c r="AK124" s="3"/>
      <c r="AL124" s="3"/>
      <c r="AM124" s="3"/>
      <c r="AN124" s="3"/>
      <c r="AO124" s="3"/>
    </row>
    <row r="125" spans="2:41" x14ac:dyDescent="0.25">
      <c r="B125" s="13"/>
      <c r="C125" s="14"/>
      <c r="D125" s="14"/>
      <c r="E125" s="56"/>
      <c r="F125" s="56"/>
      <c r="G125" s="14"/>
      <c r="H125" s="56"/>
      <c r="I125" s="14"/>
      <c r="J125" s="14"/>
      <c r="K125" s="14"/>
      <c r="L125" s="14"/>
      <c r="M125" s="14"/>
      <c r="N125" s="14"/>
      <c r="O125" s="14"/>
      <c r="P125" s="14"/>
      <c r="Q125" s="14"/>
      <c r="R125" s="14"/>
      <c r="S125" s="14"/>
      <c r="T125" s="14"/>
      <c r="U125" s="14"/>
      <c r="V125" s="14"/>
      <c r="W125" s="14"/>
      <c r="X125" s="14"/>
      <c r="Y125" s="14"/>
      <c r="Z125" s="14"/>
      <c r="AA125" s="15"/>
      <c r="AB125" s="3"/>
      <c r="AC125" s="3"/>
      <c r="AD125" s="3"/>
      <c r="AE125" s="3"/>
      <c r="AF125" s="3"/>
      <c r="AG125" s="3"/>
      <c r="AH125" s="3"/>
      <c r="AI125" s="3"/>
      <c r="AJ125" s="3"/>
      <c r="AK125" s="3"/>
      <c r="AL125" s="3"/>
      <c r="AM125" s="3"/>
      <c r="AN125" s="3"/>
      <c r="AO125" s="3"/>
    </row>
    <row r="126" spans="2:41" x14ac:dyDescent="0.25">
      <c r="B126" s="13"/>
      <c r="C126" s="14"/>
      <c r="D126" s="60"/>
      <c r="E126" s="56"/>
      <c r="F126" s="56"/>
      <c r="G126" s="57"/>
      <c r="H126" s="14"/>
      <c r="I126" s="14"/>
      <c r="J126" s="14"/>
      <c r="K126" s="14"/>
      <c r="L126" s="14"/>
      <c r="M126" s="14"/>
      <c r="N126" s="14"/>
      <c r="O126" s="14"/>
      <c r="P126" s="14"/>
      <c r="Q126" s="14"/>
      <c r="R126" s="14"/>
      <c r="S126" s="14"/>
      <c r="T126" s="14"/>
      <c r="U126" s="14"/>
      <c r="V126" s="14"/>
      <c r="W126" s="14"/>
      <c r="X126" s="14"/>
      <c r="Y126" s="14"/>
      <c r="Z126" s="14"/>
      <c r="AA126" s="15"/>
      <c r="AB126" s="3"/>
      <c r="AC126" s="3"/>
      <c r="AD126" s="3"/>
      <c r="AE126" s="3"/>
      <c r="AF126" s="3"/>
      <c r="AG126" s="3"/>
      <c r="AH126" s="3"/>
      <c r="AI126" s="3"/>
      <c r="AJ126" s="3"/>
      <c r="AK126" s="3"/>
      <c r="AL126" s="3"/>
      <c r="AM126" s="3"/>
      <c r="AN126" s="3"/>
      <c r="AO126" s="3"/>
    </row>
    <row r="127" spans="2:41" x14ac:dyDescent="0.25">
      <c r="B127" s="13"/>
      <c r="C127" s="14"/>
      <c r="D127" s="60"/>
      <c r="E127" s="56"/>
      <c r="F127" s="56"/>
      <c r="G127" s="128"/>
      <c r="H127" s="56"/>
      <c r="I127" s="14"/>
      <c r="J127" s="14"/>
      <c r="K127" s="14"/>
      <c r="L127" s="14"/>
      <c r="M127" s="14"/>
      <c r="N127" s="14"/>
      <c r="O127" s="14"/>
      <c r="P127" s="14"/>
      <c r="Q127" s="14"/>
      <c r="R127" s="14"/>
      <c r="S127" s="14"/>
      <c r="T127" s="14"/>
      <c r="U127" s="14"/>
      <c r="V127" s="14"/>
      <c r="W127" s="14"/>
      <c r="X127" s="14"/>
      <c r="Y127" s="14"/>
      <c r="Z127" s="14"/>
      <c r="AA127" s="15"/>
      <c r="AB127" s="3"/>
      <c r="AC127" s="3"/>
      <c r="AD127" s="3"/>
      <c r="AE127" s="3"/>
      <c r="AF127" s="3"/>
      <c r="AG127" s="3"/>
      <c r="AH127" s="3"/>
      <c r="AI127" s="3"/>
      <c r="AJ127" s="3"/>
      <c r="AK127" s="3"/>
      <c r="AL127" s="3"/>
      <c r="AM127" s="3"/>
      <c r="AN127" s="3"/>
      <c r="AO127" s="3"/>
    </row>
    <row r="128" spans="2:41" x14ac:dyDescent="0.25">
      <c r="B128" s="13"/>
      <c r="C128" s="14"/>
      <c r="D128" s="60"/>
      <c r="E128" s="56"/>
      <c r="F128" s="56"/>
      <c r="G128" s="14"/>
      <c r="H128" s="56"/>
      <c r="I128" s="14"/>
      <c r="J128" s="14"/>
      <c r="K128" s="14"/>
      <c r="L128" s="14"/>
      <c r="M128" s="14"/>
      <c r="N128" s="14"/>
      <c r="O128" s="14"/>
      <c r="P128" s="14"/>
      <c r="Q128" s="14"/>
      <c r="R128" s="14"/>
      <c r="S128" s="14"/>
      <c r="T128" s="14"/>
      <c r="U128" s="14"/>
      <c r="V128" s="14"/>
      <c r="W128" s="14"/>
      <c r="X128" s="14"/>
      <c r="Y128" s="14"/>
      <c r="Z128" s="14"/>
      <c r="AA128" s="15"/>
      <c r="AB128" s="3"/>
      <c r="AC128" s="3"/>
      <c r="AD128" s="3"/>
      <c r="AE128" s="3"/>
      <c r="AF128" s="3"/>
      <c r="AG128" s="3"/>
      <c r="AH128" s="3"/>
      <c r="AI128" s="3"/>
      <c r="AJ128" s="3"/>
      <c r="AK128" s="3"/>
      <c r="AL128" s="3"/>
      <c r="AM128" s="3"/>
      <c r="AN128" s="3"/>
      <c r="AO128" s="3"/>
    </row>
    <row r="129" spans="2:41" x14ac:dyDescent="0.25">
      <c r="B129" s="13"/>
      <c r="C129" s="14"/>
      <c r="D129" s="60"/>
      <c r="E129" s="56"/>
      <c r="F129" s="56"/>
      <c r="G129" s="14"/>
      <c r="H129" s="56"/>
      <c r="I129" s="14"/>
      <c r="J129" s="14"/>
      <c r="K129" s="14"/>
      <c r="L129" s="14"/>
      <c r="M129" s="14"/>
      <c r="N129" s="14"/>
      <c r="O129" s="14"/>
      <c r="P129" s="14"/>
      <c r="Q129" s="14"/>
      <c r="R129" s="14"/>
      <c r="S129" s="14"/>
      <c r="T129" s="14"/>
      <c r="U129" s="14"/>
      <c r="V129" s="14"/>
      <c r="W129" s="14"/>
      <c r="X129" s="14"/>
      <c r="Y129" s="14"/>
      <c r="Z129" s="14"/>
      <c r="AA129" s="15"/>
      <c r="AB129" s="3"/>
      <c r="AC129" s="3"/>
      <c r="AD129" s="3"/>
      <c r="AE129" s="3"/>
      <c r="AF129" s="3"/>
      <c r="AG129" s="3"/>
      <c r="AH129" s="3"/>
      <c r="AI129" s="3"/>
      <c r="AJ129" s="3"/>
      <c r="AK129" s="3"/>
      <c r="AL129" s="3"/>
      <c r="AM129" s="3"/>
      <c r="AN129" s="3"/>
      <c r="AO129" s="3"/>
    </row>
    <row r="130" spans="2:41" x14ac:dyDescent="0.25">
      <c r="B130" s="13"/>
      <c r="C130" s="56"/>
      <c r="D130" s="60"/>
      <c r="E130" s="56"/>
      <c r="F130" s="56"/>
      <c r="G130" s="56"/>
      <c r="H130" s="56"/>
      <c r="I130" s="14"/>
      <c r="J130" s="14"/>
      <c r="K130" s="14"/>
      <c r="L130" s="14"/>
      <c r="M130" s="14"/>
      <c r="N130" s="14"/>
      <c r="O130" s="14"/>
      <c r="P130" s="14"/>
      <c r="Q130" s="14"/>
      <c r="R130" s="14"/>
      <c r="S130" s="14"/>
      <c r="T130" s="14"/>
      <c r="U130" s="14"/>
      <c r="V130" s="14"/>
      <c r="W130" s="14"/>
      <c r="X130" s="14"/>
      <c r="Y130" s="14"/>
      <c r="Z130" s="14"/>
      <c r="AA130" s="15"/>
      <c r="AB130" s="3"/>
      <c r="AC130" s="3"/>
      <c r="AD130" s="3"/>
      <c r="AE130" s="3"/>
      <c r="AF130" s="3"/>
      <c r="AG130" s="3"/>
      <c r="AH130" s="3"/>
      <c r="AI130" s="3"/>
      <c r="AJ130" s="3"/>
      <c r="AK130" s="3"/>
      <c r="AL130" s="3"/>
      <c r="AM130" s="3"/>
      <c r="AN130" s="3"/>
      <c r="AO130" s="3"/>
    </row>
    <row r="131" spans="2:41" x14ac:dyDescent="0.25">
      <c r="B131" s="13"/>
      <c r="C131" s="14"/>
      <c r="D131" s="60"/>
      <c r="E131" s="56"/>
      <c r="F131" s="56"/>
      <c r="G131" s="14"/>
      <c r="H131" s="56"/>
      <c r="I131" s="14"/>
      <c r="J131" s="14"/>
      <c r="K131" s="14"/>
      <c r="L131" s="14"/>
      <c r="M131" s="14"/>
      <c r="N131" s="14"/>
      <c r="O131" s="14"/>
      <c r="P131" s="14"/>
      <c r="Q131" s="14"/>
      <c r="R131" s="14"/>
      <c r="S131" s="14"/>
      <c r="T131" s="14"/>
      <c r="U131" s="14"/>
      <c r="V131" s="14"/>
      <c r="W131" s="14"/>
      <c r="X131" s="14"/>
      <c r="Y131" s="14"/>
      <c r="Z131" s="14"/>
      <c r="AA131" s="15"/>
      <c r="AB131" s="3"/>
      <c r="AC131" s="3"/>
      <c r="AD131" s="3"/>
      <c r="AE131" s="3"/>
      <c r="AF131" s="3"/>
      <c r="AG131" s="3"/>
      <c r="AH131" s="3"/>
      <c r="AI131" s="3"/>
      <c r="AJ131" s="3"/>
      <c r="AK131" s="3"/>
      <c r="AL131" s="3"/>
      <c r="AM131" s="3"/>
      <c r="AN131" s="3"/>
      <c r="AO131" s="3"/>
    </row>
    <row r="132" spans="2:41" x14ac:dyDescent="0.25">
      <c r="B132" s="13"/>
      <c r="C132" s="14"/>
      <c r="D132" s="14"/>
      <c r="E132" s="56"/>
      <c r="F132" s="56"/>
      <c r="G132" s="14"/>
      <c r="H132" s="56"/>
      <c r="I132" s="14"/>
      <c r="J132" s="14"/>
      <c r="K132" s="14"/>
      <c r="L132" s="14"/>
      <c r="M132" s="14"/>
      <c r="N132" s="14"/>
      <c r="O132" s="14"/>
      <c r="P132" s="14"/>
      <c r="Q132" s="14"/>
      <c r="R132" s="14"/>
      <c r="S132" s="14"/>
      <c r="T132" s="14"/>
      <c r="U132" s="14"/>
      <c r="V132" s="14"/>
      <c r="W132" s="14"/>
      <c r="X132" s="14"/>
      <c r="Y132" s="14"/>
      <c r="Z132" s="14"/>
      <c r="AA132" s="15"/>
      <c r="AB132" s="3"/>
      <c r="AC132" s="3"/>
      <c r="AD132" s="3"/>
      <c r="AE132" s="3"/>
      <c r="AF132" s="3"/>
      <c r="AG132" s="3"/>
      <c r="AH132" s="3"/>
      <c r="AI132" s="3"/>
      <c r="AJ132" s="3"/>
      <c r="AK132" s="3"/>
      <c r="AL132" s="3"/>
      <c r="AM132" s="3"/>
      <c r="AN132" s="3"/>
      <c r="AO132" s="3"/>
    </row>
    <row r="133" spans="2:41" x14ac:dyDescent="0.25">
      <c r="B133" s="13"/>
      <c r="C133" s="14"/>
      <c r="D133" s="60"/>
      <c r="E133" s="56"/>
      <c r="F133" s="56"/>
      <c r="G133" s="57"/>
      <c r="H133" s="14"/>
      <c r="I133" s="14"/>
      <c r="J133" s="14"/>
      <c r="K133" s="14"/>
      <c r="L133" s="14"/>
      <c r="M133" s="14"/>
      <c r="N133" s="14"/>
      <c r="O133" s="14"/>
      <c r="P133" s="14"/>
      <c r="Q133" s="14"/>
      <c r="R133" s="14"/>
      <c r="S133" s="14"/>
      <c r="T133" s="14"/>
      <c r="U133" s="14"/>
      <c r="V133" s="14"/>
      <c r="W133" s="14"/>
      <c r="X133" s="14"/>
      <c r="Y133" s="14"/>
      <c r="Z133" s="14"/>
      <c r="AA133" s="15"/>
      <c r="AB133" s="3"/>
      <c r="AC133" s="3"/>
      <c r="AD133" s="3"/>
      <c r="AE133" s="3"/>
      <c r="AF133" s="3"/>
      <c r="AG133" s="3"/>
      <c r="AH133" s="3"/>
      <c r="AI133" s="3"/>
      <c r="AJ133" s="3"/>
      <c r="AK133" s="3"/>
      <c r="AL133" s="3"/>
      <c r="AM133" s="3"/>
      <c r="AN133" s="3"/>
      <c r="AO133" s="3"/>
    </row>
    <row r="134" spans="2:41" x14ac:dyDescent="0.25">
      <c r="B134" s="13"/>
      <c r="C134" s="14"/>
      <c r="D134" s="60"/>
      <c r="E134" s="56"/>
      <c r="F134" s="56"/>
      <c r="G134" s="128"/>
      <c r="H134" s="56"/>
      <c r="I134" s="14"/>
      <c r="J134" s="14"/>
      <c r="K134" s="14"/>
      <c r="L134" s="14"/>
      <c r="M134" s="14"/>
      <c r="N134" s="14"/>
      <c r="O134" s="14"/>
      <c r="P134" s="14"/>
      <c r="Q134" s="14"/>
      <c r="R134" s="14"/>
      <c r="S134" s="14"/>
      <c r="T134" s="14"/>
      <c r="U134" s="14"/>
      <c r="V134" s="14"/>
      <c r="W134" s="14"/>
      <c r="X134" s="14"/>
      <c r="Y134" s="14"/>
      <c r="Z134" s="14"/>
      <c r="AA134" s="15"/>
      <c r="AB134" s="3"/>
      <c r="AC134" s="3"/>
      <c r="AD134" s="3"/>
      <c r="AE134" s="3"/>
      <c r="AF134" s="3"/>
      <c r="AG134" s="3"/>
      <c r="AH134" s="3"/>
      <c r="AI134" s="3"/>
      <c r="AJ134" s="3"/>
      <c r="AK134" s="3"/>
      <c r="AL134" s="3"/>
      <c r="AM134" s="3"/>
      <c r="AN134" s="3"/>
      <c r="AO134" s="3"/>
    </row>
    <row r="135" spans="2:41" x14ac:dyDescent="0.25">
      <c r="B135" s="13"/>
      <c r="C135" s="14"/>
      <c r="D135" s="60"/>
      <c r="E135" s="56"/>
      <c r="F135" s="56"/>
      <c r="G135" s="14"/>
      <c r="H135" s="56"/>
      <c r="I135" s="14"/>
      <c r="J135" s="14"/>
      <c r="K135" s="14"/>
      <c r="L135" s="14"/>
      <c r="M135" s="14"/>
      <c r="N135" s="14"/>
      <c r="O135" s="14"/>
      <c r="P135" s="14"/>
      <c r="Q135" s="14"/>
      <c r="R135" s="14"/>
      <c r="S135" s="14"/>
      <c r="T135" s="14"/>
      <c r="U135" s="14"/>
      <c r="V135" s="14"/>
      <c r="W135" s="14"/>
      <c r="X135" s="14"/>
      <c r="Y135" s="14"/>
      <c r="Z135" s="14"/>
      <c r="AA135" s="15"/>
      <c r="AB135" s="3"/>
      <c r="AC135" s="3"/>
      <c r="AD135" s="3"/>
      <c r="AE135" s="3"/>
      <c r="AF135" s="3"/>
      <c r="AG135" s="3"/>
      <c r="AH135" s="3"/>
      <c r="AI135" s="3"/>
      <c r="AJ135" s="3"/>
      <c r="AK135" s="3"/>
      <c r="AL135" s="3"/>
      <c r="AM135" s="3"/>
      <c r="AN135" s="3"/>
      <c r="AO135" s="3"/>
    </row>
    <row r="136" spans="2:41" x14ac:dyDescent="0.25">
      <c r="B136" s="13"/>
      <c r="C136" s="14"/>
      <c r="D136" s="60"/>
      <c r="E136" s="56"/>
      <c r="F136" s="56"/>
      <c r="G136" s="14"/>
      <c r="H136" s="56"/>
      <c r="I136" s="14"/>
      <c r="J136" s="14"/>
      <c r="K136" s="14"/>
      <c r="L136" s="14"/>
      <c r="M136" s="14"/>
      <c r="N136" s="14"/>
      <c r="O136" s="14"/>
      <c r="P136" s="14"/>
      <c r="Q136" s="14"/>
      <c r="R136" s="14"/>
      <c r="S136" s="14"/>
      <c r="T136" s="14"/>
      <c r="U136" s="14"/>
      <c r="V136" s="14"/>
      <c r="W136" s="14"/>
      <c r="X136" s="14"/>
      <c r="Y136" s="14"/>
      <c r="Z136" s="14"/>
      <c r="AA136" s="15"/>
      <c r="AB136" s="3"/>
      <c r="AC136" s="3"/>
      <c r="AD136" s="3"/>
      <c r="AE136" s="3"/>
      <c r="AF136" s="3"/>
      <c r="AG136" s="3"/>
      <c r="AH136" s="3"/>
      <c r="AI136" s="3"/>
      <c r="AJ136" s="3"/>
      <c r="AK136" s="3"/>
      <c r="AL136" s="3"/>
      <c r="AM136" s="3"/>
      <c r="AN136" s="3"/>
      <c r="AO136" s="3"/>
    </row>
    <row r="137" spans="2:41" x14ac:dyDescent="0.25">
      <c r="B137" s="13"/>
      <c r="C137" s="56"/>
      <c r="D137" s="60"/>
      <c r="E137" s="56"/>
      <c r="F137" s="56"/>
      <c r="G137" s="56"/>
      <c r="H137" s="56"/>
      <c r="I137" s="14"/>
      <c r="J137" s="14"/>
      <c r="K137" s="14"/>
      <c r="L137" s="14"/>
      <c r="M137" s="14"/>
      <c r="N137" s="14"/>
      <c r="O137" s="14"/>
      <c r="P137" s="14"/>
      <c r="Q137" s="14"/>
      <c r="R137" s="14"/>
      <c r="S137" s="14"/>
      <c r="T137" s="14"/>
      <c r="U137" s="14"/>
      <c r="V137" s="14"/>
      <c r="W137" s="14"/>
      <c r="X137" s="14"/>
      <c r="Y137" s="14"/>
      <c r="Z137" s="14"/>
      <c r="AA137" s="15"/>
      <c r="AB137" s="3"/>
      <c r="AC137" s="3"/>
      <c r="AD137" s="3"/>
      <c r="AE137" s="3"/>
      <c r="AF137" s="3"/>
      <c r="AG137" s="3"/>
      <c r="AH137" s="3"/>
      <c r="AI137" s="3"/>
      <c r="AJ137" s="3"/>
      <c r="AK137" s="3"/>
      <c r="AL137" s="3"/>
      <c r="AM137" s="3"/>
      <c r="AN137" s="3"/>
      <c r="AO137" s="3"/>
    </row>
    <row r="138" spans="2:41" ht="18.75" x14ac:dyDescent="0.3">
      <c r="B138" s="67"/>
      <c r="C138" s="14"/>
      <c r="D138" s="60"/>
      <c r="E138" s="56"/>
      <c r="F138" s="56"/>
      <c r="G138" s="14"/>
      <c r="H138" s="56"/>
      <c r="I138" s="74"/>
      <c r="J138" s="14"/>
      <c r="K138" s="14"/>
      <c r="L138" s="14"/>
      <c r="M138" s="14"/>
      <c r="N138" s="14"/>
      <c r="O138" s="14"/>
      <c r="P138" s="14"/>
      <c r="Q138" s="14"/>
      <c r="R138" s="14"/>
      <c r="S138" s="14"/>
      <c r="T138" s="14"/>
      <c r="U138" s="14"/>
      <c r="V138" s="14"/>
      <c r="W138" s="14"/>
      <c r="X138" s="14"/>
      <c r="Y138" s="14"/>
      <c r="Z138" s="14"/>
      <c r="AA138" s="15"/>
      <c r="AB138" s="3"/>
      <c r="AC138" s="3"/>
      <c r="AD138" s="3"/>
      <c r="AE138" s="3"/>
      <c r="AF138" s="3"/>
      <c r="AG138" s="3"/>
      <c r="AH138" s="3"/>
      <c r="AI138" s="3"/>
      <c r="AJ138" s="3"/>
      <c r="AK138" s="3"/>
      <c r="AL138" s="3"/>
      <c r="AM138" s="3"/>
      <c r="AN138" s="3"/>
      <c r="AO138" s="3"/>
    </row>
    <row r="139" spans="2:41" x14ac:dyDescent="0.25">
      <c r="B139" s="13"/>
      <c r="C139" s="14"/>
      <c r="D139" s="14"/>
      <c r="E139" s="56"/>
      <c r="F139" s="56"/>
      <c r="G139" s="14"/>
      <c r="H139" s="56"/>
      <c r="I139" s="14"/>
      <c r="J139" s="14"/>
      <c r="K139" s="14"/>
      <c r="L139" s="14"/>
      <c r="M139" s="14"/>
      <c r="N139" s="14"/>
      <c r="O139" s="14"/>
      <c r="P139" s="14"/>
      <c r="Q139" s="14"/>
      <c r="R139" s="14"/>
      <c r="S139" s="14"/>
      <c r="T139" s="14"/>
      <c r="U139" s="14"/>
      <c r="V139" s="14"/>
      <c r="W139" s="14"/>
      <c r="X139" s="14"/>
      <c r="Y139" s="14"/>
      <c r="Z139" s="14"/>
      <c r="AA139" s="15"/>
      <c r="AB139" s="3"/>
      <c r="AC139" s="3"/>
      <c r="AD139" s="3"/>
      <c r="AE139" s="3"/>
      <c r="AF139" s="3"/>
      <c r="AG139" s="3"/>
      <c r="AH139" s="3"/>
      <c r="AI139" s="3"/>
      <c r="AJ139" s="3"/>
      <c r="AK139" s="3"/>
      <c r="AL139" s="3"/>
      <c r="AM139" s="3"/>
      <c r="AN139" s="3"/>
      <c r="AO139" s="3"/>
    </row>
    <row r="140" spans="2:41" x14ac:dyDescent="0.25">
      <c r="B140" s="13"/>
      <c r="C140" s="14"/>
      <c r="D140" s="60"/>
      <c r="E140" s="56"/>
      <c r="F140" s="56"/>
      <c r="G140" s="57"/>
      <c r="H140" s="14"/>
      <c r="I140" s="14"/>
      <c r="J140" s="14"/>
      <c r="K140" s="14"/>
      <c r="L140" s="14"/>
      <c r="M140" s="14"/>
      <c r="N140" s="14"/>
      <c r="O140" s="14"/>
      <c r="P140" s="14"/>
      <c r="Q140" s="14"/>
      <c r="R140" s="14"/>
      <c r="S140" s="14"/>
      <c r="T140" s="14"/>
      <c r="U140" s="14"/>
      <c r="V140" s="14"/>
      <c r="W140" s="14"/>
      <c r="X140" s="14"/>
      <c r="Y140" s="14"/>
      <c r="Z140" s="14"/>
      <c r="AA140" s="15"/>
      <c r="AB140" s="3"/>
      <c r="AC140" s="3"/>
      <c r="AD140" s="3"/>
      <c r="AE140" s="3"/>
      <c r="AF140" s="3"/>
      <c r="AG140" s="3"/>
      <c r="AH140" s="3"/>
      <c r="AI140" s="3"/>
      <c r="AJ140" s="3"/>
      <c r="AK140" s="3"/>
      <c r="AL140" s="3"/>
      <c r="AM140" s="3"/>
      <c r="AN140" s="3"/>
      <c r="AO140" s="3"/>
    </row>
    <row r="141" spans="2:41" x14ac:dyDescent="0.25">
      <c r="B141" s="13"/>
      <c r="C141" s="14"/>
      <c r="D141" s="60"/>
      <c r="E141" s="56"/>
      <c r="F141" s="56"/>
      <c r="G141" s="128"/>
      <c r="H141" s="56"/>
      <c r="I141" s="14"/>
      <c r="J141" s="14"/>
      <c r="K141" s="14"/>
      <c r="L141" s="14"/>
      <c r="M141" s="14"/>
      <c r="N141" s="14"/>
      <c r="O141" s="14"/>
      <c r="P141" s="14"/>
      <c r="Q141" s="14"/>
      <c r="R141" s="14"/>
      <c r="S141" s="14"/>
      <c r="T141" s="14"/>
      <c r="U141" s="14"/>
      <c r="V141" s="14"/>
      <c r="W141" s="14"/>
      <c r="X141" s="14"/>
      <c r="Y141" s="14"/>
      <c r="Z141" s="14"/>
      <c r="AA141" s="15"/>
      <c r="AB141" s="3"/>
      <c r="AC141" s="3"/>
      <c r="AD141" s="3"/>
      <c r="AE141" s="3"/>
      <c r="AF141" s="3"/>
      <c r="AG141" s="3"/>
      <c r="AH141" s="3"/>
      <c r="AI141" s="3"/>
      <c r="AJ141" s="3"/>
      <c r="AK141" s="3"/>
      <c r="AL141" s="3"/>
      <c r="AM141" s="3"/>
      <c r="AN141" s="3"/>
      <c r="AO141" s="3"/>
    </row>
    <row r="142" spans="2:41" x14ac:dyDescent="0.25">
      <c r="B142" s="13"/>
      <c r="C142" s="14"/>
      <c r="D142" s="60"/>
      <c r="E142" s="56"/>
      <c r="F142" s="56"/>
      <c r="G142" s="14"/>
      <c r="H142" s="56"/>
      <c r="I142" s="14"/>
      <c r="J142" s="14"/>
      <c r="K142" s="14"/>
      <c r="L142" s="14"/>
      <c r="M142" s="14"/>
      <c r="N142" s="14"/>
      <c r="O142" s="14"/>
      <c r="P142" s="14"/>
      <c r="Q142" s="14"/>
      <c r="R142" s="14"/>
      <c r="S142" s="14"/>
      <c r="T142" s="14"/>
      <c r="U142" s="14"/>
      <c r="V142" s="14"/>
      <c r="W142" s="14"/>
      <c r="X142" s="14"/>
      <c r="Y142" s="14"/>
      <c r="Z142" s="14"/>
      <c r="AA142" s="15"/>
      <c r="AB142" s="3"/>
      <c r="AC142" s="3"/>
      <c r="AD142" s="3"/>
      <c r="AE142" s="3"/>
      <c r="AF142" s="3"/>
      <c r="AG142" s="3"/>
      <c r="AH142" s="3"/>
      <c r="AI142" s="3"/>
      <c r="AJ142" s="3"/>
      <c r="AK142" s="3"/>
      <c r="AL142" s="3"/>
      <c r="AM142" s="3"/>
      <c r="AN142" s="3"/>
      <c r="AO142" s="3"/>
    </row>
    <row r="143" spans="2:41" x14ac:dyDescent="0.25">
      <c r="B143" s="13"/>
      <c r="C143" s="14"/>
      <c r="D143" s="60"/>
      <c r="E143" s="56"/>
      <c r="F143" s="56"/>
      <c r="G143" s="14"/>
      <c r="H143" s="56"/>
      <c r="I143" s="14"/>
      <c r="J143" s="14"/>
      <c r="K143" s="14"/>
      <c r="L143" s="14"/>
      <c r="M143" s="14"/>
      <c r="N143" s="14"/>
      <c r="O143" s="14"/>
      <c r="P143" s="14"/>
      <c r="Q143" s="14"/>
      <c r="R143" s="14"/>
      <c r="S143" s="14"/>
      <c r="T143" s="14"/>
      <c r="U143" s="14"/>
      <c r="V143" s="14"/>
      <c r="W143" s="14"/>
      <c r="X143" s="14"/>
      <c r="Y143" s="14"/>
      <c r="Z143" s="14"/>
      <c r="AA143" s="15"/>
      <c r="AB143" s="3"/>
      <c r="AC143" s="3"/>
      <c r="AD143" s="3"/>
      <c r="AE143" s="3"/>
      <c r="AF143" s="3"/>
      <c r="AG143" s="3"/>
      <c r="AH143" s="3"/>
      <c r="AI143" s="3"/>
      <c r="AJ143" s="3"/>
      <c r="AK143" s="3"/>
      <c r="AL143" s="3"/>
      <c r="AM143" s="3"/>
      <c r="AN143" s="3"/>
      <c r="AO143" s="3"/>
    </row>
    <row r="144" spans="2:41" x14ac:dyDescent="0.25">
      <c r="B144" s="13"/>
      <c r="C144" s="56"/>
      <c r="D144" s="60"/>
      <c r="E144" s="56"/>
      <c r="F144" s="56"/>
      <c r="G144" s="56"/>
      <c r="H144" s="56"/>
      <c r="I144" s="14"/>
      <c r="J144" s="14"/>
      <c r="K144" s="14"/>
      <c r="L144" s="14"/>
      <c r="M144" s="14"/>
      <c r="N144" s="14"/>
      <c r="O144" s="14"/>
      <c r="P144" s="14"/>
      <c r="Q144" s="14"/>
      <c r="R144" s="14"/>
      <c r="S144" s="14"/>
      <c r="T144" s="14"/>
      <c r="U144" s="14"/>
      <c r="V144" s="14"/>
      <c r="W144" s="14"/>
      <c r="X144" s="14"/>
      <c r="Y144" s="14"/>
      <c r="Z144" s="14"/>
      <c r="AA144" s="15"/>
      <c r="AB144" s="3"/>
      <c r="AC144" s="3"/>
      <c r="AD144" s="3"/>
      <c r="AE144" s="3"/>
      <c r="AF144" s="3"/>
      <c r="AG144" s="3"/>
      <c r="AH144" s="3"/>
      <c r="AI144" s="3"/>
      <c r="AJ144" s="3"/>
      <c r="AK144" s="3"/>
      <c r="AL144" s="3"/>
      <c r="AM144" s="3"/>
      <c r="AN144" s="3"/>
      <c r="AO144" s="3"/>
    </row>
    <row r="145" spans="2:41" x14ac:dyDescent="0.25">
      <c r="B145" s="13"/>
      <c r="C145" s="14"/>
      <c r="D145" s="60"/>
      <c r="E145" s="56"/>
      <c r="F145" s="56"/>
      <c r="G145" s="14"/>
      <c r="H145" s="56"/>
      <c r="I145" s="14"/>
      <c r="J145" s="14"/>
      <c r="K145" s="14"/>
      <c r="L145" s="14"/>
      <c r="M145" s="14"/>
      <c r="N145" s="14"/>
      <c r="O145" s="14"/>
      <c r="P145" s="14"/>
      <c r="Q145" s="14"/>
      <c r="R145" s="14"/>
      <c r="S145" s="14"/>
      <c r="T145" s="14"/>
      <c r="U145" s="14"/>
      <c r="V145" s="14"/>
      <c r="W145" s="14"/>
      <c r="X145" s="14"/>
      <c r="Y145" s="14"/>
      <c r="Z145" s="14"/>
      <c r="AA145" s="15"/>
      <c r="AB145" s="3"/>
      <c r="AC145" s="3"/>
      <c r="AD145" s="3"/>
      <c r="AE145" s="3"/>
      <c r="AF145" s="3"/>
      <c r="AG145" s="3"/>
      <c r="AH145" s="3"/>
      <c r="AI145" s="3"/>
      <c r="AJ145" s="3"/>
      <c r="AK145" s="3"/>
      <c r="AL145" s="3"/>
      <c r="AM145" s="3"/>
      <c r="AN145" s="3"/>
      <c r="AO145" s="3"/>
    </row>
    <row r="146" spans="2:41" x14ac:dyDescent="0.25">
      <c r="B146" s="13"/>
      <c r="C146" s="14"/>
      <c r="D146" s="14"/>
      <c r="E146" s="56"/>
      <c r="F146" s="56"/>
      <c r="G146" s="14"/>
      <c r="H146" s="56"/>
      <c r="I146" s="14"/>
      <c r="J146" s="14"/>
      <c r="K146" s="14"/>
      <c r="L146" s="14"/>
      <c r="M146" s="14"/>
      <c r="N146" s="14"/>
      <c r="O146" s="14"/>
      <c r="P146" s="14"/>
      <c r="Q146" s="14"/>
      <c r="R146" s="14"/>
      <c r="S146" s="14"/>
      <c r="T146" s="14"/>
      <c r="U146" s="14"/>
      <c r="V146" s="14"/>
      <c r="W146" s="14"/>
      <c r="X146" s="14"/>
      <c r="Y146" s="14"/>
      <c r="Z146" s="14"/>
      <c r="AA146" s="15"/>
      <c r="AB146" s="3"/>
      <c r="AC146" s="3"/>
      <c r="AD146" s="3"/>
      <c r="AE146" s="3"/>
      <c r="AF146" s="3"/>
      <c r="AG146" s="3"/>
      <c r="AH146" s="3"/>
      <c r="AI146" s="3"/>
      <c r="AJ146" s="3"/>
      <c r="AK146" s="3"/>
      <c r="AL146" s="3"/>
      <c r="AM146" s="3"/>
      <c r="AN146" s="3"/>
      <c r="AO146" s="3"/>
    </row>
    <row r="147" spans="2:41" x14ac:dyDescent="0.25">
      <c r="B147" s="13"/>
      <c r="C147" s="14"/>
      <c r="D147" s="60"/>
      <c r="E147" s="56"/>
      <c r="F147" s="56"/>
      <c r="G147" s="14"/>
      <c r="H147" s="14"/>
      <c r="I147" s="14"/>
      <c r="J147" s="14"/>
      <c r="K147" s="14"/>
      <c r="L147" s="14"/>
      <c r="M147" s="14"/>
      <c r="N147" s="14"/>
      <c r="O147" s="14"/>
      <c r="P147" s="14"/>
      <c r="Q147" s="14"/>
      <c r="R147" s="14"/>
      <c r="S147" s="14"/>
      <c r="T147" s="14"/>
      <c r="U147" s="14"/>
      <c r="V147" s="14"/>
      <c r="W147" s="14"/>
      <c r="X147" s="14"/>
      <c r="Y147" s="14"/>
      <c r="Z147" s="14"/>
      <c r="AA147" s="15"/>
      <c r="AB147" s="3"/>
      <c r="AC147" s="3"/>
      <c r="AD147" s="3"/>
      <c r="AE147" s="3"/>
      <c r="AF147" s="3"/>
      <c r="AG147" s="3"/>
      <c r="AH147" s="3"/>
      <c r="AI147" s="3"/>
      <c r="AJ147" s="3"/>
      <c r="AK147" s="3"/>
      <c r="AL147" s="3"/>
      <c r="AM147" s="3"/>
      <c r="AN147" s="3"/>
      <c r="AO147" s="3"/>
    </row>
    <row r="148" spans="2:41" x14ac:dyDescent="0.25">
      <c r="B148" s="13"/>
      <c r="C148" s="14"/>
      <c r="D148" s="60"/>
      <c r="E148" s="56"/>
      <c r="F148" s="56"/>
      <c r="G148" s="14"/>
      <c r="H148" s="56"/>
      <c r="I148" s="14"/>
      <c r="J148" s="14"/>
      <c r="K148" s="14"/>
      <c r="L148" s="14"/>
      <c r="M148" s="14"/>
      <c r="N148" s="14"/>
      <c r="O148" s="14"/>
      <c r="P148" s="14"/>
      <c r="Q148" s="14"/>
      <c r="R148" s="14"/>
      <c r="S148" s="14"/>
      <c r="T148" s="14"/>
      <c r="U148" s="14"/>
      <c r="V148" s="14"/>
      <c r="W148" s="14"/>
      <c r="X148" s="14"/>
      <c r="Y148" s="14"/>
      <c r="Z148" s="14"/>
      <c r="AA148" s="15"/>
      <c r="AB148" s="3"/>
      <c r="AC148" s="3"/>
      <c r="AD148" s="3"/>
      <c r="AE148" s="3"/>
      <c r="AF148" s="3"/>
      <c r="AG148" s="3"/>
      <c r="AH148" s="3"/>
      <c r="AI148" s="3"/>
      <c r="AJ148" s="3"/>
      <c r="AK148" s="3"/>
      <c r="AL148" s="3"/>
      <c r="AM148" s="3"/>
      <c r="AN148" s="3"/>
      <c r="AO148" s="3"/>
    </row>
    <row r="149" spans="2:41" x14ac:dyDescent="0.25">
      <c r="B149" s="13"/>
      <c r="C149" s="14"/>
      <c r="D149" s="60"/>
      <c r="E149" s="56"/>
      <c r="F149" s="56"/>
      <c r="G149" s="14"/>
      <c r="H149" s="56"/>
      <c r="I149" s="14"/>
      <c r="J149" s="14"/>
      <c r="K149" s="14"/>
      <c r="L149" s="14"/>
      <c r="M149" s="14"/>
      <c r="N149" s="14"/>
      <c r="O149" s="14"/>
      <c r="P149" s="14"/>
      <c r="Q149" s="14"/>
      <c r="R149" s="14"/>
      <c r="S149" s="14"/>
      <c r="T149" s="14"/>
      <c r="U149" s="14"/>
      <c r="V149" s="14"/>
      <c r="W149" s="14"/>
      <c r="X149" s="14"/>
      <c r="Y149" s="14"/>
      <c r="Z149" s="14"/>
      <c r="AA149" s="15"/>
      <c r="AB149" s="3"/>
      <c r="AC149" s="3"/>
      <c r="AD149" s="3"/>
      <c r="AE149" s="3"/>
      <c r="AF149" s="3"/>
      <c r="AG149" s="3"/>
      <c r="AH149" s="3"/>
      <c r="AI149" s="3"/>
      <c r="AJ149" s="3"/>
      <c r="AK149" s="3"/>
      <c r="AL149" s="3"/>
      <c r="AM149" s="3"/>
      <c r="AN149" s="3"/>
      <c r="AO149" s="3"/>
    </row>
    <row r="150" spans="2:41" x14ac:dyDescent="0.25">
      <c r="B150" s="13"/>
      <c r="C150" s="14"/>
      <c r="D150" s="60"/>
      <c r="E150" s="56"/>
      <c r="F150" s="56"/>
      <c r="G150" s="14"/>
      <c r="H150" s="56"/>
      <c r="I150" s="14"/>
      <c r="J150" s="14"/>
      <c r="K150" s="14"/>
      <c r="L150" s="14"/>
      <c r="M150" s="14"/>
      <c r="N150" s="14"/>
      <c r="O150" s="14"/>
      <c r="P150" s="14"/>
      <c r="Q150" s="14"/>
      <c r="R150" s="14"/>
      <c r="S150" s="14"/>
      <c r="T150" s="14"/>
      <c r="U150" s="14"/>
      <c r="V150" s="14"/>
      <c r="W150" s="14"/>
      <c r="X150" s="14"/>
      <c r="Y150" s="14"/>
      <c r="Z150" s="14"/>
      <c r="AA150" s="15"/>
      <c r="AB150" s="3"/>
      <c r="AC150" s="3"/>
      <c r="AD150" s="3"/>
      <c r="AE150" s="3"/>
      <c r="AF150" s="3"/>
      <c r="AG150" s="3"/>
      <c r="AH150" s="3"/>
      <c r="AI150" s="3"/>
      <c r="AJ150" s="3"/>
      <c r="AK150" s="3"/>
      <c r="AL150" s="3"/>
      <c r="AM150" s="3"/>
      <c r="AN150" s="3"/>
      <c r="AO150" s="3"/>
    </row>
    <row r="151" spans="2:41" x14ac:dyDescent="0.25">
      <c r="B151" s="13"/>
      <c r="C151" s="56"/>
      <c r="D151" s="60"/>
      <c r="E151" s="56"/>
      <c r="F151" s="56"/>
      <c r="G151" s="56"/>
      <c r="H151" s="56"/>
      <c r="I151" s="14"/>
      <c r="J151" s="14"/>
      <c r="K151" s="14"/>
      <c r="L151" s="14"/>
      <c r="M151" s="14"/>
      <c r="N151" s="14"/>
      <c r="O151" s="14"/>
      <c r="P151" s="14"/>
      <c r="Q151" s="14"/>
      <c r="R151" s="14"/>
      <c r="S151" s="14"/>
      <c r="T151" s="14"/>
      <c r="U151" s="14"/>
      <c r="V151" s="14"/>
      <c r="W151" s="14"/>
      <c r="X151" s="14"/>
      <c r="Y151" s="14"/>
      <c r="Z151" s="14"/>
      <c r="AA151" s="15"/>
      <c r="AB151" s="3"/>
      <c r="AC151" s="3"/>
      <c r="AD151" s="3"/>
      <c r="AE151" s="3"/>
      <c r="AF151" s="3"/>
      <c r="AG151" s="3"/>
      <c r="AH151" s="3"/>
      <c r="AI151" s="3"/>
      <c r="AJ151" s="3"/>
      <c r="AK151" s="3"/>
      <c r="AL151" s="3"/>
      <c r="AM151" s="3"/>
      <c r="AN151" s="3"/>
      <c r="AO151" s="3"/>
    </row>
    <row r="152" spans="2:41" ht="18.75" x14ac:dyDescent="0.3">
      <c r="B152" s="67"/>
      <c r="C152" s="14"/>
      <c r="D152" s="60"/>
      <c r="E152" s="56"/>
      <c r="F152" s="56"/>
      <c r="G152" s="14"/>
      <c r="H152" s="56"/>
      <c r="I152" s="74"/>
      <c r="J152" s="14"/>
      <c r="K152" s="14"/>
      <c r="L152" s="14"/>
      <c r="M152" s="14"/>
      <c r="N152" s="14"/>
      <c r="O152" s="14"/>
      <c r="P152" s="14"/>
      <c r="Q152" s="14"/>
      <c r="R152" s="14"/>
      <c r="S152" s="14"/>
      <c r="T152" s="14"/>
      <c r="U152" s="14"/>
      <c r="V152" s="14"/>
      <c r="W152" s="14"/>
      <c r="X152" s="14"/>
      <c r="Y152" s="14"/>
      <c r="Z152" s="14"/>
      <c r="AA152" s="15"/>
      <c r="AB152" s="3"/>
      <c r="AC152" s="3"/>
      <c r="AD152" s="3"/>
      <c r="AE152" s="3"/>
      <c r="AF152" s="3"/>
      <c r="AG152" s="3"/>
      <c r="AH152" s="3"/>
      <c r="AI152" s="3"/>
      <c r="AJ152" s="3"/>
      <c r="AK152" s="3"/>
      <c r="AL152" s="3"/>
      <c r="AM152" s="3"/>
      <c r="AN152" s="3"/>
      <c r="AO152" s="3"/>
    </row>
    <row r="153" spans="2:41" x14ac:dyDescent="0.25">
      <c r="B153" s="13"/>
      <c r="C153" s="14"/>
      <c r="D153" s="14"/>
      <c r="E153" s="56"/>
      <c r="F153" s="56"/>
      <c r="G153" s="14"/>
      <c r="H153" s="56"/>
      <c r="I153" s="14"/>
      <c r="J153" s="14"/>
      <c r="K153" s="14"/>
      <c r="L153" s="14"/>
      <c r="M153" s="14"/>
      <c r="N153" s="14"/>
      <c r="O153" s="14"/>
      <c r="P153" s="14"/>
      <c r="Q153" s="14"/>
      <c r="R153" s="14"/>
      <c r="S153" s="14"/>
      <c r="T153" s="14"/>
      <c r="U153" s="14"/>
      <c r="V153" s="14"/>
      <c r="W153" s="14"/>
      <c r="X153" s="14"/>
      <c r="Y153" s="14"/>
      <c r="Z153" s="14"/>
      <c r="AA153" s="15"/>
      <c r="AB153" s="3"/>
      <c r="AC153" s="3"/>
      <c r="AD153" s="3"/>
      <c r="AE153" s="3"/>
      <c r="AF153" s="3"/>
      <c r="AG153" s="3"/>
      <c r="AH153" s="3"/>
      <c r="AI153" s="3"/>
      <c r="AJ153" s="3"/>
      <c r="AK153" s="3"/>
      <c r="AL153" s="3"/>
      <c r="AM153" s="3"/>
      <c r="AN153" s="3"/>
      <c r="AO153" s="3"/>
    </row>
    <row r="154" spans="2:41" x14ac:dyDescent="0.25">
      <c r="B154" s="13"/>
      <c r="C154" s="14"/>
      <c r="D154" s="60"/>
      <c r="E154" s="56"/>
      <c r="F154" s="56"/>
      <c r="G154" s="14"/>
      <c r="H154" s="14"/>
      <c r="I154" s="14"/>
      <c r="J154" s="14"/>
      <c r="K154" s="14"/>
      <c r="L154" s="14"/>
      <c r="M154" s="14"/>
      <c r="N154" s="14"/>
      <c r="O154" s="14"/>
      <c r="P154" s="14"/>
      <c r="Q154" s="14"/>
      <c r="R154" s="14"/>
      <c r="S154" s="14"/>
      <c r="T154" s="14"/>
      <c r="U154" s="14"/>
      <c r="V154" s="14"/>
      <c r="W154" s="14"/>
      <c r="X154" s="14"/>
      <c r="Y154" s="14"/>
      <c r="Z154" s="14"/>
      <c r="AA154" s="15"/>
      <c r="AB154" s="3"/>
      <c r="AC154" s="3"/>
      <c r="AD154" s="3"/>
      <c r="AE154" s="3"/>
      <c r="AF154" s="3"/>
      <c r="AG154" s="3"/>
      <c r="AH154" s="3"/>
      <c r="AI154" s="3"/>
      <c r="AJ154" s="3"/>
      <c r="AK154" s="3"/>
      <c r="AL154" s="3"/>
      <c r="AM154" s="3"/>
      <c r="AN154" s="3"/>
      <c r="AO154" s="3"/>
    </row>
    <row r="155" spans="2:41" x14ac:dyDescent="0.25">
      <c r="B155" s="13"/>
      <c r="C155" s="14"/>
      <c r="D155" s="60"/>
      <c r="E155" s="56"/>
      <c r="F155" s="56"/>
      <c r="G155" s="14"/>
      <c r="H155" s="56"/>
      <c r="I155" s="14"/>
      <c r="J155" s="14"/>
      <c r="K155" s="14"/>
      <c r="L155" s="14"/>
      <c r="M155" s="14"/>
      <c r="N155" s="14"/>
      <c r="O155" s="14"/>
      <c r="P155" s="14"/>
      <c r="Q155" s="14"/>
      <c r="R155" s="14"/>
      <c r="S155" s="14"/>
      <c r="T155" s="14"/>
      <c r="U155" s="14"/>
      <c r="V155" s="14"/>
      <c r="W155" s="14"/>
      <c r="X155" s="14"/>
      <c r="Y155" s="14"/>
      <c r="Z155" s="14"/>
      <c r="AA155" s="15"/>
      <c r="AB155" s="3"/>
      <c r="AC155" s="3"/>
      <c r="AD155" s="3"/>
      <c r="AE155" s="3"/>
      <c r="AF155" s="3"/>
      <c r="AG155" s="3"/>
      <c r="AH155" s="3"/>
      <c r="AI155" s="3"/>
      <c r="AJ155" s="3"/>
      <c r="AK155" s="3"/>
      <c r="AL155" s="3"/>
      <c r="AM155" s="3"/>
      <c r="AN155" s="3"/>
      <c r="AO155" s="3"/>
    </row>
    <row r="156" spans="2:41" x14ac:dyDescent="0.25">
      <c r="B156" s="13"/>
      <c r="C156" s="14"/>
      <c r="D156" s="60"/>
      <c r="E156" s="56"/>
      <c r="F156" s="56"/>
      <c r="G156" s="14"/>
      <c r="H156" s="56"/>
      <c r="I156" s="14"/>
      <c r="J156" s="14"/>
      <c r="K156" s="14"/>
      <c r="L156" s="14"/>
      <c r="M156" s="14"/>
      <c r="N156" s="14"/>
      <c r="O156" s="14"/>
      <c r="P156" s="14"/>
      <c r="Q156" s="14"/>
      <c r="R156" s="14"/>
      <c r="S156" s="14"/>
      <c r="T156" s="14"/>
      <c r="U156" s="14"/>
      <c r="V156" s="14"/>
      <c r="W156" s="14"/>
      <c r="X156" s="14"/>
      <c r="Y156" s="14"/>
      <c r="Z156" s="14"/>
      <c r="AA156" s="15"/>
      <c r="AB156" s="3"/>
      <c r="AC156" s="3"/>
      <c r="AD156" s="3"/>
      <c r="AE156" s="3"/>
      <c r="AF156" s="3"/>
      <c r="AG156" s="3"/>
      <c r="AH156" s="3"/>
      <c r="AI156" s="3"/>
      <c r="AJ156" s="3"/>
      <c r="AK156" s="3"/>
      <c r="AL156" s="3"/>
      <c r="AM156" s="3"/>
      <c r="AN156" s="3"/>
      <c r="AO156" s="3"/>
    </row>
    <row r="157" spans="2:41" x14ac:dyDescent="0.25">
      <c r="B157" s="13"/>
      <c r="C157" s="14"/>
      <c r="D157" s="60"/>
      <c r="E157" s="56"/>
      <c r="F157" s="56"/>
      <c r="G157" s="14"/>
      <c r="H157" s="56"/>
      <c r="I157" s="14"/>
      <c r="J157" s="14"/>
      <c r="K157" s="14"/>
      <c r="L157" s="14"/>
      <c r="M157" s="14"/>
      <c r="N157" s="14"/>
      <c r="O157" s="14"/>
      <c r="P157" s="14"/>
      <c r="Q157" s="14"/>
      <c r="R157" s="14"/>
      <c r="S157" s="14"/>
      <c r="T157" s="14"/>
      <c r="U157" s="14"/>
      <c r="V157" s="14"/>
      <c r="W157" s="14"/>
      <c r="X157" s="14"/>
      <c r="Y157" s="14"/>
      <c r="Z157" s="14"/>
      <c r="AA157" s="15"/>
      <c r="AB157" s="3"/>
      <c r="AC157" s="3"/>
      <c r="AD157" s="3"/>
      <c r="AE157" s="3"/>
      <c r="AF157" s="3"/>
      <c r="AG157" s="3"/>
      <c r="AH157" s="3"/>
      <c r="AI157" s="3"/>
      <c r="AJ157" s="3"/>
      <c r="AK157" s="3"/>
      <c r="AL157" s="3"/>
      <c r="AM157" s="3"/>
      <c r="AN157" s="3"/>
      <c r="AO157" s="3"/>
    </row>
    <row r="158" spans="2:41" x14ac:dyDescent="0.25">
      <c r="B158" s="13"/>
      <c r="C158" s="56"/>
      <c r="D158" s="60"/>
      <c r="E158" s="56"/>
      <c r="F158" s="56"/>
      <c r="G158" s="56"/>
      <c r="H158" s="56"/>
      <c r="I158" s="14"/>
      <c r="J158" s="14"/>
      <c r="K158" s="14"/>
      <c r="L158" s="14"/>
      <c r="M158" s="14"/>
      <c r="N158" s="14"/>
      <c r="O158" s="14"/>
      <c r="P158" s="14"/>
      <c r="Q158" s="14"/>
      <c r="R158" s="14"/>
      <c r="S158" s="14"/>
      <c r="T158" s="14"/>
      <c r="U158" s="14"/>
      <c r="V158" s="14"/>
      <c r="W158" s="14"/>
      <c r="X158" s="14"/>
      <c r="Y158" s="14"/>
      <c r="Z158" s="14"/>
      <c r="AA158" s="15"/>
      <c r="AB158" s="3"/>
      <c r="AC158" s="3"/>
      <c r="AD158" s="3"/>
      <c r="AE158" s="3"/>
      <c r="AF158" s="3"/>
      <c r="AG158" s="3"/>
      <c r="AH158" s="3"/>
      <c r="AI158" s="3"/>
      <c r="AJ158" s="3"/>
      <c r="AK158" s="3"/>
      <c r="AL158" s="3"/>
      <c r="AM158" s="3"/>
      <c r="AN158" s="3"/>
      <c r="AO158" s="3"/>
    </row>
    <row r="159" spans="2:41" x14ac:dyDescent="0.25">
      <c r="B159" s="13"/>
      <c r="C159" s="14"/>
      <c r="D159" s="60"/>
      <c r="E159" s="56"/>
      <c r="F159" s="56"/>
      <c r="G159" s="14"/>
      <c r="H159" s="56"/>
      <c r="I159" s="14"/>
      <c r="J159" s="14"/>
      <c r="K159" s="14"/>
      <c r="L159" s="14"/>
      <c r="M159" s="14"/>
      <c r="N159" s="14"/>
      <c r="O159" s="14"/>
      <c r="P159" s="14"/>
      <c r="Q159" s="14"/>
      <c r="R159" s="14"/>
      <c r="S159" s="14"/>
      <c r="T159" s="14"/>
      <c r="U159" s="14"/>
      <c r="V159" s="14"/>
      <c r="W159" s="14"/>
      <c r="X159" s="14"/>
      <c r="Y159" s="14"/>
      <c r="Z159" s="14"/>
      <c r="AA159" s="15"/>
      <c r="AB159" s="3"/>
      <c r="AC159" s="3"/>
      <c r="AD159" s="3"/>
      <c r="AE159" s="3"/>
      <c r="AF159" s="3"/>
      <c r="AG159" s="3"/>
      <c r="AH159" s="3"/>
      <c r="AI159" s="3"/>
      <c r="AJ159" s="3"/>
      <c r="AK159" s="3"/>
      <c r="AL159" s="3"/>
      <c r="AM159" s="3"/>
      <c r="AN159" s="3"/>
      <c r="AO159" s="3"/>
    </row>
    <row r="160" spans="2:41" ht="18.75" x14ac:dyDescent="0.3">
      <c r="B160" s="67"/>
      <c r="C160" s="14"/>
      <c r="D160" s="14"/>
      <c r="E160" s="56"/>
      <c r="F160" s="56"/>
      <c r="G160" s="14"/>
      <c r="H160" s="56"/>
      <c r="I160" s="74"/>
      <c r="J160" s="14"/>
      <c r="K160" s="14"/>
      <c r="L160" s="14"/>
      <c r="M160" s="14"/>
      <c r="N160" s="14"/>
      <c r="O160" s="14"/>
      <c r="P160" s="14"/>
      <c r="Q160" s="14"/>
      <c r="R160" s="14"/>
      <c r="S160" s="14"/>
      <c r="T160" s="14"/>
      <c r="U160" s="14"/>
      <c r="V160" s="14"/>
      <c r="W160" s="14"/>
      <c r="X160" s="14"/>
      <c r="Y160" s="14"/>
      <c r="Z160" s="14"/>
      <c r="AA160" s="15"/>
      <c r="AB160" s="3"/>
      <c r="AC160" s="3"/>
      <c r="AD160" s="3"/>
      <c r="AE160" s="3"/>
      <c r="AF160" s="3"/>
      <c r="AG160" s="3"/>
      <c r="AH160" s="3"/>
      <c r="AI160" s="3"/>
      <c r="AJ160" s="3"/>
      <c r="AK160" s="3"/>
      <c r="AL160" s="3"/>
      <c r="AM160" s="3"/>
      <c r="AN160" s="3"/>
      <c r="AO160" s="3"/>
    </row>
    <row r="161" spans="2:41" x14ac:dyDescent="0.25">
      <c r="B161" s="13"/>
      <c r="C161" s="14"/>
      <c r="D161" s="60"/>
      <c r="E161" s="56"/>
      <c r="F161" s="56"/>
      <c r="G161" s="14"/>
      <c r="H161" s="14"/>
      <c r="I161" s="14"/>
      <c r="J161" s="14"/>
      <c r="K161" s="14"/>
      <c r="L161" s="14"/>
      <c r="M161" s="14"/>
      <c r="N161" s="14"/>
      <c r="O161" s="14"/>
      <c r="P161" s="14"/>
      <c r="Q161" s="14"/>
      <c r="R161" s="14"/>
      <c r="S161" s="14"/>
      <c r="T161" s="14"/>
      <c r="U161" s="14"/>
      <c r="V161" s="14"/>
      <c r="W161" s="14"/>
      <c r="X161" s="14"/>
      <c r="Y161" s="14"/>
      <c r="Z161" s="14"/>
      <c r="AA161" s="15"/>
      <c r="AB161" s="3"/>
      <c r="AC161" s="3"/>
      <c r="AD161" s="3"/>
      <c r="AE161" s="3"/>
      <c r="AF161" s="3"/>
      <c r="AG161" s="3"/>
      <c r="AH161" s="3"/>
      <c r="AI161" s="3"/>
      <c r="AJ161" s="3"/>
      <c r="AK161" s="3"/>
      <c r="AL161" s="3"/>
      <c r="AM161" s="3"/>
      <c r="AN161" s="3"/>
      <c r="AO161" s="3"/>
    </row>
    <row r="162" spans="2:41" x14ac:dyDescent="0.25">
      <c r="B162" s="13"/>
      <c r="C162" s="14"/>
      <c r="D162" s="60"/>
      <c r="E162" s="56"/>
      <c r="F162" s="56"/>
      <c r="G162" s="14"/>
      <c r="H162" s="56"/>
      <c r="I162" s="14"/>
      <c r="J162" s="14"/>
      <c r="K162" s="14"/>
      <c r="L162" s="14"/>
      <c r="M162" s="14"/>
      <c r="N162" s="14"/>
      <c r="O162" s="14"/>
      <c r="P162" s="14"/>
      <c r="Q162" s="14"/>
      <c r="R162" s="14"/>
      <c r="S162" s="14"/>
      <c r="T162" s="14"/>
      <c r="U162" s="14"/>
      <c r="V162" s="14"/>
      <c r="W162" s="14"/>
      <c r="X162" s="14"/>
      <c r="Y162" s="14"/>
      <c r="Z162" s="14"/>
      <c r="AA162" s="15"/>
      <c r="AB162" s="3"/>
      <c r="AC162" s="3"/>
      <c r="AD162" s="3"/>
      <c r="AE162" s="3"/>
      <c r="AF162" s="3"/>
      <c r="AG162" s="3"/>
      <c r="AH162" s="3"/>
      <c r="AI162" s="3"/>
      <c r="AJ162" s="3"/>
      <c r="AK162" s="3"/>
      <c r="AL162" s="3"/>
      <c r="AM162" s="3"/>
      <c r="AN162" s="3"/>
      <c r="AO162" s="3"/>
    </row>
    <row r="163" spans="2:41" x14ac:dyDescent="0.25">
      <c r="B163" s="13"/>
      <c r="C163" s="14"/>
      <c r="D163" s="60"/>
      <c r="E163" s="56"/>
      <c r="F163" s="56"/>
      <c r="G163" s="14"/>
      <c r="H163" s="56"/>
      <c r="I163" s="14"/>
      <c r="J163" s="14"/>
      <c r="K163" s="14"/>
      <c r="L163" s="14"/>
      <c r="M163" s="14"/>
      <c r="N163" s="14"/>
      <c r="O163" s="14"/>
      <c r="P163" s="14"/>
      <c r="Q163" s="14"/>
      <c r="R163" s="14"/>
      <c r="S163" s="14"/>
      <c r="T163" s="14"/>
      <c r="U163" s="14"/>
      <c r="V163" s="14"/>
      <c r="W163" s="14"/>
      <c r="X163" s="14"/>
      <c r="Y163" s="14"/>
      <c r="Z163" s="14"/>
      <c r="AA163" s="15"/>
      <c r="AB163" s="3"/>
      <c r="AC163" s="3"/>
      <c r="AD163" s="3"/>
      <c r="AE163" s="3"/>
      <c r="AF163" s="3"/>
      <c r="AG163" s="3"/>
      <c r="AH163" s="3"/>
      <c r="AI163" s="3"/>
      <c r="AJ163" s="3"/>
      <c r="AK163" s="3"/>
      <c r="AL163" s="3"/>
      <c r="AM163" s="3"/>
      <c r="AN163" s="3"/>
      <c r="AO163" s="3"/>
    </row>
    <row r="164" spans="2:41" x14ac:dyDescent="0.25">
      <c r="B164" s="13"/>
      <c r="C164" s="14"/>
      <c r="D164" s="60"/>
      <c r="E164" s="56"/>
      <c r="F164" s="56"/>
      <c r="G164" s="14"/>
      <c r="H164" s="56"/>
      <c r="I164" s="14"/>
      <c r="J164" s="14"/>
      <c r="K164" s="14"/>
      <c r="L164" s="14"/>
      <c r="M164" s="14"/>
      <c r="N164" s="14"/>
      <c r="O164" s="14"/>
      <c r="P164" s="14"/>
      <c r="Q164" s="14"/>
      <c r="R164" s="14"/>
      <c r="S164" s="14"/>
      <c r="T164" s="14"/>
      <c r="U164" s="14"/>
      <c r="V164" s="14"/>
      <c r="W164" s="14"/>
      <c r="X164" s="14"/>
      <c r="Y164" s="14"/>
      <c r="Z164" s="14"/>
      <c r="AA164" s="15"/>
      <c r="AB164" s="3"/>
      <c r="AC164" s="3"/>
      <c r="AD164" s="3"/>
      <c r="AE164" s="3"/>
      <c r="AF164" s="3"/>
      <c r="AG164" s="3"/>
      <c r="AH164" s="3"/>
      <c r="AI164" s="3"/>
      <c r="AJ164" s="3"/>
      <c r="AK164" s="3"/>
      <c r="AL164" s="3"/>
      <c r="AM164" s="3"/>
      <c r="AN164" s="3"/>
      <c r="AO164" s="3"/>
    </row>
    <row r="165" spans="2:41" x14ac:dyDescent="0.25">
      <c r="B165" s="13"/>
      <c r="C165" s="56"/>
      <c r="D165" s="60"/>
      <c r="E165" s="56"/>
      <c r="F165" s="56"/>
      <c r="G165" s="56"/>
      <c r="H165" s="56"/>
      <c r="I165" s="14"/>
      <c r="J165" s="14"/>
      <c r="K165" s="14"/>
      <c r="L165" s="14"/>
      <c r="M165" s="14"/>
      <c r="N165" s="14"/>
      <c r="O165" s="14"/>
      <c r="P165" s="14"/>
      <c r="Q165" s="14"/>
      <c r="R165" s="14"/>
      <c r="S165" s="14"/>
      <c r="T165" s="14"/>
      <c r="U165" s="14"/>
      <c r="V165" s="14"/>
      <c r="W165" s="14"/>
      <c r="X165" s="14"/>
      <c r="Y165" s="14"/>
      <c r="Z165" s="14"/>
      <c r="AA165" s="15"/>
      <c r="AB165" s="3"/>
      <c r="AC165" s="3"/>
      <c r="AD165" s="3"/>
      <c r="AE165" s="3"/>
      <c r="AF165" s="3"/>
      <c r="AG165" s="3"/>
      <c r="AH165" s="3"/>
      <c r="AI165" s="3"/>
      <c r="AJ165" s="3"/>
      <c r="AK165" s="3"/>
      <c r="AL165" s="3"/>
      <c r="AM165" s="3"/>
      <c r="AN165" s="3"/>
      <c r="AO165" s="3"/>
    </row>
    <row r="166" spans="2:41" x14ac:dyDescent="0.25">
      <c r="B166" s="13"/>
      <c r="C166" s="14"/>
      <c r="D166" s="60"/>
      <c r="E166" s="56"/>
      <c r="F166" s="56"/>
      <c r="G166" s="14"/>
      <c r="H166" s="56"/>
      <c r="I166" s="14"/>
      <c r="J166" s="14"/>
      <c r="K166" s="14"/>
      <c r="L166" s="14"/>
      <c r="M166" s="14"/>
      <c r="N166" s="14"/>
      <c r="O166" s="14"/>
      <c r="P166" s="14"/>
      <c r="Q166" s="14"/>
      <c r="R166" s="14"/>
      <c r="S166" s="14"/>
      <c r="T166" s="14"/>
      <c r="U166" s="14"/>
      <c r="V166" s="14"/>
      <c r="W166" s="14"/>
      <c r="X166" s="14"/>
      <c r="Y166" s="14"/>
      <c r="Z166" s="14"/>
      <c r="AA166" s="15"/>
      <c r="AB166" s="3"/>
      <c r="AC166" s="3"/>
      <c r="AD166" s="3"/>
      <c r="AE166" s="3"/>
      <c r="AF166" s="3"/>
      <c r="AG166" s="3"/>
      <c r="AH166" s="3"/>
      <c r="AI166" s="3"/>
      <c r="AJ166" s="3"/>
      <c r="AK166" s="3"/>
      <c r="AL166" s="3"/>
      <c r="AM166" s="3"/>
      <c r="AN166" s="3"/>
      <c r="AO166" s="3"/>
    </row>
    <row r="167" spans="2:41" x14ac:dyDescent="0.25">
      <c r="B167" s="13"/>
      <c r="C167" s="14"/>
      <c r="D167" s="14"/>
      <c r="E167" s="56"/>
      <c r="F167" s="56"/>
      <c r="G167" s="14"/>
      <c r="H167" s="56"/>
      <c r="I167" s="14"/>
      <c r="J167" s="14"/>
      <c r="K167" s="14"/>
      <c r="L167" s="14"/>
      <c r="M167" s="14"/>
      <c r="N167" s="14"/>
      <c r="O167" s="14"/>
      <c r="P167" s="14"/>
      <c r="Q167" s="14"/>
      <c r="R167" s="14"/>
      <c r="S167" s="14"/>
      <c r="T167" s="14"/>
      <c r="U167" s="14"/>
      <c r="V167" s="14"/>
      <c r="W167" s="14"/>
      <c r="X167" s="14"/>
      <c r="Y167" s="14"/>
      <c r="Z167" s="14"/>
      <c r="AA167" s="15"/>
      <c r="AB167" s="3"/>
      <c r="AC167" s="3"/>
      <c r="AD167" s="3"/>
      <c r="AE167" s="3"/>
      <c r="AF167" s="3"/>
      <c r="AG167" s="3"/>
      <c r="AH167" s="3"/>
      <c r="AI167" s="3"/>
      <c r="AJ167" s="3"/>
      <c r="AK167" s="3"/>
      <c r="AL167" s="3"/>
      <c r="AM167" s="3"/>
      <c r="AN167" s="3"/>
      <c r="AO167" s="3"/>
    </row>
    <row r="168" spans="2:41" ht="18.75" x14ac:dyDescent="0.3">
      <c r="B168" s="67"/>
      <c r="C168" s="14"/>
      <c r="D168" s="60"/>
      <c r="E168" s="56"/>
      <c r="F168" s="56"/>
      <c r="G168" s="14"/>
      <c r="H168" s="14"/>
      <c r="I168" s="74"/>
      <c r="J168" s="14"/>
      <c r="K168" s="14"/>
      <c r="L168" s="14"/>
      <c r="M168" s="14"/>
      <c r="N168" s="14"/>
      <c r="O168" s="14"/>
      <c r="P168" s="14"/>
      <c r="Q168" s="14"/>
      <c r="R168" s="14"/>
      <c r="S168" s="14"/>
      <c r="T168" s="14"/>
      <c r="U168" s="14"/>
      <c r="V168" s="14"/>
      <c r="W168" s="14"/>
      <c r="X168" s="14"/>
      <c r="Y168" s="14"/>
      <c r="Z168" s="14"/>
      <c r="AA168" s="15"/>
      <c r="AB168" s="3"/>
      <c r="AC168" s="3"/>
      <c r="AD168" s="3"/>
      <c r="AE168" s="3"/>
      <c r="AF168" s="3"/>
      <c r="AG168" s="3"/>
      <c r="AH168" s="3"/>
      <c r="AI168" s="3"/>
      <c r="AJ168" s="3"/>
      <c r="AK168" s="3"/>
      <c r="AL168" s="3"/>
      <c r="AM168" s="3"/>
      <c r="AN168" s="3"/>
      <c r="AO168" s="3"/>
    </row>
    <row r="169" spans="2:41" x14ac:dyDescent="0.25">
      <c r="B169" s="13"/>
      <c r="C169" s="14"/>
      <c r="D169" s="60"/>
      <c r="E169" s="56"/>
      <c r="F169" s="56"/>
      <c r="G169" s="14"/>
      <c r="H169" s="56"/>
      <c r="I169" s="14"/>
      <c r="J169" s="14"/>
      <c r="K169" s="14"/>
      <c r="L169" s="14"/>
      <c r="M169" s="14"/>
      <c r="N169" s="14"/>
      <c r="O169" s="14"/>
      <c r="P169" s="14"/>
      <c r="Q169" s="14"/>
      <c r="R169" s="14"/>
      <c r="S169" s="14"/>
      <c r="T169" s="14"/>
      <c r="U169" s="14"/>
      <c r="V169" s="14"/>
      <c r="W169" s="14"/>
      <c r="X169" s="14"/>
      <c r="Y169" s="14"/>
      <c r="Z169" s="14"/>
      <c r="AA169" s="15"/>
      <c r="AB169" s="3"/>
      <c r="AC169" s="3"/>
      <c r="AD169" s="3"/>
      <c r="AE169" s="3"/>
      <c r="AF169" s="3"/>
      <c r="AG169" s="3"/>
      <c r="AH169" s="3"/>
      <c r="AI169" s="3"/>
      <c r="AJ169" s="3"/>
      <c r="AK169" s="3"/>
      <c r="AL169" s="3"/>
      <c r="AM169" s="3"/>
      <c r="AN169" s="3"/>
      <c r="AO169" s="3"/>
    </row>
    <row r="170" spans="2:41" x14ac:dyDescent="0.25">
      <c r="B170" s="13"/>
      <c r="C170" s="14"/>
      <c r="D170" s="60"/>
      <c r="E170" s="56"/>
      <c r="F170" s="56"/>
      <c r="G170" s="14"/>
      <c r="H170" s="56"/>
      <c r="I170" s="14"/>
      <c r="J170" s="14"/>
      <c r="K170" s="14"/>
      <c r="L170" s="14"/>
      <c r="M170" s="14"/>
      <c r="N170" s="14"/>
      <c r="O170" s="14"/>
      <c r="P170" s="14"/>
      <c r="Q170" s="14"/>
      <c r="R170" s="14"/>
      <c r="S170" s="14"/>
      <c r="T170" s="14"/>
      <c r="U170" s="14"/>
      <c r="V170" s="14"/>
      <c r="W170" s="14"/>
      <c r="X170" s="14"/>
      <c r="Y170" s="14"/>
      <c r="Z170" s="14"/>
      <c r="AA170" s="15"/>
      <c r="AB170" s="3"/>
      <c r="AC170" s="3"/>
      <c r="AD170" s="3"/>
      <c r="AE170" s="3"/>
      <c r="AF170" s="3"/>
      <c r="AG170" s="3"/>
      <c r="AH170" s="3"/>
      <c r="AI170" s="3"/>
      <c r="AJ170" s="3"/>
      <c r="AK170" s="3"/>
      <c r="AL170" s="3"/>
      <c r="AM170" s="3"/>
      <c r="AN170" s="3"/>
      <c r="AO170" s="3"/>
    </row>
    <row r="171" spans="2:41" x14ac:dyDescent="0.25">
      <c r="B171" s="13"/>
      <c r="C171" s="14"/>
      <c r="D171" s="60"/>
      <c r="E171" s="56"/>
      <c r="F171" s="56"/>
      <c r="G171" s="14"/>
      <c r="H171" s="56"/>
      <c r="I171" s="14"/>
      <c r="J171" s="14"/>
      <c r="K171" s="14"/>
      <c r="L171" s="14"/>
      <c r="M171" s="14"/>
      <c r="N171" s="14"/>
      <c r="O171" s="14"/>
      <c r="P171" s="14"/>
      <c r="Q171" s="14"/>
      <c r="R171" s="14"/>
      <c r="S171" s="14"/>
      <c r="T171" s="14"/>
      <c r="U171" s="14"/>
      <c r="V171" s="14"/>
      <c r="W171" s="14"/>
      <c r="X171" s="14"/>
      <c r="Y171" s="14"/>
      <c r="Z171" s="14"/>
      <c r="AA171" s="15"/>
      <c r="AB171" s="3"/>
      <c r="AC171" s="3"/>
      <c r="AD171" s="3"/>
      <c r="AE171" s="3"/>
      <c r="AF171" s="3"/>
      <c r="AG171" s="3"/>
      <c r="AH171" s="3"/>
      <c r="AI171" s="3"/>
      <c r="AJ171" s="3"/>
      <c r="AK171" s="3"/>
      <c r="AL171" s="3"/>
      <c r="AM171" s="3"/>
      <c r="AN171" s="3"/>
      <c r="AO171" s="3"/>
    </row>
    <row r="172" spans="2:41" x14ac:dyDescent="0.25">
      <c r="B172" s="13"/>
      <c r="C172" s="56"/>
      <c r="D172" s="60"/>
      <c r="E172" s="56"/>
      <c r="F172" s="56"/>
      <c r="G172" s="56"/>
      <c r="H172" s="56"/>
      <c r="I172" s="14"/>
      <c r="J172" s="14"/>
      <c r="K172" s="14"/>
      <c r="L172" s="14"/>
      <c r="M172" s="14"/>
      <c r="N172" s="14"/>
      <c r="O172" s="14"/>
      <c r="P172" s="14"/>
      <c r="Q172" s="14"/>
      <c r="R172" s="14"/>
      <c r="S172" s="14"/>
      <c r="T172" s="14"/>
      <c r="U172" s="14"/>
      <c r="V172" s="14"/>
      <c r="W172" s="14"/>
      <c r="X172" s="14"/>
      <c r="Y172" s="14"/>
      <c r="Z172" s="14"/>
      <c r="AA172" s="15"/>
      <c r="AB172" s="3"/>
      <c r="AC172" s="3"/>
      <c r="AD172" s="3"/>
      <c r="AE172" s="3"/>
      <c r="AF172" s="3"/>
      <c r="AG172" s="3"/>
      <c r="AH172" s="3"/>
      <c r="AI172" s="3"/>
      <c r="AJ172" s="3"/>
      <c r="AK172" s="3"/>
      <c r="AL172" s="3"/>
      <c r="AM172" s="3"/>
      <c r="AN172" s="3"/>
      <c r="AO172" s="3"/>
    </row>
    <row r="173" spans="2:41" x14ac:dyDescent="0.25">
      <c r="B173" s="13"/>
      <c r="C173" s="14"/>
      <c r="D173" s="60"/>
      <c r="E173" s="56"/>
      <c r="F173" s="56"/>
      <c r="G173" s="14"/>
      <c r="H173" s="56"/>
      <c r="I173" s="14"/>
      <c r="J173" s="14"/>
      <c r="K173" s="14"/>
      <c r="L173" s="14"/>
      <c r="M173" s="14"/>
      <c r="N173" s="14"/>
      <c r="O173" s="14"/>
      <c r="P173" s="14"/>
      <c r="Q173" s="14"/>
      <c r="R173" s="14"/>
      <c r="S173" s="14"/>
      <c r="T173" s="14"/>
      <c r="U173" s="14"/>
      <c r="V173" s="14"/>
      <c r="W173" s="14"/>
      <c r="X173" s="14"/>
      <c r="Y173" s="14"/>
      <c r="Z173" s="14"/>
      <c r="AA173" s="15"/>
      <c r="AB173" s="3"/>
      <c r="AC173" s="3"/>
      <c r="AD173" s="3"/>
      <c r="AE173" s="3"/>
      <c r="AF173" s="3"/>
      <c r="AG173" s="3"/>
      <c r="AH173" s="3"/>
      <c r="AI173" s="3"/>
      <c r="AJ173" s="3"/>
      <c r="AK173" s="3"/>
      <c r="AL173" s="3"/>
      <c r="AM173" s="3"/>
      <c r="AN173" s="3"/>
      <c r="AO173" s="3"/>
    </row>
    <row r="174" spans="2:41" x14ac:dyDescent="0.25">
      <c r="B174" s="13"/>
      <c r="C174" s="14"/>
      <c r="D174" s="14"/>
      <c r="E174" s="56"/>
      <c r="F174" s="56"/>
      <c r="G174" s="14"/>
      <c r="H174" s="56"/>
      <c r="I174" s="14"/>
      <c r="J174" s="14"/>
      <c r="K174" s="14"/>
      <c r="L174" s="14"/>
      <c r="M174" s="14"/>
      <c r="N174" s="14"/>
      <c r="O174" s="14"/>
      <c r="P174" s="14"/>
      <c r="Q174" s="14"/>
      <c r="R174" s="14"/>
      <c r="S174" s="14"/>
      <c r="T174" s="14"/>
      <c r="U174" s="14"/>
      <c r="V174" s="14"/>
      <c r="W174" s="14"/>
      <c r="X174" s="14"/>
      <c r="Y174" s="14"/>
      <c r="Z174" s="14"/>
      <c r="AA174" s="15"/>
      <c r="AB174" s="3"/>
      <c r="AC174" s="3"/>
      <c r="AD174" s="3"/>
      <c r="AE174" s="3"/>
      <c r="AF174" s="3"/>
      <c r="AG174" s="3"/>
      <c r="AH174" s="3"/>
      <c r="AI174" s="3"/>
      <c r="AJ174" s="3"/>
      <c r="AK174" s="3"/>
      <c r="AL174" s="3"/>
      <c r="AM174" s="3"/>
      <c r="AN174" s="3"/>
      <c r="AO174" s="3"/>
    </row>
    <row r="175" spans="2:41" x14ac:dyDescent="0.25">
      <c r="B175" s="13"/>
      <c r="C175" s="14"/>
      <c r="D175" s="60"/>
      <c r="E175" s="56"/>
      <c r="F175" s="56"/>
      <c r="G175" s="14"/>
      <c r="H175" s="14"/>
      <c r="I175" s="14"/>
      <c r="J175" s="14"/>
      <c r="K175" s="14"/>
      <c r="L175" s="14"/>
      <c r="M175" s="14"/>
      <c r="N175" s="14"/>
      <c r="O175" s="14"/>
      <c r="P175" s="14"/>
      <c r="Q175" s="14"/>
      <c r="R175" s="14"/>
      <c r="S175" s="14"/>
      <c r="T175" s="14"/>
      <c r="U175" s="14"/>
      <c r="V175" s="14"/>
      <c r="W175" s="14"/>
      <c r="X175" s="14"/>
      <c r="Y175" s="14"/>
      <c r="Z175" s="14"/>
      <c r="AA175" s="15"/>
      <c r="AB175" s="3"/>
      <c r="AC175" s="3"/>
      <c r="AD175" s="3"/>
      <c r="AE175" s="3"/>
      <c r="AF175" s="3"/>
      <c r="AG175" s="3"/>
      <c r="AH175" s="3"/>
      <c r="AI175" s="3"/>
      <c r="AJ175" s="3"/>
      <c r="AK175" s="3"/>
      <c r="AL175" s="3"/>
      <c r="AM175" s="3"/>
      <c r="AN175" s="3"/>
      <c r="AO175" s="3"/>
    </row>
    <row r="176" spans="2:41" ht="18.75" x14ac:dyDescent="0.3">
      <c r="B176" s="67"/>
      <c r="C176" s="14"/>
      <c r="D176" s="60"/>
      <c r="E176" s="56"/>
      <c r="F176" s="56"/>
      <c r="G176" s="14"/>
      <c r="H176" s="56"/>
      <c r="I176" s="74"/>
      <c r="J176" s="14"/>
      <c r="K176" s="14"/>
      <c r="L176" s="14"/>
      <c r="M176" s="14"/>
      <c r="N176" s="14"/>
      <c r="O176" s="14"/>
      <c r="P176" s="14"/>
      <c r="Q176" s="14"/>
      <c r="R176" s="14"/>
      <c r="S176" s="14"/>
      <c r="T176" s="14"/>
      <c r="U176" s="14"/>
      <c r="V176" s="14"/>
      <c r="W176" s="14"/>
      <c r="X176" s="14"/>
      <c r="Y176" s="14"/>
      <c r="Z176" s="14"/>
      <c r="AA176" s="15"/>
      <c r="AB176" s="3"/>
      <c r="AC176" s="3"/>
      <c r="AD176" s="3"/>
      <c r="AE176" s="3"/>
      <c r="AF176" s="3"/>
      <c r="AG176" s="3"/>
      <c r="AH176" s="3"/>
      <c r="AI176" s="3"/>
      <c r="AJ176" s="3"/>
      <c r="AK176" s="3"/>
      <c r="AL176" s="3"/>
      <c r="AM176" s="3"/>
      <c r="AN176" s="3"/>
      <c r="AO176" s="3"/>
    </row>
    <row r="177" spans="2:41" x14ac:dyDescent="0.25">
      <c r="B177" s="13"/>
      <c r="C177" s="14"/>
      <c r="D177" s="60"/>
      <c r="E177" s="56"/>
      <c r="F177" s="56"/>
      <c r="G177" s="14"/>
      <c r="H177" s="56"/>
      <c r="I177" s="14"/>
      <c r="J177" s="14"/>
      <c r="K177" s="14"/>
      <c r="L177" s="14"/>
      <c r="M177" s="14"/>
      <c r="N177" s="14"/>
      <c r="O177" s="14"/>
      <c r="P177" s="14"/>
      <c r="Q177" s="14"/>
      <c r="R177" s="14"/>
      <c r="S177" s="14"/>
      <c r="T177" s="14"/>
      <c r="U177" s="14"/>
      <c r="V177" s="14"/>
      <c r="W177" s="14"/>
      <c r="X177" s="14"/>
      <c r="Y177" s="14"/>
      <c r="Z177" s="14"/>
      <c r="AA177" s="15"/>
      <c r="AB177" s="3"/>
      <c r="AC177" s="3"/>
      <c r="AD177" s="3"/>
      <c r="AE177" s="3"/>
      <c r="AF177" s="3"/>
      <c r="AG177" s="3"/>
      <c r="AH177" s="3"/>
      <c r="AI177" s="3"/>
      <c r="AJ177" s="3"/>
      <c r="AK177" s="3"/>
      <c r="AL177" s="3"/>
      <c r="AM177" s="3"/>
      <c r="AN177" s="3"/>
      <c r="AO177" s="3"/>
    </row>
    <row r="178" spans="2:41" x14ac:dyDescent="0.25">
      <c r="B178" s="13"/>
      <c r="C178" s="14"/>
      <c r="D178" s="60"/>
      <c r="E178" s="56"/>
      <c r="F178" s="56"/>
      <c r="G178" s="14"/>
      <c r="H178" s="56"/>
      <c r="I178" s="14"/>
      <c r="J178" s="14"/>
      <c r="K178" s="14"/>
      <c r="L178" s="14"/>
      <c r="M178" s="14"/>
      <c r="N178" s="14"/>
      <c r="O178" s="14"/>
      <c r="P178" s="14"/>
      <c r="Q178" s="14"/>
      <c r="R178" s="14"/>
      <c r="S178" s="14"/>
      <c r="T178" s="14"/>
      <c r="U178" s="14"/>
      <c r="V178" s="14"/>
      <c r="W178" s="14"/>
      <c r="X178" s="14"/>
      <c r="Y178" s="14"/>
      <c r="Z178" s="14"/>
      <c r="AA178" s="15"/>
      <c r="AB178" s="3"/>
      <c r="AC178" s="3"/>
      <c r="AD178" s="3"/>
      <c r="AE178" s="3"/>
      <c r="AF178" s="3"/>
      <c r="AG178" s="3"/>
      <c r="AH178" s="3"/>
      <c r="AI178" s="3"/>
      <c r="AJ178" s="3"/>
      <c r="AK178" s="3"/>
      <c r="AL178" s="3"/>
      <c r="AM178" s="3"/>
      <c r="AN178" s="3"/>
      <c r="AO178" s="3"/>
    </row>
    <row r="179" spans="2:41" x14ac:dyDescent="0.25">
      <c r="B179" s="13"/>
      <c r="C179" s="56"/>
      <c r="D179" s="60"/>
      <c r="E179" s="56"/>
      <c r="F179" s="56"/>
      <c r="G179" s="56"/>
      <c r="H179" s="56"/>
      <c r="I179" s="14"/>
      <c r="J179" s="14"/>
      <c r="K179" s="14"/>
      <c r="L179" s="14"/>
      <c r="M179" s="14"/>
      <c r="N179" s="14"/>
      <c r="O179" s="14"/>
      <c r="P179" s="14"/>
      <c r="Q179" s="14"/>
      <c r="R179" s="14"/>
      <c r="S179" s="14"/>
      <c r="T179" s="14"/>
      <c r="U179" s="14"/>
      <c r="V179" s="14"/>
      <c r="W179" s="14"/>
      <c r="X179" s="14"/>
      <c r="Y179" s="14"/>
      <c r="Z179" s="14"/>
      <c r="AA179" s="15"/>
      <c r="AB179" s="3"/>
      <c r="AC179" s="3"/>
      <c r="AD179" s="3"/>
      <c r="AE179" s="3"/>
      <c r="AF179" s="3"/>
      <c r="AG179" s="3"/>
      <c r="AH179" s="3"/>
      <c r="AI179" s="3"/>
      <c r="AJ179" s="3"/>
      <c r="AK179" s="3"/>
      <c r="AL179" s="3"/>
      <c r="AM179" s="3"/>
      <c r="AN179" s="3"/>
      <c r="AO179" s="3"/>
    </row>
    <row r="180" spans="2:41" x14ac:dyDescent="0.25">
      <c r="B180" s="13"/>
      <c r="C180" s="14"/>
      <c r="D180" s="60"/>
      <c r="E180" s="56"/>
      <c r="F180" s="56"/>
      <c r="G180" s="14"/>
      <c r="H180" s="56"/>
      <c r="I180" s="14"/>
      <c r="J180" s="14"/>
      <c r="K180" s="14"/>
      <c r="L180" s="14"/>
      <c r="M180" s="14"/>
      <c r="N180" s="14"/>
      <c r="O180" s="14"/>
      <c r="P180" s="14"/>
      <c r="Q180" s="14"/>
      <c r="R180" s="14"/>
      <c r="S180" s="14"/>
      <c r="T180" s="14"/>
      <c r="U180" s="14"/>
      <c r="V180" s="14"/>
      <c r="W180" s="14"/>
      <c r="X180" s="14"/>
      <c r="Y180" s="14"/>
      <c r="Z180" s="14"/>
      <c r="AA180" s="15"/>
      <c r="AB180" s="3"/>
      <c r="AC180" s="3"/>
      <c r="AD180" s="3"/>
      <c r="AE180" s="3"/>
      <c r="AF180" s="3"/>
      <c r="AG180" s="3"/>
      <c r="AH180" s="3"/>
      <c r="AI180" s="3"/>
      <c r="AJ180" s="3"/>
      <c r="AK180" s="3"/>
      <c r="AL180" s="3"/>
      <c r="AM180" s="3"/>
      <c r="AN180" s="3"/>
      <c r="AO180" s="3"/>
    </row>
    <row r="181" spans="2:41" x14ac:dyDescent="0.25">
      <c r="B181" s="13"/>
      <c r="C181" s="14"/>
      <c r="D181" s="14"/>
      <c r="E181" s="56"/>
      <c r="F181" s="56"/>
      <c r="G181" s="14"/>
      <c r="H181" s="56"/>
      <c r="I181" s="14"/>
      <c r="J181" s="14"/>
      <c r="K181" s="14"/>
      <c r="L181" s="14"/>
      <c r="M181" s="14"/>
      <c r="N181" s="14"/>
      <c r="O181" s="14"/>
      <c r="P181" s="14"/>
      <c r="Q181" s="14"/>
      <c r="R181" s="14"/>
      <c r="S181" s="14"/>
      <c r="T181" s="14"/>
      <c r="U181" s="14"/>
      <c r="V181" s="14"/>
      <c r="W181" s="14"/>
      <c r="X181" s="14"/>
      <c r="Y181" s="14"/>
      <c r="Z181" s="14"/>
      <c r="AA181" s="15"/>
      <c r="AB181" s="3"/>
      <c r="AC181" s="3"/>
      <c r="AD181" s="3"/>
      <c r="AE181" s="3"/>
      <c r="AF181" s="3"/>
      <c r="AG181" s="3"/>
      <c r="AH181" s="3"/>
      <c r="AI181" s="3"/>
      <c r="AJ181" s="3"/>
      <c r="AK181" s="3"/>
      <c r="AL181" s="3"/>
      <c r="AM181" s="3"/>
      <c r="AN181" s="3"/>
      <c r="AO181" s="3"/>
    </row>
    <row r="182" spans="2:41" x14ac:dyDescent="0.25">
      <c r="B182" s="13"/>
      <c r="C182" s="14"/>
      <c r="D182" s="60"/>
      <c r="E182" s="56"/>
      <c r="F182" s="56"/>
      <c r="G182" s="14"/>
      <c r="H182" s="14"/>
      <c r="I182" s="14"/>
      <c r="J182" s="14"/>
      <c r="K182" s="14"/>
      <c r="L182" s="14"/>
      <c r="M182" s="14"/>
      <c r="N182" s="14"/>
      <c r="O182" s="14"/>
      <c r="P182" s="14"/>
      <c r="Q182" s="14"/>
      <c r="R182" s="14"/>
      <c r="S182" s="14"/>
      <c r="T182" s="14"/>
      <c r="U182" s="14"/>
      <c r="V182" s="14"/>
      <c r="W182" s="14"/>
      <c r="X182" s="14"/>
      <c r="Y182" s="14"/>
      <c r="Z182" s="14"/>
      <c r="AA182" s="15"/>
      <c r="AB182" s="3"/>
      <c r="AC182" s="3"/>
      <c r="AD182" s="3"/>
      <c r="AE182" s="3"/>
      <c r="AF182" s="3"/>
      <c r="AG182" s="3"/>
      <c r="AH182" s="3"/>
      <c r="AI182" s="3"/>
      <c r="AJ182" s="3"/>
      <c r="AK182" s="3"/>
      <c r="AL182" s="3"/>
      <c r="AM182" s="3"/>
      <c r="AN182" s="3"/>
      <c r="AO182" s="3"/>
    </row>
    <row r="183" spans="2:41" x14ac:dyDescent="0.25">
      <c r="B183" s="13"/>
      <c r="C183" s="14"/>
      <c r="D183" s="60"/>
      <c r="E183" s="56"/>
      <c r="F183" s="56"/>
      <c r="G183" s="14"/>
      <c r="H183" s="56"/>
      <c r="I183" s="14"/>
      <c r="J183" s="14"/>
      <c r="K183" s="14"/>
      <c r="L183" s="14"/>
      <c r="M183" s="14"/>
      <c r="N183" s="14"/>
      <c r="O183" s="14"/>
      <c r="P183" s="14"/>
      <c r="Q183" s="14"/>
      <c r="R183" s="14"/>
      <c r="S183" s="14"/>
      <c r="T183" s="14"/>
      <c r="U183" s="14"/>
      <c r="V183" s="14"/>
      <c r="W183" s="14"/>
      <c r="X183" s="14"/>
      <c r="Y183" s="14"/>
      <c r="Z183" s="14"/>
      <c r="AA183" s="15"/>
      <c r="AB183" s="3"/>
      <c r="AC183" s="3"/>
      <c r="AD183" s="3"/>
      <c r="AE183" s="3"/>
      <c r="AF183" s="3"/>
      <c r="AG183" s="3"/>
      <c r="AH183" s="3"/>
      <c r="AI183" s="3"/>
      <c r="AJ183" s="3"/>
      <c r="AK183" s="3"/>
      <c r="AL183" s="3"/>
      <c r="AM183" s="3"/>
      <c r="AN183" s="3"/>
      <c r="AO183" s="3"/>
    </row>
    <row r="184" spans="2:41" ht="18.75" x14ac:dyDescent="0.3">
      <c r="B184" s="67"/>
      <c r="C184" s="14"/>
      <c r="D184" s="60"/>
      <c r="E184" s="56"/>
      <c r="F184" s="56"/>
      <c r="G184" s="14"/>
      <c r="H184" s="56"/>
      <c r="I184" s="74"/>
      <c r="J184" s="14"/>
      <c r="K184" s="14"/>
      <c r="L184" s="14"/>
      <c r="M184" s="14"/>
      <c r="N184" s="14"/>
      <c r="O184" s="14"/>
      <c r="P184" s="14"/>
      <c r="Q184" s="14"/>
      <c r="R184" s="14"/>
      <c r="S184" s="14"/>
      <c r="T184" s="14"/>
      <c r="U184" s="14"/>
      <c r="V184" s="14"/>
      <c r="W184" s="14"/>
      <c r="X184" s="14"/>
      <c r="Y184" s="14"/>
      <c r="Z184" s="14"/>
      <c r="AA184" s="15"/>
      <c r="AB184" s="3"/>
      <c r="AC184" s="3"/>
      <c r="AD184" s="3"/>
      <c r="AE184" s="3"/>
      <c r="AF184" s="3"/>
      <c r="AG184" s="3"/>
      <c r="AH184" s="3"/>
      <c r="AI184" s="3"/>
      <c r="AJ184" s="3"/>
      <c r="AK184" s="3"/>
      <c r="AL184" s="3"/>
      <c r="AM184" s="3"/>
      <c r="AN184" s="3"/>
      <c r="AO184" s="3"/>
    </row>
    <row r="185" spans="2:41" x14ac:dyDescent="0.25">
      <c r="B185" s="13"/>
      <c r="C185" s="14"/>
      <c r="D185" s="60"/>
      <c r="E185" s="56"/>
      <c r="F185" s="56"/>
      <c r="G185" s="14"/>
      <c r="H185" s="56"/>
      <c r="I185" s="14"/>
      <c r="J185" s="14"/>
      <c r="K185" s="14"/>
      <c r="L185" s="14"/>
      <c r="M185" s="14"/>
      <c r="N185" s="14"/>
      <c r="O185" s="14"/>
      <c r="P185" s="14"/>
      <c r="Q185" s="14"/>
      <c r="R185" s="14"/>
      <c r="S185" s="14"/>
      <c r="T185" s="14"/>
      <c r="U185" s="14"/>
      <c r="V185" s="14"/>
      <c r="W185" s="14"/>
      <c r="X185" s="14"/>
      <c r="Y185" s="14"/>
      <c r="Z185" s="14"/>
      <c r="AA185" s="15"/>
      <c r="AB185" s="3"/>
      <c r="AC185" s="3"/>
      <c r="AD185" s="3"/>
      <c r="AE185" s="3"/>
      <c r="AF185" s="3"/>
      <c r="AG185" s="3"/>
      <c r="AH185" s="3"/>
      <c r="AI185" s="3"/>
      <c r="AJ185" s="3"/>
      <c r="AK185" s="3"/>
      <c r="AL185" s="3"/>
      <c r="AM185" s="3"/>
      <c r="AN185" s="3"/>
      <c r="AO185" s="3"/>
    </row>
    <row r="186" spans="2:41" x14ac:dyDescent="0.25">
      <c r="B186" s="13"/>
      <c r="C186" s="56"/>
      <c r="D186" s="60"/>
      <c r="E186" s="56"/>
      <c r="F186" s="56"/>
      <c r="G186" s="56"/>
      <c r="H186" s="56"/>
      <c r="I186" s="14"/>
      <c r="J186" s="14"/>
      <c r="K186" s="14"/>
      <c r="L186" s="14"/>
      <c r="M186" s="14"/>
      <c r="N186" s="14"/>
      <c r="O186" s="14"/>
      <c r="P186" s="14"/>
      <c r="Q186" s="14"/>
      <c r="R186" s="14"/>
      <c r="S186" s="14"/>
      <c r="T186" s="14"/>
      <c r="U186" s="14"/>
      <c r="V186" s="14"/>
      <c r="W186" s="14"/>
      <c r="X186" s="14"/>
      <c r="Y186" s="14"/>
      <c r="Z186" s="14"/>
      <c r="AA186" s="15"/>
      <c r="AB186" s="3"/>
      <c r="AC186" s="3"/>
      <c r="AD186" s="3"/>
      <c r="AE186" s="3"/>
      <c r="AF186" s="3"/>
      <c r="AG186" s="3"/>
      <c r="AH186" s="3"/>
      <c r="AI186" s="3"/>
      <c r="AJ186" s="3"/>
      <c r="AK186" s="3"/>
      <c r="AL186" s="3"/>
      <c r="AM186" s="3"/>
      <c r="AN186" s="3"/>
      <c r="AO186" s="3"/>
    </row>
    <row r="187" spans="2:41" x14ac:dyDescent="0.25">
      <c r="B187" s="13"/>
      <c r="C187" s="14"/>
      <c r="D187" s="60"/>
      <c r="E187" s="56"/>
      <c r="F187" s="56"/>
      <c r="G187" s="14"/>
      <c r="H187" s="56"/>
      <c r="I187" s="14"/>
      <c r="J187" s="14"/>
      <c r="K187" s="14"/>
      <c r="L187" s="14"/>
      <c r="M187" s="14"/>
      <c r="N187" s="14"/>
      <c r="O187" s="14"/>
      <c r="P187" s="14"/>
      <c r="Q187" s="14"/>
      <c r="R187" s="14"/>
      <c r="S187" s="14"/>
      <c r="T187" s="14"/>
      <c r="U187" s="14"/>
      <c r="V187" s="14"/>
      <c r="W187" s="14"/>
      <c r="X187" s="14"/>
      <c r="Y187" s="14"/>
      <c r="Z187" s="14"/>
      <c r="AA187" s="15"/>
      <c r="AB187" s="3"/>
      <c r="AC187" s="3"/>
      <c r="AD187" s="3"/>
      <c r="AE187" s="3"/>
      <c r="AF187" s="3"/>
      <c r="AG187" s="3"/>
      <c r="AH187" s="3"/>
      <c r="AI187" s="3"/>
      <c r="AJ187" s="3"/>
      <c r="AK187" s="3"/>
      <c r="AL187" s="3"/>
      <c r="AM187" s="3"/>
      <c r="AN187" s="3"/>
      <c r="AO187" s="3"/>
    </row>
    <row r="188" spans="2:41" x14ac:dyDescent="0.25">
      <c r="B188" s="13"/>
      <c r="C188" s="14"/>
      <c r="D188" s="14"/>
      <c r="E188" s="56"/>
      <c r="F188" s="56"/>
      <c r="G188" s="14"/>
      <c r="H188" s="56"/>
      <c r="I188" s="14"/>
      <c r="J188" s="14"/>
      <c r="K188" s="14"/>
      <c r="L188" s="14"/>
      <c r="M188" s="14"/>
      <c r="N188" s="14"/>
      <c r="O188" s="14"/>
      <c r="P188" s="14"/>
      <c r="Q188" s="14"/>
      <c r="R188" s="14"/>
      <c r="S188" s="14"/>
      <c r="T188" s="14"/>
      <c r="U188" s="14"/>
      <c r="V188" s="14"/>
      <c r="W188" s="14"/>
      <c r="X188" s="14"/>
      <c r="Y188" s="14"/>
      <c r="Z188" s="14"/>
      <c r="AA188" s="15"/>
      <c r="AB188" s="3"/>
      <c r="AC188" s="3"/>
      <c r="AD188" s="3"/>
      <c r="AE188" s="3"/>
      <c r="AF188" s="3"/>
      <c r="AG188" s="3"/>
      <c r="AH188" s="3"/>
      <c r="AI188" s="3"/>
      <c r="AJ188" s="3"/>
      <c r="AK188" s="3"/>
      <c r="AL188" s="3"/>
      <c r="AM188" s="3"/>
      <c r="AN188" s="3"/>
      <c r="AO188" s="3"/>
    </row>
    <row r="189" spans="2:41" x14ac:dyDescent="0.25">
      <c r="B189" s="13"/>
      <c r="C189" s="14"/>
      <c r="D189" s="60"/>
      <c r="E189" s="56"/>
      <c r="F189" s="56"/>
      <c r="G189" s="14"/>
      <c r="H189" s="14"/>
      <c r="I189" s="14"/>
      <c r="J189" s="14"/>
      <c r="K189" s="14"/>
      <c r="L189" s="14"/>
      <c r="M189" s="14"/>
      <c r="N189" s="14"/>
      <c r="O189" s="14"/>
      <c r="P189" s="14"/>
      <c r="Q189" s="14"/>
      <c r="R189" s="14"/>
      <c r="S189" s="14"/>
      <c r="T189" s="14"/>
      <c r="U189" s="14"/>
      <c r="V189" s="14"/>
      <c r="W189" s="14"/>
      <c r="X189" s="14"/>
      <c r="Y189" s="14"/>
      <c r="Z189" s="14"/>
      <c r="AA189" s="15"/>
      <c r="AB189" s="3"/>
      <c r="AC189" s="3"/>
      <c r="AD189" s="3"/>
      <c r="AE189" s="3"/>
      <c r="AF189" s="3"/>
      <c r="AG189" s="3"/>
      <c r="AH189" s="3"/>
      <c r="AI189" s="3"/>
      <c r="AJ189" s="3"/>
      <c r="AK189" s="3"/>
      <c r="AL189" s="3"/>
      <c r="AM189" s="3"/>
      <c r="AN189" s="3"/>
      <c r="AO189" s="3"/>
    </row>
    <row r="190" spans="2:41" x14ac:dyDescent="0.25">
      <c r="B190" s="13"/>
      <c r="C190" s="14"/>
      <c r="D190" s="60"/>
      <c r="E190" s="56"/>
      <c r="F190" s="56"/>
      <c r="G190" s="14"/>
      <c r="H190" s="56"/>
      <c r="I190" s="14"/>
      <c r="J190" s="14"/>
      <c r="K190" s="14"/>
      <c r="L190" s="14"/>
      <c r="M190" s="14"/>
      <c r="N190" s="14"/>
      <c r="O190" s="14"/>
      <c r="P190" s="14"/>
      <c r="Q190" s="14"/>
      <c r="R190" s="14"/>
      <c r="S190" s="14"/>
      <c r="T190" s="14"/>
      <c r="U190" s="14"/>
      <c r="V190" s="14"/>
      <c r="W190" s="14"/>
      <c r="X190" s="14"/>
      <c r="Y190" s="14"/>
      <c r="Z190" s="14"/>
      <c r="AA190" s="15"/>
      <c r="AB190" s="3"/>
      <c r="AC190" s="3"/>
      <c r="AD190" s="3"/>
      <c r="AE190" s="3"/>
      <c r="AF190" s="3"/>
      <c r="AG190" s="3"/>
      <c r="AH190" s="3"/>
      <c r="AI190" s="3"/>
      <c r="AJ190" s="3"/>
      <c r="AK190" s="3"/>
      <c r="AL190" s="3"/>
      <c r="AM190" s="3"/>
      <c r="AN190" s="3"/>
      <c r="AO190" s="3"/>
    </row>
    <row r="191" spans="2:41" x14ac:dyDescent="0.25">
      <c r="B191" s="13"/>
      <c r="C191" s="14"/>
      <c r="D191" s="60"/>
      <c r="E191" s="56"/>
      <c r="F191" s="56"/>
      <c r="G191" s="14"/>
      <c r="H191" s="56"/>
      <c r="I191" s="14"/>
      <c r="J191" s="14"/>
      <c r="K191" s="14"/>
      <c r="L191" s="14"/>
      <c r="M191" s="14"/>
      <c r="N191" s="14"/>
      <c r="O191" s="14"/>
      <c r="P191" s="14"/>
      <c r="Q191" s="14"/>
      <c r="R191" s="14"/>
      <c r="S191" s="14"/>
      <c r="T191" s="14"/>
      <c r="U191" s="14"/>
      <c r="V191" s="14"/>
      <c r="W191" s="14"/>
      <c r="X191" s="14"/>
      <c r="Y191" s="14"/>
      <c r="Z191" s="14"/>
      <c r="AA191" s="15"/>
      <c r="AB191" s="3"/>
      <c r="AC191" s="3"/>
      <c r="AD191" s="3"/>
      <c r="AE191" s="3"/>
      <c r="AF191" s="3"/>
      <c r="AG191" s="3"/>
      <c r="AH191" s="3"/>
      <c r="AI191" s="3"/>
      <c r="AJ191" s="3"/>
      <c r="AK191" s="3"/>
      <c r="AL191" s="3"/>
      <c r="AM191" s="3"/>
      <c r="AN191" s="3"/>
      <c r="AO191" s="3"/>
    </row>
    <row r="192" spans="2:41" ht="18.75" x14ac:dyDescent="0.3">
      <c r="B192" s="67"/>
      <c r="C192" s="14"/>
      <c r="D192" s="60"/>
      <c r="E192" s="56"/>
      <c r="F192" s="56"/>
      <c r="G192" s="14"/>
      <c r="H192" s="56"/>
      <c r="I192" s="74"/>
      <c r="J192" s="14"/>
      <c r="K192" s="14"/>
      <c r="L192" s="14"/>
      <c r="M192" s="14"/>
      <c r="N192" s="14"/>
      <c r="O192" s="14"/>
      <c r="P192" s="14"/>
      <c r="Q192" s="14"/>
      <c r="R192" s="14"/>
      <c r="S192" s="14"/>
      <c r="T192" s="14"/>
      <c r="U192" s="14"/>
      <c r="V192" s="14"/>
      <c r="W192" s="14"/>
      <c r="X192" s="14"/>
      <c r="Y192" s="14"/>
      <c r="Z192" s="14"/>
      <c r="AA192" s="15"/>
      <c r="AB192" s="3"/>
      <c r="AC192" s="3"/>
      <c r="AD192" s="3"/>
      <c r="AE192" s="3"/>
      <c r="AF192" s="3"/>
      <c r="AG192" s="3"/>
      <c r="AH192" s="3"/>
      <c r="AI192" s="3"/>
      <c r="AJ192" s="3"/>
      <c r="AK192" s="3"/>
      <c r="AL192" s="3"/>
      <c r="AM192" s="3"/>
      <c r="AN192" s="3"/>
      <c r="AO192" s="3"/>
    </row>
    <row r="193" spans="2:41" x14ac:dyDescent="0.25">
      <c r="B193" s="13"/>
      <c r="C193" s="56"/>
      <c r="D193" s="60"/>
      <c r="E193" s="56"/>
      <c r="F193" s="56"/>
      <c r="G193" s="56"/>
      <c r="H193" s="56"/>
      <c r="I193" s="14"/>
      <c r="J193" s="14"/>
      <c r="K193" s="14"/>
      <c r="L193" s="14"/>
      <c r="M193" s="14"/>
      <c r="N193" s="14"/>
      <c r="O193" s="14"/>
      <c r="P193" s="14"/>
      <c r="Q193" s="14"/>
      <c r="R193" s="14"/>
      <c r="S193" s="14"/>
      <c r="T193" s="14"/>
      <c r="U193" s="14"/>
      <c r="V193" s="14"/>
      <c r="W193" s="14"/>
      <c r="X193" s="14"/>
      <c r="Y193" s="14"/>
      <c r="Z193" s="14"/>
      <c r="AA193" s="15"/>
      <c r="AB193" s="3"/>
      <c r="AC193" s="3"/>
      <c r="AD193" s="3"/>
      <c r="AE193" s="3"/>
      <c r="AF193" s="3"/>
      <c r="AG193" s="3"/>
      <c r="AH193" s="3"/>
      <c r="AI193" s="3"/>
      <c r="AJ193" s="3"/>
      <c r="AK193" s="3"/>
      <c r="AL193" s="3"/>
      <c r="AM193" s="3"/>
      <c r="AN193" s="3"/>
      <c r="AO193" s="3"/>
    </row>
    <row r="194" spans="2:41" x14ac:dyDescent="0.25">
      <c r="B194" s="13"/>
      <c r="C194" s="14"/>
      <c r="D194" s="60"/>
      <c r="E194" s="56"/>
      <c r="F194" s="56"/>
      <c r="G194" s="14"/>
      <c r="H194" s="56"/>
      <c r="I194" s="14"/>
      <c r="J194" s="14"/>
      <c r="K194" s="14"/>
      <c r="L194" s="14"/>
      <c r="M194" s="14"/>
      <c r="N194" s="14"/>
      <c r="O194" s="14"/>
      <c r="P194" s="14"/>
      <c r="Q194" s="14"/>
      <c r="R194" s="14"/>
      <c r="S194" s="14"/>
      <c r="T194" s="14"/>
      <c r="U194" s="14"/>
      <c r="V194" s="14"/>
      <c r="W194" s="14"/>
      <c r="X194" s="14"/>
      <c r="Y194" s="14"/>
      <c r="Z194" s="14"/>
      <c r="AA194" s="15"/>
      <c r="AB194" s="3"/>
      <c r="AC194" s="3"/>
      <c r="AD194" s="3"/>
      <c r="AE194" s="3"/>
      <c r="AF194" s="3"/>
      <c r="AG194" s="3"/>
      <c r="AH194" s="3"/>
      <c r="AI194" s="3"/>
      <c r="AJ194" s="3"/>
      <c r="AK194" s="3"/>
      <c r="AL194" s="3"/>
      <c r="AM194" s="3"/>
      <c r="AN194" s="3"/>
      <c r="AO194" s="3"/>
    </row>
    <row r="195" spans="2:41" x14ac:dyDescent="0.25">
      <c r="B195" s="13"/>
      <c r="C195" s="14"/>
      <c r="D195" s="14"/>
      <c r="E195" s="14"/>
      <c r="F195" s="14"/>
      <c r="G195" s="14"/>
      <c r="H195" s="56"/>
      <c r="I195" s="14"/>
      <c r="J195" s="14"/>
      <c r="K195" s="14"/>
      <c r="L195" s="14"/>
      <c r="M195" s="14"/>
      <c r="N195" s="14"/>
      <c r="O195" s="14"/>
      <c r="P195" s="14"/>
      <c r="Q195" s="14"/>
      <c r="R195" s="14"/>
      <c r="S195" s="14"/>
      <c r="T195" s="14"/>
      <c r="U195" s="14"/>
      <c r="V195" s="14"/>
      <c r="W195" s="14"/>
      <c r="X195" s="14"/>
      <c r="Y195" s="14"/>
      <c r="Z195" s="14"/>
      <c r="AA195" s="15"/>
      <c r="AB195" s="3"/>
      <c r="AC195" s="3"/>
      <c r="AD195" s="3"/>
      <c r="AE195" s="3"/>
      <c r="AF195" s="3"/>
      <c r="AG195" s="3"/>
      <c r="AH195" s="3"/>
      <c r="AI195" s="3"/>
      <c r="AJ195" s="3"/>
      <c r="AK195" s="3"/>
      <c r="AL195" s="3"/>
      <c r="AM195" s="3"/>
      <c r="AN195" s="3"/>
      <c r="AO195" s="3"/>
    </row>
    <row r="196" spans="2:41" x14ac:dyDescent="0.25">
      <c r="B196" s="13"/>
      <c r="C196" s="14"/>
      <c r="D196" s="60"/>
      <c r="E196" s="56"/>
      <c r="F196" s="56"/>
      <c r="G196" s="14"/>
      <c r="H196" s="14"/>
      <c r="I196" s="14"/>
      <c r="J196" s="14"/>
      <c r="K196" s="14"/>
      <c r="L196" s="14"/>
      <c r="M196" s="14"/>
      <c r="N196" s="14"/>
      <c r="O196" s="14"/>
      <c r="P196" s="14"/>
      <c r="Q196" s="14"/>
      <c r="R196" s="14"/>
      <c r="S196" s="14"/>
      <c r="T196" s="14"/>
      <c r="U196" s="14"/>
      <c r="V196" s="14"/>
      <c r="W196" s="14"/>
      <c r="X196" s="14"/>
      <c r="Y196" s="14"/>
      <c r="Z196" s="14"/>
      <c r="AA196" s="15"/>
      <c r="AB196" s="3"/>
      <c r="AC196" s="3"/>
      <c r="AD196" s="3"/>
      <c r="AE196" s="3"/>
      <c r="AF196" s="3"/>
      <c r="AG196" s="3"/>
      <c r="AH196" s="3"/>
      <c r="AI196" s="3"/>
      <c r="AJ196" s="3"/>
      <c r="AK196" s="3"/>
      <c r="AL196" s="3"/>
      <c r="AM196" s="3"/>
      <c r="AN196" s="3"/>
      <c r="AO196" s="3"/>
    </row>
    <row r="197" spans="2:41" x14ac:dyDescent="0.25">
      <c r="B197" s="13"/>
      <c r="C197" s="14"/>
      <c r="D197" s="60"/>
      <c r="E197" s="56"/>
      <c r="F197" s="56"/>
      <c r="G197" s="14"/>
      <c r="H197" s="56"/>
      <c r="I197" s="14"/>
      <c r="J197" s="14"/>
      <c r="K197" s="14"/>
      <c r="L197" s="14"/>
      <c r="M197" s="14"/>
      <c r="N197" s="14"/>
      <c r="O197" s="14"/>
      <c r="P197" s="14"/>
      <c r="Q197" s="14"/>
      <c r="R197" s="14"/>
      <c r="S197" s="14"/>
      <c r="T197" s="14"/>
      <c r="U197" s="14"/>
      <c r="V197" s="14"/>
      <c r="W197" s="14"/>
      <c r="X197" s="14"/>
      <c r="Y197" s="14"/>
      <c r="Z197" s="14"/>
      <c r="AA197" s="15"/>
      <c r="AB197" s="3"/>
      <c r="AC197" s="3"/>
      <c r="AD197" s="3"/>
      <c r="AE197" s="3"/>
      <c r="AF197" s="3"/>
      <c r="AG197" s="3"/>
      <c r="AH197" s="3"/>
      <c r="AI197" s="3"/>
      <c r="AJ197" s="3"/>
      <c r="AK197" s="3"/>
      <c r="AL197" s="3"/>
      <c r="AM197" s="3"/>
      <c r="AN197" s="3"/>
      <c r="AO197" s="3"/>
    </row>
    <row r="198" spans="2:41" x14ac:dyDescent="0.25">
      <c r="B198" s="13"/>
      <c r="C198" s="14"/>
      <c r="D198" s="60"/>
      <c r="E198" s="56"/>
      <c r="F198" s="56"/>
      <c r="G198" s="14"/>
      <c r="H198" s="56"/>
      <c r="I198" s="14"/>
      <c r="J198" s="14"/>
      <c r="K198" s="14"/>
      <c r="L198" s="14"/>
      <c r="M198" s="14"/>
      <c r="N198" s="14"/>
      <c r="O198" s="14"/>
      <c r="P198" s="14"/>
      <c r="Q198" s="14"/>
      <c r="R198" s="14"/>
      <c r="S198" s="14"/>
      <c r="T198" s="14"/>
      <c r="U198" s="14"/>
      <c r="V198" s="14"/>
      <c r="W198" s="14"/>
      <c r="X198" s="14"/>
      <c r="Y198" s="14"/>
      <c r="Z198" s="14"/>
      <c r="AA198" s="15"/>
      <c r="AB198" s="3"/>
      <c r="AC198" s="3"/>
      <c r="AD198" s="3"/>
      <c r="AE198" s="3"/>
      <c r="AF198" s="3"/>
      <c r="AG198" s="3"/>
      <c r="AH198" s="3"/>
      <c r="AI198" s="3"/>
      <c r="AJ198" s="3"/>
      <c r="AK198" s="3"/>
      <c r="AL198" s="3"/>
      <c r="AM198" s="3"/>
      <c r="AN198" s="3"/>
      <c r="AO198" s="3"/>
    </row>
    <row r="199" spans="2:41" x14ac:dyDescent="0.25">
      <c r="B199" s="13"/>
      <c r="C199" s="14"/>
      <c r="D199" s="60"/>
      <c r="E199" s="56"/>
      <c r="F199" s="56"/>
      <c r="G199" s="14"/>
      <c r="H199" s="56"/>
      <c r="I199" s="14"/>
      <c r="J199" s="14"/>
      <c r="K199" s="14"/>
      <c r="L199" s="14"/>
      <c r="M199" s="14"/>
      <c r="N199" s="14"/>
      <c r="O199" s="14"/>
      <c r="P199" s="14"/>
      <c r="Q199" s="14"/>
      <c r="R199" s="14"/>
      <c r="S199" s="14"/>
      <c r="T199" s="14"/>
      <c r="U199" s="14"/>
      <c r="V199" s="14"/>
      <c r="W199" s="14"/>
      <c r="X199" s="14"/>
      <c r="Y199" s="14"/>
      <c r="Z199" s="14"/>
      <c r="AA199" s="15"/>
      <c r="AB199" s="3"/>
      <c r="AC199" s="3"/>
      <c r="AD199" s="3"/>
      <c r="AE199" s="3"/>
      <c r="AF199" s="3"/>
      <c r="AG199" s="3"/>
      <c r="AH199" s="3"/>
      <c r="AI199" s="3"/>
      <c r="AJ199" s="3"/>
      <c r="AK199" s="3"/>
      <c r="AL199" s="3"/>
      <c r="AM199" s="3"/>
      <c r="AN199" s="3"/>
      <c r="AO199" s="3"/>
    </row>
    <row r="200" spans="2:41" x14ac:dyDescent="0.25">
      <c r="B200" s="13"/>
      <c r="C200" s="14"/>
      <c r="D200" s="60"/>
      <c r="E200" s="56"/>
      <c r="F200" s="56"/>
      <c r="G200" s="14"/>
      <c r="H200" s="56"/>
      <c r="I200" s="14"/>
      <c r="J200" s="14"/>
      <c r="K200" s="14"/>
      <c r="L200" s="14"/>
      <c r="M200" s="14"/>
      <c r="N200" s="14"/>
      <c r="O200" s="14"/>
      <c r="P200" s="14"/>
      <c r="Q200" s="14"/>
      <c r="R200" s="14"/>
      <c r="S200" s="14"/>
      <c r="T200" s="14"/>
      <c r="U200" s="14"/>
      <c r="V200" s="14"/>
      <c r="W200" s="14"/>
      <c r="X200" s="14"/>
      <c r="Y200" s="14"/>
      <c r="Z200" s="14"/>
      <c r="AA200" s="15"/>
      <c r="AB200" s="3"/>
      <c r="AC200" s="3"/>
      <c r="AD200" s="3"/>
      <c r="AE200" s="3"/>
      <c r="AF200" s="3"/>
      <c r="AG200" s="3"/>
      <c r="AH200" s="3"/>
      <c r="AI200" s="3"/>
      <c r="AJ200" s="3"/>
      <c r="AK200" s="3"/>
      <c r="AL200" s="3"/>
      <c r="AM200" s="3"/>
      <c r="AN200" s="3"/>
      <c r="AO200" s="3"/>
    </row>
    <row r="201" spans="2:41" x14ac:dyDescent="0.25">
      <c r="B201" s="13"/>
      <c r="C201" s="14"/>
      <c r="D201" s="60"/>
      <c r="E201" s="56"/>
      <c r="F201" s="56"/>
      <c r="G201" s="14"/>
      <c r="H201" s="56"/>
      <c r="I201" s="14"/>
      <c r="J201" s="14"/>
      <c r="K201" s="14"/>
      <c r="L201" s="14"/>
      <c r="M201" s="14"/>
      <c r="N201" s="14"/>
      <c r="O201" s="14"/>
      <c r="P201" s="14"/>
      <c r="Q201" s="14"/>
      <c r="R201" s="14"/>
      <c r="S201" s="14"/>
      <c r="T201" s="14"/>
      <c r="U201" s="14"/>
      <c r="V201" s="14"/>
      <c r="W201" s="14"/>
      <c r="X201" s="14"/>
      <c r="Y201" s="14"/>
      <c r="Z201" s="14"/>
      <c r="AA201" s="15"/>
      <c r="AB201" s="3"/>
      <c r="AC201" s="3"/>
      <c r="AD201" s="3"/>
      <c r="AE201" s="3"/>
      <c r="AF201" s="3"/>
      <c r="AG201" s="3"/>
      <c r="AH201" s="3"/>
      <c r="AI201" s="3"/>
      <c r="AJ201" s="3"/>
      <c r="AK201" s="3"/>
      <c r="AL201" s="3"/>
      <c r="AM201" s="3"/>
      <c r="AN201" s="3"/>
      <c r="AO201" s="3"/>
    </row>
    <row r="202" spans="2:41" x14ac:dyDescent="0.25">
      <c r="B202" s="13"/>
      <c r="C202" s="14"/>
      <c r="D202" s="14"/>
      <c r="E202" s="56"/>
      <c r="F202" s="56"/>
      <c r="G202" s="14"/>
      <c r="H202" s="56"/>
      <c r="I202" s="14"/>
      <c r="J202" s="14"/>
      <c r="K202" s="14"/>
      <c r="L202" s="14"/>
      <c r="M202" s="14"/>
      <c r="N202" s="14"/>
      <c r="O202" s="14"/>
      <c r="P202" s="14"/>
      <c r="Q202" s="14"/>
      <c r="R202" s="14"/>
      <c r="S202" s="14"/>
      <c r="T202" s="14"/>
      <c r="U202" s="14"/>
      <c r="V202" s="14"/>
      <c r="W202" s="14"/>
      <c r="X202" s="14"/>
      <c r="Y202" s="14"/>
      <c r="Z202" s="14"/>
      <c r="AA202" s="15"/>
      <c r="AB202" s="3"/>
      <c r="AC202" s="3"/>
      <c r="AD202" s="3"/>
      <c r="AE202" s="3"/>
      <c r="AF202" s="3"/>
      <c r="AG202" s="3"/>
      <c r="AH202" s="3"/>
      <c r="AI202" s="3"/>
      <c r="AJ202" s="3"/>
      <c r="AK202" s="3"/>
      <c r="AL202" s="3"/>
      <c r="AM202" s="3"/>
      <c r="AN202" s="3"/>
      <c r="AO202" s="3"/>
    </row>
    <row r="203" spans="2:41" x14ac:dyDescent="0.25">
      <c r="B203" s="13"/>
      <c r="C203" s="14"/>
      <c r="D203" s="60"/>
      <c r="E203" s="56"/>
      <c r="F203" s="56"/>
      <c r="G203" s="14"/>
      <c r="H203" s="14"/>
      <c r="I203" s="14"/>
      <c r="J203" s="14"/>
      <c r="K203" s="14"/>
      <c r="L203" s="14"/>
      <c r="M203" s="14"/>
      <c r="N203" s="14"/>
      <c r="O203" s="14"/>
      <c r="P203" s="14"/>
      <c r="Q203" s="14"/>
      <c r="R203" s="14"/>
      <c r="S203" s="14"/>
      <c r="T203" s="14"/>
      <c r="U203" s="14"/>
      <c r="V203" s="14"/>
      <c r="W203" s="14"/>
      <c r="X203" s="14"/>
      <c r="Y203" s="14"/>
      <c r="Z203" s="14"/>
      <c r="AA203" s="15"/>
      <c r="AB203" s="3"/>
      <c r="AC203" s="3"/>
      <c r="AD203" s="3"/>
      <c r="AE203" s="3"/>
      <c r="AF203" s="3"/>
      <c r="AG203" s="3"/>
      <c r="AH203" s="3"/>
      <c r="AI203" s="3"/>
      <c r="AJ203" s="3"/>
      <c r="AK203" s="3"/>
      <c r="AL203" s="3"/>
      <c r="AM203" s="3"/>
      <c r="AN203" s="3"/>
      <c r="AO203" s="3"/>
    </row>
    <row r="204" spans="2:41" x14ac:dyDescent="0.25">
      <c r="B204" s="13"/>
      <c r="C204" s="14"/>
      <c r="D204" s="60"/>
      <c r="E204" s="56"/>
      <c r="F204" s="56"/>
      <c r="G204" s="14"/>
      <c r="H204" s="56"/>
      <c r="I204" s="14"/>
      <c r="J204" s="14"/>
      <c r="K204" s="14"/>
      <c r="L204" s="14"/>
      <c r="M204" s="14"/>
      <c r="N204" s="14"/>
      <c r="O204" s="14"/>
      <c r="P204" s="14"/>
      <c r="Q204" s="14"/>
      <c r="R204" s="14"/>
      <c r="S204" s="14"/>
      <c r="T204" s="14"/>
      <c r="U204" s="14"/>
      <c r="V204" s="14"/>
      <c r="W204" s="14"/>
      <c r="X204" s="14"/>
      <c r="Y204" s="14"/>
      <c r="Z204" s="14"/>
      <c r="AA204" s="15"/>
      <c r="AB204" s="3"/>
      <c r="AC204" s="3"/>
      <c r="AD204" s="3"/>
      <c r="AE204" s="3"/>
      <c r="AF204" s="3"/>
      <c r="AG204" s="3"/>
      <c r="AH204" s="3"/>
      <c r="AI204" s="3"/>
      <c r="AJ204" s="3"/>
      <c r="AK204" s="3"/>
      <c r="AL204" s="3"/>
      <c r="AM204" s="3"/>
      <c r="AN204" s="3"/>
      <c r="AO204" s="3"/>
    </row>
    <row r="205" spans="2:41" x14ac:dyDescent="0.25">
      <c r="B205" s="13"/>
      <c r="C205" s="14"/>
      <c r="D205" s="60"/>
      <c r="E205" s="56"/>
      <c r="F205" s="56"/>
      <c r="G205" s="14"/>
      <c r="H205" s="56"/>
      <c r="I205" s="14"/>
      <c r="J205" s="14"/>
      <c r="K205" s="14"/>
      <c r="L205" s="14"/>
      <c r="M205" s="14"/>
      <c r="N205" s="14"/>
      <c r="O205" s="14"/>
      <c r="P205" s="14"/>
      <c r="Q205" s="14"/>
      <c r="R205" s="14"/>
      <c r="S205" s="14"/>
      <c r="T205" s="14"/>
      <c r="U205" s="14"/>
      <c r="V205" s="14"/>
      <c r="W205" s="14"/>
      <c r="X205" s="14"/>
      <c r="Y205" s="14"/>
      <c r="Z205" s="14"/>
      <c r="AA205" s="15"/>
      <c r="AB205" s="3"/>
      <c r="AC205" s="3"/>
      <c r="AD205" s="3"/>
      <c r="AE205" s="3"/>
      <c r="AF205" s="3"/>
      <c r="AG205" s="3"/>
      <c r="AH205" s="3"/>
      <c r="AI205" s="3"/>
      <c r="AJ205" s="3"/>
      <c r="AK205" s="3"/>
      <c r="AL205" s="3"/>
      <c r="AM205" s="3"/>
      <c r="AN205" s="3"/>
      <c r="AO205" s="3"/>
    </row>
    <row r="206" spans="2:41" x14ac:dyDescent="0.25">
      <c r="B206" s="13"/>
      <c r="C206" s="14"/>
      <c r="D206" s="60"/>
      <c r="E206" s="56"/>
      <c r="F206" s="56"/>
      <c r="G206" s="14"/>
      <c r="H206" s="56"/>
      <c r="I206" s="14"/>
      <c r="J206" s="14"/>
      <c r="K206" s="14"/>
      <c r="L206" s="14"/>
      <c r="M206" s="14"/>
      <c r="N206" s="14"/>
      <c r="O206" s="14"/>
      <c r="P206" s="14"/>
      <c r="Q206" s="14"/>
      <c r="R206" s="14"/>
      <c r="S206" s="14"/>
      <c r="T206" s="14"/>
      <c r="U206" s="14"/>
      <c r="V206" s="14"/>
      <c r="W206" s="14"/>
      <c r="X206" s="14"/>
      <c r="Y206" s="14"/>
      <c r="Z206" s="14"/>
      <c r="AA206" s="15"/>
      <c r="AB206" s="3"/>
      <c r="AC206" s="3"/>
      <c r="AD206" s="3"/>
      <c r="AE206" s="3"/>
      <c r="AF206" s="3"/>
      <c r="AG206" s="3"/>
      <c r="AH206" s="3"/>
      <c r="AI206" s="3"/>
      <c r="AJ206" s="3"/>
      <c r="AK206" s="3"/>
      <c r="AL206" s="3"/>
      <c r="AM206" s="3"/>
      <c r="AN206" s="3"/>
      <c r="AO206" s="3"/>
    </row>
    <row r="207" spans="2:41" x14ac:dyDescent="0.25">
      <c r="B207" s="70"/>
      <c r="C207" s="56"/>
      <c r="D207" s="60"/>
      <c r="E207" s="56"/>
      <c r="F207" s="56"/>
      <c r="G207" s="56"/>
      <c r="H207" s="56"/>
      <c r="I207" s="42"/>
      <c r="J207" s="14"/>
      <c r="K207" s="14"/>
      <c r="L207" s="14"/>
      <c r="M207" s="14"/>
      <c r="N207" s="14"/>
      <c r="O207" s="14"/>
      <c r="P207" s="14"/>
      <c r="Q207" s="14"/>
      <c r="R207" s="14"/>
      <c r="S207" s="14"/>
      <c r="T207" s="14"/>
      <c r="U207" s="14"/>
      <c r="V207" s="14"/>
      <c r="W207" s="14"/>
      <c r="X207" s="14"/>
      <c r="Y207" s="14"/>
      <c r="Z207" s="14"/>
      <c r="AA207" s="15"/>
      <c r="AB207" s="3"/>
      <c r="AC207" s="3"/>
      <c r="AD207" s="3"/>
      <c r="AE207" s="3"/>
      <c r="AF207" s="3"/>
      <c r="AG207" s="3"/>
      <c r="AH207" s="3"/>
      <c r="AI207" s="3"/>
      <c r="AJ207" s="3"/>
      <c r="AK207" s="3"/>
      <c r="AL207" s="3"/>
      <c r="AM207" s="3"/>
      <c r="AN207" s="3"/>
      <c r="AO207" s="3"/>
    </row>
    <row r="208" spans="2:41" ht="18.75" x14ac:dyDescent="0.3">
      <c r="B208" s="67"/>
      <c r="C208" s="14"/>
      <c r="D208" s="60"/>
      <c r="E208" s="56"/>
      <c r="F208" s="56"/>
      <c r="G208" s="14"/>
      <c r="H208" s="56"/>
      <c r="I208" s="74"/>
      <c r="J208" s="14"/>
      <c r="K208" s="14"/>
      <c r="L208" s="14"/>
      <c r="M208" s="14"/>
      <c r="N208" s="14"/>
      <c r="O208" s="14"/>
      <c r="P208" s="14"/>
      <c r="Q208" s="14"/>
      <c r="R208" s="14"/>
      <c r="S208" s="14"/>
      <c r="T208" s="14"/>
      <c r="U208" s="14"/>
      <c r="V208" s="14"/>
      <c r="W208" s="14"/>
      <c r="X208" s="14"/>
      <c r="Y208" s="14"/>
      <c r="Z208" s="14"/>
      <c r="AA208" s="15"/>
      <c r="AB208" s="3"/>
      <c r="AC208" s="3"/>
      <c r="AD208" s="3"/>
      <c r="AE208" s="3"/>
      <c r="AF208" s="3"/>
      <c r="AG208" s="3"/>
      <c r="AH208" s="3"/>
      <c r="AI208" s="3"/>
      <c r="AJ208" s="3"/>
      <c r="AK208" s="3"/>
      <c r="AL208" s="3"/>
      <c r="AM208" s="3"/>
      <c r="AN208" s="3"/>
      <c r="AO208" s="3"/>
    </row>
    <row r="209" spans="2:41" x14ac:dyDescent="0.25">
      <c r="B209" s="13"/>
      <c r="C209" s="14"/>
      <c r="D209" s="14"/>
      <c r="E209" s="56"/>
      <c r="F209" s="56"/>
      <c r="G209" s="14"/>
      <c r="H209" s="56"/>
      <c r="I209" s="14"/>
      <c r="J209" s="14"/>
      <c r="K209" s="14"/>
      <c r="L209" s="14"/>
      <c r="M209" s="14"/>
      <c r="N209" s="14"/>
      <c r="O209" s="14"/>
      <c r="P209" s="14"/>
      <c r="Q209" s="14"/>
      <c r="R209" s="14"/>
      <c r="S209" s="14"/>
      <c r="T209" s="14"/>
      <c r="U209" s="14"/>
      <c r="V209" s="14"/>
      <c r="W209" s="14"/>
      <c r="X209" s="14"/>
      <c r="Y209" s="14"/>
      <c r="Z209" s="14"/>
      <c r="AA209" s="15"/>
      <c r="AB209" s="3"/>
      <c r="AC209" s="3"/>
      <c r="AD209" s="3"/>
      <c r="AE209" s="3"/>
      <c r="AF209" s="3"/>
      <c r="AG209" s="3"/>
      <c r="AH209" s="3"/>
      <c r="AI209" s="3"/>
      <c r="AJ209" s="3"/>
      <c r="AK209" s="3"/>
      <c r="AL209" s="3"/>
      <c r="AM209" s="3"/>
      <c r="AN209" s="3"/>
      <c r="AO209" s="3"/>
    </row>
    <row r="210" spans="2:41" x14ac:dyDescent="0.25">
      <c r="B210" s="13"/>
      <c r="C210" s="14"/>
      <c r="D210" s="60"/>
      <c r="E210" s="56"/>
      <c r="F210" s="56"/>
      <c r="G210" s="14"/>
      <c r="H210" s="14"/>
      <c r="I210" s="14"/>
      <c r="J210" s="14"/>
      <c r="K210" s="14"/>
      <c r="L210" s="14"/>
      <c r="M210" s="14"/>
      <c r="N210" s="14"/>
      <c r="O210" s="14"/>
      <c r="P210" s="14"/>
      <c r="Q210" s="14"/>
      <c r="R210" s="14"/>
      <c r="S210" s="14"/>
      <c r="T210" s="14"/>
      <c r="U210" s="14"/>
      <c r="V210" s="14"/>
      <c r="W210" s="14"/>
      <c r="X210" s="14"/>
      <c r="Y210" s="14"/>
      <c r="Z210" s="14"/>
      <c r="AA210" s="15"/>
      <c r="AB210" s="3"/>
      <c r="AC210" s="3"/>
      <c r="AD210" s="3"/>
      <c r="AE210" s="3"/>
      <c r="AF210" s="3"/>
      <c r="AG210" s="3"/>
      <c r="AH210" s="3"/>
      <c r="AI210" s="3"/>
      <c r="AJ210" s="3"/>
      <c r="AK210" s="3"/>
      <c r="AL210" s="3"/>
      <c r="AM210" s="3"/>
      <c r="AN210" s="3"/>
      <c r="AO210" s="3"/>
    </row>
    <row r="211" spans="2:41" x14ac:dyDescent="0.25">
      <c r="B211" s="13"/>
      <c r="C211" s="14"/>
      <c r="D211" s="60"/>
      <c r="E211" s="56"/>
      <c r="F211" s="56"/>
      <c r="G211" s="14"/>
      <c r="H211" s="56"/>
      <c r="I211" s="14"/>
      <c r="J211" s="14"/>
      <c r="K211" s="14"/>
      <c r="L211" s="14"/>
      <c r="M211" s="14"/>
      <c r="N211" s="14"/>
      <c r="O211" s="14"/>
      <c r="P211" s="14"/>
      <c r="Q211" s="14"/>
      <c r="R211" s="14"/>
      <c r="S211" s="14"/>
      <c r="T211" s="14"/>
      <c r="U211" s="14"/>
      <c r="V211" s="14"/>
      <c r="W211" s="14"/>
      <c r="X211" s="14"/>
      <c r="Y211" s="14"/>
      <c r="Z211" s="14"/>
      <c r="AA211" s="15"/>
      <c r="AB211" s="3"/>
      <c r="AC211" s="3"/>
      <c r="AD211" s="3"/>
      <c r="AE211" s="3"/>
      <c r="AF211" s="3"/>
      <c r="AG211" s="3"/>
      <c r="AH211" s="3"/>
      <c r="AI211" s="3"/>
      <c r="AJ211" s="3"/>
      <c r="AK211" s="3"/>
      <c r="AL211" s="3"/>
      <c r="AM211" s="3"/>
      <c r="AN211" s="3"/>
      <c r="AO211" s="3"/>
    </row>
    <row r="212" spans="2:41" x14ac:dyDescent="0.25">
      <c r="B212" s="13"/>
      <c r="C212" s="14"/>
      <c r="D212" s="60"/>
      <c r="E212" s="56"/>
      <c r="F212" s="56"/>
      <c r="G212" s="14"/>
      <c r="H212" s="56"/>
      <c r="I212" s="14"/>
      <c r="J212" s="14"/>
      <c r="K212" s="14"/>
      <c r="L212" s="14"/>
      <c r="M212" s="14"/>
      <c r="N212" s="14"/>
      <c r="O212" s="14"/>
      <c r="P212" s="14"/>
      <c r="Q212" s="14"/>
      <c r="R212" s="14"/>
      <c r="S212" s="14"/>
      <c r="T212" s="14"/>
      <c r="U212" s="14"/>
      <c r="V212" s="14"/>
      <c r="W212" s="14"/>
      <c r="X212" s="14"/>
      <c r="Y212" s="14"/>
      <c r="Z212" s="14"/>
      <c r="AA212" s="15"/>
      <c r="AB212" s="3"/>
      <c r="AC212" s="3"/>
      <c r="AD212" s="3"/>
      <c r="AE212" s="3"/>
      <c r="AF212" s="3"/>
      <c r="AG212" s="3"/>
      <c r="AH212" s="3"/>
      <c r="AI212" s="3"/>
      <c r="AJ212" s="3"/>
      <c r="AK212" s="3"/>
      <c r="AL212" s="3"/>
      <c r="AM212" s="3"/>
      <c r="AN212" s="3"/>
      <c r="AO212" s="3"/>
    </row>
    <row r="213" spans="2:41" x14ac:dyDescent="0.25">
      <c r="B213" s="13"/>
      <c r="C213" s="14"/>
      <c r="D213" s="60"/>
      <c r="E213" s="56"/>
      <c r="F213" s="56"/>
      <c r="G213" s="14"/>
      <c r="H213" s="56"/>
      <c r="I213" s="14"/>
      <c r="J213" s="14"/>
      <c r="K213" s="14"/>
      <c r="L213" s="14"/>
      <c r="M213" s="14"/>
      <c r="N213" s="14"/>
      <c r="O213" s="14"/>
      <c r="P213" s="14"/>
      <c r="Q213" s="14"/>
      <c r="R213" s="14"/>
      <c r="S213" s="14"/>
      <c r="T213" s="14"/>
      <c r="U213" s="14"/>
      <c r="V213" s="14"/>
      <c r="W213" s="14"/>
      <c r="X213" s="14"/>
      <c r="Y213" s="14"/>
      <c r="Z213" s="14"/>
      <c r="AA213" s="15"/>
      <c r="AB213" s="3"/>
      <c r="AC213" s="3"/>
      <c r="AD213" s="3"/>
      <c r="AE213" s="3"/>
      <c r="AF213" s="3"/>
      <c r="AG213" s="3"/>
      <c r="AH213" s="3"/>
      <c r="AI213" s="3"/>
      <c r="AJ213" s="3"/>
      <c r="AK213" s="3"/>
      <c r="AL213" s="3"/>
      <c r="AM213" s="3"/>
      <c r="AN213" s="3"/>
      <c r="AO213" s="3"/>
    </row>
    <row r="214" spans="2:41" x14ac:dyDescent="0.25">
      <c r="B214" s="13"/>
      <c r="C214" s="14"/>
      <c r="D214" s="60"/>
      <c r="E214" s="56"/>
      <c r="F214" s="56"/>
      <c r="G214" s="14"/>
      <c r="H214" s="56"/>
      <c r="I214" s="14"/>
      <c r="J214" s="14"/>
      <c r="K214" s="14"/>
      <c r="L214" s="14"/>
      <c r="M214" s="14"/>
      <c r="N214" s="14"/>
      <c r="O214" s="14"/>
      <c r="P214" s="14"/>
      <c r="Q214" s="14"/>
      <c r="R214" s="14"/>
      <c r="S214" s="14"/>
      <c r="T214" s="14"/>
      <c r="U214" s="14"/>
      <c r="V214" s="14"/>
      <c r="W214" s="14"/>
      <c r="X214" s="14"/>
      <c r="Y214" s="14"/>
      <c r="Z214" s="14"/>
      <c r="AA214" s="15"/>
      <c r="AB214" s="3"/>
      <c r="AC214" s="3"/>
      <c r="AD214" s="3"/>
      <c r="AE214" s="3"/>
      <c r="AF214" s="3"/>
      <c r="AG214" s="3"/>
      <c r="AH214" s="3"/>
      <c r="AI214" s="3"/>
      <c r="AJ214" s="3"/>
      <c r="AK214" s="3"/>
      <c r="AL214" s="3"/>
      <c r="AM214" s="3"/>
      <c r="AN214" s="3"/>
      <c r="AO214" s="3"/>
    </row>
    <row r="215" spans="2:41" x14ac:dyDescent="0.25">
      <c r="B215" s="13"/>
      <c r="C215" s="14"/>
      <c r="D215" s="60"/>
      <c r="E215" s="56"/>
      <c r="F215" s="56"/>
      <c r="G215" s="14"/>
      <c r="H215" s="56"/>
      <c r="I215" s="14"/>
      <c r="J215" s="14"/>
      <c r="K215" s="14"/>
      <c r="L215" s="14"/>
      <c r="M215" s="14"/>
      <c r="N215" s="14"/>
      <c r="O215" s="14"/>
      <c r="P215" s="14"/>
      <c r="Q215" s="14"/>
      <c r="R215" s="14"/>
      <c r="S215" s="14"/>
      <c r="T215" s="14"/>
      <c r="U215" s="14"/>
      <c r="V215" s="14"/>
      <c r="W215" s="14"/>
      <c r="X215" s="14"/>
      <c r="Y215" s="14"/>
      <c r="Z215" s="14"/>
      <c r="AA215" s="15"/>
      <c r="AB215" s="3"/>
      <c r="AC215" s="3"/>
      <c r="AD215" s="3"/>
      <c r="AE215" s="3"/>
      <c r="AF215" s="3"/>
      <c r="AG215" s="3"/>
      <c r="AH215" s="3"/>
      <c r="AI215" s="3"/>
      <c r="AJ215" s="3"/>
      <c r="AK215" s="3"/>
      <c r="AL215" s="3"/>
      <c r="AM215" s="3"/>
      <c r="AN215" s="3"/>
      <c r="AO215" s="3"/>
    </row>
    <row r="216" spans="2:41" x14ac:dyDescent="0.25">
      <c r="B216" s="13"/>
      <c r="C216" s="14"/>
      <c r="D216" s="14"/>
      <c r="E216" s="56"/>
      <c r="F216" s="56"/>
      <c r="G216" s="14"/>
      <c r="H216" s="56"/>
      <c r="I216" s="14"/>
      <c r="J216" s="14"/>
      <c r="K216" s="14"/>
      <c r="L216" s="14"/>
      <c r="M216" s="14"/>
      <c r="N216" s="14"/>
      <c r="O216" s="14"/>
      <c r="P216" s="14"/>
      <c r="Q216" s="14"/>
      <c r="R216" s="14"/>
      <c r="S216" s="14"/>
      <c r="T216" s="14"/>
      <c r="U216" s="14"/>
      <c r="V216" s="14"/>
      <c r="W216" s="14"/>
      <c r="X216" s="14"/>
      <c r="Y216" s="14"/>
      <c r="Z216" s="14"/>
      <c r="AA216" s="15"/>
      <c r="AB216" s="3"/>
      <c r="AC216" s="3"/>
      <c r="AD216" s="3"/>
      <c r="AE216" s="3"/>
      <c r="AF216" s="3"/>
      <c r="AG216" s="3"/>
      <c r="AH216" s="3"/>
      <c r="AI216" s="3"/>
      <c r="AJ216" s="3"/>
      <c r="AK216" s="3"/>
      <c r="AL216" s="3"/>
      <c r="AM216" s="3"/>
      <c r="AN216" s="3"/>
      <c r="AO216" s="3"/>
    </row>
    <row r="217" spans="2:41" x14ac:dyDescent="0.25">
      <c r="B217" s="13"/>
      <c r="C217" s="14"/>
      <c r="D217" s="60"/>
      <c r="E217" s="56"/>
      <c r="F217" s="56"/>
      <c r="G217" s="14"/>
      <c r="H217" s="14"/>
      <c r="I217" s="14"/>
      <c r="J217" s="14"/>
      <c r="K217" s="14"/>
      <c r="L217" s="14"/>
      <c r="M217" s="14"/>
      <c r="N217" s="14"/>
      <c r="O217" s="14"/>
      <c r="P217" s="14"/>
      <c r="Q217" s="14"/>
      <c r="R217" s="14"/>
      <c r="S217" s="14"/>
      <c r="T217" s="14"/>
      <c r="U217" s="14"/>
      <c r="V217" s="14"/>
      <c r="W217" s="14"/>
      <c r="X217" s="14"/>
      <c r="Y217" s="14"/>
      <c r="Z217" s="14"/>
      <c r="AA217" s="15"/>
      <c r="AB217" s="3"/>
      <c r="AC217" s="3"/>
      <c r="AD217" s="3"/>
      <c r="AE217" s="3"/>
      <c r="AF217" s="3"/>
      <c r="AG217" s="3"/>
      <c r="AH217" s="3"/>
      <c r="AI217" s="3"/>
      <c r="AJ217" s="3"/>
      <c r="AK217" s="3"/>
      <c r="AL217" s="3"/>
      <c r="AM217" s="3"/>
      <c r="AN217" s="3"/>
      <c r="AO217" s="3"/>
    </row>
    <row r="218" spans="2:41" x14ac:dyDescent="0.25">
      <c r="B218" s="13"/>
      <c r="C218" s="14"/>
      <c r="D218" s="60"/>
      <c r="E218" s="56"/>
      <c r="F218" s="56"/>
      <c r="G218" s="14"/>
      <c r="H218" s="56"/>
      <c r="I218" s="14"/>
      <c r="J218" s="14"/>
      <c r="K218" s="14"/>
      <c r="L218" s="14"/>
      <c r="M218" s="14"/>
      <c r="N218" s="14"/>
      <c r="O218" s="14"/>
      <c r="P218" s="14"/>
      <c r="Q218" s="14"/>
      <c r="R218" s="14"/>
      <c r="S218" s="14"/>
      <c r="T218" s="14"/>
      <c r="U218" s="14"/>
      <c r="V218" s="14"/>
      <c r="W218" s="14"/>
      <c r="X218" s="14"/>
      <c r="Y218" s="14"/>
      <c r="Z218" s="14"/>
      <c r="AA218" s="15"/>
      <c r="AB218" s="3"/>
      <c r="AC218" s="3"/>
      <c r="AD218" s="3"/>
      <c r="AE218" s="3"/>
      <c r="AF218" s="3"/>
      <c r="AG218" s="3"/>
      <c r="AH218" s="3"/>
      <c r="AI218" s="3"/>
      <c r="AJ218" s="3"/>
      <c r="AK218" s="3"/>
      <c r="AL218" s="3"/>
      <c r="AM218" s="3"/>
      <c r="AN218" s="3"/>
      <c r="AO218" s="3"/>
    </row>
    <row r="219" spans="2:41" x14ac:dyDescent="0.25">
      <c r="B219" s="13"/>
      <c r="C219" s="14"/>
      <c r="D219" s="60"/>
      <c r="E219" s="56"/>
      <c r="F219" s="56"/>
      <c r="G219" s="14"/>
      <c r="H219" s="56"/>
      <c r="I219" s="14"/>
      <c r="J219" s="14"/>
      <c r="K219" s="14"/>
      <c r="L219" s="14"/>
      <c r="M219" s="14"/>
      <c r="N219" s="14"/>
      <c r="O219" s="14"/>
      <c r="P219" s="14"/>
      <c r="Q219" s="14"/>
      <c r="R219" s="14"/>
      <c r="S219" s="14"/>
      <c r="T219" s="14"/>
      <c r="U219" s="14"/>
      <c r="V219" s="14"/>
      <c r="W219" s="14"/>
      <c r="X219" s="14"/>
      <c r="Y219" s="14"/>
      <c r="Z219" s="14"/>
      <c r="AA219" s="15"/>
      <c r="AB219" s="3"/>
      <c r="AC219" s="3"/>
      <c r="AD219" s="3"/>
      <c r="AE219" s="3"/>
      <c r="AF219" s="3"/>
      <c r="AG219" s="3"/>
      <c r="AH219" s="3"/>
      <c r="AI219" s="3"/>
      <c r="AJ219" s="3"/>
      <c r="AK219" s="3"/>
      <c r="AL219" s="3"/>
      <c r="AM219" s="3"/>
      <c r="AN219" s="3"/>
      <c r="AO219" s="3"/>
    </row>
    <row r="220" spans="2:41" x14ac:dyDescent="0.25">
      <c r="B220" s="13"/>
      <c r="C220" s="14"/>
      <c r="D220" s="60"/>
      <c r="E220" s="56"/>
      <c r="F220" s="56"/>
      <c r="G220" s="14"/>
      <c r="H220" s="56"/>
      <c r="I220" s="14"/>
      <c r="J220" s="14"/>
      <c r="K220" s="14"/>
      <c r="L220" s="14"/>
      <c r="M220" s="14"/>
      <c r="N220" s="14"/>
      <c r="O220" s="14"/>
      <c r="P220" s="14"/>
      <c r="Q220" s="14"/>
      <c r="R220" s="14"/>
      <c r="S220" s="14"/>
      <c r="T220" s="14"/>
      <c r="U220" s="14"/>
      <c r="V220" s="14"/>
      <c r="W220" s="14"/>
      <c r="X220" s="14"/>
      <c r="Y220" s="14"/>
      <c r="Z220" s="14"/>
      <c r="AA220" s="15"/>
      <c r="AB220" s="3"/>
      <c r="AC220" s="3"/>
      <c r="AD220" s="3"/>
      <c r="AE220" s="3"/>
      <c r="AF220" s="3"/>
      <c r="AG220" s="3"/>
      <c r="AH220" s="3"/>
      <c r="AI220" s="3"/>
      <c r="AJ220" s="3"/>
      <c r="AK220" s="3"/>
      <c r="AL220" s="3"/>
      <c r="AM220" s="3"/>
      <c r="AN220" s="3"/>
      <c r="AO220" s="3"/>
    </row>
    <row r="221" spans="2:41" x14ac:dyDescent="0.25">
      <c r="B221" s="70"/>
      <c r="C221" s="56"/>
      <c r="D221" s="60"/>
      <c r="E221" s="56"/>
      <c r="F221" s="56"/>
      <c r="G221" s="56"/>
      <c r="H221" s="56"/>
      <c r="I221" s="42"/>
      <c r="J221" s="14"/>
      <c r="K221" s="14"/>
      <c r="L221" s="14"/>
      <c r="M221" s="14"/>
      <c r="N221" s="14"/>
      <c r="O221" s="14"/>
      <c r="P221" s="14"/>
      <c r="Q221" s="14"/>
      <c r="R221" s="14"/>
      <c r="S221" s="14"/>
      <c r="T221" s="14"/>
      <c r="U221" s="14"/>
      <c r="V221" s="14"/>
      <c r="W221" s="14"/>
      <c r="X221" s="14"/>
      <c r="Y221" s="14"/>
      <c r="Z221" s="14"/>
      <c r="AA221" s="15"/>
      <c r="AB221" s="3"/>
      <c r="AC221" s="3"/>
      <c r="AD221" s="3"/>
      <c r="AE221" s="3"/>
      <c r="AF221" s="3"/>
      <c r="AG221" s="3"/>
      <c r="AH221" s="3"/>
      <c r="AI221" s="3"/>
      <c r="AJ221" s="3"/>
      <c r="AK221" s="3"/>
      <c r="AL221" s="3"/>
      <c r="AM221" s="3"/>
      <c r="AN221" s="3"/>
      <c r="AO221" s="3"/>
    </row>
    <row r="222" spans="2:41" x14ac:dyDescent="0.25">
      <c r="B222" s="13"/>
      <c r="C222" s="14"/>
      <c r="D222" s="60"/>
      <c r="E222" s="56"/>
      <c r="F222" s="56"/>
      <c r="G222" s="14"/>
      <c r="H222" s="56"/>
      <c r="I222" s="14"/>
      <c r="J222" s="14"/>
      <c r="K222" s="14"/>
      <c r="L222" s="14"/>
      <c r="M222" s="14"/>
      <c r="N222" s="14"/>
      <c r="O222" s="14"/>
      <c r="P222" s="14"/>
      <c r="Q222" s="14"/>
      <c r="R222" s="14"/>
      <c r="S222" s="14"/>
      <c r="T222" s="14"/>
      <c r="U222" s="14"/>
      <c r="V222" s="14"/>
      <c r="W222" s="14"/>
      <c r="X222" s="14"/>
      <c r="Y222" s="14"/>
      <c r="Z222" s="14"/>
      <c r="AA222" s="15"/>
      <c r="AB222" s="3"/>
      <c r="AC222" s="3"/>
      <c r="AD222" s="3"/>
      <c r="AE222" s="3"/>
      <c r="AF222" s="3"/>
      <c r="AG222" s="3"/>
      <c r="AH222" s="3"/>
      <c r="AI222" s="3"/>
      <c r="AJ222" s="3"/>
      <c r="AK222" s="3"/>
      <c r="AL222" s="3"/>
      <c r="AM222" s="3"/>
      <c r="AN222" s="3"/>
      <c r="AO222" s="3"/>
    </row>
    <row r="223" spans="2:41" x14ac:dyDescent="0.25">
      <c r="B223" s="13"/>
      <c r="C223" s="14"/>
      <c r="D223" s="14"/>
      <c r="E223" s="56"/>
      <c r="F223" s="56"/>
      <c r="G223" s="14"/>
      <c r="H223" s="56"/>
      <c r="I223" s="14"/>
      <c r="J223" s="14"/>
      <c r="K223" s="14"/>
      <c r="L223" s="14"/>
      <c r="M223" s="14"/>
      <c r="N223" s="14"/>
      <c r="O223" s="14"/>
      <c r="P223" s="14"/>
      <c r="Q223" s="14"/>
      <c r="R223" s="14"/>
      <c r="S223" s="14"/>
      <c r="T223" s="14"/>
      <c r="U223" s="14"/>
      <c r="V223" s="14"/>
      <c r="W223" s="14"/>
      <c r="X223" s="14"/>
      <c r="Y223" s="14"/>
      <c r="Z223" s="14"/>
      <c r="AA223" s="15"/>
      <c r="AB223" s="3"/>
      <c r="AC223" s="3"/>
      <c r="AD223" s="3"/>
      <c r="AE223" s="3"/>
      <c r="AF223" s="3"/>
      <c r="AG223" s="3"/>
      <c r="AH223" s="3"/>
      <c r="AI223" s="3"/>
      <c r="AJ223" s="3"/>
      <c r="AK223" s="3"/>
      <c r="AL223" s="3"/>
      <c r="AM223" s="3"/>
      <c r="AN223" s="3"/>
      <c r="AO223" s="3"/>
    </row>
    <row r="224" spans="2:41" x14ac:dyDescent="0.25">
      <c r="B224" s="13"/>
      <c r="C224" s="14"/>
      <c r="D224" s="60"/>
      <c r="E224" s="56"/>
      <c r="F224" s="56"/>
      <c r="G224" s="14"/>
      <c r="H224" s="14"/>
      <c r="I224" s="14"/>
      <c r="J224" s="14"/>
      <c r="K224" s="14"/>
      <c r="L224" s="14"/>
      <c r="M224" s="14"/>
      <c r="N224" s="14"/>
      <c r="O224" s="14"/>
      <c r="P224" s="14"/>
      <c r="Q224" s="14"/>
      <c r="R224" s="14"/>
      <c r="S224" s="14"/>
      <c r="T224" s="14"/>
      <c r="U224" s="14"/>
      <c r="V224" s="14"/>
      <c r="W224" s="14"/>
      <c r="X224" s="14"/>
      <c r="Y224" s="14"/>
      <c r="Z224" s="14"/>
      <c r="AA224" s="15"/>
      <c r="AB224" s="3"/>
      <c r="AC224" s="3"/>
      <c r="AD224" s="3"/>
      <c r="AE224" s="3"/>
      <c r="AF224" s="3"/>
      <c r="AG224" s="3"/>
      <c r="AH224" s="3"/>
      <c r="AI224" s="3"/>
      <c r="AJ224" s="3"/>
      <c r="AK224" s="3"/>
      <c r="AL224" s="3"/>
      <c r="AM224" s="3"/>
      <c r="AN224" s="3"/>
      <c r="AO224" s="3"/>
    </row>
    <row r="225" spans="2:41" x14ac:dyDescent="0.25">
      <c r="B225" s="13"/>
      <c r="C225" s="14"/>
      <c r="D225" s="60"/>
      <c r="E225" s="56"/>
      <c r="F225" s="56"/>
      <c r="G225" s="14"/>
      <c r="H225" s="56"/>
      <c r="I225" s="14"/>
      <c r="J225" s="14"/>
      <c r="K225" s="14"/>
      <c r="L225" s="14"/>
      <c r="M225" s="14"/>
      <c r="N225" s="14"/>
      <c r="O225" s="14"/>
      <c r="P225" s="14"/>
      <c r="Q225" s="14"/>
      <c r="R225" s="14"/>
      <c r="S225" s="14"/>
      <c r="T225" s="14"/>
      <c r="U225" s="14"/>
      <c r="V225" s="14"/>
      <c r="W225" s="14"/>
      <c r="X225" s="14"/>
      <c r="Y225" s="14"/>
      <c r="Z225" s="14"/>
      <c r="AA225" s="15"/>
      <c r="AB225" s="3"/>
      <c r="AC225" s="3"/>
      <c r="AD225" s="3"/>
      <c r="AE225" s="3"/>
      <c r="AF225" s="3"/>
      <c r="AG225" s="3"/>
      <c r="AH225" s="3"/>
      <c r="AI225" s="3"/>
      <c r="AJ225" s="3"/>
      <c r="AK225" s="3"/>
      <c r="AL225" s="3"/>
      <c r="AM225" s="3"/>
      <c r="AN225" s="3"/>
      <c r="AO225" s="3"/>
    </row>
    <row r="226" spans="2:41" x14ac:dyDescent="0.25">
      <c r="B226" s="13"/>
      <c r="C226" s="14"/>
      <c r="D226" s="60"/>
      <c r="E226" s="56"/>
      <c r="F226" s="56"/>
      <c r="G226" s="14"/>
      <c r="H226" s="56"/>
      <c r="I226" s="14"/>
      <c r="J226" s="14"/>
      <c r="K226" s="14"/>
      <c r="L226" s="14"/>
      <c r="M226" s="14"/>
      <c r="N226" s="14"/>
      <c r="O226" s="14"/>
      <c r="P226" s="14"/>
      <c r="Q226" s="14"/>
      <c r="R226" s="14"/>
      <c r="S226" s="14"/>
      <c r="T226" s="14"/>
      <c r="U226" s="14"/>
      <c r="V226" s="14"/>
      <c r="W226" s="14"/>
      <c r="X226" s="14"/>
      <c r="Y226" s="14"/>
      <c r="Z226" s="14"/>
      <c r="AA226" s="15"/>
      <c r="AB226" s="3"/>
      <c r="AC226" s="3"/>
      <c r="AD226" s="3"/>
      <c r="AE226" s="3"/>
      <c r="AF226" s="3"/>
      <c r="AG226" s="3"/>
      <c r="AH226" s="3"/>
      <c r="AI226" s="3"/>
      <c r="AJ226" s="3"/>
      <c r="AK226" s="3"/>
      <c r="AL226" s="3"/>
      <c r="AM226" s="3"/>
      <c r="AN226" s="3"/>
      <c r="AO226" s="3"/>
    </row>
    <row r="227" spans="2:41" x14ac:dyDescent="0.25">
      <c r="B227" s="13"/>
      <c r="C227" s="14"/>
      <c r="D227" s="60"/>
      <c r="E227" s="56"/>
      <c r="F227" s="56"/>
      <c r="G227" s="14"/>
      <c r="H227" s="56"/>
      <c r="I227" s="14"/>
      <c r="J227" s="14"/>
      <c r="K227" s="14"/>
      <c r="L227" s="14"/>
      <c r="M227" s="14"/>
      <c r="N227" s="14"/>
      <c r="O227" s="14"/>
      <c r="P227" s="14"/>
      <c r="Q227" s="14"/>
      <c r="R227" s="14"/>
      <c r="S227" s="14"/>
      <c r="T227" s="14"/>
      <c r="U227" s="14"/>
      <c r="V227" s="14"/>
      <c r="W227" s="14"/>
      <c r="X227" s="14"/>
      <c r="Y227" s="14"/>
      <c r="Z227" s="14"/>
      <c r="AA227" s="15"/>
      <c r="AB227" s="3"/>
      <c r="AC227" s="3"/>
      <c r="AD227" s="3"/>
      <c r="AE227" s="3"/>
      <c r="AF227" s="3"/>
      <c r="AG227" s="3"/>
      <c r="AH227" s="3"/>
      <c r="AI227" s="3"/>
      <c r="AJ227" s="3"/>
      <c r="AK227" s="3"/>
      <c r="AL227" s="3"/>
      <c r="AM227" s="3"/>
      <c r="AN227" s="3"/>
      <c r="AO227" s="3"/>
    </row>
    <row r="228" spans="2:41" x14ac:dyDescent="0.25">
      <c r="B228" s="70"/>
      <c r="C228" s="56"/>
      <c r="D228" s="60"/>
      <c r="E228" s="56"/>
      <c r="F228" s="56"/>
      <c r="G228" s="56"/>
      <c r="H228" s="56"/>
      <c r="I228" s="42"/>
      <c r="J228" s="14"/>
      <c r="K228" s="14"/>
      <c r="L228" s="14"/>
      <c r="M228" s="14"/>
      <c r="N228" s="14"/>
      <c r="O228" s="14"/>
      <c r="P228" s="14"/>
      <c r="Q228" s="14"/>
      <c r="R228" s="14"/>
      <c r="S228" s="14"/>
      <c r="T228" s="14"/>
      <c r="U228" s="14"/>
      <c r="V228" s="14"/>
      <c r="W228" s="14"/>
      <c r="X228" s="14"/>
      <c r="Y228" s="14"/>
      <c r="Z228" s="14"/>
      <c r="AA228" s="15"/>
      <c r="AB228" s="3"/>
      <c r="AC228" s="3"/>
      <c r="AD228" s="3"/>
      <c r="AE228" s="3"/>
      <c r="AF228" s="3"/>
      <c r="AG228" s="3"/>
      <c r="AH228" s="3"/>
      <c r="AI228" s="3"/>
      <c r="AJ228" s="3"/>
      <c r="AK228" s="3"/>
      <c r="AL228" s="3"/>
      <c r="AM228" s="3"/>
      <c r="AN228" s="3"/>
      <c r="AO228" s="3"/>
    </row>
    <row r="229" spans="2:41" x14ac:dyDescent="0.25">
      <c r="B229" s="70"/>
      <c r="C229" s="56"/>
      <c r="D229" s="60"/>
      <c r="E229" s="56"/>
      <c r="F229" s="56"/>
      <c r="G229" s="56"/>
      <c r="H229" s="56"/>
      <c r="I229" s="42"/>
      <c r="J229" s="14"/>
      <c r="K229" s="14"/>
      <c r="L229" s="14"/>
      <c r="M229" s="14"/>
      <c r="N229" s="14"/>
      <c r="O229" s="14"/>
      <c r="P229" s="14"/>
      <c r="Q229" s="14"/>
      <c r="R229" s="14"/>
      <c r="S229" s="14"/>
      <c r="T229" s="14"/>
      <c r="U229" s="14"/>
      <c r="V229" s="14"/>
      <c r="W229" s="14"/>
      <c r="X229" s="14"/>
      <c r="Y229" s="14"/>
      <c r="Z229" s="14"/>
      <c r="AA229" s="15"/>
      <c r="AB229" s="3"/>
      <c r="AC229" s="3"/>
      <c r="AD229" s="3"/>
      <c r="AE229" s="3"/>
      <c r="AF229" s="3"/>
      <c r="AG229" s="3"/>
      <c r="AH229" s="3"/>
      <c r="AI229" s="3"/>
      <c r="AJ229" s="3"/>
      <c r="AK229" s="3"/>
      <c r="AL229" s="3"/>
      <c r="AM229" s="3"/>
      <c r="AN229" s="3"/>
      <c r="AO229" s="3"/>
    </row>
    <row r="230" spans="2:41" x14ac:dyDescent="0.25">
      <c r="B230" s="13"/>
      <c r="C230" s="14"/>
      <c r="D230" s="14"/>
      <c r="E230" s="56"/>
      <c r="F230" s="56"/>
      <c r="G230" s="14"/>
      <c r="H230" s="56"/>
      <c r="I230" s="14"/>
      <c r="J230" s="14"/>
      <c r="K230" s="14"/>
      <c r="L230" s="14"/>
      <c r="M230" s="14"/>
      <c r="N230" s="14"/>
      <c r="O230" s="14"/>
      <c r="P230" s="14"/>
      <c r="Q230" s="14"/>
      <c r="R230" s="14"/>
      <c r="S230" s="14"/>
      <c r="T230" s="14"/>
      <c r="U230" s="14"/>
      <c r="V230" s="14"/>
      <c r="W230" s="14"/>
      <c r="X230" s="14"/>
      <c r="Y230" s="14"/>
      <c r="Z230" s="14"/>
      <c r="AA230" s="15"/>
      <c r="AB230" s="3"/>
      <c r="AC230" s="3"/>
      <c r="AD230" s="3"/>
      <c r="AE230" s="3"/>
      <c r="AF230" s="3"/>
      <c r="AG230" s="3"/>
      <c r="AH230" s="3"/>
      <c r="AI230" s="3"/>
      <c r="AJ230" s="3"/>
      <c r="AK230" s="3"/>
      <c r="AL230" s="3"/>
      <c r="AM230" s="3"/>
      <c r="AN230" s="3"/>
      <c r="AO230" s="3"/>
    </row>
    <row r="231" spans="2:41" x14ac:dyDescent="0.25">
      <c r="B231" s="13"/>
      <c r="C231" s="14"/>
      <c r="D231" s="60"/>
      <c r="E231" s="56"/>
      <c r="F231" s="56"/>
      <c r="G231" s="14"/>
      <c r="H231" s="56"/>
      <c r="I231" s="14"/>
      <c r="J231" s="14"/>
      <c r="K231" s="14"/>
      <c r="L231" s="14"/>
      <c r="M231" s="14"/>
      <c r="N231" s="14"/>
      <c r="O231" s="14"/>
      <c r="P231" s="14"/>
      <c r="Q231" s="14"/>
      <c r="R231" s="14"/>
      <c r="S231" s="14"/>
      <c r="T231" s="14"/>
      <c r="U231" s="14"/>
      <c r="V231" s="14"/>
      <c r="W231" s="14"/>
      <c r="X231" s="14"/>
      <c r="Y231" s="14"/>
      <c r="Z231" s="14"/>
      <c r="AA231" s="15"/>
      <c r="AB231" s="3"/>
      <c r="AC231" s="3"/>
      <c r="AD231" s="3"/>
      <c r="AE231" s="3"/>
      <c r="AF231" s="3"/>
      <c r="AG231" s="3"/>
      <c r="AH231" s="3"/>
      <c r="AI231" s="3"/>
      <c r="AJ231" s="3"/>
      <c r="AK231" s="3"/>
      <c r="AL231" s="3"/>
      <c r="AM231" s="3"/>
      <c r="AN231" s="3"/>
      <c r="AO231" s="3"/>
    </row>
    <row r="232" spans="2:41" x14ac:dyDescent="0.25">
      <c r="B232" s="13"/>
      <c r="C232" s="14"/>
      <c r="D232" s="60"/>
      <c r="E232" s="56"/>
      <c r="F232" s="56"/>
      <c r="G232" s="14"/>
      <c r="H232" s="56"/>
      <c r="I232" s="14"/>
      <c r="J232" s="14"/>
      <c r="K232" s="14"/>
      <c r="L232" s="14"/>
      <c r="M232" s="14"/>
      <c r="N232" s="14"/>
      <c r="O232" s="14"/>
      <c r="P232" s="14"/>
      <c r="Q232" s="14"/>
      <c r="R232" s="14"/>
      <c r="S232" s="14"/>
      <c r="T232" s="14"/>
      <c r="U232" s="14"/>
      <c r="V232" s="14"/>
      <c r="W232" s="14"/>
      <c r="X232" s="14"/>
      <c r="Y232" s="14"/>
      <c r="Z232" s="14"/>
      <c r="AA232" s="15"/>
      <c r="AB232" s="3"/>
      <c r="AC232" s="3"/>
      <c r="AD232" s="3"/>
      <c r="AE232" s="3"/>
      <c r="AF232" s="3"/>
      <c r="AG232" s="3"/>
      <c r="AH232" s="3"/>
      <c r="AI232" s="3"/>
      <c r="AJ232" s="3"/>
      <c r="AK232" s="3"/>
      <c r="AL232" s="3"/>
      <c r="AM232" s="3"/>
      <c r="AN232" s="3"/>
      <c r="AO232" s="3"/>
    </row>
    <row r="233" spans="2:41" x14ac:dyDescent="0.25">
      <c r="B233" s="13"/>
      <c r="C233" s="14"/>
      <c r="D233" s="60"/>
      <c r="E233" s="56"/>
      <c r="F233" s="56"/>
      <c r="G233" s="14"/>
      <c r="H233" s="56"/>
      <c r="I233" s="14"/>
      <c r="J233" s="14"/>
      <c r="K233" s="14"/>
      <c r="L233" s="14"/>
      <c r="M233" s="14"/>
      <c r="N233" s="14"/>
      <c r="O233" s="14"/>
      <c r="P233" s="14"/>
      <c r="Q233" s="14"/>
      <c r="R233" s="14"/>
      <c r="S233" s="14"/>
      <c r="T233" s="14"/>
      <c r="U233" s="14"/>
      <c r="V233" s="14"/>
      <c r="W233" s="14"/>
      <c r="X233" s="14"/>
      <c r="Y233" s="14"/>
      <c r="Z233" s="14"/>
      <c r="AA233" s="15"/>
      <c r="AB233" s="3"/>
      <c r="AC233" s="3"/>
      <c r="AD233" s="3"/>
      <c r="AE233" s="3"/>
      <c r="AF233" s="3"/>
      <c r="AG233" s="3"/>
      <c r="AH233" s="3"/>
      <c r="AI233" s="3"/>
      <c r="AJ233" s="3"/>
      <c r="AK233" s="3"/>
      <c r="AL233" s="3"/>
      <c r="AM233" s="3"/>
      <c r="AN233" s="3"/>
      <c r="AO233" s="3"/>
    </row>
    <row r="234" spans="2:41" x14ac:dyDescent="0.25">
      <c r="B234" s="13"/>
      <c r="C234" s="14"/>
      <c r="D234" s="60"/>
      <c r="E234" s="56"/>
      <c r="F234" s="56"/>
      <c r="G234" s="14"/>
      <c r="H234" s="56"/>
      <c r="I234" s="14"/>
      <c r="J234" s="14"/>
      <c r="K234" s="14"/>
      <c r="L234" s="14"/>
      <c r="M234" s="14"/>
      <c r="N234" s="14"/>
      <c r="O234" s="14"/>
      <c r="P234" s="14"/>
      <c r="Q234" s="14"/>
      <c r="R234" s="14"/>
      <c r="S234" s="14"/>
      <c r="T234" s="14"/>
      <c r="U234" s="14"/>
      <c r="V234" s="14"/>
      <c r="W234" s="14"/>
      <c r="X234" s="14"/>
      <c r="Y234" s="14"/>
      <c r="Z234" s="14"/>
      <c r="AA234" s="15"/>
      <c r="AB234" s="3"/>
      <c r="AC234" s="3"/>
      <c r="AD234" s="3"/>
      <c r="AE234" s="3"/>
      <c r="AF234" s="3"/>
      <c r="AG234" s="3"/>
      <c r="AH234" s="3"/>
      <c r="AI234" s="3"/>
      <c r="AJ234" s="3"/>
      <c r="AK234" s="3"/>
      <c r="AL234" s="3"/>
      <c r="AM234" s="3"/>
      <c r="AN234" s="3"/>
      <c r="AO234" s="3"/>
    </row>
    <row r="235" spans="2:41" x14ac:dyDescent="0.25">
      <c r="B235" s="13"/>
      <c r="C235" s="14"/>
      <c r="D235" s="60"/>
      <c r="E235" s="56"/>
      <c r="F235" s="56"/>
      <c r="G235" s="128"/>
      <c r="H235" s="56"/>
      <c r="I235" s="14"/>
      <c r="J235" s="14"/>
      <c r="K235" s="14"/>
      <c r="L235" s="14"/>
      <c r="M235" s="14"/>
      <c r="N235" s="14"/>
      <c r="O235" s="14"/>
      <c r="P235" s="14"/>
      <c r="Q235" s="14"/>
      <c r="R235" s="14"/>
      <c r="S235" s="14"/>
      <c r="T235" s="14"/>
      <c r="U235" s="14"/>
      <c r="V235" s="14"/>
      <c r="W235" s="14"/>
      <c r="X235" s="14"/>
      <c r="Y235" s="14"/>
      <c r="Z235" s="14"/>
      <c r="AA235" s="15"/>
      <c r="AB235" s="3"/>
      <c r="AC235" s="3"/>
      <c r="AD235" s="3"/>
      <c r="AE235" s="3"/>
      <c r="AF235" s="3"/>
      <c r="AG235" s="3"/>
      <c r="AH235" s="3"/>
      <c r="AI235" s="3"/>
      <c r="AJ235" s="3"/>
      <c r="AK235" s="3"/>
      <c r="AL235" s="3"/>
      <c r="AM235" s="3"/>
      <c r="AN235" s="3"/>
      <c r="AO235" s="3"/>
    </row>
    <row r="236" spans="2:41" x14ac:dyDescent="0.25">
      <c r="B236" s="13"/>
      <c r="C236" s="14"/>
      <c r="D236" s="60"/>
      <c r="E236" s="56"/>
      <c r="F236" s="56"/>
      <c r="G236" s="14"/>
      <c r="H236" s="56"/>
      <c r="I236" s="14"/>
      <c r="J236" s="14"/>
      <c r="K236" s="14"/>
      <c r="L236" s="14"/>
      <c r="M236" s="14"/>
      <c r="N236" s="14"/>
      <c r="O236" s="14"/>
      <c r="P236" s="14"/>
      <c r="Q236" s="14"/>
      <c r="R236" s="14"/>
      <c r="S236" s="14"/>
      <c r="T236" s="14"/>
      <c r="U236" s="14"/>
      <c r="V236" s="14"/>
      <c r="W236" s="14"/>
      <c r="X236" s="14"/>
      <c r="Y236" s="14"/>
      <c r="Z236" s="14"/>
      <c r="AA236" s="15"/>
      <c r="AB236" s="3"/>
      <c r="AC236" s="3"/>
      <c r="AD236" s="3"/>
      <c r="AE236" s="3"/>
      <c r="AF236" s="3"/>
      <c r="AG236" s="3"/>
      <c r="AH236" s="3"/>
      <c r="AI236" s="3"/>
      <c r="AJ236" s="3"/>
      <c r="AK236" s="3"/>
      <c r="AL236" s="3"/>
      <c r="AM236" s="3"/>
      <c r="AN236" s="3"/>
      <c r="AO236" s="3"/>
    </row>
    <row r="237" spans="2:41" x14ac:dyDescent="0.25">
      <c r="B237" s="13"/>
      <c r="C237" s="14"/>
      <c r="D237" s="14"/>
      <c r="E237" s="56"/>
      <c r="F237" s="56"/>
      <c r="G237" s="14"/>
      <c r="H237" s="56"/>
      <c r="I237" s="14"/>
      <c r="J237" s="14"/>
      <c r="K237" s="14"/>
      <c r="L237" s="14"/>
      <c r="M237" s="14"/>
      <c r="N237" s="14"/>
      <c r="O237" s="14"/>
      <c r="P237" s="14"/>
      <c r="Q237" s="14"/>
      <c r="R237" s="14"/>
      <c r="S237" s="14"/>
      <c r="T237" s="14"/>
      <c r="U237" s="14"/>
      <c r="V237" s="14"/>
      <c r="W237" s="14"/>
      <c r="X237" s="14"/>
      <c r="Y237" s="14"/>
      <c r="Z237" s="14"/>
      <c r="AA237" s="15"/>
      <c r="AB237" s="3"/>
      <c r="AC237" s="3"/>
      <c r="AD237" s="3"/>
      <c r="AE237" s="3"/>
      <c r="AF237" s="3"/>
      <c r="AG237" s="3"/>
      <c r="AH237" s="3"/>
      <c r="AI237" s="3"/>
      <c r="AJ237" s="3"/>
      <c r="AK237" s="3"/>
      <c r="AL237" s="3"/>
      <c r="AM237" s="3"/>
      <c r="AN237" s="3"/>
      <c r="AO237" s="3"/>
    </row>
    <row r="238" spans="2:41" x14ac:dyDescent="0.25">
      <c r="B238" s="13"/>
      <c r="C238" s="14"/>
      <c r="D238" s="60"/>
      <c r="E238" s="56"/>
      <c r="F238" s="56"/>
      <c r="G238" s="14"/>
      <c r="H238" s="56"/>
      <c r="I238" s="14"/>
      <c r="J238" s="14"/>
      <c r="K238" s="14"/>
      <c r="L238" s="14"/>
      <c r="M238" s="14"/>
      <c r="N238" s="14"/>
      <c r="O238" s="14"/>
      <c r="P238" s="14"/>
      <c r="Q238" s="14"/>
      <c r="R238" s="14"/>
      <c r="S238" s="14"/>
      <c r="T238" s="14"/>
      <c r="U238" s="14"/>
      <c r="V238" s="14"/>
      <c r="W238" s="14"/>
      <c r="X238" s="14"/>
      <c r="Y238" s="14"/>
      <c r="Z238" s="14"/>
      <c r="AA238" s="15"/>
      <c r="AB238" s="3"/>
      <c r="AC238" s="3"/>
      <c r="AD238" s="3"/>
      <c r="AE238" s="3"/>
      <c r="AF238" s="3"/>
      <c r="AG238" s="3"/>
      <c r="AH238" s="3"/>
      <c r="AI238" s="3"/>
      <c r="AJ238" s="3"/>
      <c r="AK238" s="3"/>
      <c r="AL238" s="3"/>
      <c r="AM238" s="3"/>
      <c r="AN238" s="3"/>
      <c r="AO238" s="3"/>
    </row>
    <row r="239" spans="2:41" x14ac:dyDescent="0.25">
      <c r="B239" s="13"/>
      <c r="C239" s="14"/>
      <c r="D239" s="60"/>
      <c r="E239" s="56"/>
      <c r="F239" s="56"/>
      <c r="G239" s="14"/>
      <c r="H239" s="56"/>
      <c r="I239" s="14"/>
      <c r="J239" s="14"/>
      <c r="K239" s="14"/>
      <c r="L239" s="14"/>
      <c r="M239" s="14"/>
      <c r="N239" s="14"/>
      <c r="O239" s="14"/>
      <c r="P239" s="14"/>
      <c r="Q239" s="14"/>
      <c r="R239" s="14"/>
      <c r="S239" s="14"/>
      <c r="T239" s="14"/>
      <c r="U239" s="14"/>
      <c r="V239" s="14"/>
      <c r="W239" s="14"/>
      <c r="X239" s="14"/>
      <c r="Y239" s="14"/>
      <c r="Z239" s="14"/>
      <c r="AA239" s="15"/>
      <c r="AB239" s="3"/>
      <c r="AC239" s="3"/>
      <c r="AD239" s="3"/>
      <c r="AE239" s="3"/>
      <c r="AF239" s="3"/>
      <c r="AG239" s="3"/>
      <c r="AH239" s="3"/>
      <c r="AI239" s="3"/>
      <c r="AJ239" s="3"/>
      <c r="AK239" s="3"/>
      <c r="AL239" s="3"/>
      <c r="AM239" s="3"/>
      <c r="AN239" s="3"/>
      <c r="AO239" s="3"/>
    </row>
    <row r="240" spans="2:41" x14ac:dyDescent="0.25">
      <c r="B240" s="13"/>
      <c r="C240" s="14"/>
      <c r="D240" s="60"/>
      <c r="E240" s="56"/>
      <c r="F240" s="56"/>
      <c r="G240" s="14"/>
      <c r="H240" s="56"/>
      <c r="I240" s="14"/>
      <c r="J240" s="14"/>
      <c r="K240" s="14"/>
      <c r="L240" s="14"/>
      <c r="M240" s="14"/>
      <c r="N240" s="14"/>
      <c r="O240" s="14"/>
      <c r="P240" s="14"/>
      <c r="Q240" s="14"/>
      <c r="R240" s="14"/>
      <c r="S240" s="14"/>
      <c r="T240" s="14"/>
      <c r="U240" s="14"/>
      <c r="V240" s="14"/>
      <c r="W240" s="14"/>
      <c r="X240" s="14"/>
      <c r="Y240" s="14"/>
      <c r="Z240" s="14"/>
      <c r="AA240" s="15"/>
      <c r="AB240" s="3"/>
      <c r="AC240" s="3"/>
      <c r="AD240" s="3"/>
      <c r="AE240" s="3"/>
      <c r="AF240" s="3"/>
      <c r="AG240" s="3"/>
      <c r="AH240" s="3"/>
      <c r="AI240" s="3"/>
      <c r="AJ240" s="3"/>
      <c r="AK240" s="3"/>
      <c r="AL240" s="3"/>
      <c r="AM240" s="3"/>
      <c r="AN240" s="3"/>
      <c r="AO240" s="3"/>
    </row>
    <row r="241" spans="2:41" x14ac:dyDescent="0.25">
      <c r="B241" s="13"/>
      <c r="C241" s="14"/>
      <c r="D241" s="60"/>
      <c r="E241" s="56"/>
      <c r="F241" s="56"/>
      <c r="G241" s="14"/>
      <c r="H241" s="56"/>
      <c r="I241" s="14"/>
      <c r="J241" s="14"/>
      <c r="K241" s="14"/>
      <c r="L241" s="14"/>
      <c r="M241" s="14"/>
      <c r="N241" s="14"/>
      <c r="O241" s="14"/>
      <c r="P241" s="14"/>
      <c r="Q241" s="14"/>
      <c r="R241" s="14"/>
      <c r="S241" s="14"/>
      <c r="T241" s="14"/>
      <c r="U241" s="14"/>
      <c r="V241" s="14"/>
      <c r="W241" s="14"/>
      <c r="X241" s="14"/>
      <c r="Y241" s="14"/>
      <c r="Z241" s="14"/>
      <c r="AA241" s="15"/>
      <c r="AB241" s="3"/>
      <c r="AC241" s="3"/>
      <c r="AD241" s="3"/>
      <c r="AE241" s="3"/>
      <c r="AF241" s="3"/>
      <c r="AG241" s="3"/>
      <c r="AH241" s="3"/>
      <c r="AI241" s="3"/>
      <c r="AJ241" s="3"/>
      <c r="AK241" s="3"/>
      <c r="AL241" s="3"/>
      <c r="AM241" s="3"/>
      <c r="AN241" s="3"/>
      <c r="AO241" s="3"/>
    </row>
    <row r="242" spans="2:41" x14ac:dyDescent="0.25">
      <c r="B242" s="13"/>
      <c r="C242" s="14"/>
      <c r="D242" s="60"/>
      <c r="E242" s="56"/>
      <c r="F242" s="56"/>
      <c r="G242" s="128"/>
      <c r="H242" s="56"/>
      <c r="I242" s="14"/>
      <c r="J242" s="14"/>
      <c r="K242" s="14"/>
      <c r="L242" s="14"/>
      <c r="M242" s="14"/>
      <c r="N242" s="14"/>
      <c r="O242" s="14"/>
      <c r="P242" s="14"/>
      <c r="Q242" s="14"/>
      <c r="R242" s="14"/>
      <c r="S242" s="14"/>
      <c r="T242" s="14"/>
      <c r="U242" s="14"/>
      <c r="V242" s="14"/>
      <c r="W242" s="14"/>
      <c r="X242" s="14"/>
      <c r="Y242" s="14"/>
      <c r="Z242" s="14"/>
      <c r="AA242" s="15"/>
      <c r="AB242" s="3"/>
      <c r="AC242" s="3"/>
      <c r="AD242" s="3"/>
      <c r="AE242" s="3"/>
      <c r="AF242" s="3"/>
      <c r="AG242" s="3"/>
      <c r="AH242" s="3"/>
      <c r="AI242" s="3"/>
      <c r="AJ242" s="3"/>
      <c r="AK242" s="3"/>
      <c r="AL242" s="3"/>
      <c r="AM242" s="3"/>
      <c r="AN242" s="3"/>
      <c r="AO242" s="3"/>
    </row>
    <row r="243" spans="2:41" x14ac:dyDescent="0.25">
      <c r="B243" s="13"/>
      <c r="C243" s="14"/>
      <c r="D243" s="60"/>
      <c r="E243" s="56"/>
      <c r="F243" s="56"/>
      <c r="G243" s="14"/>
      <c r="H243" s="56"/>
      <c r="I243" s="14"/>
      <c r="J243" s="14"/>
      <c r="K243" s="14"/>
      <c r="L243" s="14"/>
      <c r="M243" s="14"/>
      <c r="N243" s="14"/>
      <c r="O243" s="14"/>
      <c r="P243" s="14"/>
      <c r="Q243" s="14"/>
      <c r="R243" s="14"/>
      <c r="S243" s="14"/>
      <c r="T243" s="14"/>
      <c r="U243" s="14"/>
      <c r="V243" s="14"/>
      <c r="W243" s="14"/>
      <c r="X243" s="14"/>
      <c r="Y243" s="14"/>
      <c r="Z243" s="14"/>
      <c r="AA243" s="15"/>
      <c r="AB243" s="3"/>
      <c r="AC243" s="3"/>
      <c r="AD243" s="3"/>
      <c r="AE243" s="3"/>
      <c r="AF243" s="3"/>
      <c r="AG243" s="3"/>
      <c r="AH243" s="3"/>
      <c r="AI243" s="3"/>
      <c r="AJ243" s="3"/>
      <c r="AK243" s="3"/>
      <c r="AL243" s="3"/>
      <c r="AM243" s="3"/>
      <c r="AN243" s="3"/>
      <c r="AO243" s="3"/>
    </row>
    <row r="244" spans="2:41" x14ac:dyDescent="0.25">
      <c r="B244" s="13"/>
      <c r="C244" s="57"/>
      <c r="D244" s="57"/>
      <c r="E244" s="56"/>
      <c r="F244" s="57"/>
      <c r="G244" s="57"/>
      <c r="H244" s="57"/>
      <c r="I244" s="14"/>
      <c r="J244" s="14"/>
      <c r="K244" s="14"/>
      <c r="L244" s="14"/>
      <c r="M244" s="14"/>
      <c r="N244" s="14"/>
      <c r="O244" s="14"/>
      <c r="P244" s="14"/>
      <c r="Q244" s="14"/>
      <c r="R244" s="14"/>
      <c r="S244" s="14"/>
      <c r="T244" s="14"/>
      <c r="U244" s="14"/>
      <c r="V244" s="14"/>
      <c r="W244" s="14"/>
      <c r="X244" s="14"/>
      <c r="Y244" s="14"/>
      <c r="Z244" s="14"/>
      <c r="AA244" s="15"/>
      <c r="AB244" s="3"/>
      <c r="AC244" s="3"/>
      <c r="AD244" s="3"/>
      <c r="AE244" s="3"/>
      <c r="AF244" s="3"/>
      <c r="AG244" s="3"/>
      <c r="AH244" s="3"/>
      <c r="AI244" s="3"/>
      <c r="AJ244" s="3"/>
      <c r="AK244" s="3"/>
      <c r="AL244" s="3"/>
      <c r="AM244" s="3"/>
      <c r="AN244" s="3"/>
      <c r="AO244" s="3"/>
    </row>
    <row r="245" spans="2:41" x14ac:dyDescent="0.25">
      <c r="B245" s="13"/>
      <c r="C245" s="57"/>
      <c r="D245" s="69"/>
      <c r="E245" s="56"/>
      <c r="F245" s="57"/>
      <c r="G245" s="57"/>
      <c r="H245" s="57"/>
      <c r="I245" s="14"/>
      <c r="J245" s="14"/>
      <c r="K245" s="14"/>
      <c r="L245" s="14"/>
      <c r="M245" s="14"/>
      <c r="N245" s="14"/>
      <c r="O245" s="14"/>
      <c r="P245" s="14"/>
      <c r="Q245" s="14"/>
      <c r="R245" s="14"/>
      <c r="S245" s="14"/>
      <c r="T245" s="14"/>
      <c r="U245" s="14"/>
      <c r="V245" s="14"/>
      <c r="W245" s="14"/>
      <c r="X245" s="14"/>
      <c r="Y245" s="14"/>
      <c r="Z245" s="14"/>
      <c r="AA245" s="15"/>
      <c r="AB245" s="3"/>
      <c r="AC245" s="3"/>
      <c r="AD245" s="3"/>
      <c r="AE245" s="3"/>
      <c r="AF245" s="3"/>
      <c r="AG245" s="3"/>
      <c r="AH245" s="3"/>
      <c r="AI245" s="3"/>
      <c r="AJ245" s="3"/>
      <c r="AK245" s="3"/>
      <c r="AL245" s="3"/>
      <c r="AM245" s="3"/>
      <c r="AN245" s="3"/>
      <c r="AO245" s="3"/>
    </row>
    <row r="246" spans="2:41" x14ac:dyDescent="0.25">
      <c r="B246" s="13"/>
      <c r="C246" s="57"/>
      <c r="D246" s="69"/>
      <c r="E246" s="56"/>
      <c r="F246" s="57"/>
      <c r="G246" s="57"/>
      <c r="H246" s="57"/>
      <c r="I246" s="14"/>
      <c r="J246" s="14"/>
      <c r="K246" s="14"/>
      <c r="L246" s="14"/>
      <c r="M246" s="14"/>
      <c r="N246" s="14"/>
      <c r="O246" s="14"/>
      <c r="P246" s="14"/>
      <c r="Q246" s="14"/>
      <c r="R246" s="14"/>
      <c r="S246" s="14"/>
      <c r="T246" s="14"/>
      <c r="U246" s="14"/>
      <c r="V246" s="14"/>
      <c r="W246" s="14"/>
      <c r="X246" s="14"/>
      <c r="Y246" s="14"/>
      <c r="Z246" s="14"/>
      <c r="AA246" s="15"/>
      <c r="AB246" s="3"/>
      <c r="AC246" s="3"/>
      <c r="AD246" s="3"/>
      <c r="AE246" s="3"/>
      <c r="AF246" s="3"/>
      <c r="AG246" s="3"/>
      <c r="AH246" s="3"/>
      <c r="AI246" s="3"/>
      <c r="AJ246" s="3"/>
      <c r="AK246" s="3"/>
      <c r="AL246" s="3"/>
      <c r="AM246" s="3"/>
      <c r="AN246" s="3"/>
      <c r="AO246" s="3"/>
    </row>
    <row r="247" spans="2:41" x14ac:dyDescent="0.25">
      <c r="B247" s="13"/>
      <c r="C247" s="57"/>
      <c r="D247" s="69"/>
      <c r="E247" s="56"/>
      <c r="F247" s="57"/>
      <c r="G247" s="57"/>
      <c r="H247" s="57"/>
      <c r="I247" s="14"/>
      <c r="J247" s="14"/>
      <c r="K247" s="14"/>
      <c r="L247" s="14"/>
      <c r="M247" s="14"/>
      <c r="N247" s="14"/>
      <c r="O247" s="14"/>
      <c r="P247" s="14"/>
      <c r="Q247" s="14"/>
      <c r="R247" s="14"/>
      <c r="S247" s="14"/>
      <c r="T247" s="14"/>
      <c r="U247" s="14"/>
      <c r="V247" s="14"/>
      <c r="W247" s="14"/>
      <c r="X247" s="14"/>
      <c r="Y247" s="14"/>
      <c r="Z247" s="14"/>
      <c r="AA247" s="15"/>
      <c r="AB247" s="3"/>
      <c r="AC247" s="3"/>
      <c r="AD247" s="3"/>
      <c r="AE247" s="3"/>
      <c r="AF247" s="3"/>
      <c r="AG247" s="3"/>
      <c r="AH247" s="3"/>
      <c r="AI247" s="3"/>
      <c r="AJ247" s="3"/>
      <c r="AK247" s="3"/>
      <c r="AL247" s="3"/>
      <c r="AM247" s="3"/>
      <c r="AN247" s="3"/>
      <c r="AO247" s="3"/>
    </row>
    <row r="248" spans="2:41" x14ac:dyDescent="0.25">
      <c r="B248" s="13"/>
      <c r="C248" s="57"/>
      <c r="D248" s="69"/>
      <c r="E248" s="56"/>
      <c r="F248" s="57"/>
      <c r="G248" s="57"/>
      <c r="H248" s="57"/>
      <c r="I248" s="14"/>
      <c r="J248" s="14"/>
      <c r="K248" s="14"/>
      <c r="L248" s="14"/>
      <c r="M248" s="14"/>
      <c r="N248" s="14"/>
      <c r="O248" s="14"/>
      <c r="P248" s="14"/>
      <c r="Q248" s="14"/>
      <c r="R248" s="14"/>
      <c r="S248" s="14"/>
      <c r="T248" s="14"/>
      <c r="U248" s="14"/>
      <c r="V248" s="14"/>
      <c r="W248" s="14"/>
      <c r="X248" s="14"/>
      <c r="Y248" s="14"/>
      <c r="Z248" s="14"/>
      <c r="AA248" s="15"/>
      <c r="AB248" s="3"/>
      <c r="AC248" s="3"/>
      <c r="AD248" s="3"/>
      <c r="AE248" s="3"/>
      <c r="AF248" s="3"/>
      <c r="AG248" s="3"/>
      <c r="AH248" s="3"/>
      <c r="AI248" s="3"/>
      <c r="AJ248" s="3"/>
      <c r="AK248" s="3"/>
      <c r="AL248" s="3"/>
      <c r="AM248" s="3"/>
      <c r="AN248" s="3"/>
      <c r="AO248" s="3"/>
    </row>
    <row r="249" spans="2:41" x14ac:dyDescent="0.25">
      <c r="B249" s="13"/>
      <c r="C249" s="57"/>
      <c r="D249" s="69"/>
      <c r="E249" s="56"/>
      <c r="F249" s="57"/>
      <c r="G249" s="130"/>
      <c r="H249" s="57"/>
      <c r="I249" s="14"/>
      <c r="J249" s="14"/>
      <c r="K249" s="14"/>
      <c r="L249" s="14"/>
      <c r="M249" s="14"/>
      <c r="N249" s="14"/>
      <c r="O249" s="14"/>
      <c r="P249" s="14"/>
      <c r="Q249" s="14"/>
      <c r="R249" s="14"/>
      <c r="S249" s="14"/>
      <c r="T249" s="14"/>
      <c r="U249" s="14"/>
      <c r="V249" s="14"/>
      <c r="W249" s="14"/>
      <c r="X249" s="14"/>
      <c r="Y249" s="14"/>
      <c r="Z249" s="14"/>
      <c r="AA249" s="15"/>
      <c r="AB249" s="3"/>
      <c r="AC249" s="3"/>
      <c r="AD249" s="3"/>
      <c r="AE249" s="3"/>
      <c r="AF249" s="3"/>
      <c r="AG249" s="3"/>
      <c r="AH249" s="3"/>
      <c r="AI249" s="3"/>
      <c r="AJ249" s="3"/>
      <c r="AK249" s="3"/>
      <c r="AL249" s="3"/>
      <c r="AM249" s="3"/>
      <c r="AN249" s="3"/>
      <c r="AO249" s="3"/>
    </row>
    <row r="250" spans="2:41" x14ac:dyDescent="0.25">
      <c r="B250" s="13"/>
      <c r="C250" s="14"/>
      <c r="D250" s="60"/>
      <c r="E250" s="56"/>
      <c r="F250" s="56"/>
      <c r="G250" s="14"/>
      <c r="H250" s="56"/>
      <c r="I250" s="14"/>
      <c r="J250" s="14"/>
      <c r="K250" s="14"/>
      <c r="L250" s="14"/>
      <c r="M250" s="14"/>
      <c r="N250" s="14"/>
      <c r="O250" s="14"/>
      <c r="P250" s="14"/>
      <c r="Q250" s="14"/>
      <c r="R250" s="14"/>
      <c r="S250" s="14"/>
      <c r="T250" s="14"/>
      <c r="U250" s="14"/>
      <c r="V250" s="14"/>
      <c r="W250" s="14"/>
      <c r="X250" s="14"/>
      <c r="Y250" s="14"/>
      <c r="Z250" s="14"/>
      <c r="AA250" s="15"/>
      <c r="AB250" s="3"/>
      <c r="AC250" s="3"/>
      <c r="AD250" s="3"/>
      <c r="AE250" s="3"/>
      <c r="AF250" s="3"/>
      <c r="AG250" s="3"/>
      <c r="AH250" s="3"/>
      <c r="AI250" s="3"/>
      <c r="AJ250" s="3"/>
      <c r="AK250" s="3"/>
      <c r="AL250" s="3"/>
      <c r="AM250" s="3"/>
      <c r="AN250" s="3"/>
      <c r="AO250" s="3"/>
    </row>
    <row r="251" spans="2:41" x14ac:dyDescent="0.25">
      <c r="B251" s="13"/>
      <c r="C251" s="14"/>
      <c r="D251" s="14"/>
      <c r="E251" s="56"/>
      <c r="F251" s="56"/>
      <c r="G251" s="14"/>
      <c r="H251" s="56"/>
      <c r="I251" s="14"/>
      <c r="J251" s="14"/>
      <c r="K251" s="14"/>
      <c r="L251" s="14"/>
      <c r="M251" s="14"/>
      <c r="N251" s="14"/>
      <c r="O251" s="14"/>
      <c r="P251" s="14"/>
      <c r="Q251" s="14"/>
      <c r="R251" s="14"/>
      <c r="S251" s="14"/>
      <c r="T251" s="14"/>
      <c r="U251" s="14"/>
      <c r="V251" s="14"/>
      <c r="W251" s="14"/>
      <c r="X251" s="14"/>
      <c r="Y251" s="14"/>
      <c r="Z251" s="14"/>
      <c r="AA251" s="15"/>
      <c r="AB251" s="3"/>
      <c r="AC251" s="3"/>
      <c r="AD251" s="3"/>
      <c r="AE251" s="3"/>
      <c r="AF251" s="3"/>
      <c r="AG251" s="3"/>
      <c r="AH251" s="3"/>
      <c r="AI251" s="3"/>
      <c r="AJ251" s="3"/>
      <c r="AK251" s="3"/>
      <c r="AL251" s="3"/>
      <c r="AM251" s="3"/>
      <c r="AN251" s="3"/>
      <c r="AO251" s="3"/>
    </row>
    <row r="252" spans="2:41" x14ac:dyDescent="0.25">
      <c r="B252" s="13"/>
      <c r="C252" s="14"/>
      <c r="D252" s="60"/>
      <c r="E252" s="56"/>
      <c r="F252" s="56"/>
      <c r="G252" s="14"/>
      <c r="H252" s="56"/>
      <c r="I252" s="14"/>
      <c r="J252" s="14"/>
      <c r="K252" s="14"/>
      <c r="L252" s="14"/>
      <c r="M252" s="14"/>
      <c r="N252" s="14"/>
      <c r="O252" s="14"/>
      <c r="P252" s="14"/>
      <c r="Q252" s="14"/>
      <c r="R252" s="14"/>
      <c r="S252" s="14"/>
      <c r="T252" s="14"/>
      <c r="U252" s="14"/>
      <c r="V252" s="14"/>
      <c r="W252" s="14"/>
      <c r="X252" s="14"/>
      <c r="Y252" s="14"/>
      <c r="Z252" s="14"/>
      <c r="AA252" s="15"/>
      <c r="AB252" s="3"/>
      <c r="AC252" s="3"/>
      <c r="AD252" s="3"/>
      <c r="AE252" s="3"/>
      <c r="AF252" s="3"/>
      <c r="AG252" s="3"/>
      <c r="AH252" s="3"/>
      <c r="AI252" s="3"/>
      <c r="AJ252" s="3"/>
      <c r="AK252" s="3"/>
      <c r="AL252" s="3"/>
      <c r="AM252" s="3"/>
      <c r="AN252" s="3"/>
      <c r="AO252" s="3"/>
    </row>
    <row r="253" spans="2:41" x14ac:dyDescent="0.25">
      <c r="B253" s="13"/>
      <c r="C253" s="14"/>
      <c r="D253" s="60"/>
      <c r="E253" s="56"/>
      <c r="F253" s="56"/>
      <c r="G253" s="14"/>
      <c r="H253" s="56"/>
      <c r="I253" s="14"/>
      <c r="J253" s="14"/>
      <c r="K253" s="14"/>
      <c r="L253" s="14"/>
      <c r="M253" s="14"/>
      <c r="N253" s="14"/>
      <c r="O253" s="14"/>
      <c r="P253" s="14"/>
      <c r="Q253" s="14"/>
      <c r="R253" s="14"/>
      <c r="S253" s="14"/>
      <c r="T253" s="14"/>
      <c r="U253" s="14"/>
      <c r="V253" s="14"/>
      <c r="W253" s="14"/>
      <c r="X253" s="14"/>
      <c r="Y253" s="14"/>
      <c r="Z253" s="14"/>
      <c r="AA253" s="15"/>
      <c r="AB253" s="3"/>
      <c r="AC253" s="3"/>
      <c r="AD253" s="3"/>
      <c r="AE253" s="3"/>
      <c r="AF253" s="3"/>
      <c r="AG253" s="3"/>
      <c r="AH253" s="3"/>
      <c r="AI253" s="3"/>
      <c r="AJ253" s="3"/>
      <c r="AK253" s="3"/>
      <c r="AL253" s="3"/>
      <c r="AM253" s="3"/>
      <c r="AN253" s="3"/>
      <c r="AO253" s="3"/>
    </row>
    <row r="254" spans="2:41" x14ac:dyDescent="0.25">
      <c r="B254" s="13"/>
      <c r="C254" s="14"/>
      <c r="D254" s="60"/>
      <c r="E254" s="56"/>
      <c r="F254" s="56"/>
      <c r="G254" s="14"/>
      <c r="H254" s="56"/>
      <c r="I254" s="14"/>
      <c r="J254" s="14"/>
      <c r="K254" s="14"/>
      <c r="L254" s="14"/>
      <c r="M254" s="14"/>
      <c r="N254" s="14"/>
      <c r="O254" s="14"/>
      <c r="P254" s="14"/>
      <c r="Q254" s="14"/>
      <c r="R254" s="14"/>
      <c r="S254" s="14"/>
      <c r="T254" s="14"/>
      <c r="U254" s="14"/>
      <c r="V254" s="14"/>
      <c r="W254" s="14"/>
      <c r="X254" s="14"/>
      <c r="Y254" s="14"/>
      <c r="Z254" s="14"/>
      <c r="AA254" s="15"/>
      <c r="AB254" s="3"/>
      <c r="AC254" s="3"/>
      <c r="AD254" s="3"/>
      <c r="AE254" s="3"/>
      <c r="AF254" s="3"/>
      <c r="AG254" s="3"/>
      <c r="AH254" s="3"/>
      <c r="AI254" s="3"/>
      <c r="AJ254" s="3"/>
      <c r="AK254" s="3"/>
      <c r="AL254" s="3"/>
      <c r="AM254" s="3"/>
      <c r="AN254" s="3"/>
      <c r="AO254" s="3"/>
    </row>
    <row r="255" spans="2:41" x14ac:dyDescent="0.25">
      <c r="B255" s="13"/>
      <c r="C255" s="14"/>
      <c r="D255" s="60"/>
      <c r="E255" s="56"/>
      <c r="F255" s="56"/>
      <c r="G255" s="14"/>
      <c r="H255" s="56"/>
      <c r="I255" s="14"/>
      <c r="J255" s="14"/>
      <c r="K255" s="14"/>
      <c r="L255" s="14"/>
      <c r="M255" s="14"/>
      <c r="N255" s="14"/>
      <c r="O255" s="14"/>
      <c r="P255" s="14"/>
      <c r="Q255" s="14"/>
      <c r="R255" s="14"/>
      <c r="S255" s="14"/>
      <c r="T255" s="14"/>
      <c r="U255" s="14"/>
      <c r="V255" s="14"/>
      <c r="W255" s="14"/>
      <c r="X255" s="14"/>
      <c r="Y255" s="14"/>
      <c r="Z255" s="14"/>
      <c r="AA255" s="15"/>
      <c r="AB255" s="3"/>
      <c r="AC255" s="3"/>
      <c r="AD255" s="3"/>
      <c r="AE255" s="3"/>
      <c r="AF255" s="3"/>
      <c r="AG255" s="3"/>
      <c r="AH255" s="3"/>
      <c r="AI255" s="3"/>
      <c r="AJ255" s="3"/>
      <c r="AK255" s="3"/>
      <c r="AL255" s="3"/>
      <c r="AM255" s="3"/>
      <c r="AN255" s="3"/>
      <c r="AO255" s="3"/>
    </row>
    <row r="256" spans="2:41" x14ac:dyDescent="0.25">
      <c r="B256" s="13"/>
      <c r="C256" s="14"/>
      <c r="D256" s="60"/>
      <c r="E256" s="56"/>
      <c r="F256" s="56"/>
      <c r="G256" s="128"/>
      <c r="H256" s="56"/>
      <c r="I256" s="14"/>
      <c r="J256" s="14"/>
      <c r="K256" s="14"/>
      <c r="L256" s="14"/>
      <c r="M256" s="14"/>
      <c r="N256" s="14"/>
      <c r="O256" s="14"/>
      <c r="P256" s="14"/>
      <c r="Q256" s="14"/>
      <c r="R256" s="14"/>
      <c r="S256" s="14"/>
      <c r="T256" s="14"/>
      <c r="U256" s="14"/>
      <c r="V256" s="14"/>
      <c r="W256" s="14"/>
      <c r="X256" s="14"/>
      <c r="Y256" s="14"/>
      <c r="Z256" s="14"/>
      <c r="AA256" s="15"/>
      <c r="AB256" s="3"/>
      <c r="AC256" s="3"/>
      <c r="AD256" s="3"/>
      <c r="AE256" s="3"/>
      <c r="AF256" s="3"/>
      <c r="AG256" s="3"/>
      <c r="AH256" s="3"/>
      <c r="AI256" s="3"/>
      <c r="AJ256" s="3"/>
      <c r="AK256" s="3"/>
      <c r="AL256" s="3"/>
      <c r="AM256" s="3"/>
      <c r="AN256" s="3"/>
      <c r="AO256" s="3"/>
    </row>
    <row r="257" spans="2:41" x14ac:dyDescent="0.25">
      <c r="B257" s="13"/>
      <c r="C257" s="14"/>
      <c r="D257" s="60"/>
      <c r="E257" s="56"/>
      <c r="F257" s="56"/>
      <c r="G257" s="14"/>
      <c r="H257" s="56"/>
      <c r="I257" s="14"/>
      <c r="J257" s="14"/>
      <c r="K257" s="14"/>
      <c r="L257" s="14"/>
      <c r="M257" s="14"/>
      <c r="N257" s="14"/>
      <c r="O257" s="14"/>
      <c r="P257" s="14"/>
      <c r="Q257" s="14"/>
      <c r="R257" s="14"/>
      <c r="S257" s="14"/>
      <c r="T257" s="14"/>
      <c r="U257" s="14"/>
      <c r="V257" s="14"/>
      <c r="W257" s="14"/>
      <c r="X257" s="14"/>
      <c r="Y257" s="14"/>
      <c r="Z257" s="14"/>
      <c r="AA257" s="15"/>
      <c r="AB257" s="3"/>
      <c r="AC257" s="3"/>
      <c r="AD257" s="3"/>
      <c r="AE257" s="3"/>
      <c r="AF257" s="3"/>
      <c r="AG257" s="3"/>
      <c r="AH257" s="3"/>
      <c r="AI257" s="3"/>
      <c r="AJ257" s="3"/>
      <c r="AK257" s="3"/>
      <c r="AL257" s="3"/>
      <c r="AM257" s="3"/>
      <c r="AN257" s="3"/>
      <c r="AO257" s="3"/>
    </row>
    <row r="258" spans="2:41" x14ac:dyDescent="0.25">
      <c r="B258" s="13"/>
      <c r="C258" s="14"/>
      <c r="D258" s="14"/>
      <c r="E258" s="56"/>
      <c r="F258" s="56"/>
      <c r="G258" s="14"/>
      <c r="H258" s="56"/>
      <c r="I258" s="14"/>
      <c r="J258" s="14"/>
      <c r="K258" s="14"/>
      <c r="L258" s="14"/>
      <c r="M258" s="14"/>
      <c r="N258" s="14"/>
      <c r="O258" s="14"/>
      <c r="P258" s="14"/>
      <c r="Q258" s="14"/>
      <c r="R258" s="14"/>
      <c r="S258" s="14"/>
      <c r="T258" s="14"/>
      <c r="U258" s="14"/>
      <c r="V258" s="14"/>
      <c r="W258" s="14"/>
      <c r="X258" s="14"/>
      <c r="Y258" s="14"/>
      <c r="Z258" s="14"/>
      <c r="AA258" s="15"/>
      <c r="AB258" s="3"/>
      <c r="AC258" s="3"/>
      <c r="AD258" s="3"/>
      <c r="AE258" s="3"/>
      <c r="AF258" s="3"/>
      <c r="AG258" s="3"/>
      <c r="AH258" s="3"/>
      <c r="AI258" s="3"/>
      <c r="AJ258" s="3"/>
      <c r="AK258" s="3"/>
      <c r="AL258" s="3"/>
      <c r="AM258" s="3"/>
      <c r="AN258" s="3"/>
      <c r="AO258" s="3"/>
    </row>
    <row r="259" spans="2:41" x14ac:dyDescent="0.25">
      <c r="B259" s="13"/>
      <c r="C259" s="14"/>
      <c r="D259" s="60"/>
      <c r="E259" s="56"/>
      <c r="F259" s="56"/>
      <c r="G259" s="14"/>
      <c r="H259" s="56"/>
      <c r="I259" s="14"/>
      <c r="J259" s="14"/>
      <c r="K259" s="14"/>
      <c r="L259" s="14"/>
      <c r="M259" s="14"/>
      <c r="N259" s="14"/>
      <c r="O259" s="14"/>
      <c r="P259" s="14"/>
      <c r="Q259" s="14"/>
      <c r="R259" s="14"/>
      <c r="S259" s="14"/>
      <c r="T259" s="14"/>
      <c r="U259" s="14"/>
      <c r="V259" s="14"/>
      <c r="W259" s="14"/>
      <c r="X259" s="14"/>
      <c r="Y259" s="14"/>
      <c r="Z259" s="14"/>
      <c r="AA259" s="15"/>
      <c r="AB259" s="3"/>
      <c r="AC259" s="3"/>
      <c r="AD259" s="3"/>
      <c r="AE259" s="3"/>
      <c r="AF259" s="3"/>
      <c r="AG259" s="3"/>
      <c r="AH259" s="3"/>
      <c r="AI259" s="3"/>
      <c r="AJ259" s="3"/>
      <c r="AK259" s="3"/>
      <c r="AL259" s="3"/>
      <c r="AM259" s="3"/>
      <c r="AN259" s="3"/>
      <c r="AO259" s="3"/>
    </row>
    <row r="260" spans="2:41" x14ac:dyDescent="0.25">
      <c r="B260" s="13"/>
      <c r="C260" s="14"/>
      <c r="D260" s="60"/>
      <c r="E260" s="56"/>
      <c r="F260" s="56"/>
      <c r="G260" s="14"/>
      <c r="H260" s="56"/>
      <c r="I260" s="14"/>
      <c r="J260" s="14"/>
      <c r="K260" s="14"/>
      <c r="L260" s="14"/>
      <c r="M260" s="14"/>
      <c r="N260" s="14"/>
      <c r="O260" s="14"/>
      <c r="P260" s="14"/>
      <c r="Q260" s="14"/>
      <c r="R260" s="14"/>
      <c r="S260" s="14"/>
      <c r="T260" s="14"/>
      <c r="U260" s="14"/>
      <c r="V260" s="14"/>
      <c r="W260" s="14"/>
      <c r="X260" s="14"/>
      <c r="Y260" s="14"/>
      <c r="Z260" s="14"/>
      <c r="AA260" s="15"/>
      <c r="AB260" s="3"/>
      <c r="AC260" s="3"/>
      <c r="AD260" s="3"/>
      <c r="AE260" s="3"/>
      <c r="AF260" s="3"/>
      <c r="AG260" s="3"/>
      <c r="AH260" s="3"/>
      <c r="AI260" s="3"/>
      <c r="AJ260" s="3"/>
      <c r="AK260" s="3"/>
      <c r="AL260" s="3"/>
      <c r="AM260" s="3"/>
      <c r="AN260" s="3"/>
      <c r="AO260" s="3"/>
    </row>
    <row r="261" spans="2:41" x14ac:dyDescent="0.25">
      <c r="B261" s="13"/>
      <c r="C261" s="14"/>
      <c r="D261" s="60"/>
      <c r="E261" s="56"/>
      <c r="F261" s="56"/>
      <c r="G261" s="14"/>
      <c r="H261" s="56"/>
      <c r="I261" s="14"/>
      <c r="J261" s="14"/>
      <c r="K261" s="14"/>
      <c r="L261" s="14"/>
      <c r="M261" s="14"/>
      <c r="N261" s="14"/>
      <c r="O261" s="14"/>
      <c r="P261" s="14"/>
      <c r="Q261" s="14"/>
      <c r="R261" s="14"/>
      <c r="S261" s="14"/>
      <c r="T261" s="14"/>
      <c r="U261" s="14"/>
      <c r="V261" s="14"/>
      <c r="W261" s="14"/>
      <c r="X261" s="14"/>
      <c r="Y261" s="14"/>
      <c r="Z261" s="14"/>
      <c r="AA261" s="15"/>
      <c r="AB261" s="3"/>
      <c r="AC261" s="3"/>
      <c r="AD261" s="3"/>
      <c r="AE261" s="3"/>
      <c r="AF261" s="3"/>
      <c r="AG261" s="3"/>
      <c r="AH261" s="3"/>
      <c r="AI261" s="3"/>
      <c r="AJ261" s="3"/>
      <c r="AK261" s="3"/>
      <c r="AL261" s="3"/>
      <c r="AM261" s="3"/>
      <c r="AN261" s="3"/>
      <c r="AO261" s="3"/>
    </row>
    <row r="262" spans="2:41" x14ac:dyDescent="0.25">
      <c r="B262" s="13"/>
      <c r="C262" s="14"/>
      <c r="D262" s="60"/>
      <c r="E262" s="56"/>
      <c r="F262" s="56"/>
      <c r="G262" s="14"/>
      <c r="H262" s="56"/>
      <c r="I262" s="14"/>
      <c r="J262" s="14"/>
      <c r="K262" s="14"/>
      <c r="L262" s="14"/>
      <c r="M262" s="14"/>
      <c r="N262" s="14"/>
      <c r="O262" s="14"/>
      <c r="P262" s="14"/>
      <c r="Q262" s="14"/>
      <c r="R262" s="14"/>
      <c r="S262" s="14"/>
      <c r="T262" s="14"/>
      <c r="U262" s="14"/>
      <c r="V262" s="14"/>
      <c r="W262" s="14"/>
      <c r="X262" s="14"/>
      <c r="Y262" s="14"/>
      <c r="Z262" s="14"/>
      <c r="AA262" s="15"/>
      <c r="AB262" s="3"/>
      <c r="AC262" s="3"/>
      <c r="AD262" s="3"/>
      <c r="AE262" s="3"/>
      <c r="AF262" s="3"/>
      <c r="AG262" s="3"/>
      <c r="AH262" s="3"/>
      <c r="AI262" s="3"/>
      <c r="AJ262" s="3"/>
      <c r="AK262" s="3"/>
      <c r="AL262" s="3"/>
      <c r="AM262" s="3"/>
      <c r="AN262" s="3"/>
      <c r="AO262" s="3"/>
    </row>
    <row r="263" spans="2:41" x14ac:dyDescent="0.25">
      <c r="B263" s="13"/>
      <c r="C263" s="14"/>
      <c r="D263" s="60"/>
      <c r="E263" s="56"/>
      <c r="F263" s="56"/>
      <c r="G263" s="128"/>
      <c r="H263" s="56"/>
      <c r="I263" s="14"/>
      <c r="J263" s="14"/>
      <c r="K263" s="14"/>
      <c r="L263" s="14"/>
      <c r="M263" s="14"/>
      <c r="N263" s="14"/>
      <c r="O263" s="14"/>
      <c r="P263" s="14"/>
      <c r="Q263" s="14"/>
      <c r="R263" s="14"/>
      <c r="S263" s="14"/>
      <c r="T263" s="14"/>
      <c r="U263" s="14"/>
      <c r="V263" s="14"/>
      <c r="W263" s="14"/>
      <c r="X263" s="14"/>
      <c r="Y263" s="14"/>
      <c r="Z263" s="14"/>
      <c r="AA263" s="15"/>
      <c r="AB263" s="3"/>
      <c r="AC263" s="3"/>
      <c r="AD263" s="3"/>
      <c r="AE263" s="3"/>
      <c r="AF263" s="3"/>
      <c r="AG263" s="3"/>
      <c r="AH263" s="3"/>
      <c r="AI263" s="3"/>
      <c r="AJ263" s="3"/>
      <c r="AK263" s="3"/>
      <c r="AL263" s="3"/>
      <c r="AM263" s="3"/>
      <c r="AN263" s="3"/>
      <c r="AO263" s="3"/>
    </row>
    <row r="264" spans="2:41" x14ac:dyDescent="0.25">
      <c r="B264" s="13"/>
      <c r="C264" s="14"/>
      <c r="D264" s="60"/>
      <c r="E264" s="56"/>
      <c r="F264" s="56"/>
      <c r="G264" s="14"/>
      <c r="H264" s="56"/>
      <c r="I264" s="14"/>
      <c r="J264" s="14"/>
      <c r="K264" s="14"/>
      <c r="L264" s="14"/>
      <c r="M264" s="14"/>
      <c r="N264" s="14"/>
      <c r="O264" s="14"/>
      <c r="P264" s="14"/>
      <c r="Q264" s="14"/>
      <c r="R264" s="14"/>
      <c r="S264" s="14"/>
      <c r="T264" s="14"/>
      <c r="U264" s="14"/>
      <c r="V264" s="14"/>
      <c r="W264" s="14"/>
      <c r="X264" s="14"/>
      <c r="Y264" s="14"/>
      <c r="Z264" s="14"/>
      <c r="AA264" s="15"/>
      <c r="AB264" s="3"/>
      <c r="AC264" s="3"/>
      <c r="AD264" s="3"/>
      <c r="AE264" s="3"/>
      <c r="AF264" s="3"/>
      <c r="AG264" s="3"/>
      <c r="AH264" s="3"/>
      <c r="AI264" s="3"/>
      <c r="AJ264" s="3"/>
      <c r="AK264" s="3"/>
      <c r="AL264" s="3"/>
      <c r="AM264" s="3"/>
      <c r="AN264" s="3"/>
      <c r="AO264" s="3"/>
    </row>
    <row r="265" spans="2:41" x14ac:dyDescent="0.25">
      <c r="B265" s="13"/>
      <c r="C265" s="14"/>
      <c r="D265" s="14"/>
      <c r="E265" s="56"/>
      <c r="F265" s="56"/>
      <c r="G265" s="14"/>
      <c r="H265" s="56"/>
      <c r="I265" s="14"/>
      <c r="J265" s="14"/>
      <c r="K265" s="14"/>
      <c r="L265" s="14"/>
      <c r="M265" s="14"/>
      <c r="N265" s="14"/>
      <c r="O265" s="14"/>
      <c r="P265" s="14"/>
      <c r="Q265" s="14"/>
      <c r="R265" s="14"/>
      <c r="S265" s="14"/>
      <c r="T265" s="14"/>
      <c r="U265" s="14"/>
      <c r="V265" s="14"/>
      <c r="W265" s="14"/>
      <c r="X265" s="14"/>
      <c r="Y265" s="14"/>
      <c r="Z265" s="14"/>
      <c r="AA265" s="15"/>
      <c r="AB265" s="3"/>
      <c r="AC265" s="3"/>
      <c r="AD265" s="3"/>
      <c r="AE265" s="3"/>
      <c r="AF265" s="3"/>
      <c r="AG265" s="3"/>
      <c r="AH265" s="3"/>
      <c r="AI265" s="3"/>
      <c r="AJ265" s="3"/>
      <c r="AK265" s="3"/>
      <c r="AL265" s="3"/>
      <c r="AM265" s="3"/>
      <c r="AN265" s="3"/>
      <c r="AO265" s="3"/>
    </row>
    <row r="266" spans="2:41" x14ac:dyDescent="0.25">
      <c r="B266" s="13"/>
      <c r="C266" s="14"/>
      <c r="D266" s="60"/>
      <c r="E266" s="56"/>
      <c r="F266" s="56"/>
      <c r="G266" s="14"/>
      <c r="H266" s="56"/>
      <c r="I266" s="14"/>
      <c r="J266" s="14"/>
      <c r="K266" s="14"/>
      <c r="L266" s="14"/>
      <c r="M266" s="14"/>
      <c r="N266" s="14"/>
      <c r="O266" s="14"/>
      <c r="P266" s="14"/>
      <c r="Q266" s="14"/>
      <c r="R266" s="14"/>
      <c r="S266" s="14"/>
      <c r="T266" s="14"/>
      <c r="U266" s="14"/>
      <c r="V266" s="14"/>
      <c r="W266" s="14"/>
      <c r="X266" s="14"/>
      <c r="Y266" s="14"/>
      <c r="Z266" s="14"/>
      <c r="AA266" s="15"/>
      <c r="AB266" s="3"/>
      <c r="AC266" s="3"/>
      <c r="AD266" s="3"/>
      <c r="AE266" s="3"/>
      <c r="AF266" s="3"/>
      <c r="AG266" s="3"/>
      <c r="AH266" s="3"/>
      <c r="AI266" s="3"/>
      <c r="AJ266" s="3"/>
      <c r="AK266" s="3"/>
      <c r="AL266" s="3"/>
      <c r="AM266" s="3"/>
      <c r="AN266" s="3"/>
      <c r="AO266" s="3"/>
    </row>
    <row r="267" spans="2:41" x14ac:dyDescent="0.25">
      <c r="B267" s="13"/>
      <c r="C267" s="14"/>
      <c r="D267" s="60"/>
      <c r="E267" s="56"/>
      <c r="F267" s="56"/>
      <c r="G267" s="14"/>
      <c r="H267" s="56"/>
      <c r="I267" s="14"/>
      <c r="J267" s="14"/>
      <c r="K267" s="14"/>
      <c r="L267" s="14"/>
      <c r="M267" s="14"/>
      <c r="N267" s="14"/>
      <c r="O267" s="14"/>
      <c r="P267" s="14"/>
      <c r="Q267" s="14"/>
      <c r="R267" s="14"/>
      <c r="S267" s="14"/>
      <c r="T267" s="14"/>
      <c r="U267" s="14"/>
      <c r="V267" s="14"/>
      <c r="W267" s="14"/>
      <c r="X267" s="14"/>
      <c r="Y267" s="14"/>
      <c r="Z267" s="14"/>
      <c r="AA267" s="15"/>
      <c r="AB267" s="3"/>
      <c r="AC267" s="3"/>
      <c r="AD267" s="3"/>
      <c r="AE267" s="3"/>
      <c r="AF267" s="3"/>
      <c r="AG267" s="3"/>
      <c r="AH267" s="3"/>
      <c r="AI267" s="3"/>
      <c r="AJ267" s="3"/>
      <c r="AK267" s="3"/>
      <c r="AL267" s="3"/>
      <c r="AM267" s="3"/>
      <c r="AN267" s="3"/>
      <c r="AO267" s="3"/>
    </row>
    <row r="268" spans="2:41" x14ac:dyDescent="0.25">
      <c r="B268" s="13"/>
      <c r="C268" s="14"/>
      <c r="D268" s="60"/>
      <c r="E268" s="56"/>
      <c r="F268" s="56"/>
      <c r="G268" s="14"/>
      <c r="H268" s="56"/>
      <c r="I268" s="14"/>
      <c r="J268" s="14"/>
      <c r="K268" s="14"/>
      <c r="L268" s="14"/>
      <c r="M268" s="14"/>
      <c r="N268" s="14"/>
      <c r="O268" s="14"/>
      <c r="P268" s="14"/>
      <c r="Q268" s="14"/>
      <c r="R268" s="14"/>
      <c r="S268" s="14"/>
      <c r="T268" s="14"/>
      <c r="U268" s="14"/>
      <c r="V268" s="14"/>
      <c r="W268" s="14"/>
      <c r="X268" s="14"/>
      <c r="Y268" s="14"/>
      <c r="Z268" s="14"/>
      <c r="AA268" s="15"/>
      <c r="AB268" s="3"/>
      <c r="AC268" s="3"/>
      <c r="AD268" s="3"/>
      <c r="AE268" s="3"/>
      <c r="AF268" s="3"/>
      <c r="AG268" s="3"/>
      <c r="AH268" s="3"/>
      <c r="AI268" s="3"/>
      <c r="AJ268" s="3"/>
      <c r="AK268" s="3"/>
      <c r="AL268" s="3"/>
      <c r="AM268" s="3"/>
      <c r="AN268" s="3"/>
      <c r="AO268" s="3"/>
    </row>
    <row r="269" spans="2:41" x14ac:dyDescent="0.25">
      <c r="B269" s="13"/>
      <c r="C269" s="14"/>
      <c r="D269" s="60"/>
      <c r="E269" s="56"/>
      <c r="F269" s="56"/>
      <c r="G269" s="14"/>
      <c r="H269" s="56"/>
      <c r="I269" s="14"/>
      <c r="J269" s="14"/>
      <c r="K269" s="14"/>
      <c r="L269" s="14"/>
      <c r="M269" s="14"/>
      <c r="N269" s="14"/>
      <c r="O269" s="14"/>
      <c r="P269" s="14"/>
      <c r="Q269" s="14"/>
      <c r="R269" s="14"/>
      <c r="S269" s="14"/>
      <c r="T269" s="14"/>
      <c r="U269" s="14"/>
      <c r="V269" s="14"/>
      <c r="W269" s="14"/>
      <c r="X269" s="14"/>
      <c r="Y269" s="14"/>
      <c r="Z269" s="14"/>
      <c r="AA269" s="15"/>
      <c r="AB269" s="3"/>
      <c r="AC269" s="3"/>
      <c r="AD269" s="3"/>
      <c r="AE269" s="3"/>
      <c r="AF269" s="3"/>
      <c r="AG269" s="3"/>
      <c r="AH269" s="3"/>
      <c r="AI269" s="3"/>
      <c r="AJ269" s="3"/>
      <c r="AK269" s="3"/>
      <c r="AL269" s="3"/>
      <c r="AM269" s="3"/>
      <c r="AN269" s="3"/>
      <c r="AO269" s="3"/>
    </row>
    <row r="270" spans="2:41" x14ac:dyDescent="0.25">
      <c r="B270" s="13"/>
      <c r="C270" s="14"/>
      <c r="D270" s="60"/>
      <c r="E270" s="56"/>
      <c r="F270" s="56"/>
      <c r="G270" s="128"/>
      <c r="H270" s="56"/>
      <c r="I270" s="14"/>
      <c r="J270" s="14"/>
      <c r="K270" s="14"/>
      <c r="L270" s="14"/>
      <c r="M270" s="14"/>
      <c r="N270" s="14"/>
      <c r="O270" s="14"/>
      <c r="P270" s="14"/>
      <c r="Q270" s="14"/>
      <c r="R270" s="14"/>
      <c r="S270" s="14"/>
      <c r="T270" s="14"/>
      <c r="U270" s="14"/>
      <c r="V270" s="14"/>
      <c r="W270" s="14"/>
      <c r="X270" s="14"/>
      <c r="Y270" s="14"/>
      <c r="Z270" s="14"/>
      <c r="AA270" s="15"/>
      <c r="AB270" s="3"/>
      <c r="AC270" s="3"/>
      <c r="AD270" s="3"/>
      <c r="AE270" s="3"/>
      <c r="AF270" s="3"/>
      <c r="AG270" s="3"/>
      <c r="AH270" s="3"/>
      <c r="AI270" s="3"/>
      <c r="AJ270" s="3"/>
      <c r="AK270" s="3"/>
      <c r="AL270" s="3"/>
      <c r="AM270" s="3"/>
      <c r="AN270" s="3"/>
      <c r="AO270" s="3"/>
    </row>
    <row r="271" spans="2:41" x14ac:dyDescent="0.25">
      <c r="B271" s="13"/>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5"/>
      <c r="AB271" s="3"/>
      <c r="AC271" s="3"/>
      <c r="AD271" s="3"/>
      <c r="AE271" s="3"/>
      <c r="AF271" s="3"/>
      <c r="AG271" s="3"/>
      <c r="AH271" s="3"/>
      <c r="AI271" s="3"/>
      <c r="AJ271" s="3"/>
      <c r="AK271" s="3"/>
      <c r="AL271" s="3"/>
      <c r="AM271" s="3"/>
      <c r="AN271" s="3"/>
      <c r="AO271" s="3"/>
    </row>
    <row r="272" spans="2:41" x14ac:dyDescent="0.25">
      <c r="B272" s="13"/>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5"/>
      <c r="AB272" s="3"/>
      <c r="AC272" s="3"/>
      <c r="AD272" s="3"/>
      <c r="AE272" s="3"/>
      <c r="AF272" s="3"/>
      <c r="AG272" s="3"/>
      <c r="AH272" s="3"/>
      <c r="AI272" s="3"/>
      <c r="AJ272" s="3"/>
      <c r="AK272" s="3"/>
      <c r="AL272" s="3"/>
      <c r="AM272" s="3"/>
      <c r="AN272" s="3"/>
      <c r="AO272" s="3"/>
    </row>
    <row r="273" spans="2:41" x14ac:dyDescent="0.25">
      <c r="B273" s="13"/>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5"/>
      <c r="AB273" s="3"/>
      <c r="AC273" s="3"/>
      <c r="AD273" s="3"/>
      <c r="AE273" s="3"/>
      <c r="AF273" s="3"/>
      <c r="AG273" s="3"/>
      <c r="AH273" s="3"/>
      <c r="AI273" s="3"/>
      <c r="AJ273" s="3"/>
      <c r="AK273" s="3"/>
      <c r="AL273" s="3"/>
      <c r="AM273" s="3"/>
      <c r="AN273" s="3"/>
      <c r="AO273" s="3"/>
    </row>
    <row r="274" spans="2:41" x14ac:dyDescent="0.25">
      <c r="B274" s="13"/>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5"/>
      <c r="AB274" s="3"/>
      <c r="AC274" s="3"/>
      <c r="AD274" s="3"/>
      <c r="AE274" s="3"/>
      <c r="AF274" s="3"/>
      <c r="AG274" s="3"/>
      <c r="AH274" s="3"/>
      <c r="AI274" s="3"/>
      <c r="AJ274" s="3"/>
      <c r="AK274" s="3"/>
      <c r="AL274" s="3"/>
      <c r="AM274" s="3"/>
      <c r="AN274" s="3"/>
      <c r="AO274" s="3"/>
    </row>
    <row r="275" spans="2:41" x14ac:dyDescent="0.25">
      <c r="B275" s="13"/>
      <c r="C275" s="14"/>
      <c r="D275" s="60"/>
      <c r="E275" s="56"/>
      <c r="F275" s="56"/>
      <c r="G275" s="14"/>
      <c r="H275" s="56"/>
      <c r="I275" s="14"/>
      <c r="J275" s="14"/>
      <c r="K275" s="14"/>
      <c r="L275" s="14"/>
      <c r="M275" s="14"/>
      <c r="N275" s="14"/>
      <c r="O275" s="14"/>
      <c r="P275" s="14"/>
      <c r="Q275" s="14"/>
      <c r="R275" s="14"/>
      <c r="S275" s="14"/>
      <c r="T275" s="14"/>
      <c r="U275" s="14"/>
      <c r="V275" s="14"/>
      <c r="W275" s="14"/>
      <c r="X275" s="14"/>
      <c r="Y275" s="14"/>
      <c r="Z275" s="14"/>
      <c r="AA275" s="15"/>
      <c r="AB275" s="3"/>
      <c r="AC275" s="3"/>
      <c r="AD275" s="3"/>
      <c r="AE275" s="3"/>
      <c r="AF275" s="3"/>
      <c r="AG275" s="3"/>
      <c r="AH275" s="3"/>
      <c r="AI275" s="3"/>
      <c r="AJ275" s="3"/>
      <c r="AK275" s="3"/>
      <c r="AL275" s="3"/>
      <c r="AM275" s="3"/>
      <c r="AN275" s="3"/>
      <c r="AO275" s="3"/>
    </row>
    <row r="276" spans="2:41" x14ac:dyDescent="0.25">
      <c r="B276" s="13"/>
      <c r="C276" s="14"/>
      <c r="D276" s="60"/>
      <c r="E276" s="56"/>
      <c r="F276" s="56"/>
      <c r="G276" s="14"/>
      <c r="H276" s="56"/>
      <c r="I276" s="14"/>
      <c r="J276" s="14"/>
      <c r="K276" s="14"/>
      <c r="L276" s="14"/>
      <c r="M276" s="14"/>
      <c r="N276" s="14"/>
      <c r="O276" s="14"/>
      <c r="P276" s="14"/>
      <c r="Q276" s="14"/>
      <c r="R276" s="14"/>
      <c r="S276" s="14"/>
      <c r="T276" s="14"/>
      <c r="U276" s="14"/>
      <c r="V276" s="14"/>
      <c r="W276" s="14"/>
      <c r="X276" s="14"/>
      <c r="Y276" s="14"/>
      <c r="Z276" s="14"/>
      <c r="AA276" s="15"/>
      <c r="AB276" s="3"/>
      <c r="AC276" s="3"/>
      <c r="AD276" s="3"/>
      <c r="AE276" s="3"/>
      <c r="AF276" s="3"/>
      <c r="AG276" s="3"/>
      <c r="AH276" s="3"/>
      <c r="AI276" s="3"/>
      <c r="AJ276" s="3"/>
      <c r="AK276" s="3"/>
      <c r="AL276" s="3"/>
      <c r="AM276" s="3"/>
      <c r="AN276" s="3"/>
      <c r="AO276" s="3"/>
    </row>
    <row r="277" spans="2:41" x14ac:dyDescent="0.25">
      <c r="B277" s="13"/>
      <c r="C277" s="56"/>
      <c r="D277" s="60"/>
      <c r="E277" s="56"/>
      <c r="F277" s="56"/>
      <c r="G277" s="56"/>
      <c r="H277" s="56"/>
      <c r="I277" s="14"/>
      <c r="J277" s="14"/>
      <c r="K277" s="14"/>
      <c r="L277" s="14"/>
      <c r="M277" s="14"/>
      <c r="N277" s="14"/>
      <c r="O277" s="14"/>
      <c r="P277" s="14"/>
      <c r="Q277" s="14"/>
      <c r="R277" s="14"/>
      <c r="S277" s="14"/>
      <c r="T277" s="14"/>
      <c r="U277" s="14"/>
      <c r="V277" s="14"/>
      <c r="W277" s="14"/>
      <c r="X277" s="14"/>
      <c r="Y277" s="14"/>
      <c r="Z277" s="14"/>
      <c r="AA277" s="15"/>
      <c r="AB277" s="3"/>
      <c r="AC277" s="3"/>
      <c r="AD277" s="3"/>
      <c r="AE277" s="3"/>
      <c r="AF277" s="3"/>
      <c r="AG277" s="3"/>
      <c r="AH277" s="3"/>
      <c r="AI277" s="3"/>
      <c r="AJ277" s="3"/>
      <c r="AK277" s="3"/>
      <c r="AL277" s="3"/>
      <c r="AM277" s="3"/>
      <c r="AN277" s="3"/>
      <c r="AO277" s="3"/>
    </row>
    <row r="278" spans="2:41" x14ac:dyDescent="0.25">
      <c r="B278" s="13"/>
      <c r="C278" s="14"/>
      <c r="D278" s="60"/>
      <c r="E278" s="56"/>
      <c r="F278" s="56"/>
      <c r="G278" s="14"/>
      <c r="H278" s="56"/>
      <c r="I278" s="14"/>
      <c r="J278" s="14"/>
      <c r="K278" s="14"/>
      <c r="L278" s="14"/>
      <c r="M278" s="14"/>
      <c r="N278" s="14"/>
      <c r="O278" s="14"/>
      <c r="P278" s="14"/>
      <c r="Q278" s="14"/>
      <c r="R278" s="14"/>
      <c r="S278" s="14"/>
      <c r="T278" s="14"/>
      <c r="U278" s="14"/>
      <c r="V278" s="14"/>
      <c r="W278" s="14"/>
      <c r="X278" s="14"/>
      <c r="Y278" s="14"/>
      <c r="Z278" s="14"/>
      <c r="AA278" s="15"/>
      <c r="AB278" s="3"/>
      <c r="AC278" s="3"/>
      <c r="AD278" s="3"/>
      <c r="AE278" s="3"/>
      <c r="AF278" s="3"/>
      <c r="AG278" s="3"/>
      <c r="AH278" s="3"/>
      <c r="AI278" s="3"/>
      <c r="AJ278" s="3"/>
      <c r="AK278" s="3"/>
      <c r="AL278" s="3"/>
      <c r="AM278" s="3"/>
      <c r="AN278" s="3"/>
      <c r="AO278" s="3"/>
    </row>
    <row r="279" spans="2:41" x14ac:dyDescent="0.25">
      <c r="B279" s="13"/>
      <c r="C279" s="14"/>
      <c r="D279" s="14"/>
      <c r="E279" s="56"/>
      <c r="F279" s="56"/>
      <c r="G279" s="14"/>
      <c r="H279" s="56"/>
      <c r="I279" s="14"/>
      <c r="J279" s="14"/>
      <c r="K279" s="14"/>
      <c r="L279" s="14"/>
      <c r="M279" s="14"/>
      <c r="N279" s="14"/>
      <c r="O279" s="14"/>
      <c r="P279" s="14"/>
      <c r="Q279" s="14"/>
      <c r="R279" s="14"/>
      <c r="S279" s="14"/>
      <c r="T279" s="14"/>
      <c r="U279" s="14"/>
      <c r="V279" s="14"/>
      <c r="W279" s="14"/>
      <c r="X279" s="14"/>
      <c r="Y279" s="14"/>
      <c r="Z279" s="14"/>
      <c r="AA279" s="15"/>
      <c r="AB279" s="3"/>
      <c r="AC279" s="3"/>
      <c r="AD279" s="3"/>
      <c r="AE279" s="3"/>
      <c r="AF279" s="3"/>
      <c r="AG279" s="3"/>
      <c r="AH279" s="3"/>
      <c r="AI279" s="3"/>
      <c r="AJ279" s="3"/>
      <c r="AK279" s="3"/>
      <c r="AL279" s="3"/>
      <c r="AM279" s="3"/>
      <c r="AN279" s="3"/>
      <c r="AO279" s="3"/>
    </row>
    <row r="280" spans="2:41" ht="18.75" x14ac:dyDescent="0.3">
      <c r="B280" s="67"/>
      <c r="C280" s="14"/>
      <c r="D280" s="60"/>
      <c r="E280" s="56"/>
      <c r="F280" s="56"/>
      <c r="G280" s="14"/>
      <c r="H280" s="14"/>
      <c r="I280" s="74"/>
      <c r="J280" s="14"/>
      <c r="K280" s="14"/>
      <c r="L280" s="14"/>
      <c r="M280" s="14"/>
      <c r="N280" s="14"/>
      <c r="O280" s="14"/>
      <c r="P280" s="14"/>
      <c r="Q280" s="14"/>
      <c r="R280" s="14"/>
      <c r="S280" s="14"/>
      <c r="T280" s="14"/>
      <c r="U280" s="14"/>
      <c r="V280" s="14"/>
      <c r="W280" s="14"/>
      <c r="X280" s="14"/>
      <c r="Y280" s="14"/>
      <c r="Z280" s="14"/>
      <c r="AA280" s="15"/>
      <c r="AB280" s="3"/>
      <c r="AC280" s="3"/>
      <c r="AD280" s="3"/>
      <c r="AE280" s="3"/>
      <c r="AF280" s="3"/>
      <c r="AG280" s="3"/>
      <c r="AH280" s="3"/>
      <c r="AI280" s="3"/>
      <c r="AJ280" s="3"/>
      <c r="AK280" s="3"/>
      <c r="AL280" s="3"/>
      <c r="AM280" s="3"/>
      <c r="AN280" s="3"/>
      <c r="AO280" s="3"/>
    </row>
    <row r="281" spans="2:41" x14ac:dyDescent="0.25">
      <c r="B281" s="13"/>
      <c r="C281" s="14"/>
      <c r="D281" s="60"/>
      <c r="E281" s="56"/>
      <c r="F281" s="56"/>
      <c r="G281" s="14"/>
      <c r="H281" s="56"/>
      <c r="I281" s="14"/>
      <c r="J281" s="14"/>
      <c r="K281" s="14"/>
      <c r="L281" s="14"/>
      <c r="M281" s="14"/>
      <c r="N281" s="14"/>
      <c r="O281" s="14"/>
      <c r="P281" s="14"/>
      <c r="Q281" s="14"/>
      <c r="R281" s="14"/>
      <c r="S281" s="14"/>
      <c r="T281" s="14"/>
      <c r="U281" s="14"/>
      <c r="V281" s="14"/>
      <c r="W281" s="14"/>
      <c r="X281" s="14"/>
      <c r="Y281" s="14"/>
      <c r="Z281" s="14"/>
      <c r="AA281" s="15"/>
      <c r="AB281" s="3"/>
      <c r="AC281" s="3"/>
      <c r="AD281" s="3"/>
      <c r="AE281" s="3"/>
      <c r="AF281" s="3"/>
      <c r="AG281" s="3"/>
      <c r="AH281" s="3"/>
      <c r="AI281" s="3"/>
      <c r="AJ281" s="3"/>
      <c r="AK281" s="3"/>
      <c r="AL281" s="3"/>
      <c r="AM281" s="3"/>
      <c r="AN281" s="3"/>
      <c r="AO281" s="3"/>
    </row>
    <row r="282" spans="2:41" x14ac:dyDescent="0.25">
      <c r="B282" s="13"/>
      <c r="C282" s="14"/>
      <c r="D282" s="60"/>
      <c r="E282" s="56"/>
      <c r="F282" s="56"/>
      <c r="G282" s="14"/>
      <c r="H282" s="56"/>
      <c r="I282" s="14"/>
      <c r="J282" s="14"/>
      <c r="K282" s="14"/>
      <c r="L282" s="14"/>
      <c r="M282" s="14"/>
      <c r="N282" s="14"/>
      <c r="O282" s="14"/>
      <c r="P282" s="14"/>
      <c r="Q282" s="14"/>
      <c r="R282" s="14"/>
      <c r="S282" s="14"/>
      <c r="T282" s="14"/>
      <c r="U282" s="14"/>
      <c r="V282" s="14"/>
      <c r="W282" s="14"/>
      <c r="X282" s="14"/>
      <c r="Y282" s="14"/>
      <c r="Z282" s="14"/>
      <c r="AA282" s="15"/>
      <c r="AB282" s="3"/>
      <c r="AC282" s="3"/>
      <c r="AD282" s="3"/>
      <c r="AE282" s="3"/>
      <c r="AF282" s="3"/>
      <c r="AG282" s="3"/>
      <c r="AH282" s="3"/>
      <c r="AI282" s="3"/>
      <c r="AJ282" s="3"/>
      <c r="AK282" s="3"/>
      <c r="AL282" s="3"/>
      <c r="AM282" s="3"/>
      <c r="AN282" s="3"/>
      <c r="AO282" s="3"/>
    </row>
    <row r="283" spans="2:41" x14ac:dyDescent="0.25">
      <c r="B283" s="13"/>
      <c r="C283" s="14"/>
      <c r="D283" s="60"/>
      <c r="E283" s="56"/>
      <c r="F283" s="56"/>
      <c r="G283" s="14"/>
      <c r="H283" s="56"/>
      <c r="I283" s="14"/>
      <c r="J283" s="14"/>
      <c r="K283" s="14"/>
      <c r="L283" s="14"/>
      <c r="M283" s="14"/>
      <c r="N283" s="14"/>
      <c r="O283" s="14"/>
      <c r="P283" s="14"/>
      <c r="Q283" s="14"/>
      <c r="R283" s="14"/>
      <c r="S283" s="14"/>
      <c r="T283" s="14"/>
      <c r="U283" s="14"/>
      <c r="V283" s="14"/>
      <c r="W283" s="14"/>
      <c r="X283" s="14"/>
      <c r="Y283" s="14"/>
      <c r="Z283" s="14"/>
      <c r="AA283" s="15"/>
      <c r="AB283" s="3"/>
      <c r="AC283" s="3"/>
      <c r="AD283" s="3"/>
      <c r="AE283" s="3"/>
      <c r="AF283" s="3"/>
      <c r="AG283" s="3"/>
      <c r="AH283" s="3"/>
      <c r="AI283" s="3"/>
      <c r="AJ283" s="3"/>
      <c r="AK283" s="3"/>
      <c r="AL283" s="3"/>
      <c r="AM283" s="3"/>
      <c r="AN283" s="3"/>
      <c r="AO283" s="3"/>
    </row>
    <row r="284" spans="2:41" x14ac:dyDescent="0.25">
      <c r="B284" s="13"/>
      <c r="C284" s="56"/>
      <c r="D284" s="60"/>
      <c r="E284" s="56"/>
      <c r="F284" s="56"/>
      <c r="G284" s="56"/>
      <c r="H284" s="56"/>
      <c r="I284" s="14"/>
      <c r="J284" s="14"/>
      <c r="K284" s="14"/>
      <c r="L284" s="14"/>
      <c r="M284" s="14"/>
      <c r="N284" s="14"/>
      <c r="O284" s="14"/>
      <c r="P284" s="14"/>
      <c r="Q284" s="14"/>
      <c r="R284" s="14"/>
      <c r="S284" s="14"/>
      <c r="T284" s="14"/>
      <c r="U284" s="14"/>
      <c r="V284" s="14"/>
      <c r="W284" s="14"/>
      <c r="X284" s="14"/>
      <c r="Y284" s="14"/>
      <c r="Z284" s="14"/>
      <c r="AA284" s="15"/>
      <c r="AB284" s="3"/>
      <c r="AC284" s="3"/>
      <c r="AD284" s="3"/>
      <c r="AE284" s="3"/>
      <c r="AF284" s="3"/>
      <c r="AG284" s="3"/>
      <c r="AH284" s="3"/>
      <c r="AI284" s="3"/>
      <c r="AJ284" s="3"/>
      <c r="AK284" s="3"/>
      <c r="AL284" s="3"/>
      <c r="AM284" s="3"/>
      <c r="AN284" s="3"/>
      <c r="AO284" s="3"/>
    </row>
    <row r="285" spans="2:41" x14ac:dyDescent="0.25">
      <c r="B285" s="13"/>
      <c r="C285" s="14"/>
      <c r="D285" s="60"/>
      <c r="E285" s="56"/>
      <c r="F285" s="56"/>
      <c r="G285" s="14"/>
      <c r="H285" s="56"/>
      <c r="I285" s="14"/>
      <c r="J285" s="14"/>
      <c r="K285" s="14"/>
      <c r="L285" s="14"/>
      <c r="M285" s="14"/>
      <c r="N285" s="14"/>
      <c r="O285" s="14"/>
      <c r="P285" s="14"/>
      <c r="Q285" s="14"/>
      <c r="R285" s="14"/>
      <c r="S285" s="14"/>
      <c r="T285" s="14"/>
      <c r="U285" s="14"/>
      <c r="V285" s="14"/>
      <c r="W285" s="14"/>
      <c r="X285" s="14"/>
      <c r="Y285" s="14"/>
      <c r="Z285" s="14"/>
      <c r="AA285" s="15"/>
      <c r="AB285" s="3"/>
      <c r="AC285" s="3"/>
      <c r="AD285" s="3"/>
      <c r="AE285" s="3"/>
      <c r="AF285" s="3"/>
      <c r="AG285" s="3"/>
      <c r="AH285" s="3"/>
      <c r="AI285" s="3"/>
      <c r="AJ285" s="3"/>
      <c r="AK285" s="3"/>
      <c r="AL285" s="3"/>
      <c r="AM285" s="3"/>
      <c r="AN285" s="3"/>
      <c r="AO285" s="3"/>
    </row>
    <row r="286" spans="2:41" x14ac:dyDescent="0.25">
      <c r="B286" s="13"/>
      <c r="C286" s="14"/>
      <c r="D286" s="14"/>
      <c r="E286" s="56"/>
      <c r="F286" s="56"/>
      <c r="G286" s="14"/>
      <c r="H286" s="56"/>
      <c r="I286" s="14"/>
      <c r="J286" s="14"/>
      <c r="K286" s="14"/>
      <c r="L286" s="14"/>
      <c r="M286" s="14"/>
      <c r="N286" s="14"/>
      <c r="O286" s="14"/>
      <c r="P286" s="14"/>
      <c r="Q286" s="14"/>
      <c r="R286" s="14"/>
      <c r="S286" s="14"/>
      <c r="T286" s="14"/>
      <c r="U286" s="14"/>
      <c r="V286" s="14"/>
      <c r="W286" s="14"/>
      <c r="X286" s="14"/>
      <c r="Y286" s="14"/>
      <c r="Z286" s="14"/>
      <c r="AA286" s="15"/>
      <c r="AB286" s="3"/>
      <c r="AC286" s="3"/>
      <c r="AD286" s="3"/>
      <c r="AE286" s="3"/>
      <c r="AF286" s="3"/>
      <c r="AG286" s="3"/>
      <c r="AH286" s="3"/>
      <c r="AI286" s="3"/>
      <c r="AJ286" s="3"/>
      <c r="AK286" s="3"/>
      <c r="AL286" s="3"/>
      <c r="AM286" s="3"/>
      <c r="AN286" s="3"/>
      <c r="AO286" s="3"/>
    </row>
    <row r="287" spans="2:41" x14ac:dyDescent="0.25">
      <c r="B287" s="13"/>
      <c r="C287" s="14"/>
      <c r="D287" s="60"/>
      <c r="E287" s="56"/>
      <c r="F287" s="56"/>
      <c r="G287" s="14"/>
      <c r="H287" s="14"/>
      <c r="I287" s="14"/>
      <c r="J287" s="14"/>
      <c r="K287" s="14"/>
      <c r="L287" s="14"/>
      <c r="M287" s="14"/>
      <c r="N287" s="14"/>
      <c r="O287" s="14"/>
      <c r="P287" s="14"/>
      <c r="Q287" s="14"/>
      <c r="R287" s="14"/>
      <c r="S287" s="14"/>
      <c r="T287" s="14"/>
      <c r="U287" s="14"/>
      <c r="V287" s="14"/>
      <c r="W287" s="14"/>
      <c r="X287" s="14"/>
      <c r="Y287" s="14"/>
      <c r="Z287" s="14"/>
      <c r="AA287" s="15"/>
      <c r="AB287" s="3"/>
      <c r="AC287" s="3"/>
      <c r="AD287" s="3"/>
      <c r="AE287" s="3"/>
      <c r="AF287" s="3"/>
      <c r="AG287" s="3"/>
      <c r="AH287" s="3"/>
      <c r="AI287" s="3"/>
      <c r="AJ287" s="3"/>
      <c r="AK287" s="3"/>
      <c r="AL287" s="3"/>
      <c r="AM287" s="3"/>
      <c r="AN287" s="3"/>
      <c r="AO287" s="3"/>
    </row>
    <row r="288" spans="2:41" ht="18.75" x14ac:dyDescent="0.3">
      <c r="B288" s="67"/>
      <c r="C288" s="14"/>
      <c r="D288" s="60"/>
      <c r="E288" s="56"/>
      <c r="F288" s="56"/>
      <c r="G288" s="14"/>
      <c r="H288" s="56"/>
      <c r="I288" s="74"/>
      <c r="J288" s="14"/>
      <c r="K288" s="14"/>
      <c r="L288" s="14"/>
      <c r="M288" s="14"/>
      <c r="N288" s="14"/>
      <c r="O288" s="14"/>
      <c r="P288" s="14"/>
      <c r="Q288" s="14"/>
      <c r="R288" s="14"/>
      <c r="S288" s="14"/>
      <c r="T288" s="14"/>
      <c r="U288" s="14"/>
      <c r="V288" s="14"/>
      <c r="W288" s="14"/>
      <c r="X288" s="14"/>
      <c r="Y288" s="14"/>
      <c r="Z288" s="14"/>
      <c r="AA288" s="15"/>
      <c r="AB288" s="3"/>
      <c r="AC288" s="3"/>
      <c r="AD288" s="3"/>
      <c r="AE288" s="3"/>
      <c r="AF288" s="3"/>
      <c r="AG288" s="3"/>
      <c r="AH288" s="3"/>
      <c r="AI288" s="3"/>
      <c r="AJ288" s="3"/>
      <c r="AK288" s="3"/>
      <c r="AL288" s="3"/>
      <c r="AM288" s="3"/>
      <c r="AN288" s="3"/>
      <c r="AO288" s="3"/>
    </row>
    <row r="289" spans="2:41" x14ac:dyDescent="0.25">
      <c r="B289" s="13"/>
      <c r="C289" s="14"/>
      <c r="D289" s="60"/>
      <c r="E289" s="56"/>
      <c r="F289" s="56"/>
      <c r="G289" s="14"/>
      <c r="H289" s="56"/>
      <c r="I289" s="14"/>
      <c r="J289" s="14"/>
      <c r="K289" s="14"/>
      <c r="L289" s="14"/>
      <c r="M289" s="14"/>
      <c r="N289" s="14"/>
      <c r="O289" s="14"/>
      <c r="P289" s="14"/>
      <c r="Q289" s="14"/>
      <c r="R289" s="14"/>
      <c r="S289" s="14"/>
      <c r="T289" s="14"/>
      <c r="U289" s="14"/>
      <c r="V289" s="14"/>
      <c r="W289" s="14"/>
      <c r="X289" s="14"/>
      <c r="Y289" s="14"/>
      <c r="Z289" s="14"/>
      <c r="AA289" s="15"/>
      <c r="AB289" s="3"/>
      <c r="AC289" s="3"/>
      <c r="AD289" s="3"/>
      <c r="AE289" s="3"/>
      <c r="AF289" s="3"/>
      <c r="AG289" s="3"/>
      <c r="AH289" s="3"/>
      <c r="AI289" s="3"/>
      <c r="AJ289" s="3"/>
      <c r="AK289" s="3"/>
      <c r="AL289" s="3"/>
      <c r="AM289" s="3"/>
      <c r="AN289" s="3"/>
      <c r="AO289" s="3"/>
    </row>
    <row r="290" spans="2:41" x14ac:dyDescent="0.25">
      <c r="B290" s="13"/>
      <c r="C290" s="14"/>
      <c r="D290" s="60"/>
      <c r="E290" s="56"/>
      <c r="F290" s="56"/>
      <c r="G290" s="14"/>
      <c r="H290" s="56"/>
      <c r="I290" s="14"/>
      <c r="J290" s="14"/>
      <c r="K290" s="14"/>
      <c r="L290" s="14"/>
      <c r="M290" s="14"/>
      <c r="N290" s="14"/>
      <c r="O290" s="14"/>
      <c r="P290" s="14"/>
      <c r="Q290" s="14"/>
      <c r="R290" s="14"/>
      <c r="S290" s="14"/>
      <c r="T290" s="14"/>
      <c r="U290" s="14"/>
      <c r="V290" s="14"/>
      <c r="W290" s="14"/>
      <c r="X290" s="14"/>
      <c r="Y290" s="14"/>
      <c r="Z290" s="14"/>
      <c r="AA290" s="15"/>
      <c r="AB290" s="3"/>
      <c r="AC290" s="3"/>
      <c r="AD290" s="3"/>
      <c r="AE290" s="3"/>
      <c r="AF290" s="3"/>
      <c r="AG290" s="3"/>
      <c r="AH290" s="3"/>
      <c r="AI290" s="3"/>
      <c r="AJ290" s="3"/>
      <c r="AK290" s="3"/>
      <c r="AL290" s="3"/>
      <c r="AM290" s="3"/>
      <c r="AN290" s="3"/>
      <c r="AO290" s="3"/>
    </row>
    <row r="291" spans="2:41" x14ac:dyDescent="0.25">
      <c r="B291" s="13"/>
      <c r="C291" s="56"/>
      <c r="D291" s="60"/>
      <c r="E291" s="56"/>
      <c r="F291" s="56"/>
      <c r="G291" s="56"/>
      <c r="H291" s="56"/>
      <c r="I291" s="14"/>
      <c r="J291" s="14"/>
      <c r="K291" s="14"/>
      <c r="L291" s="14"/>
      <c r="M291" s="14"/>
      <c r="N291" s="14"/>
      <c r="O291" s="14"/>
      <c r="P291" s="14"/>
      <c r="Q291" s="14"/>
      <c r="R291" s="14"/>
      <c r="S291" s="14"/>
      <c r="T291" s="14"/>
      <c r="U291" s="14"/>
      <c r="V291" s="14"/>
      <c r="W291" s="14"/>
      <c r="X291" s="14"/>
      <c r="Y291" s="14"/>
      <c r="Z291" s="14"/>
      <c r="AA291" s="15"/>
      <c r="AB291" s="3"/>
      <c r="AC291" s="3"/>
      <c r="AD291" s="3"/>
      <c r="AE291" s="3"/>
      <c r="AF291" s="3"/>
      <c r="AG291" s="3"/>
      <c r="AH291" s="3"/>
      <c r="AI291" s="3"/>
      <c r="AJ291" s="3"/>
      <c r="AK291" s="3"/>
      <c r="AL291" s="3"/>
      <c r="AM291" s="3"/>
      <c r="AN291" s="3"/>
      <c r="AO291" s="3"/>
    </row>
    <row r="292" spans="2:41" x14ac:dyDescent="0.25">
      <c r="B292" s="13"/>
      <c r="C292" s="14"/>
      <c r="D292" s="60"/>
      <c r="E292" s="56"/>
      <c r="F292" s="56"/>
      <c r="G292" s="14"/>
      <c r="H292" s="56"/>
      <c r="I292" s="14"/>
      <c r="J292" s="14"/>
      <c r="K292" s="14"/>
      <c r="L292" s="14"/>
      <c r="M292" s="14"/>
      <c r="N292" s="14"/>
      <c r="O292" s="14"/>
      <c r="P292" s="14"/>
      <c r="Q292" s="14"/>
      <c r="R292" s="14"/>
      <c r="S292" s="14"/>
      <c r="T292" s="14"/>
      <c r="U292" s="14"/>
      <c r="V292" s="14"/>
      <c r="W292" s="14"/>
      <c r="X292" s="14"/>
      <c r="Y292" s="14"/>
      <c r="Z292" s="14"/>
      <c r="AA292" s="15"/>
      <c r="AB292" s="3"/>
      <c r="AC292" s="3"/>
      <c r="AD292" s="3"/>
      <c r="AE292" s="3"/>
      <c r="AF292" s="3"/>
      <c r="AG292" s="3"/>
      <c r="AH292" s="3"/>
      <c r="AI292" s="3"/>
      <c r="AJ292" s="3"/>
      <c r="AK292" s="3"/>
      <c r="AL292" s="3"/>
      <c r="AM292" s="3"/>
      <c r="AN292" s="3"/>
      <c r="AO292" s="3"/>
    </row>
    <row r="293" spans="2:41" x14ac:dyDescent="0.25">
      <c r="B293" s="13"/>
      <c r="C293" s="14"/>
      <c r="D293" s="14"/>
      <c r="E293" s="56"/>
      <c r="F293" s="56"/>
      <c r="G293" s="14"/>
      <c r="H293" s="56"/>
      <c r="I293" s="14"/>
      <c r="J293" s="14"/>
      <c r="K293" s="14"/>
      <c r="L293" s="14"/>
      <c r="M293" s="14"/>
      <c r="N293" s="14"/>
      <c r="O293" s="14"/>
      <c r="P293" s="14"/>
      <c r="Q293" s="14"/>
      <c r="R293" s="14"/>
      <c r="S293" s="14"/>
      <c r="T293" s="14"/>
      <c r="U293" s="14"/>
      <c r="V293" s="14"/>
      <c r="W293" s="14"/>
      <c r="X293" s="14"/>
      <c r="Y293" s="14"/>
      <c r="Z293" s="14"/>
      <c r="AA293" s="15"/>
      <c r="AB293" s="3"/>
      <c r="AC293" s="3"/>
      <c r="AD293" s="3"/>
      <c r="AE293" s="3"/>
      <c r="AF293" s="3"/>
      <c r="AG293" s="3"/>
      <c r="AH293" s="3"/>
      <c r="AI293" s="3"/>
      <c r="AJ293" s="3"/>
      <c r="AK293" s="3"/>
      <c r="AL293" s="3"/>
      <c r="AM293" s="3"/>
      <c r="AN293" s="3"/>
      <c r="AO293" s="3"/>
    </row>
    <row r="294" spans="2:41" x14ac:dyDescent="0.25">
      <c r="B294" s="13"/>
      <c r="C294" s="14"/>
      <c r="D294" s="60"/>
      <c r="E294" s="56"/>
      <c r="F294" s="56"/>
      <c r="G294" s="14"/>
      <c r="H294" s="14"/>
      <c r="I294" s="14"/>
      <c r="J294" s="14"/>
      <c r="K294" s="14"/>
      <c r="L294" s="14"/>
      <c r="M294" s="14"/>
      <c r="N294" s="14"/>
      <c r="O294" s="14"/>
      <c r="P294" s="14"/>
      <c r="Q294" s="14"/>
      <c r="R294" s="14"/>
      <c r="S294" s="14"/>
      <c r="T294" s="14"/>
      <c r="U294" s="14"/>
      <c r="V294" s="14"/>
      <c r="W294" s="14"/>
      <c r="X294" s="14"/>
      <c r="Y294" s="14"/>
      <c r="Z294" s="14"/>
      <c r="AA294" s="15"/>
      <c r="AB294" s="3"/>
      <c r="AC294" s="3"/>
      <c r="AD294" s="3"/>
      <c r="AE294" s="3"/>
      <c r="AF294" s="3"/>
      <c r="AG294" s="3"/>
      <c r="AH294" s="3"/>
      <c r="AI294" s="3"/>
      <c r="AJ294" s="3"/>
      <c r="AK294" s="3"/>
      <c r="AL294" s="3"/>
      <c r="AM294" s="3"/>
      <c r="AN294" s="3"/>
      <c r="AO294" s="3"/>
    </row>
    <row r="295" spans="2:41" x14ac:dyDescent="0.25">
      <c r="B295" s="13"/>
      <c r="C295" s="14"/>
      <c r="D295" s="60"/>
      <c r="E295" s="56"/>
      <c r="F295" s="56"/>
      <c r="G295" s="14"/>
      <c r="H295" s="56"/>
      <c r="I295" s="14"/>
      <c r="J295" s="14"/>
      <c r="K295" s="14"/>
      <c r="L295" s="14"/>
      <c r="M295" s="14"/>
      <c r="N295" s="14"/>
      <c r="O295" s="14"/>
      <c r="P295" s="14"/>
      <c r="Q295" s="14"/>
      <c r="R295" s="14"/>
      <c r="S295" s="14"/>
      <c r="T295" s="14"/>
      <c r="U295" s="14"/>
      <c r="V295" s="14"/>
      <c r="W295" s="14"/>
      <c r="X295" s="14"/>
      <c r="Y295" s="14"/>
      <c r="Z295" s="14"/>
      <c r="AA295" s="15"/>
      <c r="AB295" s="3"/>
      <c r="AC295" s="3"/>
      <c r="AD295" s="3"/>
      <c r="AE295" s="3"/>
      <c r="AF295" s="3"/>
      <c r="AG295" s="3"/>
      <c r="AH295" s="3"/>
      <c r="AI295" s="3"/>
      <c r="AJ295" s="3"/>
      <c r="AK295" s="3"/>
      <c r="AL295" s="3"/>
      <c r="AM295" s="3"/>
      <c r="AN295" s="3"/>
      <c r="AO295" s="3"/>
    </row>
    <row r="296" spans="2:41" ht="18.75" x14ac:dyDescent="0.3">
      <c r="B296" s="67"/>
      <c r="C296" s="14"/>
      <c r="D296" s="60"/>
      <c r="E296" s="56"/>
      <c r="F296" s="56"/>
      <c r="G296" s="14"/>
      <c r="H296" s="56"/>
      <c r="I296" s="74"/>
      <c r="J296" s="14"/>
      <c r="K296" s="14"/>
      <c r="L296" s="14"/>
      <c r="M296" s="14"/>
      <c r="N296" s="14"/>
      <c r="O296" s="14"/>
      <c r="P296" s="14"/>
      <c r="Q296" s="14"/>
      <c r="R296" s="14"/>
      <c r="S296" s="14"/>
      <c r="T296" s="14"/>
      <c r="U296" s="14"/>
      <c r="V296" s="14"/>
      <c r="W296" s="14"/>
      <c r="X296" s="14"/>
      <c r="Y296" s="14"/>
      <c r="Z296" s="14"/>
      <c r="AA296" s="15"/>
      <c r="AB296" s="3"/>
      <c r="AC296" s="3"/>
      <c r="AD296" s="3"/>
      <c r="AE296" s="3"/>
      <c r="AF296" s="3"/>
      <c r="AG296" s="3"/>
      <c r="AH296" s="3"/>
      <c r="AI296" s="3"/>
      <c r="AJ296" s="3"/>
      <c r="AK296" s="3"/>
      <c r="AL296" s="3"/>
      <c r="AM296" s="3"/>
      <c r="AN296" s="3"/>
      <c r="AO296" s="3"/>
    </row>
    <row r="297" spans="2:41" x14ac:dyDescent="0.25">
      <c r="B297" s="13"/>
      <c r="C297" s="14"/>
      <c r="D297" s="60"/>
      <c r="E297" s="56"/>
      <c r="F297" s="56"/>
      <c r="G297" s="14"/>
      <c r="H297" s="56"/>
      <c r="I297" s="14"/>
      <c r="J297" s="14"/>
      <c r="K297" s="14"/>
      <c r="L297" s="14"/>
      <c r="M297" s="14"/>
      <c r="N297" s="14"/>
      <c r="O297" s="14"/>
      <c r="P297" s="14"/>
      <c r="Q297" s="14"/>
      <c r="R297" s="14"/>
      <c r="S297" s="14"/>
      <c r="T297" s="14"/>
      <c r="U297" s="14"/>
      <c r="V297" s="14"/>
      <c r="W297" s="14"/>
      <c r="X297" s="14"/>
      <c r="Y297" s="14"/>
      <c r="Z297" s="14"/>
      <c r="AA297" s="15"/>
      <c r="AB297" s="3"/>
      <c r="AC297" s="3"/>
      <c r="AD297" s="3"/>
      <c r="AE297" s="3"/>
      <c r="AF297" s="3"/>
      <c r="AG297" s="3"/>
      <c r="AH297" s="3"/>
      <c r="AI297" s="3"/>
      <c r="AJ297" s="3"/>
      <c r="AK297" s="3"/>
      <c r="AL297" s="3"/>
      <c r="AM297" s="3"/>
      <c r="AN297" s="3"/>
      <c r="AO297" s="3"/>
    </row>
    <row r="298" spans="2:41" x14ac:dyDescent="0.25">
      <c r="B298" s="13"/>
      <c r="C298" s="56"/>
      <c r="D298" s="60"/>
      <c r="E298" s="56"/>
      <c r="F298" s="56"/>
      <c r="G298" s="56"/>
      <c r="H298" s="56"/>
      <c r="I298" s="14"/>
      <c r="J298" s="14"/>
      <c r="K298" s="14"/>
      <c r="L298" s="14"/>
      <c r="M298" s="14"/>
      <c r="N298" s="14"/>
      <c r="O298" s="14"/>
      <c r="P298" s="14"/>
      <c r="Q298" s="14"/>
      <c r="R298" s="14"/>
      <c r="S298" s="14"/>
      <c r="T298" s="14"/>
      <c r="U298" s="14"/>
      <c r="V298" s="14"/>
      <c r="W298" s="14"/>
      <c r="X298" s="14"/>
      <c r="Y298" s="14"/>
      <c r="Z298" s="14"/>
      <c r="AA298" s="15"/>
      <c r="AB298" s="3"/>
      <c r="AC298" s="3"/>
      <c r="AD298" s="3"/>
      <c r="AE298" s="3"/>
      <c r="AF298" s="3"/>
      <c r="AG298" s="3"/>
      <c r="AH298" s="3"/>
      <c r="AI298" s="3"/>
      <c r="AJ298" s="3"/>
      <c r="AK298" s="3"/>
      <c r="AL298" s="3"/>
      <c r="AM298" s="3"/>
      <c r="AN298" s="3"/>
      <c r="AO298" s="3"/>
    </row>
    <row r="299" spans="2:41" x14ac:dyDescent="0.25">
      <c r="B299" s="13"/>
      <c r="C299" s="14"/>
      <c r="D299" s="60"/>
      <c r="E299" s="56"/>
      <c r="F299" s="56"/>
      <c r="G299" s="14"/>
      <c r="H299" s="56"/>
      <c r="I299" s="14"/>
      <c r="J299" s="14"/>
      <c r="K299" s="14"/>
      <c r="L299" s="14"/>
      <c r="M299" s="14"/>
      <c r="N299" s="14"/>
      <c r="O299" s="14"/>
      <c r="P299" s="14"/>
      <c r="Q299" s="14"/>
      <c r="R299" s="14"/>
      <c r="S299" s="14"/>
      <c r="T299" s="14"/>
      <c r="U299" s="14"/>
      <c r="V299" s="14"/>
      <c r="W299" s="14"/>
      <c r="X299" s="14"/>
      <c r="Y299" s="14"/>
      <c r="Z299" s="14"/>
      <c r="AA299" s="15"/>
      <c r="AB299" s="3"/>
      <c r="AC299" s="3"/>
      <c r="AD299" s="3"/>
      <c r="AE299" s="3"/>
      <c r="AF299" s="3"/>
      <c r="AG299" s="3"/>
      <c r="AH299" s="3"/>
      <c r="AI299" s="3"/>
      <c r="AJ299" s="3"/>
      <c r="AK299" s="3"/>
      <c r="AL299" s="3"/>
      <c r="AM299" s="3"/>
      <c r="AN299" s="3"/>
      <c r="AO299" s="3"/>
    </row>
    <row r="300" spans="2:41" x14ac:dyDescent="0.25">
      <c r="B300" s="13"/>
      <c r="C300" s="14"/>
      <c r="D300" s="14"/>
      <c r="E300" s="56"/>
      <c r="F300" s="56"/>
      <c r="G300" s="14"/>
      <c r="H300" s="56"/>
      <c r="I300" s="14"/>
      <c r="J300" s="14"/>
      <c r="K300" s="14"/>
      <c r="L300" s="14"/>
      <c r="M300" s="14"/>
      <c r="N300" s="14"/>
      <c r="O300" s="14"/>
      <c r="P300" s="14"/>
      <c r="Q300" s="14"/>
      <c r="R300" s="14"/>
      <c r="S300" s="14"/>
      <c r="T300" s="14"/>
      <c r="U300" s="14"/>
      <c r="V300" s="14"/>
      <c r="W300" s="14"/>
      <c r="X300" s="14"/>
      <c r="Y300" s="14"/>
      <c r="Z300" s="14"/>
      <c r="AA300" s="15"/>
      <c r="AB300" s="3"/>
      <c r="AC300" s="3"/>
      <c r="AD300" s="3"/>
      <c r="AE300" s="3"/>
      <c r="AF300" s="3"/>
      <c r="AG300" s="3"/>
      <c r="AH300" s="3"/>
      <c r="AI300" s="3"/>
      <c r="AJ300" s="3"/>
      <c r="AK300" s="3"/>
      <c r="AL300" s="3"/>
      <c r="AM300" s="3"/>
      <c r="AN300" s="3"/>
      <c r="AO300" s="3"/>
    </row>
    <row r="301" spans="2:41" x14ac:dyDescent="0.25">
      <c r="B301" s="13"/>
      <c r="C301" s="14"/>
      <c r="D301" s="60"/>
      <c r="E301" s="56"/>
      <c r="F301" s="56"/>
      <c r="G301" s="14"/>
      <c r="H301" s="14"/>
      <c r="I301" s="14"/>
      <c r="J301" s="14"/>
      <c r="K301" s="14"/>
      <c r="L301" s="14"/>
      <c r="M301" s="14"/>
      <c r="N301" s="14"/>
      <c r="O301" s="14"/>
      <c r="P301" s="14"/>
      <c r="Q301" s="14"/>
      <c r="R301" s="14"/>
      <c r="S301" s="14"/>
      <c r="T301" s="14"/>
      <c r="U301" s="14"/>
      <c r="V301" s="14"/>
      <c r="W301" s="14"/>
      <c r="X301" s="14"/>
      <c r="Y301" s="14"/>
      <c r="Z301" s="14"/>
      <c r="AA301" s="15"/>
      <c r="AB301" s="3"/>
      <c r="AC301" s="3"/>
      <c r="AD301" s="3"/>
      <c r="AE301" s="3"/>
      <c r="AF301" s="3"/>
      <c r="AG301" s="3"/>
      <c r="AH301" s="3"/>
      <c r="AI301" s="3"/>
      <c r="AJ301" s="3"/>
      <c r="AK301" s="3"/>
      <c r="AL301" s="3"/>
      <c r="AM301" s="3"/>
      <c r="AN301" s="3"/>
      <c r="AO301" s="3"/>
    </row>
    <row r="302" spans="2:41" x14ac:dyDescent="0.25">
      <c r="B302" s="13"/>
      <c r="C302" s="14"/>
      <c r="D302" s="60"/>
      <c r="E302" s="56"/>
      <c r="F302" s="56"/>
      <c r="G302" s="14"/>
      <c r="H302" s="56"/>
      <c r="I302" s="14"/>
      <c r="J302" s="14"/>
      <c r="K302" s="14"/>
      <c r="L302" s="14"/>
      <c r="M302" s="14"/>
      <c r="N302" s="14"/>
      <c r="O302" s="14"/>
      <c r="P302" s="14"/>
      <c r="Q302" s="14"/>
      <c r="R302" s="14"/>
      <c r="S302" s="14"/>
      <c r="T302" s="14"/>
      <c r="U302" s="14"/>
      <c r="V302" s="14"/>
      <c r="W302" s="14"/>
      <c r="X302" s="14"/>
      <c r="Y302" s="14"/>
      <c r="Z302" s="14"/>
      <c r="AA302" s="15"/>
      <c r="AB302" s="3"/>
      <c r="AC302" s="3"/>
      <c r="AD302" s="3"/>
      <c r="AE302" s="3"/>
      <c r="AF302" s="3"/>
      <c r="AG302" s="3"/>
      <c r="AH302" s="3"/>
      <c r="AI302" s="3"/>
      <c r="AJ302" s="3"/>
      <c r="AK302" s="3"/>
      <c r="AL302" s="3"/>
      <c r="AM302" s="3"/>
      <c r="AN302" s="3"/>
      <c r="AO302" s="3"/>
    </row>
    <row r="303" spans="2:41" x14ac:dyDescent="0.25">
      <c r="B303" s="13"/>
      <c r="C303" s="14"/>
      <c r="D303" s="60"/>
      <c r="E303" s="56"/>
      <c r="F303" s="56"/>
      <c r="G303" s="14"/>
      <c r="H303" s="56"/>
      <c r="I303" s="14"/>
      <c r="J303" s="14"/>
      <c r="K303" s="14"/>
      <c r="L303" s="14"/>
      <c r="M303" s="14"/>
      <c r="N303" s="14"/>
      <c r="O303" s="14"/>
      <c r="P303" s="14"/>
      <c r="Q303" s="14"/>
      <c r="R303" s="14"/>
      <c r="S303" s="14"/>
      <c r="T303" s="14"/>
      <c r="U303" s="14"/>
      <c r="V303" s="14"/>
      <c r="W303" s="14"/>
      <c r="X303" s="14"/>
      <c r="Y303" s="14"/>
      <c r="Z303" s="14"/>
      <c r="AA303" s="15"/>
      <c r="AB303" s="3"/>
      <c r="AC303" s="3"/>
      <c r="AD303" s="3"/>
      <c r="AE303" s="3"/>
      <c r="AF303" s="3"/>
      <c r="AG303" s="3"/>
      <c r="AH303" s="3"/>
      <c r="AI303" s="3"/>
      <c r="AJ303" s="3"/>
      <c r="AK303" s="3"/>
      <c r="AL303" s="3"/>
      <c r="AM303" s="3"/>
      <c r="AN303" s="3"/>
      <c r="AO303" s="3"/>
    </row>
    <row r="304" spans="2:41" ht="18.75" x14ac:dyDescent="0.3">
      <c r="B304" s="67"/>
      <c r="C304" s="14"/>
      <c r="D304" s="60"/>
      <c r="E304" s="56"/>
      <c r="F304" s="56"/>
      <c r="G304" s="14"/>
      <c r="H304" s="56"/>
      <c r="I304" s="74"/>
      <c r="J304" s="14"/>
      <c r="K304" s="14"/>
      <c r="L304" s="14"/>
      <c r="M304" s="14"/>
      <c r="N304" s="14"/>
      <c r="O304" s="14"/>
      <c r="P304" s="14"/>
      <c r="Q304" s="14"/>
      <c r="R304" s="14"/>
      <c r="S304" s="14"/>
      <c r="T304" s="14"/>
      <c r="U304" s="14"/>
      <c r="V304" s="14"/>
      <c r="W304" s="14"/>
      <c r="X304" s="14"/>
      <c r="Y304" s="14"/>
      <c r="Z304" s="14"/>
      <c r="AA304" s="15"/>
      <c r="AB304" s="3"/>
      <c r="AC304" s="3"/>
      <c r="AD304" s="3"/>
      <c r="AE304" s="3"/>
      <c r="AF304" s="3"/>
      <c r="AG304" s="3"/>
      <c r="AH304" s="3"/>
      <c r="AI304" s="3"/>
      <c r="AJ304" s="3"/>
      <c r="AK304" s="3"/>
      <c r="AL304" s="3"/>
      <c r="AM304" s="3"/>
      <c r="AN304" s="3"/>
      <c r="AO304" s="3"/>
    </row>
    <row r="305" spans="2:41" x14ac:dyDescent="0.25">
      <c r="B305" s="13"/>
      <c r="C305" s="56"/>
      <c r="D305" s="60"/>
      <c r="E305" s="56"/>
      <c r="F305" s="56"/>
      <c r="G305" s="56"/>
      <c r="H305" s="56"/>
      <c r="I305" s="14"/>
      <c r="J305" s="14"/>
      <c r="K305" s="14"/>
      <c r="L305" s="14"/>
      <c r="M305" s="14"/>
      <c r="N305" s="14"/>
      <c r="O305" s="14"/>
      <c r="P305" s="14"/>
      <c r="Q305" s="14"/>
      <c r="R305" s="14"/>
      <c r="S305" s="14"/>
      <c r="T305" s="14"/>
      <c r="U305" s="14"/>
      <c r="V305" s="14"/>
      <c r="W305" s="14"/>
      <c r="X305" s="14"/>
      <c r="Y305" s="14"/>
      <c r="Z305" s="14"/>
      <c r="AA305" s="15"/>
      <c r="AB305" s="3"/>
      <c r="AC305" s="3"/>
      <c r="AD305" s="3"/>
      <c r="AE305" s="3"/>
      <c r="AF305" s="3"/>
      <c r="AG305" s="3"/>
      <c r="AH305" s="3"/>
      <c r="AI305" s="3"/>
      <c r="AJ305" s="3"/>
      <c r="AK305" s="3"/>
      <c r="AL305" s="3"/>
      <c r="AM305" s="3"/>
      <c r="AN305" s="3"/>
      <c r="AO305" s="3"/>
    </row>
    <row r="306" spans="2:41" x14ac:dyDescent="0.25">
      <c r="B306" s="13"/>
      <c r="C306" s="14"/>
      <c r="D306" s="60"/>
      <c r="E306" s="56"/>
      <c r="F306" s="56"/>
      <c r="G306" s="14"/>
      <c r="H306" s="56"/>
      <c r="I306" s="14"/>
      <c r="J306" s="14"/>
      <c r="K306" s="14"/>
      <c r="L306" s="14"/>
      <c r="M306" s="14"/>
      <c r="N306" s="14"/>
      <c r="O306" s="14"/>
      <c r="P306" s="14"/>
      <c r="Q306" s="14"/>
      <c r="R306" s="14"/>
      <c r="S306" s="14"/>
      <c r="T306" s="14"/>
      <c r="U306" s="14"/>
      <c r="V306" s="14"/>
      <c r="W306" s="14"/>
      <c r="X306" s="14"/>
      <c r="Y306" s="14"/>
      <c r="Z306" s="14"/>
      <c r="AA306" s="15"/>
      <c r="AB306" s="3"/>
      <c r="AC306" s="3"/>
      <c r="AD306" s="3"/>
      <c r="AE306" s="3"/>
      <c r="AF306" s="3"/>
      <c r="AG306" s="3"/>
      <c r="AH306" s="3"/>
      <c r="AI306" s="3"/>
      <c r="AJ306" s="3"/>
      <c r="AK306" s="3"/>
      <c r="AL306" s="3"/>
      <c r="AM306" s="3"/>
      <c r="AN306" s="3"/>
      <c r="AO306" s="3"/>
    </row>
    <row r="307" spans="2:41" x14ac:dyDescent="0.25">
      <c r="B307" s="13"/>
      <c r="C307" s="14"/>
      <c r="D307" s="14"/>
      <c r="E307" s="56"/>
      <c r="F307" s="56"/>
      <c r="G307" s="14"/>
      <c r="H307" s="56"/>
      <c r="I307" s="14"/>
      <c r="J307" s="14"/>
      <c r="K307" s="14"/>
      <c r="L307" s="14"/>
      <c r="M307" s="14"/>
      <c r="N307" s="14"/>
      <c r="O307" s="14"/>
      <c r="P307" s="14"/>
      <c r="Q307" s="14"/>
      <c r="R307" s="14"/>
      <c r="S307" s="14"/>
      <c r="T307" s="14"/>
      <c r="U307" s="14"/>
      <c r="V307" s="14"/>
      <c r="W307" s="14"/>
      <c r="X307" s="14"/>
      <c r="Y307" s="14"/>
      <c r="Z307" s="14"/>
      <c r="AA307" s="15"/>
      <c r="AB307" s="3"/>
      <c r="AC307" s="3"/>
      <c r="AD307" s="3"/>
      <c r="AE307" s="3"/>
      <c r="AF307" s="3"/>
      <c r="AG307" s="3"/>
      <c r="AH307" s="3"/>
      <c r="AI307" s="3"/>
      <c r="AJ307" s="3"/>
      <c r="AK307" s="3"/>
      <c r="AL307" s="3"/>
      <c r="AM307" s="3"/>
      <c r="AN307" s="3"/>
      <c r="AO307" s="3"/>
    </row>
    <row r="308" spans="2:41" x14ac:dyDescent="0.25">
      <c r="B308" s="13"/>
      <c r="C308" s="14"/>
      <c r="D308" s="60"/>
      <c r="E308" s="56"/>
      <c r="F308" s="56"/>
      <c r="G308" s="14"/>
      <c r="H308" s="14"/>
      <c r="I308" s="14"/>
      <c r="J308" s="14"/>
      <c r="K308" s="14"/>
      <c r="L308" s="14"/>
      <c r="M308" s="14"/>
      <c r="N308" s="14"/>
      <c r="O308" s="14"/>
      <c r="P308" s="14"/>
      <c r="Q308" s="14"/>
      <c r="R308" s="14"/>
      <c r="S308" s="14"/>
      <c r="T308" s="14"/>
      <c r="U308" s="14"/>
      <c r="V308" s="14"/>
      <c r="W308" s="14"/>
      <c r="X308" s="14"/>
      <c r="Y308" s="14"/>
      <c r="Z308" s="14"/>
      <c r="AA308" s="15"/>
      <c r="AB308" s="3"/>
      <c r="AC308" s="3"/>
      <c r="AD308" s="3"/>
      <c r="AE308" s="3"/>
      <c r="AF308" s="3"/>
      <c r="AG308" s="3"/>
      <c r="AH308" s="3"/>
      <c r="AI308" s="3"/>
      <c r="AJ308" s="3"/>
      <c r="AK308" s="3"/>
      <c r="AL308" s="3"/>
      <c r="AM308" s="3"/>
      <c r="AN308" s="3"/>
      <c r="AO308" s="3"/>
    </row>
    <row r="309" spans="2:41" x14ac:dyDescent="0.25">
      <c r="B309" s="13"/>
      <c r="C309" s="14"/>
      <c r="D309" s="60"/>
      <c r="E309" s="56"/>
      <c r="F309" s="56"/>
      <c r="G309" s="14"/>
      <c r="H309" s="56"/>
      <c r="I309" s="14"/>
      <c r="J309" s="14"/>
      <c r="K309" s="14"/>
      <c r="L309" s="14"/>
      <c r="M309" s="14"/>
      <c r="N309" s="14"/>
      <c r="O309" s="14"/>
      <c r="P309" s="14"/>
      <c r="Q309" s="14"/>
      <c r="R309" s="14"/>
      <c r="S309" s="14"/>
      <c r="T309" s="14"/>
      <c r="U309" s="14"/>
      <c r="V309" s="14"/>
      <c r="W309" s="14"/>
      <c r="X309" s="14"/>
      <c r="Y309" s="14"/>
      <c r="Z309" s="14"/>
      <c r="AA309" s="15"/>
      <c r="AB309" s="3"/>
      <c r="AC309" s="3"/>
      <c r="AD309" s="3"/>
      <c r="AE309" s="3"/>
      <c r="AF309" s="3"/>
      <c r="AG309" s="3"/>
      <c r="AH309" s="3"/>
      <c r="AI309" s="3"/>
      <c r="AJ309" s="3"/>
      <c r="AK309" s="3"/>
      <c r="AL309" s="3"/>
      <c r="AM309" s="3"/>
      <c r="AN309" s="3"/>
      <c r="AO309" s="3"/>
    </row>
    <row r="310" spans="2:41" x14ac:dyDescent="0.25">
      <c r="B310" s="13"/>
      <c r="C310" s="14"/>
      <c r="D310" s="60"/>
      <c r="E310" s="56"/>
      <c r="F310" s="56"/>
      <c r="G310" s="14"/>
      <c r="H310" s="56"/>
      <c r="I310" s="14"/>
      <c r="J310" s="14"/>
      <c r="K310" s="14"/>
      <c r="L310" s="14"/>
      <c r="M310" s="14"/>
      <c r="N310" s="14"/>
      <c r="O310" s="14"/>
      <c r="P310" s="14"/>
      <c r="Q310" s="14"/>
      <c r="R310" s="14"/>
      <c r="S310" s="14"/>
      <c r="T310" s="14"/>
      <c r="U310" s="14"/>
      <c r="V310" s="14"/>
      <c r="W310" s="14"/>
      <c r="X310" s="14"/>
      <c r="Y310" s="14"/>
      <c r="Z310" s="14"/>
      <c r="AA310" s="15"/>
      <c r="AB310" s="3"/>
      <c r="AC310" s="3"/>
      <c r="AD310" s="3"/>
      <c r="AE310" s="3"/>
      <c r="AF310" s="3"/>
      <c r="AG310" s="3"/>
      <c r="AH310" s="3"/>
      <c r="AI310" s="3"/>
      <c r="AJ310" s="3"/>
      <c r="AK310" s="3"/>
      <c r="AL310" s="3"/>
      <c r="AM310" s="3"/>
      <c r="AN310" s="3"/>
      <c r="AO310" s="3"/>
    </row>
    <row r="311" spans="2:41" x14ac:dyDescent="0.25">
      <c r="B311" s="13"/>
      <c r="C311" s="14"/>
      <c r="D311" s="60"/>
      <c r="E311" s="56"/>
      <c r="F311" s="56"/>
      <c r="G311" s="14"/>
      <c r="H311" s="56"/>
      <c r="I311" s="14"/>
      <c r="J311" s="14"/>
      <c r="K311" s="14"/>
      <c r="L311" s="14"/>
      <c r="M311" s="14"/>
      <c r="N311" s="14"/>
      <c r="O311" s="14"/>
      <c r="P311" s="14"/>
      <c r="Q311" s="14"/>
      <c r="R311" s="14"/>
      <c r="S311" s="14"/>
      <c r="T311" s="14"/>
      <c r="U311" s="14"/>
      <c r="V311" s="14"/>
      <c r="W311" s="14"/>
      <c r="X311" s="14"/>
      <c r="Y311" s="14"/>
      <c r="Z311" s="14"/>
      <c r="AA311" s="15"/>
      <c r="AB311" s="3"/>
      <c r="AC311" s="3"/>
      <c r="AD311" s="3"/>
      <c r="AE311" s="3"/>
      <c r="AF311" s="3"/>
      <c r="AG311" s="3"/>
      <c r="AH311" s="3"/>
      <c r="AI311" s="3"/>
      <c r="AJ311" s="3"/>
      <c r="AK311" s="3"/>
      <c r="AL311" s="3"/>
      <c r="AM311" s="3"/>
      <c r="AN311" s="3"/>
      <c r="AO311" s="3"/>
    </row>
    <row r="312" spans="2:41" ht="18.75" x14ac:dyDescent="0.3">
      <c r="B312" s="67"/>
      <c r="C312" s="56"/>
      <c r="D312" s="60"/>
      <c r="E312" s="56"/>
      <c r="F312" s="56"/>
      <c r="G312" s="56"/>
      <c r="H312" s="56"/>
      <c r="I312" s="74"/>
      <c r="J312" s="14"/>
      <c r="K312" s="14"/>
      <c r="L312" s="14"/>
      <c r="M312" s="14"/>
      <c r="N312" s="14"/>
      <c r="O312" s="14"/>
      <c r="P312" s="14"/>
      <c r="Q312" s="14"/>
      <c r="R312" s="14"/>
      <c r="S312" s="14"/>
      <c r="T312" s="14"/>
      <c r="U312" s="14"/>
      <c r="V312" s="14"/>
      <c r="W312" s="14"/>
      <c r="X312" s="14"/>
      <c r="Y312" s="14"/>
      <c r="Z312" s="14"/>
      <c r="AA312" s="15"/>
      <c r="AB312" s="3"/>
      <c r="AC312" s="3"/>
      <c r="AD312" s="3"/>
      <c r="AE312" s="3"/>
      <c r="AF312" s="3"/>
      <c r="AG312" s="3"/>
      <c r="AH312" s="3"/>
      <c r="AI312" s="3"/>
      <c r="AJ312" s="3"/>
      <c r="AK312" s="3"/>
      <c r="AL312" s="3"/>
      <c r="AM312" s="3"/>
      <c r="AN312" s="3"/>
      <c r="AO312" s="3"/>
    </row>
    <row r="313" spans="2:41" x14ac:dyDescent="0.25">
      <c r="B313" s="13"/>
      <c r="C313" s="14"/>
      <c r="D313" s="60"/>
      <c r="E313" s="56"/>
      <c r="F313" s="56"/>
      <c r="G313" s="14"/>
      <c r="H313" s="56"/>
      <c r="I313" s="14"/>
      <c r="J313" s="14"/>
      <c r="K313" s="14"/>
      <c r="L313" s="14"/>
      <c r="M313" s="14"/>
      <c r="N313" s="14"/>
      <c r="O313" s="14"/>
      <c r="P313" s="14"/>
      <c r="Q313" s="14"/>
      <c r="R313" s="14"/>
      <c r="S313" s="14"/>
      <c r="T313" s="14"/>
      <c r="U313" s="14"/>
      <c r="V313" s="14"/>
      <c r="W313" s="14"/>
      <c r="X313" s="14"/>
      <c r="Y313" s="14"/>
      <c r="Z313" s="14"/>
      <c r="AA313" s="15"/>
      <c r="AB313" s="3"/>
      <c r="AC313" s="3"/>
      <c r="AD313" s="3"/>
      <c r="AE313" s="3"/>
      <c r="AF313" s="3"/>
      <c r="AG313" s="3"/>
      <c r="AH313" s="3"/>
      <c r="AI313" s="3"/>
      <c r="AJ313" s="3"/>
      <c r="AK313" s="3"/>
      <c r="AL313" s="3"/>
      <c r="AM313" s="3"/>
      <c r="AN313" s="3"/>
      <c r="AO313" s="3"/>
    </row>
    <row r="314" spans="2:41" x14ac:dyDescent="0.25">
      <c r="B314" s="13"/>
      <c r="C314" s="14"/>
      <c r="D314" s="14"/>
      <c r="E314" s="56"/>
      <c r="F314" s="56"/>
      <c r="G314" s="14"/>
      <c r="H314" s="56"/>
      <c r="I314" s="14"/>
      <c r="J314" s="14"/>
      <c r="K314" s="14"/>
      <c r="L314" s="14"/>
      <c r="M314" s="14"/>
      <c r="N314" s="14"/>
      <c r="O314" s="14"/>
      <c r="P314" s="14"/>
      <c r="Q314" s="14"/>
      <c r="R314" s="14"/>
      <c r="S314" s="14"/>
      <c r="T314" s="14"/>
      <c r="U314" s="14"/>
      <c r="V314" s="14"/>
      <c r="W314" s="14"/>
      <c r="X314" s="14"/>
      <c r="Y314" s="14"/>
      <c r="Z314" s="14"/>
      <c r="AA314" s="15"/>
      <c r="AB314" s="3"/>
      <c r="AC314" s="3"/>
      <c r="AD314" s="3"/>
      <c r="AE314" s="3"/>
      <c r="AF314" s="3"/>
      <c r="AG314" s="3"/>
      <c r="AH314" s="3"/>
      <c r="AI314" s="3"/>
      <c r="AJ314" s="3"/>
      <c r="AK314" s="3"/>
      <c r="AL314" s="3"/>
      <c r="AM314" s="3"/>
      <c r="AN314" s="3"/>
      <c r="AO314" s="3"/>
    </row>
    <row r="315" spans="2:41" x14ac:dyDescent="0.25">
      <c r="B315" s="13"/>
      <c r="C315" s="14"/>
      <c r="D315" s="60"/>
      <c r="E315" s="56"/>
      <c r="F315" s="56"/>
      <c r="G315" s="14"/>
      <c r="H315" s="14"/>
      <c r="I315" s="14"/>
      <c r="J315" s="14"/>
      <c r="K315" s="14"/>
      <c r="L315" s="14"/>
      <c r="M315" s="14"/>
      <c r="N315" s="14"/>
      <c r="O315" s="14"/>
      <c r="P315" s="14"/>
      <c r="Q315" s="14"/>
      <c r="R315" s="14"/>
      <c r="S315" s="14"/>
      <c r="T315" s="14"/>
      <c r="U315" s="14"/>
      <c r="V315" s="14"/>
      <c r="W315" s="14"/>
      <c r="X315" s="14"/>
      <c r="Y315" s="14"/>
      <c r="Z315" s="14"/>
      <c r="AA315" s="15"/>
      <c r="AB315" s="3"/>
      <c r="AC315" s="3"/>
      <c r="AD315" s="3"/>
      <c r="AE315" s="3"/>
      <c r="AF315" s="3"/>
      <c r="AG315" s="3"/>
      <c r="AH315" s="3"/>
      <c r="AI315" s="3"/>
      <c r="AJ315" s="3"/>
      <c r="AK315" s="3"/>
      <c r="AL315" s="3"/>
      <c r="AM315" s="3"/>
      <c r="AN315" s="3"/>
      <c r="AO315" s="3"/>
    </row>
    <row r="316" spans="2:41" x14ac:dyDescent="0.25">
      <c r="B316" s="13"/>
      <c r="C316" s="14"/>
      <c r="D316" s="60"/>
      <c r="E316" s="56"/>
      <c r="F316" s="56"/>
      <c r="G316" s="14"/>
      <c r="H316" s="56"/>
      <c r="I316" s="14"/>
      <c r="J316" s="14"/>
      <c r="K316" s="14"/>
      <c r="L316" s="14"/>
      <c r="M316" s="14"/>
      <c r="N316" s="14"/>
      <c r="O316" s="14"/>
      <c r="P316" s="14"/>
      <c r="Q316" s="14"/>
      <c r="R316" s="14"/>
      <c r="S316" s="14"/>
      <c r="T316" s="14"/>
      <c r="U316" s="14"/>
      <c r="V316" s="14"/>
      <c r="W316" s="14"/>
      <c r="X316" s="14"/>
      <c r="Y316" s="14"/>
      <c r="Z316" s="14"/>
      <c r="AA316" s="15"/>
      <c r="AB316" s="3"/>
      <c r="AC316" s="3"/>
      <c r="AD316" s="3"/>
      <c r="AE316" s="3"/>
      <c r="AF316" s="3"/>
      <c r="AG316" s="3"/>
      <c r="AH316" s="3"/>
      <c r="AI316" s="3"/>
      <c r="AJ316" s="3"/>
      <c r="AK316" s="3"/>
      <c r="AL316" s="3"/>
      <c r="AM316" s="3"/>
      <c r="AN316" s="3"/>
      <c r="AO316" s="3"/>
    </row>
    <row r="317" spans="2:41" x14ac:dyDescent="0.25">
      <c r="B317" s="13"/>
      <c r="C317" s="14"/>
      <c r="D317" s="60"/>
      <c r="E317" s="56"/>
      <c r="F317" s="56"/>
      <c r="G317" s="14"/>
      <c r="H317" s="56"/>
      <c r="I317" s="14"/>
      <c r="J317" s="14"/>
      <c r="K317" s="14"/>
      <c r="L317" s="14"/>
      <c r="M317" s="14"/>
      <c r="N317" s="14"/>
      <c r="O317" s="14"/>
      <c r="P317" s="14"/>
      <c r="Q317" s="14"/>
      <c r="R317" s="14"/>
      <c r="S317" s="14"/>
      <c r="T317" s="14"/>
      <c r="U317" s="14"/>
      <c r="V317" s="14"/>
      <c r="W317" s="14"/>
      <c r="X317" s="14"/>
      <c r="Y317" s="14"/>
      <c r="Z317" s="14"/>
      <c r="AA317" s="15"/>
      <c r="AB317" s="3"/>
      <c r="AC317" s="3"/>
      <c r="AD317" s="3"/>
      <c r="AE317" s="3"/>
      <c r="AF317" s="3"/>
      <c r="AG317" s="3"/>
      <c r="AH317" s="3"/>
      <c r="AI317" s="3"/>
      <c r="AJ317" s="3"/>
      <c r="AK317" s="3"/>
      <c r="AL317" s="3"/>
      <c r="AM317" s="3"/>
      <c r="AN317" s="3"/>
      <c r="AO317" s="3"/>
    </row>
    <row r="318" spans="2:41" x14ac:dyDescent="0.25">
      <c r="B318" s="13"/>
      <c r="C318" s="14"/>
      <c r="D318" s="60"/>
      <c r="E318" s="56"/>
      <c r="F318" s="56"/>
      <c r="G318" s="14"/>
      <c r="H318" s="56"/>
      <c r="I318" s="14"/>
      <c r="J318" s="14"/>
      <c r="K318" s="14"/>
      <c r="L318" s="14"/>
      <c r="M318" s="14"/>
      <c r="N318" s="14"/>
      <c r="O318" s="14"/>
      <c r="P318" s="14"/>
      <c r="Q318" s="14"/>
      <c r="R318" s="14"/>
      <c r="S318" s="14"/>
      <c r="T318" s="14"/>
      <c r="U318" s="14"/>
      <c r="V318" s="14"/>
      <c r="W318" s="14"/>
      <c r="X318" s="14"/>
      <c r="Y318" s="14"/>
      <c r="Z318" s="14"/>
      <c r="AA318" s="15"/>
      <c r="AB318" s="3"/>
      <c r="AC318" s="3"/>
      <c r="AD318" s="3"/>
      <c r="AE318" s="3"/>
      <c r="AF318" s="3"/>
      <c r="AG318" s="3"/>
      <c r="AH318" s="3"/>
      <c r="AI318" s="3"/>
      <c r="AJ318" s="3"/>
      <c r="AK318" s="3"/>
      <c r="AL318" s="3"/>
      <c r="AM318" s="3"/>
      <c r="AN318" s="3"/>
      <c r="AO318" s="3"/>
    </row>
    <row r="319" spans="2:41" x14ac:dyDescent="0.25">
      <c r="B319" s="13"/>
      <c r="C319" s="56"/>
      <c r="D319" s="60"/>
      <c r="E319" s="56"/>
      <c r="F319" s="56"/>
      <c r="G319" s="56"/>
      <c r="H319" s="56"/>
      <c r="I319" s="14"/>
      <c r="J319" s="14"/>
      <c r="K319" s="14"/>
      <c r="L319" s="14"/>
      <c r="M319" s="14"/>
      <c r="N319" s="14"/>
      <c r="O319" s="14"/>
      <c r="P319" s="14"/>
      <c r="Q319" s="14"/>
      <c r="R319" s="14"/>
      <c r="S319" s="14"/>
      <c r="T319" s="14"/>
      <c r="U319" s="14"/>
      <c r="V319" s="14"/>
      <c r="W319" s="14"/>
      <c r="X319" s="14"/>
      <c r="Y319" s="14"/>
      <c r="Z319" s="14"/>
      <c r="AA319" s="15"/>
      <c r="AB319" s="3"/>
      <c r="AC319" s="3"/>
      <c r="AD319" s="3"/>
      <c r="AE319" s="3"/>
      <c r="AF319" s="3"/>
      <c r="AG319" s="3"/>
      <c r="AH319" s="3"/>
      <c r="AI319" s="3"/>
      <c r="AJ319" s="3"/>
      <c r="AK319" s="3"/>
      <c r="AL319" s="3"/>
      <c r="AM319" s="3"/>
      <c r="AN319" s="3"/>
      <c r="AO319" s="3"/>
    </row>
    <row r="320" spans="2:41" ht="18.75" x14ac:dyDescent="0.3">
      <c r="B320" s="67"/>
      <c r="C320" s="14"/>
      <c r="D320" s="60"/>
      <c r="E320" s="56"/>
      <c r="F320" s="56"/>
      <c r="G320" s="14"/>
      <c r="H320" s="56"/>
      <c r="I320" s="74"/>
      <c r="J320" s="14"/>
      <c r="K320" s="14"/>
      <c r="L320" s="14"/>
      <c r="M320" s="14"/>
      <c r="N320" s="14"/>
      <c r="O320" s="14"/>
      <c r="P320" s="14"/>
      <c r="Q320" s="14"/>
      <c r="R320" s="14"/>
      <c r="S320" s="14"/>
      <c r="T320" s="14"/>
      <c r="U320" s="14"/>
      <c r="V320" s="14"/>
      <c r="W320" s="14"/>
      <c r="X320" s="14"/>
      <c r="Y320" s="14"/>
      <c r="Z320" s="14"/>
      <c r="AA320" s="15"/>
      <c r="AB320" s="3"/>
      <c r="AC320" s="3"/>
      <c r="AD320" s="3"/>
      <c r="AE320" s="3"/>
      <c r="AF320" s="3"/>
      <c r="AG320" s="3"/>
      <c r="AH320" s="3"/>
      <c r="AI320" s="3"/>
      <c r="AJ320" s="3"/>
      <c r="AK320" s="3"/>
      <c r="AL320" s="3"/>
      <c r="AM320" s="3"/>
      <c r="AN320" s="3"/>
      <c r="AO320" s="3"/>
    </row>
    <row r="321" spans="2:41" x14ac:dyDescent="0.25">
      <c r="B321" s="13"/>
      <c r="C321" s="14"/>
      <c r="D321" s="14"/>
      <c r="E321" s="56"/>
      <c r="F321" s="56"/>
      <c r="G321" s="14"/>
      <c r="H321" s="56"/>
      <c r="I321" s="14"/>
      <c r="J321" s="14"/>
      <c r="K321" s="14"/>
      <c r="L321" s="14"/>
      <c r="M321" s="14"/>
      <c r="N321" s="14"/>
      <c r="O321" s="14"/>
      <c r="P321" s="14"/>
      <c r="Q321" s="14"/>
      <c r="R321" s="14"/>
      <c r="S321" s="14"/>
      <c r="T321" s="14"/>
      <c r="U321" s="14"/>
      <c r="V321" s="14"/>
      <c r="W321" s="14"/>
      <c r="X321" s="14"/>
      <c r="Y321" s="14"/>
      <c r="Z321" s="14"/>
      <c r="AA321" s="15"/>
      <c r="AB321" s="3"/>
      <c r="AC321" s="3"/>
      <c r="AD321" s="3"/>
      <c r="AE321" s="3"/>
      <c r="AF321" s="3"/>
      <c r="AG321" s="3"/>
      <c r="AH321" s="3"/>
      <c r="AI321" s="3"/>
      <c r="AJ321" s="3"/>
      <c r="AK321" s="3"/>
      <c r="AL321" s="3"/>
      <c r="AM321" s="3"/>
      <c r="AN321" s="3"/>
      <c r="AO321" s="3"/>
    </row>
    <row r="322" spans="2:41" x14ac:dyDescent="0.25">
      <c r="B322" s="13"/>
      <c r="C322" s="14"/>
      <c r="D322" s="60"/>
      <c r="E322" s="56"/>
      <c r="F322" s="56"/>
      <c r="G322" s="14"/>
      <c r="H322" s="14"/>
      <c r="I322" s="14"/>
      <c r="J322" s="14"/>
      <c r="K322" s="14"/>
      <c r="L322" s="14"/>
      <c r="M322" s="14"/>
      <c r="N322" s="14"/>
      <c r="O322" s="14"/>
      <c r="P322" s="14"/>
      <c r="Q322" s="14"/>
      <c r="R322" s="14"/>
      <c r="S322" s="14"/>
      <c r="T322" s="14"/>
      <c r="U322" s="14"/>
      <c r="V322" s="14"/>
      <c r="W322" s="14"/>
      <c r="X322" s="14"/>
      <c r="Y322" s="14"/>
      <c r="Z322" s="14"/>
      <c r="AA322" s="15"/>
      <c r="AB322" s="3"/>
      <c r="AC322" s="3"/>
      <c r="AD322" s="3"/>
      <c r="AE322" s="3"/>
      <c r="AF322" s="3"/>
      <c r="AG322" s="3"/>
      <c r="AH322" s="3"/>
      <c r="AI322" s="3"/>
      <c r="AJ322" s="3"/>
      <c r="AK322" s="3"/>
      <c r="AL322" s="3"/>
      <c r="AM322" s="3"/>
      <c r="AN322" s="3"/>
      <c r="AO322" s="3"/>
    </row>
    <row r="323" spans="2:41" x14ac:dyDescent="0.25">
      <c r="B323" s="13"/>
      <c r="C323" s="14"/>
      <c r="D323" s="60"/>
      <c r="E323" s="56"/>
      <c r="F323" s="56"/>
      <c r="G323" s="14"/>
      <c r="H323" s="56"/>
      <c r="I323" s="14"/>
      <c r="J323" s="14"/>
      <c r="K323" s="14"/>
      <c r="L323" s="14"/>
      <c r="M323" s="14"/>
      <c r="N323" s="14"/>
      <c r="O323" s="14"/>
      <c r="P323" s="14"/>
      <c r="Q323" s="14"/>
      <c r="R323" s="14"/>
      <c r="S323" s="14"/>
      <c r="T323" s="14"/>
      <c r="U323" s="14"/>
      <c r="V323" s="14"/>
      <c r="W323" s="14"/>
      <c r="X323" s="14"/>
      <c r="Y323" s="14"/>
      <c r="Z323" s="14"/>
      <c r="AA323" s="15"/>
      <c r="AB323" s="3"/>
      <c r="AC323" s="3"/>
      <c r="AD323" s="3"/>
      <c r="AE323" s="3"/>
      <c r="AF323" s="3"/>
      <c r="AG323" s="3"/>
      <c r="AH323" s="3"/>
      <c r="AI323" s="3"/>
      <c r="AJ323" s="3"/>
      <c r="AK323" s="3"/>
      <c r="AL323" s="3"/>
      <c r="AM323" s="3"/>
      <c r="AN323" s="3"/>
      <c r="AO323" s="3"/>
    </row>
    <row r="324" spans="2:41" x14ac:dyDescent="0.25">
      <c r="B324" s="13"/>
      <c r="C324" s="14"/>
      <c r="D324" s="60"/>
      <c r="E324" s="56"/>
      <c r="F324" s="56"/>
      <c r="G324" s="14"/>
      <c r="H324" s="56"/>
      <c r="I324" s="14"/>
      <c r="J324" s="14"/>
      <c r="K324" s="14"/>
      <c r="L324" s="14"/>
      <c r="M324" s="14"/>
      <c r="N324" s="14"/>
      <c r="O324" s="14"/>
      <c r="P324" s="14"/>
      <c r="Q324" s="14"/>
      <c r="R324" s="14"/>
      <c r="S324" s="14"/>
      <c r="T324" s="14"/>
      <c r="U324" s="14"/>
      <c r="V324" s="14"/>
      <c r="W324" s="14"/>
      <c r="X324" s="14"/>
      <c r="Y324" s="14"/>
      <c r="Z324" s="14"/>
      <c r="AA324" s="15"/>
      <c r="AB324" s="3"/>
      <c r="AC324" s="3"/>
      <c r="AD324" s="3"/>
      <c r="AE324" s="3"/>
      <c r="AF324" s="3"/>
      <c r="AG324" s="3"/>
      <c r="AH324" s="3"/>
      <c r="AI324" s="3"/>
      <c r="AJ324" s="3"/>
      <c r="AK324" s="3"/>
      <c r="AL324" s="3"/>
      <c r="AM324" s="3"/>
      <c r="AN324" s="3"/>
      <c r="AO324" s="3"/>
    </row>
    <row r="325" spans="2:41" x14ac:dyDescent="0.25">
      <c r="B325" s="13"/>
      <c r="C325" s="14"/>
      <c r="D325" s="60"/>
      <c r="E325" s="56"/>
      <c r="F325" s="56"/>
      <c r="G325" s="14"/>
      <c r="H325" s="56"/>
      <c r="I325" s="14"/>
      <c r="J325" s="14"/>
      <c r="K325" s="14"/>
      <c r="L325" s="14"/>
      <c r="M325" s="14"/>
      <c r="N325" s="14"/>
      <c r="O325" s="14"/>
      <c r="P325" s="14"/>
      <c r="Q325" s="14"/>
      <c r="R325" s="14"/>
      <c r="S325" s="14"/>
      <c r="T325" s="14"/>
      <c r="U325" s="14"/>
      <c r="V325" s="14"/>
      <c r="W325" s="14"/>
      <c r="X325" s="14"/>
      <c r="Y325" s="14"/>
      <c r="Z325" s="14"/>
      <c r="AA325" s="15"/>
      <c r="AB325" s="3"/>
      <c r="AC325" s="3"/>
      <c r="AD325" s="3"/>
      <c r="AE325" s="3"/>
      <c r="AF325" s="3"/>
      <c r="AG325" s="3"/>
      <c r="AH325" s="3"/>
      <c r="AI325" s="3"/>
      <c r="AJ325" s="3"/>
      <c r="AK325" s="3"/>
      <c r="AL325" s="3"/>
      <c r="AM325" s="3"/>
      <c r="AN325" s="3"/>
      <c r="AO325" s="3"/>
    </row>
    <row r="326" spans="2:41" x14ac:dyDescent="0.25">
      <c r="B326" s="13"/>
      <c r="C326" s="56"/>
      <c r="D326" s="60"/>
      <c r="E326" s="56"/>
      <c r="F326" s="56"/>
      <c r="G326" s="56"/>
      <c r="H326" s="56"/>
      <c r="I326" s="14"/>
      <c r="J326" s="14"/>
      <c r="K326" s="14"/>
      <c r="L326" s="14"/>
      <c r="M326" s="14"/>
      <c r="N326" s="14"/>
      <c r="O326" s="14"/>
      <c r="P326" s="14"/>
      <c r="Q326" s="14"/>
      <c r="R326" s="14"/>
      <c r="S326" s="14"/>
      <c r="T326" s="14"/>
      <c r="U326" s="14"/>
      <c r="V326" s="14"/>
      <c r="W326" s="14"/>
      <c r="X326" s="14"/>
      <c r="Y326" s="14"/>
      <c r="Z326" s="14"/>
      <c r="AA326" s="15"/>
      <c r="AB326" s="3"/>
      <c r="AC326" s="3"/>
      <c r="AD326" s="3"/>
      <c r="AE326" s="3"/>
      <c r="AF326" s="3"/>
      <c r="AG326" s="3"/>
      <c r="AH326" s="3"/>
      <c r="AI326" s="3"/>
      <c r="AJ326" s="3"/>
      <c r="AK326" s="3"/>
      <c r="AL326" s="3"/>
      <c r="AM326" s="3"/>
      <c r="AN326" s="3"/>
      <c r="AO326" s="3"/>
    </row>
    <row r="327" spans="2:41" x14ac:dyDescent="0.25">
      <c r="B327" s="13"/>
      <c r="C327" s="14"/>
      <c r="D327" s="60"/>
      <c r="E327" s="56"/>
      <c r="F327" s="56"/>
      <c r="G327" s="14"/>
      <c r="H327" s="56"/>
      <c r="I327" s="14"/>
      <c r="J327" s="14"/>
      <c r="K327" s="14"/>
      <c r="L327" s="14"/>
      <c r="M327" s="14"/>
      <c r="N327" s="14"/>
      <c r="O327" s="14"/>
      <c r="P327" s="14"/>
      <c r="Q327" s="14"/>
      <c r="R327" s="14"/>
      <c r="S327" s="14"/>
      <c r="T327" s="14"/>
      <c r="U327" s="14"/>
      <c r="V327" s="14"/>
      <c r="W327" s="14"/>
      <c r="X327" s="14"/>
      <c r="Y327" s="14"/>
      <c r="Z327" s="14"/>
      <c r="AA327" s="15"/>
      <c r="AB327" s="3"/>
      <c r="AC327" s="3"/>
      <c r="AD327" s="3"/>
      <c r="AE327" s="3"/>
      <c r="AF327" s="3"/>
      <c r="AG327" s="3"/>
      <c r="AH327" s="3"/>
      <c r="AI327" s="3"/>
      <c r="AJ327" s="3"/>
      <c r="AK327" s="3"/>
      <c r="AL327" s="3"/>
      <c r="AM327" s="3"/>
      <c r="AN327" s="3"/>
      <c r="AO327" s="3"/>
    </row>
    <row r="328" spans="2:41" ht="18.75" x14ac:dyDescent="0.3">
      <c r="B328" s="67"/>
      <c r="C328" s="14"/>
      <c r="D328" s="14"/>
      <c r="E328" s="56"/>
      <c r="F328" s="56"/>
      <c r="G328" s="14"/>
      <c r="H328" s="56"/>
      <c r="I328" s="74"/>
      <c r="J328" s="14"/>
      <c r="K328" s="14"/>
      <c r="L328" s="14"/>
      <c r="M328" s="14"/>
      <c r="N328" s="14"/>
      <c r="O328" s="14"/>
      <c r="P328" s="14"/>
      <c r="Q328" s="14"/>
      <c r="R328" s="14"/>
      <c r="S328" s="14"/>
      <c r="T328" s="14"/>
      <c r="U328" s="14"/>
      <c r="V328" s="14"/>
      <c r="W328" s="14"/>
      <c r="X328" s="14"/>
      <c r="Y328" s="14"/>
      <c r="Z328" s="14"/>
      <c r="AA328" s="15"/>
      <c r="AB328" s="3"/>
      <c r="AC328" s="3"/>
      <c r="AD328" s="3"/>
      <c r="AE328" s="3"/>
      <c r="AF328" s="3"/>
      <c r="AG328" s="3"/>
      <c r="AH328" s="3"/>
      <c r="AI328" s="3"/>
      <c r="AJ328" s="3"/>
      <c r="AK328" s="3"/>
      <c r="AL328" s="3"/>
      <c r="AM328" s="3"/>
      <c r="AN328" s="3"/>
      <c r="AO328" s="3"/>
    </row>
    <row r="329" spans="2:41" x14ac:dyDescent="0.25">
      <c r="B329" s="13"/>
      <c r="C329" s="14"/>
      <c r="D329" s="60"/>
      <c r="E329" s="56"/>
      <c r="F329" s="56"/>
      <c r="G329" s="14"/>
      <c r="H329" s="14"/>
      <c r="I329" s="14"/>
      <c r="J329" s="14"/>
      <c r="K329" s="14"/>
      <c r="L329" s="14"/>
      <c r="M329" s="14"/>
      <c r="N329" s="14"/>
      <c r="O329" s="14"/>
      <c r="P329" s="14"/>
      <c r="Q329" s="14"/>
      <c r="R329" s="14"/>
      <c r="S329" s="14"/>
      <c r="T329" s="14"/>
      <c r="U329" s="14"/>
      <c r="V329" s="14"/>
      <c r="W329" s="14"/>
      <c r="X329" s="14"/>
      <c r="Y329" s="14"/>
      <c r="Z329" s="14"/>
      <c r="AA329" s="15"/>
      <c r="AB329" s="3"/>
      <c r="AC329" s="3"/>
      <c r="AD329" s="3"/>
      <c r="AE329" s="3"/>
      <c r="AF329" s="3"/>
      <c r="AG329" s="3"/>
      <c r="AH329" s="3"/>
      <c r="AI329" s="3"/>
      <c r="AJ329" s="3"/>
      <c r="AK329" s="3"/>
      <c r="AL329" s="3"/>
      <c r="AM329" s="3"/>
      <c r="AN329" s="3"/>
      <c r="AO329" s="3"/>
    </row>
    <row r="330" spans="2:41" x14ac:dyDescent="0.25">
      <c r="B330" s="13"/>
      <c r="C330" s="14"/>
      <c r="D330" s="60"/>
      <c r="E330" s="56"/>
      <c r="F330" s="56"/>
      <c r="G330" s="14"/>
      <c r="H330" s="56"/>
      <c r="I330" s="14"/>
      <c r="J330" s="14"/>
      <c r="K330" s="14"/>
      <c r="L330" s="14"/>
      <c r="M330" s="14"/>
      <c r="N330" s="14"/>
      <c r="O330" s="14"/>
      <c r="P330" s="14"/>
      <c r="Q330" s="14"/>
      <c r="R330" s="14"/>
      <c r="S330" s="14"/>
      <c r="T330" s="14"/>
      <c r="U330" s="14"/>
      <c r="V330" s="14"/>
      <c r="W330" s="14"/>
      <c r="X330" s="14"/>
      <c r="Y330" s="14"/>
      <c r="Z330" s="14"/>
      <c r="AA330" s="15"/>
      <c r="AB330" s="3"/>
      <c r="AC330" s="3"/>
      <c r="AD330" s="3"/>
      <c r="AE330" s="3"/>
      <c r="AF330" s="3"/>
      <c r="AG330" s="3"/>
      <c r="AH330" s="3"/>
      <c r="AI330" s="3"/>
      <c r="AJ330" s="3"/>
      <c r="AK330" s="3"/>
      <c r="AL330" s="3"/>
      <c r="AM330" s="3"/>
      <c r="AN330" s="3"/>
      <c r="AO330" s="3"/>
    </row>
    <row r="331" spans="2:41" x14ac:dyDescent="0.25">
      <c r="B331" s="13"/>
      <c r="C331" s="14"/>
      <c r="D331" s="60"/>
      <c r="E331" s="56"/>
      <c r="F331" s="56"/>
      <c r="G331" s="14"/>
      <c r="H331" s="56"/>
      <c r="I331" s="14"/>
      <c r="J331" s="14"/>
      <c r="K331" s="14"/>
      <c r="L331" s="14"/>
      <c r="M331" s="14"/>
      <c r="N331" s="14"/>
      <c r="O331" s="14"/>
      <c r="P331" s="14"/>
      <c r="Q331" s="14"/>
      <c r="R331" s="14"/>
      <c r="S331" s="14"/>
      <c r="T331" s="14"/>
      <c r="U331" s="14"/>
      <c r="V331" s="14"/>
      <c r="W331" s="14"/>
      <c r="X331" s="14"/>
      <c r="Y331" s="14"/>
      <c r="Z331" s="14"/>
      <c r="AA331" s="15"/>
      <c r="AB331" s="3"/>
      <c r="AC331" s="3"/>
      <c r="AD331" s="3"/>
      <c r="AE331" s="3"/>
      <c r="AF331" s="3"/>
      <c r="AG331" s="3"/>
      <c r="AH331" s="3"/>
      <c r="AI331" s="3"/>
      <c r="AJ331" s="3"/>
      <c r="AK331" s="3"/>
      <c r="AL331" s="3"/>
      <c r="AM331" s="3"/>
      <c r="AN331" s="3"/>
      <c r="AO331" s="3"/>
    </row>
    <row r="332" spans="2:41" x14ac:dyDescent="0.25">
      <c r="B332" s="13"/>
      <c r="C332" s="14"/>
      <c r="D332" s="60"/>
      <c r="E332" s="56"/>
      <c r="F332" s="56"/>
      <c r="G332" s="14"/>
      <c r="H332" s="56"/>
      <c r="I332" s="14"/>
      <c r="J332" s="14"/>
      <c r="K332" s="14"/>
      <c r="L332" s="14"/>
      <c r="M332" s="14"/>
      <c r="N332" s="14"/>
      <c r="O332" s="14"/>
      <c r="P332" s="14"/>
      <c r="Q332" s="14"/>
      <c r="R332" s="14"/>
      <c r="S332" s="14"/>
      <c r="T332" s="14"/>
      <c r="U332" s="14"/>
      <c r="V332" s="14"/>
      <c r="W332" s="14"/>
      <c r="X332" s="14"/>
      <c r="Y332" s="14"/>
      <c r="Z332" s="14"/>
      <c r="AA332" s="15"/>
      <c r="AB332" s="3"/>
      <c r="AC332" s="3"/>
      <c r="AD332" s="3"/>
      <c r="AE332" s="3"/>
      <c r="AF332" s="3"/>
      <c r="AG332" s="3"/>
      <c r="AH332" s="3"/>
      <c r="AI332" s="3"/>
      <c r="AJ332" s="3"/>
      <c r="AK332" s="3"/>
      <c r="AL332" s="3"/>
      <c r="AM332" s="3"/>
      <c r="AN332" s="3"/>
      <c r="AO332" s="3"/>
    </row>
    <row r="333" spans="2:41" x14ac:dyDescent="0.25">
      <c r="B333" s="13"/>
      <c r="C333" s="56"/>
      <c r="D333" s="60"/>
      <c r="E333" s="56"/>
      <c r="F333" s="56"/>
      <c r="G333" s="56"/>
      <c r="H333" s="56"/>
      <c r="I333" s="14"/>
      <c r="J333" s="14"/>
      <c r="K333" s="14"/>
      <c r="L333" s="14"/>
      <c r="M333" s="14"/>
      <c r="N333" s="14"/>
      <c r="O333" s="14"/>
      <c r="P333" s="14"/>
      <c r="Q333" s="14"/>
      <c r="R333" s="14"/>
      <c r="S333" s="14"/>
      <c r="T333" s="14"/>
      <c r="U333" s="14"/>
      <c r="V333" s="14"/>
      <c r="W333" s="14"/>
      <c r="X333" s="14"/>
      <c r="Y333" s="14"/>
      <c r="Z333" s="14"/>
      <c r="AA333" s="15"/>
      <c r="AB333" s="3"/>
      <c r="AC333" s="3"/>
      <c r="AD333" s="3"/>
      <c r="AE333" s="3"/>
      <c r="AF333" s="3"/>
      <c r="AG333" s="3"/>
      <c r="AH333" s="3"/>
      <c r="AI333" s="3"/>
      <c r="AJ333" s="3"/>
      <c r="AK333" s="3"/>
      <c r="AL333" s="3"/>
      <c r="AM333" s="3"/>
      <c r="AN333" s="3"/>
      <c r="AO333" s="3"/>
    </row>
    <row r="334" spans="2:41" x14ac:dyDescent="0.25">
      <c r="B334" s="13"/>
      <c r="C334" s="14"/>
      <c r="D334" s="60"/>
      <c r="E334" s="56"/>
      <c r="F334" s="56"/>
      <c r="G334" s="14"/>
      <c r="H334" s="56"/>
      <c r="I334" s="14"/>
      <c r="J334" s="14"/>
      <c r="K334" s="14"/>
      <c r="L334" s="14"/>
      <c r="M334" s="14"/>
      <c r="N334" s="14"/>
      <c r="O334" s="14"/>
      <c r="P334" s="14"/>
      <c r="Q334" s="14"/>
      <c r="R334" s="14"/>
      <c r="S334" s="14"/>
      <c r="T334" s="14"/>
      <c r="U334" s="14"/>
      <c r="V334" s="14"/>
      <c r="W334" s="14"/>
      <c r="X334" s="14"/>
      <c r="Y334" s="14"/>
      <c r="Z334" s="14"/>
      <c r="AA334" s="15"/>
      <c r="AB334" s="3"/>
      <c r="AC334" s="3"/>
      <c r="AD334" s="3"/>
      <c r="AE334" s="3"/>
      <c r="AF334" s="3"/>
      <c r="AG334" s="3"/>
      <c r="AH334" s="3"/>
      <c r="AI334" s="3"/>
      <c r="AJ334" s="3"/>
      <c r="AK334" s="3"/>
      <c r="AL334" s="3"/>
      <c r="AM334" s="3"/>
      <c r="AN334" s="3"/>
      <c r="AO334" s="3"/>
    </row>
    <row r="335" spans="2:41" x14ac:dyDescent="0.25">
      <c r="B335" s="13"/>
      <c r="C335" s="14"/>
      <c r="D335" s="14"/>
      <c r="E335" s="56"/>
      <c r="F335" s="56"/>
      <c r="G335" s="14"/>
      <c r="H335" s="56"/>
      <c r="I335" s="14"/>
      <c r="J335" s="14"/>
      <c r="K335" s="14"/>
      <c r="L335" s="14"/>
      <c r="M335" s="14"/>
      <c r="N335" s="14"/>
      <c r="O335" s="14"/>
      <c r="P335" s="14"/>
      <c r="Q335" s="14"/>
      <c r="R335" s="14"/>
      <c r="S335" s="14"/>
      <c r="T335" s="14"/>
      <c r="U335" s="14"/>
      <c r="V335" s="14"/>
      <c r="W335" s="14"/>
      <c r="X335" s="14"/>
      <c r="Y335" s="14"/>
      <c r="Z335" s="14"/>
      <c r="AA335" s="15"/>
      <c r="AB335" s="3"/>
      <c r="AC335" s="3"/>
      <c r="AD335" s="3"/>
      <c r="AE335" s="3"/>
      <c r="AF335" s="3"/>
      <c r="AG335" s="3"/>
      <c r="AH335" s="3"/>
      <c r="AI335" s="3"/>
      <c r="AJ335" s="3"/>
      <c r="AK335" s="3"/>
      <c r="AL335" s="3"/>
      <c r="AM335" s="3"/>
      <c r="AN335" s="3"/>
      <c r="AO335" s="3"/>
    </row>
    <row r="336" spans="2:41" ht="18.75" x14ac:dyDescent="0.3">
      <c r="B336" s="67"/>
      <c r="C336" s="14"/>
      <c r="D336" s="60"/>
      <c r="E336" s="56"/>
      <c r="F336" s="56"/>
      <c r="G336" s="14"/>
      <c r="H336" s="14"/>
      <c r="I336" s="74"/>
      <c r="J336" s="14"/>
      <c r="K336" s="14"/>
      <c r="L336" s="14"/>
      <c r="M336" s="14"/>
      <c r="N336" s="14"/>
      <c r="O336" s="14"/>
      <c r="P336" s="14"/>
      <c r="Q336" s="14"/>
      <c r="R336" s="14"/>
      <c r="S336" s="14"/>
      <c r="T336" s="14"/>
      <c r="U336" s="14"/>
      <c r="V336" s="14"/>
      <c r="W336" s="14"/>
      <c r="X336" s="14"/>
      <c r="Y336" s="14"/>
      <c r="Z336" s="14"/>
      <c r="AA336" s="15"/>
      <c r="AB336" s="3"/>
      <c r="AC336" s="3"/>
      <c r="AD336" s="3"/>
      <c r="AE336" s="3"/>
      <c r="AF336" s="3"/>
      <c r="AG336" s="3"/>
      <c r="AH336" s="3"/>
      <c r="AI336" s="3"/>
      <c r="AJ336" s="3"/>
      <c r="AK336" s="3"/>
      <c r="AL336" s="3"/>
      <c r="AM336" s="3"/>
      <c r="AN336" s="3"/>
      <c r="AO336" s="3"/>
    </row>
    <row r="337" spans="2:41" x14ac:dyDescent="0.25">
      <c r="B337" s="13"/>
      <c r="C337" s="14"/>
      <c r="D337" s="60"/>
      <c r="E337" s="56"/>
      <c r="F337" s="56"/>
      <c r="G337" s="14"/>
      <c r="H337" s="56"/>
      <c r="I337" s="14"/>
      <c r="J337" s="14"/>
      <c r="K337" s="14"/>
      <c r="L337" s="14"/>
      <c r="M337" s="14"/>
      <c r="N337" s="14"/>
      <c r="O337" s="14"/>
      <c r="P337" s="14"/>
      <c r="Q337" s="14"/>
      <c r="R337" s="14"/>
      <c r="S337" s="14"/>
      <c r="T337" s="14"/>
      <c r="U337" s="14"/>
      <c r="V337" s="14"/>
      <c r="W337" s="14"/>
      <c r="X337" s="14"/>
      <c r="Y337" s="14"/>
      <c r="Z337" s="14"/>
      <c r="AA337" s="15"/>
      <c r="AB337" s="3"/>
      <c r="AC337" s="3"/>
      <c r="AD337" s="3"/>
      <c r="AE337" s="3"/>
      <c r="AF337" s="3"/>
      <c r="AG337" s="3"/>
      <c r="AH337" s="3"/>
      <c r="AI337" s="3"/>
      <c r="AJ337" s="3"/>
      <c r="AK337" s="3"/>
      <c r="AL337" s="3"/>
      <c r="AM337" s="3"/>
      <c r="AN337" s="3"/>
      <c r="AO337" s="3"/>
    </row>
    <row r="338" spans="2:41" x14ac:dyDescent="0.25">
      <c r="B338" s="13"/>
      <c r="C338" s="14"/>
      <c r="D338" s="60"/>
      <c r="E338" s="56"/>
      <c r="F338" s="56"/>
      <c r="G338" s="14"/>
      <c r="H338" s="56"/>
      <c r="I338" s="14"/>
      <c r="J338" s="14"/>
      <c r="K338" s="14"/>
      <c r="L338" s="14"/>
      <c r="M338" s="14"/>
      <c r="N338" s="14"/>
      <c r="O338" s="14"/>
      <c r="P338" s="14"/>
      <c r="Q338" s="14"/>
      <c r="R338" s="14"/>
      <c r="S338" s="14"/>
      <c r="T338" s="14"/>
      <c r="U338" s="14"/>
      <c r="V338" s="14"/>
      <c r="W338" s="14"/>
      <c r="X338" s="14"/>
      <c r="Y338" s="14"/>
      <c r="Z338" s="14"/>
      <c r="AA338" s="15"/>
      <c r="AB338" s="3"/>
      <c r="AC338" s="3"/>
      <c r="AD338" s="3"/>
      <c r="AE338" s="3"/>
      <c r="AF338" s="3"/>
      <c r="AG338" s="3"/>
      <c r="AH338" s="3"/>
      <c r="AI338" s="3"/>
      <c r="AJ338" s="3"/>
      <c r="AK338" s="3"/>
      <c r="AL338" s="3"/>
      <c r="AM338" s="3"/>
      <c r="AN338" s="3"/>
      <c r="AO338" s="3"/>
    </row>
    <row r="339" spans="2:41" x14ac:dyDescent="0.25">
      <c r="B339" s="13"/>
      <c r="C339" s="14"/>
      <c r="D339" s="60"/>
      <c r="E339" s="56"/>
      <c r="F339" s="56"/>
      <c r="G339" s="14"/>
      <c r="H339" s="56"/>
      <c r="I339" s="14"/>
      <c r="J339" s="14"/>
      <c r="K339" s="14"/>
      <c r="L339" s="14"/>
      <c r="M339" s="14"/>
      <c r="N339" s="14"/>
      <c r="O339" s="14"/>
      <c r="P339" s="14"/>
      <c r="Q339" s="14"/>
      <c r="R339" s="14"/>
      <c r="S339" s="14"/>
      <c r="T339" s="14"/>
      <c r="U339" s="14"/>
      <c r="V339" s="14"/>
      <c r="W339" s="14"/>
      <c r="X339" s="14"/>
      <c r="Y339" s="14"/>
      <c r="Z339" s="14"/>
      <c r="AA339" s="15"/>
      <c r="AB339" s="3"/>
      <c r="AC339" s="3"/>
      <c r="AD339" s="3"/>
      <c r="AE339" s="3"/>
      <c r="AF339" s="3"/>
      <c r="AG339" s="3"/>
      <c r="AH339" s="3"/>
      <c r="AI339" s="3"/>
      <c r="AJ339" s="3"/>
      <c r="AK339" s="3"/>
      <c r="AL339" s="3"/>
      <c r="AM339" s="3"/>
      <c r="AN339" s="3"/>
      <c r="AO339" s="3"/>
    </row>
    <row r="340" spans="2:41" x14ac:dyDescent="0.25">
      <c r="B340" s="13"/>
      <c r="C340" s="56"/>
      <c r="D340" s="60"/>
      <c r="E340" s="56"/>
      <c r="F340" s="56"/>
      <c r="G340" s="56"/>
      <c r="H340" s="56"/>
      <c r="I340" s="14"/>
      <c r="J340" s="14"/>
      <c r="K340" s="14"/>
      <c r="L340" s="14"/>
      <c r="M340" s="14"/>
      <c r="N340" s="14"/>
      <c r="O340" s="14"/>
      <c r="P340" s="14"/>
      <c r="Q340" s="14"/>
      <c r="R340" s="14"/>
      <c r="S340" s="14"/>
      <c r="T340" s="14"/>
      <c r="U340" s="14"/>
      <c r="V340" s="14"/>
      <c r="W340" s="14"/>
      <c r="X340" s="14"/>
      <c r="Y340" s="14"/>
      <c r="Z340" s="14"/>
      <c r="AA340" s="15"/>
      <c r="AB340" s="3"/>
      <c r="AC340" s="3"/>
      <c r="AD340" s="3"/>
      <c r="AE340" s="3"/>
      <c r="AF340" s="3"/>
      <c r="AG340" s="3"/>
      <c r="AH340" s="3"/>
      <c r="AI340" s="3"/>
      <c r="AJ340" s="3"/>
      <c r="AK340" s="3"/>
      <c r="AL340" s="3"/>
      <c r="AM340" s="3"/>
      <c r="AN340" s="3"/>
      <c r="AO340" s="3"/>
    </row>
    <row r="341" spans="2:41" x14ac:dyDescent="0.25">
      <c r="B341" s="13"/>
      <c r="C341" s="14"/>
      <c r="D341" s="60"/>
      <c r="E341" s="56"/>
      <c r="F341" s="56"/>
      <c r="G341" s="14"/>
      <c r="H341" s="56"/>
      <c r="I341" s="14"/>
      <c r="J341" s="14"/>
      <c r="K341" s="14"/>
      <c r="L341" s="14"/>
      <c r="M341" s="14"/>
      <c r="N341" s="14"/>
      <c r="O341" s="14"/>
      <c r="P341" s="14"/>
      <c r="Q341" s="14"/>
      <c r="R341" s="14"/>
      <c r="S341" s="14"/>
      <c r="T341" s="14"/>
      <c r="U341" s="14"/>
      <c r="V341" s="14"/>
      <c r="W341" s="14"/>
      <c r="X341" s="14"/>
      <c r="Y341" s="14"/>
      <c r="Z341" s="14"/>
      <c r="AA341" s="15"/>
      <c r="AB341" s="3"/>
      <c r="AC341" s="3"/>
      <c r="AD341" s="3"/>
      <c r="AE341" s="3"/>
      <c r="AF341" s="3"/>
      <c r="AG341" s="3"/>
      <c r="AH341" s="3"/>
      <c r="AI341" s="3"/>
      <c r="AJ341" s="3"/>
      <c r="AK341" s="3"/>
      <c r="AL341" s="3"/>
      <c r="AM341" s="3"/>
      <c r="AN341" s="3"/>
      <c r="AO341" s="3"/>
    </row>
    <row r="342" spans="2:41" x14ac:dyDescent="0.25">
      <c r="B342" s="13"/>
      <c r="C342" s="14"/>
      <c r="D342" s="14"/>
      <c r="E342" s="56"/>
      <c r="F342" s="56"/>
      <c r="G342" s="14"/>
      <c r="H342" s="56"/>
      <c r="I342" s="14"/>
      <c r="J342" s="14"/>
      <c r="K342" s="14"/>
      <c r="L342" s="14"/>
      <c r="M342" s="14"/>
      <c r="N342" s="14"/>
      <c r="O342" s="14"/>
      <c r="P342" s="14"/>
      <c r="Q342" s="14"/>
      <c r="R342" s="14"/>
      <c r="S342" s="14"/>
      <c r="T342" s="14"/>
      <c r="U342" s="14"/>
      <c r="V342" s="14"/>
      <c r="W342" s="14"/>
      <c r="X342" s="14"/>
      <c r="Y342" s="14"/>
      <c r="Z342" s="14"/>
      <c r="AA342" s="15"/>
      <c r="AB342" s="3"/>
      <c r="AC342" s="3"/>
      <c r="AD342" s="3"/>
      <c r="AE342" s="3"/>
      <c r="AF342" s="3"/>
      <c r="AG342" s="3"/>
      <c r="AH342" s="3"/>
      <c r="AI342" s="3"/>
      <c r="AJ342" s="3"/>
      <c r="AK342" s="3"/>
      <c r="AL342" s="3"/>
      <c r="AM342" s="3"/>
      <c r="AN342" s="3"/>
      <c r="AO342" s="3"/>
    </row>
    <row r="343" spans="2:41" x14ac:dyDescent="0.25">
      <c r="B343" s="13"/>
      <c r="C343" s="14"/>
      <c r="D343" s="60"/>
      <c r="E343" s="56"/>
      <c r="F343" s="56"/>
      <c r="G343" s="14"/>
      <c r="H343" s="14"/>
      <c r="I343" s="14"/>
      <c r="J343" s="14"/>
      <c r="K343" s="14"/>
      <c r="L343" s="14"/>
      <c r="M343" s="14"/>
      <c r="N343" s="14"/>
      <c r="O343" s="14"/>
      <c r="P343" s="14"/>
      <c r="Q343" s="14"/>
      <c r="R343" s="14"/>
      <c r="S343" s="14"/>
      <c r="T343" s="14"/>
      <c r="U343" s="14"/>
      <c r="V343" s="14"/>
      <c r="W343" s="14"/>
      <c r="X343" s="14"/>
      <c r="Y343" s="14"/>
      <c r="Z343" s="14"/>
      <c r="AA343" s="15"/>
      <c r="AB343" s="3"/>
      <c r="AC343" s="3"/>
      <c r="AD343" s="3"/>
      <c r="AE343" s="3"/>
      <c r="AF343" s="3"/>
      <c r="AG343" s="3"/>
      <c r="AH343" s="3"/>
      <c r="AI343" s="3"/>
      <c r="AJ343" s="3"/>
      <c r="AK343" s="3"/>
      <c r="AL343" s="3"/>
      <c r="AM343" s="3"/>
      <c r="AN343" s="3"/>
      <c r="AO343" s="3"/>
    </row>
    <row r="344" spans="2:41" ht="18.75" x14ac:dyDescent="0.3">
      <c r="B344" s="67"/>
      <c r="C344" s="14"/>
      <c r="D344" s="60"/>
      <c r="E344" s="56"/>
      <c r="F344" s="56"/>
      <c r="G344" s="14"/>
      <c r="H344" s="56"/>
      <c r="I344" s="74"/>
      <c r="J344" s="14"/>
      <c r="K344" s="14"/>
      <c r="L344" s="14"/>
      <c r="M344" s="14"/>
      <c r="N344" s="14"/>
      <c r="O344" s="14"/>
      <c r="P344" s="14"/>
      <c r="Q344" s="14"/>
      <c r="R344" s="14"/>
      <c r="S344" s="14"/>
      <c r="T344" s="14"/>
      <c r="U344" s="14"/>
      <c r="V344" s="14"/>
      <c r="W344" s="14"/>
      <c r="X344" s="14"/>
      <c r="Y344" s="14"/>
      <c r="Z344" s="14"/>
      <c r="AA344" s="15"/>
      <c r="AB344" s="3"/>
      <c r="AC344" s="3"/>
      <c r="AD344" s="3"/>
      <c r="AE344" s="3"/>
      <c r="AF344" s="3"/>
      <c r="AG344" s="3"/>
      <c r="AH344" s="3"/>
      <c r="AI344" s="3"/>
      <c r="AJ344" s="3"/>
      <c r="AK344" s="3"/>
      <c r="AL344" s="3"/>
      <c r="AM344" s="3"/>
      <c r="AN344" s="3"/>
      <c r="AO344" s="3"/>
    </row>
    <row r="345" spans="2:41" x14ac:dyDescent="0.25">
      <c r="B345" s="13"/>
      <c r="C345" s="14"/>
      <c r="D345" s="60"/>
      <c r="E345" s="56"/>
      <c r="F345" s="56"/>
      <c r="G345" s="14"/>
      <c r="H345" s="56"/>
      <c r="I345" s="14"/>
      <c r="J345" s="14"/>
      <c r="K345" s="14"/>
      <c r="L345" s="14"/>
      <c r="M345" s="14"/>
      <c r="N345" s="14"/>
      <c r="O345" s="14"/>
      <c r="P345" s="14"/>
      <c r="Q345" s="14"/>
      <c r="R345" s="14"/>
      <c r="S345" s="14"/>
      <c r="T345" s="14"/>
      <c r="U345" s="14"/>
      <c r="V345" s="14"/>
      <c r="W345" s="14"/>
      <c r="X345" s="14"/>
      <c r="Y345" s="14"/>
      <c r="Z345" s="14"/>
      <c r="AA345" s="15"/>
      <c r="AB345" s="3"/>
      <c r="AC345" s="3"/>
      <c r="AD345" s="3"/>
      <c r="AE345" s="3"/>
      <c r="AF345" s="3"/>
      <c r="AG345" s="3"/>
      <c r="AH345" s="3"/>
      <c r="AI345" s="3"/>
      <c r="AJ345" s="3"/>
      <c r="AK345" s="3"/>
      <c r="AL345" s="3"/>
      <c r="AM345" s="3"/>
      <c r="AN345" s="3"/>
      <c r="AO345" s="3"/>
    </row>
    <row r="346" spans="2:41" x14ac:dyDescent="0.25">
      <c r="B346" s="13"/>
      <c r="C346" s="14"/>
      <c r="D346" s="60"/>
      <c r="E346" s="56"/>
      <c r="F346" s="56"/>
      <c r="G346" s="14"/>
      <c r="H346" s="56"/>
      <c r="I346" s="14"/>
      <c r="J346" s="14"/>
      <c r="K346" s="14"/>
      <c r="L346" s="14"/>
      <c r="M346" s="14"/>
      <c r="N346" s="14"/>
      <c r="O346" s="14"/>
      <c r="P346" s="14"/>
      <c r="Q346" s="14"/>
      <c r="R346" s="14"/>
      <c r="S346" s="14"/>
      <c r="T346" s="14"/>
      <c r="U346" s="14"/>
      <c r="V346" s="14"/>
      <c r="W346" s="14"/>
      <c r="X346" s="14"/>
      <c r="Y346" s="14"/>
      <c r="Z346" s="14"/>
      <c r="AA346" s="15"/>
      <c r="AB346" s="3"/>
      <c r="AC346" s="3"/>
      <c r="AD346" s="3"/>
      <c r="AE346" s="3"/>
      <c r="AF346" s="3"/>
      <c r="AG346" s="3"/>
      <c r="AH346" s="3"/>
      <c r="AI346" s="3"/>
      <c r="AJ346" s="3"/>
      <c r="AK346" s="3"/>
      <c r="AL346" s="3"/>
      <c r="AM346" s="3"/>
      <c r="AN346" s="3"/>
      <c r="AO346" s="3"/>
    </row>
    <row r="347" spans="2:41" x14ac:dyDescent="0.25">
      <c r="B347" s="13"/>
      <c r="C347" s="56"/>
      <c r="D347" s="60"/>
      <c r="E347" s="56"/>
      <c r="F347" s="56"/>
      <c r="G347" s="56"/>
      <c r="H347" s="56"/>
      <c r="I347" s="14"/>
      <c r="J347" s="14"/>
      <c r="K347" s="14"/>
      <c r="L347" s="14"/>
      <c r="M347" s="14"/>
      <c r="N347" s="14"/>
      <c r="O347" s="14"/>
      <c r="P347" s="14"/>
      <c r="Q347" s="14"/>
      <c r="R347" s="14"/>
      <c r="S347" s="14"/>
      <c r="T347" s="14"/>
      <c r="U347" s="14"/>
      <c r="V347" s="14"/>
      <c r="W347" s="14"/>
      <c r="X347" s="14"/>
      <c r="Y347" s="14"/>
      <c r="Z347" s="14"/>
      <c r="AA347" s="15"/>
      <c r="AB347" s="3"/>
      <c r="AC347" s="3"/>
      <c r="AD347" s="3"/>
      <c r="AE347" s="3"/>
      <c r="AF347" s="3"/>
      <c r="AG347" s="3"/>
      <c r="AH347" s="3"/>
      <c r="AI347" s="3"/>
      <c r="AJ347" s="3"/>
      <c r="AK347" s="3"/>
      <c r="AL347" s="3"/>
      <c r="AM347" s="3"/>
      <c r="AN347" s="3"/>
      <c r="AO347" s="3"/>
    </row>
    <row r="348" spans="2:41" x14ac:dyDescent="0.25">
      <c r="B348" s="13"/>
      <c r="C348" s="14"/>
      <c r="D348" s="60"/>
      <c r="E348" s="56"/>
      <c r="F348" s="56"/>
      <c r="G348" s="14"/>
      <c r="H348" s="56"/>
      <c r="I348" s="14"/>
      <c r="J348" s="14"/>
      <c r="K348" s="14"/>
      <c r="L348" s="14"/>
      <c r="M348" s="14"/>
      <c r="N348" s="14"/>
      <c r="O348" s="14"/>
      <c r="P348" s="14"/>
      <c r="Q348" s="14"/>
      <c r="R348" s="14"/>
      <c r="S348" s="14"/>
      <c r="T348" s="14"/>
      <c r="U348" s="14"/>
      <c r="V348" s="14"/>
      <c r="W348" s="14"/>
      <c r="X348" s="14"/>
      <c r="Y348" s="14"/>
      <c r="Z348" s="14"/>
      <c r="AA348" s="15"/>
      <c r="AB348" s="3"/>
      <c r="AC348" s="3"/>
      <c r="AD348" s="3"/>
      <c r="AE348" s="3"/>
      <c r="AF348" s="3"/>
      <c r="AG348" s="3"/>
      <c r="AH348" s="3"/>
      <c r="AI348" s="3"/>
      <c r="AJ348" s="3"/>
      <c r="AK348" s="3"/>
      <c r="AL348" s="3"/>
      <c r="AM348" s="3"/>
      <c r="AN348" s="3"/>
      <c r="AO348" s="3"/>
    </row>
    <row r="349" spans="2:41" x14ac:dyDescent="0.25">
      <c r="B349" s="13"/>
      <c r="C349" s="14"/>
      <c r="D349" s="14"/>
      <c r="E349" s="56"/>
      <c r="F349" s="56"/>
      <c r="G349" s="14"/>
      <c r="H349" s="56"/>
      <c r="I349" s="14"/>
      <c r="J349" s="14"/>
      <c r="K349" s="14"/>
      <c r="L349" s="14"/>
      <c r="M349" s="14"/>
      <c r="N349" s="14"/>
      <c r="O349" s="14"/>
      <c r="P349" s="14"/>
      <c r="Q349" s="14"/>
      <c r="R349" s="14"/>
      <c r="S349" s="14"/>
      <c r="T349" s="14"/>
      <c r="U349" s="14"/>
      <c r="V349" s="14"/>
      <c r="W349" s="14"/>
      <c r="X349" s="14"/>
      <c r="Y349" s="14"/>
      <c r="Z349" s="14"/>
      <c r="AA349" s="15"/>
      <c r="AB349" s="3"/>
      <c r="AC349" s="3"/>
      <c r="AD349" s="3"/>
      <c r="AE349" s="3"/>
      <c r="AF349" s="3"/>
      <c r="AG349" s="3"/>
      <c r="AH349" s="3"/>
      <c r="AI349" s="3"/>
      <c r="AJ349" s="3"/>
      <c r="AK349" s="3"/>
      <c r="AL349" s="3"/>
      <c r="AM349" s="3"/>
      <c r="AN349" s="3"/>
      <c r="AO349" s="3"/>
    </row>
    <row r="350" spans="2:41" x14ac:dyDescent="0.25">
      <c r="B350" s="13"/>
      <c r="C350" s="14"/>
      <c r="D350" s="60"/>
      <c r="E350" s="56"/>
      <c r="F350" s="56"/>
      <c r="G350" s="14"/>
      <c r="H350" s="14"/>
      <c r="I350" s="14"/>
      <c r="J350" s="14"/>
      <c r="K350" s="14"/>
      <c r="L350" s="14"/>
      <c r="M350" s="14"/>
      <c r="N350" s="14"/>
      <c r="O350" s="14"/>
      <c r="P350" s="14"/>
      <c r="Q350" s="14"/>
      <c r="R350" s="14"/>
      <c r="S350" s="14"/>
      <c r="T350" s="14"/>
      <c r="U350" s="14"/>
      <c r="V350" s="14"/>
      <c r="W350" s="14"/>
      <c r="X350" s="14"/>
      <c r="Y350" s="14"/>
      <c r="Z350" s="14"/>
      <c r="AA350" s="15"/>
      <c r="AB350" s="3"/>
      <c r="AC350" s="3"/>
      <c r="AD350" s="3"/>
      <c r="AE350" s="3"/>
      <c r="AF350" s="3"/>
      <c r="AG350" s="3"/>
      <c r="AH350" s="3"/>
      <c r="AI350" s="3"/>
      <c r="AJ350" s="3"/>
      <c r="AK350" s="3"/>
      <c r="AL350" s="3"/>
      <c r="AM350" s="3"/>
      <c r="AN350" s="3"/>
      <c r="AO350" s="3"/>
    </row>
    <row r="351" spans="2:41" x14ac:dyDescent="0.25">
      <c r="B351" s="13"/>
      <c r="C351" s="14"/>
      <c r="D351" s="60"/>
      <c r="E351" s="56"/>
      <c r="F351" s="56"/>
      <c r="G351" s="14"/>
      <c r="H351" s="56"/>
      <c r="I351" s="14"/>
      <c r="J351" s="14"/>
      <c r="K351" s="14"/>
      <c r="L351" s="14"/>
      <c r="M351" s="14"/>
      <c r="N351" s="14"/>
      <c r="O351" s="14"/>
      <c r="P351" s="14"/>
      <c r="Q351" s="14"/>
      <c r="R351" s="14"/>
      <c r="S351" s="14"/>
      <c r="T351" s="14"/>
      <c r="U351" s="14"/>
      <c r="V351" s="14"/>
      <c r="W351" s="14"/>
      <c r="X351" s="14"/>
      <c r="Y351" s="14"/>
      <c r="Z351" s="14"/>
      <c r="AA351" s="15"/>
      <c r="AB351" s="3"/>
      <c r="AC351" s="3"/>
      <c r="AD351" s="3"/>
      <c r="AE351" s="3"/>
      <c r="AF351" s="3"/>
      <c r="AG351" s="3"/>
      <c r="AH351" s="3"/>
      <c r="AI351" s="3"/>
      <c r="AJ351" s="3"/>
      <c r="AK351" s="3"/>
      <c r="AL351" s="3"/>
      <c r="AM351" s="3"/>
      <c r="AN351" s="3"/>
      <c r="AO351" s="3"/>
    </row>
    <row r="352" spans="2:41" ht="18.75" x14ac:dyDescent="0.3">
      <c r="B352" s="67"/>
      <c r="C352" s="14"/>
      <c r="D352" s="60"/>
      <c r="E352" s="56"/>
      <c r="F352" s="56"/>
      <c r="G352" s="14"/>
      <c r="H352" s="56"/>
      <c r="I352" s="74"/>
      <c r="J352" s="14"/>
      <c r="K352" s="14"/>
      <c r="L352" s="14"/>
      <c r="M352" s="14"/>
      <c r="N352" s="14"/>
      <c r="O352" s="14"/>
      <c r="P352" s="14"/>
      <c r="Q352" s="14"/>
      <c r="R352" s="14"/>
      <c r="S352" s="14"/>
      <c r="T352" s="14"/>
      <c r="U352" s="14"/>
      <c r="V352" s="14"/>
      <c r="W352" s="14"/>
      <c r="X352" s="14"/>
      <c r="Y352" s="14"/>
      <c r="Z352" s="14"/>
      <c r="AA352" s="15"/>
      <c r="AB352" s="3"/>
      <c r="AC352" s="3"/>
      <c r="AD352" s="3"/>
      <c r="AE352" s="3"/>
      <c r="AF352" s="3"/>
      <c r="AG352" s="3"/>
      <c r="AH352" s="3"/>
      <c r="AI352" s="3"/>
      <c r="AJ352" s="3"/>
      <c r="AK352" s="3"/>
      <c r="AL352" s="3"/>
      <c r="AM352" s="3"/>
      <c r="AN352" s="3"/>
      <c r="AO352" s="3"/>
    </row>
    <row r="353" spans="2:41" x14ac:dyDescent="0.25">
      <c r="B353" s="13"/>
      <c r="C353" s="14"/>
      <c r="D353" s="60"/>
      <c r="E353" s="56"/>
      <c r="F353" s="56"/>
      <c r="G353" s="14"/>
      <c r="H353" s="56"/>
      <c r="I353" s="14"/>
      <c r="J353" s="14"/>
      <c r="K353" s="14"/>
      <c r="L353" s="14"/>
      <c r="M353" s="14"/>
      <c r="N353" s="14"/>
      <c r="O353" s="14"/>
      <c r="P353" s="14"/>
      <c r="Q353" s="14"/>
      <c r="R353" s="14"/>
      <c r="S353" s="14"/>
      <c r="T353" s="14"/>
      <c r="U353" s="14"/>
      <c r="V353" s="14"/>
      <c r="W353" s="14"/>
      <c r="X353" s="14"/>
      <c r="Y353" s="14"/>
      <c r="Z353" s="14"/>
      <c r="AA353" s="15"/>
      <c r="AB353" s="3"/>
      <c r="AC353" s="3"/>
      <c r="AD353" s="3"/>
      <c r="AE353" s="3"/>
      <c r="AF353" s="3"/>
      <c r="AG353" s="3"/>
      <c r="AH353" s="3"/>
      <c r="AI353" s="3"/>
      <c r="AJ353" s="3"/>
      <c r="AK353" s="3"/>
      <c r="AL353" s="3"/>
      <c r="AM353" s="3"/>
      <c r="AN353" s="3"/>
      <c r="AO353" s="3"/>
    </row>
    <row r="354" spans="2:41" x14ac:dyDescent="0.25">
      <c r="B354" s="13"/>
      <c r="C354" s="56"/>
      <c r="D354" s="60"/>
      <c r="E354" s="56"/>
      <c r="F354" s="56"/>
      <c r="G354" s="56"/>
      <c r="H354" s="56"/>
      <c r="I354" s="14"/>
      <c r="J354" s="14"/>
      <c r="K354" s="14"/>
      <c r="L354" s="14"/>
      <c r="M354" s="14"/>
      <c r="N354" s="14"/>
      <c r="O354" s="14"/>
      <c r="P354" s="14"/>
      <c r="Q354" s="14"/>
      <c r="R354" s="14"/>
      <c r="S354" s="14"/>
      <c r="T354" s="14"/>
      <c r="U354" s="14"/>
      <c r="V354" s="14"/>
      <c r="W354" s="14"/>
      <c r="X354" s="14"/>
      <c r="Y354" s="14"/>
      <c r="Z354" s="14"/>
      <c r="AA354" s="15"/>
      <c r="AB354" s="3"/>
      <c r="AC354" s="3"/>
      <c r="AD354" s="3"/>
      <c r="AE354" s="3"/>
      <c r="AF354" s="3"/>
      <c r="AG354" s="3"/>
      <c r="AH354" s="3"/>
      <c r="AI354" s="3"/>
      <c r="AJ354" s="3"/>
      <c r="AK354" s="3"/>
      <c r="AL354" s="3"/>
      <c r="AM354" s="3"/>
      <c r="AN354" s="3"/>
      <c r="AO354" s="3"/>
    </row>
    <row r="355" spans="2:41" x14ac:dyDescent="0.25">
      <c r="B355" s="13"/>
      <c r="C355" s="14"/>
      <c r="D355" s="60"/>
      <c r="E355" s="56"/>
      <c r="F355" s="56"/>
      <c r="G355" s="14"/>
      <c r="H355" s="56"/>
      <c r="I355" s="14"/>
      <c r="J355" s="14"/>
      <c r="K355" s="14"/>
      <c r="L355" s="14"/>
      <c r="M355" s="14"/>
      <c r="N355" s="14"/>
      <c r="O355" s="14"/>
      <c r="P355" s="14"/>
      <c r="Q355" s="14"/>
      <c r="R355" s="14"/>
      <c r="S355" s="14"/>
      <c r="T355" s="14"/>
      <c r="U355" s="14"/>
      <c r="V355" s="14"/>
      <c r="W355" s="14"/>
      <c r="X355" s="14"/>
      <c r="Y355" s="14"/>
      <c r="Z355" s="14"/>
      <c r="AA355" s="15"/>
      <c r="AB355" s="3"/>
      <c r="AC355" s="3"/>
      <c r="AD355" s="3"/>
      <c r="AE355" s="3"/>
      <c r="AF355" s="3"/>
      <c r="AG355" s="3"/>
      <c r="AH355" s="3"/>
      <c r="AI355" s="3"/>
      <c r="AJ355" s="3"/>
      <c r="AK355" s="3"/>
      <c r="AL355" s="3"/>
      <c r="AM355" s="3"/>
      <c r="AN355" s="3"/>
      <c r="AO355" s="3"/>
    </row>
    <row r="356" spans="2:41" x14ac:dyDescent="0.25">
      <c r="B356" s="13"/>
      <c r="C356" s="14"/>
      <c r="D356" s="14"/>
      <c r="E356" s="56"/>
      <c r="F356" s="56"/>
      <c r="G356" s="14"/>
      <c r="H356" s="56"/>
      <c r="I356" s="14"/>
      <c r="J356" s="14"/>
      <c r="K356" s="14"/>
      <c r="L356" s="14"/>
      <c r="M356" s="14"/>
      <c r="N356" s="14"/>
      <c r="O356" s="14"/>
      <c r="P356" s="14"/>
      <c r="Q356" s="14"/>
      <c r="R356" s="14"/>
      <c r="S356" s="14"/>
      <c r="T356" s="14"/>
      <c r="U356" s="14"/>
      <c r="V356" s="14"/>
      <c r="W356" s="14"/>
      <c r="X356" s="14"/>
      <c r="Y356" s="14"/>
      <c r="Z356" s="14"/>
      <c r="AA356" s="15"/>
      <c r="AB356" s="3"/>
      <c r="AC356" s="3"/>
      <c r="AD356" s="3"/>
      <c r="AE356" s="3"/>
      <c r="AF356" s="3"/>
      <c r="AG356" s="3"/>
      <c r="AH356" s="3"/>
      <c r="AI356" s="3"/>
      <c r="AJ356" s="3"/>
      <c r="AK356" s="3"/>
      <c r="AL356" s="3"/>
      <c r="AM356" s="3"/>
      <c r="AN356" s="3"/>
      <c r="AO356" s="3"/>
    </row>
    <row r="357" spans="2:41" x14ac:dyDescent="0.25">
      <c r="B357" s="13"/>
      <c r="C357" s="14"/>
      <c r="D357" s="60"/>
      <c r="E357" s="56"/>
      <c r="F357" s="56"/>
      <c r="G357" s="14"/>
      <c r="H357" s="14"/>
      <c r="I357" s="14"/>
      <c r="J357" s="14"/>
      <c r="K357" s="14"/>
      <c r="L357" s="14"/>
      <c r="M357" s="14"/>
      <c r="N357" s="14"/>
      <c r="O357" s="14"/>
      <c r="P357" s="14"/>
      <c r="Q357" s="14"/>
      <c r="R357" s="14"/>
      <c r="S357" s="14"/>
      <c r="T357" s="14"/>
      <c r="U357" s="14"/>
      <c r="V357" s="14"/>
      <c r="W357" s="14"/>
      <c r="X357" s="14"/>
      <c r="Y357" s="14"/>
      <c r="Z357" s="14"/>
      <c r="AA357" s="15"/>
      <c r="AB357" s="3"/>
      <c r="AC357" s="3"/>
      <c r="AD357" s="3"/>
      <c r="AE357" s="3"/>
      <c r="AF357" s="3"/>
      <c r="AG357" s="3"/>
      <c r="AH357" s="3"/>
      <c r="AI357" s="3"/>
      <c r="AJ357" s="3"/>
      <c r="AK357" s="3"/>
      <c r="AL357" s="3"/>
      <c r="AM357" s="3"/>
      <c r="AN357" s="3"/>
      <c r="AO357" s="3"/>
    </row>
    <row r="358" spans="2:41" x14ac:dyDescent="0.25">
      <c r="B358" s="13"/>
      <c r="C358" s="14"/>
      <c r="D358" s="60"/>
      <c r="E358" s="56"/>
      <c r="F358" s="56"/>
      <c r="G358" s="14"/>
      <c r="H358" s="56"/>
      <c r="I358" s="14"/>
      <c r="J358" s="14"/>
      <c r="K358" s="14"/>
      <c r="L358" s="14"/>
      <c r="M358" s="14"/>
      <c r="N358" s="14"/>
      <c r="O358" s="14"/>
      <c r="P358" s="14"/>
      <c r="Q358" s="14"/>
      <c r="R358" s="14"/>
      <c r="S358" s="14"/>
      <c r="T358" s="14"/>
      <c r="U358" s="14"/>
      <c r="V358" s="14"/>
      <c r="W358" s="14"/>
      <c r="X358" s="14"/>
      <c r="Y358" s="14"/>
      <c r="Z358" s="14"/>
      <c r="AA358" s="15"/>
      <c r="AB358" s="3"/>
      <c r="AC358" s="3"/>
      <c r="AD358" s="3"/>
      <c r="AE358" s="3"/>
      <c r="AF358" s="3"/>
      <c r="AG358" s="3"/>
      <c r="AH358" s="3"/>
      <c r="AI358" s="3"/>
      <c r="AJ358" s="3"/>
      <c r="AK358" s="3"/>
      <c r="AL358" s="3"/>
      <c r="AM358" s="3"/>
      <c r="AN358" s="3"/>
      <c r="AO358" s="3"/>
    </row>
    <row r="359" spans="2:41" x14ac:dyDescent="0.25">
      <c r="B359" s="13"/>
      <c r="C359" s="14"/>
      <c r="D359" s="60"/>
      <c r="E359" s="56"/>
      <c r="F359" s="56"/>
      <c r="G359" s="14"/>
      <c r="H359" s="56"/>
      <c r="I359" s="14"/>
      <c r="J359" s="14"/>
      <c r="K359" s="14"/>
      <c r="L359" s="14"/>
      <c r="M359" s="14"/>
      <c r="N359" s="14"/>
      <c r="O359" s="14"/>
      <c r="P359" s="14"/>
      <c r="Q359" s="14"/>
      <c r="R359" s="14"/>
      <c r="S359" s="14"/>
      <c r="T359" s="14"/>
      <c r="U359" s="14"/>
      <c r="V359" s="14"/>
      <c r="W359" s="14"/>
      <c r="X359" s="14"/>
      <c r="Y359" s="14"/>
      <c r="Z359" s="14"/>
      <c r="AA359" s="15"/>
      <c r="AB359" s="3"/>
      <c r="AC359" s="3"/>
      <c r="AD359" s="3"/>
      <c r="AE359" s="3"/>
      <c r="AF359" s="3"/>
      <c r="AG359" s="3"/>
      <c r="AH359" s="3"/>
      <c r="AI359" s="3"/>
      <c r="AJ359" s="3"/>
      <c r="AK359" s="3"/>
      <c r="AL359" s="3"/>
      <c r="AM359" s="3"/>
      <c r="AN359" s="3"/>
      <c r="AO359" s="3"/>
    </row>
    <row r="360" spans="2:41" ht="18.75" x14ac:dyDescent="0.3">
      <c r="B360" s="67"/>
      <c r="C360" s="14"/>
      <c r="D360" s="60"/>
      <c r="E360" s="56"/>
      <c r="F360" s="56"/>
      <c r="G360" s="14"/>
      <c r="H360" s="56"/>
      <c r="I360" s="74"/>
      <c r="J360" s="14"/>
      <c r="K360" s="14"/>
      <c r="L360" s="14"/>
      <c r="M360" s="14"/>
      <c r="N360" s="14"/>
      <c r="O360" s="14"/>
      <c r="P360" s="14"/>
      <c r="Q360" s="14"/>
      <c r="R360" s="14"/>
      <c r="S360" s="14"/>
      <c r="T360" s="14"/>
      <c r="U360" s="14"/>
      <c r="V360" s="14"/>
      <c r="W360" s="14"/>
      <c r="X360" s="14"/>
      <c r="Y360" s="14"/>
      <c r="Z360" s="14"/>
      <c r="AA360" s="15"/>
      <c r="AB360" s="3"/>
      <c r="AC360" s="3"/>
      <c r="AD360" s="3"/>
      <c r="AE360" s="3"/>
      <c r="AF360" s="3"/>
      <c r="AG360" s="3"/>
      <c r="AH360" s="3"/>
      <c r="AI360" s="3"/>
      <c r="AJ360" s="3"/>
      <c r="AK360" s="3"/>
      <c r="AL360" s="3"/>
      <c r="AM360" s="3"/>
      <c r="AN360" s="3"/>
      <c r="AO360" s="3"/>
    </row>
    <row r="361" spans="2:41" x14ac:dyDescent="0.25">
      <c r="B361" s="13"/>
      <c r="C361" s="56"/>
      <c r="D361" s="60"/>
      <c r="E361" s="56"/>
      <c r="F361" s="56"/>
      <c r="G361" s="56"/>
      <c r="H361" s="56"/>
      <c r="I361" s="14"/>
      <c r="J361" s="14"/>
      <c r="K361" s="14"/>
      <c r="L361" s="14"/>
      <c r="M361" s="14"/>
      <c r="N361" s="14"/>
      <c r="O361" s="14"/>
      <c r="P361" s="14"/>
      <c r="Q361" s="14"/>
      <c r="R361" s="14"/>
      <c r="S361" s="14"/>
      <c r="T361" s="14"/>
      <c r="U361" s="14"/>
      <c r="V361" s="14"/>
      <c r="W361" s="14"/>
      <c r="X361" s="14"/>
      <c r="Y361" s="14"/>
      <c r="Z361" s="14"/>
      <c r="AA361" s="15"/>
      <c r="AB361" s="3"/>
      <c r="AC361" s="3"/>
      <c r="AD361" s="3"/>
      <c r="AE361" s="3"/>
      <c r="AF361" s="3"/>
      <c r="AG361" s="3"/>
      <c r="AH361" s="3"/>
      <c r="AI361" s="3"/>
      <c r="AJ361" s="3"/>
      <c r="AK361" s="3"/>
      <c r="AL361" s="3"/>
      <c r="AM361" s="3"/>
      <c r="AN361" s="3"/>
      <c r="AO361" s="3"/>
    </row>
    <row r="362" spans="2:41" x14ac:dyDescent="0.25">
      <c r="B362" s="13"/>
      <c r="C362" s="14"/>
      <c r="D362" s="60"/>
      <c r="E362" s="56"/>
      <c r="F362" s="56"/>
      <c r="G362" s="14"/>
      <c r="H362" s="56"/>
      <c r="I362" s="14"/>
      <c r="J362" s="14"/>
      <c r="K362" s="14"/>
      <c r="L362" s="14"/>
      <c r="M362" s="14"/>
      <c r="N362" s="14"/>
      <c r="O362" s="14"/>
      <c r="P362" s="14"/>
      <c r="Q362" s="14"/>
      <c r="R362" s="14"/>
      <c r="S362" s="14"/>
      <c r="T362" s="14"/>
      <c r="U362" s="14"/>
      <c r="V362" s="14"/>
      <c r="W362" s="14"/>
      <c r="X362" s="14"/>
      <c r="Y362" s="14"/>
      <c r="Z362" s="14"/>
      <c r="AA362" s="15"/>
      <c r="AB362" s="3"/>
      <c r="AC362" s="3"/>
      <c r="AD362" s="3"/>
      <c r="AE362" s="3"/>
      <c r="AF362" s="3"/>
      <c r="AG362" s="3"/>
      <c r="AH362" s="3"/>
      <c r="AI362" s="3"/>
      <c r="AJ362" s="3"/>
      <c r="AK362" s="3"/>
      <c r="AL362" s="3"/>
      <c r="AM362" s="3"/>
      <c r="AN362" s="3"/>
      <c r="AO362" s="3"/>
    </row>
    <row r="363" spans="2:41" x14ac:dyDescent="0.25">
      <c r="B363" s="13"/>
      <c r="C363" s="14"/>
      <c r="D363" s="14"/>
      <c r="E363" s="56"/>
      <c r="F363" s="56"/>
      <c r="G363" s="14"/>
      <c r="H363" s="56"/>
      <c r="I363" s="14"/>
      <c r="J363" s="14"/>
      <c r="K363" s="14"/>
      <c r="L363" s="14"/>
      <c r="M363" s="14"/>
      <c r="N363" s="14"/>
      <c r="O363" s="14"/>
      <c r="P363" s="14"/>
      <c r="Q363" s="14"/>
      <c r="R363" s="14"/>
      <c r="S363" s="14"/>
      <c r="T363" s="14"/>
      <c r="U363" s="14"/>
      <c r="V363" s="14"/>
      <c r="W363" s="14"/>
      <c r="X363" s="14"/>
      <c r="Y363" s="14"/>
      <c r="Z363" s="14"/>
      <c r="AA363" s="15"/>
      <c r="AB363" s="3"/>
      <c r="AC363" s="3"/>
      <c r="AD363" s="3"/>
      <c r="AE363" s="3"/>
      <c r="AF363" s="3"/>
      <c r="AG363" s="3"/>
      <c r="AH363" s="3"/>
      <c r="AI363" s="3"/>
      <c r="AJ363" s="3"/>
      <c r="AK363" s="3"/>
      <c r="AL363" s="3"/>
      <c r="AM363" s="3"/>
      <c r="AN363" s="3"/>
      <c r="AO363" s="3"/>
    </row>
    <row r="364" spans="2:41" x14ac:dyDescent="0.25">
      <c r="B364" s="13"/>
      <c r="C364" s="14"/>
      <c r="D364" s="60"/>
      <c r="E364" s="56"/>
      <c r="F364" s="56"/>
      <c r="G364" s="14"/>
      <c r="H364" s="14"/>
      <c r="I364" s="14"/>
      <c r="J364" s="14"/>
      <c r="K364" s="14"/>
      <c r="L364" s="14"/>
      <c r="M364" s="14"/>
      <c r="N364" s="14"/>
      <c r="O364" s="14"/>
      <c r="P364" s="14"/>
      <c r="Q364" s="14"/>
      <c r="R364" s="14"/>
      <c r="S364" s="14"/>
      <c r="T364" s="14"/>
      <c r="U364" s="14"/>
      <c r="V364" s="14"/>
      <c r="W364" s="14"/>
      <c r="X364" s="14"/>
      <c r="Y364" s="14"/>
      <c r="Z364" s="14"/>
      <c r="AA364" s="15"/>
      <c r="AB364" s="3"/>
      <c r="AC364" s="3"/>
      <c r="AD364" s="3"/>
      <c r="AE364" s="3"/>
      <c r="AF364" s="3"/>
      <c r="AG364" s="3"/>
      <c r="AH364" s="3"/>
      <c r="AI364" s="3"/>
      <c r="AJ364" s="3"/>
      <c r="AK364" s="3"/>
      <c r="AL364" s="3"/>
      <c r="AM364" s="3"/>
      <c r="AN364" s="3"/>
      <c r="AO364" s="3"/>
    </row>
    <row r="365" spans="2:41" x14ac:dyDescent="0.25">
      <c r="B365" s="13"/>
      <c r="C365" s="14"/>
      <c r="D365" s="60"/>
      <c r="E365" s="56"/>
      <c r="F365" s="56"/>
      <c r="G365" s="14"/>
      <c r="H365" s="56"/>
      <c r="I365" s="14"/>
      <c r="J365" s="14"/>
      <c r="K365" s="14"/>
      <c r="L365" s="14"/>
      <c r="M365" s="14"/>
      <c r="N365" s="14"/>
      <c r="O365" s="14"/>
      <c r="P365" s="14"/>
      <c r="Q365" s="14"/>
      <c r="R365" s="14"/>
      <c r="S365" s="14"/>
      <c r="T365" s="14"/>
      <c r="U365" s="14"/>
      <c r="V365" s="14"/>
      <c r="W365" s="14"/>
      <c r="X365" s="14"/>
      <c r="Y365" s="14"/>
      <c r="Z365" s="14"/>
      <c r="AA365" s="15"/>
      <c r="AB365" s="3"/>
      <c r="AC365" s="3"/>
      <c r="AD365" s="3"/>
      <c r="AE365" s="3"/>
      <c r="AF365" s="3"/>
      <c r="AG365" s="3"/>
      <c r="AH365" s="3"/>
      <c r="AI365" s="3"/>
      <c r="AJ365" s="3"/>
      <c r="AK365" s="3"/>
      <c r="AL365" s="3"/>
      <c r="AM365" s="3"/>
      <c r="AN365" s="3"/>
      <c r="AO365" s="3"/>
    </row>
    <row r="366" spans="2:41" x14ac:dyDescent="0.25">
      <c r="B366" s="13"/>
      <c r="C366" s="14"/>
      <c r="D366" s="60"/>
      <c r="E366" s="56"/>
      <c r="F366" s="56"/>
      <c r="G366" s="14"/>
      <c r="H366" s="56"/>
      <c r="I366" s="14"/>
      <c r="J366" s="14"/>
      <c r="K366" s="14"/>
      <c r="L366" s="14"/>
      <c r="M366" s="14"/>
      <c r="N366" s="14"/>
      <c r="O366" s="14"/>
      <c r="P366" s="14"/>
      <c r="Q366" s="14"/>
      <c r="R366" s="14"/>
      <c r="S366" s="14"/>
      <c r="T366" s="14"/>
      <c r="U366" s="14"/>
      <c r="V366" s="14"/>
      <c r="W366" s="14"/>
      <c r="X366" s="14"/>
      <c r="Y366" s="14"/>
      <c r="Z366" s="14"/>
      <c r="AA366" s="15"/>
      <c r="AB366" s="3"/>
      <c r="AC366" s="3"/>
      <c r="AD366" s="3"/>
      <c r="AE366" s="3"/>
      <c r="AF366" s="3"/>
      <c r="AG366" s="3"/>
      <c r="AH366" s="3"/>
      <c r="AI366" s="3"/>
      <c r="AJ366" s="3"/>
      <c r="AK366" s="3"/>
      <c r="AL366" s="3"/>
      <c r="AM366" s="3"/>
      <c r="AN366" s="3"/>
      <c r="AO366" s="3"/>
    </row>
    <row r="367" spans="2:41" x14ac:dyDescent="0.25">
      <c r="B367" s="13"/>
      <c r="C367" s="14"/>
      <c r="D367" s="60"/>
      <c r="E367" s="56"/>
      <c r="F367" s="56"/>
      <c r="G367" s="14"/>
      <c r="H367" s="56"/>
      <c r="I367" s="14"/>
      <c r="J367" s="14"/>
      <c r="K367" s="14"/>
      <c r="L367" s="14"/>
      <c r="M367" s="14"/>
      <c r="N367" s="14"/>
      <c r="O367" s="14"/>
      <c r="P367" s="14"/>
      <c r="Q367" s="14"/>
      <c r="R367" s="14"/>
      <c r="S367" s="14"/>
      <c r="T367" s="14"/>
      <c r="U367" s="14"/>
      <c r="V367" s="14"/>
      <c r="W367" s="14"/>
      <c r="X367" s="14"/>
      <c r="Y367" s="14"/>
      <c r="Z367" s="14"/>
      <c r="AA367" s="15"/>
      <c r="AB367" s="3"/>
      <c r="AC367" s="3"/>
      <c r="AD367" s="3"/>
      <c r="AE367" s="3"/>
      <c r="AF367" s="3"/>
      <c r="AG367" s="3"/>
      <c r="AH367" s="3"/>
      <c r="AI367" s="3"/>
      <c r="AJ367" s="3"/>
      <c r="AK367" s="3"/>
      <c r="AL367" s="3"/>
      <c r="AM367" s="3"/>
      <c r="AN367" s="3"/>
      <c r="AO367" s="3"/>
    </row>
    <row r="368" spans="2:41" ht="18.75" x14ac:dyDescent="0.3">
      <c r="B368" s="67"/>
      <c r="C368" s="56"/>
      <c r="D368" s="60"/>
      <c r="E368" s="56"/>
      <c r="F368" s="56"/>
      <c r="G368" s="56"/>
      <c r="H368" s="56"/>
      <c r="I368" s="74"/>
      <c r="J368" s="14"/>
      <c r="K368" s="14"/>
      <c r="L368" s="14"/>
      <c r="M368" s="14"/>
      <c r="N368" s="14"/>
      <c r="O368" s="14"/>
      <c r="P368" s="14"/>
      <c r="Q368" s="14"/>
      <c r="R368" s="14"/>
      <c r="S368" s="14"/>
      <c r="T368" s="14"/>
      <c r="U368" s="14"/>
      <c r="V368" s="14"/>
      <c r="W368" s="14"/>
      <c r="X368" s="14"/>
      <c r="Y368" s="14"/>
      <c r="Z368" s="14"/>
      <c r="AA368" s="15"/>
      <c r="AB368" s="3"/>
      <c r="AC368" s="3"/>
      <c r="AD368" s="3"/>
      <c r="AE368" s="3"/>
      <c r="AF368" s="3"/>
      <c r="AG368" s="3"/>
      <c r="AH368" s="3"/>
      <c r="AI368" s="3"/>
      <c r="AJ368" s="3"/>
      <c r="AK368" s="3"/>
      <c r="AL368" s="3"/>
      <c r="AM368" s="3"/>
      <c r="AN368" s="3"/>
      <c r="AO368" s="3"/>
    </row>
    <row r="369" spans="2:41" x14ac:dyDescent="0.25">
      <c r="B369" s="13"/>
      <c r="C369" s="14"/>
      <c r="D369" s="60"/>
      <c r="E369" s="56"/>
      <c r="F369" s="56"/>
      <c r="G369" s="14"/>
      <c r="H369" s="56"/>
      <c r="I369" s="14"/>
      <c r="J369" s="14"/>
      <c r="K369" s="14"/>
      <c r="L369" s="14"/>
      <c r="M369" s="14"/>
      <c r="N369" s="14"/>
      <c r="O369" s="14"/>
      <c r="P369" s="14"/>
      <c r="Q369" s="14"/>
      <c r="R369" s="14"/>
      <c r="S369" s="14"/>
      <c r="T369" s="14"/>
      <c r="U369" s="14"/>
      <c r="V369" s="14"/>
      <c r="W369" s="14"/>
      <c r="X369" s="14"/>
      <c r="Y369" s="14"/>
      <c r="Z369" s="14"/>
      <c r="AA369" s="15"/>
      <c r="AB369" s="3"/>
      <c r="AC369" s="3"/>
      <c r="AD369" s="3"/>
      <c r="AE369" s="3"/>
      <c r="AF369" s="3"/>
      <c r="AG369" s="3"/>
      <c r="AH369" s="3"/>
      <c r="AI369" s="3"/>
      <c r="AJ369" s="3"/>
      <c r="AK369" s="3"/>
      <c r="AL369" s="3"/>
      <c r="AM369" s="3"/>
      <c r="AN369" s="3"/>
      <c r="AO369" s="3"/>
    </row>
    <row r="370" spans="2:41" x14ac:dyDescent="0.25">
      <c r="B370" s="13"/>
      <c r="C370" s="14"/>
      <c r="D370" s="14"/>
      <c r="E370" s="56"/>
      <c r="F370" s="56"/>
      <c r="G370" s="14"/>
      <c r="H370" s="56"/>
      <c r="I370" s="14"/>
      <c r="J370" s="14"/>
      <c r="K370" s="14"/>
      <c r="L370" s="14"/>
      <c r="M370" s="14"/>
      <c r="N370" s="14"/>
      <c r="O370" s="14"/>
      <c r="P370" s="14"/>
      <c r="Q370" s="14"/>
      <c r="R370" s="14"/>
      <c r="S370" s="14"/>
      <c r="T370" s="14"/>
      <c r="U370" s="14"/>
      <c r="V370" s="14"/>
      <c r="W370" s="14"/>
      <c r="X370" s="14"/>
      <c r="Y370" s="14"/>
      <c r="Z370" s="14"/>
      <c r="AA370" s="15"/>
      <c r="AB370" s="3"/>
      <c r="AC370" s="3"/>
      <c r="AD370" s="3"/>
      <c r="AE370" s="3"/>
      <c r="AF370" s="3"/>
      <c r="AG370" s="3"/>
      <c r="AH370" s="3"/>
      <c r="AI370" s="3"/>
      <c r="AJ370" s="3"/>
      <c r="AK370" s="3"/>
      <c r="AL370" s="3"/>
      <c r="AM370" s="3"/>
      <c r="AN370" s="3"/>
      <c r="AO370" s="3"/>
    </row>
    <row r="371" spans="2:41" x14ac:dyDescent="0.25">
      <c r="B371" s="13"/>
      <c r="C371" s="14"/>
      <c r="D371" s="60"/>
      <c r="E371" s="56"/>
      <c r="F371" s="56"/>
      <c r="G371" s="14"/>
      <c r="H371" s="14"/>
      <c r="I371" s="14"/>
      <c r="J371" s="14"/>
      <c r="K371" s="14"/>
      <c r="L371" s="14"/>
      <c r="M371" s="14"/>
      <c r="N371" s="14"/>
      <c r="O371" s="14"/>
      <c r="P371" s="14"/>
      <c r="Q371" s="14"/>
      <c r="R371" s="14"/>
      <c r="S371" s="14"/>
      <c r="T371" s="14"/>
      <c r="U371" s="14"/>
      <c r="V371" s="14"/>
      <c r="W371" s="14"/>
      <c r="X371" s="14"/>
      <c r="Y371" s="14"/>
      <c r="Z371" s="14"/>
      <c r="AA371" s="15"/>
      <c r="AB371" s="3"/>
      <c r="AC371" s="3"/>
      <c r="AD371" s="3"/>
      <c r="AE371" s="3"/>
      <c r="AF371" s="3"/>
      <c r="AG371" s="3"/>
      <c r="AH371" s="3"/>
      <c r="AI371" s="3"/>
      <c r="AJ371" s="3"/>
      <c r="AK371" s="3"/>
      <c r="AL371" s="3"/>
      <c r="AM371" s="3"/>
      <c r="AN371" s="3"/>
      <c r="AO371" s="3"/>
    </row>
    <row r="372" spans="2:41" x14ac:dyDescent="0.25">
      <c r="B372" s="13"/>
      <c r="C372" s="14"/>
      <c r="D372" s="60"/>
      <c r="E372" s="56"/>
      <c r="F372" s="56"/>
      <c r="G372" s="14"/>
      <c r="H372" s="56"/>
      <c r="I372" s="14"/>
      <c r="J372" s="14"/>
      <c r="K372" s="14"/>
      <c r="L372" s="14"/>
      <c r="M372" s="14"/>
      <c r="N372" s="14"/>
      <c r="O372" s="14"/>
      <c r="P372" s="14"/>
      <c r="Q372" s="14"/>
      <c r="R372" s="14"/>
      <c r="S372" s="14"/>
      <c r="T372" s="14"/>
      <c r="U372" s="14"/>
      <c r="V372" s="14"/>
      <c r="W372" s="14"/>
      <c r="X372" s="14"/>
      <c r="Y372" s="14"/>
      <c r="Z372" s="14"/>
      <c r="AA372" s="15"/>
      <c r="AB372" s="3"/>
      <c r="AC372" s="3"/>
      <c r="AD372" s="3"/>
      <c r="AE372" s="3"/>
      <c r="AF372" s="3"/>
      <c r="AG372" s="3"/>
      <c r="AH372" s="3"/>
      <c r="AI372" s="3"/>
      <c r="AJ372" s="3"/>
      <c r="AK372" s="3"/>
      <c r="AL372" s="3"/>
      <c r="AM372" s="3"/>
      <c r="AN372" s="3"/>
      <c r="AO372" s="3"/>
    </row>
    <row r="373" spans="2:41" x14ac:dyDescent="0.25">
      <c r="B373" s="13"/>
      <c r="C373" s="14"/>
      <c r="D373" s="60"/>
      <c r="E373" s="56"/>
      <c r="F373" s="56"/>
      <c r="G373" s="14"/>
      <c r="H373" s="56"/>
      <c r="I373" s="14"/>
      <c r="J373" s="14"/>
      <c r="K373" s="14"/>
      <c r="L373" s="14"/>
      <c r="M373" s="14"/>
      <c r="N373" s="14"/>
      <c r="O373" s="14"/>
      <c r="P373" s="14"/>
      <c r="Q373" s="14"/>
      <c r="R373" s="14"/>
      <c r="S373" s="14"/>
      <c r="T373" s="14"/>
      <c r="U373" s="14"/>
      <c r="V373" s="14"/>
      <c r="W373" s="14"/>
      <c r="X373" s="14"/>
      <c r="Y373" s="14"/>
      <c r="Z373" s="14"/>
      <c r="AA373" s="15"/>
      <c r="AB373" s="3"/>
      <c r="AC373" s="3"/>
      <c r="AD373" s="3"/>
      <c r="AE373" s="3"/>
      <c r="AF373" s="3"/>
      <c r="AG373" s="3"/>
      <c r="AH373" s="3"/>
      <c r="AI373" s="3"/>
      <c r="AJ373" s="3"/>
      <c r="AK373" s="3"/>
      <c r="AL373" s="3"/>
      <c r="AM373" s="3"/>
      <c r="AN373" s="3"/>
      <c r="AO373" s="3"/>
    </row>
    <row r="374" spans="2:41" x14ac:dyDescent="0.25">
      <c r="B374" s="13"/>
      <c r="C374" s="14"/>
      <c r="D374" s="60"/>
      <c r="E374" s="56"/>
      <c r="F374" s="56"/>
      <c r="G374" s="14"/>
      <c r="H374" s="56"/>
      <c r="I374" s="14"/>
      <c r="J374" s="14"/>
      <c r="K374" s="14"/>
      <c r="L374" s="14"/>
      <c r="M374" s="14"/>
      <c r="N374" s="14"/>
      <c r="O374" s="14"/>
      <c r="P374" s="14"/>
      <c r="Q374" s="14"/>
      <c r="R374" s="14"/>
      <c r="S374" s="14"/>
      <c r="T374" s="14"/>
      <c r="U374" s="14"/>
      <c r="V374" s="14"/>
      <c r="W374" s="14"/>
      <c r="X374" s="14"/>
      <c r="Y374" s="14"/>
      <c r="Z374" s="14"/>
      <c r="AA374" s="15"/>
      <c r="AB374" s="3"/>
      <c r="AC374" s="3"/>
      <c r="AD374" s="3"/>
      <c r="AE374" s="3"/>
      <c r="AF374" s="3"/>
      <c r="AG374" s="3"/>
      <c r="AH374" s="3"/>
      <c r="AI374" s="3"/>
      <c r="AJ374" s="3"/>
      <c r="AK374" s="3"/>
      <c r="AL374" s="3"/>
      <c r="AM374" s="3"/>
      <c r="AN374" s="3"/>
      <c r="AO374" s="3"/>
    </row>
    <row r="375" spans="2:41" x14ac:dyDescent="0.25">
      <c r="B375" s="13"/>
      <c r="C375" s="56"/>
      <c r="D375" s="60"/>
      <c r="E375" s="56"/>
      <c r="F375" s="56"/>
      <c r="G375" s="56"/>
      <c r="H375" s="56"/>
      <c r="I375" s="14"/>
      <c r="J375" s="14"/>
      <c r="K375" s="14"/>
      <c r="L375" s="14"/>
      <c r="M375" s="14"/>
      <c r="N375" s="14"/>
      <c r="O375" s="14"/>
      <c r="P375" s="14"/>
      <c r="Q375" s="14"/>
      <c r="R375" s="14"/>
      <c r="S375" s="14"/>
      <c r="T375" s="14"/>
      <c r="U375" s="14"/>
      <c r="V375" s="14"/>
      <c r="W375" s="14"/>
      <c r="X375" s="14"/>
      <c r="Y375" s="14"/>
      <c r="Z375" s="14"/>
      <c r="AA375" s="15"/>
      <c r="AB375" s="3"/>
      <c r="AC375" s="3"/>
      <c r="AD375" s="3"/>
      <c r="AE375" s="3"/>
      <c r="AF375" s="3"/>
      <c r="AG375" s="3"/>
      <c r="AH375" s="3"/>
      <c r="AI375" s="3"/>
      <c r="AJ375" s="3"/>
      <c r="AK375" s="3"/>
      <c r="AL375" s="3"/>
      <c r="AM375" s="3"/>
      <c r="AN375" s="3"/>
      <c r="AO375" s="3"/>
    </row>
    <row r="376" spans="2:41" ht="18.75" x14ac:dyDescent="0.3">
      <c r="B376" s="67"/>
      <c r="C376" s="14"/>
      <c r="D376" s="60"/>
      <c r="E376" s="56"/>
      <c r="F376" s="56"/>
      <c r="G376" s="14"/>
      <c r="H376" s="56"/>
      <c r="I376" s="74"/>
      <c r="J376" s="14"/>
      <c r="K376" s="14"/>
      <c r="L376" s="14"/>
      <c r="M376" s="14"/>
      <c r="N376" s="14"/>
      <c r="O376" s="14"/>
      <c r="P376" s="14"/>
      <c r="Q376" s="14"/>
      <c r="R376" s="14"/>
      <c r="S376" s="14"/>
      <c r="T376" s="14"/>
      <c r="U376" s="14"/>
      <c r="V376" s="14"/>
      <c r="W376" s="14"/>
      <c r="X376" s="14"/>
      <c r="Y376" s="14"/>
      <c r="Z376" s="14"/>
      <c r="AA376" s="15"/>
      <c r="AB376" s="3"/>
      <c r="AC376" s="3"/>
      <c r="AD376" s="3"/>
      <c r="AE376" s="3"/>
      <c r="AF376" s="3"/>
      <c r="AG376" s="3"/>
      <c r="AH376" s="3"/>
      <c r="AI376" s="3"/>
      <c r="AJ376" s="3"/>
      <c r="AK376" s="3"/>
      <c r="AL376" s="3"/>
      <c r="AM376" s="3"/>
      <c r="AN376" s="3"/>
      <c r="AO376" s="3"/>
    </row>
    <row r="377" spans="2:41" x14ac:dyDescent="0.25">
      <c r="B377" s="13"/>
      <c r="C377" s="14"/>
      <c r="D377" s="14"/>
      <c r="E377" s="56"/>
      <c r="F377" s="56"/>
      <c r="G377" s="14"/>
      <c r="H377" s="56"/>
      <c r="I377" s="14"/>
      <c r="J377" s="14"/>
      <c r="K377" s="14"/>
      <c r="L377" s="14"/>
      <c r="M377" s="14"/>
      <c r="N377" s="14"/>
      <c r="O377" s="14"/>
      <c r="P377" s="14"/>
      <c r="Q377" s="14"/>
      <c r="R377" s="14"/>
      <c r="S377" s="14"/>
      <c r="T377" s="14"/>
      <c r="U377" s="14"/>
      <c r="V377" s="14"/>
      <c r="W377" s="14"/>
      <c r="X377" s="14"/>
      <c r="Y377" s="14"/>
      <c r="Z377" s="14"/>
      <c r="AA377" s="15"/>
      <c r="AB377" s="3"/>
      <c r="AC377" s="3"/>
      <c r="AD377" s="3"/>
      <c r="AE377" s="3"/>
      <c r="AF377" s="3"/>
      <c r="AG377" s="3"/>
      <c r="AH377" s="3"/>
      <c r="AI377" s="3"/>
      <c r="AJ377" s="3"/>
      <c r="AK377" s="3"/>
      <c r="AL377" s="3"/>
      <c r="AM377" s="3"/>
      <c r="AN377" s="3"/>
      <c r="AO377" s="3"/>
    </row>
    <row r="378" spans="2:41" x14ac:dyDescent="0.25">
      <c r="B378" s="13"/>
      <c r="C378" s="14"/>
      <c r="D378" s="60"/>
      <c r="E378" s="56"/>
      <c r="F378" s="56"/>
      <c r="G378" s="14"/>
      <c r="H378" s="14"/>
      <c r="I378" s="14"/>
      <c r="J378" s="14"/>
      <c r="K378" s="14"/>
      <c r="L378" s="14"/>
      <c r="M378" s="14"/>
      <c r="N378" s="14"/>
      <c r="O378" s="14"/>
      <c r="P378" s="14"/>
      <c r="Q378" s="14"/>
      <c r="R378" s="14"/>
      <c r="S378" s="14"/>
      <c r="T378" s="14"/>
      <c r="U378" s="14"/>
      <c r="V378" s="14"/>
      <c r="W378" s="14"/>
      <c r="X378" s="14"/>
      <c r="Y378" s="14"/>
      <c r="Z378" s="14"/>
      <c r="AA378" s="15"/>
      <c r="AB378" s="3"/>
      <c r="AC378" s="3"/>
      <c r="AD378" s="3"/>
      <c r="AE378" s="3"/>
      <c r="AF378" s="3"/>
      <c r="AG378" s="3"/>
      <c r="AH378" s="3"/>
      <c r="AI378" s="3"/>
      <c r="AJ378" s="3"/>
      <c r="AK378" s="3"/>
      <c r="AL378" s="3"/>
      <c r="AM378" s="3"/>
      <c r="AN378" s="3"/>
      <c r="AO378" s="3"/>
    </row>
    <row r="379" spans="2:41" x14ac:dyDescent="0.25">
      <c r="B379" s="13"/>
      <c r="C379" s="14"/>
      <c r="D379" s="60"/>
      <c r="E379" s="56"/>
      <c r="F379" s="56"/>
      <c r="G379" s="14"/>
      <c r="H379" s="56"/>
      <c r="I379" s="14"/>
      <c r="J379" s="14"/>
      <c r="K379" s="14"/>
      <c r="L379" s="14"/>
      <c r="M379" s="14"/>
      <c r="N379" s="14"/>
      <c r="O379" s="14"/>
      <c r="P379" s="14"/>
      <c r="Q379" s="14"/>
      <c r="R379" s="14"/>
      <c r="S379" s="14"/>
      <c r="T379" s="14"/>
      <c r="U379" s="14"/>
      <c r="V379" s="14"/>
      <c r="W379" s="14"/>
      <c r="X379" s="14"/>
      <c r="Y379" s="14"/>
      <c r="Z379" s="14"/>
      <c r="AA379" s="15"/>
      <c r="AB379" s="3"/>
      <c r="AC379" s="3"/>
      <c r="AD379" s="3"/>
      <c r="AE379" s="3"/>
      <c r="AF379" s="3"/>
      <c r="AG379" s="3"/>
      <c r="AH379" s="3"/>
      <c r="AI379" s="3"/>
      <c r="AJ379" s="3"/>
      <c r="AK379" s="3"/>
      <c r="AL379" s="3"/>
      <c r="AM379" s="3"/>
      <c r="AN379" s="3"/>
      <c r="AO379" s="3"/>
    </row>
    <row r="380" spans="2:41" x14ac:dyDescent="0.25">
      <c r="B380" s="13"/>
      <c r="C380" s="14"/>
      <c r="D380" s="60"/>
      <c r="E380" s="56"/>
      <c r="F380" s="56"/>
      <c r="G380" s="14"/>
      <c r="H380" s="56"/>
      <c r="I380" s="14"/>
      <c r="J380" s="14"/>
      <c r="K380" s="14"/>
      <c r="L380" s="14"/>
      <c r="M380" s="14"/>
      <c r="N380" s="14"/>
      <c r="O380" s="14"/>
      <c r="P380" s="14"/>
      <c r="Q380" s="14"/>
      <c r="R380" s="14"/>
      <c r="S380" s="14"/>
      <c r="T380" s="14"/>
      <c r="U380" s="14"/>
      <c r="V380" s="14"/>
      <c r="W380" s="14"/>
      <c r="X380" s="14"/>
      <c r="Y380" s="14"/>
      <c r="Z380" s="14"/>
      <c r="AA380" s="15"/>
      <c r="AB380" s="3"/>
      <c r="AC380" s="3"/>
      <c r="AD380" s="3"/>
      <c r="AE380" s="3"/>
      <c r="AF380" s="3"/>
      <c r="AG380" s="3"/>
      <c r="AH380" s="3"/>
      <c r="AI380" s="3"/>
      <c r="AJ380" s="3"/>
      <c r="AK380" s="3"/>
      <c r="AL380" s="3"/>
      <c r="AM380" s="3"/>
      <c r="AN380" s="3"/>
      <c r="AO380" s="3"/>
    </row>
    <row r="381" spans="2:41" x14ac:dyDescent="0.25">
      <c r="B381" s="13"/>
      <c r="C381" s="14"/>
      <c r="D381" s="60"/>
      <c r="E381" s="56"/>
      <c r="F381" s="56"/>
      <c r="G381" s="14"/>
      <c r="H381" s="56"/>
      <c r="I381" s="14"/>
      <c r="J381" s="14"/>
      <c r="K381" s="14"/>
      <c r="L381" s="14"/>
      <c r="M381" s="14"/>
      <c r="N381" s="14"/>
      <c r="O381" s="14"/>
      <c r="P381" s="14"/>
      <c r="Q381" s="14"/>
      <c r="R381" s="14"/>
      <c r="S381" s="14"/>
      <c r="T381" s="14"/>
      <c r="U381" s="14"/>
      <c r="V381" s="14"/>
      <c r="W381" s="14"/>
      <c r="X381" s="14"/>
      <c r="Y381" s="14"/>
      <c r="Z381" s="14"/>
      <c r="AA381" s="15"/>
      <c r="AB381" s="3"/>
      <c r="AC381" s="3"/>
      <c r="AD381" s="3"/>
      <c r="AE381" s="3"/>
      <c r="AF381" s="3"/>
      <c r="AG381" s="3"/>
      <c r="AH381" s="3"/>
      <c r="AI381" s="3"/>
      <c r="AJ381" s="3"/>
      <c r="AK381" s="3"/>
      <c r="AL381" s="3"/>
      <c r="AM381" s="3"/>
      <c r="AN381" s="3"/>
      <c r="AO381" s="3"/>
    </row>
    <row r="382" spans="2:41" x14ac:dyDescent="0.25">
      <c r="B382" s="13"/>
      <c r="C382" s="56"/>
      <c r="D382" s="60"/>
      <c r="E382" s="56"/>
      <c r="F382" s="56"/>
      <c r="G382" s="56"/>
      <c r="H382" s="56"/>
      <c r="I382" s="14"/>
      <c r="J382" s="14"/>
      <c r="K382" s="14"/>
      <c r="L382" s="14"/>
      <c r="M382" s="14"/>
      <c r="N382" s="14"/>
      <c r="O382" s="14"/>
      <c r="P382" s="14"/>
      <c r="Q382" s="14"/>
      <c r="R382" s="14"/>
      <c r="S382" s="14"/>
      <c r="T382" s="14"/>
      <c r="U382" s="14"/>
      <c r="V382" s="14"/>
      <c r="W382" s="14"/>
      <c r="X382" s="14"/>
      <c r="Y382" s="14"/>
      <c r="Z382" s="14"/>
      <c r="AA382" s="15"/>
      <c r="AB382" s="3"/>
      <c r="AC382" s="3"/>
      <c r="AD382" s="3"/>
      <c r="AE382" s="3"/>
      <c r="AF382" s="3"/>
      <c r="AG382" s="3"/>
      <c r="AH382" s="3"/>
      <c r="AI382" s="3"/>
      <c r="AJ382" s="3"/>
      <c r="AK382" s="3"/>
      <c r="AL382" s="3"/>
      <c r="AM382" s="3"/>
      <c r="AN382" s="3"/>
      <c r="AO382" s="3"/>
    </row>
    <row r="383" spans="2:41" x14ac:dyDescent="0.25">
      <c r="B383" s="13"/>
      <c r="C383" s="14"/>
      <c r="D383" s="60"/>
      <c r="E383" s="56"/>
      <c r="F383" s="56"/>
      <c r="G383" s="14"/>
      <c r="H383" s="56"/>
      <c r="I383" s="14"/>
      <c r="J383" s="14"/>
      <c r="K383" s="14"/>
      <c r="L383" s="14"/>
      <c r="M383" s="14"/>
      <c r="N383" s="14"/>
      <c r="O383" s="14"/>
      <c r="P383" s="14"/>
      <c r="Q383" s="14"/>
      <c r="R383" s="14"/>
      <c r="S383" s="14"/>
      <c r="T383" s="14"/>
      <c r="U383" s="14"/>
      <c r="V383" s="14"/>
      <c r="W383" s="14"/>
      <c r="X383" s="14"/>
      <c r="Y383" s="14"/>
      <c r="Z383" s="14"/>
      <c r="AA383" s="15"/>
      <c r="AB383" s="3"/>
      <c r="AC383" s="3"/>
      <c r="AD383" s="3"/>
      <c r="AE383" s="3"/>
      <c r="AF383" s="3"/>
      <c r="AG383" s="3"/>
      <c r="AH383" s="3"/>
      <c r="AI383" s="3"/>
      <c r="AJ383" s="3"/>
      <c r="AK383" s="3"/>
      <c r="AL383" s="3"/>
      <c r="AM383" s="3"/>
      <c r="AN383" s="3"/>
      <c r="AO383" s="3"/>
    </row>
    <row r="384" spans="2:41" ht="18.75" x14ac:dyDescent="0.3">
      <c r="B384" s="67"/>
      <c r="C384" s="14"/>
      <c r="D384" s="14"/>
      <c r="E384" s="56"/>
      <c r="F384" s="56"/>
      <c r="G384" s="14"/>
      <c r="H384" s="56"/>
      <c r="I384" s="74"/>
      <c r="J384" s="14"/>
      <c r="K384" s="14"/>
      <c r="L384" s="14"/>
      <c r="M384" s="14"/>
      <c r="N384" s="14"/>
      <c r="O384" s="14"/>
      <c r="P384" s="14"/>
      <c r="Q384" s="14"/>
      <c r="R384" s="14"/>
      <c r="S384" s="14"/>
      <c r="T384" s="14"/>
      <c r="U384" s="14"/>
      <c r="V384" s="14"/>
      <c r="W384" s="14"/>
      <c r="X384" s="14"/>
      <c r="Y384" s="14"/>
      <c r="Z384" s="14"/>
      <c r="AA384" s="15"/>
      <c r="AB384" s="3"/>
      <c r="AC384" s="3"/>
      <c r="AD384" s="3"/>
      <c r="AE384" s="3"/>
      <c r="AF384" s="3"/>
      <c r="AG384" s="3"/>
      <c r="AH384" s="3"/>
      <c r="AI384" s="3"/>
      <c r="AJ384" s="3"/>
      <c r="AK384" s="3"/>
      <c r="AL384" s="3"/>
      <c r="AM384" s="3"/>
      <c r="AN384" s="3"/>
      <c r="AO384" s="3"/>
    </row>
    <row r="385" spans="2:41" x14ac:dyDescent="0.25">
      <c r="B385" s="18"/>
      <c r="C385" s="19"/>
      <c r="D385" s="63"/>
      <c r="E385" s="64"/>
      <c r="F385" s="64"/>
      <c r="G385" s="19"/>
      <c r="H385" s="19"/>
      <c r="I385" s="19"/>
      <c r="J385" s="19"/>
      <c r="K385" s="19"/>
      <c r="L385" s="19"/>
      <c r="M385" s="19"/>
      <c r="N385" s="19"/>
      <c r="O385" s="19"/>
      <c r="P385" s="19"/>
      <c r="Q385" s="19"/>
      <c r="R385" s="19"/>
      <c r="S385" s="19"/>
      <c r="T385" s="19"/>
      <c r="U385" s="19"/>
      <c r="V385" s="19"/>
      <c r="W385" s="19"/>
      <c r="X385" s="19"/>
      <c r="Y385" s="19"/>
      <c r="Z385" s="19"/>
      <c r="AA385" s="20"/>
      <c r="AB385" s="3"/>
      <c r="AC385" s="3"/>
      <c r="AD385" s="3"/>
      <c r="AE385" s="3"/>
      <c r="AF385" s="3"/>
      <c r="AG385" s="3"/>
      <c r="AH385" s="3"/>
      <c r="AI385" s="3"/>
      <c r="AJ385" s="3"/>
      <c r="AK385" s="3"/>
      <c r="AL385" s="3"/>
      <c r="AM385" s="3"/>
      <c r="AN385" s="3"/>
      <c r="AO385" s="3"/>
    </row>
    <row r="386" spans="2:41" x14ac:dyDescent="0.25">
      <c r="B386" s="13"/>
      <c r="C386" s="13"/>
      <c r="D386" s="60"/>
      <c r="E386" s="56"/>
      <c r="F386" s="56"/>
      <c r="G386" s="14"/>
      <c r="H386" s="61"/>
      <c r="I386" s="15"/>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row>
    <row r="387" spans="2:41" x14ac:dyDescent="0.25">
      <c r="B387" s="13"/>
      <c r="C387" s="13"/>
      <c r="D387" s="60"/>
      <c r="E387" s="56"/>
      <c r="F387" s="56"/>
      <c r="G387" s="14"/>
      <c r="H387" s="61"/>
      <c r="I387" s="15"/>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row>
    <row r="388" spans="2:41" x14ac:dyDescent="0.25">
      <c r="B388" s="13"/>
      <c r="C388" s="13"/>
      <c r="D388" s="60"/>
      <c r="E388" s="56"/>
      <c r="F388" s="56"/>
      <c r="G388" s="14"/>
      <c r="H388" s="61"/>
      <c r="I388" s="15"/>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row>
    <row r="389" spans="2:41" x14ac:dyDescent="0.25">
      <c r="B389" s="13"/>
      <c r="C389" s="62"/>
      <c r="D389" s="63"/>
      <c r="E389" s="64"/>
      <c r="F389" s="64"/>
      <c r="G389" s="64"/>
      <c r="H389" s="65"/>
      <c r="I389" s="15"/>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row>
    <row r="390" spans="2:41" x14ac:dyDescent="0.25">
      <c r="B390" s="13"/>
      <c r="C390" s="14"/>
      <c r="D390" s="60"/>
      <c r="E390" s="66"/>
      <c r="F390" s="56"/>
      <c r="G390" s="14"/>
      <c r="H390" s="56"/>
      <c r="I390" s="15"/>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row>
    <row r="391" spans="2:41" x14ac:dyDescent="0.25">
      <c r="B391" s="13"/>
      <c r="C391" s="10"/>
      <c r="D391" s="11"/>
      <c r="E391" s="56"/>
      <c r="F391" s="58"/>
      <c r="G391" s="11"/>
      <c r="H391" s="59"/>
      <c r="I391" s="15"/>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row>
    <row r="392" spans="2:41" ht="18.75" x14ac:dyDescent="0.3">
      <c r="B392" s="67"/>
      <c r="C392" s="13"/>
      <c r="D392" s="60"/>
      <c r="E392" s="56"/>
      <c r="F392" s="56"/>
      <c r="G392" s="14"/>
      <c r="H392" s="15"/>
      <c r="I392" s="68"/>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row>
    <row r="393" spans="2:41" x14ac:dyDescent="0.25">
      <c r="B393" s="13"/>
      <c r="C393" s="13"/>
      <c r="D393" s="60"/>
      <c r="E393" s="56"/>
      <c r="F393" s="56"/>
      <c r="G393" s="14"/>
      <c r="H393" s="61"/>
      <c r="I393" s="15"/>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row>
    <row r="394" spans="2:41" x14ac:dyDescent="0.25">
      <c r="B394" s="13"/>
      <c r="C394" s="13"/>
      <c r="D394" s="60"/>
      <c r="E394" s="56"/>
      <c r="F394" s="56"/>
      <c r="G394" s="14"/>
      <c r="H394" s="61"/>
      <c r="I394" s="15"/>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row>
    <row r="395" spans="2:41" x14ac:dyDescent="0.25">
      <c r="B395" s="13"/>
      <c r="C395" s="13"/>
      <c r="D395" s="60"/>
      <c r="E395" s="56"/>
      <c r="F395" s="56"/>
      <c r="G395" s="14"/>
      <c r="H395" s="61"/>
      <c r="I395" s="15"/>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row>
    <row r="396" spans="2:41" x14ac:dyDescent="0.25">
      <c r="B396" s="13"/>
      <c r="C396" s="62"/>
      <c r="D396" s="63"/>
      <c r="E396" s="64"/>
      <c r="F396" s="64"/>
      <c r="G396" s="64"/>
      <c r="H396" s="65"/>
      <c r="I396" s="15"/>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row>
    <row r="397" spans="2:41" x14ac:dyDescent="0.25">
      <c r="B397" s="13"/>
      <c r="C397" s="14"/>
      <c r="D397" s="60"/>
      <c r="E397" s="66"/>
      <c r="F397" s="56"/>
      <c r="G397" s="14"/>
      <c r="H397" s="56"/>
      <c r="I397" s="15"/>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row>
    <row r="398" spans="2:41" x14ac:dyDescent="0.25">
      <c r="B398" s="13"/>
      <c r="C398" s="10"/>
      <c r="D398" s="11"/>
      <c r="E398" s="56"/>
      <c r="F398" s="58"/>
      <c r="G398" s="11"/>
      <c r="H398" s="59"/>
      <c r="I398" s="15"/>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row>
    <row r="399" spans="2:41" x14ac:dyDescent="0.25">
      <c r="B399" s="13"/>
      <c r="C399" s="13"/>
      <c r="D399" s="60"/>
      <c r="E399" s="56"/>
      <c r="F399" s="56"/>
      <c r="G399" s="14"/>
      <c r="H399" s="15"/>
      <c r="I399" s="15"/>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row>
    <row r="400" spans="2:41" ht="18.75" x14ac:dyDescent="0.3">
      <c r="B400" s="67"/>
      <c r="C400" s="13"/>
      <c r="D400" s="60"/>
      <c r="E400" s="56"/>
      <c r="F400" s="56"/>
      <c r="G400" s="14"/>
      <c r="H400" s="61"/>
      <c r="I400" s="68"/>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row>
    <row r="401" spans="2:41" x14ac:dyDescent="0.25">
      <c r="B401" s="13"/>
      <c r="C401" s="13"/>
      <c r="D401" s="60"/>
      <c r="E401" s="56"/>
      <c r="F401" s="56"/>
      <c r="G401" s="14"/>
      <c r="H401" s="61"/>
      <c r="I401" s="15"/>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row>
    <row r="402" spans="2:41" x14ac:dyDescent="0.25">
      <c r="B402" s="13"/>
      <c r="C402" s="13"/>
      <c r="D402" s="60"/>
      <c r="E402" s="56"/>
      <c r="F402" s="56"/>
      <c r="G402" s="14"/>
      <c r="H402" s="61"/>
      <c r="I402" s="15"/>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row>
    <row r="403" spans="2:41" x14ac:dyDescent="0.25">
      <c r="B403" s="13"/>
      <c r="C403" s="62"/>
      <c r="D403" s="63"/>
      <c r="E403" s="64"/>
      <c r="F403" s="64"/>
      <c r="G403" s="64"/>
      <c r="H403" s="65"/>
      <c r="I403" s="15"/>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row>
    <row r="404" spans="2:41" x14ac:dyDescent="0.25">
      <c r="B404" s="13"/>
      <c r="C404" s="14"/>
      <c r="D404" s="60"/>
      <c r="E404" s="66"/>
      <c r="F404" s="56"/>
      <c r="G404" s="14"/>
      <c r="H404" s="56"/>
      <c r="I404" s="15"/>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row>
    <row r="405" spans="2:41" x14ac:dyDescent="0.25">
      <c r="B405" s="13"/>
      <c r="C405" s="10"/>
      <c r="D405" s="11"/>
      <c r="E405" s="56"/>
      <c r="F405" s="58"/>
      <c r="G405" s="11"/>
      <c r="H405" s="59"/>
      <c r="I405" s="15"/>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row>
    <row r="406" spans="2:41" x14ac:dyDescent="0.25">
      <c r="B406" s="13"/>
      <c r="C406" s="13"/>
      <c r="D406" s="60"/>
      <c r="E406" s="56"/>
      <c r="F406" s="56"/>
      <c r="G406" s="14"/>
      <c r="H406" s="15"/>
      <c r="I406" s="15"/>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row>
    <row r="407" spans="2:41" x14ac:dyDescent="0.25">
      <c r="B407" s="13"/>
      <c r="C407" s="13"/>
      <c r="D407" s="60"/>
      <c r="E407" s="56"/>
      <c r="F407" s="56"/>
      <c r="G407" s="14"/>
      <c r="H407" s="61"/>
      <c r="I407" s="1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row>
    <row r="408" spans="2:41" ht="18.75" x14ac:dyDescent="0.3">
      <c r="B408" s="67"/>
      <c r="C408" s="13"/>
      <c r="D408" s="60"/>
      <c r="E408" s="56"/>
      <c r="F408" s="56"/>
      <c r="G408" s="14"/>
      <c r="H408" s="61"/>
      <c r="I408" s="68"/>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row>
    <row r="409" spans="2:41" x14ac:dyDescent="0.25">
      <c r="B409" s="13"/>
      <c r="C409" s="13"/>
      <c r="D409" s="60"/>
      <c r="E409" s="56"/>
      <c r="F409" s="56"/>
      <c r="G409" s="14"/>
      <c r="H409" s="61"/>
      <c r="I409" s="1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row>
    <row r="410" spans="2:41" x14ac:dyDescent="0.25">
      <c r="B410" s="13"/>
      <c r="C410" s="62"/>
      <c r="D410" s="63"/>
      <c r="E410" s="64"/>
      <c r="F410" s="64"/>
      <c r="G410" s="64"/>
      <c r="H410" s="65"/>
      <c r="I410" s="15"/>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row>
    <row r="411" spans="2:41" x14ac:dyDescent="0.25">
      <c r="B411" s="13"/>
      <c r="C411" s="14"/>
      <c r="D411" s="60"/>
      <c r="E411" s="66"/>
      <c r="F411" s="56"/>
      <c r="G411" s="14"/>
      <c r="H411" s="56"/>
      <c r="I411" s="15"/>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row>
    <row r="412" spans="2:41" x14ac:dyDescent="0.25">
      <c r="B412" s="13"/>
      <c r="C412" s="10"/>
      <c r="D412" s="11"/>
      <c r="E412" s="56"/>
      <c r="F412" s="58"/>
      <c r="G412" s="11"/>
      <c r="H412" s="59"/>
      <c r="I412" s="15"/>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row>
    <row r="413" spans="2:41" x14ac:dyDescent="0.25">
      <c r="B413" s="13"/>
      <c r="C413" s="13"/>
      <c r="D413" s="60"/>
      <c r="E413" s="56"/>
      <c r="F413" s="56"/>
      <c r="G413" s="14"/>
      <c r="H413" s="15"/>
      <c r="I413" s="15"/>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row>
    <row r="414" spans="2:41" x14ac:dyDescent="0.25">
      <c r="B414" s="13"/>
      <c r="C414" s="13"/>
      <c r="D414" s="60"/>
      <c r="E414" s="56"/>
      <c r="F414" s="56"/>
      <c r="G414" s="14"/>
      <c r="H414" s="61"/>
      <c r="I414" s="15"/>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row>
    <row r="415" spans="2:41" x14ac:dyDescent="0.25">
      <c r="B415" s="13"/>
      <c r="C415" s="13"/>
      <c r="D415" s="60"/>
      <c r="E415" s="56"/>
      <c r="F415" s="56"/>
      <c r="G415" s="14"/>
      <c r="H415" s="61"/>
      <c r="I415" s="15"/>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row>
    <row r="416" spans="2:41" ht="18.75" x14ac:dyDescent="0.3">
      <c r="B416" s="67"/>
      <c r="C416" s="13"/>
      <c r="D416" s="60"/>
      <c r="E416" s="56"/>
      <c r="F416" s="56"/>
      <c r="G416" s="14"/>
      <c r="H416" s="61"/>
      <c r="I416" s="68"/>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row>
    <row r="417" spans="2:41" x14ac:dyDescent="0.25">
      <c r="B417" s="13"/>
      <c r="C417" s="62"/>
      <c r="D417" s="63"/>
      <c r="E417" s="64"/>
      <c r="F417" s="64"/>
      <c r="G417" s="64"/>
      <c r="H417" s="65"/>
      <c r="I417" s="15"/>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row>
    <row r="418" spans="2:41" x14ac:dyDescent="0.25">
      <c r="B418" s="13"/>
      <c r="C418" s="14"/>
      <c r="D418" s="60"/>
      <c r="E418" s="66"/>
      <c r="F418" s="56"/>
      <c r="G418" s="14"/>
      <c r="H418" s="56"/>
      <c r="I418" s="15"/>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row>
    <row r="419" spans="2:41" x14ac:dyDescent="0.25">
      <c r="B419" s="13"/>
      <c r="C419" s="10"/>
      <c r="D419" s="11"/>
      <c r="E419" s="56"/>
      <c r="F419" s="58"/>
      <c r="G419" s="11"/>
      <c r="H419" s="59"/>
      <c r="I419" s="15"/>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row>
    <row r="420" spans="2:41" x14ac:dyDescent="0.25">
      <c r="B420" s="13"/>
      <c r="C420" s="13"/>
      <c r="D420" s="60"/>
      <c r="E420" s="56"/>
      <c r="F420" s="56"/>
      <c r="G420" s="14"/>
      <c r="H420" s="15"/>
      <c r="I420" s="15"/>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row>
    <row r="421" spans="2:41" x14ac:dyDescent="0.25">
      <c r="B421" s="13"/>
      <c r="C421" s="13"/>
      <c r="D421" s="60"/>
      <c r="E421" s="56"/>
      <c r="F421" s="56"/>
      <c r="G421" s="14"/>
      <c r="H421" s="61"/>
      <c r="I421" s="15"/>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row>
    <row r="422" spans="2:41" x14ac:dyDescent="0.25">
      <c r="B422" s="13"/>
      <c r="C422" s="13"/>
      <c r="D422" s="60"/>
      <c r="E422" s="56"/>
      <c r="F422" s="56"/>
      <c r="G422" s="14"/>
      <c r="H422" s="61"/>
      <c r="I422" s="15"/>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row>
    <row r="423" spans="2:41" x14ac:dyDescent="0.25">
      <c r="B423" s="13"/>
      <c r="C423" s="13"/>
      <c r="D423" s="60"/>
      <c r="E423" s="56"/>
      <c r="F423" s="56"/>
      <c r="G423" s="14"/>
      <c r="H423" s="61"/>
      <c r="I423" s="15"/>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row>
    <row r="424" spans="2:41" ht="18.75" x14ac:dyDescent="0.3">
      <c r="B424" s="67"/>
      <c r="C424" s="62"/>
      <c r="D424" s="63"/>
      <c r="E424" s="64"/>
      <c r="F424" s="64"/>
      <c r="G424" s="64"/>
      <c r="H424" s="65"/>
      <c r="I424" s="68"/>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row>
    <row r="425" spans="2:41" x14ac:dyDescent="0.25">
      <c r="B425" s="13"/>
      <c r="C425" s="14"/>
      <c r="D425" s="60"/>
      <c r="E425" s="66"/>
      <c r="F425" s="56"/>
      <c r="G425" s="14"/>
      <c r="H425" s="56"/>
      <c r="I425" s="15"/>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row>
    <row r="426" spans="2:41" x14ac:dyDescent="0.25">
      <c r="B426" s="13"/>
      <c r="C426" s="10"/>
      <c r="D426" s="11"/>
      <c r="E426" s="56"/>
      <c r="F426" s="58"/>
      <c r="G426" s="11"/>
      <c r="H426" s="59"/>
      <c r="I426" s="15"/>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row>
    <row r="427" spans="2:41" x14ac:dyDescent="0.25">
      <c r="B427" s="13"/>
      <c r="C427" s="13"/>
      <c r="D427" s="60"/>
      <c r="E427" s="56"/>
      <c r="F427" s="56"/>
      <c r="G427" s="14"/>
      <c r="H427" s="15"/>
      <c r="I427" s="15"/>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row>
    <row r="428" spans="2:41" x14ac:dyDescent="0.25">
      <c r="B428" s="13"/>
      <c r="C428" s="13"/>
      <c r="D428" s="60"/>
      <c r="E428" s="56"/>
      <c r="F428" s="56"/>
      <c r="G428" s="14"/>
      <c r="H428" s="61"/>
      <c r="I428" s="15"/>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row>
    <row r="429" spans="2:41" x14ac:dyDescent="0.25">
      <c r="B429" s="13"/>
      <c r="C429" s="13"/>
      <c r="D429" s="60"/>
      <c r="E429" s="56"/>
      <c r="F429" s="56"/>
      <c r="G429" s="14"/>
      <c r="H429" s="61"/>
      <c r="I429" s="15"/>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row>
    <row r="430" spans="2:41" x14ac:dyDescent="0.25">
      <c r="B430" s="13"/>
      <c r="C430" s="13"/>
      <c r="D430" s="60"/>
      <c r="E430" s="56"/>
      <c r="F430" s="56"/>
      <c r="G430" s="14"/>
      <c r="H430" s="61"/>
      <c r="I430" s="15"/>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row>
    <row r="431" spans="2:41" x14ac:dyDescent="0.25">
      <c r="B431" s="13"/>
      <c r="C431" s="62"/>
      <c r="D431" s="63"/>
      <c r="E431" s="64"/>
      <c r="F431" s="64"/>
      <c r="G431" s="64"/>
      <c r="H431" s="65"/>
      <c r="I431" s="15"/>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row>
    <row r="432" spans="2:41" ht="18.75" x14ac:dyDescent="0.3">
      <c r="B432" s="67"/>
      <c r="C432" s="14"/>
      <c r="D432" s="60"/>
      <c r="E432" s="66"/>
      <c r="F432" s="56"/>
      <c r="G432" s="14"/>
      <c r="H432" s="56"/>
      <c r="I432" s="68"/>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row>
    <row r="433" spans="2:41" x14ac:dyDescent="0.25">
      <c r="B433" s="13"/>
      <c r="C433" s="10"/>
      <c r="D433" s="11"/>
      <c r="E433" s="56"/>
      <c r="F433" s="58"/>
      <c r="G433" s="11"/>
      <c r="H433" s="59"/>
      <c r="I433" s="15"/>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row>
    <row r="434" spans="2:41" x14ac:dyDescent="0.25">
      <c r="B434" s="13"/>
      <c r="C434" s="13"/>
      <c r="D434" s="60"/>
      <c r="E434" s="56"/>
      <c r="F434" s="56"/>
      <c r="G434" s="14"/>
      <c r="H434" s="15"/>
      <c r="I434" s="15"/>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row>
    <row r="435" spans="2:41" x14ac:dyDescent="0.25">
      <c r="B435" s="13"/>
      <c r="C435" s="13"/>
      <c r="D435" s="60"/>
      <c r="E435" s="56"/>
      <c r="F435" s="56"/>
      <c r="G435" s="14"/>
      <c r="H435" s="61"/>
      <c r="I435" s="15"/>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row>
    <row r="436" spans="2:41" x14ac:dyDescent="0.25">
      <c r="B436" s="13"/>
      <c r="C436" s="13"/>
      <c r="D436" s="60"/>
      <c r="E436" s="56"/>
      <c r="F436" s="56"/>
      <c r="G436" s="14"/>
      <c r="H436" s="61"/>
      <c r="I436" s="15"/>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row>
    <row r="437" spans="2:41" x14ac:dyDescent="0.25">
      <c r="B437" s="13"/>
      <c r="C437" s="13"/>
      <c r="D437" s="60"/>
      <c r="E437" s="56"/>
      <c r="F437" s="56"/>
      <c r="G437" s="14"/>
      <c r="H437" s="61"/>
      <c r="I437" s="15"/>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row>
    <row r="438" spans="2:41" x14ac:dyDescent="0.25">
      <c r="B438" s="13"/>
      <c r="C438" s="62"/>
      <c r="D438" s="63"/>
      <c r="E438" s="64"/>
      <c r="F438" s="64"/>
      <c r="G438" s="64"/>
      <c r="H438" s="65"/>
      <c r="I438" s="15"/>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row>
    <row r="439" spans="2:41" x14ac:dyDescent="0.25">
      <c r="B439" s="13"/>
      <c r="C439" s="14"/>
      <c r="D439" s="60"/>
      <c r="E439" s="66"/>
      <c r="F439" s="56"/>
      <c r="G439" s="14"/>
      <c r="H439" s="56"/>
      <c r="I439" s="15"/>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row>
    <row r="440" spans="2:41" ht="18.75" x14ac:dyDescent="0.3">
      <c r="B440" s="67"/>
      <c r="C440" s="10"/>
      <c r="D440" s="11"/>
      <c r="E440" s="56"/>
      <c r="F440" s="58"/>
      <c r="G440" s="11"/>
      <c r="H440" s="59"/>
      <c r="I440" s="68"/>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row>
    <row r="441" spans="2:41" x14ac:dyDescent="0.25">
      <c r="B441" s="13"/>
      <c r="C441" s="13"/>
      <c r="D441" s="60"/>
      <c r="E441" s="56"/>
      <c r="F441" s="56"/>
      <c r="G441" s="14"/>
      <c r="H441" s="15"/>
      <c r="I441" s="15"/>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row>
    <row r="442" spans="2:41" x14ac:dyDescent="0.25">
      <c r="B442" s="13"/>
      <c r="C442" s="13"/>
      <c r="D442" s="60"/>
      <c r="E442" s="56"/>
      <c r="F442" s="56"/>
      <c r="G442" s="14"/>
      <c r="H442" s="61"/>
      <c r="I442" s="15"/>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row>
    <row r="443" spans="2:41" x14ac:dyDescent="0.25">
      <c r="B443" s="13"/>
      <c r="C443" s="13"/>
      <c r="D443" s="60"/>
      <c r="E443" s="56"/>
      <c r="F443" s="56"/>
      <c r="G443" s="14"/>
      <c r="H443" s="61"/>
      <c r="I443" s="15"/>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row>
    <row r="444" spans="2:41" x14ac:dyDescent="0.25">
      <c r="B444" s="13"/>
      <c r="C444" s="13"/>
      <c r="D444" s="60"/>
      <c r="E444" s="56"/>
      <c r="F444" s="56"/>
      <c r="G444" s="14"/>
      <c r="H444" s="61"/>
      <c r="I444" s="15"/>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row>
    <row r="445" spans="2:41" x14ac:dyDescent="0.25">
      <c r="B445" s="13"/>
      <c r="C445" s="62"/>
      <c r="D445" s="63"/>
      <c r="E445" s="64"/>
      <c r="F445" s="64"/>
      <c r="G445" s="64"/>
      <c r="H445" s="65"/>
      <c r="I445" s="15"/>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row>
    <row r="446" spans="2:41" x14ac:dyDescent="0.25">
      <c r="B446" s="13"/>
      <c r="C446" s="14"/>
      <c r="D446" s="60"/>
      <c r="E446" s="66"/>
      <c r="F446" s="56"/>
      <c r="G446" s="14"/>
      <c r="H446" s="56"/>
      <c r="I446" s="15"/>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row>
    <row r="447" spans="2:41" x14ac:dyDescent="0.25">
      <c r="B447" s="13"/>
      <c r="C447" s="10"/>
      <c r="D447" s="11"/>
      <c r="E447" s="56"/>
      <c r="F447" s="58"/>
      <c r="G447" s="11"/>
      <c r="H447" s="59"/>
      <c r="I447" s="15"/>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row>
    <row r="448" spans="2:41" ht="18.75" x14ac:dyDescent="0.3">
      <c r="B448" s="67"/>
      <c r="C448" s="13"/>
      <c r="D448" s="60"/>
      <c r="E448" s="56"/>
      <c r="F448" s="56"/>
      <c r="G448" s="14"/>
      <c r="H448" s="15"/>
      <c r="I448" s="68"/>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row>
    <row r="449" spans="2:41" x14ac:dyDescent="0.25">
      <c r="B449" s="13"/>
      <c r="C449" s="13"/>
      <c r="D449" s="60"/>
      <c r="E449" s="56"/>
      <c r="F449" s="56"/>
      <c r="G449" s="14"/>
      <c r="H449" s="61"/>
      <c r="I449" s="15"/>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row>
    <row r="450" spans="2:41" x14ac:dyDescent="0.25">
      <c r="B450" s="13"/>
      <c r="C450" s="13"/>
      <c r="D450" s="60"/>
      <c r="E450" s="56"/>
      <c r="F450" s="56"/>
      <c r="G450" s="14"/>
      <c r="H450" s="61"/>
      <c r="I450" s="15"/>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row>
    <row r="451" spans="2:41" x14ac:dyDescent="0.25">
      <c r="B451" s="13"/>
      <c r="C451" s="13"/>
      <c r="D451" s="60"/>
      <c r="E451" s="56"/>
      <c r="F451" s="56"/>
      <c r="G451" s="14"/>
      <c r="H451" s="61"/>
      <c r="I451" s="15"/>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row>
    <row r="452" spans="2:41" x14ac:dyDescent="0.25">
      <c r="B452" s="13"/>
      <c r="C452" s="62"/>
      <c r="D452" s="63"/>
      <c r="E452" s="64"/>
      <c r="F452" s="64"/>
      <c r="G452" s="64"/>
      <c r="H452" s="65"/>
      <c r="I452" s="15"/>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row>
    <row r="453" spans="2:41" x14ac:dyDescent="0.25">
      <c r="B453" s="13"/>
      <c r="C453" s="14"/>
      <c r="D453" s="60"/>
      <c r="E453" s="66"/>
      <c r="F453" s="56"/>
      <c r="G453" s="14"/>
      <c r="H453" s="56"/>
      <c r="I453" s="15"/>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row>
    <row r="454" spans="2:41" x14ac:dyDescent="0.25">
      <c r="B454" s="13"/>
      <c r="C454" s="10"/>
      <c r="D454" s="11"/>
      <c r="E454" s="56"/>
      <c r="F454" s="58"/>
      <c r="G454" s="11"/>
      <c r="H454" s="59"/>
      <c r="I454" s="15"/>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row>
    <row r="455" spans="2:41" x14ac:dyDescent="0.25">
      <c r="B455" s="13"/>
      <c r="C455" s="13"/>
      <c r="D455" s="60"/>
      <c r="E455" s="56"/>
      <c r="F455" s="56"/>
      <c r="G455" s="14"/>
      <c r="H455" s="15"/>
      <c r="I455" s="15"/>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row>
    <row r="456" spans="2:41" ht="18.75" x14ac:dyDescent="0.3">
      <c r="B456" s="67"/>
      <c r="C456" s="13"/>
      <c r="D456" s="60"/>
      <c r="E456" s="56"/>
      <c r="F456" s="56"/>
      <c r="G456" s="14"/>
      <c r="H456" s="61"/>
      <c r="I456" s="68"/>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row>
    <row r="457" spans="2:41" x14ac:dyDescent="0.25">
      <c r="B457" s="13"/>
      <c r="C457" s="13"/>
      <c r="D457" s="60"/>
      <c r="E457" s="56"/>
      <c r="F457" s="56"/>
      <c r="G457" s="14"/>
      <c r="H457" s="61"/>
      <c r="I457" s="15"/>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row>
    <row r="458" spans="2:41" x14ac:dyDescent="0.25">
      <c r="B458" s="13"/>
      <c r="C458" s="13"/>
      <c r="D458" s="60"/>
      <c r="E458" s="56"/>
      <c r="F458" s="56"/>
      <c r="G458" s="14"/>
      <c r="H458" s="61"/>
      <c r="I458" s="15"/>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row>
    <row r="459" spans="2:41" x14ac:dyDescent="0.25">
      <c r="B459" s="13"/>
      <c r="C459" s="62"/>
      <c r="D459" s="63"/>
      <c r="E459" s="64"/>
      <c r="F459" s="64"/>
      <c r="G459" s="64"/>
      <c r="H459" s="65"/>
      <c r="I459" s="15"/>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row>
    <row r="460" spans="2:41" x14ac:dyDescent="0.25">
      <c r="B460" s="13"/>
      <c r="C460" s="14"/>
      <c r="D460" s="60"/>
      <c r="E460" s="66"/>
      <c r="F460" s="56"/>
      <c r="G460" s="14"/>
      <c r="H460" s="56"/>
      <c r="I460" s="15"/>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row>
    <row r="461" spans="2:41" x14ac:dyDescent="0.25">
      <c r="B461" s="13"/>
      <c r="C461" s="10"/>
      <c r="D461" s="11"/>
      <c r="E461" s="56"/>
      <c r="F461" s="58"/>
      <c r="G461" s="11"/>
      <c r="H461" s="59"/>
      <c r="I461" s="15"/>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row>
    <row r="462" spans="2:41" x14ac:dyDescent="0.25">
      <c r="B462" s="13"/>
      <c r="C462" s="13"/>
      <c r="D462" s="60"/>
      <c r="E462" s="56"/>
      <c r="F462" s="56"/>
      <c r="G462" s="14"/>
      <c r="H462" s="15"/>
      <c r="I462" s="15"/>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row>
    <row r="463" spans="2:41" x14ac:dyDescent="0.25">
      <c r="B463" s="13"/>
      <c r="C463" s="13"/>
      <c r="D463" s="60"/>
      <c r="E463" s="56"/>
      <c r="F463" s="56"/>
      <c r="G463" s="14"/>
      <c r="H463" s="61"/>
      <c r="I463" s="15"/>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row>
    <row r="464" spans="2:41" ht="18.75" x14ac:dyDescent="0.3">
      <c r="B464" s="67"/>
      <c r="C464" s="13"/>
      <c r="D464" s="60"/>
      <c r="E464" s="56"/>
      <c r="F464" s="56"/>
      <c r="G464" s="14"/>
      <c r="H464" s="61"/>
      <c r="I464" s="68"/>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row>
    <row r="465" spans="2:41" x14ac:dyDescent="0.25">
      <c r="B465" s="13"/>
      <c r="C465" s="13"/>
      <c r="D465" s="60"/>
      <c r="E465" s="56"/>
      <c r="F465" s="56"/>
      <c r="G465" s="14"/>
      <c r="H465" s="61"/>
      <c r="I465" s="15"/>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row>
    <row r="466" spans="2:41" x14ac:dyDescent="0.25">
      <c r="B466" s="13"/>
      <c r="C466" s="62"/>
      <c r="D466" s="63"/>
      <c r="E466" s="64"/>
      <c r="F466" s="64"/>
      <c r="G466" s="64"/>
      <c r="H466" s="65"/>
      <c r="I466" s="15"/>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row>
    <row r="467" spans="2:41" x14ac:dyDescent="0.25">
      <c r="B467" s="13"/>
      <c r="C467" s="14"/>
      <c r="D467" s="60"/>
      <c r="E467" s="66"/>
      <c r="F467" s="56"/>
      <c r="G467" s="14"/>
      <c r="H467" s="56"/>
      <c r="I467" s="15"/>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row>
    <row r="468" spans="2:41" x14ac:dyDescent="0.25">
      <c r="B468" s="13"/>
      <c r="C468" s="10"/>
      <c r="D468" s="11"/>
      <c r="E468" s="56"/>
      <c r="F468" s="58"/>
      <c r="G468" s="11"/>
      <c r="H468" s="59"/>
      <c r="I468" s="15"/>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row>
    <row r="469" spans="2:41" x14ac:dyDescent="0.25">
      <c r="B469" s="13"/>
      <c r="C469" s="13"/>
      <c r="D469" s="60"/>
      <c r="E469" s="56"/>
      <c r="F469" s="56"/>
      <c r="G469" s="14"/>
      <c r="H469" s="15"/>
      <c r="I469" s="15"/>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row>
    <row r="470" spans="2:41" x14ac:dyDescent="0.25">
      <c r="B470" s="13"/>
      <c r="C470" s="13"/>
      <c r="D470" s="60"/>
      <c r="E470" s="56"/>
      <c r="F470" s="56"/>
      <c r="G470" s="14"/>
      <c r="H470" s="61"/>
      <c r="I470" s="15"/>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row>
    <row r="471" spans="2:41" x14ac:dyDescent="0.25">
      <c r="B471" s="13"/>
      <c r="C471" s="13"/>
      <c r="D471" s="60"/>
      <c r="E471" s="56"/>
      <c r="F471" s="56"/>
      <c r="G471" s="14"/>
      <c r="H471" s="61"/>
      <c r="I471" s="15"/>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row>
    <row r="472" spans="2:41" ht="18.75" x14ac:dyDescent="0.3">
      <c r="B472" s="67"/>
      <c r="C472" s="13"/>
      <c r="D472" s="60"/>
      <c r="E472" s="56"/>
      <c r="F472" s="56"/>
      <c r="G472" s="14"/>
      <c r="H472" s="61"/>
      <c r="I472" s="68"/>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row>
    <row r="473" spans="2:41" x14ac:dyDescent="0.25">
      <c r="B473" s="13"/>
      <c r="C473" s="62"/>
      <c r="D473" s="63"/>
      <c r="E473" s="64"/>
      <c r="F473" s="64"/>
      <c r="G473" s="64"/>
      <c r="H473" s="65"/>
      <c r="I473" s="15"/>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row>
    <row r="474" spans="2:41" x14ac:dyDescent="0.25">
      <c r="B474" s="13"/>
      <c r="C474" s="14"/>
      <c r="D474" s="60"/>
      <c r="E474" s="66"/>
      <c r="F474" s="56"/>
      <c r="G474" s="14"/>
      <c r="H474" s="56"/>
      <c r="I474" s="1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row>
    <row r="475" spans="2:41" x14ac:dyDescent="0.25">
      <c r="B475" s="13"/>
      <c r="C475" s="10"/>
      <c r="D475" s="11"/>
      <c r="E475" s="56"/>
      <c r="F475" s="58"/>
      <c r="G475" s="11"/>
      <c r="H475" s="59"/>
      <c r="I475" s="15"/>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row>
    <row r="476" spans="2:41" x14ac:dyDescent="0.25">
      <c r="B476" s="13"/>
      <c r="C476" s="13"/>
      <c r="D476" s="60"/>
      <c r="E476" s="56"/>
      <c r="F476" s="56"/>
      <c r="G476" s="14"/>
      <c r="H476" s="15"/>
      <c r="I476" s="15"/>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row>
    <row r="477" spans="2:41" x14ac:dyDescent="0.25">
      <c r="B477" s="13"/>
      <c r="C477" s="13"/>
      <c r="D477" s="60"/>
      <c r="E477" s="56"/>
      <c r="F477" s="56"/>
      <c r="G477" s="14"/>
      <c r="H477" s="61"/>
      <c r="I477" s="15"/>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row>
    <row r="478" spans="2:41" x14ac:dyDescent="0.25">
      <c r="B478" s="13"/>
      <c r="C478" s="13"/>
      <c r="D478" s="60"/>
      <c r="E478" s="56"/>
      <c r="F478" s="56"/>
      <c r="G478" s="14"/>
      <c r="H478" s="61"/>
      <c r="I478" s="15"/>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row>
    <row r="479" spans="2:41" x14ac:dyDescent="0.25">
      <c r="B479" s="13"/>
      <c r="C479" s="13"/>
      <c r="D479" s="60"/>
      <c r="E479" s="56"/>
      <c r="F479" s="56"/>
      <c r="G479" s="14"/>
      <c r="H479" s="61"/>
      <c r="I479" s="15"/>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row>
    <row r="480" spans="2:41" ht="18.75" x14ac:dyDescent="0.3">
      <c r="B480" s="67"/>
      <c r="C480" s="62"/>
      <c r="D480" s="63"/>
      <c r="E480" s="64"/>
      <c r="F480" s="64"/>
      <c r="G480" s="64"/>
      <c r="H480" s="65"/>
      <c r="I480" s="68"/>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row>
    <row r="481" spans="2:41" x14ac:dyDescent="0.25">
      <c r="B481" s="13"/>
      <c r="C481" s="14"/>
      <c r="D481" s="60"/>
      <c r="E481" s="66"/>
      <c r="F481" s="56"/>
      <c r="G481" s="14"/>
      <c r="H481" s="56"/>
      <c r="I481" s="15"/>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row>
    <row r="482" spans="2:41" x14ac:dyDescent="0.25">
      <c r="B482" s="13"/>
      <c r="C482" s="10"/>
      <c r="D482" s="11"/>
      <c r="E482" s="56"/>
      <c r="F482" s="58"/>
      <c r="G482" s="11"/>
      <c r="H482" s="59"/>
      <c r="I482" s="15"/>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row>
    <row r="483" spans="2:41" x14ac:dyDescent="0.25">
      <c r="B483" s="13"/>
      <c r="C483" s="13"/>
      <c r="D483" s="60"/>
      <c r="E483" s="56"/>
      <c r="F483" s="56"/>
      <c r="G483" s="14"/>
      <c r="H483" s="15"/>
      <c r="I483" s="15"/>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row>
    <row r="484" spans="2:41" x14ac:dyDescent="0.25">
      <c r="B484" s="13"/>
      <c r="C484" s="13"/>
      <c r="D484" s="60"/>
      <c r="E484" s="56"/>
      <c r="F484" s="56"/>
      <c r="G484" s="14"/>
      <c r="H484" s="61"/>
      <c r="I484" s="15"/>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row>
    <row r="485" spans="2:41" x14ac:dyDescent="0.25">
      <c r="B485" s="13"/>
      <c r="C485" s="13"/>
      <c r="D485" s="60"/>
      <c r="E485" s="56"/>
      <c r="F485" s="56"/>
      <c r="G485" s="14"/>
      <c r="H485" s="61"/>
      <c r="I485" s="15"/>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row>
    <row r="486" spans="2:41" x14ac:dyDescent="0.25">
      <c r="B486" s="13"/>
      <c r="C486" s="13"/>
      <c r="D486" s="60"/>
      <c r="E486" s="56"/>
      <c r="F486" s="56"/>
      <c r="G486" s="14"/>
      <c r="H486" s="61"/>
      <c r="I486" s="15"/>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row>
    <row r="487" spans="2:41" x14ac:dyDescent="0.25">
      <c r="B487" s="13"/>
      <c r="C487" s="62"/>
      <c r="D487" s="63"/>
      <c r="E487" s="64"/>
      <c r="F487" s="64"/>
      <c r="G487" s="64"/>
      <c r="H487" s="65"/>
      <c r="I487" s="15"/>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row>
    <row r="488" spans="2:41" ht="18.75" x14ac:dyDescent="0.3">
      <c r="B488" s="67"/>
      <c r="C488" s="14"/>
      <c r="D488" s="60"/>
      <c r="E488" s="66"/>
      <c r="F488" s="56"/>
      <c r="G488" s="14"/>
      <c r="H488" s="56"/>
      <c r="I488" s="68"/>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row>
    <row r="489" spans="2:41" x14ac:dyDescent="0.25">
      <c r="B489" s="13"/>
      <c r="C489" s="10"/>
      <c r="D489" s="11"/>
      <c r="E489" s="56"/>
      <c r="F489" s="58"/>
      <c r="G489" s="11"/>
      <c r="H489" s="59"/>
      <c r="I489" s="15"/>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row>
    <row r="490" spans="2:41" x14ac:dyDescent="0.25">
      <c r="B490" s="13"/>
      <c r="C490" s="13"/>
      <c r="D490" s="60"/>
      <c r="E490" s="56"/>
      <c r="F490" s="56"/>
      <c r="G490" s="14"/>
      <c r="H490" s="15"/>
      <c r="I490" s="15"/>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row>
    <row r="491" spans="2:41" x14ac:dyDescent="0.25">
      <c r="B491" s="13"/>
      <c r="C491" s="13"/>
      <c r="D491" s="60"/>
      <c r="E491" s="56"/>
      <c r="F491" s="56"/>
      <c r="G491" s="14"/>
      <c r="H491" s="61"/>
      <c r="I491" s="15"/>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row>
    <row r="492" spans="2:41" x14ac:dyDescent="0.25">
      <c r="B492" s="13"/>
      <c r="C492" s="13"/>
      <c r="D492" s="60"/>
      <c r="E492" s="56"/>
      <c r="F492" s="56"/>
      <c r="G492" s="14"/>
      <c r="H492" s="61"/>
      <c r="I492" s="15"/>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row>
    <row r="493" spans="2:41" x14ac:dyDescent="0.25">
      <c r="B493" s="13"/>
      <c r="C493" s="13"/>
      <c r="D493" s="60"/>
      <c r="E493" s="56"/>
      <c r="F493" s="56"/>
      <c r="G493" s="14"/>
      <c r="H493" s="61"/>
      <c r="I493" s="15"/>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row>
    <row r="494" spans="2:41" x14ac:dyDescent="0.25">
      <c r="B494" s="13"/>
      <c r="C494" s="62"/>
      <c r="D494" s="63"/>
      <c r="E494" s="64"/>
      <c r="F494" s="64"/>
      <c r="G494" s="64"/>
      <c r="H494" s="65"/>
      <c r="I494" s="15"/>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row>
    <row r="495" spans="2:41" x14ac:dyDescent="0.25">
      <c r="B495" s="13"/>
      <c r="C495" s="14"/>
      <c r="D495" s="60"/>
      <c r="E495" s="66"/>
      <c r="F495" s="56"/>
      <c r="G495" s="14"/>
      <c r="H495" s="56"/>
      <c r="I495" s="15"/>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row>
    <row r="496" spans="2:41" ht="18.75" x14ac:dyDescent="0.3">
      <c r="B496" s="67"/>
      <c r="C496" s="10"/>
      <c r="D496" s="11"/>
      <c r="E496" s="56"/>
      <c r="F496" s="58"/>
      <c r="G496" s="11"/>
      <c r="H496" s="59"/>
      <c r="I496" s="68"/>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row>
    <row r="497" spans="2:41" x14ac:dyDescent="0.25">
      <c r="B497" s="13"/>
      <c r="C497" s="13"/>
      <c r="D497" s="60"/>
      <c r="E497" s="56"/>
      <c r="F497" s="56"/>
      <c r="G497" s="14"/>
      <c r="H497" s="15"/>
      <c r="I497" s="15"/>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row>
    <row r="498" spans="2:41" x14ac:dyDescent="0.25">
      <c r="B498" s="13"/>
      <c r="C498" s="13"/>
      <c r="D498" s="60"/>
      <c r="E498" s="56"/>
      <c r="F498" s="56"/>
      <c r="G498" s="14"/>
      <c r="H498" s="61"/>
      <c r="I498" s="15"/>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row>
    <row r="499" spans="2:41" x14ac:dyDescent="0.25">
      <c r="B499" s="13"/>
      <c r="C499" s="13"/>
      <c r="D499" s="60"/>
      <c r="E499" s="56"/>
      <c r="F499" s="56"/>
      <c r="G499" s="14"/>
      <c r="H499" s="61"/>
      <c r="I499" s="15"/>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row>
    <row r="500" spans="2:41" x14ac:dyDescent="0.25">
      <c r="B500" s="13"/>
      <c r="C500" s="13"/>
      <c r="D500" s="60"/>
      <c r="E500" s="56"/>
      <c r="F500" s="56"/>
      <c r="G500" s="14"/>
      <c r="H500" s="61"/>
      <c r="I500" s="15"/>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row>
    <row r="501" spans="2:41" x14ac:dyDescent="0.25">
      <c r="B501" s="13"/>
      <c r="C501" s="62"/>
      <c r="D501" s="63"/>
      <c r="E501" s="64"/>
      <c r="F501" s="64"/>
      <c r="G501" s="64"/>
      <c r="H501" s="65"/>
      <c r="I501" s="15"/>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row>
    <row r="502" spans="2:41" x14ac:dyDescent="0.25">
      <c r="B502" s="13"/>
      <c r="C502" s="14"/>
      <c r="D502" s="60"/>
      <c r="E502" s="66"/>
      <c r="F502" s="56"/>
      <c r="G502" s="14"/>
      <c r="H502" s="56"/>
      <c r="I502" s="15"/>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row>
    <row r="503" spans="2:41" x14ac:dyDescent="0.25">
      <c r="B503" s="13"/>
      <c r="C503" s="10"/>
      <c r="D503" s="11"/>
      <c r="E503" s="56"/>
      <c r="F503" s="58"/>
      <c r="G503" s="11"/>
      <c r="H503" s="59"/>
      <c r="I503" s="15"/>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row>
    <row r="504" spans="2:41" ht="18.75" x14ac:dyDescent="0.3">
      <c r="B504" s="67"/>
      <c r="C504" s="13"/>
      <c r="D504" s="60"/>
      <c r="E504" s="56"/>
      <c r="F504" s="56"/>
      <c r="G504" s="14"/>
      <c r="H504" s="15"/>
      <c r="I504" s="68"/>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row>
    <row r="505" spans="2:41" x14ac:dyDescent="0.25">
      <c r="B505" s="13"/>
      <c r="C505" s="13"/>
      <c r="D505" s="60"/>
      <c r="E505" s="56"/>
      <c r="F505" s="56"/>
      <c r="G505" s="14"/>
      <c r="H505" s="61"/>
      <c r="I505" s="15"/>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row>
    <row r="506" spans="2:41" x14ac:dyDescent="0.25">
      <c r="B506" s="13"/>
      <c r="C506" s="13"/>
      <c r="D506" s="60"/>
      <c r="E506" s="56"/>
      <c r="F506" s="56"/>
      <c r="G506" s="14"/>
      <c r="H506" s="61"/>
      <c r="I506" s="15"/>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row>
    <row r="507" spans="2:41" x14ac:dyDescent="0.25">
      <c r="B507" s="13"/>
      <c r="C507" s="13"/>
      <c r="D507" s="60"/>
      <c r="E507" s="56"/>
      <c r="F507" s="56"/>
      <c r="G507" s="14"/>
      <c r="H507" s="61"/>
      <c r="I507" s="15"/>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row>
    <row r="508" spans="2:41" x14ac:dyDescent="0.25">
      <c r="B508" s="13"/>
      <c r="C508" s="62"/>
      <c r="D508" s="63"/>
      <c r="E508" s="64"/>
      <c r="F508" s="64"/>
      <c r="G508" s="64"/>
      <c r="H508" s="65"/>
      <c r="I508" s="15"/>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row>
    <row r="509" spans="2:41" x14ac:dyDescent="0.25">
      <c r="B509" s="13"/>
      <c r="C509" s="14"/>
      <c r="D509" s="60"/>
      <c r="E509" s="66"/>
      <c r="F509" s="56"/>
      <c r="G509" s="14"/>
      <c r="H509" s="56"/>
      <c r="I509" s="15"/>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row>
    <row r="510" spans="2:41" x14ac:dyDescent="0.25">
      <c r="B510" s="13"/>
      <c r="C510" s="10"/>
      <c r="D510" s="11"/>
      <c r="E510" s="56"/>
      <c r="F510" s="58"/>
      <c r="G510" s="11"/>
      <c r="H510" s="59"/>
      <c r="I510" s="15"/>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row>
    <row r="511" spans="2:41" x14ac:dyDescent="0.25">
      <c r="B511" s="13"/>
      <c r="C511" s="13"/>
      <c r="D511" s="60"/>
      <c r="E511" s="56"/>
      <c r="F511" s="56"/>
      <c r="G511" s="14"/>
      <c r="H511" s="15"/>
      <c r="I511" s="15"/>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row>
    <row r="512" spans="2:41" ht="18.75" x14ac:dyDescent="0.3">
      <c r="B512" s="67"/>
      <c r="C512" s="13"/>
      <c r="D512" s="60"/>
      <c r="E512" s="56"/>
      <c r="F512" s="56"/>
      <c r="G512" s="14"/>
      <c r="H512" s="61"/>
      <c r="I512" s="68"/>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row>
    <row r="513" spans="2:41" x14ac:dyDescent="0.25">
      <c r="B513" s="13"/>
      <c r="C513" s="13"/>
      <c r="D513" s="60"/>
      <c r="E513" s="56"/>
      <c r="F513" s="56"/>
      <c r="G513" s="14"/>
      <c r="H513" s="61"/>
      <c r="I513" s="15"/>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row>
    <row r="514" spans="2:41" x14ac:dyDescent="0.25">
      <c r="B514" s="13"/>
      <c r="C514" s="13"/>
      <c r="D514" s="60"/>
      <c r="E514" s="56"/>
      <c r="F514" s="56"/>
      <c r="G514" s="14"/>
      <c r="H514" s="61"/>
      <c r="I514" s="15"/>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row>
    <row r="515" spans="2:41" x14ac:dyDescent="0.25">
      <c r="B515" s="13"/>
      <c r="C515" s="62"/>
      <c r="D515" s="63"/>
      <c r="E515" s="64"/>
      <c r="F515" s="64"/>
      <c r="G515" s="64"/>
      <c r="H515" s="65"/>
      <c r="I515" s="15"/>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row>
    <row r="516" spans="2:41" x14ac:dyDescent="0.25">
      <c r="B516" s="13"/>
      <c r="C516" s="14"/>
      <c r="D516" s="60"/>
      <c r="E516" s="66"/>
      <c r="F516" s="56"/>
      <c r="G516" s="14"/>
      <c r="H516" s="56"/>
      <c r="I516" s="15"/>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row>
    <row r="517" spans="2:41" x14ac:dyDescent="0.25">
      <c r="B517" s="13"/>
      <c r="C517" s="10"/>
      <c r="D517" s="11"/>
      <c r="E517" s="56"/>
      <c r="F517" s="58"/>
      <c r="G517" s="11"/>
      <c r="H517" s="59"/>
      <c r="I517" s="15"/>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row>
    <row r="518" spans="2:41" x14ac:dyDescent="0.25">
      <c r="B518" s="13"/>
      <c r="C518" s="13"/>
      <c r="D518" s="60"/>
      <c r="E518" s="56"/>
      <c r="F518" s="56"/>
      <c r="G518" s="14"/>
      <c r="H518" s="15"/>
      <c r="I518" s="15"/>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row>
    <row r="519" spans="2:41" x14ac:dyDescent="0.25">
      <c r="B519" s="13"/>
      <c r="C519" s="13"/>
      <c r="D519" s="60"/>
      <c r="E519" s="56"/>
      <c r="F519" s="56"/>
      <c r="G519" s="14"/>
      <c r="H519" s="61"/>
      <c r="I519" s="15"/>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row>
    <row r="520" spans="2:41" ht="18.75" x14ac:dyDescent="0.3">
      <c r="B520" s="67"/>
      <c r="C520" s="13"/>
      <c r="D520" s="60"/>
      <c r="E520" s="56"/>
      <c r="F520" s="56"/>
      <c r="G520" s="14"/>
      <c r="H520" s="61"/>
      <c r="I520" s="68"/>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row>
    <row r="521" spans="2:41" x14ac:dyDescent="0.25">
      <c r="B521" s="13"/>
      <c r="C521" s="13"/>
      <c r="D521" s="60"/>
      <c r="E521" s="56"/>
      <c r="F521" s="56"/>
      <c r="G521" s="14"/>
      <c r="H521" s="61"/>
      <c r="I521" s="15"/>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row>
    <row r="522" spans="2:41" x14ac:dyDescent="0.25">
      <c r="B522" s="13"/>
      <c r="C522" s="62"/>
      <c r="D522" s="63"/>
      <c r="E522" s="64"/>
      <c r="F522" s="64"/>
      <c r="G522" s="64"/>
      <c r="H522" s="65"/>
      <c r="I522" s="15"/>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row>
    <row r="523" spans="2:41" x14ac:dyDescent="0.25">
      <c r="B523" s="13"/>
      <c r="C523" s="14"/>
      <c r="D523" s="60"/>
      <c r="E523" s="66"/>
      <c r="F523" s="56"/>
      <c r="G523" s="14"/>
      <c r="H523" s="56"/>
      <c r="I523" s="15"/>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row>
    <row r="524" spans="2:41" x14ac:dyDescent="0.25">
      <c r="B524" s="13"/>
      <c r="C524" s="10"/>
      <c r="D524" s="11"/>
      <c r="E524" s="56"/>
      <c r="F524" s="58"/>
      <c r="G524" s="11"/>
      <c r="H524" s="59"/>
      <c r="I524" s="15"/>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row>
    <row r="525" spans="2:41" x14ac:dyDescent="0.25">
      <c r="B525" s="13"/>
      <c r="C525" s="13"/>
      <c r="D525" s="60"/>
      <c r="E525" s="56"/>
      <c r="F525" s="56"/>
      <c r="G525" s="14"/>
      <c r="H525" s="15"/>
      <c r="I525" s="15"/>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row>
    <row r="526" spans="2:41" x14ac:dyDescent="0.25">
      <c r="B526" s="8"/>
      <c r="C526" s="23"/>
      <c r="D526" s="47"/>
      <c r="E526" s="48"/>
      <c r="F526" s="48"/>
      <c r="G526" s="24"/>
      <c r="H526" s="49"/>
      <c r="I526" s="27"/>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row>
    <row r="527" spans="2:41" x14ac:dyDescent="0.25">
      <c r="B527" s="8"/>
      <c r="C527" s="23"/>
      <c r="D527" s="47"/>
      <c r="E527" s="48"/>
      <c r="F527" s="48"/>
      <c r="G527" s="24"/>
      <c r="H527" s="49"/>
      <c r="I527" s="27"/>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row>
    <row r="528" spans="2:41" ht="18.75" x14ac:dyDescent="0.3">
      <c r="B528" s="28"/>
      <c r="C528" s="23"/>
      <c r="D528" s="47"/>
      <c r="E528" s="48"/>
      <c r="F528" s="48"/>
      <c r="G528" s="24"/>
      <c r="H528" s="49"/>
      <c r="I528" s="29"/>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row>
    <row r="529" spans="2:41" x14ac:dyDescent="0.25">
      <c r="B529" s="8"/>
      <c r="C529" s="50"/>
      <c r="D529" s="51"/>
      <c r="E529" s="52"/>
      <c r="F529" s="52"/>
      <c r="G529" s="52"/>
      <c r="H529" s="53"/>
      <c r="I529" s="27"/>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row>
    <row r="530" spans="2:41" x14ac:dyDescent="0.25">
      <c r="B530" s="8"/>
      <c r="C530" s="9"/>
      <c r="D530" s="54"/>
      <c r="E530" s="55"/>
      <c r="F530" s="44"/>
      <c r="G530" s="9"/>
      <c r="H530" s="44"/>
      <c r="I530" s="27"/>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row>
    <row r="531" spans="2:41" x14ac:dyDescent="0.25">
      <c r="B531" s="8"/>
      <c r="C531" s="21"/>
      <c r="D531" s="22"/>
      <c r="E531" s="48"/>
      <c r="F531" s="45"/>
      <c r="G531" s="22"/>
      <c r="H531" s="46"/>
      <c r="I531" s="27"/>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row>
    <row r="532" spans="2:41" x14ac:dyDescent="0.25">
      <c r="B532" s="8"/>
      <c r="C532" s="23"/>
      <c r="D532" s="47"/>
      <c r="E532" s="48"/>
      <c r="F532" s="48"/>
      <c r="G532" s="24"/>
      <c r="H532" s="25"/>
      <c r="I532" s="27"/>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row>
    <row r="533" spans="2:41" x14ac:dyDescent="0.25">
      <c r="B533" s="8"/>
      <c r="C533" s="23"/>
      <c r="D533" s="47"/>
      <c r="E533" s="48"/>
      <c r="F533" s="48"/>
      <c r="G533" s="24"/>
      <c r="H533" s="49"/>
      <c r="I533" s="27"/>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row>
    <row r="534" spans="2:41" x14ac:dyDescent="0.25">
      <c r="B534" s="8"/>
      <c r="C534" s="23"/>
      <c r="D534" s="47"/>
      <c r="E534" s="48"/>
      <c r="F534" s="48"/>
      <c r="G534" s="24"/>
      <c r="H534" s="49"/>
      <c r="I534" s="27"/>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row>
    <row r="535" spans="2:41" x14ac:dyDescent="0.25">
      <c r="B535" s="8"/>
      <c r="C535" s="23"/>
      <c r="D535" s="47"/>
      <c r="E535" s="48"/>
      <c r="F535" s="48"/>
      <c r="G535" s="24"/>
      <c r="H535" s="49"/>
      <c r="I535" s="27"/>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row>
    <row r="536" spans="2:41" ht="18.75" x14ac:dyDescent="0.3">
      <c r="B536" s="28"/>
      <c r="C536" s="50"/>
      <c r="D536" s="51"/>
      <c r="E536" s="52"/>
      <c r="F536" s="52"/>
      <c r="G536" s="52"/>
      <c r="H536" s="53"/>
      <c r="I536" s="29"/>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row>
    <row r="537" spans="2:41" x14ac:dyDescent="0.25">
      <c r="B537" s="8"/>
      <c r="C537" s="9"/>
      <c r="D537" s="54"/>
      <c r="E537" s="55"/>
      <c r="F537" s="44"/>
      <c r="G537" s="9"/>
      <c r="H537" s="44"/>
      <c r="I537" s="27"/>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row>
    <row r="538" spans="2:41" x14ac:dyDescent="0.25">
      <c r="B538" s="8"/>
      <c r="C538" s="21"/>
      <c r="D538" s="22"/>
      <c r="E538" s="48"/>
      <c r="F538" s="45"/>
      <c r="G538" s="22"/>
      <c r="H538" s="46"/>
      <c r="I538" s="27"/>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row>
    <row r="539" spans="2:41" x14ac:dyDescent="0.25">
      <c r="B539" s="8"/>
      <c r="C539" s="23"/>
      <c r="D539" s="47"/>
      <c r="E539" s="48"/>
      <c r="F539" s="48"/>
      <c r="G539" s="24"/>
      <c r="H539" s="25"/>
      <c r="I539" s="27"/>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row>
    <row r="540" spans="2:41" x14ac:dyDescent="0.25">
      <c r="B540" s="8"/>
      <c r="C540" s="23"/>
      <c r="D540" s="47"/>
      <c r="E540" s="48"/>
      <c r="F540" s="48"/>
      <c r="G540" s="24"/>
      <c r="H540" s="49"/>
      <c r="I540" s="27"/>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row>
    <row r="541" spans="2:41" x14ac:dyDescent="0.25">
      <c r="B541" s="8"/>
      <c r="C541" s="23"/>
      <c r="D541" s="47"/>
      <c r="E541" s="48"/>
      <c r="F541" s="48"/>
      <c r="G541" s="24"/>
      <c r="H541" s="49"/>
      <c r="I541" s="27"/>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row>
    <row r="542" spans="2:41" x14ac:dyDescent="0.25">
      <c r="B542" s="8"/>
      <c r="C542" s="23"/>
      <c r="D542" s="47"/>
      <c r="E542" s="48"/>
      <c r="F542" s="48"/>
      <c r="G542" s="24"/>
      <c r="H542" s="49"/>
      <c r="I542" s="27"/>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row>
    <row r="543" spans="2:41" x14ac:dyDescent="0.25">
      <c r="B543" s="8"/>
      <c r="C543" s="50"/>
      <c r="D543" s="51"/>
      <c r="E543" s="52"/>
      <c r="F543" s="52"/>
      <c r="G543" s="52"/>
      <c r="H543" s="53"/>
      <c r="I543" s="27"/>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row>
    <row r="544" spans="2:41" ht="18.75" x14ac:dyDescent="0.3">
      <c r="B544" s="28"/>
      <c r="C544" s="9"/>
      <c r="D544" s="54"/>
      <c r="E544" s="55"/>
      <c r="F544" s="44"/>
      <c r="G544" s="9"/>
      <c r="H544" s="44"/>
      <c r="I544" s="29"/>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row>
    <row r="545" spans="2:41" x14ac:dyDescent="0.25">
      <c r="B545" s="8"/>
      <c r="C545" s="21"/>
      <c r="D545" s="22"/>
      <c r="E545" s="48"/>
      <c r="F545" s="45"/>
      <c r="G545" s="22"/>
      <c r="H545" s="46"/>
      <c r="I545" s="27"/>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row>
    <row r="546" spans="2:41" x14ac:dyDescent="0.25">
      <c r="B546" s="8"/>
      <c r="C546" s="23"/>
      <c r="D546" s="47"/>
      <c r="E546" s="48"/>
      <c r="F546" s="48"/>
      <c r="G546" s="24"/>
      <c r="H546" s="25"/>
      <c r="I546" s="27"/>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row>
    <row r="547" spans="2:41" x14ac:dyDescent="0.25">
      <c r="B547" s="8"/>
      <c r="C547" s="23"/>
      <c r="D547" s="47"/>
      <c r="E547" s="48"/>
      <c r="F547" s="48"/>
      <c r="G547" s="24"/>
      <c r="H547" s="49"/>
      <c r="I547" s="27"/>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row>
    <row r="548" spans="2:41" x14ac:dyDescent="0.25">
      <c r="B548" s="8"/>
      <c r="C548" s="23"/>
      <c r="D548" s="47"/>
      <c r="E548" s="48"/>
      <c r="F548" s="48"/>
      <c r="G548" s="24"/>
      <c r="H548" s="49"/>
      <c r="I548" s="27"/>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row>
    <row r="549" spans="2:41" x14ac:dyDescent="0.25">
      <c r="B549" s="8"/>
      <c r="C549" s="23"/>
      <c r="D549" s="47"/>
      <c r="E549" s="48"/>
      <c r="F549" s="48"/>
      <c r="G549" s="24"/>
      <c r="H549" s="49"/>
      <c r="I549" s="27"/>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row>
    <row r="550" spans="2:41" x14ac:dyDescent="0.25">
      <c r="B550" s="8"/>
      <c r="C550" s="50"/>
      <c r="D550" s="51"/>
      <c r="E550" s="52"/>
      <c r="F550" s="52"/>
      <c r="G550" s="52"/>
      <c r="H550" s="53"/>
      <c r="I550" s="27"/>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row>
    <row r="551" spans="2:41" x14ac:dyDescent="0.25">
      <c r="B551" s="8"/>
      <c r="C551" s="9"/>
      <c r="D551" s="54"/>
      <c r="E551" s="55"/>
      <c r="F551" s="44"/>
      <c r="G551" s="9"/>
      <c r="H551" s="44"/>
      <c r="I551" s="27"/>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row>
    <row r="552" spans="2:41" ht="18.75" x14ac:dyDescent="0.3">
      <c r="B552" s="28"/>
      <c r="C552" s="21"/>
      <c r="D552" s="22"/>
      <c r="E552" s="48"/>
      <c r="F552" s="45"/>
      <c r="G552" s="22"/>
      <c r="H552" s="46"/>
      <c r="I552" s="29"/>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row>
    <row r="553" spans="2:41" x14ac:dyDescent="0.25">
      <c r="B553" s="8"/>
      <c r="C553" s="23"/>
      <c r="D553" s="47"/>
      <c r="E553" s="48"/>
      <c r="F553" s="48"/>
      <c r="G553" s="24"/>
      <c r="H553" s="25"/>
      <c r="I553" s="27"/>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row>
    <row r="554" spans="2:41" x14ac:dyDescent="0.25">
      <c r="B554" s="8"/>
      <c r="C554" s="23"/>
      <c r="D554" s="47"/>
      <c r="E554" s="48"/>
      <c r="F554" s="48"/>
      <c r="G554" s="24"/>
      <c r="H554" s="49"/>
      <c r="I554" s="27"/>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row>
    <row r="555" spans="2:41" x14ac:dyDescent="0.25">
      <c r="B555" s="8"/>
      <c r="C555" s="23"/>
      <c r="D555" s="47"/>
      <c r="E555" s="48"/>
      <c r="F555" s="48"/>
      <c r="G555" s="24"/>
      <c r="H555" s="49"/>
      <c r="I555" s="27"/>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row>
    <row r="556" spans="2:41" x14ac:dyDescent="0.25">
      <c r="B556" s="8"/>
      <c r="C556" s="23"/>
      <c r="D556" s="47"/>
      <c r="E556" s="48"/>
      <c r="F556" s="48"/>
      <c r="G556" s="24"/>
      <c r="H556" s="49"/>
      <c r="I556" s="27"/>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row>
    <row r="557" spans="2:41" x14ac:dyDescent="0.25">
      <c r="B557" s="8"/>
      <c r="C557" s="50"/>
      <c r="D557" s="51"/>
      <c r="E557" s="52"/>
      <c r="F557" s="52"/>
      <c r="G557" s="52"/>
      <c r="H557" s="53"/>
      <c r="I557" s="27"/>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row>
    <row r="558" spans="2:41" x14ac:dyDescent="0.25">
      <c r="B558" s="8"/>
      <c r="C558" s="9"/>
      <c r="D558" s="54"/>
      <c r="E558" s="55"/>
      <c r="F558" s="44"/>
      <c r="G558" s="9"/>
      <c r="H558" s="44"/>
      <c r="I558" s="27"/>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row>
    <row r="559" spans="2:41" x14ac:dyDescent="0.25">
      <c r="B559" s="8"/>
      <c r="C559" s="21"/>
      <c r="D559" s="22"/>
      <c r="E559" s="48"/>
      <c r="F559" s="45"/>
      <c r="G559" s="22"/>
      <c r="H559" s="46"/>
      <c r="I559" s="27"/>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row>
    <row r="560" spans="2:41" ht="18.75" x14ac:dyDescent="0.3">
      <c r="B560" s="28"/>
      <c r="C560" s="23"/>
      <c r="D560" s="47"/>
      <c r="E560" s="48"/>
      <c r="F560" s="48"/>
      <c r="G560" s="24"/>
      <c r="H560" s="25"/>
      <c r="I560" s="29"/>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row>
    <row r="561" spans="2:41" x14ac:dyDescent="0.25">
      <c r="B561" s="8"/>
      <c r="C561" s="23"/>
      <c r="D561" s="47"/>
      <c r="E561" s="48"/>
      <c r="F561" s="48"/>
      <c r="G561" s="24"/>
      <c r="H561" s="49"/>
      <c r="I561" s="27"/>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row>
    <row r="562" spans="2:41" x14ac:dyDescent="0.25">
      <c r="B562" s="8"/>
      <c r="C562" s="23"/>
      <c r="D562" s="47"/>
      <c r="E562" s="48"/>
      <c r="F562" s="48"/>
      <c r="G562" s="24"/>
      <c r="H562" s="49"/>
      <c r="I562" s="27"/>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row>
    <row r="563" spans="2:41" x14ac:dyDescent="0.25">
      <c r="B563" s="8"/>
      <c r="C563" s="23"/>
      <c r="D563" s="47"/>
      <c r="E563" s="48"/>
      <c r="F563" s="48"/>
      <c r="G563" s="24"/>
      <c r="H563" s="49"/>
      <c r="I563" s="27"/>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row>
    <row r="564" spans="2:41" x14ac:dyDescent="0.25">
      <c r="B564" s="8"/>
      <c r="C564" s="50"/>
      <c r="D564" s="51"/>
      <c r="E564" s="52"/>
      <c r="F564" s="52"/>
      <c r="G564" s="52"/>
      <c r="H564" s="53"/>
      <c r="I564" s="27"/>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row>
    <row r="565" spans="2:41" x14ac:dyDescent="0.25">
      <c r="B565" s="8"/>
      <c r="C565" s="9"/>
      <c r="D565" s="54"/>
      <c r="E565" s="55"/>
      <c r="F565" s="44"/>
      <c r="G565" s="9"/>
      <c r="H565" s="44"/>
      <c r="I565" s="27"/>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row>
    <row r="566" spans="2:41" x14ac:dyDescent="0.25">
      <c r="B566" s="8"/>
      <c r="C566" s="21"/>
      <c r="D566" s="22"/>
      <c r="E566" s="48"/>
      <c r="F566" s="45"/>
      <c r="G566" s="22"/>
      <c r="H566" s="46"/>
      <c r="I566" s="27"/>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row>
    <row r="567" spans="2:41" x14ac:dyDescent="0.25">
      <c r="B567" s="8"/>
      <c r="C567" s="23"/>
      <c r="D567" s="47"/>
      <c r="E567" s="48"/>
      <c r="F567" s="48"/>
      <c r="G567" s="24"/>
      <c r="H567" s="25"/>
      <c r="I567" s="27"/>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row>
    <row r="568" spans="2:41" ht="18.75" x14ac:dyDescent="0.3">
      <c r="B568" s="28"/>
      <c r="C568" s="23"/>
      <c r="D568" s="47"/>
      <c r="E568" s="48"/>
      <c r="F568" s="48"/>
      <c r="G568" s="24"/>
      <c r="H568" s="49"/>
      <c r="I568" s="29"/>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row>
    <row r="569" spans="2:41" x14ac:dyDescent="0.25">
      <c r="B569" s="8"/>
      <c r="C569" s="23"/>
      <c r="D569" s="47"/>
      <c r="E569" s="48"/>
      <c r="F569" s="48"/>
      <c r="G569" s="24"/>
      <c r="H569" s="49"/>
      <c r="I569" s="27"/>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row>
    <row r="570" spans="2:41" x14ac:dyDescent="0.25">
      <c r="B570" s="8"/>
      <c r="C570" s="23"/>
      <c r="D570" s="47"/>
      <c r="E570" s="48"/>
      <c r="F570" s="48"/>
      <c r="G570" s="24"/>
      <c r="H570" s="49"/>
      <c r="I570" s="27"/>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row>
    <row r="571" spans="2:41" x14ac:dyDescent="0.25">
      <c r="B571" s="8"/>
      <c r="C571" s="50"/>
      <c r="D571" s="51"/>
      <c r="E571" s="52"/>
      <c r="F571" s="52"/>
      <c r="G571" s="52"/>
      <c r="H571" s="53"/>
      <c r="I571" s="27"/>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row>
    <row r="572" spans="2:41" x14ac:dyDescent="0.25">
      <c r="B572" s="8"/>
      <c r="C572" s="9"/>
      <c r="D572" s="54"/>
      <c r="E572" s="55"/>
      <c r="F572" s="44"/>
      <c r="G572" s="9"/>
      <c r="H572" s="44"/>
      <c r="I572" s="27"/>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row>
    <row r="573" spans="2:41" x14ac:dyDescent="0.25">
      <c r="B573" s="8"/>
      <c r="C573" s="21"/>
      <c r="D573" s="22"/>
      <c r="E573" s="48"/>
      <c r="F573" s="45"/>
      <c r="G573" s="22"/>
      <c r="H573" s="46"/>
      <c r="I573" s="27"/>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row>
    <row r="574" spans="2:41" x14ac:dyDescent="0.25">
      <c r="B574" s="8"/>
      <c r="C574" s="23"/>
      <c r="D574" s="47"/>
      <c r="E574" s="48"/>
      <c r="F574" s="48"/>
      <c r="G574" s="24"/>
      <c r="H574" s="25"/>
      <c r="I574" s="27"/>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row>
    <row r="575" spans="2:41" x14ac:dyDescent="0.25">
      <c r="B575" s="8"/>
      <c r="C575" s="23"/>
      <c r="D575" s="47"/>
      <c r="E575" s="48"/>
      <c r="F575" s="48"/>
      <c r="G575" s="24"/>
      <c r="H575" s="49"/>
      <c r="I575" s="27"/>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row>
    <row r="576" spans="2:41" ht="18.75" x14ac:dyDescent="0.3">
      <c r="B576" s="28"/>
      <c r="C576" s="23"/>
      <c r="D576" s="47"/>
      <c r="E576" s="48"/>
      <c r="F576" s="48"/>
      <c r="G576" s="24"/>
      <c r="H576" s="49"/>
      <c r="I576" s="29"/>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row>
    <row r="577" spans="2:41" x14ac:dyDescent="0.25">
      <c r="B577" s="8"/>
      <c r="C577" s="23"/>
      <c r="D577" s="47"/>
      <c r="E577" s="48"/>
      <c r="F577" s="48"/>
      <c r="G577" s="24"/>
      <c r="H577" s="49"/>
      <c r="I577" s="27"/>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row>
    <row r="578" spans="2:41" x14ac:dyDescent="0.25">
      <c r="B578" s="8"/>
      <c r="C578" s="50"/>
      <c r="D578" s="51"/>
      <c r="E578" s="52"/>
      <c r="F578" s="52"/>
      <c r="G578" s="52"/>
      <c r="H578" s="53"/>
      <c r="I578" s="27"/>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row>
    <row r="579" spans="2:41" x14ac:dyDescent="0.25">
      <c r="B579" s="8"/>
      <c r="C579" s="9"/>
      <c r="D579" s="54"/>
      <c r="E579" s="55"/>
      <c r="F579" s="44"/>
      <c r="G579" s="9"/>
      <c r="H579" s="44"/>
      <c r="I579" s="27"/>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row>
    <row r="580" spans="2:41" x14ac:dyDescent="0.25">
      <c r="B580" s="8"/>
      <c r="C580" s="21"/>
      <c r="D580" s="22"/>
      <c r="E580" s="48"/>
      <c r="F580" s="45"/>
      <c r="G580" s="22"/>
      <c r="H580" s="46"/>
      <c r="I580" s="27"/>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row>
    <row r="581" spans="2:41" x14ac:dyDescent="0.25">
      <c r="B581" s="8"/>
      <c r="C581" s="23"/>
      <c r="D581" s="47"/>
      <c r="E581" s="48"/>
      <c r="F581" s="48"/>
      <c r="G581" s="24"/>
      <c r="H581" s="25"/>
      <c r="I581" s="27"/>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row>
    <row r="582" spans="2:41" x14ac:dyDescent="0.25">
      <c r="B582" s="8"/>
      <c r="C582" s="23"/>
      <c r="D582" s="47"/>
      <c r="E582" s="48"/>
      <c r="F582" s="48"/>
      <c r="G582" s="24"/>
      <c r="H582" s="49"/>
      <c r="I582" s="27"/>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row>
    <row r="583" spans="2:41" x14ac:dyDescent="0.25">
      <c r="B583" s="8"/>
      <c r="C583" s="23"/>
      <c r="D583" s="47"/>
      <c r="E583" s="48"/>
      <c r="F583" s="48"/>
      <c r="G583" s="24"/>
      <c r="H583" s="49"/>
      <c r="I583" s="27"/>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row>
    <row r="584" spans="2:41" ht="18.75" x14ac:dyDescent="0.3">
      <c r="B584" s="28"/>
      <c r="C584" s="23"/>
      <c r="D584" s="47"/>
      <c r="E584" s="48"/>
      <c r="F584" s="48"/>
      <c r="G584" s="24"/>
      <c r="H584" s="49"/>
      <c r="I584" s="29"/>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row>
    <row r="585" spans="2:41" x14ac:dyDescent="0.25">
      <c r="B585" s="8"/>
      <c r="C585" s="50"/>
      <c r="D585" s="51"/>
      <c r="E585" s="52"/>
      <c r="F585" s="52"/>
      <c r="G585" s="52"/>
      <c r="H585" s="53"/>
      <c r="I585" s="27"/>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row>
    <row r="586" spans="2:41" x14ac:dyDescent="0.25">
      <c r="B586" s="8"/>
      <c r="C586" s="9"/>
      <c r="D586" s="54"/>
      <c r="E586" s="55"/>
      <c r="F586" s="44"/>
      <c r="G586" s="9"/>
      <c r="H586" s="44"/>
      <c r="I586" s="27"/>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row>
    <row r="587" spans="2:41" x14ac:dyDescent="0.25">
      <c r="B587" s="8"/>
      <c r="C587" s="21"/>
      <c r="D587" s="22"/>
      <c r="E587" s="48"/>
      <c r="F587" s="45"/>
      <c r="G587" s="22"/>
      <c r="H587" s="46"/>
      <c r="I587" s="27"/>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row>
    <row r="588" spans="2:41" x14ac:dyDescent="0.25">
      <c r="B588" s="8"/>
      <c r="C588" s="23"/>
      <c r="D588" s="47"/>
      <c r="E588" s="48"/>
      <c r="F588" s="48"/>
      <c r="G588" s="24"/>
      <c r="H588" s="25"/>
      <c r="I588" s="27"/>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row>
    <row r="589" spans="2:41" x14ac:dyDescent="0.25">
      <c r="B589" s="8"/>
      <c r="C589" s="23"/>
      <c r="D589" s="47"/>
      <c r="E589" s="48"/>
      <c r="F589" s="48"/>
      <c r="G589" s="24"/>
      <c r="H589" s="49"/>
      <c r="I589" s="27"/>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row>
    <row r="590" spans="2:41" x14ac:dyDescent="0.25">
      <c r="B590" s="8"/>
      <c r="C590" s="23"/>
      <c r="D590" s="47"/>
      <c r="E590" s="48"/>
      <c r="F590" s="48"/>
      <c r="G590" s="24"/>
      <c r="H590" s="49"/>
      <c r="I590" s="27"/>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row>
    <row r="591" spans="2:41" x14ac:dyDescent="0.25">
      <c r="B591" s="8"/>
      <c r="C591" s="23"/>
      <c r="D591" s="47"/>
      <c r="E591" s="48"/>
      <c r="F591" s="48"/>
      <c r="G591" s="24"/>
      <c r="H591" s="49"/>
      <c r="I591" s="27"/>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row>
    <row r="592" spans="2:41" ht="18.75" x14ac:dyDescent="0.3">
      <c r="B592" s="28"/>
      <c r="C592" s="50"/>
      <c r="D592" s="51"/>
      <c r="E592" s="52"/>
      <c r="F592" s="52"/>
      <c r="G592" s="52"/>
      <c r="H592" s="53"/>
      <c r="I592" s="29"/>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row>
    <row r="593" spans="2:32" x14ac:dyDescent="0.25">
      <c r="B593" s="8"/>
      <c r="C593" s="9"/>
      <c r="D593" s="54"/>
      <c r="E593" s="55"/>
      <c r="F593" s="44"/>
      <c r="G593" s="9"/>
      <c r="H593" s="44"/>
      <c r="I593" s="27"/>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row>
    <row r="594" spans="2:32" x14ac:dyDescent="0.25">
      <c r="B594" s="8"/>
      <c r="C594" s="21"/>
      <c r="D594" s="22"/>
      <c r="E594" s="48"/>
      <c r="F594" s="45"/>
      <c r="G594" s="22"/>
      <c r="H594" s="46"/>
      <c r="I594" s="27"/>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row>
    <row r="595" spans="2:32" x14ac:dyDescent="0.25">
      <c r="B595" s="8"/>
      <c r="C595" s="23"/>
      <c r="D595" s="47"/>
      <c r="E595" s="48"/>
      <c r="F595" s="48"/>
      <c r="G595" s="24"/>
      <c r="H595" s="25"/>
      <c r="I595" s="27"/>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row>
  </sheetData>
  <conditionalFormatting sqref="E139:E144">
    <cfRule type="cellIs" dxfId="63" priority="1" operator="equal">
      <formula>#REF!</formula>
    </cfRule>
  </conditionalFormatting>
  <conditionalFormatting sqref="E196:E270">
    <cfRule type="cellIs" dxfId="62" priority="15" operator="equal">
      <formula>#REF!</formula>
    </cfRule>
  </conditionalFormatting>
  <conditionalFormatting sqref="E145:E194 E275:E595">
    <cfRule type="cellIs" dxfId="61" priority="13" operator="equal">
      <formula>#REF!</formula>
    </cfRule>
  </conditionalFormatting>
  <conditionalFormatting sqref="F5 E16:E17">
    <cfRule type="cellIs" dxfId="60" priority="14" operator="equal">
      <formula>#REF!</formula>
    </cfRule>
  </conditionalFormatting>
  <conditionalFormatting sqref="E138">
    <cfRule type="cellIs" dxfId="59" priority="2" operator="equal">
      <formula>#REF!</formula>
    </cfRule>
  </conditionalFormatting>
  <conditionalFormatting sqref="E82">
    <cfRule type="cellIs" dxfId="58" priority="12" operator="equal">
      <formula>#REF!</formula>
    </cfRule>
  </conditionalFormatting>
  <conditionalFormatting sqref="E83:E88">
    <cfRule type="cellIs" dxfId="57" priority="11" operator="equal">
      <formula>#REF!</formula>
    </cfRule>
  </conditionalFormatting>
  <conditionalFormatting sqref="E89:E95">
    <cfRule type="cellIs" dxfId="56" priority="10" operator="equal">
      <formula>#REF!</formula>
    </cfRule>
  </conditionalFormatting>
  <conditionalFormatting sqref="E96">
    <cfRule type="cellIs" dxfId="55" priority="9" operator="equal">
      <formula>#REF!</formula>
    </cfRule>
  </conditionalFormatting>
  <conditionalFormatting sqref="E97:E102">
    <cfRule type="cellIs" dxfId="54" priority="8" operator="equal">
      <formula>#REF!</formula>
    </cfRule>
  </conditionalFormatting>
  <conditionalFormatting sqref="E103:E109">
    <cfRule type="cellIs" dxfId="53" priority="7" operator="equal">
      <formula>#REF!</formula>
    </cfRule>
  </conditionalFormatting>
  <conditionalFormatting sqref="E110">
    <cfRule type="cellIs" dxfId="52" priority="6" operator="equal">
      <formula>#REF!</formula>
    </cfRule>
  </conditionalFormatting>
  <conditionalFormatting sqref="E124">
    <cfRule type="cellIs" dxfId="51" priority="5" operator="equal">
      <formula>#REF!</formula>
    </cfRule>
  </conditionalFormatting>
  <conditionalFormatting sqref="E125:E130">
    <cfRule type="cellIs" dxfId="50" priority="4" operator="equal">
      <formula>#REF!</formula>
    </cfRule>
  </conditionalFormatting>
  <conditionalFormatting sqref="E131:E137">
    <cfRule type="cellIs" dxfId="49" priority="3" operator="equal">
      <formula>#REF!</formula>
    </cfRule>
  </conditionalFormatting>
  <pageMargins left="0.7" right="0.7" top="0.75" bottom="0.75" header="0.3" footer="0.3"/>
  <pageSetup paperSize="9" orientation="portrait" horizontalDpi="1200" verticalDpi="12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7"/>
  <dimension ref="A1:AO595"/>
  <sheetViews>
    <sheetView zoomScale="70" zoomScaleNormal="70" workbookViewId="0">
      <selection activeCell="E65" sqref="E65"/>
    </sheetView>
  </sheetViews>
  <sheetFormatPr defaultColWidth="8.85546875" defaultRowHeight="15" x14ac:dyDescent="0.25"/>
  <cols>
    <col min="1" max="1" width="9.28515625" style="3" customWidth="1"/>
    <col min="2" max="2" width="8.85546875" style="171"/>
    <col min="3" max="3" width="55.42578125" style="171" customWidth="1"/>
    <col min="4" max="4" width="20.5703125" style="171" customWidth="1"/>
    <col min="5" max="5" width="21.85546875" style="171" customWidth="1"/>
    <col min="6" max="6" width="17.85546875" style="171" customWidth="1"/>
    <col min="7" max="7" width="29.7109375" style="171" customWidth="1"/>
    <col min="8" max="8" width="22" style="171" bestFit="1" customWidth="1"/>
    <col min="9" max="9" width="12.7109375" style="171" bestFit="1" customWidth="1"/>
    <col min="10" max="10" width="11.42578125" style="171" customWidth="1"/>
    <col min="11" max="11" width="24.85546875" style="171" bestFit="1" customWidth="1"/>
    <col min="12" max="12" width="15.28515625" style="171" bestFit="1" customWidth="1"/>
    <col min="13" max="14" width="13" style="171" customWidth="1"/>
    <col min="15" max="15" width="20.85546875" style="171" customWidth="1"/>
    <col min="16" max="16" width="14" style="171" bestFit="1" customWidth="1"/>
    <col min="17" max="17" width="34.140625" style="171" customWidth="1"/>
    <col min="18" max="18" width="16.28515625" style="171" customWidth="1"/>
    <col min="19" max="19" width="25" style="171" customWidth="1"/>
    <col min="20" max="20" width="33.7109375" style="171" bestFit="1" customWidth="1"/>
    <col min="21" max="21" width="10" style="171" customWidth="1"/>
    <col min="22" max="22" width="31.28515625" style="171" bestFit="1" customWidth="1"/>
    <col min="23" max="16384" width="8.85546875" style="171"/>
  </cols>
  <sheetData>
    <row r="1" spans="1:41" s="3" customFormat="1" ht="54" customHeight="1" x14ac:dyDescent="0.65">
      <c r="A1" s="30"/>
      <c r="B1" s="179" t="str">
        <f>"DECOMMISSIONING and refurbishment ("&amp;Parameters!$D$6&amp;")"</f>
        <v>DECOMMISSIONING and refurbishment (P15 Scenario 1)</v>
      </c>
    </row>
    <row r="2" spans="1:41" s="165" customFormat="1" x14ac:dyDescent="0.25">
      <c r="A2" s="164"/>
      <c r="B2" s="172"/>
      <c r="C2" s="173"/>
      <c r="D2" s="173"/>
      <c r="E2" s="173"/>
      <c r="F2" s="173"/>
      <c r="G2" s="173"/>
      <c r="H2" s="151"/>
      <c r="I2" s="151"/>
      <c r="J2" s="151"/>
      <c r="K2" s="58"/>
      <c r="L2" s="58"/>
      <c r="M2" s="58"/>
      <c r="N2" s="58"/>
      <c r="O2" s="58"/>
      <c r="P2" s="58"/>
      <c r="Q2" s="58"/>
      <c r="R2" s="58"/>
      <c r="S2" s="58"/>
      <c r="T2" s="58"/>
      <c r="U2" s="58"/>
      <c r="V2" s="58"/>
      <c r="W2" s="58"/>
      <c r="X2" s="58"/>
      <c r="Y2" s="58"/>
      <c r="Z2" s="58"/>
      <c r="AA2" s="59"/>
      <c r="AB2" s="164"/>
      <c r="AC2" s="164"/>
      <c r="AD2" s="164"/>
      <c r="AE2" s="164"/>
      <c r="AF2" s="164"/>
      <c r="AG2" s="164"/>
      <c r="AH2" s="164"/>
      <c r="AI2" s="164"/>
      <c r="AJ2" s="164"/>
      <c r="AK2" s="164"/>
      <c r="AL2" s="164"/>
      <c r="AM2" s="164"/>
      <c r="AN2" s="164"/>
      <c r="AO2" s="164"/>
    </row>
    <row r="3" spans="1:41" x14ac:dyDescent="0.25">
      <c r="B3" s="13"/>
      <c r="C3" s="39" t="s">
        <v>1567</v>
      </c>
      <c r="D3" s="40"/>
      <c r="E3" s="41"/>
      <c r="F3" s="57"/>
      <c r="G3" s="14"/>
      <c r="H3" s="14"/>
      <c r="I3" s="14"/>
      <c r="J3" s="14"/>
      <c r="K3" s="14"/>
      <c r="L3" s="14"/>
      <c r="M3" s="14"/>
      <c r="N3" s="14"/>
      <c r="O3" s="14"/>
      <c r="P3" s="14"/>
      <c r="Q3" s="14"/>
      <c r="R3" s="14"/>
      <c r="S3" s="14"/>
      <c r="T3" s="14"/>
      <c r="U3" s="14"/>
      <c r="V3" s="14"/>
      <c r="W3" s="14"/>
      <c r="X3" s="14"/>
      <c r="Y3" s="14"/>
      <c r="Z3" s="14"/>
      <c r="AA3" s="15"/>
      <c r="AB3" s="3"/>
      <c r="AC3" s="3"/>
      <c r="AD3" s="3"/>
      <c r="AE3" s="3"/>
      <c r="AF3" s="3"/>
      <c r="AG3" s="3"/>
      <c r="AH3" s="3"/>
      <c r="AI3" s="3"/>
      <c r="AJ3" s="3"/>
      <c r="AK3" s="3"/>
      <c r="AL3" s="3"/>
      <c r="AM3" s="3"/>
      <c r="AN3" s="3"/>
      <c r="AO3" s="3"/>
    </row>
    <row r="4" spans="1:41" x14ac:dyDescent="0.25">
      <c r="B4" s="13"/>
      <c r="C4" s="14"/>
      <c r="D4" s="14"/>
      <c r="E4" s="14"/>
      <c r="F4" s="56"/>
      <c r="G4" s="14"/>
      <c r="H4" s="14"/>
      <c r="I4" s="14"/>
      <c r="J4" s="56"/>
      <c r="K4" s="14"/>
      <c r="L4" s="14"/>
      <c r="M4" s="14"/>
      <c r="N4" s="14"/>
      <c r="O4" s="16"/>
      <c r="P4" s="14"/>
      <c r="Q4" s="16"/>
      <c r="R4" s="16"/>
      <c r="S4" s="16"/>
      <c r="T4" s="16"/>
      <c r="U4" s="14"/>
      <c r="V4" s="14"/>
      <c r="W4" s="14"/>
      <c r="X4" s="14"/>
      <c r="Y4" s="14"/>
      <c r="Z4" s="14"/>
      <c r="AA4" s="15"/>
      <c r="AB4" s="3"/>
      <c r="AC4" s="3"/>
      <c r="AD4" s="3"/>
      <c r="AE4" s="3"/>
      <c r="AF4" s="129">
        <v>3</v>
      </c>
      <c r="AG4" s="120">
        <v>6</v>
      </c>
      <c r="AH4" s="120">
        <v>9</v>
      </c>
      <c r="AI4" s="3"/>
      <c r="AJ4" s="3"/>
      <c r="AK4" s="3"/>
      <c r="AL4" s="3"/>
      <c r="AM4" s="3"/>
      <c r="AN4" s="3"/>
      <c r="AO4" s="3"/>
    </row>
    <row r="5" spans="1:41" s="141" customFormat="1" x14ac:dyDescent="0.25">
      <c r="A5" s="138"/>
      <c r="B5" s="139"/>
      <c r="C5" s="1075" t="str">
        <f t="array" ref="C5:E5">Parameters!E34:G34</f>
        <v>NG + CO2 hybrid mode present</v>
      </c>
      <c r="D5" s="1076" t="str">
        <v>-</v>
      </c>
      <c r="E5" s="1077" t="b">
        <v>0</v>
      </c>
      <c r="F5" s="144"/>
      <c r="G5" s="92"/>
      <c r="H5" s="83"/>
      <c r="I5" s="14"/>
      <c r="J5" s="56"/>
      <c r="K5" s="144"/>
      <c r="L5" s="144"/>
      <c r="M5" s="144"/>
      <c r="N5" s="144"/>
      <c r="O5" s="144"/>
      <c r="P5" s="16"/>
      <c r="Q5" s="16"/>
      <c r="R5" s="16"/>
      <c r="S5" s="73"/>
      <c r="T5" s="73"/>
      <c r="U5" s="16"/>
      <c r="V5" s="73"/>
      <c r="W5" s="14"/>
      <c r="X5" s="16"/>
      <c r="Y5" s="16"/>
      <c r="Z5" s="16"/>
      <c r="AA5" s="140"/>
      <c r="AB5" s="138"/>
      <c r="AC5" s="138"/>
      <c r="AD5" s="138"/>
      <c r="AE5" s="138"/>
      <c r="AF5" s="142">
        <v>2</v>
      </c>
      <c r="AG5" s="142">
        <v>3</v>
      </c>
      <c r="AH5" s="142">
        <v>5</v>
      </c>
      <c r="AI5" s="138"/>
      <c r="AJ5" s="138"/>
      <c r="AK5" s="138"/>
      <c r="AL5" s="138"/>
      <c r="AM5" s="138"/>
      <c r="AN5" s="138"/>
      <c r="AO5" s="138"/>
    </row>
    <row r="6" spans="1:41" x14ac:dyDescent="0.25">
      <c r="B6" s="13"/>
      <c r="C6" s="1078" t="str">
        <f t="array" ref="C6:E10">Parameters!E492:G496</f>
        <v>Boolean refurbishment required</v>
      </c>
      <c r="D6" s="604" t="str">
        <v>Boolean</v>
      </c>
      <c r="E6" s="1079" t="b">
        <v>1</v>
      </c>
      <c r="F6" s="56"/>
      <c r="G6" s="92"/>
      <c r="H6" s="83"/>
      <c r="I6" s="14"/>
      <c r="J6" s="56"/>
      <c r="K6" s="14"/>
      <c r="L6" s="14"/>
      <c r="M6" s="14"/>
      <c r="N6" s="14"/>
      <c r="O6" s="16"/>
      <c r="P6" s="14"/>
      <c r="Q6" s="16"/>
      <c r="R6" s="16"/>
      <c r="S6" s="16"/>
      <c r="T6" s="16"/>
      <c r="U6" s="14"/>
      <c r="V6" s="16"/>
      <c r="W6" s="14"/>
      <c r="X6" s="14"/>
      <c r="Y6" s="14"/>
      <c r="Z6" s="14"/>
      <c r="AA6" s="15"/>
      <c r="AB6" s="3"/>
      <c r="AC6" s="3"/>
      <c r="AD6" s="3"/>
      <c r="AE6" s="3"/>
      <c r="AF6" s="120">
        <v>6</v>
      </c>
      <c r="AG6" s="120">
        <v>9</v>
      </c>
      <c r="AH6" s="120">
        <v>12</v>
      </c>
      <c r="AI6" s="3"/>
      <c r="AJ6" s="3"/>
      <c r="AK6" s="3"/>
      <c r="AL6" s="3"/>
      <c r="AM6" s="3"/>
      <c r="AN6" s="3"/>
      <c r="AO6" s="3"/>
    </row>
    <row r="7" spans="1:41" x14ac:dyDescent="0.25">
      <c r="B7" s="13"/>
      <c r="C7" s="1078" t="str">
        <v>Boolean decommissioning topside &amp; substructure required</v>
      </c>
      <c r="D7" s="604" t="str">
        <v>Boolean</v>
      </c>
      <c r="E7" s="1079" t="b">
        <v>1</v>
      </c>
      <c r="F7" s="14"/>
      <c r="G7" s="92"/>
      <c r="H7" s="83"/>
      <c r="I7" s="14"/>
      <c r="J7" s="56"/>
      <c r="K7" s="56"/>
      <c r="L7" s="56"/>
      <c r="M7" s="56"/>
      <c r="N7" s="56"/>
      <c r="O7" s="56"/>
      <c r="P7" s="14"/>
      <c r="Q7" s="14"/>
      <c r="R7" s="14"/>
      <c r="S7" s="14"/>
      <c r="T7" s="14"/>
      <c r="U7" s="14"/>
      <c r="V7" s="14"/>
      <c r="W7" s="14"/>
      <c r="X7" s="14"/>
      <c r="Y7" s="14"/>
      <c r="Z7" s="14"/>
      <c r="AA7" s="15"/>
      <c r="AB7" s="3"/>
      <c r="AC7" s="3"/>
      <c r="AD7" s="3"/>
      <c r="AE7" s="3"/>
      <c r="AF7" s="129">
        <v>1.1000000000000001</v>
      </c>
      <c r="AG7" s="3"/>
      <c r="AH7" s="3"/>
      <c r="AI7" s="3"/>
      <c r="AJ7" s="3"/>
      <c r="AK7" s="3"/>
      <c r="AL7" s="3"/>
      <c r="AM7" s="3"/>
      <c r="AN7" s="3"/>
      <c r="AO7" s="3"/>
    </row>
    <row r="8" spans="1:41" ht="15" customHeight="1" x14ac:dyDescent="0.25">
      <c r="B8" s="13"/>
      <c r="C8" s="1078" t="str">
        <v>Boolean decommissioning wells required</v>
      </c>
      <c r="D8" s="604" t="str">
        <v>Boolean</v>
      </c>
      <c r="E8" s="1079" t="b">
        <v>0</v>
      </c>
      <c r="F8" s="56"/>
      <c r="G8" s="14"/>
      <c r="H8" s="1091"/>
      <c r="I8" s="14"/>
      <c r="J8" s="56"/>
      <c r="K8" s="56"/>
      <c r="L8" s="56"/>
      <c r="M8" s="56"/>
      <c r="N8" s="56"/>
      <c r="O8" s="56"/>
      <c r="P8" s="14"/>
      <c r="Q8" s="14"/>
      <c r="R8" s="14"/>
      <c r="S8" s="14"/>
      <c r="T8" s="14"/>
      <c r="U8" s="14"/>
      <c r="V8" s="14"/>
      <c r="W8" s="14"/>
      <c r="X8" s="14"/>
      <c r="Y8" s="14"/>
      <c r="Z8" s="14"/>
      <c r="AA8" s="15"/>
      <c r="AB8" s="3"/>
      <c r="AC8" s="3"/>
      <c r="AD8" s="3"/>
      <c r="AE8" s="3"/>
      <c r="AF8" s="3"/>
      <c r="AG8" s="3"/>
      <c r="AH8" s="3"/>
      <c r="AI8" s="3"/>
      <c r="AJ8" s="3"/>
      <c r="AK8" s="3"/>
      <c r="AL8" s="3"/>
      <c r="AM8" s="3"/>
      <c r="AN8" s="3"/>
      <c r="AO8" s="3"/>
    </row>
    <row r="9" spans="1:41" x14ac:dyDescent="0.25">
      <c r="B9" s="13"/>
      <c r="C9" s="1078" t="str">
        <v>Boolean decommissioning pipelines required</v>
      </c>
      <c r="D9" s="604" t="str">
        <v>Boolean</v>
      </c>
      <c r="E9" s="1079" t="b">
        <v>1</v>
      </c>
      <c r="F9" s="56"/>
      <c r="G9" s="14"/>
      <c r="H9" s="83"/>
      <c r="I9" s="1091"/>
      <c r="J9" s="56"/>
      <c r="K9" s="56"/>
      <c r="L9" s="56"/>
      <c r="M9" s="56"/>
      <c r="N9" s="56"/>
      <c r="O9" s="56"/>
      <c r="P9" s="14"/>
      <c r="Q9" s="14"/>
      <c r="R9" s="14"/>
      <c r="S9" s="14"/>
      <c r="T9" s="14"/>
      <c r="U9" s="14"/>
      <c r="V9" s="14"/>
      <c r="W9" s="14"/>
      <c r="X9" s="14"/>
      <c r="Y9" s="14"/>
      <c r="Z9" s="14"/>
      <c r="AA9" s="15"/>
      <c r="AB9" s="3"/>
      <c r="AC9" s="3"/>
      <c r="AD9" s="3"/>
      <c r="AE9" s="3"/>
      <c r="AF9" s="3"/>
      <c r="AG9" s="3"/>
      <c r="AH9" s="3"/>
      <c r="AI9" s="3"/>
      <c r="AJ9" s="3"/>
      <c r="AK9" s="3"/>
      <c r="AL9" s="3"/>
      <c r="AM9" s="3"/>
      <c r="AN9" s="3"/>
      <c r="AO9" s="3"/>
    </row>
    <row r="10" spans="1:41" x14ac:dyDescent="0.25">
      <c r="B10" s="13"/>
      <c r="C10" s="1080" t="str">
        <v>Postpone decom pipe campain to COP</v>
      </c>
      <c r="D10" s="1081" t="str">
        <v>Boolean</v>
      </c>
      <c r="E10" s="1082" t="b">
        <v>1</v>
      </c>
      <c r="F10" s="56"/>
      <c r="G10" s="14"/>
      <c r="H10" s="83"/>
      <c r="I10" s="1091"/>
      <c r="J10" s="56"/>
      <c r="K10" s="56"/>
      <c r="L10" s="56"/>
      <c r="M10" s="56"/>
      <c r="N10" s="56"/>
      <c r="O10" s="56"/>
      <c r="P10" s="14"/>
      <c r="Q10" s="14"/>
      <c r="R10" s="14"/>
      <c r="S10" s="14"/>
      <c r="T10" s="14"/>
      <c r="U10" s="14"/>
      <c r="V10" s="14"/>
      <c r="W10" s="14"/>
      <c r="X10" s="14"/>
      <c r="Y10" s="14"/>
      <c r="Z10" s="14"/>
      <c r="AA10" s="15"/>
      <c r="AB10" s="3"/>
      <c r="AC10" s="3"/>
      <c r="AD10" s="3"/>
      <c r="AE10" s="3"/>
      <c r="AF10" s="3"/>
      <c r="AG10" s="3"/>
      <c r="AH10" s="3"/>
      <c r="AI10" s="3"/>
      <c r="AJ10" s="3"/>
      <c r="AK10" s="3"/>
      <c r="AL10" s="3"/>
      <c r="AM10" s="3"/>
      <c r="AN10" s="3"/>
      <c r="AO10" s="3"/>
    </row>
    <row r="11" spans="1:41" x14ac:dyDescent="0.25">
      <c r="B11" s="13"/>
      <c r="C11" s="14"/>
      <c r="D11" s="14"/>
      <c r="E11" s="14"/>
      <c r="F11" s="56"/>
      <c r="G11" s="14"/>
      <c r="H11" s="83"/>
      <c r="I11" s="14"/>
      <c r="J11" s="56"/>
      <c r="K11" s="56"/>
      <c r="L11" s="56"/>
      <c r="M11" s="56"/>
      <c r="N11" s="56"/>
      <c r="O11" s="56"/>
      <c r="P11" s="14"/>
      <c r="Q11" s="14"/>
      <c r="R11" s="14"/>
      <c r="S11" s="14"/>
      <c r="T11" s="14"/>
      <c r="U11" s="14"/>
      <c r="V11" s="14"/>
      <c r="W11" s="14"/>
      <c r="X11" s="14"/>
      <c r="Y11" s="14"/>
      <c r="Z11" s="14"/>
      <c r="AA11" s="15"/>
      <c r="AB11" s="3"/>
      <c r="AC11" s="3"/>
      <c r="AD11" s="3"/>
      <c r="AE11" s="3"/>
      <c r="AF11" s="3"/>
      <c r="AG11" s="3"/>
      <c r="AH11" s="3"/>
      <c r="AI11" s="3"/>
      <c r="AJ11" s="3"/>
      <c r="AK11" s="3"/>
      <c r="AL11" s="3"/>
      <c r="AM11" s="3"/>
      <c r="AN11" s="3"/>
      <c r="AO11" s="3"/>
    </row>
    <row r="12" spans="1:41" x14ac:dyDescent="0.25">
      <c r="B12" s="13"/>
      <c r="C12" s="39" t="s">
        <v>1568</v>
      </c>
      <c r="D12" s="40"/>
      <c r="E12" s="41"/>
      <c r="F12" s="56"/>
      <c r="G12" s="14"/>
      <c r="H12" s="1091"/>
      <c r="I12" s="14"/>
      <c r="J12" s="56"/>
      <c r="K12" s="56"/>
      <c r="L12" s="56"/>
      <c r="M12" s="56"/>
      <c r="N12" s="56"/>
      <c r="O12" s="56"/>
      <c r="P12" s="14"/>
      <c r="Q12" s="14"/>
      <c r="R12" s="14"/>
      <c r="S12" s="14"/>
      <c r="T12" s="14"/>
      <c r="U12" s="14"/>
      <c r="V12" s="14"/>
      <c r="W12" s="14"/>
      <c r="X12" s="14"/>
      <c r="Y12" s="14"/>
      <c r="Z12" s="14"/>
      <c r="AA12" s="15"/>
      <c r="AB12" s="3"/>
      <c r="AC12" s="3"/>
      <c r="AD12" s="3"/>
      <c r="AE12" s="3"/>
      <c r="AF12" s="3"/>
      <c r="AG12" s="3"/>
      <c r="AH12" s="3"/>
      <c r="AI12" s="3"/>
      <c r="AJ12" s="3"/>
      <c r="AK12" s="3"/>
      <c r="AL12" s="3"/>
      <c r="AM12" s="3"/>
      <c r="AN12" s="3"/>
      <c r="AO12" s="3"/>
    </row>
    <row r="13" spans="1:41" x14ac:dyDescent="0.25">
      <c r="B13" s="13"/>
      <c r="C13" s="14"/>
      <c r="D13" s="14"/>
      <c r="E13" s="14"/>
      <c r="F13" s="56"/>
      <c r="G13" s="14"/>
      <c r="H13" s="1091"/>
      <c r="I13" s="14"/>
      <c r="J13" s="56"/>
      <c r="K13" s="56"/>
      <c r="L13" s="56"/>
      <c r="M13" s="56"/>
      <c r="N13" s="56"/>
      <c r="O13" s="56"/>
      <c r="P13" s="14"/>
      <c r="Q13" s="14"/>
      <c r="R13" s="14"/>
      <c r="S13" s="14"/>
      <c r="T13" s="14"/>
      <c r="U13" s="14"/>
      <c r="V13" s="14"/>
      <c r="W13" s="14"/>
      <c r="X13" s="14"/>
      <c r="Y13" s="14"/>
      <c r="Z13" s="14"/>
      <c r="AA13" s="15"/>
      <c r="AB13" s="3"/>
      <c r="AC13" s="3"/>
      <c r="AD13" s="3"/>
      <c r="AE13" s="3"/>
      <c r="AF13" s="3"/>
      <c r="AG13" s="3"/>
      <c r="AH13" s="3"/>
      <c r="AI13" s="3"/>
      <c r="AJ13" s="3"/>
      <c r="AK13" s="3"/>
      <c r="AL13" s="3"/>
      <c r="AM13" s="3"/>
      <c r="AN13" s="3"/>
      <c r="AO13" s="3"/>
    </row>
    <row r="14" spans="1:41" x14ac:dyDescent="0.25">
      <c r="B14" s="13"/>
      <c r="C14" s="32" t="str">
        <f t="array" ref="C14:E16">Parameters!E23:G25</f>
        <v>Relative decommissioning cost topside + jacket</v>
      </c>
      <c r="D14" s="33" t="str">
        <v>EUR / ton</v>
      </c>
      <c r="E14" s="1173">
        <v>4104</v>
      </c>
      <c r="F14" s="56"/>
      <c r="G14" s="14"/>
      <c r="H14" s="1091"/>
      <c r="I14" s="14"/>
      <c r="J14" s="56"/>
      <c r="K14" s="56"/>
      <c r="L14" s="56"/>
      <c r="M14" s="56"/>
      <c r="N14" s="56"/>
      <c r="O14" s="56"/>
      <c r="P14" s="14"/>
      <c r="Q14" s="14"/>
      <c r="R14" s="14"/>
      <c r="S14" s="14"/>
      <c r="T14" s="14"/>
      <c r="U14" s="14"/>
      <c r="V14" s="14"/>
      <c r="W14" s="14"/>
      <c r="X14" s="14"/>
      <c r="Y14" s="14"/>
      <c r="Z14" s="14"/>
      <c r="AA14" s="15"/>
      <c r="AB14" s="3"/>
      <c r="AC14" s="3"/>
      <c r="AD14" s="3"/>
      <c r="AE14" s="3"/>
      <c r="AF14" s="3"/>
      <c r="AG14" s="3"/>
      <c r="AH14" s="3"/>
      <c r="AI14" s="3"/>
      <c r="AJ14" s="3"/>
      <c r="AK14" s="3"/>
      <c r="AL14" s="3"/>
      <c r="AM14" s="3"/>
      <c r="AN14" s="3"/>
      <c r="AO14" s="3"/>
    </row>
    <row r="15" spans="1:41" x14ac:dyDescent="0.25">
      <c r="B15" s="13"/>
      <c r="C15" s="6" t="str">
        <v>Relative costs natural gas well P&amp;A</v>
      </c>
      <c r="D15" s="2" t="str">
        <v>EUR /well</v>
      </c>
      <c r="E15" s="115">
        <v>3192000</v>
      </c>
      <c r="F15" s="56"/>
      <c r="G15" s="14"/>
      <c r="H15" s="1091"/>
      <c r="I15" s="14"/>
      <c r="J15" s="56"/>
      <c r="K15" s="56"/>
      <c r="L15" s="56"/>
      <c r="M15" s="56"/>
      <c r="N15" s="56"/>
      <c r="O15" s="56"/>
      <c r="P15" s="14"/>
      <c r="Q15" s="14"/>
      <c r="R15" s="14"/>
      <c r="S15" s="14"/>
      <c r="T15" s="14"/>
      <c r="U15" s="14"/>
      <c r="V15" s="14"/>
      <c r="W15" s="14"/>
      <c r="X15" s="14"/>
      <c r="Y15" s="14"/>
      <c r="Z15" s="14"/>
      <c r="AA15" s="15"/>
      <c r="AB15" s="3"/>
      <c r="AC15" s="3"/>
      <c r="AD15" s="3"/>
      <c r="AE15" s="3"/>
      <c r="AF15" s="3"/>
      <c r="AG15" s="3"/>
      <c r="AH15" s="3"/>
      <c r="AI15" s="3"/>
      <c r="AJ15" s="3"/>
      <c r="AK15" s="3"/>
      <c r="AL15" s="3"/>
      <c r="AM15" s="3"/>
      <c r="AN15" s="3"/>
      <c r="AO15" s="3"/>
    </row>
    <row r="16" spans="1:41" x14ac:dyDescent="0.25">
      <c r="B16" s="13"/>
      <c r="C16" s="6" t="str">
        <v>Relative costs pipeline 'making safe' and decom</v>
      </c>
      <c r="D16" s="2" t="str">
        <v>EUR /km</v>
      </c>
      <c r="E16" s="115">
        <v>180823.863636364</v>
      </c>
      <c r="F16" s="14"/>
      <c r="G16" s="14"/>
      <c r="H16" s="1091"/>
      <c r="I16" s="14"/>
      <c r="J16" s="14"/>
      <c r="K16" s="14"/>
      <c r="L16" s="5"/>
      <c r="M16" s="5"/>
      <c r="N16" s="14"/>
      <c r="O16" s="14"/>
      <c r="P16" s="14"/>
      <c r="Q16" s="14"/>
      <c r="R16" s="14"/>
      <c r="S16" s="14"/>
      <c r="T16" s="14"/>
      <c r="U16" s="14"/>
      <c r="V16" s="14"/>
      <c r="W16" s="14"/>
      <c r="X16" s="14"/>
      <c r="Y16" s="14"/>
      <c r="Z16" s="14"/>
      <c r="AA16" s="15"/>
      <c r="AB16" s="3"/>
      <c r="AC16" s="3"/>
      <c r="AD16" s="3"/>
      <c r="AE16" s="3"/>
      <c r="AF16" s="3"/>
      <c r="AG16" s="3"/>
      <c r="AH16" s="3"/>
      <c r="AI16" s="3"/>
      <c r="AJ16" s="3"/>
      <c r="AK16" s="3"/>
      <c r="AL16" s="3"/>
      <c r="AM16" s="3"/>
      <c r="AN16" s="3"/>
      <c r="AO16" s="3"/>
    </row>
    <row r="17" spans="1:41" x14ac:dyDescent="0.25">
      <c r="B17" s="13"/>
      <c r="C17" s="6" t="str">
        <f t="array" ref="C17:E21">Parameters!E29:G33</f>
        <v>Onshore disposal, remidiation and monitoring</v>
      </c>
      <c r="D17" s="2" t="str">
        <v>%</v>
      </c>
      <c r="E17" s="35">
        <v>2</v>
      </c>
      <c r="F17" s="14"/>
      <c r="G17" s="14"/>
      <c r="H17" s="1091"/>
      <c r="I17" s="14"/>
      <c r="J17" s="14"/>
      <c r="K17" s="14"/>
      <c r="L17" s="5"/>
      <c r="M17" s="5"/>
      <c r="N17" s="14"/>
      <c r="O17" s="14"/>
      <c r="P17" s="14"/>
      <c r="Q17" s="14"/>
      <c r="R17" s="14"/>
      <c r="S17" s="14"/>
      <c r="T17" s="14"/>
      <c r="U17" s="14"/>
      <c r="V17" s="14"/>
      <c r="W17" s="14"/>
      <c r="X17" s="14"/>
      <c r="Y17" s="14"/>
      <c r="Z17" s="14"/>
      <c r="AA17" s="15"/>
      <c r="AB17" s="3"/>
      <c r="AC17" s="3"/>
      <c r="AD17" s="3"/>
      <c r="AE17" s="3"/>
      <c r="AF17" s="3"/>
      <c r="AG17" s="3"/>
      <c r="AH17" s="3"/>
      <c r="AI17" s="3"/>
      <c r="AJ17" s="3"/>
      <c r="AK17" s="3"/>
      <c r="AL17" s="3"/>
      <c r="AM17" s="3"/>
      <c r="AN17" s="3"/>
      <c r="AO17" s="3"/>
    </row>
    <row r="18" spans="1:41" x14ac:dyDescent="0.25">
      <c r="B18" s="13"/>
      <c r="C18" s="6" t="str">
        <v>Project managment and facility running cost</v>
      </c>
      <c r="D18" s="2" t="str">
        <v>%</v>
      </c>
      <c r="E18" s="35">
        <v>16</v>
      </c>
      <c r="F18" s="14"/>
      <c r="G18" s="14"/>
      <c r="H18" s="14"/>
      <c r="I18" s="14"/>
      <c r="J18" s="14"/>
      <c r="K18" s="14"/>
      <c r="L18" s="5"/>
      <c r="M18" s="5"/>
      <c r="N18" s="14"/>
      <c r="O18" s="14"/>
      <c r="P18" s="14"/>
      <c r="Q18" s="14"/>
      <c r="R18" s="14"/>
      <c r="S18" s="14"/>
      <c r="T18" s="14"/>
      <c r="U18" s="14"/>
      <c r="V18" s="14"/>
      <c r="W18" s="14"/>
      <c r="X18" s="14"/>
      <c r="Y18" s="14"/>
      <c r="Z18" s="14"/>
      <c r="AA18" s="15"/>
      <c r="AB18" s="3"/>
      <c r="AC18" s="3"/>
      <c r="AD18" s="3"/>
      <c r="AE18" s="3"/>
      <c r="AF18" s="3"/>
      <c r="AG18" s="3"/>
      <c r="AH18" s="3"/>
      <c r="AI18" s="3"/>
      <c r="AJ18" s="3"/>
      <c r="AK18" s="3"/>
      <c r="AL18" s="3"/>
      <c r="AM18" s="3"/>
      <c r="AN18" s="3"/>
      <c r="AO18" s="3"/>
    </row>
    <row r="19" spans="1:41" x14ac:dyDescent="0.25">
      <c r="B19" s="13"/>
      <c r="C19" s="6" t="str">
        <v>Topside + jacket</v>
      </c>
      <c r="D19" s="2" t="str">
        <v>%</v>
      </c>
      <c r="E19" s="35">
        <v>21</v>
      </c>
      <c r="F19" s="14"/>
      <c r="G19" s="56"/>
      <c r="H19" s="14"/>
      <c r="I19" s="14"/>
      <c r="J19" s="14"/>
      <c r="K19" s="14"/>
      <c r="L19" s="5"/>
      <c r="M19" s="5"/>
      <c r="N19" s="14"/>
      <c r="O19" s="14"/>
      <c r="P19" s="14"/>
      <c r="Q19" s="14"/>
      <c r="R19" s="14"/>
      <c r="S19" s="14"/>
      <c r="T19" s="5"/>
      <c r="U19" s="14"/>
      <c r="V19" s="5"/>
      <c r="W19" s="5"/>
      <c r="X19" s="14"/>
      <c r="Y19" s="14"/>
      <c r="Z19" s="14"/>
      <c r="AA19" s="15"/>
      <c r="AB19" s="3"/>
      <c r="AC19" s="3"/>
      <c r="AD19" s="3"/>
      <c r="AE19" s="3"/>
      <c r="AF19" s="3"/>
      <c r="AG19" s="3"/>
      <c r="AH19" s="3"/>
      <c r="AI19" s="3"/>
      <c r="AJ19" s="3"/>
      <c r="AK19" s="3"/>
      <c r="AL19" s="3"/>
      <c r="AM19" s="3"/>
      <c r="AN19" s="3"/>
      <c r="AO19" s="3"/>
    </row>
    <row r="20" spans="1:41" x14ac:dyDescent="0.25">
      <c r="B20" s="13"/>
      <c r="C20" s="6" t="str">
        <v>natural gas well P&amp;A</v>
      </c>
      <c r="D20" s="2" t="str">
        <v>%</v>
      </c>
      <c r="E20" s="35">
        <v>49</v>
      </c>
      <c r="F20" s="14"/>
      <c r="G20" s="14"/>
      <c r="H20" s="14"/>
      <c r="I20" s="14"/>
      <c r="J20" s="14"/>
      <c r="K20" s="14"/>
      <c r="L20" s="5"/>
      <c r="M20" s="5"/>
      <c r="N20" s="14"/>
      <c r="O20" s="14"/>
      <c r="P20" s="14"/>
      <c r="Q20" s="14"/>
      <c r="R20" s="14"/>
      <c r="S20" s="14"/>
      <c r="T20" s="5"/>
      <c r="U20" s="14"/>
      <c r="V20" s="5"/>
      <c r="W20" s="5"/>
      <c r="X20" s="14"/>
      <c r="Y20" s="14"/>
      <c r="Z20" s="14"/>
      <c r="AA20" s="15"/>
      <c r="AB20" s="3"/>
      <c r="AC20" s="3"/>
      <c r="AD20" s="3"/>
      <c r="AE20" s="3"/>
      <c r="AF20" s="3"/>
      <c r="AG20" s="3"/>
      <c r="AH20" s="3"/>
      <c r="AI20" s="3"/>
      <c r="AJ20" s="3"/>
      <c r="AK20" s="3"/>
      <c r="AL20" s="3"/>
      <c r="AM20" s="3"/>
      <c r="AN20" s="3"/>
      <c r="AO20" s="3"/>
    </row>
    <row r="21" spans="1:41" x14ac:dyDescent="0.25">
      <c r="B21" s="13"/>
      <c r="C21" s="36" t="str">
        <v>pipeline 'making safe' and decom</v>
      </c>
      <c r="D21" s="37" t="str">
        <v>%</v>
      </c>
      <c r="E21" s="38">
        <v>12</v>
      </c>
      <c r="F21" s="14"/>
      <c r="G21" s="14"/>
      <c r="H21" s="83"/>
      <c r="I21" s="1092"/>
      <c r="J21" s="14"/>
      <c r="K21" s="14"/>
      <c r="L21" s="5"/>
      <c r="M21" s="5"/>
      <c r="N21" s="14"/>
      <c r="O21" s="14"/>
      <c r="P21" s="14"/>
      <c r="Q21" s="14"/>
      <c r="R21" s="14"/>
      <c r="S21" s="14"/>
      <c r="T21" s="5"/>
      <c r="U21" s="14"/>
      <c r="V21" s="5"/>
      <c r="W21" s="5"/>
      <c r="X21" s="14"/>
      <c r="Y21" s="14"/>
      <c r="Z21" s="14"/>
      <c r="AA21" s="15"/>
      <c r="AB21" s="3"/>
      <c r="AC21" s="3"/>
      <c r="AD21" s="3"/>
      <c r="AE21" s="3"/>
      <c r="AF21" s="3"/>
      <c r="AG21" s="3"/>
      <c r="AH21" s="3"/>
      <c r="AI21" s="3"/>
      <c r="AJ21" s="3"/>
      <c r="AK21" s="3"/>
      <c r="AL21" s="3"/>
      <c r="AM21" s="3"/>
      <c r="AN21" s="3"/>
      <c r="AO21" s="3"/>
    </row>
    <row r="22" spans="1:41" x14ac:dyDescent="0.25">
      <c r="B22" s="13"/>
      <c r="C22" s="14"/>
      <c r="D22" s="14"/>
      <c r="E22" s="14"/>
      <c r="F22" s="14"/>
      <c r="G22" s="14"/>
      <c r="H22" s="83"/>
      <c r="I22" s="14"/>
      <c r="J22" s="14"/>
      <c r="K22" s="14"/>
      <c r="L22" s="5"/>
      <c r="M22" s="5"/>
      <c r="N22" s="14"/>
      <c r="O22" s="14"/>
      <c r="P22" s="14"/>
      <c r="Q22" s="14"/>
      <c r="R22" s="14"/>
      <c r="S22" s="14"/>
      <c r="T22" s="5"/>
      <c r="U22" s="14"/>
      <c r="V22" s="5"/>
      <c r="W22" s="5"/>
      <c r="X22" s="14"/>
      <c r="Y22" s="14"/>
      <c r="Z22" s="14"/>
      <c r="AA22" s="15"/>
      <c r="AB22" s="3"/>
      <c r="AC22" s="3"/>
      <c r="AD22" s="3"/>
      <c r="AE22" s="3"/>
      <c r="AF22" s="3"/>
      <c r="AG22" s="3"/>
      <c r="AH22" s="3"/>
      <c r="AI22" s="3"/>
      <c r="AJ22" s="3"/>
      <c r="AK22" s="3"/>
      <c r="AL22" s="3"/>
      <c r="AM22" s="3"/>
      <c r="AN22" s="3"/>
      <c r="AO22" s="3"/>
    </row>
    <row r="23" spans="1:41" x14ac:dyDescent="0.25">
      <c r="B23" s="13"/>
      <c r="C23" s="39" t="s">
        <v>1569</v>
      </c>
      <c r="D23" s="40"/>
      <c r="E23" s="41"/>
      <c r="F23" s="14"/>
      <c r="G23" s="14"/>
      <c r="H23" s="83"/>
      <c r="I23" s="14"/>
      <c r="J23" s="14"/>
      <c r="K23" s="14"/>
      <c r="L23" s="5"/>
      <c r="M23" s="5"/>
      <c r="N23" s="14"/>
      <c r="O23" s="14"/>
      <c r="P23" s="14"/>
      <c r="Q23" s="14"/>
      <c r="R23" s="14"/>
      <c r="S23" s="14"/>
      <c r="T23" s="14"/>
      <c r="U23" s="14"/>
      <c r="V23" s="14"/>
      <c r="W23" s="14"/>
      <c r="X23" s="14"/>
      <c r="Y23" s="14"/>
      <c r="Z23" s="14"/>
      <c r="AA23" s="15"/>
      <c r="AB23" s="3"/>
      <c r="AC23" s="3"/>
      <c r="AD23" s="3"/>
      <c r="AE23" s="3"/>
      <c r="AF23" s="3"/>
      <c r="AG23" s="3"/>
      <c r="AH23" s="3"/>
      <c r="AI23" s="3"/>
      <c r="AJ23" s="3"/>
      <c r="AK23" s="3"/>
      <c r="AL23" s="3"/>
      <c r="AM23" s="3"/>
      <c r="AN23" s="3"/>
      <c r="AO23" s="3"/>
    </row>
    <row r="24" spans="1:41" x14ac:dyDescent="0.25">
      <c r="B24" s="13"/>
      <c r="C24" s="14"/>
      <c r="D24" s="14"/>
      <c r="E24" s="14"/>
      <c r="F24" s="14"/>
      <c r="G24" s="14"/>
      <c r="H24" s="1091"/>
      <c r="I24" s="78"/>
      <c r="J24" s="14"/>
      <c r="K24" s="14"/>
      <c r="L24" s="5"/>
      <c r="M24" s="5"/>
      <c r="N24" s="14"/>
      <c r="O24" s="14"/>
      <c r="P24" s="14"/>
      <c r="Q24" s="14"/>
      <c r="R24" s="14"/>
      <c r="S24" s="14"/>
      <c r="T24" s="14"/>
      <c r="U24" s="14"/>
      <c r="V24" s="14"/>
      <c r="W24" s="14"/>
      <c r="X24" s="14"/>
      <c r="Y24" s="14"/>
      <c r="Z24" s="14"/>
      <c r="AA24" s="15"/>
      <c r="AB24" s="3"/>
      <c r="AC24" s="3"/>
      <c r="AD24" s="3"/>
      <c r="AE24" s="3"/>
      <c r="AF24" s="3"/>
      <c r="AG24" s="3"/>
      <c r="AH24" s="3"/>
      <c r="AI24" s="3"/>
      <c r="AJ24" s="3"/>
      <c r="AK24" s="3"/>
      <c r="AL24" s="3"/>
      <c r="AM24" s="3"/>
      <c r="AN24" s="3"/>
      <c r="AO24" s="3"/>
    </row>
    <row r="25" spans="1:41" x14ac:dyDescent="0.25">
      <c r="B25" s="13"/>
      <c r="C25" s="32" t="str">
        <f t="array" ref="C25:E27">Parameters!E26:G28</f>
        <v>Platform identifier</v>
      </c>
      <c r="D25" s="33">
        <v>0</v>
      </c>
      <c r="E25" s="34" t="str">
        <v>P15-D</v>
      </c>
      <c r="F25" s="14"/>
      <c r="G25" s="14"/>
      <c r="H25" s="1091"/>
      <c r="I25" s="78"/>
      <c r="J25" s="14"/>
      <c r="K25" s="14"/>
      <c r="L25" s="5"/>
      <c r="M25" s="5"/>
      <c r="N25" s="14"/>
      <c r="O25" s="14"/>
      <c r="P25" s="14"/>
      <c r="Q25" s="14"/>
      <c r="R25" s="14"/>
      <c r="S25" s="14"/>
      <c r="T25" s="14"/>
      <c r="U25" s="14"/>
      <c r="V25" s="14"/>
      <c r="W25" s="14"/>
      <c r="X25" s="14"/>
      <c r="Y25" s="14"/>
      <c r="Z25" s="14"/>
      <c r="AA25" s="15"/>
      <c r="AB25" s="3"/>
      <c r="AC25" s="3"/>
      <c r="AD25" s="3"/>
      <c r="AE25" s="3"/>
      <c r="AF25" s="3"/>
      <c r="AG25" s="3"/>
      <c r="AH25" s="3"/>
      <c r="AI25" s="3"/>
      <c r="AJ25" s="3"/>
      <c r="AK25" s="3"/>
      <c r="AL25" s="3"/>
      <c r="AM25" s="3"/>
      <c r="AN25" s="3"/>
      <c r="AO25" s="3"/>
    </row>
    <row r="26" spans="1:41" x14ac:dyDescent="0.25">
      <c r="B26" s="13"/>
      <c r="C26" s="6" t="str">
        <v>Weight sub-structure</v>
      </c>
      <c r="D26" s="2" t="str">
        <v>ton</v>
      </c>
      <c r="E26" s="35">
        <v>1015</v>
      </c>
      <c r="F26" s="14"/>
      <c r="G26" s="14"/>
      <c r="H26" s="102"/>
      <c r="I26" s="78"/>
      <c r="J26" s="14"/>
      <c r="K26" s="14"/>
      <c r="L26" s="5"/>
      <c r="M26" s="5"/>
      <c r="N26" s="14"/>
      <c r="O26" s="14"/>
      <c r="P26" s="14"/>
      <c r="Q26" s="14"/>
      <c r="R26" s="14"/>
      <c r="S26" s="14"/>
      <c r="T26" s="14"/>
      <c r="U26" s="14"/>
      <c r="V26" s="14"/>
      <c r="W26" s="14"/>
      <c r="X26" s="14"/>
      <c r="Y26" s="14"/>
      <c r="Z26" s="14"/>
      <c r="AA26" s="15"/>
      <c r="AB26" s="3"/>
      <c r="AC26" s="3"/>
      <c r="AD26" s="3"/>
      <c r="AE26" s="3"/>
      <c r="AF26" s="3"/>
      <c r="AG26" s="3"/>
      <c r="AH26" s="3"/>
      <c r="AI26" s="3"/>
      <c r="AJ26" s="3"/>
      <c r="AK26" s="3"/>
      <c r="AL26" s="3"/>
      <c r="AM26" s="3"/>
      <c r="AN26" s="3"/>
      <c r="AO26" s="3"/>
    </row>
    <row r="27" spans="1:41" x14ac:dyDescent="0.25">
      <c r="B27" s="13"/>
      <c r="C27" s="6" t="str">
        <v>Weight topside</v>
      </c>
      <c r="D27" s="2" t="str">
        <v>ton</v>
      </c>
      <c r="E27" s="35">
        <v>6962</v>
      </c>
      <c r="F27" s="14"/>
      <c r="G27" s="14"/>
      <c r="H27" s="1093"/>
      <c r="I27" s="92"/>
      <c r="J27" s="14"/>
      <c r="K27" s="14"/>
      <c r="L27" s="5"/>
      <c r="M27" s="5"/>
      <c r="N27" s="14"/>
      <c r="O27" s="14"/>
      <c r="P27" s="14"/>
      <c r="Q27" s="14"/>
      <c r="R27" s="14"/>
      <c r="S27" s="14"/>
      <c r="T27" s="14"/>
      <c r="U27" s="14"/>
      <c r="V27" s="14"/>
      <c r="W27" s="14"/>
      <c r="X27" s="14"/>
      <c r="Y27" s="14"/>
      <c r="Z27" s="14"/>
      <c r="AA27" s="15"/>
      <c r="AB27" s="3"/>
      <c r="AC27" s="3"/>
      <c r="AD27" s="3"/>
      <c r="AE27" s="3"/>
      <c r="AF27" s="3"/>
      <c r="AG27" s="3"/>
      <c r="AH27" s="3"/>
      <c r="AI27" s="3"/>
      <c r="AJ27" s="3"/>
      <c r="AK27" s="3"/>
      <c r="AL27" s="3"/>
      <c r="AM27" s="3"/>
      <c r="AN27" s="3"/>
      <c r="AO27" s="3"/>
    </row>
    <row r="28" spans="1:41" x14ac:dyDescent="0.25">
      <c r="B28" s="13"/>
      <c r="C28" s="6" t="str">
        <f t="array" ref="C28:E28">Parameters!E150:G150</f>
        <v>Pipeline length</v>
      </c>
      <c r="D28" s="2" t="str">
        <v>km</v>
      </c>
      <c r="E28" s="35">
        <v>40</v>
      </c>
      <c r="F28" s="14"/>
      <c r="G28" s="14"/>
      <c r="H28" s="1094"/>
      <c r="I28" s="92"/>
      <c r="J28" s="14"/>
      <c r="K28" s="14"/>
      <c r="L28" s="5"/>
      <c r="M28" s="5"/>
      <c r="N28" s="14"/>
      <c r="O28" s="14"/>
      <c r="P28" s="14"/>
      <c r="Q28" s="14"/>
      <c r="R28" s="14"/>
      <c r="S28" s="14"/>
      <c r="T28" s="14"/>
      <c r="U28" s="14"/>
      <c r="V28" s="14"/>
      <c r="W28" s="14"/>
      <c r="X28" s="14"/>
      <c r="Y28" s="14"/>
      <c r="Z28" s="14"/>
      <c r="AA28" s="15"/>
      <c r="AB28" s="3"/>
      <c r="AC28" s="3"/>
      <c r="AD28" s="3"/>
      <c r="AE28" s="3"/>
      <c r="AF28" s="3"/>
      <c r="AG28" s="3"/>
      <c r="AH28" s="3"/>
      <c r="AI28" s="3"/>
      <c r="AJ28" s="3"/>
      <c r="AK28" s="3"/>
      <c r="AL28" s="3"/>
      <c r="AM28" s="3"/>
      <c r="AN28" s="3"/>
      <c r="AO28" s="3"/>
    </row>
    <row r="29" spans="1:41" x14ac:dyDescent="0.25">
      <c r="B29" s="13"/>
      <c r="C29" s="6" t="str">
        <f t="array" ref="C29:E29">Parameters!E322:G322</f>
        <v>Distance hub to shore</v>
      </c>
      <c r="D29" s="2" t="str">
        <v>km</v>
      </c>
      <c r="E29" s="35">
        <v>40</v>
      </c>
      <c r="F29" s="14"/>
      <c r="G29" s="14"/>
      <c r="H29" s="102"/>
      <c r="I29" s="92"/>
      <c r="J29" s="14"/>
      <c r="K29" s="14"/>
      <c r="L29" s="5"/>
      <c r="M29" s="5"/>
      <c r="N29" s="14"/>
      <c r="O29" s="14"/>
      <c r="P29" s="14"/>
      <c r="Q29" s="14"/>
      <c r="R29" s="14"/>
      <c r="S29" s="14"/>
      <c r="T29" s="14"/>
      <c r="U29" s="14"/>
      <c r="V29" s="14"/>
      <c r="W29" s="14"/>
      <c r="X29" s="14"/>
      <c r="Y29" s="14"/>
      <c r="Z29" s="14"/>
      <c r="AA29" s="15"/>
      <c r="AB29" s="3"/>
      <c r="AC29" s="3"/>
      <c r="AD29" s="3"/>
      <c r="AE29" s="3"/>
      <c r="AF29" s="3"/>
      <c r="AG29" s="3"/>
      <c r="AH29" s="3"/>
      <c r="AI29" s="3"/>
      <c r="AJ29" s="3"/>
      <c r="AK29" s="3"/>
      <c r="AL29" s="3"/>
      <c r="AM29" s="3"/>
      <c r="AN29" s="3"/>
      <c r="AO29" s="3"/>
    </row>
    <row r="30" spans="1:41" x14ac:dyDescent="0.25">
      <c r="B30" s="13"/>
      <c r="C30" s="6"/>
      <c r="D30" s="2"/>
      <c r="E30" s="35"/>
      <c r="F30" s="14"/>
      <c r="G30" s="14"/>
      <c r="H30" s="102"/>
      <c r="I30" s="92"/>
      <c r="J30" s="14"/>
      <c r="K30" s="14"/>
      <c r="L30" s="5"/>
      <c r="M30" s="5"/>
      <c r="N30" s="14"/>
      <c r="O30" s="14"/>
      <c r="P30" s="14"/>
      <c r="Q30" s="14"/>
      <c r="R30" s="14"/>
      <c r="S30" s="14"/>
      <c r="T30" s="14"/>
      <c r="U30" s="14"/>
      <c r="V30" s="14"/>
      <c r="W30" s="14"/>
      <c r="X30" s="14"/>
      <c r="Y30" s="14"/>
      <c r="Z30" s="14"/>
      <c r="AA30" s="15"/>
      <c r="AB30" s="3"/>
      <c r="AC30" s="3"/>
      <c r="AD30" s="3"/>
      <c r="AE30" s="3"/>
      <c r="AF30" s="3"/>
      <c r="AG30" s="3"/>
      <c r="AH30" s="3"/>
      <c r="AI30" s="3"/>
      <c r="AJ30" s="3"/>
      <c r="AK30" s="3"/>
      <c r="AL30" s="3"/>
      <c r="AM30" s="3"/>
      <c r="AN30" s="3"/>
      <c r="AO30" s="3"/>
    </row>
    <row r="31" spans="1:41" s="127" customFormat="1" x14ac:dyDescent="0.25">
      <c r="A31" s="125"/>
      <c r="B31" s="126"/>
      <c r="C31" s="6"/>
      <c r="D31" s="2"/>
      <c r="E31" s="35"/>
      <c r="F31" s="17"/>
      <c r="G31" s="17"/>
      <c r="H31" s="17"/>
      <c r="I31" s="17"/>
      <c r="J31" s="17"/>
      <c r="K31" s="17"/>
      <c r="L31" s="17"/>
      <c r="M31" s="17"/>
      <c r="N31" s="17"/>
      <c r="O31" s="17"/>
      <c r="P31" s="17"/>
      <c r="Q31" s="17"/>
      <c r="R31" s="17"/>
      <c r="S31" s="17"/>
      <c r="T31" s="17"/>
      <c r="U31" s="17"/>
      <c r="V31" s="17"/>
      <c r="W31" s="17"/>
      <c r="X31" s="17"/>
      <c r="Y31" s="17"/>
      <c r="Z31" s="17"/>
      <c r="AA31" s="131"/>
      <c r="AB31" s="125"/>
      <c r="AC31" s="125"/>
      <c r="AD31" s="125"/>
      <c r="AE31" s="125"/>
      <c r="AF31" s="125"/>
      <c r="AG31" s="125"/>
      <c r="AH31" s="125"/>
      <c r="AI31" s="125"/>
      <c r="AJ31" s="125"/>
      <c r="AK31" s="125"/>
      <c r="AL31" s="125"/>
      <c r="AM31" s="125"/>
      <c r="AN31" s="125"/>
      <c r="AO31" s="125"/>
    </row>
    <row r="32" spans="1:41" x14ac:dyDescent="0.25">
      <c r="B32" s="13"/>
      <c r="C32" s="36"/>
      <c r="D32" s="37"/>
      <c r="E32" s="38"/>
      <c r="F32" s="14"/>
      <c r="G32" s="14"/>
      <c r="H32" s="14"/>
      <c r="I32" s="14"/>
      <c r="J32" s="14"/>
      <c r="K32" s="14"/>
      <c r="L32" s="14"/>
      <c r="M32" s="14"/>
      <c r="N32" s="14"/>
      <c r="O32" s="14"/>
      <c r="P32" s="14"/>
      <c r="Q32" s="14"/>
      <c r="R32" s="14"/>
      <c r="S32" s="14"/>
      <c r="T32" s="14"/>
      <c r="U32" s="14"/>
      <c r="V32" s="14"/>
      <c r="W32" s="14"/>
      <c r="X32" s="14"/>
      <c r="Y32" s="14"/>
      <c r="Z32" s="14"/>
      <c r="AA32" s="15"/>
      <c r="AB32" s="3"/>
      <c r="AC32" s="3"/>
      <c r="AD32" s="3"/>
      <c r="AE32" s="3"/>
      <c r="AF32" s="3"/>
      <c r="AG32" s="3"/>
      <c r="AH32" s="3"/>
      <c r="AI32" s="3"/>
      <c r="AJ32" s="3"/>
      <c r="AK32" s="3"/>
      <c r="AL32" s="3"/>
      <c r="AM32" s="3"/>
      <c r="AN32" s="3"/>
      <c r="AO32" s="3"/>
    </row>
    <row r="33" spans="1:41" x14ac:dyDescent="0.25">
      <c r="A33" s="171"/>
      <c r="B33" s="13"/>
      <c r="C33" s="14"/>
      <c r="D33" s="14"/>
      <c r="E33" s="14"/>
      <c r="F33" s="14"/>
      <c r="G33" s="14"/>
      <c r="H33" s="14"/>
      <c r="I33" s="14"/>
      <c r="J33" s="14"/>
      <c r="K33" s="14"/>
      <c r="L33" s="14"/>
      <c r="M33" s="14"/>
      <c r="N33" s="14"/>
      <c r="O33" s="14"/>
      <c r="P33" s="14"/>
      <c r="Q33" s="14"/>
      <c r="R33" s="14"/>
      <c r="S33" s="14"/>
      <c r="T33" s="14"/>
      <c r="U33" s="14"/>
      <c r="V33" s="14"/>
      <c r="W33" s="14"/>
      <c r="X33" s="14"/>
      <c r="Y33" s="14"/>
      <c r="Z33" s="14"/>
      <c r="AA33" s="15"/>
      <c r="AB33" s="3"/>
      <c r="AC33" s="3"/>
      <c r="AD33" s="3"/>
      <c r="AE33" s="3"/>
      <c r="AF33" s="3"/>
      <c r="AG33" s="3"/>
      <c r="AH33" s="3"/>
      <c r="AI33" s="3"/>
      <c r="AJ33" s="3"/>
      <c r="AK33" s="3"/>
      <c r="AL33" s="3"/>
      <c r="AM33" s="3"/>
      <c r="AN33" s="3"/>
      <c r="AO33" s="3"/>
    </row>
    <row r="34" spans="1:41" x14ac:dyDescent="0.25">
      <c r="A34" s="171"/>
      <c r="B34" s="13"/>
      <c r="C34" s="39" t="s">
        <v>1</v>
      </c>
      <c r="D34" s="40"/>
      <c r="E34" s="41"/>
      <c r="F34" s="14"/>
      <c r="G34" s="14"/>
      <c r="H34" s="14"/>
      <c r="I34" s="14"/>
      <c r="J34" s="14"/>
      <c r="K34" s="14"/>
      <c r="L34" s="14"/>
      <c r="M34" s="14"/>
      <c r="N34" s="14"/>
      <c r="O34" s="14"/>
      <c r="P34" s="14"/>
      <c r="Q34" s="14"/>
      <c r="R34" s="14"/>
      <c r="S34" s="14"/>
      <c r="T34" s="14"/>
      <c r="U34" s="14"/>
      <c r="V34" s="14"/>
      <c r="W34" s="14"/>
      <c r="X34" s="14"/>
      <c r="Y34" s="14"/>
      <c r="Z34" s="14"/>
      <c r="AA34" s="15"/>
      <c r="AB34" s="3"/>
      <c r="AC34" s="3"/>
      <c r="AD34" s="3"/>
      <c r="AE34" s="3"/>
      <c r="AF34" s="3"/>
      <c r="AG34" s="3"/>
      <c r="AH34" s="3"/>
      <c r="AI34" s="3"/>
      <c r="AJ34" s="3"/>
      <c r="AK34" s="3"/>
      <c r="AL34" s="3"/>
      <c r="AM34" s="3"/>
      <c r="AN34" s="3"/>
      <c r="AO34" s="3"/>
    </row>
    <row r="35" spans="1:41" x14ac:dyDescent="0.25">
      <c r="A35" s="171"/>
      <c r="B35" s="13"/>
      <c r="C35" s="14"/>
      <c r="D35" s="14"/>
      <c r="E35" s="14"/>
      <c r="F35" s="14"/>
      <c r="G35" s="14"/>
      <c r="H35" s="83"/>
      <c r="I35" s="1093"/>
      <c r="J35" s="14"/>
      <c r="K35" s="14"/>
      <c r="L35" s="14"/>
      <c r="M35" s="14"/>
      <c r="N35" s="14"/>
      <c r="O35" s="14"/>
      <c r="P35" s="14"/>
      <c r="Q35" s="14"/>
      <c r="R35" s="14"/>
      <c r="S35" s="14"/>
      <c r="T35" s="14"/>
      <c r="U35" s="14"/>
      <c r="V35" s="14"/>
      <c r="W35" s="14"/>
      <c r="X35" s="14"/>
      <c r="Y35" s="14"/>
      <c r="Z35" s="14"/>
      <c r="AA35" s="15"/>
      <c r="AB35" s="3"/>
      <c r="AC35" s="3"/>
      <c r="AD35" s="3"/>
      <c r="AE35" s="3"/>
      <c r="AF35" s="3"/>
      <c r="AG35" s="3"/>
      <c r="AH35" s="3"/>
      <c r="AI35" s="3"/>
      <c r="AJ35" s="3"/>
      <c r="AK35" s="3"/>
      <c r="AL35" s="3"/>
      <c r="AM35" s="3"/>
      <c r="AN35" s="3"/>
      <c r="AO35" s="3"/>
    </row>
    <row r="36" spans="1:41" ht="14.45" customHeight="1" x14ac:dyDescent="0.25">
      <c r="A36" s="171"/>
      <c r="B36" s="13"/>
      <c r="C36" s="32" t="str">
        <f t="array" ref="C36:E36">Parameters!E497:G497</f>
        <v>Amount of pipeline to be removed</v>
      </c>
      <c r="D36" s="1083" t="str">
        <v>[km]</v>
      </c>
      <c r="E36" s="34">
        <v>40</v>
      </c>
      <c r="F36" s="14"/>
      <c r="G36" s="14"/>
      <c r="H36" s="83"/>
      <c r="I36" s="1095"/>
      <c r="J36" s="14"/>
      <c r="K36" s="14"/>
      <c r="L36" s="14"/>
      <c r="M36" s="14"/>
      <c r="N36" s="14"/>
      <c r="O36" s="14"/>
      <c r="P36" s="14"/>
      <c r="Q36" s="14"/>
      <c r="R36" s="14"/>
      <c r="S36" s="14"/>
      <c r="T36" s="14"/>
      <c r="U36" s="14"/>
      <c r="V36" s="14"/>
      <c r="W36" s="14"/>
      <c r="X36" s="14"/>
      <c r="Y36" s="14"/>
      <c r="Z36" s="14"/>
      <c r="AA36" s="15"/>
      <c r="AB36" s="3"/>
      <c r="AC36" s="3"/>
      <c r="AD36" s="3"/>
      <c r="AE36" s="3"/>
      <c r="AF36" s="3"/>
      <c r="AG36" s="3"/>
      <c r="AH36" s="3"/>
      <c r="AI36" s="3"/>
      <c r="AJ36" s="3"/>
      <c r="AK36" s="3"/>
      <c r="AL36" s="3"/>
      <c r="AM36" s="3"/>
      <c r="AN36" s="3"/>
      <c r="AO36" s="3"/>
    </row>
    <row r="37" spans="1:41" x14ac:dyDescent="0.25">
      <c r="A37" s="171"/>
      <c r="B37" s="13"/>
      <c r="C37" s="6" t="str">
        <f t="array" ref="C37:E37">Parameters!E379:G379</f>
        <v>Stop operations</v>
      </c>
      <c r="D37" s="175" t="str">
        <v>-</v>
      </c>
      <c r="E37" s="35">
        <v>2050</v>
      </c>
      <c r="F37" s="14"/>
      <c r="G37" s="14"/>
      <c r="H37" s="1096"/>
      <c r="I37" s="14"/>
      <c r="J37" s="14"/>
      <c r="K37" s="14"/>
      <c r="L37" s="14"/>
      <c r="M37" s="14"/>
      <c r="N37" s="14"/>
      <c r="O37" s="14"/>
      <c r="P37" s="14"/>
      <c r="Q37" s="14"/>
      <c r="R37" s="14"/>
      <c r="S37" s="14"/>
      <c r="T37" s="14"/>
      <c r="U37" s="14"/>
      <c r="V37" s="14"/>
      <c r="W37" s="14"/>
      <c r="X37" s="14"/>
      <c r="Y37" s="14"/>
      <c r="Z37" s="14"/>
      <c r="AA37" s="15"/>
      <c r="AB37" s="3"/>
      <c r="AC37" s="3"/>
      <c r="AD37" s="3"/>
      <c r="AE37" s="3"/>
      <c r="AF37" s="3"/>
      <c r="AG37" s="3"/>
      <c r="AH37" s="3"/>
      <c r="AI37" s="3"/>
      <c r="AJ37" s="3"/>
      <c r="AK37" s="3"/>
      <c r="AL37" s="3"/>
      <c r="AM37" s="3"/>
      <c r="AN37" s="3"/>
      <c r="AO37" s="3"/>
    </row>
    <row r="38" spans="1:41" x14ac:dyDescent="0.25">
      <c r="A38" s="171"/>
      <c r="B38" s="13"/>
      <c r="C38" s="6"/>
      <c r="D38" s="175"/>
      <c r="E38" s="35"/>
      <c r="F38" s="14"/>
      <c r="G38" s="14"/>
      <c r="H38" s="1097"/>
      <c r="I38" s="57"/>
      <c r="J38" s="14"/>
      <c r="K38" s="14"/>
      <c r="L38" s="14"/>
      <c r="M38" s="14"/>
      <c r="N38" s="14"/>
      <c r="O38" s="14"/>
      <c r="P38" s="14"/>
      <c r="Q38" s="14"/>
      <c r="R38" s="14"/>
      <c r="S38" s="14"/>
      <c r="T38" s="14"/>
      <c r="U38" s="14"/>
      <c r="V38" s="14"/>
      <c r="W38" s="14"/>
      <c r="X38" s="14"/>
      <c r="Y38" s="14"/>
      <c r="Z38" s="14"/>
      <c r="AA38" s="15"/>
      <c r="AB38" s="3"/>
      <c r="AC38" s="3"/>
      <c r="AD38" s="3"/>
      <c r="AE38" s="3"/>
      <c r="AF38" s="3"/>
      <c r="AG38" s="3"/>
      <c r="AH38" s="3"/>
      <c r="AI38" s="3"/>
      <c r="AJ38" s="3"/>
      <c r="AK38" s="3"/>
      <c r="AL38" s="3"/>
      <c r="AM38" s="3"/>
      <c r="AN38" s="3"/>
      <c r="AO38" s="3"/>
    </row>
    <row r="39" spans="1:41" x14ac:dyDescent="0.25">
      <c r="A39" s="171"/>
      <c r="B39" s="13"/>
      <c r="C39" s="6"/>
      <c r="D39" s="175"/>
      <c r="E39" s="35"/>
      <c r="F39" s="14"/>
      <c r="G39" s="14"/>
      <c r="H39" s="79"/>
      <c r="I39" s="14"/>
      <c r="J39" s="14"/>
      <c r="K39" s="14"/>
      <c r="L39" s="14"/>
      <c r="M39" s="14"/>
      <c r="N39" s="14"/>
      <c r="O39" s="14"/>
      <c r="P39" s="14"/>
      <c r="Q39" s="14"/>
      <c r="R39" s="14"/>
      <c r="S39" s="14"/>
      <c r="T39" s="14"/>
      <c r="U39" s="14"/>
      <c r="V39" s="14"/>
      <c r="W39" s="14"/>
      <c r="X39" s="14"/>
      <c r="Y39" s="14"/>
      <c r="Z39" s="14"/>
      <c r="AA39" s="15"/>
      <c r="AB39" s="3"/>
      <c r="AC39" s="3"/>
      <c r="AD39" s="3"/>
      <c r="AE39" s="3"/>
      <c r="AF39" s="3"/>
      <c r="AG39" s="3"/>
      <c r="AH39" s="3"/>
      <c r="AI39" s="3"/>
      <c r="AJ39" s="3"/>
      <c r="AK39" s="3"/>
      <c r="AL39" s="3"/>
      <c r="AM39" s="3"/>
      <c r="AN39" s="3"/>
      <c r="AO39" s="3"/>
    </row>
    <row r="40" spans="1:41" x14ac:dyDescent="0.25">
      <c r="A40" s="171"/>
      <c r="B40" s="13"/>
      <c r="C40" s="6"/>
      <c r="D40" s="175"/>
      <c r="E40" s="35"/>
      <c r="F40" s="14"/>
      <c r="G40" s="14"/>
      <c r="H40" s="14"/>
      <c r="I40" s="14"/>
      <c r="J40" s="14"/>
      <c r="K40" s="14"/>
      <c r="L40" s="14"/>
      <c r="M40" s="14"/>
      <c r="N40" s="14"/>
      <c r="O40" s="14"/>
      <c r="P40" s="14"/>
      <c r="Q40" s="14"/>
      <c r="R40" s="14"/>
      <c r="S40" s="14"/>
      <c r="T40" s="14"/>
      <c r="U40" s="14"/>
      <c r="V40" s="14"/>
      <c r="W40" s="14"/>
      <c r="X40" s="14"/>
      <c r="Y40" s="14"/>
      <c r="Z40" s="14"/>
      <c r="AA40" s="15"/>
      <c r="AB40" s="3"/>
      <c r="AC40" s="3"/>
      <c r="AD40" s="3"/>
      <c r="AE40" s="3"/>
      <c r="AF40" s="3"/>
      <c r="AG40" s="3"/>
      <c r="AH40" s="3"/>
      <c r="AI40" s="3"/>
      <c r="AJ40" s="3"/>
      <c r="AK40" s="3"/>
      <c r="AL40" s="3"/>
      <c r="AM40" s="3"/>
      <c r="AN40" s="3"/>
      <c r="AO40" s="3"/>
    </row>
    <row r="41" spans="1:41" ht="18.75" x14ac:dyDescent="0.3">
      <c r="A41" s="171"/>
      <c r="B41" s="67"/>
      <c r="C41" s="6"/>
      <c r="D41" s="175"/>
      <c r="E41" s="35"/>
      <c r="F41" s="14"/>
      <c r="G41" s="14"/>
      <c r="H41" s="14"/>
      <c r="I41" s="14"/>
      <c r="J41" s="14"/>
      <c r="K41" s="14"/>
      <c r="L41" s="14"/>
      <c r="M41" s="14"/>
      <c r="N41" s="14"/>
      <c r="O41" s="14"/>
      <c r="P41" s="14"/>
      <c r="Q41" s="14"/>
      <c r="R41" s="14"/>
      <c r="S41" s="14"/>
      <c r="T41" s="14"/>
      <c r="U41" s="14"/>
      <c r="V41" s="14"/>
      <c r="W41" s="14"/>
      <c r="X41" s="14"/>
      <c r="Y41" s="14"/>
      <c r="Z41" s="14"/>
      <c r="AA41" s="15"/>
      <c r="AB41" s="3"/>
      <c r="AC41" s="3"/>
      <c r="AD41" s="3"/>
      <c r="AE41" s="3"/>
      <c r="AF41" s="3"/>
      <c r="AG41" s="3"/>
      <c r="AH41" s="3"/>
      <c r="AI41" s="3"/>
      <c r="AJ41" s="3"/>
      <c r="AK41" s="3"/>
      <c r="AL41" s="3"/>
      <c r="AM41" s="3"/>
      <c r="AN41" s="3"/>
      <c r="AO41" s="3"/>
    </row>
    <row r="42" spans="1:41" x14ac:dyDescent="0.25">
      <c r="A42" s="171"/>
      <c r="B42" s="13"/>
      <c r="C42" s="6"/>
      <c r="D42" s="175"/>
      <c r="E42" s="35"/>
      <c r="F42" s="14"/>
      <c r="G42" s="14"/>
      <c r="H42" s="14"/>
      <c r="I42" s="14"/>
      <c r="J42" s="14"/>
      <c r="K42" s="14"/>
      <c r="L42" s="14"/>
      <c r="M42" s="14"/>
      <c r="N42" s="14"/>
      <c r="O42" s="14"/>
      <c r="P42" s="14"/>
      <c r="Q42" s="14"/>
      <c r="R42" s="14"/>
      <c r="S42" s="14"/>
      <c r="T42" s="14"/>
      <c r="U42" s="14"/>
      <c r="V42" s="14"/>
      <c r="W42" s="14"/>
      <c r="X42" s="14"/>
      <c r="Y42" s="14"/>
      <c r="Z42" s="14"/>
      <c r="AA42" s="15"/>
      <c r="AB42" s="3"/>
      <c r="AC42" s="3"/>
      <c r="AD42" s="3"/>
      <c r="AE42" s="3"/>
      <c r="AF42" s="3"/>
      <c r="AG42" s="3"/>
      <c r="AH42" s="3"/>
      <c r="AI42" s="3"/>
      <c r="AJ42" s="3"/>
      <c r="AK42" s="3"/>
      <c r="AL42" s="3"/>
      <c r="AM42" s="3"/>
      <c r="AN42" s="3"/>
      <c r="AO42" s="3"/>
    </row>
    <row r="43" spans="1:41" x14ac:dyDescent="0.25">
      <c r="A43" s="171"/>
      <c r="B43" s="13"/>
      <c r="C43" s="6"/>
      <c r="D43" s="175"/>
      <c r="E43" s="35"/>
      <c r="F43" s="17"/>
      <c r="G43" s="17"/>
      <c r="H43" s="17"/>
      <c r="I43" s="14"/>
      <c r="J43" s="14"/>
      <c r="K43" s="14"/>
      <c r="L43" s="14"/>
      <c r="M43" s="14"/>
      <c r="N43" s="14"/>
      <c r="O43" s="14"/>
      <c r="P43" s="14"/>
      <c r="Q43" s="14"/>
      <c r="R43" s="14"/>
      <c r="S43" s="14"/>
      <c r="T43" s="14"/>
      <c r="U43" s="14"/>
      <c r="V43" s="14"/>
      <c r="W43" s="14"/>
      <c r="X43" s="14"/>
      <c r="Y43" s="14"/>
      <c r="Z43" s="14"/>
      <c r="AA43" s="15"/>
      <c r="AB43" s="3"/>
      <c r="AC43" s="3"/>
      <c r="AD43" s="3"/>
      <c r="AE43" s="3"/>
      <c r="AF43" s="3"/>
      <c r="AG43" s="3"/>
      <c r="AH43" s="3"/>
      <c r="AI43" s="3"/>
      <c r="AJ43" s="3"/>
      <c r="AK43" s="3"/>
      <c r="AL43" s="3"/>
      <c r="AM43" s="3"/>
      <c r="AN43" s="3"/>
      <c r="AO43" s="3"/>
    </row>
    <row r="44" spans="1:41" x14ac:dyDescent="0.25">
      <c r="A44" s="171"/>
      <c r="B44" s="13"/>
      <c r="C44" s="6"/>
      <c r="D44" s="175"/>
      <c r="E44" s="35"/>
      <c r="F44" s="17"/>
      <c r="G44" s="17"/>
      <c r="H44" s="17"/>
      <c r="I44" s="14"/>
      <c r="J44" s="14"/>
      <c r="K44" s="14"/>
      <c r="L44" s="14"/>
      <c r="M44" s="14"/>
      <c r="N44" s="14"/>
      <c r="O44" s="14"/>
      <c r="P44" s="14"/>
      <c r="Q44" s="14"/>
      <c r="R44" s="14"/>
      <c r="S44" s="14"/>
      <c r="T44" s="14"/>
      <c r="U44" s="14"/>
      <c r="V44" s="14"/>
      <c r="W44" s="14"/>
      <c r="X44" s="14"/>
      <c r="Y44" s="14"/>
      <c r="Z44" s="14"/>
      <c r="AA44" s="15"/>
      <c r="AB44" s="3"/>
      <c r="AC44" s="3"/>
      <c r="AD44" s="3"/>
      <c r="AE44" s="3"/>
      <c r="AF44" s="3"/>
      <c r="AG44" s="3"/>
      <c r="AH44" s="3"/>
      <c r="AI44" s="3"/>
      <c r="AJ44" s="3"/>
      <c r="AK44" s="3"/>
      <c r="AL44" s="3"/>
      <c r="AM44" s="3"/>
      <c r="AN44" s="3"/>
      <c r="AO44" s="3"/>
    </row>
    <row r="45" spans="1:41" x14ac:dyDescent="0.25">
      <c r="A45" s="171"/>
      <c r="B45" s="13"/>
      <c r="C45" s="36"/>
      <c r="D45" s="1085"/>
      <c r="E45" s="38"/>
      <c r="F45" s="14"/>
      <c r="G45" s="14"/>
      <c r="H45" s="14"/>
      <c r="I45" s="14"/>
      <c r="J45" s="14"/>
      <c r="K45" s="14"/>
      <c r="L45" s="14"/>
      <c r="M45" s="14"/>
      <c r="N45" s="14"/>
      <c r="O45" s="14"/>
      <c r="P45" s="14"/>
      <c r="Q45" s="14"/>
      <c r="R45" s="14"/>
      <c r="S45" s="14"/>
      <c r="T45" s="14"/>
      <c r="U45" s="14"/>
      <c r="V45" s="14"/>
      <c r="W45" s="14"/>
      <c r="X45" s="14"/>
      <c r="Y45" s="14"/>
      <c r="Z45" s="14"/>
      <c r="AA45" s="15"/>
      <c r="AB45" s="3"/>
      <c r="AC45" s="3"/>
      <c r="AD45" s="3"/>
      <c r="AE45" s="3"/>
      <c r="AF45" s="3"/>
      <c r="AG45" s="3"/>
      <c r="AH45" s="3"/>
      <c r="AI45" s="3"/>
      <c r="AJ45" s="3"/>
      <c r="AK45" s="3"/>
      <c r="AL45" s="3"/>
      <c r="AM45" s="3"/>
      <c r="AN45" s="3"/>
      <c r="AO45" s="3"/>
    </row>
    <row r="46" spans="1:41" x14ac:dyDescent="0.25">
      <c r="A46" s="171"/>
      <c r="B46" s="13"/>
      <c r="C46" s="5"/>
      <c r="D46" s="5"/>
      <c r="E46" s="5"/>
      <c r="F46" s="102"/>
      <c r="G46" s="102"/>
      <c r="H46" s="102"/>
      <c r="I46" s="14"/>
      <c r="J46" s="14"/>
      <c r="K46" s="14"/>
      <c r="L46" s="14"/>
      <c r="M46" s="14"/>
      <c r="N46" s="14"/>
      <c r="O46" s="14"/>
      <c r="P46" s="14"/>
      <c r="Q46" s="14"/>
      <c r="R46" s="14"/>
      <c r="S46" s="14"/>
      <c r="T46" s="14"/>
      <c r="U46" s="14"/>
      <c r="V46" s="14"/>
      <c r="W46" s="14"/>
      <c r="X46" s="14"/>
      <c r="Y46" s="14"/>
      <c r="Z46" s="14"/>
      <c r="AA46" s="15"/>
      <c r="AB46" s="3"/>
      <c r="AC46" s="3"/>
      <c r="AD46" s="3"/>
      <c r="AE46" s="3"/>
      <c r="AF46" s="3"/>
      <c r="AG46" s="3"/>
      <c r="AH46" s="3"/>
      <c r="AI46" s="3"/>
      <c r="AJ46" s="3"/>
      <c r="AK46" s="3"/>
      <c r="AL46" s="3"/>
      <c r="AM46" s="3"/>
      <c r="AN46" s="3"/>
      <c r="AO46" s="3"/>
    </row>
    <row r="47" spans="1:41" x14ac:dyDescent="0.25">
      <c r="A47" s="171"/>
      <c r="B47" s="13"/>
      <c r="C47" s="39" t="s">
        <v>1570</v>
      </c>
      <c r="D47" s="40"/>
      <c r="E47" s="41"/>
      <c r="F47" s="134"/>
      <c r="G47" s="134"/>
      <c r="H47" s="14"/>
      <c r="I47" s="14"/>
      <c r="J47" s="14"/>
      <c r="K47" s="14"/>
      <c r="L47" s="14"/>
      <c r="M47" s="14"/>
      <c r="N47" s="14"/>
      <c r="O47" s="14"/>
      <c r="P47" s="14"/>
      <c r="Q47" s="14"/>
      <c r="R47" s="14"/>
      <c r="S47" s="14"/>
      <c r="T47" s="14"/>
      <c r="U47" s="14"/>
      <c r="V47" s="14"/>
      <c r="W47" s="14"/>
      <c r="X47" s="14"/>
      <c r="Y47" s="14"/>
      <c r="Z47" s="14"/>
      <c r="AA47" s="15"/>
      <c r="AB47" s="3"/>
      <c r="AC47" s="3"/>
      <c r="AD47" s="3"/>
      <c r="AE47" s="3"/>
      <c r="AF47" s="3"/>
      <c r="AG47" s="3"/>
      <c r="AH47" s="3"/>
      <c r="AI47" s="3"/>
      <c r="AJ47" s="3"/>
      <c r="AK47" s="3"/>
      <c r="AL47" s="3"/>
      <c r="AM47" s="3"/>
      <c r="AN47" s="3"/>
      <c r="AO47" s="3"/>
    </row>
    <row r="48" spans="1:41" ht="18.75" x14ac:dyDescent="0.3">
      <c r="A48" s="171"/>
      <c r="B48" s="67"/>
      <c r="C48" s="14"/>
      <c r="D48" s="14"/>
      <c r="E48" s="14"/>
      <c r="F48" s="134"/>
      <c r="G48" s="134"/>
      <c r="H48" s="14"/>
      <c r="I48" s="14"/>
      <c r="J48" s="14"/>
      <c r="K48" s="14"/>
      <c r="L48" s="14"/>
      <c r="M48" s="14"/>
      <c r="N48" s="14"/>
      <c r="O48" s="14"/>
      <c r="P48" s="14"/>
      <c r="Q48" s="14"/>
      <c r="R48" s="14"/>
      <c r="S48" s="14"/>
      <c r="T48" s="14"/>
      <c r="U48" s="14"/>
      <c r="V48" s="14"/>
      <c r="W48" s="14"/>
      <c r="X48" s="14"/>
      <c r="Y48" s="14"/>
      <c r="Z48" s="14"/>
      <c r="AA48" s="15"/>
      <c r="AB48" s="3"/>
      <c r="AC48" s="3"/>
      <c r="AD48" s="3"/>
      <c r="AE48" s="3"/>
      <c r="AF48" s="3"/>
      <c r="AG48" s="3"/>
      <c r="AH48" s="3"/>
      <c r="AI48" s="3"/>
      <c r="AJ48" s="3"/>
      <c r="AK48" s="3"/>
      <c r="AL48" s="3"/>
      <c r="AM48" s="3"/>
      <c r="AN48" s="3"/>
      <c r="AO48" s="3"/>
    </row>
    <row r="49" spans="1:41" x14ac:dyDescent="0.25">
      <c r="A49" s="171"/>
      <c r="B49" s="13"/>
      <c r="C49" s="32" t="s">
        <v>121</v>
      </c>
      <c r="D49" s="33"/>
      <c r="E49" s="34"/>
      <c r="F49" s="14"/>
      <c r="G49" s="14"/>
      <c r="H49" s="14"/>
      <c r="I49" s="14"/>
      <c r="J49" s="14"/>
      <c r="K49" s="14"/>
      <c r="L49" s="14"/>
      <c r="M49" s="14"/>
      <c r="N49" s="14"/>
      <c r="O49" s="14"/>
      <c r="P49" s="14"/>
      <c r="Q49" s="14"/>
      <c r="R49" s="14"/>
      <c r="S49" s="14"/>
      <c r="T49" s="14"/>
      <c r="U49" s="14"/>
      <c r="V49" s="14"/>
      <c r="W49" s="14"/>
      <c r="X49" s="14"/>
      <c r="Y49" s="14"/>
      <c r="Z49" s="14"/>
      <c r="AA49" s="15"/>
      <c r="AB49" s="3"/>
      <c r="AC49" s="3"/>
      <c r="AD49" s="3"/>
      <c r="AE49" s="3"/>
      <c r="AF49" s="3"/>
      <c r="AG49" s="3"/>
      <c r="AH49" s="3"/>
      <c r="AI49" s="3"/>
      <c r="AJ49" s="3"/>
      <c r="AK49" s="3"/>
      <c r="AL49" s="3"/>
      <c r="AM49" s="3"/>
      <c r="AN49" s="3"/>
      <c r="AO49" s="3"/>
    </row>
    <row r="50" spans="1:41" x14ac:dyDescent="0.25">
      <c r="A50" s="171"/>
      <c r="B50" s="13"/>
      <c r="C50" s="6"/>
      <c r="D50" s="348"/>
      <c r="E50" s="704"/>
      <c r="F50" s="14"/>
      <c r="G50" s="14"/>
      <c r="H50" s="14"/>
      <c r="I50" s="14"/>
      <c r="J50" s="14"/>
      <c r="K50" s="14"/>
      <c r="L50" s="14"/>
      <c r="M50" s="14"/>
      <c r="N50" s="14"/>
      <c r="O50" s="14"/>
      <c r="P50" s="14"/>
      <c r="Q50" s="14"/>
      <c r="R50" s="14"/>
      <c r="S50" s="14"/>
      <c r="T50" s="14"/>
      <c r="U50" s="14"/>
      <c r="V50" s="14"/>
      <c r="W50" s="14"/>
      <c r="X50" s="14"/>
      <c r="Y50" s="14"/>
      <c r="Z50" s="14"/>
      <c r="AA50" s="15"/>
      <c r="AB50" s="3"/>
      <c r="AC50" s="3"/>
      <c r="AD50" s="3"/>
      <c r="AE50" s="3"/>
      <c r="AF50" s="3"/>
      <c r="AG50" s="3"/>
      <c r="AH50" s="3"/>
      <c r="AI50" s="3"/>
      <c r="AJ50" s="3"/>
      <c r="AK50" s="3"/>
      <c r="AL50" s="3"/>
      <c r="AM50" s="3"/>
      <c r="AN50" s="3"/>
      <c r="AO50" s="3"/>
    </row>
    <row r="51" spans="1:41" x14ac:dyDescent="0.25">
      <c r="A51" s="171"/>
      <c r="B51" s="13"/>
      <c r="C51" s="6"/>
      <c r="D51" s="348"/>
      <c r="E51" s="705"/>
      <c r="F51" s="14"/>
      <c r="G51" s="14"/>
      <c r="H51" s="14"/>
      <c r="I51" s="14"/>
      <c r="J51" s="14"/>
      <c r="K51" s="14"/>
      <c r="L51" s="14"/>
      <c r="M51" s="14"/>
      <c r="N51" s="14"/>
      <c r="O51" s="14"/>
      <c r="P51" s="14"/>
      <c r="Q51" s="14"/>
      <c r="R51" s="14"/>
      <c r="S51" s="14"/>
      <c r="T51" s="14"/>
      <c r="U51" s="14"/>
      <c r="V51" s="14"/>
      <c r="W51" s="14"/>
      <c r="X51" s="14"/>
      <c r="Y51" s="14"/>
      <c r="Z51" s="14"/>
      <c r="AA51" s="15"/>
      <c r="AB51" s="3"/>
      <c r="AC51" s="3"/>
      <c r="AD51" s="3"/>
      <c r="AE51" s="3"/>
      <c r="AF51" s="3"/>
      <c r="AG51" s="3"/>
      <c r="AH51" s="3"/>
      <c r="AI51" s="3"/>
      <c r="AJ51" s="3"/>
      <c r="AK51" s="3"/>
      <c r="AL51" s="3"/>
      <c r="AM51" s="3"/>
      <c r="AN51" s="3"/>
      <c r="AO51" s="3"/>
    </row>
    <row r="52" spans="1:41" x14ac:dyDescent="0.25">
      <c r="A52" s="171"/>
      <c r="B52" s="13"/>
      <c r="C52" s="6"/>
      <c r="D52" s="348"/>
      <c r="E52" s="706"/>
      <c r="F52" s="14"/>
      <c r="G52" s="14"/>
      <c r="H52" s="14"/>
      <c r="I52" s="14"/>
      <c r="J52" s="14"/>
      <c r="K52" s="14"/>
      <c r="L52" s="14"/>
      <c r="M52" s="14"/>
      <c r="N52" s="14"/>
      <c r="O52" s="14"/>
      <c r="P52" s="14"/>
      <c r="Q52" s="14"/>
      <c r="R52" s="14"/>
      <c r="S52" s="14"/>
      <c r="T52" s="14"/>
      <c r="U52" s="14"/>
      <c r="V52" s="14"/>
      <c r="W52" s="14"/>
      <c r="X52" s="14"/>
      <c r="Y52" s="14"/>
      <c r="Z52" s="14"/>
      <c r="AA52" s="15"/>
      <c r="AB52" s="3"/>
      <c r="AC52" s="3"/>
      <c r="AD52" s="3"/>
      <c r="AE52" s="3"/>
      <c r="AF52" s="3"/>
      <c r="AG52" s="3"/>
      <c r="AH52" s="3"/>
      <c r="AI52" s="3"/>
      <c r="AJ52" s="3"/>
      <c r="AK52" s="3"/>
      <c r="AL52" s="3"/>
      <c r="AM52" s="3"/>
      <c r="AN52" s="3"/>
      <c r="AO52" s="3"/>
    </row>
    <row r="53" spans="1:41" x14ac:dyDescent="0.25">
      <c r="A53" s="171"/>
      <c r="B53" s="13"/>
      <c r="C53" s="6"/>
      <c r="D53" s="348"/>
      <c r="E53" s="1086"/>
      <c r="F53" s="14"/>
      <c r="G53" s="14"/>
      <c r="H53" s="14"/>
      <c r="I53" s="14"/>
      <c r="J53" s="14"/>
      <c r="K53" s="14"/>
      <c r="L53" s="14"/>
      <c r="M53" s="14"/>
      <c r="N53" s="14"/>
      <c r="O53" s="14"/>
      <c r="P53" s="14"/>
      <c r="Q53" s="14"/>
      <c r="R53" s="14"/>
      <c r="S53" s="14"/>
      <c r="T53" s="14"/>
      <c r="U53" s="14"/>
      <c r="V53" s="14"/>
      <c r="W53" s="14"/>
      <c r="X53" s="14"/>
      <c r="Y53" s="14"/>
      <c r="Z53" s="14"/>
      <c r="AA53" s="15"/>
      <c r="AB53" s="3"/>
      <c r="AC53" s="3"/>
      <c r="AD53" s="3"/>
      <c r="AE53" s="3"/>
      <c r="AF53" s="3"/>
      <c r="AG53" s="3"/>
      <c r="AH53" s="3"/>
      <c r="AI53" s="3"/>
      <c r="AJ53" s="3"/>
      <c r="AK53" s="3"/>
      <c r="AL53" s="3"/>
      <c r="AM53" s="3"/>
      <c r="AN53" s="3"/>
      <c r="AO53" s="3"/>
    </row>
    <row r="54" spans="1:41" x14ac:dyDescent="0.25">
      <c r="A54" s="171"/>
      <c r="B54" s="13"/>
      <c r="C54" s="6"/>
      <c r="D54" s="291"/>
      <c r="E54" s="1086"/>
      <c r="F54" s="14"/>
      <c r="G54" s="14"/>
      <c r="H54" s="14"/>
      <c r="I54" s="14"/>
      <c r="J54" s="14"/>
      <c r="K54" s="14"/>
      <c r="L54" s="14"/>
      <c r="M54" s="14"/>
      <c r="N54" s="14"/>
      <c r="O54" s="14"/>
      <c r="P54" s="14"/>
      <c r="Q54" s="14"/>
      <c r="R54" s="14"/>
      <c r="S54" s="14"/>
      <c r="T54" s="14"/>
      <c r="U54" s="14"/>
      <c r="V54" s="14"/>
      <c r="W54" s="14"/>
      <c r="X54" s="14"/>
      <c r="Y54" s="14"/>
      <c r="Z54" s="14"/>
      <c r="AA54" s="15"/>
      <c r="AB54" s="3"/>
      <c r="AC54" s="3"/>
      <c r="AD54" s="3"/>
      <c r="AE54" s="3"/>
      <c r="AF54" s="3"/>
      <c r="AG54" s="3"/>
      <c r="AH54" s="3"/>
      <c r="AI54" s="3"/>
      <c r="AJ54" s="3"/>
      <c r="AK54" s="3"/>
      <c r="AL54" s="3"/>
      <c r="AM54" s="3"/>
      <c r="AN54" s="3"/>
      <c r="AO54" s="3"/>
    </row>
    <row r="55" spans="1:41" x14ac:dyDescent="0.25">
      <c r="A55" s="171"/>
      <c r="B55" s="13"/>
      <c r="C55" s="36"/>
      <c r="D55" s="37"/>
      <c r="E55" s="1087"/>
      <c r="F55" s="14"/>
      <c r="G55" s="14"/>
      <c r="H55" s="14"/>
      <c r="I55" s="14"/>
      <c r="J55" s="14"/>
      <c r="K55" s="14"/>
      <c r="L55" s="14"/>
      <c r="M55" s="14"/>
      <c r="N55" s="14"/>
      <c r="O55" s="14"/>
      <c r="P55" s="14"/>
      <c r="Q55" s="14"/>
      <c r="R55" s="14"/>
      <c r="S55" s="14"/>
      <c r="T55" s="14"/>
      <c r="U55" s="14"/>
      <c r="V55" s="14"/>
      <c r="W55" s="14"/>
      <c r="X55" s="14"/>
      <c r="Y55" s="14"/>
      <c r="Z55" s="14"/>
      <c r="AA55" s="15"/>
      <c r="AB55" s="3"/>
      <c r="AC55" s="3"/>
      <c r="AD55" s="3"/>
      <c r="AE55" s="3"/>
      <c r="AF55" s="3"/>
      <c r="AG55" s="3"/>
      <c r="AH55" s="3"/>
      <c r="AI55" s="3"/>
      <c r="AJ55" s="3"/>
      <c r="AK55" s="3"/>
      <c r="AL55" s="3"/>
      <c r="AM55" s="3"/>
      <c r="AN55" s="3"/>
      <c r="AO55" s="3"/>
    </row>
    <row r="56" spans="1:41" x14ac:dyDescent="0.25">
      <c r="A56" s="171"/>
      <c r="B56" s="13"/>
      <c r="C56" s="5"/>
      <c r="D56" s="5"/>
      <c r="E56" s="5"/>
      <c r="F56" s="14"/>
      <c r="G56" s="14"/>
      <c r="H56" s="14"/>
      <c r="I56" s="14"/>
      <c r="J56" s="14"/>
      <c r="K56" s="14"/>
      <c r="L56" s="14"/>
      <c r="M56" s="14"/>
      <c r="N56" s="14"/>
      <c r="O56" s="14"/>
      <c r="P56" s="14"/>
      <c r="Q56" s="14"/>
      <c r="R56" s="14"/>
      <c r="S56" s="14"/>
      <c r="T56" s="14"/>
      <c r="U56" s="14"/>
      <c r="V56" s="14"/>
      <c r="W56" s="14"/>
      <c r="X56" s="14"/>
      <c r="Y56" s="14"/>
      <c r="Z56" s="14"/>
      <c r="AA56" s="15"/>
      <c r="AB56" s="3"/>
      <c r="AC56" s="3"/>
      <c r="AD56" s="3"/>
      <c r="AE56" s="3"/>
      <c r="AF56" s="3"/>
      <c r="AG56" s="3"/>
      <c r="AH56" s="3"/>
      <c r="AI56" s="3"/>
      <c r="AJ56" s="3"/>
      <c r="AK56" s="3"/>
      <c r="AL56" s="3"/>
      <c r="AM56" s="3"/>
      <c r="AN56" s="3"/>
      <c r="AO56" s="3"/>
    </row>
    <row r="57" spans="1:41" x14ac:dyDescent="0.25">
      <c r="A57" s="171"/>
      <c r="B57" s="13"/>
      <c r="C57" s="39" t="s">
        <v>1571</v>
      </c>
      <c r="D57" s="40"/>
      <c r="E57" s="41"/>
      <c r="F57" s="14"/>
      <c r="G57" s="14"/>
      <c r="H57" s="14"/>
      <c r="I57" s="14"/>
      <c r="J57" s="14"/>
      <c r="K57" s="14"/>
      <c r="L57" s="14"/>
      <c r="M57" s="14"/>
      <c r="N57" s="14"/>
      <c r="O57" s="14"/>
      <c r="P57" s="14"/>
      <c r="Q57" s="14"/>
      <c r="R57" s="14"/>
      <c r="S57" s="14"/>
      <c r="T57" s="14"/>
      <c r="U57" s="14"/>
      <c r="V57" s="14"/>
      <c r="W57" s="14"/>
      <c r="X57" s="14"/>
      <c r="Y57" s="14"/>
      <c r="Z57" s="14"/>
      <c r="AA57" s="15"/>
      <c r="AB57" s="3"/>
      <c r="AC57" s="3"/>
      <c r="AD57" s="3"/>
      <c r="AE57" s="3"/>
      <c r="AF57" s="3"/>
      <c r="AG57" s="3"/>
      <c r="AH57" s="3"/>
      <c r="AI57" s="3"/>
      <c r="AJ57" s="3"/>
      <c r="AK57" s="3"/>
      <c r="AL57" s="3"/>
      <c r="AM57" s="3"/>
      <c r="AN57" s="3"/>
      <c r="AO57" s="3"/>
    </row>
    <row r="58" spans="1:41" x14ac:dyDescent="0.25">
      <c r="A58" s="171"/>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5"/>
      <c r="AB58" s="3"/>
      <c r="AC58" s="3"/>
      <c r="AD58" s="3"/>
      <c r="AE58" s="3"/>
      <c r="AF58" s="3"/>
      <c r="AG58" s="3"/>
      <c r="AH58" s="3"/>
      <c r="AI58" s="3"/>
      <c r="AJ58" s="3"/>
      <c r="AK58" s="3"/>
      <c r="AL58" s="3"/>
      <c r="AM58" s="3"/>
      <c r="AN58" s="3"/>
      <c r="AO58" s="3"/>
    </row>
    <row r="59" spans="1:41" x14ac:dyDescent="0.25">
      <c r="A59" s="171"/>
      <c r="B59" s="13"/>
      <c r="C59" s="32" t="s">
        <v>121</v>
      </c>
      <c r="D59" s="33"/>
      <c r="E59" s="34">
        <f>E37</f>
        <v>2050</v>
      </c>
      <c r="F59" s="14"/>
      <c r="G59" s="14"/>
      <c r="H59" s="14"/>
      <c r="I59" s="14"/>
      <c r="J59" s="14"/>
      <c r="K59" s="14"/>
      <c r="L59" s="14"/>
      <c r="M59" s="14"/>
      <c r="N59" s="14"/>
      <c r="O59" s="14"/>
      <c r="P59" s="14"/>
      <c r="Q59" s="14"/>
      <c r="R59" s="14"/>
      <c r="S59" s="14"/>
      <c r="T59" s="14"/>
      <c r="U59" s="14"/>
      <c r="V59" s="14"/>
      <c r="W59" s="14"/>
      <c r="X59" s="14"/>
      <c r="Y59" s="14"/>
      <c r="Z59" s="14"/>
      <c r="AA59" s="15"/>
      <c r="AB59" s="3"/>
      <c r="AC59" s="3"/>
      <c r="AD59" s="3"/>
      <c r="AE59" s="3"/>
      <c r="AF59" s="3"/>
      <c r="AG59" s="3"/>
      <c r="AH59" s="3"/>
      <c r="AI59" s="3"/>
      <c r="AJ59" s="3"/>
      <c r="AK59" s="3"/>
      <c r="AL59" s="3"/>
      <c r="AM59" s="3"/>
      <c r="AN59" s="3"/>
      <c r="AO59" s="3"/>
    </row>
    <row r="60" spans="1:41" x14ac:dyDescent="0.25">
      <c r="A60" s="171"/>
      <c r="B60" s="13"/>
      <c r="C60" s="6" t="s">
        <v>1572</v>
      </c>
      <c r="D60" s="348" t="s">
        <v>1573</v>
      </c>
      <c r="E60" s="1174">
        <f>IF(E7,E14*(E26+E27),0)/1000</f>
        <v>32737.608</v>
      </c>
      <c r="F60" s="14"/>
      <c r="G60" s="14"/>
      <c r="H60" s="14"/>
      <c r="I60" s="14"/>
      <c r="J60" s="14"/>
      <c r="K60" s="14"/>
      <c r="L60" s="14"/>
      <c r="M60" s="14"/>
      <c r="N60" s="14"/>
      <c r="O60" s="14"/>
      <c r="P60" s="14"/>
      <c r="Q60" s="14"/>
      <c r="R60" s="14"/>
      <c r="S60" s="14"/>
      <c r="T60" s="14"/>
      <c r="U60" s="14"/>
      <c r="V60" s="14"/>
      <c r="W60" s="14"/>
      <c r="X60" s="14"/>
      <c r="Y60" s="14"/>
      <c r="Z60" s="14"/>
      <c r="AA60" s="15"/>
      <c r="AB60" s="3"/>
      <c r="AC60" s="3"/>
      <c r="AD60" s="3"/>
      <c r="AE60" s="3"/>
      <c r="AF60" s="3"/>
      <c r="AG60" s="3"/>
      <c r="AH60" s="3"/>
      <c r="AI60" s="3"/>
      <c r="AJ60" s="3"/>
      <c r="AK60" s="3"/>
      <c r="AL60" s="3"/>
      <c r="AM60" s="3"/>
      <c r="AN60" s="3"/>
      <c r="AO60" s="3"/>
    </row>
    <row r="61" spans="1:41" ht="15" customHeight="1" x14ac:dyDescent="0.3">
      <c r="A61" s="171"/>
      <c r="B61" s="67"/>
      <c r="C61" s="6" t="s">
        <v>1574</v>
      </c>
      <c r="D61" s="348" t="s">
        <v>1573</v>
      </c>
      <c r="E61" s="1174">
        <f>IF(E8,0,0)/1000</f>
        <v>0</v>
      </c>
      <c r="F61" s="14"/>
      <c r="G61" s="14"/>
      <c r="H61" s="14"/>
      <c r="I61" s="14"/>
      <c r="J61" s="14"/>
      <c r="K61" s="14"/>
      <c r="L61" s="14"/>
      <c r="M61" s="14"/>
      <c r="N61" s="14"/>
      <c r="O61" s="14"/>
      <c r="P61" s="14"/>
      <c r="Q61" s="14"/>
      <c r="R61" s="14"/>
      <c r="S61" s="14"/>
      <c r="T61" s="14"/>
      <c r="U61" s="14"/>
      <c r="V61" s="14"/>
      <c r="W61" s="14"/>
      <c r="X61" s="14"/>
      <c r="Y61" s="14"/>
      <c r="Z61" s="14"/>
      <c r="AA61" s="15"/>
      <c r="AB61" s="3"/>
      <c r="AC61" s="3"/>
      <c r="AD61" s="3"/>
      <c r="AE61" s="3"/>
      <c r="AF61" s="3"/>
      <c r="AG61" s="3"/>
      <c r="AH61" s="3"/>
      <c r="AI61" s="3"/>
      <c r="AJ61" s="3"/>
      <c r="AK61" s="3"/>
      <c r="AL61" s="3"/>
      <c r="AM61" s="3"/>
      <c r="AN61" s="3"/>
      <c r="AO61" s="3"/>
    </row>
    <row r="62" spans="1:41" x14ac:dyDescent="0.25">
      <c r="A62" s="171"/>
      <c r="B62" s="13"/>
      <c r="C62" s="6" t="s">
        <v>1575</v>
      </c>
      <c r="D62" s="348" t="s">
        <v>1573</v>
      </c>
      <c r="E62" s="115">
        <f>IF(E9,E16*E36,0)/1000</f>
        <v>7232.9545454545596</v>
      </c>
      <c r="F62" s="14"/>
      <c r="G62" s="14"/>
      <c r="H62" s="14"/>
      <c r="I62" s="14"/>
      <c r="J62" s="14"/>
      <c r="K62" s="14"/>
      <c r="L62" s="14"/>
      <c r="M62" s="14"/>
      <c r="N62" s="14"/>
      <c r="O62" s="14"/>
      <c r="P62" s="14"/>
      <c r="Q62" s="14"/>
      <c r="R62" s="14"/>
      <c r="S62" s="14"/>
      <c r="T62" s="14"/>
      <c r="U62" s="14"/>
      <c r="V62" s="14"/>
      <c r="W62" s="14"/>
      <c r="X62" s="14"/>
      <c r="Y62" s="14"/>
      <c r="Z62" s="14"/>
      <c r="AA62" s="15"/>
      <c r="AB62" s="3"/>
      <c r="AC62" s="3"/>
      <c r="AD62" s="3"/>
      <c r="AE62" s="3"/>
      <c r="AF62" s="3"/>
      <c r="AG62" s="3"/>
      <c r="AH62" s="3"/>
      <c r="AI62" s="3"/>
      <c r="AJ62" s="3"/>
      <c r="AK62" s="3"/>
      <c r="AL62" s="3"/>
      <c r="AM62" s="3"/>
      <c r="AN62" s="3"/>
      <c r="AO62" s="3"/>
    </row>
    <row r="63" spans="1:41" x14ac:dyDescent="0.25">
      <c r="A63" s="171"/>
      <c r="B63" s="13"/>
      <c r="C63" s="6" t="str">
        <f>C17</f>
        <v>Onshore disposal, remidiation and monitoring</v>
      </c>
      <c r="D63" s="348" t="s">
        <v>1573</v>
      </c>
      <c r="E63" s="1174">
        <f>E60*(E17/E19)+E61*(E17/E20)+E62*(E17/E21)</f>
        <v>4323.3598528138546</v>
      </c>
      <c r="F63" s="14"/>
      <c r="G63" s="14"/>
      <c r="H63" s="14"/>
      <c r="I63" s="14"/>
      <c r="J63" s="14"/>
      <c r="K63" s="14"/>
      <c r="L63" s="14"/>
      <c r="M63" s="14"/>
      <c r="N63" s="14"/>
      <c r="O63" s="14"/>
      <c r="P63" s="14"/>
      <c r="Q63" s="14"/>
      <c r="R63" s="14"/>
      <c r="S63" s="14"/>
      <c r="T63" s="14"/>
      <c r="U63" s="14"/>
      <c r="V63" s="14"/>
      <c r="W63" s="14"/>
      <c r="X63" s="14"/>
      <c r="Y63" s="14"/>
      <c r="Z63" s="14"/>
      <c r="AA63" s="15"/>
      <c r="AB63" s="3"/>
      <c r="AC63" s="3"/>
      <c r="AD63" s="3"/>
      <c r="AE63" s="3"/>
      <c r="AF63" s="3"/>
      <c r="AG63" s="3"/>
      <c r="AH63" s="3"/>
      <c r="AI63" s="3"/>
      <c r="AJ63" s="3"/>
      <c r="AK63" s="3"/>
      <c r="AL63" s="3"/>
      <c r="AM63" s="3"/>
      <c r="AN63" s="3"/>
      <c r="AO63" s="3"/>
    </row>
    <row r="64" spans="1:41" x14ac:dyDescent="0.25">
      <c r="A64" s="171"/>
      <c r="B64" s="13"/>
      <c r="C64" s="6" t="str">
        <f>C18</f>
        <v>Project managment and facility running cost</v>
      </c>
      <c r="D64" s="291" t="s">
        <v>1573</v>
      </c>
      <c r="E64" s="1174">
        <f>E60*(E18/E19)+E61*(E18/E20)+E62*(E18/E21)</f>
        <v>34586.878822510836</v>
      </c>
      <c r="F64" s="14"/>
      <c r="G64" s="14"/>
      <c r="H64" s="14"/>
      <c r="I64" s="14"/>
      <c r="J64" s="14"/>
      <c r="K64" s="14"/>
      <c r="L64" s="14"/>
      <c r="M64" s="14"/>
      <c r="N64" s="14"/>
      <c r="O64" s="14"/>
      <c r="P64" s="14"/>
      <c r="Q64" s="14"/>
      <c r="R64" s="14"/>
      <c r="S64" s="14"/>
      <c r="T64" s="14"/>
      <c r="U64" s="14"/>
      <c r="V64" s="14"/>
      <c r="W64" s="14"/>
      <c r="X64" s="14"/>
      <c r="Y64" s="14"/>
      <c r="Z64" s="14"/>
      <c r="AA64" s="15"/>
      <c r="AB64" s="3"/>
      <c r="AC64" s="3"/>
      <c r="AD64" s="3"/>
      <c r="AE64" s="3"/>
      <c r="AF64" s="3"/>
      <c r="AG64" s="3"/>
      <c r="AH64" s="3"/>
      <c r="AI64" s="3"/>
      <c r="AJ64" s="3"/>
      <c r="AK64" s="3"/>
      <c r="AL64" s="3"/>
      <c r="AM64" s="3"/>
      <c r="AN64" s="3"/>
      <c r="AO64" s="3"/>
    </row>
    <row r="65" spans="1:41" x14ac:dyDescent="0.25">
      <c r="A65" s="171"/>
      <c r="B65" s="13"/>
      <c r="C65" s="36" t="s">
        <v>1580</v>
      </c>
      <c r="D65" s="37" t="s">
        <v>1573</v>
      </c>
      <c r="E65" s="1175">
        <f>SUM(E60:E64)</f>
        <v>78880.801220779249</v>
      </c>
      <c r="F65" s="14"/>
      <c r="G65" s="14"/>
      <c r="H65" s="14"/>
      <c r="I65" s="14"/>
      <c r="J65" s="14"/>
      <c r="K65" s="14"/>
      <c r="L65" s="14"/>
      <c r="M65" s="14"/>
      <c r="N65" s="14"/>
      <c r="O65" s="14"/>
      <c r="P65" s="14"/>
      <c r="Q65" s="14"/>
      <c r="R65" s="14"/>
      <c r="S65" s="14"/>
      <c r="T65" s="14"/>
      <c r="U65" s="14"/>
      <c r="V65" s="14"/>
      <c r="W65" s="14"/>
      <c r="X65" s="14"/>
      <c r="Y65" s="14"/>
      <c r="Z65" s="14"/>
      <c r="AA65" s="15"/>
      <c r="AB65" s="3"/>
      <c r="AC65" s="3"/>
      <c r="AD65" s="3"/>
      <c r="AE65" s="3"/>
      <c r="AF65" s="3"/>
      <c r="AG65" s="3"/>
      <c r="AH65" s="3"/>
      <c r="AI65" s="3"/>
      <c r="AJ65" s="3"/>
      <c r="AK65" s="3"/>
      <c r="AL65" s="3"/>
      <c r="AM65" s="3"/>
      <c r="AN65" s="3"/>
      <c r="AO65" s="3"/>
    </row>
    <row r="66" spans="1:41" x14ac:dyDescent="0.25">
      <c r="A66" s="171"/>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5"/>
      <c r="AB66" s="3"/>
      <c r="AC66" s="3"/>
      <c r="AD66" s="3"/>
      <c r="AE66" s="3"/>
      <c r="AF66" s="3"/>
      <c r="AG66" s="3"/>
      <c r="AH66" s="3"/>
      <c r="AI66" s="3"/>
      <c r="AJ66" s="3"/>
      <c r="AK66" s="3"/>
      <c r="AL66" s="3"/>
      <c r="AM66" s="3"/>
      <c r="AN66" s="3"/>
      <c r="AO66" s="3"/>
    </row>
    <row r="67" spans="1:41" x14ac:dyDescent="0.25">
      <c r="A67" s="171"/>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5"/>
      <c r="AB67" s="3"/>
      <c r="AC67" s="3"/>
      <c r="AD67" s="3"/>
      <c r="AE67" s="3"/>
      <c r="AF67" s="3"/>
      <c r="AG67" s="3"/>
      <c r="AH67" s="3"/>
      <c r="AI67" s="3"/>
      <c r="AJ67" s="3"/>
      <c r="AK67" s="3"/>
      <c r="AL67" s="3"/>
      <c r="AM67" s="3"/>
      <c r="AN67" s="3"/>
      <c r="AO67" s="3"/>
    </row>
    <row r="68" spans="1:41" x14ac:dyDescent="0.25">
      <c r="A68" s="171"/>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5"/>
      <c r="AB68" s="3"/>
      <c r="AC68" s="3"/>
      <c r="AD68" s="3"/>
      <c r="AE68" s="3"/>
      <c r="AF68" s="3"/>
      <c r="AG68" s="3"/>
      <c r="AH68" s="3"/>
      <c r="AI68" s="3"/>
      <c r="AJ68" s="3"/>
      <c r="AK68" s="3"/>
      <c r="AL68" s="3"/>
      <c r="AM68" s="3"/>
      <c r="AN68" s="3"/>
      <c r="AO68" s="3"/>
    </row>
    <row r="69" spans="1:41" x14ac:dyDescent="0.25">
      <c r="A69" s="171"/>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5"/>
      <c r="AB69" s="3"/>
      <c r="AC69" s="3"/>
      <c r="AD69" s="3"/>
      <c r="AE69" s="3"/>
      <c r="AF69" s="3"/>
      <c r="AG69" s="3"/>
      <c r="AH69" s="3"/>
      <c r="AI69" s="3"/>
      <c r="AJ69" s="3"/>
      <c r="AK69" s="3"/>
      <c r="AL69" s="3"/>
      <c r="AM69" s="3"/>
      <c r="AN69" s="3"/>
      <c r="AO69" s="3"/>
    </row>
    <row r="70" spans="1:41" x14ac:dyDescent="0.25">
      <c r="A70" s="171"/>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5"/>
      <c r="AB70" s="3"/>
      <c r="AC70" s="3"/>
      <c r="AD70" s="3"/>
      <c r="AE70" s="3"/>
      <c r="AF70" s="3"/>
      <c r="AG70" s="3"/>
      <c r="AH70" s="3"/>
      <c r="AI70" s="3"/>
      <c r="AJ70" s="3"/>
      <c r="AK70" s="3"/>
      <c r="AL70" s="3"/>
      <c r="AM70" s="3"/>
      <c r="AN70" s="3"/>
      <c r="AO70" s="3"/>
    </row>
    <row r="71" spans="1:41" x14ac:dyDescent="0.25">
      <c r="A71" s="171"/>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5"/>
      <c r="AB71" s="3"/>
      <c r="AC71" s="3"/>
      <c r="AD71" s="3"/>
      <c r="AE71" s="3"/>
      <c r="AF71" s="3"/>
      <c r="AG71" s="3"/>
      <c r="AH71" s="3"/>
      <c r="AI71" s="3"/>
      <c r="AJ71" s="3"/>
      <c r="AK71" s="3"/>
      <c r="AL71" s="3"/>
      <c r="AM71" s="3"/>
      <c r="AN71" s="3"/>
      <c r="AO71" s="3"/>
    </row>
    <row r="72" spans="1:41" x14ac:dyDescent="0.25">
      <c r="A72" s="171"/>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5"/>
      <c r="AB72" s="3"/>
      <c r="AC72" s="3"/>
      <c r="AD72" s="3"/>
      <c r="AE72" s="3"/>
      <c r="AF72" s="3"/>
      <c r="AG72" s="3"/>
      <c r="AH72" s="3"/>
      <c r="AI72" s="3"/>
      <c r="AJ72" s="3"/>
      <c r="AK72" s="3"/>
      <c r="AL72" s="3"/>
      <c r="AM72" s="3"/>
      <c r="AN72" s="3"/>
      <c r="AO72" s="3"/>
    </row>
    <row r="73" spans="1:41" x14ac:dyDescent="0.25">
      <c r="A73" s="171"/>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5"/>
      <c r="AB73" s="3"/>
      <c r="AC73" s="3"/>
      <c r="AD73" s="3"/>
      <c r="AE73" s="3"/>
      <c r="AF73" s="3"/>
      <c r="AG73" s="3"/>
      <c r="AH73" s="3"/>
      <c r="AI73" s="3"/>
      <c r="AJ73" s="3"/>
      <c r="AK73" s="3"/>
      <c r="AL73" s="3"/>
      <c r="AM73" s="3"/>
      <c r="AN73" s="3"/>
      <c r="AO73" s="3"/>
    </row>
    <row r="74" spans="1:41" x14ac:dyDescent="0.25">
      <c r="A74" s="171"/>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5"/>
      <c r="AB74" s="3"/>
      <c r="AC74" s="3"/>
      <c r="AD74" s="3"/>
      <c r="AE74" s="3"/>
      <c r="AF74" s="3"/>
      <c r="AG74" s="3"/>
      <c r="AH74" s="3"/>
      <c r="AI74" s="3"/>
      <c r="AJ74" s="3"/>
      <c r="AK74" s="3"/>
      <c r="AL74" s="3"/>
      <c r="AM74" s="3"/>
      <c r="AN74" s="3"/>
      <c r="AO74" s="3"/>
    </row>
    <row r="75" spans="1:41" x14ac:dyDescent="0.25">
      <c r="A75" s="171"/>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5"/>
      <c r="AB75" s="3"/>
      <c r="AC75" s="3"/>
      <c r="AD75" s="3"/>
      <c r="AE75" s="3"/>
      <c r="AF75" s="3"/>
      <c r="AG75" s="3"/>
      <c r="AH75" s="3"/>
      <c r="AI75" s="3"/>
      <c r="AJ75" s="3"/>
      <c r="AK75" s="3"/>
      <c r="AL75" s="3"/>
      <c r="AM75" s="3"/>
      <c r="AN75" s="3"/>
      <c r="AO75" s="3"/>
    </row>
    <row r="76" spans="1:41" x14ac:dyDescent="0.25">
      <c r="A76" s="171"/>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5"/>
      <c r="AB76" s="3"/>
      <c r="AC76" s="3"/>
      <c r="AD76" s="3"/>
      <c r="AE76" s="3"/>
      <c r="AF76" s="3"/>
      <c r="AG76" s="3"/>
      <c r="AH76" s="3"/>
      <c r="AI76" s="3"/>
      <c r="AJ76" s="3"/>
      <c r="AK76" s="3"/>
      <c r="AL76" s="3"/>
      <c r="AM76" s="3"/>
      <c r="AN76" s="3"/>
      <c r="AO76" s="3"/>
    </row>
    <row r="77" spans="1:41" x14ac:dyDescent="0.25">
      <c r="A77" s="171"/>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5"/>
      <c r="AB77" s="3"/>
      <c r="AC77" s="3"/>
      <c r="AD77" s="3"/>
      <c r="AE77" s="3"/>
      <c r="AF77" s="3"/>
      <c r="AG77" s="3"/>
      <c r="AH77" s="3"/>
      <c r="AI77" s="3"/>
      <c r="AJ77" s="3"/>
      <c r="AK77" s="3"/>
      <c r="AL77" s="3"/>
      <c r="AM77" s="3"/>
      <c r="AN77" s="3"/>
      <c r="AO77" s="3"/>
    </row>
    <row r="78" spans="1:41" x14ac:dyDescent="0.25">
      <c r="A78" s="171"/>
      <c r="B78" s="13"/>
      <c r="C78" s="135"/>
      <c r="D78" s="14"/>
      <c r="E78" s="14"/>
      <c r="F78" s="14"/>
      <c r="G78" s="14"/>
      <c r="H78" s="14"/>
      <c r="I78" s="14"/>
      <c r="J78" s="14"/>
      <c r="K78" s="14"/>
      <c r="L78" s="14"/>
      <c r="M78" s="14"/>
      <c r="N78" s="14"/>
      <c r="O78" s="14"/>
      <c r="P78" s="14"/>
      <c r="Q78" s="14"/>
      <c r="R78" s="14"/>
      <c r="S78" s="14"/>
      <c r="T78" s="14"/>
      <c r="U78" s="14"/>
      <c r="V78" s="14"/>
      <c r="W78" s="14"/>
      <c r="X78" s="14"/>
      <c r="Y78" s="14"/>
      <c r="Z78" s="14"/>
      <c r="AA78" s="15"/>
      <c r="AB78" s="3"/>
      <c r="AC78" s="3"/>
      <c r="AD78" s="3"/>
      <c r="AE78" s="3"/>
      <c r="AF78" s="3"/>
      <c r="AG78" s="3"/>
      <c r="AH78" s="3"/>
      <c r="AI78" s="3"/>
      <c r="AJ78" s="3"/>
      <c r="AK78" s="3"/>
      <c r="AL78" s="3"/>
      <c r="AM78" s="3"/>
      <c r="AN78" s="3"/>
      <c r="AO78" s="3"/>
    </row>
    <row r="79" spans="1:41" x14ac:dyDescent="0.25">
      <c r="A79" s="171"/>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5"/>
      <c r="AB79" s="3"/>
      <c r="AC79" s="3"/>
      <c r="AD79" s="3"/>
      <c r="AE79" s="3"/>
      <c r="AF79" s="3"/>
      <c r="AG79" s="3"/>
      <c r="AH79" s="3"/>
      <c r="AI79" s="3"/>
      <c r="AJ79" s="3"/>
      <c r="AK79" s="3"/>
      <c r="AL79" s="3"/>
      <c r="AM79" s="3"/>
      <c r="AN79" s="3"/>
      <c r="AO79" s="3"/>
    </row>
    <row r="80" spans="1:41" x14ac:dyDescent="0.25">
      <c r="A80" s="171"/>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5"/>
      <c r="AB80" s="3"/>
      <c r="AC80" s="3"/>
      <c r="AD80" s="3"/>
      <c r="AE80" s="3"/>
      <c r="AF80" s="3"/>
      <c r="AG80" s="3"/>
      <c r="AH80" s="3"/>
      <c r="AI80" s="3"/>
      <c r="AJ80" s="3"/>
      <c r="AK80" s="3"/>
      <c r="AL80" s="3"/>
      <c r="AM80" s="3"/>
      <c r="AN80" s="3"/>
      <c r="AO80" s="3"/>
    </row>
    <row r="81" spans="1:41" x14ac:dyDescent="0.25">
      <c r="A81" s="171"/>
      <c r="B81" s="13"/>
      <c r="C81" s="135"/>
      <c r="D81" s="14"/>
      <c r="E81" s="14"/>
      <c r="F81" s="14"/>
      <c r="G81" s="14"/>
      <c r="H81" s="14"/>
      <c r="I81" s="14"/>
      <c r="J81" s="14"/>
      <c r="K81" s="14"/>
      <c r="L81" s="14"/>
      <c r="M81" s="14"/>
      <c r="N81" s="14"/>
      <c r="O81" s="14"/>
      <c r="P81" s="14"/>
      <c r="Q81" s="14"/>
      <c r="R81" s="14"/>
      <c r="S81" s="14"/>
      <c r="T81" s="14"/>
      <c r="U81" s="14"/>
      <c r="V81" s="14"/>
      <c r="W81" s="14"/>
      <c r="X81" s="14"/>
      <c r="Y81" s="14"/>
      <c r="Z81" s="14"/>
      <c r="AA81" s="15"/>
      <c r="AB81" s="3"/>
      <c r="AC81" s="3"/>
      <c r="AD81" s="3"/>
      <c r="AE81" s="3"/>
      <c r="AF81" s="3"/>
      <c r="AG81" s="3"/>
      <c r="AH81" s="3"/>
      <c r="AI81" s="3"/>
      <c r="AJ81" s="3"/>
      <c r="AK81" s="3"/>
      <c r="AL81" s="3"/>
      <c r="AM81" s="3"/>
      <c r="AN81" s="3"/>
      <c r="AO81" s="3"/>
    </row>
    <row r="82" spans="1:41" ht="18.75" x14ac:dyDescent="0.3">
      <c r="A82" s="171"/>
      <c r="B82" s="67"/>
      <c r="C82" s="14"/>
      <c r="D82" s="60"/>
      <c r="E82" s="56"/>
      <c r="F82" s="56"/>
      <c r="G82" s="14"/>
      <c r="H82" s="56"/>
      <c r="I82" s="74"/>
      <c r="J82" s="14"/>
      <c r="K82" s="14"/>
      <c r="L82" s="14"/>
      <c r="M82" s="14"/>
      <c r="N82" s="14"/>
      <c r="O82" s="14"/>
      <c r="P82" s="14"/>
      <c r="Q82" s="14"/>
      <c r="R82" s="14"/>
      <c r="S82" s="14"/>
      <c r="T82" s="14"/>
      <c r="U82" s="14"/>
      <c r="V82" s="14"/>
      <c r="W82" s="14"/>
      <c r="X82" s="14"/>
      <c r="Y82" s="14"/>
      <c r="Z82" s="14"/>
      <c r="AA82" s="15"/>
      <c r="AB82" s="3"/>
      <c r="AC82" s="3"/>
      <c r="AD82" s="3"/>
      <c r="AE82" s="3"/>
      <c r="AF82" s="3"/>
      <c r="AG82" s="3"/>
      <c r="AH82" s="3"/>
      <c r="AI82" s="3"/>
      <c r="AJ82" s="3"/>
      <c r="AK82" s="3"/>
      <c r="AL82" s="3"/>
      <c r="AM82" s="3"/>
      <c r="AN82" s="3"/>
      <c r="AO82" s="3"/>
    </row>
    <row r="83" spans="1:41" x14ac:dyDescent="0.25">
      <c r="A83" s="171"/>
      <c r="B83" s="13"/>
      <c r="C83" s="14"/>
      <c r="D83" s="14"/>
      <c r="E83" s="56"/>
      <c r="F83" s="56"/>
      <c r="G83" s="14"/>
      <c r="H83" s="56"/>
      <c r="I83" s="14"/>
      <c r="J83" s="14"/>
      <c r="K83" s="14"/>
      <c r="L83" s="14"/>
      <c r="M83" s="14"/>
      <c r="N83" s="14"/>
      <c r="O83" s="14"/>
      <c r="P83" s="14"/>
      <c r="Q83" s="14"/>
      <c r="R83" s="14"/>
      <c r="S83" s="14"/>
      <c r="T83" s="14"/>
      <c r="U83" s="14"/>
      <c r="V83" s="14"/>
      <c r="W83" s="14"/>
      <c r="X83" s="14"/>
      <c r="Y83" s="14"/>
      <c r="Z83" s="14"/>
      <c r="AA83" s="15"/>
      <c r="AB83" s="3"/>
      <c r="AC83" s="3"/>
      <c r="AD83" s="3"/>
      <c r="AE83" s="3"/>
      <c r="AF83" s="3"/>
      <c r="AG83" s="3"/>
      <c r="AH83" s="3"/>
      <c r="AI83" s="3"/>
      <c r="AJ83" s="3"/>
      <c r="AK83" s="3"/>
      <c r="AL83" s="3"/>
      <c r="AM83" s="3"/>
      <c r="AN83" s="3"/>
      <c r="AO83" s="3"/>
    </row>
    <row r="84" spans="1:41" x14ac:dyDescent="0.25">
      <c r="A84" s="171"/>
      <c r="B84" s="13"/>
      <c r="C84" s="136"/>
      <c r="D84" s="60"/>
      <c r="E84" s="56"/>
      <c r="F84" s="56"/>
      <c r="G84" s="57"/>
      <c r="H84" s="14"/>
      <c r="I84" s="14"/>
      <c r="J84" s="14"/>
      <c r="K84" s="14"/>
      <c r="L84" s="14"/>
      <c r="M84" s="14"/>
      <c r="N84" s="14"/>
      <c r="O84" s="14"/>
      <c r="P84" s="14"/>
      <c r="Q84" s="14"/>
      <c r="R84" s="14"/>
      <c r="S84" s="14"/>
      <c r="T84" s="14"/>
      <c r="U84" s="14"/>
      <c r="V84" s="14"/>
      <c r="W84" s="14"/>
      <c r="X84" s="14"/>
      <c r="Y84" s="14"/>
      <c r="Z84" s="14"/>
      <c r="AA84" s="15"/>
      <c r="AB84" s="3"/>
      <c r="AC84" s="3"/>
      <c r="AD84" s="3"/>
      <c r="AE84" s="3"/>
      <c r="AF84" s="3"/>
      <c r="AG84" s="3"/>
      <c r="AH84" s="3"/>
      <c r="AI84" s="3"/>
      <c r="AJ84" s="3"/>
      <c r="AK84" s="3"/>
      <c r="AL84" s="3"/>
      <c r="AM84" s="3"/>
      <c r="AN84" s="3"/>
      <c r="AO84" s="3"/>
    </row>
    <row r="85" spans="1:41" x14ac:dyDescent="0.25">
      <c r="A85" s="171"/>
      <c r="B85" s="13"/>
      <c r="C85" s="14"/>
      <c r="D85" s="60"/>
      <c r="E85" s="56"/>
      <c r="F85" s="56"/>
      <c r="G85" s="128"/>
      <c r="H85" s="56"/>
      <c r="I85" s="14"/>
      <c r="J85" s="14"/>
      <c r="K85" s="14"/>
      <c r="L85" s="14"/>
      <c r="M85" s="14"/>
      <c r="N85" s="14"/>
      <c r="O85" s="14"/>
      <c r="P85" s="14"/>
      <c r="Q85" s="14"/>
      <c r="R85" s="14"/>
      <c r="S85" s="14"/>
      <c r="T85" s="14"/>
      <c r="U85" s="14"/>
      <c r="V85" s="14"/>
      <c r="W85" s="14"/>
      <c r="X85" s="14"/>
      <c r="Y85" s="14"/>
      <c r="Z85" s="14"/>
      <c r="AA85" s="15"/>
      <c r="AB85" s="3"/>
      <c r="AC85" s="3"/>
      <c r="AD85" s="3"/>
      <c r="AE85" s="3"/>
      <c r="AF85" s="3"/>
      <c r="AG85" s="3"/>
      <c r="AH85" s="3"/>
      <c r="AI85" s="3"/>
      <c r="AJ85" s="3"/>
      <c r="AK85" s="3"/>
      <c r="AL85" s="3"/>
      <c r="AM85" s="3"/>
      <c r="AN85" s="3"/>
      <c r="AO85" s="3"/>
    </row>
    <row r="86" spans="1:41" x14ac:dyDescent="0.25">
      <c r="A86" s="171"/>
      <c r="B86" s="13"/>
      <c r="C86" s="14"/>
      <c r="D86" s="60"/>
      <c r="E86" s="56"/>
      <c r="F86" s="56"/>
      <c r="G86" s="14"/>
      <c r="H86" s="56"/>
      <c r="I86" s="14"/>
      <c r="J86" s="14"/>
      <c r="K86" s="14"/>
      <c r="L86" s="14"/>
      <c r="M86" s="14"/>
      <c r="N86" s="14"/>
      <c r="O86" s="14"/>
      <c r="P86" s="14"/>
      <c r="Q86" s="14"/>
      <c r="R86" s="14"/>
      <c r="S86" s="14"/>
      <c r="T86" s="14"/>
      <c r="U86" s="14"/>
      <c r="V86" s="14"/>
      <c r="W86" s="14"/>
      <c r="X86" s="14"/>
      <c r="Y86" s="14"/>
      <c r="Z86" s="14"/>
      <c r="AA86" s="15"/>
      <c r="AB86" s="3"/>
      <c r="AC86" s="3"/>
      <c r="AD86" s="3"/>
      <c r="AE86" s="3"/>
      <c r="AF86" s="3"/>
      <c r="AG86" s="3"/>
      <c r="AH86" s="3"/>
      <c r="AI86" s="3"/>
      <c r="AJ86" s="3"/>
      <c r="AK86" s="3"/>
      <c r="AL86" s="3"/>
      <c r="AM86" s="3"/>
      <c r="AN86" s="3"/>
      <c r="AO86" s="3"/>
    </row>
    <row r="87" spans="1:41" x14ac:dyDescent="0.25">
      <c r="A87" s="171"/>
      <c r="B87" s="13"/>
      <c r="C87" s="14"/>
      <c r="D87" s="60"/>
      <c r="E87" s="56"/>
      <c r="F87" s="56"/>
      <c r="G87" s="14"/>
      <c r="H87" s="56"/>
      <c r="I87" s="14"/>
      <c r="J87" s="14"/>
      <c r="K87" s="14"/>
      <c r="L87" s="14"/>
      <c r="M87" s="14"/>
      <c r="N87" s="14"/>
      <c r="O87" s="14"/>
      <c r="P87" s="14"/>
      <c r="Q87" s="14"/>
      <c r="R87" s="14"/>
      <c r="S87" s="14"/>
      <c r="T87" s="14"/>
      <c r="U87" s="14"/>
      <c r="V87" s="14"/>
      <c r="W87" s="14"/>
      <c r="X87" s="14"/>
      <c r="Y87" s="14"/>
      <c r="Z87" s="14"/>
      <c r="AA87" s="15"/>
      <c r="AB87" s="3"/>
      <c r="AC87" s="3"/>
      <c r="AD87" s="3"/>
      <c r="AE87" s="3"/>
      <c r="AF87" s="3"/>
      <c r="AG87" s="3"/>
      <c r="AH87" s="3"/>
      <c r="AI87" s="3"/>
      <c r="AJ87" s="3"/>
      <c r="AK87" s="3"/>
      <c r="AL87" s="3"/>
      <c r="AM87" s="3"/>
      <c r="AN87" s="3"/>
      <c r="AO87" s="3"/>
    </row>
    <row r="88" spans="1:41" x14ac:dyDescent="0.25">
      <c r="A88" s="171"/>
      <c r="B88" s="13"/>
      <c r="C88" s="56"/>
      <c r="D88" s="60"/>
      <c r="E88" s="56"/>
      <c r="F88" s="56"/>
      <c r="G88" s="56"/>
      <c r="H88" s="56"/>
      <c r="I88" s="14"/>
      <c r="J88" s="14"/>
      <c r="K88" s="14"/>
      <c r="L88" s="14"/>
      <c r="M88" s="14"/>
      <c r="N88" s="14"/>
      <c r="O88" s="14"/>
      <c r="P88" s="14"/>
      <c r="Q88" s="14"/>
      <c r="R88" s="14"/>
      <c r="S88" s="14"/>
      <c r="T88" s="14"/>
      <c r="U88" s="14"/>
      <c r="V88" s="14"/>
      <c r="W88" s="14"/>
      <c r="X88" s="14"/>
      <c r="Y88" s="14"/>
      <c r="Z88" s="14"/>
      <c r="AA88" s="15"/>
      <c r="AB88" s="3"/>
      <c r="AC88" s="3"/>
      <c r="AD88" s="3"/>
      <c r="AE88" s="3"/>
      <c r="AF88" s="3"/>
      <c r="AG88" s="3"/>
      <c r="AH88" s="3"/>
      <c r="AI88" s="3"/>
      <c r="AJ88" s="3"/>
      <c r="AK88" s="3"/>
      <c r="AL88" s="3"/>
      <c r="AM88" s="3"/>
      <c r="AN88" s="3"/>
      <c r="AO88" s="3"/>
    </row>
    <row r="89" spans="1:41" x14ac:dyDescent="0.25">
      <c r="A89" s="171"/>
      <c r="B89" s="13"/>
      <c r="C89" s="14"/>
      <c r="D89" s="60"/>
      <c r="E89" s="56"/>
      <c r="F89" s="56"/>
      <c r="G89" s="14"/>
      <c r="H89" s="56"/>
      <c r="I89" s="14"/>
      <c r="J89" s="14"/>
      <c r="K89" s="14"/>
      <c r="L89" s="14"/>
      <c r="M89" s="14"/>
      <c r="N89" s="14"/>
      <c r="O89" s="14"/>
      <c r="P89" s="14"/>
      <c r="Q89" s="14"/>
      <c r="R89" s="14"/>
      <c r="S89" s="14"/>
      <c r="T89" s="14"/>
      <c r="U89" s="14"/>
      <c r="V89" s="14"/>
      <c r="W89" s="14"/>
      <c r="X89" s="14"/>
      <c r="Y89" s="14"/>
      <c r="Z89" s="14"/>
      <c r="AA89" s="15"/>
      <c r="AB89" s="3"/>
      <c r="AC89" s="3"/>
      <c r="AD89" s="3"/>
      <c r="AE89" s="3"/>
      <c r="AF89" s="3"/>
      <c r="AG89" s="3"/>
      <c r="AH89" s="3"/>
      <c r="AI89" s="3"/>
      <c r="AJ89" s="3"/>
      <c r="AK89" s="3"/>
      <c r="AL89" s="3"/>
      <c r="AM89" s="3"/>
      <c r="AN89" s="3"/>
      <c r="AO89" s="3"/>
    </row>
    <row r="90" spans="1:41" x14ac:dyDescent="0.25">
      <c r="A90" s="171"/>
      <c r="B90" s="13"/>
      <c r="C90" s="14"/>
      <c r="D90" s="14"/>
      <c r="E90" s="56"/>
      <c r="F90" s="56"/>
      <c r="G90" s="14"/>
      <c r="H90" s="56"/>
      <c r="I90" s="14"/>
      <c r="J90" s="14"/>
      <c r="K90" s="14"/>
      <c r="L90" s="14"/>
      <c r="M90" s="14"/>
      <c r="N90" s="14"/>
      <c r="O90" s="14"/>
      <c r="P90" s="14"/>
      <c r="Q90" s="14"/>
      <c r="R90" s="14"/>
      <c r="S90" s="14"/>
      <c r="T90" s="14"/>
      <c r="U90" s="14"/>
      <c r="V90" s="14"/>
      <c r="W90" s="14"/>
      <c r="X90" s="14"/>
      <c r="Y90" s="14"/>
      <c r="Z90" s="14"/>
      <c r="AA90" s="15"/>
      <c r="AB90" s="3"/>
      <c r="AC90" s="3"/>
      <c r="AD90" s="3"/>
      <c r="AE90" s="3"/>
      <c r="AF90" s="3"/>
      <c r="AG90" s="3"/>
      <c r="AH90" s="3"/>
      <c r="AI90" s="3"/>
      <c r="AJ90" s="3"/>
      <c r="AK90" s="3"/>
      <c r="AL90" s="3"/>
      <c r="AM90" s="3"/>
      <c r="AN90" s="3"/>
      <c r="AO90" s="3"/>
    </row>
    <row r="91" spans="1:41" x14ac:dyDescent="0.25">
      <c r="A91" s="171"/>
      <c r="B91" s="13"/>
      <c r="C91" s="14"/>
      <c r="D91" s="60"/>
      <c r="E91" s="56"/>
      <c r="F91" s="56"/>
      <c r="G91" s="57"/>
      <c r="H91" s="14"/>
      <c r="I91" s="14"/>
      <c r="J91" s="14"/>
      <c r="K91" s="14"/>
      <c r="L91" s="14"/>
      <c r="M91" s="14"/>
      <c r="N91" s="14"/>
      <c r="O91" s="14"/>
      <c r="P91" s="14"/>
      <c r="Q91" s="14"/>
      <c r="R91" s="14"/>
      <c r="S91" s="14"/>
      <c r="T91" s="14"/>
      <c r="U91" s="14"/>
      <c r="V91" s="14"/>
      <c r="W91" s="14"/>
      <c r="X91" s="14"/>
      <c r="Y91" s="14"/>
      <c r="Z91" s="14"/>
      <c r="AA91" s="15"/>
      <c r="AB91" s="3"/>
      <c r="AC91" s="3"/>
      <c r="AD91" s="3"/>
      <c r="AE91" s="3"/>
      <c r="AF91" s="3"/>
      <c r="AG91" s="3"/>
      <c r="AH91" s="3"/>
      <c r="AI91" s="3"/>
      <c r="AJ91" s="3"/>
      <c r="AK91" s="3"/>
      <c r="AL91" s="3"/>
      <c r="AM91" s="3"/>
      <c r="AN91" s="3"/>
      <c r="AO91" s="3"/>
    </row>
    <row r="92" spans="1:41" x14ac:dyDescent="0.25">
      <c r="A92" s="171"/>
      <c r="B92" s="13"/>
      <c r="C92" s="14"/>
      <c r="D92" s="60"/>
      <c r="E92" s="56"/>
      <c r="F92" s="56"/>
      <c r="G92" s="128"/>
      <c r="H92" s="56"/>
      <c r="I92" s="14"/>
      <c r="J92" s="14"/>
      <c r="K92" s="14"/>
      <c r="L92" s="14"/>
      <c r="M92" s="14"/>
      <c r="N92" s="14"/>
      <c r="O92" s="14"/>
      <c r="P92" s="14"/>
      <c r="Q92" s="14"/>
      <c r="R92" s="14"/>
      <c r="S92" s="14"/>
      <c r="T92" s="14"/>
      <c r="U92" s="14"/>
      <c r="V92" s="14"/>
      <c r="W92" s="14"/>
      <c r="X92" s="14"/>
      <c r="Y92" s="14"/>
      <c r="Z92" s="14"/>
      <c r="AA92" s="15"/>
      <c r="AB92" s="3"/>
      <c r="AC92" s="3"/>
      <c r="AD92" s="3"/>
      <c r="AE92" s="3"/>
      <c r="AF92" s="3"/>
      <c r="AG92" s="3"/>
      <c r="AH92" s="3"/>
      <c r="AI92" s="3"/>
      <c r="AJ92" s="3"/>
      <c r="AK92" s="3"/>
      <c r="AL92" s="3"/>
      <c r="AM92" s="3"/>
      <c r="AN92" s="3"/>
      <c r="AO92" s="3"/>
    </row>
    <row r="93" spans="1:41" x14ac:dyDescent="0.25">
      <c r="A93" s="171"/>
      <c r="B93" s="13"/>
      <c r="C93" s="14"/>
      <c r="D93" s="60"/>
      <c r="E93" s="56"/>
      <c r="F93" s="56"/>
      <c r="G93" s="14"/>
      <c r="H93" s="56"/>
      <c r="I93" s="14"/>
      <c r="J93" s="14"/>
      <c r="K93" s="14"/>
      <c r="L93" s="14"/>
      <c r="M93" s="14"/>
      <c r="N93" s="14"/>
      <c r="O93" s="14"/>
      <c r="P93" s="14"/>
      <c r="Q93" s="14"/>
      <c r="R93" s="14"/>
      <c r="S93" s="14"/>
      <c r="T93" s="14"/>
      <c r="U93" s="14"/>
      <c r="V93" s="14"/>
      <c r="W93" s="14"/>
      <c r="X93" s="14"/>
      <c r="Y93" s="14"/>
      <c r="Z93" s="14"/>
      <c r="AA93" s="15"/>
      <c r="AB93" s="3"/>
      <c r="AC93" s="3"/>
      <c r="AD93" s="3"/>
      <c r="AE93" s="3"/>
      <c r="AF93" s="3"/>
      <c r="AG93" s="3"/>
      <c r="AH93" s="3"/>
      <c r="AI93" s="3"/>
      <c r="AJ93" s="3"/>
      <c r="AK93" s="3"/>
      <c r="AL93" s="3"/>
      <c r="AM93" s="3"/>
      <c r="AN93" s="3"/>
      <c r="AO93" s="3"/>
    </row>
    <row r="94" spans="1:41" x14ac:dyDescent="0.25">
      <c r="A94" s="171"/>
      <c r="B94" s="13"/>
      <c r="C94" s="14"/>
      <c r="D94" s="60"/>
      <c r="E94" s="56"/>
      <c r="F94" s="56"/>
      <c r="G94" s="14"/>
      <c r="H94" s="56"/>
      <c r="I94" s="14"/>
      <c r="J94" s="14"/>
      <c r="K94" s="14"/>
      <c r="L94" s="14"/>
      <c r="M94" s="14"/>
      <c r="N94" s="14"/>
      <c r="O94" s="14"/>
      <c r="P94" s="14"/>
      <c r="Q94" s="14"/>
      <c r="R94" s="14"/>
      <c r="S94" s="14"/>
      <c r="T94" s="14"/>
      <c r="U94" s="14"/>
      <c r="V94" s="14"/>
      <c r="W94" s="14"/>
      <c r="X94" s="14"/>
      <c r="Y94" s="14"/>
      <c r="Z94" s="14"/>
      <c r="AA94" s="15"/>
      <c r="AB94" s="3"/>
      <c r="AC94" s="3"/>
      <c r="AD94" s="3"/>
      <c r="AE94" s="3"/>
      <c r="AF94" s="3"/>
      <c r="AG94" s="3"/>
      <c r="AH94" s="3"/>
      <c r="AI94" s="3"/>
      <c r="AJ94" s="3"/>
      <c r="AK94" s="3"/>
      <c r="AL94" s="3"/>
      <c r="AM94" s="3"/>
      <c r="AN94" s="3"/>
      <c r="AO94" s="3"/>
    </row>
    <row r="95" spans="1:41" x14ac:dyDescent="0.25">
      <c r="A95" s="171"/>
      <c r="B95" s="13"/>
      <c r="C95" s="56"/>
      <c r="D95" s="60"/>
      <c r="E95" s="56"/>
      <c r="F95" s="56"/>
      <c r="G95" s="56"/>
      <c r="H95" s="56"/>
      <c r="I95" s="14"/>
      <c r="J95" s="14"/>
      <c r="K95" s="14"/>
      <c r="L95" s="14"/>
      <c r="M95" s="14"/>
      <c r="N95" s="14"/>
      <c r="O95" s="14"/>
      <c r="P95" s="14"/>
      <c r="Q95" s="14"/>
      <c r="R95" s="14"/>
      <c r="S95" s="14"/>
      <c r="T95" s="14"/>
      <c r="U95" s="14"/>
      <c r="V95" s="14"/>
      <c r="W95" s="14"/>
      <c r="X95" s="14"/>
      <c r="Y95" s="14"/>
      <c r="Z95" s="14"/>
      <c r="AA95" s="15"/>
      <c r="AB95" s="3"/>
      <c r="AC95" s="3"/>
      <c r="AD95" s="3"/>
      <c r="AE95" s="3"/>
      <c r="AF95" s="3"/>
      <c r="AG95" s="3"/>
      <c r="AH95" s="3"/>
      <c r="AI95" s="3"/>
      <c r="AJ95" s="3"/>
      <c r="AK95" s="3"/>
      <c r="AL95" s="3"/>
      <c r="AM95" s="3"/>
      <c r="AN95" s="3"/>
      <c r="AO95" s="3"/>
    </row>
    <row r="96" spans="1:41" ht="18.75" x14ac:dyDescent="0.3">
      <c r="A96" s="171"/>
      <c r="B96" s="67"/>
      <c r="C96" s="14"/>
      <c r="D96" s="60"/>
      <c r="E96" s="56"/>
      <c r="F96" s="56"/>
      <c r="G96" s="14"/>
      <c r="H96" s="56"/>
      <c r="I96" s="74"/>
      <c r="J96" s="14"/>
      <c r="K96" s="14"/>
      <c r="L96" s="14"/>
      <c r="M96" s="14"/>
      <c r="N96" s="14"/>
      <c r="O96" s="14"/>
      <c r="P96" s="14"/>
      <c r="Q96" s="14"/>
      <c r="R96" s="14"/>
      <c r="S96" s="14"/>
      <c r="T96" s="14"/>
      <c r="U96" s="14"/>
      <c r="V96" s="14"/>
      <c r="W96" s="14"/>
      <c r="X96" s="14"/>
      <c r="Y96" s="14"/>
      <c r="Z96" s="14"/>
      <c r="AA96" s="15"/>
      <c r="AB96" s="3"/>
      <c r="AC96" s="3"/>
      <c r="AD96" s="3"/>
      <c r="AE96" s="3"/>
      <c r="AF96" s="3"/>
      <c r="AG96" s="3"/>
      <c r="AH96" s="3"/>
      <c r="AI96" s="3"/>
      <c r="AJ96" s="3"/>
      <c r="AK96" s="3"/>
      <c r="AL96" s="3"/>
      <c r="AM96" s="3"/>
      <c r="AN96" s="3"/>
      <c r="AO96" s="3"/>
    </row>
    <row r="97" spans="1:41" x14ac:dyDescent="0.25">
      <c r="B97" s="13"/>
      <c r="C97" s="14"/>
      <c r="D97" s="14"/>
      <c r="E97" s="56"/>
      <c r="F97" s="56"/>
      <c r="G97" s="14"/>
      <c r="H97" s="56"/>
      <c r="I97" s="14"/>
      <c r="J97" s="14"/>
      <c r="K97" s="14"/>
      <c r="L97" s="14"/>
      <c r="M97" s="14"/>
      <c r="N97" s="14"/>
      <c r="O97" s="14"/>
      <c r="P97" s="14"/>
      <c r="Q97" s="14"/>
      <c r="R97" s="14"/>
      <c r="S97" s="14"/>
      <c r="T97" s="14"/>
      <c r="U97" s="14"/>
      <c r="V97" s="14"/>
      <c r="W97" s="14"/>
      <c r="X97" s="14"/>
      <c r="Y97" s="14"/>
      <c r="Z97" s="14"/>
      <c r="AA97" s="15"/>
      <c r="AB97" s="3"/>
      <c r="AC97" s="3"/>
      <c r="AD97" s="3"/>
      <c r="AE97" s="3"/>
      <c r="AF97" s="3"/>
      <c r="AG97" s="3"/>
      <c r="AH97" s="3"/>
      <c r="AI97" s="3"/>
      <c r="AJ97" s="3"/>
      <c r="AK97" s="3"/>
      <c r="AL97" s="3"/>
      <c r="AM97" s="3"/>
      <c r="AN97" s="3"/>
      <c r="AO97" s="3"/>
    </row>
    <row r="98" spans="1:41" x14ac:dyDescent="0.25">
      <c r="B98" s="13"/>
      <c r="C98" s="14"/>
      <c r="D98" s="60"/>
      <c r="E98" s="56"/>
      <c r="F98" s="56"/>
      <c r="G98" s="57"/>
      <c r="H98" s="14"/>
      <c r="I98" s="14"/>
      <c r="J98" s="14"/>
      <c r="K98" s="14"/>
      <c r="L98" s="14"/>
      <c r="M98" s="14"/>
      <c r="N98" s="14"/>
      <c r="O98" s="14"/>
      <c r="P98" s="14"/>
      <c r="Q98" s="14"/>
      <c r="R98" s="14"/>
      <c r="S98" s="14"/>
      <c r="T98" s="14"/>
      <c r="U98" s="14"/>
      <c r="V98" s="14"/>
      <c r="W98" s="14"/>
      <c r="X98" s="14"/>
      <c r="Y98" s="14"/>
      <c r="Z98" s="14"/>
      <c r="AA98" s="15"/>
      <c r="AB98" s="3"/>
      <c r="AC98" s="3"/>
      <c r="AD98" s="3"/>
      <c r="AE98" s="3"/>
      <c r="AF98" s="3"/>
      <c r="AG98" s="3"/>
      <c r="AH98" s="3"/>
      <c r="AI98" s="3"/>
      <c r="AJ98" s="3"/>
      <c r="AK98" s="3"/>
      <c r="AL98" s="3"/>
      <c r="AM98" s="3"/>
      <c r="AN98" s="3"/>
      <c r="AO98" s="3"/>
    </row>
    <row r="99" spans="1:41" x14ac:dyDescent="0.25">
      <c r="B99" s="13"/>
      <c r="C99" s="14"/>
      <c r="D99" s="60"/>
      <c r="E99" s="56"/>
      <c r="F99" s="56"/>
      <c r="G99" s="128"/>
      <c r="H99" s="56"/>
      <c r="I99" s="14"/>
      <c r="J99" s="14"/>
      <c r="K99" s="14"/>
      <c r="L99" s="14"/>
      <c r="M99" s="14"/>
      <c r="N99" s="14"/>
      <c r="O99" s="14"/>
      <c r="P99" s="14"/>
      <c r="Q99" s="14"/>
      <c r="R99" s="14"/>
      <c r="S99" s="14"/>
      <c r="T99" s="14"/>
      <c r="U99" s="14"/>
      <c r="V99" s="14"/>
      <c r="W99" s="14"/>
      <c r="X99" s="14"/>
      <c r="Y99" s="14"/>
      <c r="Z99" s="14"/>
      <c r="AA99" s="15"/>
      <c r="AB99" s="3"/>
      <c r="AC99" s="3"/>
      <c r="AD99" s="3"/>
      <c r="AE99" s="3"/>
      <c r="AF99" s="3"/>
      <c r="AG99" s="3"/>
      <c r="AH99" s="3"/>
      <c r="AI99" s="3"/>
      <c r="AJ99" s="3"/>
      <c r="AK99" s="3"/>
      <c r="AL99" s="3"/>
      <c r="AM99" s="3"/>
      <c r="AN99" s="3"/>
      <c r="AO99" s="3"/>
    </row>
    <row r="100" spans="1:41" x14ac:dyDescent="0.25">
      <c r="B100" s="13"/>
      <c r="C100" s="14"/>
      <c r="D100" s="60"/>
      <c r="E100" s="56"/>
      <c r="F100" s="56"/>
      <c r="G100" s="14"/>
      <c r="H100" s="56"/>
      <c r="I100" s="14"/>
      <c r="J100" s="14"/>
      <c r="K100" s="14"/>
      <c r="L100" s="14"/>
      <c r="M100" s="14"/>
      <c r="N100" s="14"/>
      <c r="O100" s="14"/>
      <c r="P100" s="14"/>
      <c r="Q100" s="14"/>
      <c r="R100" s="14"/>
      <c r="S100" s="14"/>
      <c r="T100" s="14"/>
      <c r="U100" s="14"/>
      <c r="V100" s="14"/>
      <c r="W100" s="14"/>
      <c r="X100" s="14"/>
      <c r="Y100" s="14"/>
      <c r="Z100" s="14"/>
      <c r="AA100" s="15"/>
      <c r="AB100" s="3"/>
      <c r="AC100" s="3"/>
      <c r="AD100" s="3"/>
      <c r="AE100" s="3"/>
      <c r="AF100" s="3"/>
      <c r="AG100" s="3"/>
      <c r="AH100" s="3"/>
      <c r="AI100" s="3"/>
      <c r="AJ100" s="3"/>
      <c r="AK100" s="3"/>
      <c r="AL100" s="3"/>
      <c r="AM100" s="3"/>
      <c r="AN100" s="3"/>
      <c r="AO100" s="3"/>
    </row>
    <row r="101" spans="1:41" x14ac:dyDescent="0.25">
      <c r="B101" s="13"/>
      <c r="C101" s="14"/>
      <c r="D101" s="60"/>
      <c r="E101" s="56"/>
      <c r="F101" s="56"/>
      <c r="G101" s="14"/>
      <c r="H101" s="56"/>
      <c r="I101" s="14"/>
      <c r="J101" s="14"/>
      <c r="K101" s="14"/>
      <c r="L101" s="14"/>
      <c r="M101" s="14"/>
      <c r="N101" s="14"/>
      <c r="O101" s="14"/>
      <c r="P101" s="14"/>
      <c r="Q101" s="14"/>
      <c r="R101" s="14"/>
      <c r="S101" s="14"/>
      <c r="T101" s="14"/>
      <c r="U101" s="14"/>
      <c r="V101" s="14"/>
      <c r="W101" s="14"/>
      <c r="X101" s="14"/>
      <c r="Y101" s="14"/>
      <c r="Z101" s="14"/>
      <c r="AA101" s="15"/>
      <c r="AB101" s="3"/>
      <c r="AC101" s="3"/>
      <c r="AD101" s="3"/>
      <c r="AE101" s="3"/>
      <c r="AF101" s="3"/>
      <c r="AG101" s="3"/>
      <c r="AH101" s="3"/>
      <c r="AI101" s="3"/>
      <c r="AJ101" s="3"/>
      <c r="AK101" s="3"/>
      <c r="AL101" s="3"/>
      <c r="AM101" s="3"/>
      <c r="AN101" s="3"/>
      <c r="AO101" s="3"/>
    </row>
    <row r="102" spans="1:41" x14ac:dyDescent="0.25">
      <c r="A102" s="171"/>
      <c r="B102" s="13"/>
      <c r="C102" s="56"/>
      <c r="D102" s="60"/>
      <c r="E102" s="56"/>
      <c r="F102" s="56"/>
      <c r="G102" s="56"/>
      <c r="H102" s="56"/>
      <c r="I102" s="14"/>
      <c r="J102" s="14"/>
      <c r="K102" s="14"/>
      <c r="L102" s="14"/>
      <c r="M102" s="14"/>
      <c r="N102" s="14"/>
      <c r="O102" s="14"/>
      <c r="P102" s="14"/>
      <c r="Q102" s="14"/>
      <c r="R102" s="14"/>
      <c r="S102" s="14"/>
      <c r="T102" s="14"/>
      <c r="U102" s="14"/>
      <c r="V102" s="14"/>
      <c r="W102" s="14"/>
      <c r="X102" s="14"/>
      <c r="Y102" s="14"/>
      <c r="Z102" s="14"/>
      <c r="AA102" s="15"/>
      <c r="AB102" s="3"/>
      <c r="AC102" s="3"/>
      <c r="AD102" s="3"/>
      <c r="AE102" s="3"/>
      <c r="AF102" s="3"/>
      <c r="AG102" s="3"/>
      <c r="AH102" s="3"/>
      <c r="AI102" s="3"/>
      <c r="AJ102" s="3"/>
      <c r="AK102" s="3"/>
      <c r="AL102" s="3"/>
      <c r="AM102" s="3"/>
      <c r="AN102" s="3"/>
      <c r="AO102" s="3"/>
    </row>
    <row r="103" spans="1:41" x14ac:dyDescent="0.25">
      <c r="A103" s="171"/>
      <c r="B103" s="13"/>
      <c r="C103" s="14"/>
      <c r="D103" s="60"/>
      <c r="E103" s="56"/>
      <c r="F103" s="56"/>
      <c r="G103" s="14"/>
      <c r="H103" s="56"/>
      <c r="I103" s="14"/>
      <c r="J103" s="14"/>
      <c r="K103" s="14"/>
      <c r="L103" s="14"/>
      <c r="M103" s="14"/>
      <c r="N103" s="14"/>
      <c r="O103" s="14"/>
      <c r="P103" s="14"/>
      <c r="Q103" s="14"/>
      <c r="R103" s="14"/>
      <c r="S103" s="14"/>
      <c r="T103" s="14"/>
      <c r="U103" s="14"/>
      <c r="V103" s="14"/>
      <c r="W103" s="14"/>
      <c r="X103" s="14"/>
      <c r="Y103" s="14"/>
      <c r="Z103" s="14"/>
      <c r="AA103" s="15"/>
      <c r="AB103" s="3"/>
      <c r="AC103" s="3"/>
      <c r="AD103" s="3"/>
      <c r="AE103" s="3"/>
      <c r="AF103" s="3"/>
      <c r="AG103" s="3"/>
      <c r="AH103" s="3"/>
      <c r="AI103" s="3"/>
      <c r="AJ103" s="3"/>
      <c r="AK103" s="3"/>
      <c r="AL103" s="3"/>
      <c r="AM103" s="3"/>
      <c r="AN103" s="3"/>
      <c r="AO103" s="3"/>
    </row>
    <row r="104" spans="1:41" x14ac:dyDescent="0.25">
      <c r="A104" s="171"/>
      <c r="B104" s="13"/>
      <c r="C104" s="14"/>
      <c r="D104" s="14"/>
      <c r="E104" s="56"/>
      <c r="F104" s="56"/>
      <c r="G104" s="14"/>
      <c r="H104" s="56"/>
      <c r="I104" s="14"/>
      <c r="J104" s="14"/>
      <c r="K104" s="14"/>
      <c r="L104" s="14"/>
      <c r="M104" s="14"/>
      <c r="N104" s="14"/>
      <c r="O104" s="14"/>
      <c r="P104" s="14"/>
      <c r="Q104" s="14"/>
      <c r="R104" s="14"/>
      <c r="S104" s="14"/>
      <c r="T104" s="14"/>
      <c r="U104" s="14"/>
      <c r="V104" s="14"/>
      <c r="W104" s="14"/>
      <c r="X104" s="14"/>
      <c r="Y104" s="14"/>
      <c r="Z104" s="14"/>
      <c r="AA104" s="15"/>
      <c r="AB104" s="3"/>
      <c r="AC104" s="3"/>
      <c r="AD104" s="3"/>
      <c r="AE104" s="3"/>
      <c r="AF104" s="3"/>
      <c r="AG104" s="3"/>
      <c r="AH104" s="3"/>
      <c r="AI104" s="3"/>
      <c r="AJ104" s="3"/>
      <c r="AK104" s="3"/>
      <c r="AL104" s="3"/>
      <c r="AM104" s="3"/>
      <c r="AN104" s="3"/>
      <c r="AO104" s="3"/>
    </row>
    <row r="105" spans="1:41" x14ac:dyDescent="0.25">
      <c r="A105" s="171"/>
      <c r="B105" s="13"/>
      <c r="C105" s="14"/>
      <c r="D105" s="60"/>
      <c r="E105" s="56"/>
      <c r="F105" s="56"/>
      <c r="G105" s="57"/>
      <c r="H105" s="14"/>
      <c r="I105" s="14"/>
      <c r="J105" s="14"/>
      <c r="K105" s="14"/>
      <c r="L105" s="14"/>
      <c r="M105" s="14"/>
      <c r="N105" s="14"/>
      <c r="O105" s="14"/>
      <c r="P105" s="14"/>
      <c r="Q105" s="14"/>
      <c r="R105" s="14"/>
      <c r="S105" s="14"/>
      <c r="T105" s="14"/>
      <c r="U105" s="14"/>
      <c r="V105" s="14"/>
      <c r="W105" s="14"/>
      <c r="X105" s="14"/>
      <c r="Y105" s="14"/>
      <c r="Z105" s="14"/>
      <c r="AA105" s="15"/>
      <c r="AB105" s="3"/>
      <c r="AC105" s="3"/>
      <c r="AD105" s="3"/>
      <c r="AE105" s="3"/>
      <c r="AF105" s="3"/>
      <c r="AG105" s="3"/>
      <c r="AH105" s="3"/>
      <c r="AI105" s="3"/>
      <c r="AJ105" s="3"/>
      <c r="AK105" s="3"/>
      <c r="AL105" s="3"/>
      <c r="AM105" s="3"/>
      <c r="AN105" s="3"/>
      <c r="AO105" s="3"/>
    </row>
    <row r="106" spans="1:41" x14ac:dyDescent="0.25">
      <c r="A106" s="171"/>
      <c r="B106" s="13"/>
      <c r="C106" s="14"/>
      <c r="D106" s="60"/>
      <c r="E106" s="56"/>
      <c r="F106" s="56"/>
      <c r="G106" s="128"/>
      <c r="H106" s="56"/>
      <c r="I106" s="14"/>
      <c r="J106" s="14"/>
      <c r="K106" s="14"/>
      <c r="L106" s="14"/>
      <c r="M106" s="14"/>
      <c r="N106" s="14"/>
      <c r="O106" s="14"/>
      <c r="P106" s="14"/>
      <c r="Q106" s="14"/>
      <c r="R106" s="14"/>
      <c r="S106" s="14"/>
      <c r="T106" s="14"/>
      <c r="U106" s="14"/>
      <c r="V106" s="14"/>
      <c r="W106" s="14"/>
      <c r="X106" s="14"/>
      <c r="Y106" s="14"/>
      <c r="Z106" s="14"/>
      <c r="AA106" s="15"/>
      <c r="AB106" s="3"/>
      <c r="AC106" s="3"/>
      <c r="AD106" s="3"/>
      <c r="AE106" s="3"/>
      <c r="AF106" s="3"/>
      <c r="AG106" s="3"/>
      <c r="AH106" s="3"/>
      <c r="AI106" s="3"/>
      <c r="AJ106" s="3"/>
      <c r="AK106" s="3"/>
      <c r="AL106" s="3"/>
      <c r="AM106" s="3"/>
      <c r="AN106" s="3"/>
      <c r="AO106" s="3"/>
    </row>
    <row r="107" spans="1:41" x14ac:dyDescent="0.25">
      <c r="A107" s="171"/>
      <c r="B107" s="13"/>
      <c r="C107" s="14"/>
      <c r="D107" s="60"/>
      <c r="E107" s="56"/>
      <c r="F107" s="56"/>
      <c r="G107" s="14"/>
      <c r="H107" s="56"/>
      <c r="I107" s="14"/>
      <c r="J107" s="14"/>
      <c r="K107" s="14"/>
      <c r="L107" s="14"/>
      <c r="M107" s="14"/>
      <c r="N107" s="14"/>
      <c r="O107" s="14"/>
      <c r="P107" s="14"/>
      <c r="Q107" s="14"/>
      <c r="R107" s="14"/>
      <c r="S107" s="14"/>
      <c r="T107" s="14"/>
      <c r="U107" s="14"/>
      <c r="V107" s="14"/>
      <c r="W107" s="14"/>
      <c r="X107" s="14"/>
      <c r="Y107" s="14"/>
      <c r="Z107" s="14"/>
      <c r="AA107" s="15"/>
      <c r="AB107" s="3"/>
      <c r="AC107" s="3"/>
      <c r="AD107" s="3"/>
      <c r="AE107" s="3"/>
      <c r="AF107" s="3"/>
      <c r="AG107" s="3"/>
      <c r="AH107" s="3"/>
      <c r="AI107" s="3"/>
      <c r="AJ107" s="3"/>
      <c r="AK107" s="3"/>
      <c r="AL107" s="3"/>
      <c r="AM107" s="3"/>
      <c r="AN107" s="3"/>
      <c r="AO107" s="3"/>
    </row>
    <row r="108" spans="1:41" x14ac:dyDescent="0.25">
      <c r="A108" s="171"/>
      <c r="B108" s="13"/>
      <c r="C108" s="14"/>
      <c r="D108" s="60"/>
      <c r="E108" s="56"/>
      <c r="F108" s="56"/>
      <c r="G108" s="14"/>
      <c r="H108" s="56"/>
      <c r="I108" s="14"/>
      <c r="J108" s="14"/>
      <c r="K108" s="14"/>
      <c r="L108" s="14"/>
      <c r="M108" s="14"/>
      <c r="N108" s="14"/>
      <c r="O108" s="14"/>
      <c r="P108" s="14"/>
      <c r="Q108" s="14"/>
      <c r="R108" s="14"/>
      <c r="S108" s="14"/>
      <c r="T108" s="14"/>
      <c r="U108" s="14"/>
      <c r="V108" s="14"/>
      <c r="W108" s="14"/>
      <c r="X108" s="14"/>
      <c r="Y108" s="14"/>
      <c r="Z108" s="14"/>
      <c r="AA108" s="15"/>
      <c r="AB108" s="3"/>
      <c r="AC108" s="3"/>
      <c r="AD108" s="3"/>
      <c r="AE108" s="3"/>
      <c r="AF108" s="3"/>
      <c r="AG108" s="3"/>
      <c r="AH108" s="3"/>
      <c r="AI108" s="3"/>
      <c r="AJ108" s="3"/>
      <c r="AK108" s="3"/>
      <c r="AL108" s="3"/>
      <c r="AM108" s="3"/>
      <c r="AN108" s="3"/>
      <c r="AO108" s="3"/>
    </row>
    <row r="109" spans="1:41" x14ac:dyDescent="0.25">
      <c r="A109" s="171"/>
      <c r="B109" s="13"/>
      <c r="C109" s="56"/>
      <c r="D109" s="60"/>
      <c r="E109" s="56"/>
      <c r="F109" s="56"/>
      <c r="G109" s="56"/>
      <c r="H109" s="56"/>
      <c r="I109" s="14"/>
      <c r="J109" s="14"/>
      <c r="K109" s="14"/>
      <c r="L109" s="14"/>
      <c r="M109" s="14"/>
      <c r="N109" s="14"/>
      <c r="O109" s="14"/>
      <c r="P109" s="14"/>
      <c r="Q109" s="14"/>
      <c r="R109" s="14"/>
      <c r="S109" s="14"/>
      <c r="T109" s="14"/>
      <c r="U109" s="14"/>
      <c r="V109" s="14"/>
      <c r="W109" s="14"/>
      <c r="X109" s="14"/>
      <c r="Y109" s="14"/>
      <c r="Z109" s="14"/>
      <c r="AA109" s="15"/>
      <c r="AB109" s="3"/>
      <c r="AC109" s="3"/>
      <c r="AD109" s="3"/>
      <c r="AE109" s="3"/>
      <c r="AF109" s="3"/>
      <c r="AG109" s="3"/>
      <c r="AH109" s="3"/>
      <c r="AI109" s="3"/>
      <c r="AJ109" s="3"/>
      <c r="AK109" s="3"/>
      <c r="AL109" s="3"/>
      <c r="AM109" s="3"/>
      <c r="AN109" s="3"/>
      <c r="AO109" s="3"/>
    </row>
    <row r="110" spans="1:41" ht="18.75" x14ac:dyDescent="0.3">
      <c r="A110" s="171"/>
      <c r="B110" s="67"/>
      <c r="C110" s="14"/>
      <c r="D110" s="60"/>
      <c r="E110" s="56"/>
      <c r="F110" s="56"/>
      <c r="G110" s="14"/>
      <c r="H110" s="56"/>
      <c r="I110" s="74"/>
      <c r="J110" s="14"/>
      <c r="K110" s="14"/>
      <c r="L110" s="14"/>
      <c r="M110" s="14"/>
      <c r="N110" s="14"/>
      <c r="O110" s="14"/>
      <c r="P110" s="14"/>
      <c r="Q110" s="14"/>
      <c r="R110" s="14"/>
      <c r="S110" s="14"/>
      <c r="T110" s="14"/>
      <c r="U110" s="14"/>
      <c r="V110" s="14"/>
      <c r="W110" s="14"/>
      <c r="X110" s="14"/>
      <c r="Y110" s="14"/>
      <c r="Z110" s="14"/>
      <c r="AA110" s="15"/>
      <c r="AB110" s="3"/>
      <c r="AC110" s="3"/>
      <c r="AD110" s="3"/>
      <c r="AE110" s="3"/>
      <c r="AF110" s="3"/>
      <c r="AG110" s="3"/>
      <c r="AH110" s="3"/>
      <c r="AI110" s="3"/>
      <c r="AJ110" s="3"/>
      <c r="AK110" s="3"/>
      <c r="AL110" s="3"/>
      <c r="AM110" s="3"/>
      <c r="AN110" s="3"/>
      <c r="AO110" s="3"/>
    </row>
    <row r="111" spans="1:41" x14ac:dyDescent="0.25">
      <c r="A111" s="171"/>
      <c r="B111" s="13"/>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5"/>
      <c r="AB111" s="3"/>
      <c r="AC111" s="3"/>
      <c r="AD111" s="3"/>
      <c r="AE111" s="3"/>
      <c r="AF111" s="3"/>
      <c r="AG111" s="3"/>
      <c r="AH111" s="3"/>
      <c r="AI111" s="3"/>
      <c r="AJ111" s="3"/>
      <c r="AK111" s="3"/>
      <c r="AL111" s="3"/>
      <c r="AM111" s="3"/>
      <c r="AN111" s="3"/>
      <c r="AO111" s="3"/>
    </row>
    <row r="112" spans="1:41" x14ac:dyDescent="0.25">
      <c r="A112" s="171"/>
      <c r="B112" s="13"/>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5"/>
      <c r="AB112" s="3"/>
      <c r="AC112" s="3"/>
      <c r="AD112" s="3"/>
      <c r="AE112" s="3"/>
      <c r="AF112" s="3"/>
      <c r="AG112" s="3"/>
      <c r="AH112" s="3"/>
      <c r="AI112" s="3"/>
      <c r="AJ112" s="3"/>
      <c r="AK112" s="3"/>
      <c r="AL112" s="3"/>
      <c r="AM112" s="3"/>
      <c r="AN112" s="3"/>
      <c r="AO112" s="3"/>
    </row>
    <row r="113" spans="2:41" s="171" customFormat="1" x14ac:dyDescent="0.25">
      <c r="B113" s="13"/>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5"/>
      <c r="AB113" s="3"/>
      <c r="AC113" s="3"/>
      <c r="AD113" s="3"/>
      <c r="AE113" s="3"/>
      <c r="AF113" s="3"/>
      <c r="AG113" s="3"/>
      <c r="AH113" s="3"/>
      <c r="AI113" s="3"/>
      <c r="AJ113" s="3"/>
      <c r="AK113" s="3"/>
      <c r="AL113" s="3"/>
      <c r="AM113" s="3"/>
      <c r="AN113" s="3"/>
      <c r="AO113" s="3"/>
    </row>
    <row r="114" spans="2:41" s="171" customFormat="1" x14ac:dyDescent="0.25">
      <c r="B114" s="13"/>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5"/>
      <c r="AB114" s="3"/>
      <c r="AC114" s="3"/>
      <c r="AD114" s="3"/>
      <c r="AE114" s="3"/>
      <c r="AF114" s="3"/>
      <c r="AG114" s="3"/>
      <c r="AH114" s="3"/>
      <c r="AI114" s="3"/>
      <c r="AJ114" s="3"/>
      <c r="AK114" s="3"/>
      <c r="AL114" s="3"/>
      <c r="AM114" s="3"/>
      <c r="AN114" s="3"/>
      <c r="AO114" s="3"/>
    </row>
    <row r="115" spans="2:41" s="171" customFormat="1" x14ac:dyDescent="0.25">
      <c r="B115" s="13"/>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5"/>
      <c r="AB115" s="3"/>
      <c r="AC115" s="3"/>
      <c r="AD115" s="3"/>
      <c r="AE115" s="3"/>
      <c r="AF115" s="3"/>
      <c r="AG115" s="3"/>
      <c r="AH115" s="3"/>
      <c r="AI115" s="3"/>
      <c r="AJ115" s="3"/>
      <c r="AK115" s="3"/>
      <c r="AL115" s="3"/>
      <c r="AM115" s="3"/>
      <c r="AN115" s="3"/>
      <c r="AO115" s="3"/>
    </row>
    <row r="116" spans="2:41" s="171" customFormat="1" x14ac:dyDescent="0.25">
      <c r="B116" s="13"/>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5"/>
      <c r="AB116" s="3"/>
      <c r="AC116" s="3"/>
      <c r="AD116" s="3"/>
      <c r="AE116" s="3"/>
      <c r="AF116" s="3"/>
      <c r="AG116" s="3"/>
      <c r="AH116" s="3"/>
      <c r="AI116" s="3"/>
      <c r="AJ116" s="3"/>
      <c r="AK116" s="3"/>
      <c r="AL116" s="3"/>
      <c r="AM116" s="3"/>
      <c r="AN116" s="3"/>
      <c r="AO116" s="3"/>
    </row>
    <row r="117" spans="2:41" s="171" customFormat="1" x14ac:dyDescent="0.25">
      <c r="B117" s="13"/>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5"/>
      <c r="AB117" s="3"/>
      <c r="AC117" s="3"/>
      <c r="AD117" s="3"/>
      <c r="AE117" s="3"/>
      <c r="AF117" s="3"/>
      <c r="AG117" s="3"/>
      <c r="AH117" s="3"/>
      <c r="AI117" s="3"/>
      <c r="AJ117" s="3"/>
      <c r="AK117" s="3"/>
      <c r="AL117" s="3"/>
      <c r="AM117" s="3"/>
      <c r="AN117" s="3"/>
      <c r="AO117" s="3"/>
    </row>
    <row r="118" spans="2:41" s="171" customFormat="1" x14ac:dyDescent="0.25">
      <c r="B118" s="13"/>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5"/>
      <c r="AB118" s="3"/>
      <c r="AC118" s="3"/>
      <c r="AD118" s="3"/>
      <c r="AE118" s="3"/>
      <c r="AF118" s="3"/>
      <c r="AG118" s="3"/>
      <c r="AH118" s="3"/>
      <c r="AI118" s="3"/>
      <c r="AJ118" s="3"/>
      <c r="AK118" s="3"/>
      <c r="AL118" s="3"/>
      <c r="AM118" s="3"/>
      <c r="AN118" s="3"/>
      <c r="AO118" s="3"/>
    </row>
    <row r="119" spans="2:41" s="171" customFormat="1" ht="15.4" customHeight="1" x14ac:dyDescent="0.25">
      <c r="B119" s="13"/>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5"/>
      <c r="AB119" s="3"/>
      <c r="AC119" s="3"/>
      <c r="AD119" s="3"/>
      <c r="AE119" s="3"/>
      <c r="AF119" s="3"/>
      <c r="AG119" s="3"/>
      <c r="AH119" s="3"/>
      <c r="AI119" s="3"/>
      <c r="AJ119" s="3"/>
      <c r="AK119" s="3"/>
      <c r="AL119" s="3"/>
      <c r="AM119" s="3"/>
      <c r="AN119" s="3"/>
      <c r="AO119" s="3"/>
    </row>
    <row r="120" spans="2:41" s="171" customFormat="1" x14ac:dyDescent="0.25">
      <c r="B120" s="13"/>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5"/>
      <c r="AB120" s="3"/>
      <c r="AC120" s="3"/>
      <c r="AD120" s="3"/>
      <c r="AE120" s="3"/>
      <c r="AF120" s="3"/>
      <c r="AG120" s="3"/>
      <c r="AH120" s="3"/>
      <c r="AI120" s="3"/>
      <c r="AJ120" s="3"/>
      <c r="AK120" s="3"/>
      <c r="AL120" s="3"/>
      <c r="AM120" s="3"/>
      <c r="AN120" s="3"/>
      <c r="AO120" s="3"/>
    </row>
    <row r="121" spans="2:41" s="171" customFormat="1" x14ac:dyDescent="0.25">
      <c r="B121" s="13"/>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5"/>
      <c r="AB121" s="3"/>
      <c r="AC121" s="3"/>
      <c r="AD121" s="3"/>
      <c r="AE121" s="3"/>
      <c r="AF121" s="3"/>
      <c r="AG121" s="3"/>
      <c r="AH121" s="3"/>
      <c r="AI121" s="3"/>
      <c r="AJ121" s="3"/>
      <c r="AK121" s="3"/>
      <c r="AL121" s="3"/>
      <c r="AM121" s="3"/>
      <c r="AN121" s="3"/>
      <c r="AO121" s="3"/>
    </row>
    <row r="122" spans="2:41" s="171" customFormat="1" x14ac:dyDescent="0.25">
      <c r="B122" s="13"/>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5"/>
      <c r="AB122" s="3"/>
      <c r="AC122" s="3"/>
      <c r="AD122" s="3"/>
      <c r="AE122" s="3"/>
      <c r="AF122" s="3"/>
      <c r="AG122" s="3"/>
      <c r="AH122" s="3"/>
      <c r="AI122" s="3"/>
      <c r="AJ122" s="3"/>
      <c r="AK122" s="3"/>
      <c r="AL122" s="3"/>
      <c r="AM122" s="3"/>
      <c r="AN122" s="3"/>
      <c r="AO122" s="3"/>
    </row>
    <row r="123" spans="2:41" s="171" customFormat="1" x14ac:dyDescent="0.25">
      <c r="B123" s="13"/>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5"/>
      <c r="AB123" s="3"/>
      <c r="AC123" s="3"/>
      <c r="AD123" s="3"/>
      <c r="AE123" s="3"/>
      <c r="AF123" s="3"/>
      <c r="AG123" s="3"/>
      <c r="AH123" s="3"/>
      <c r="AI123" s="3"/>
      <c r="AJ123" s="3"/>
      <c r="AK123" s="3"/>
      <c r="AL123" s="3"/>
      <c r="AM123" s="3"/>
      <c r="AN123" s="3"/>
      <c r="AO123" s="3"/>
    </row>
    <row r="124" spans="2:41" s="171" customFormat="1" ht="18.75" x14ac:dyDescent="0.3">
      <c r="B124" s="67"/>
      <c r="C124" s="14"/>
      <c r="D124" s="60"/>
      <c r="E124" s="56"/>
      <c r="F124" s="56"/>
      <c r="G124" s="14"/>
      <c r="H124" s="56"/>
      <c r="I124" s="74"/>
      <c r="J124" s="14"/>
      <c r="K124" s="14"/>
      <c r="L124" s="14"/>
      <c r="M124" s="14"/>
      <c r="N124" s="14"/>
      <c r="O124" s="14"/>
      <c r="P124" s="14"/>
      <c r="Q124" s="14"/>
      <c r="R124" s="14"/>
      <c r="S124" s="14"/>
      <c r="T124" s="14"/>
      <c r="U124" s="14"/>
      <c r="V124" s="14"/>
      <c r="W124" s="14"/>
      <c r="X124" s="14"/>
      <c r="Y124" s="14"/>
      <c r="Z124" s="14"/>
      <c r="AA124" s="15"/>
      <c r="AB124" s="3"/>
      <c r="AC124" s="3"/>
      <c r="AD124" s="3"/>
      <c r="AE124" s="3"/>
      <c r="AF124" s="3"/>
      <c r="AG124" s="3"/>
      <c r="AH124" s="3"/>
      <c r="AI124" s="3"/>
      <c r="AJ124" s="3"/>
      <c r="AK124" s="3"/>
      <c r="AL124" s="3"/>
      <c r="AM124" s="3"/>
      <c r="AN124" s="3"/>
      <c r="AO124" s="3"/>
    </row>
    <row r="125" spans="2:41" s="171" customFormat="1" x14ac:dyDescent="0.25">
      <c r="B125" s="13"/>
      <c r="C125" s="14"/>
      <c r="D125" s="14"/>
      <c r="E125" s="56"/>
      <c r="F125" s="56"/>
      <c r="G125" s="14"/>
      <c r="H125" s="56"/>
      <c r="I125" s="14"/>
      <c r="J125" s="14"/>
      <c r="K125" s="14"/>
      <c r="L125" s="14"/>
      <c r="M125" s="14"/>
      <c r="N125" s="14"/>
      <c r="O125" s="14"/>
      <c r="P125" s="14"/>
      <c r="Q125" s="14"/>
      <c r="R125" s="14"/>
      <c r="S125" s="14"/>
      <c r="T125" s="14"/>
      <c r="U125" s="14"/>
      <c r="V125" s="14"/>
      <c r="W125" s="14"/>
      <c r="X125" s="14"/>
      <c r="Y125" s="14"/>
      <c r="Z125" s="14"/>
      <c r="AA125" s="15"/>
      <c r="AB125" s="3"/>
      <c r="AC125" s="3"/>
      <c r="AD125" s="3"/>
      <c r="AE125" s="3"/>
      <c r="AF125" s="3"/>
      <c r="AG125" s="3"/>
      <c r="AH125" s="3"/>
      <c r="AI125" s="3"/>
      <c r="AJ125" s="3"/>
      <c r="AK125" s="3"/>
      <c r="AL125" s="3"/>
      <c r="AM125" s="3"/>
      <c r="AN125" s="3"/>
      <c r="AO125" s="3"/>
    </row>
    <row r="126" spans="2:41" s="171" customFormat="1" x14ac:dyDescent="0.25">
      <c r="B126" s="13"/>
      <c r="C126" s="14"/>
      <c r="D126" s="60"/>
      <c r="E126" s="56"/>
      <c r="F126" s="56"/>
      <c r="G126" s="57"/>
      <c r="H126" s="14"/>
      <c r="I126" s="14"/>
      <c r="J126" s="14"/>
      <c r="K126" s="14"/>
      <c r="L126" s="14"/>
      <c r="M126" s="14"/>
      <c r="N126" s="14"/>
      <c r="O126" s="14"/>
      <c r="P126" s="14"/>
      <c r="Q126" s="14"/>
      <c r="R126" s="14"/>
      <c r="S126" s="14"/>
      <c r="T126" s="14"/>
      <c r="U126" s="14"/>
      <c r="V126" s="14"/>
      <c r="W126" s="14"/>
      <c r="X126" s="14"/>
      <c r="Y126" s="14"/>
      <c r="Z126" s="14"/>
      <c r="AA126" s="15"/>
      <c r="AB126" s="3"/>
      <c r="AC126" s="3"/>
      <c r="AD126" s="3"/>
      <c r="AE126" s="3"/>
      <c r="AF126" s="3"/>
      <c r="AG126" s="3"/>
      <c r="AH126" s="3"/>
      <c r="AI126" s="3"/>
      <c r="AJ126" s="3"/>
      <c r="AK126" s="3"/>
      <c r="AL126" s="3"/>
      <c r="AM126" s="3"/>
      <c r="AN126" s="3"/>
      <c r="AO126" s="3"/>
    </row>
    <row r="127" spans="2:41" s="171" customFormat="1" x14ac:dyDescent="0.25">
      <c r="B127" s="13"/>
      <c r="C127" s="14"/>
      <c r="D127" s="60"/>
      <c r="E127" s="56"/>
      <c r="F127" s="56"/>
      <c r="G127" s="128"/>
      <c r="H127" s="56"/>
      <c r="I127" s="14"/>
      <c r="J127" s="14"/>
      <c r="K127" s="14"/>
      <c r="L127" s="14"/>
      <c r="M127" s="14"/>
      <c r="N127" s="14"/>
      <c r="O127" s="14"/>
      <c r="P127" s="14"/>
      <c r="Q127" s="14"/>
      <c r="R127" s="14"/>
      <c r="S127" s="14"/>
      <c r="T127" s="14"/>
      <c r="U127" s="14"/>
      <c r="V127" s="14"/>
      <c r="W127" s="14"/>
      <c r="X127" s="14"/>
      <c r="Y127" s="14"/>
      <c r="Z127" s="14"/>
      <c r="AA127" s="15"/>
      <c r="AB127" s="3"/>
      <c r="AC127" s="3"/>
      <c r="AD127" s="3"/>
      <c r="AE127" s="3"/>
      <c r="AF127" s="3"/>
      <c r="AG127" s="3"/>
      <c r="AH127" s="3"/>
      <c r="AI127" s="3"/>
      <c r="AJ127" s="3"/>
      <c r="AK127" s="3"/>
      <c r="AL127" s="3"/>
      <c r="AM127" s="3"/>
      <c r="AN127" s="3"/>
      <c r="AO127" s="3"/>
    </row>
    <row r="128" spans="2:41" s="171" customFormat="1" x14ac:dyDescent="0.25">
      <c r="B128" s="13"/>
      <c r="C128" s="14"/>
      <c r="D128" s="60"/>
      <c r="E128" s="56"/>
      <c r="F128" s="56"/>
      <c r="G128" s="14"/>
      <c r="H128" s="56"/>
      <c r="I128" s="14"/>
      <c r="J128" s="14"/>
      <c r="K128" s="14"/>
      <c r="L128" s="14"/>
      <c r="M128" s="14"/>
      <c r="N128" s="14"/>
      <c r="O128" s="14"/>
      <c r="P128" s="14"/>
      <c r="Q128" s="14"/>
      <c r="R128" s="14"/>
      <c r="S128" s="14"/>
      <c r="T128" s="14"/>
      <c r="U128" s="14"/>
      <c r="V128" s="14"/>
      <c r="W128" s="14"/>
      <c r="X128" s="14"/>
      <c r="Y128" s="14"/>
      <c r="Z128" s="14"/>
      <c r="AA128" s="15"/>
      <c r="AB128" s="3"/>
      <c r="AC128" s="3"/>
      <c r="AD128" s="3"/>
      <c r="AE128" s="3"/>
      <c r="AF128" s="3"/>
      <c r="AG128" s="3"/>
      <c r="AH128" s="3"/>
      <c r="AI128" s="3"/>
      <c r="AJ128" s="3"/>
      <c r="AK128" s="3"/>
      <c r="AL128" s="3"/>
      <c r="AM128" s="3"/>
      <c r="AN128" s="3"/>
      <c r="AO128" s="3"/>
    </row>
    <row r="129" spans="2:41" s="171" customFormat="1" x14ac:dyDescent="0.25">
      <c r="B129" s="13"/>
      <c r="C129" s="14"/>
      <c r="D129" s="60"/>
      <c r="E129" s="56"/>
      <c r="F129" s="56"/>
      <c r="G129" s="14"/>
      <c r="H129" s="56"/>
      <c r="I129" s="14"/>
      <c r="J129" s="14"/>
      <c r="K129" s="14"/>
      <c r="L129" s="14"/>
      <c r="M129" s="14"/>
      <c r="N129" s="14"/>
      <c r="O129" s="14"/>
      <c r="P129" s="14"/>
      <c r="Q129" s="14"/>
      <c r="R129" s="14"/>
      <c r="S129" s="14"/>
      <c r="T129" s="14"/>
      <c r="U129" s="14"/>
      <c r="V129" s="14"/>
      <c r="W129" s="14"/>
      <c r="X129" s="14"/>
      <c r="Y129" s="14"/>
      <c r="Z129" s="14"/>
      <c r="AA129" s="15"/>
      <c r="AB129" s="3"/>
      <c r="AC129" s="3"/>
      <c r="AD129" s="3"/>
      <c r="AE129" s="3"/>
      <c r="AF129" s="3"/>
      <c r="AG129" s="3"/>
      <c r="AH129" s="3"/>
      <c r="AI129" s="3"/>
      <c r="AJ129" s="3"/>
      <c r="AK129" s="3"/>
      <c r="AL129" s="3"/>
      <c r="AM129" s="3"/>
      <c r="AN129" s="3"/>
      <c r="AO129" s="3"/>
    </row>
    <row r="130" spans="2:41" s="171" customFormat="1" x14ac:dyDescent="0.25">
      <c r="B130" s="13"/>
      <c r="C130" s="56"/>
      <c r="D130" s="60"/>
      <c r="E130" s="56"/>
      <c r="F130" s="56"/>
      <c r="G130" s="56"/>
      <c r="H130" s="56"/>
      <c r="I130" s="14"/>
      <c r="J130" s="14"/>
      <c r="K130" s="14"/>
      <c r="L130" s="14"/>
      <c r="M130" s="14"/>
      <c r="N130" s="14"/>
      <c r="O130" s="14"/>
      <c r="P130" s="14"/>
      <c r="Q130" s="14"/>
      <c r="R130" s="14"/>
      <c r="S130" s="14"/>
      <c r="T130" s="14"/>
      <c r="U130" s="14"/>
      <c r="V130" s="14"/>
      <c r="W130" s="14"/>
      <c r="X130" s="14"/>
      <c r="Y130" s="14"/>
      <c r="Z130" s="14"/>
      <c r="AA130" s="15"/>
      <c r="AB130" s="3"/>
      <c r="AC130" s="3"/>
      <c r="AD130" s="3"/>
      <c r="AE130" s="3"/>
      <c r="AF130" s="3"/>
      <c r="AG130" s="3"/>
      <c r="AH130" s="3"/>
      <c r="AI130" s="3"/>
      <c r="AJ130" s="3"/>
      <c r="AK130" s="3"/>
      <c r="AL130" s="3"/>
      <c r="AM130" s="3"/>
      <c r="AN130" s="3"/>
      <c r="AO130" s="3"/>
    </row>
    <row r="131" spans="2:41" s="171" customFormat="1" x14ac:dyDescent="0.25">
      <c r="B131" s="13"/>
      <c r="C131" s="14"/>
      <c r="D131" s="60"/>
      <c r="E131" s="56"/>
      <c r="F131" s="56"/>
      <c r="G131" s="14"/>
      <c r="H131" s="56"/>
      <c r="I131" s="14"/>
      <c r="J131" s="14"/>
      <c r="K131" s="14"/>
      <c r="L131" s="14"/>
      <c r="M131" s="14"/>
      <c r="N131" s="14"/>
      <c r="O131" s="14"/>
      <c r="P131" s="14"/>
      <c r="Q131" s="14"/>
      <c r="R131" s="14"/>
      <c r="S131" s="14"/>
      <c r="T131" s="14"/>
      <c r="U131" s="14"/>
      <c r="V131" s="14"/>
      <c r="W131" s="14"/>
      <c r="X131" s="14"/>
      <c r="Y131" s="14"/>
      <c r="Z131" s="14"/>
      <c r="AA131" s="15"/>
      <c r="AB131" s="3"/>
      <c r="AC131" s="3"/>
      <c r="AD131" s="3"/>
      <c r="AE131" s="3"/>
      <c r="AF131" s="3"/>
      <c r="AG131" s="3"/>
      <c r="AH131" s="3"/>
      <c r="AI131" s="3"/>
      <c r="AJ131" s="3"/>
      <c r="AK131" s="3"/>
      <c r="AL131" s="3"/>
      <c r="AM131" s="3"/>
      <c r="AN131" s="3"/>
      <c r="AO131" s="3"/>
    </row>
    <row r="132" spans="2:41" s="171" customFormat="1" x14ac:dyDescent="0.25">
      <c r="B132" s="13"/>
      <c r="C132" s="14"/>
      <c r="D132" s="14"/>
      <c r="E132" s="56"/>
      <c r="F132" s="56"/>
      <c r="G132" s="14"/>
      <c r="H132" s="56"/>
      <c r="I132" s="14"/>
      <c r="J132" s="14"/>
      <c r="K132" s="14"/>
      <c r="L132" s="14"/>
      <c r="M132" s="14"/>
      <c r="N132" s="14"/>
      <c r="O132" s="14"/>
      <c r="P132" s="14"/>
      <c r="Q132" s="14"/>
      <c r="R132" s="14"/>
      <c r="S132" s="14"/>
      <c r="T132" s="14"/>
      <c r="U132" s="14"/>
      <c r="V132" s="14"/>
      <c r="W132" s="14"/>
      <c r="X132" s="14"/>
      <c r="Y132" s="14"/>
      <c r="Z132" s="14"/>
      <c r="AA132" s="15"/>
      <c r="AB132" s="3"/>
      <c r="AC132" s="3"/>
      <c r="AD132" s="3"/>
      <c r="AE132" s="3"/>
      <c r="AF132" s="3"/>
      <c r="AG132" s="3"/>
      <c r="AH132" s="3"/>
      <c r="AI132" s="3"/>
      <c r="AJ132" s="3"/>
      <c r="AK132" s="3"/>
      <c r="AL132" s="3"/>
      <c r="AM132" s="3"/>
      <c r="AN132" s="3"/>
      <c r="AO132" s="3"/>
    </row>
    <row r="133" spans="2:41" s="171" customFormat="1" x14ac:dyDescent="0.25">
      <c r="B133" s="13"/>
      <c r="C133" s="14"/>
      <c r="D133" s="60"/>
      <c r="E133" s="56"/>
      <c r="F133" s="56"/>
      <c r="G133" s="57"/>
      <c r="H133" s="14"/>
      <c r="I133" s="14"/>
      <c r="J133" s="14"/>
      <c r="K133" s="14"/>
      <c r="L133" s="14"/>
      <c r="M133" s="14"/>
      <c r="N133" s="14"/>
      <c r="O133" s="14"/>
      <c r="P133" s="14"/>
      <c r="Q133" s="14"/>
      <c r="R133" s="14"/>
      <c r="S133" s="14"/>
      <c r="T133" s="14"/>
      <c r="U133" s="14"/>
      <c r="V133" s="14"/>
      <c r="W133" s="14"/>
      <c r="X133" s="14"/>
      <c r="Y133" s="14"/>
      <c r="Z133" s="14"/>
      <c r="AA133" s="15"/>
      <c r="AB133" s="3"/>
      <c r="AC133" s="3"/>
      <c r="AD133" s="3"/>
      <c r="AE133" s="3"/>
      <c r="AF133" s="3"/>
      <c r="AG133" s="3"/>
      <c r="AH133" s="3"/>
      <c r="AI133" s="3"/>
      <c r="AJ133" s="3"/>
      <c r="AK133" s="3"/>
      <c r="AL133" s="3"/>
      <c r="AM133" s="3"/>
      <c r="AN133" s="3"/>
      <c r="AO133" s="3"/>
    </row>
    <row r="134" spans="2:41" s="171" customFormat="1" x14ac:dyDescent="0.25">
      <c r="B134" s="13"/>
      <c r="C134" s="14"/>
      <c r="D134" s="60"/>
      <c r="E134" s="56"/>
      <c r="F134" s="56"/>
      <c r="G134" s="128"/>
      <c r="H134" s="56"/>
      <c r="I134" s="14"/>
      <c r="J134" s="14"/>
      <c r="K134" s="14"/>
      <c r="L134" s="14"/>
      <c r="M134" s="14"/>
      <c r="N134" s="14"/>
      <c r="O134" s="14"/>
      <c r="P134" s="14"/>
      <c r="Q134" s="14"/>
      <c r="R134" s="14"/>
      <c r="S134" s="14"/>
      <c r="T134" s="14"/>
      <c r="U134" s="14"/>
      <c r="V134" s="14"/>
      <c r="W134" s="14"/>
      <c r="X134" s="14"/>
      <c r="Y134" s="14"/>
      <c r="Z134" s="14"/>
      <c r="AA134" s="15"/>
      <c r="AB134" s="3"/>
      <c r="AC134" s="3"/>
      <c r="AD134" s="3"/>
      <c r="AE134" s="3"/>
      <c r="AF134" s="3"/>
      <c r="AG134" s="3"/>
      <c r="AH134" s="3"/>
      <c r="AI134" s="3"/>
      <c r="AJ134" s="3"/>
      <c r="AK134" s="3"/>
      <c r="AL134" s="3"/>
      <c r="AM134" s="3"/>
      <c r="AN134" s="3"/>
      <c r="AO134" s="3"/>
    </row>
    <row r="135" spans="2:41" s="171" customFormat="1" x14ac:dyDescent="0.25">
      <c r="B135" s="13"/>
      <c r="C135" s="14"/>
      <c r="D135" s="60"/>
      <c r="E135" s="56"/>
      <c r="F135" s="56"/>
      <c r="G135" s="14"/>
      <c r="H135" s="56"/>
      <c r="I135" s="14"/>
      <c r="J135" s="14"/>
      <c r="K135" s="14"/>
      <c r="L135" s="14"/>
      <c r="M135" s="14"/>
      <c r="N135" s="14"/>
      <c r="O135" s="14"/>
      <c r="P135" s="14"/>
      <c r="Q135" s="14"/>
      <c r="R135" s="14"/>
      <c r="S135" s="14"/>
      <c r="T135" s="14"/>
      <c r="U135" s="14"/>
      <c r="V135" s="14"/>
      <c r="W135" s="14"/>
      <c r="X135" s="14"/>
      <c r="Y135" s="14"/>
      <c r="Z135" s="14"/>
      <c r="AA135" s="15"/>
      <c r="AB135" s="3"/>
      <c r="AC135" s="3"/>
      <c r="AD135" s="3"/>
      <c r="AE135" s="3"/>
      <c r="AF135" s="3"/>
      <c r="AG135" s="3"/>
      <c r="AH135" s="3"/>
      <c r="AI135" s="3"/>
      <c r="AJ135" s="3"/>
      <c r="AK135" s="3"/>
      <c r="AL135" s="3"/>
      <c r="AM135" s="3"/>
      <c r="AN135" s="3"/>
      <c r="AO135" s="3"/>
    </row>
    <row r="136" spans="2:41" s="171" customFormat="1" x14ac:dyDescent="0.25">
      <c r="B136" s="13"/>
      <c r="C136" s="14"/>
      <c r="D136" s="60"/>
      <c r="E136" s="56"/>
      <c r="F136" s="56"/>
      <c r="G136" s="14"/>
      <c r="H136" s="56"/>
      <c r="I136" s="14"/>
      <c r="J136" s="14"/>
      <c r="K136" s="14"/>
      <c r="L136" s="14"/>
      <c r="M136" s="14"/>
      <c r="N136" s="14"/>
      <c r="O136" s="14"/>
      <c r="P136" s="14"/>
      <c r="Q136" s="14"/>
      <c r="R136" s="14"/>
      <c r="S136" s="14"/>
      <c r="T136" s="14"/>
      <c r="U136" s="14"/>
      <c r="V136" s="14"/>
      <c r="W136" s="14"/>
      <c r="X136" s="14"/>
      <c r="Y136" s="14"/>
      <c r="Z136" s="14"/>
      <c r="AA136" s="15"/>
      <c r="AB136" s="3"/>
      <c r="AC136" s="3"/>
      <c r="AD136" s="3"/>
      <c r="AE136" s="3"/>
      <c r="AF136" s="3"/>
      <c r="AG136" s="3"/>
      <c r="AH136" s="3"/>
      <c r="AI136" s="3"/>
      <c r="AJ136" s="3"/>
      <c r="AK136" s="3"/>
      <c r="AL136" s="3"/>
      <c r="AM136" s="3"/>
      <c r="AN136" s="3"/>
      <c r="AO136" s="3"/>
    </row>
    <row r="137" spans="2:41" s="171" customFormat="1" x14ac:dyDescent="0.25">
      <c r="B137" s="13"/>
      <c r="C137" s="56"/>
      <c r="D137" s="60"/>
      <c r="E137" s="56"/>
      <c r="F137" s="56"/>
      <c r="G137" s="56"/>
      <c r="H137" s="56"/>
      <c r="I137" s="14"/>
      <c r="J137" s="14"/>
      <c r="K137" s="14"/>
      <c r="L137" s="14"/>
      <c r="M137" s="14"/>
      <c r="N137" s="14"/>
      <c r="O137" s="14"/>
      <c r="P137" s="14"/>
      <c r="Q137" s="14"/>
      <c r="R137" s="14"/>
      <c r="S137" s="14"/>
      <c r="T137" s="14"/>
      <c r="U137" s="14"/>
      <c r="V137" s="14"/>
      <c r="W137" s="14"/>
      <c r="X137" s="14"/>
      <c r="Y137" s="14"/>
      <c r="Z137" s="14"/>
      <c r="AA137" s="15"/>
      <c r="AB137" s="3"/>
      <c r="AC137" s="3"/>
      <c r="AD137" s="3"/>
      <c r="AE137" s="3"/>
      <c r="AF137" s="3"/>
      <c r="AG137" s="3"/>
      <c r="AH137" s="3"/>
      <c r="AI137" s="3"/>
      <c r="AJ137" s="3"/>
      <c r="AK137" s="3"/>
      <c r="AL137" s="3"/>
      <c r="AM137" s="3"/>
      <c r="AN137" s="3"/>
      <c r="AO137" s="3"/>
    </row>
    <row r="138" spans="2:41" s="171" customFormat="1" ht="18.75" x14ac:dyDescent="0.3">
      <c r="B138" s="67"/>
      <c r="C138" s="14"/>
      <c r="D138" s="60"/>
      <c r="E138" s="56"/>
      <c r="F138" s="56"/>
      <c r="G138" s="14"/>
      <c r="H138" s="56"/>
      <c r="I138" s="74"/>
      <c r="J138" s="14"/>
      <c r="K138" s="14"/>
      <c r="L138" s="14"/>
      <c r="M138" s="14"/>
      <c r="N138" s="14"/>
      <c r="O138" s="14"/>
      <c r="P138" s="14"/>
      <c r="Q138" s="14"/>
      <c r="R138" s="14"/>
      <c r="S138" s="14"/>
      <c r="T138" s="14"/>
      <c r="U138" s="14"/>
      <c r="V138" s="14"/>
      <c r="W138" s="14"/>
      <c r="X138" s="14"/>
      <c r="Y138" s="14"/>
      <c r="Z138" s="14"/>
      <c r="AA138" s="15"/>
      <c r="AB138" s="3"/>
      <c r="AC138" s="3"/>
      <c r="AD138" s="3"/>
      <c r="AE138" s="3"/>
      <c r="AF138" s="3"/>
      <c r="AG138" s="3"/>
      <c r="AH138" s="3"/>
      <c r="AI138" s="3"/>
      <c r="AJ138" s="3"/>
      <c r="AK138" s="3"/>
      <c r="AL138" s="3"/>
      <c r="AM138" s="3"/>
      <c r="AN138" s="3"/>
      <c r="AO138" s="3"/>
    </row>
    <row r="139" spans="2:41" s="171" customFormat="1" x14ac:dyDescent="0.25">
      <c r="B139" s="13"/>
      <c r="C139" s="14"/>
      <c r="D139" s="14"/>
      <c r="E139" s="56"/>
      <c r="F139" s="56"/>
      <c r="G139" s="14"/>
      <c r="H139" s="56"/>
      <c r="I139" s="14"/>
      <c r="J139" s="14"/>
      <c r="K139" s="14"/>
      <c r="L139" s="14"/>
      <c r="M139" s="14"/>
      <c r="N139" s="14"/>
      <c r="O139" s="14"/>
      <c r="P139" s="14"/>
      <c r="Q139" s="14"/>
      <c r="R139" s="14"/>
      <c r="S139" s="14"/>
      <c r="T139" s="14"/>
      <c r="U139" s="14"/>
      <c r="V139" s="14"/>
      <c r="W139" s="14"/>
      <c r="X139" s="14"/>
      <c r="Y139" s="14"/>
      <c r="Z139" s="14"/>
      <c r="AA139" s="15"/>
      <c r="AB139" s="3"/>
      <c r="AC139" s="3"/>
      <c r="AD139" s="3"/>
      <c r="AE139" s="3"/>
      <c r="AF139" s="3"/>
      <c r="AG139" s="3"/>
      <c r="AH139" s="3"/>
      <c r="AI139" s="3"/>
      <c r="AJ139" s="3"/>
      <c r="AK139" s="3"/>
      <c r="AL139" s="3"/>
      <c r="AM139" s="3"/>
      <c r="AN139" s="3"/>
      <c r="AO139" s="3"/>
    </row>
    <row r="140" spans="2:41" s="171" customFormat="1" x14ac:dyDescent="0.25">
      <c r="B140" s="13"/>
      <c r="C140" s="14"/>
      <c r="D140" s="60"/>
      <c r="E140" s="56"/>
      <c r="F140" s="56"/>
      <c r="G140" s="57"/>
      <c r="H140" s="14"/>
      <c r="I140" s="14"/>
      <c r="J140" s="14"/>
      <c r="K140" s="14"/>
      <c r="L140" s="14"/>
      <c r="M140" s="14"/>
      <c r="N140" s="14"/>
      <c r="O140" s="14"/>
      <c r="P140" s="14"/>
      <c r="Q140" s="14"/>
      <c r="R140" s="14"/>
      <c r="S140" s="14"/>
      <c r="T140" s="14"/>
      <c r="U140" s="14"/>
      <c r="V140" s="14"/>
      <c r="W140" s="14"/>
      <c r="X140" s="14"/>
      <c r="Y140" s="14"/>
      <c r="Z140" s="14"/>
      <c r="AA140" s="15"/>
      <c r="AB140" s="3"/>
      <c r="AC140" s="3"/>
      <c r="AD140" s="3"/>
      <c r="AE140" s="3"/>
      <c r="AF140" s="3"/>
      <c r="AG140" s="3"/>
      <c r="AH140" s="3"/>
      <c r="AI140" s="3"/>
      <c r="AJ140" s="3"/>
      <c r="AK140" s="3"/>
      <c r="AL140" s="3"/>
      <c r="AM140" s="3"/>
      <c r="AN140" s="3"/>
      <c r="AO140" s="3"/>
    </row>
    <row r="141" spans="2:41" s="171" customFormat="1" x14ac:dyDescent="0.25">
      <c r="B141" s="13"/>
      <c r="C141" s="14"/>
      <c r="D141" s="60"/>
      <c r="E141" s="56"/>
      <c r="F141" s="56"/>
      <c r="G141" s="128"/>
      <c r="H141" s="56"/>
      <c r="I141" s="14"/>
      <c r="J141" s="14"/>
      <c r="K141" s="14"/>
      <c r="L141" s="14"/>
      <c r="M141" s="14"/>
      <c r="N141" s="14"/>
      <c r="O141" s="14"/>
      <c r="P141" s="14"/>
      <c r="Q141" s="14"/>
      <c r="R141" s="14"/>
      <c r="S141" s="14"/>
      <c r="T141" s="14"/>
      <c r="U141" s="14"/>
      <c r="V141" s="14"/>
      <c r="W141" s="14"/>
      <c r="X141" s="14"/>
      <c r="Y141" s="14"/>
      <c r="Z141" s="14"/>
      <c r="AA141" s="15"/>
      <c r="AB141" s="3"/>
      <c r="AC141" s="3"/>
      <c r="AD141" s="3"/>
      <c r="AE141" s="3"/>
      <c r="AF141" s="3"/>
      <c r="AG141" s="3"/>
      <c r="AH141" s="3"/>
      <c r="AI141" s="3"/>
      <c r="AJ141" s="3"/>
      <c r="AK141" s="3"/>
      <c r="AL141" s="3"/>
      <c r="AM141" s="3"/>
      <c r="AN141" s="3"/>
      <c r="AO141" s="3"/>
    </row>
    <row r="142" spans="2:41" s="171" customFormat="1" x14ac:dyDescent="0.25">
      <c r="B142" s="13"/>
      <c r="C142" s="14"/>
      <c r="D142" s="60"/>
      <c r="E142" s="56"/>
      <c r="F142" s="56"/>
      <c r="G142" s="14"/>
      <c r="H142" s="56"/>
      <c r="I142" s="14"/>
      <c r="J142" s="14"/>
      <c r="K142" s="14"/>
      <c r="L142" s="14"/>
      <c r="M142" s="14"/>
      <c r="N142" s="14"/>
      <c r="O142" s="14"/>
      <c r="P142" s="14"/>
      <c r="Q142" s="14"/>
      <c r="R142" s="14"/>
      <c r="S142" s="14"/>
      <c r="T142" s="14"/>
      <c r="U142" s="14"/>
      <c r="V142" s="14"/>
      <c r="W142" s="14"/>
      <c r="X142" s="14"/>
      <c r="Y142" s="14"/>
      <c r="Z142" s="14"/>
      <c r="AA142" s="15"/>
      <c r="AB142" s="3"/>
      <c r="AC142" s="3"/>
      <c r="AD142" s="3"/>
      <c r="AE142" s="3"/>
      <c r="AF142" s="3"/>
      <c r="AG142" s="3"/>
      <c r="AH142" s="3"/>
      <c r="AI142" s="3"/>
      <c r="AJ142" s="3"/>
      <c r="AK142" s="3"/>
      <c r="AL142" s="3"/>
      <c r="AM142" s="3"/>
      <c r="AN142" s="3"/>
      <c r="AO142" s="3"/>
    </row>
    <row r="143" spans="2:41" s="171" customFormat="1" x14ac:dyDescent="0.25">
      <c r="B143" s="13"/>
      <c r="C143" s="14"/>
      <c r="D143" s="60"/>
      <c r="E143" s="56"/>
      <c r="F143" s="56"/>
      <c r="G143" s="14"/>
      <c r="H143" s="56"/>
      <c r="I143" s="14"/>
      <c r="J143" s="14"/>
      <c r="K143" s="14"/>
      <c r="L143" s="14"/>
      <c r="M143" s="14"/>
      <c r="N143" s="14"/>
      <c r="O143" s="14"/>
      <c r="P143" s="14"/>
      <c r="Q143" s="14"/>
      <c r="R143" s="14"/>
      <c r="S143" s="14"/>
      <c r="T143" s="14"/>
      <c r="U143" s="14"/>
      <c r="V143" s="14"/>
      <c r="W143" s="14"/>
      <c r="X143" s="14"/>
      <c r="Y143" s="14"/>
      <c r="Z143" s="14"/>
      <c r="AA143" s="15"/>
      <c r="AB143" s="3"/>
      <c r="AC143" s="3"/>
      <c r="AD143" s="3"/>
      <c r="AE143" s="3"/>
      <c r="AF143" s="3"/>
      <c r="AG143" s="3"/>
      <c r="AH143" s="3"/>
      <c r="AI143" s="3"/>
      <c r="AJ143" s="3"/>
      <c r="AK143" s="3"/>
      <c r="AL143" s="3"/>
      <c r="AM143" s="3"/>
      <c r="AN143" s="3"/>
      <c r="AO143" s="3"/>
    </row>
    <row r="144" spans="2:41" s="171" customFormat="1" x14ac:dyDescent="0.25">
      <c r="B144" s="13"/>
      <c r="C144" s="56"/>
      <c r="D144" s="60"/>
      <c r="E144" s="56"/>
      <c r="F144" s="56"/>
      <c r="G144" s="56"/>
      <c r="H144" s="56"/>
      <c r="I144" s="14"/>
      <c r="J144" s="14"/>
      <c r="K144" s="14"/>
      <c r="L144" s="14"/>
      <c r="M144" s="14"/>
      <c r="N144" s="14"/>
      <c r="O144" s="14"/>
      <c r="P144" s="14"/>
      <c r="Q144" s="14"/>
      <c r="R144" s="14"/>
      <c r="S144" s="14"/>
      <c r="T144" s="14"/>
      <c r="U144" s="14"/>
      <c r="V144" s="14"/>
      <c r="W144" s="14"/>
      <c r="X144" s="14"/>
      <c r="Y144" s="14"/>
      <c r="Z144" s="14"/>
      <c r="AA144" s="15"/>
      <c r="AB144" s="3"/>
      <c r="AC144" s="3"/>
      <c r="AD144" s="3"/>
      <c r="AE144" s="3"/>
      <c r="AF144" s="3"/>
      <c r="AG144" s="3"/>
      <c r="AH144" s="3"/>
      <c r="AI144" s="3"/>
      <c r="AJ144" s="3"/>
      <c r="AK144" s="3"/>
      <c r="AL144" s="3"/>
      <c r="AM144" s="3"/>
      <c r="AN144" s="3"/>
      <c r="AO144" s="3"/>
    </row>
    <row r="145" spans="2:41" s="171" customFormat="1" x14ac:dyDescent="0.25">
      <c r="B145" s="13"/>
      <c r="C145" s="14"/>
      <c r="D145" s="60"/>
      <c r="E145" s="56"/>
      <c r="F145" s="56"/>
      <c r="G145" s="14"/>
      <c r="H145" s="56"/>
      <c r="I145" s="14"/>
      <c r="J145" s="14"/>
      <c r="K145" s="14"/>
      <c r="L145" s="14"/>
      <c r="M145" s="14"/>
      <c r="N145" s="14"/>
      <c r="O145" s="14"/>
      <c r="P145" s="14"/>
      <c r="Q145" s="14"/>
      <c r="R145" s="14"/>
      <c r="S145" s="14"/>
      <c r="T145" s="14"/>
      <c r="U145" s="14"/>
      <c r="V145" s="14"/>
      <c r="W145" s="14"/>
      <c r="X145" s="14"/>
      <c r="Y145" s="14"/>
      <c r="Z145" s="14"/>
      <c r="AA145" s="15"/>
      <c r="AB145" s="3"/>
      <c r="AC145" s="3"/>
      <c r="AD145" s="3"/>
      <c r="AE145" s="3"/>
      <c r="AF145" s="3"/>
      <c r="AG145" s="3"/>
      <c r="AH145" s="3"/>
      <c r="AI145" s="3"/>
      <c r="AJ145" s="3"/>
      <c r="AK145" s="3"/>
      <c r="AL145" s="3"/>
      <c r="AM145" s="3"/>
      <c r="AN145" s="3"/>
      <c r="AO145" s="3"/>
    </row>
    <row r="146" spans="2:41" s="171" customFormat="1" x14ac:dyDescent="0.25">
      <c r="B146" s="13"/>
      <c r="C146" s="14"/>
      <c r="D146" s="14"/>
      <c r="E146" s="56"/>
      <c r="F146" s="56"/>
      <c r="G146" s="14"/>
      <c r="H146" s="56"/>
      <c r="I146" s="14"/>
      <c r="J146" s="14"/>
      <c r="K146" s="14"/>
      <c r="L146" s="14"/>
      <c r="M146" s="14"/>
      <c r="N146" s="14"/>
      <c r="O146" s="14"/>
      <c r="P146" s="14"/>
      <c r="Q146" s="14"/>
      <c r="R146" s="14"/>
      <c r="S146" s="14"/>
      <c r="T146" s="14"/>
      <c r="U146" s="14"/>
      <c r="V146" s="14"/>
      <c r="W146" s="14"/>
      <c r="X146" s="14"/>
      <c r="Y146" s="14"/>
      <c r="Z146" s="14"/>
      <c r="AA146" s="15"/>
      <c r="AB146" s="3"/>
      <c r="AC146" s="3"/>
      <c r="AD146" s="3"/>
      <c r="AE146" s="3"/>
      <c r="AF146" s="3"/>
      <c r="AG146" s="3"/>
      <c r="AH146" s="3"/>
      <c r="AI146" s="3"/>
      <c r="AJ146" s="3"/>
      <c r="AK146" s="3"/>
      <c r="AL146" s="3"/>
      <c r="AM146" s="3"/>
      <c r="AN146" s="3"/>
      <c r="AO146" s="3"/>
    </row>
    <row r="147" spans="2:41" s="171" customFormat="1" x14ac:dyDescent="0.25">
      <c r="B147" s="13"/>
      <c r="C147" s="14"/>
      <c r="D147" s="60"/>
      <c r="E147" s="56"/>
      <c r="F147" s="56"/>
      <c r="G147" s="14"/>
      <c r="H147" s="14"/>
      <c r="I147" s="14"/>
      <c r="J147" s="14"/>
      <c r="K147" s="14"/>
      <c r="L147" s="14"/>
      <c r="M147" s="14"/>
      <c r="N147" s="14"/>
      <c r="O147" s="14"/>
      <c r="P147" s="14"/>
      <c r="Q147" s="14"/>
      <c r="R147" s="14"/>
      <c r="S147" s="14"/>
      <c r="T147" s="14"/>
      <c r="U147" s="14"/>
      <c r="V147" s="14"/>
      <c r="W147" s="14"/>
      <c r="X147" s="14"/>
      <c r="Y147" s="14"/>
      <c r="Z147" s="14"/>
      <c r="AA147" s="15"/>
      <c r="AB147" s="3"/>
      <c r="AC147" s="3"/>
      <c r="AD147" s="3"/>
      <c r="AE147" s="3"/>
      <c r="AF147" s="3"/>
      <c r="AG147" s="3"/>
      <c r="AH147" s="3"/>
      <c r="AI147" s="3"/>
      <c r="AJ147" s="3"/>
      <c r="AK147" s="3"/>
      <c r="AL147" s="3"/>
      <c r="AM147" s="3"/>
      <c r="AN147" s="3"/>
      <c r="AO147" s="3"/>
    </row>
    <row r="148" spans="2:41" s="171" customFormat="1" x14ac:dyDescent="0.25">
      <c r="B148" s="13"/>
      <c r="C148" s="14"/>
      <c r="D148" s="60"/>
      <c r="E148" s="56"/>
      <c r="F148" s="56"/>
      <c r="G148" s="14"/>
      <c r="H148" s="56"/>
      <c r="I148" s="14"/>
      <c r="J148" s="14"/>
      <c r="K148" s="14"/>
      <c r="L148" s="14"/>
      <c r="M148" s="14"/>
      <c r="N148" s="14"/>
      <c r="O148" s="14"/>
      <c r="P148" s="14"/>
      <c r="Q148" s="14"/>
      <c r="R148" s="14"/>
      <c r="S148" s="14"/>
      <c r="T148" s="14"/>
      <c r="U148" s="14"/>
      <c r="V148" s="14"/>
      <c r="W148" s="14"/>
      <c r="X148" s="14"/>
      <c r="Y148" s="14"/>
      <c r="Z148" s="14"/>
      <c r="AA148" s="15"/>
      <c r="AB148" s="3"/>
      <c r="AC148" s="3"/>
      <c r="AD148" s="3"/>
      <c r="AE148" s="3"/>
      <c r="AF148" s="3"/>
      <c r="AG148" s="3"/>
      <c r="AH148" s="3"/>
      <c r="AI148" s="3"/>
      <c r="AJ148" s="3"/>
      <c r="AK148" s="3"/>
      <c r="AL148" s="3"/>
      <c r="AM148" s="3"/>
      <c r="AN148" s="3"/>
      <c r="AO148" s="3"/>
    </row>
    <row r="149" spans="2:41" s="171" customFormat="1" x14ac:dyDescent="0.25">
      <c r="B149" s="13"/>
      <c r="C149" s="14"/>
      <c r="D149" s="60"/>
      <c r="E149" s="56"/>
      <c r="F149" s="56"/>
      <c r="G149" s="14"/>
      <c r="H149" s="56"/>
      <c r="I149" s="14"/>
      <c r="J149" s="14"/>
      <c r="K149" s="14"/>
      <c r="L149" s="14"/>
      <c r="M149" s="14"/>
      <c r="N149" s="14"/>
      <c r="O149" s="14"/>
      <c r="P149" s="14"/>
      <c r="Q149" s="14"/>
      <c r="R149" s="14"/>
      <c r="S149" s="14"/>
      <c r="T149" s="14"/>
      <c r="U149" s="14"/>
      <c r="V149" s="14"/>
      <c r="W149" s="14"/>
      <c r="X149" s="14"/>
      <c r="Y149" s="14"/>
      <c r="Z149" s="14"/>
      <c r="AA149" s="15"/>
      <c r="AB149" s="3"/>
      <c r="AC149" s="3"/>
      <c r="AD149" s="3"/>
      <c r="AE149" s="3"/>
      <c r="AF149" s="3"/>
      <c r="AG149" s="3"/>
      <c r="AH149" s="3"/>
      <c r="AI149" s="3"/>
      <c r="AJ149" s="3"/>
      <c r="AK149" s="3"/>
      <c r="AL149" s="3"/>
      <c r="AM149" s="3"/>
      <c r="AN149" s="3"/>
      <c r="AO149" s="3"/>
    </row>
    <row r="150" spans="2:41" s="171" customFormat="1" x14ac:dyDescent="0.25">
      <c r="B150" s="13"/>
      <c r="C150" s="14"/>
      <c r="D150" s="60"/>
      <c r="E150" s="56"/>
      <c r="F150" s="56"/>
      <c r="G150" s="14"/>
      <c r="H150" s="56"/>
      <c r="I150" s="14"/>
      <c r="J150" s="14"/>
      <c r="K150" s="14"/>
      <c r="L150" s="14"/>
      <c r="M150" s="14"/>
      <c r="N150" s="14"/>
      <c r="O150" s="14"/>
      <c r="P150" s="14"/>
      <c r="Q150" s="14"/>
      <c r="R150" s="14"/>
      <c r="S150" s="14"/>
      <c r="T150" s="14"/>
      <c r="U150" s="14"/>
      <c r="V150" s="14"/>
      <c r="W150" s="14"/>
      <c r="X150" s="14"/>
      <c r="Y150" s="14"/>
      <c r="Z150" s="14"/>
      <c r="AA150" s="15"/>
      <c r="AB150" s="3"/>
      <c r="AC150" s="3"/>
      <c r="AD150" s="3"/>
      <c r="AE150" s="3"/>
      <c r="AF150" s="3"/>
      <c r="AG150" s="3"/>
      <c r="AH150" s="3"/>
      <c r="AI150" s="3"/>
      <c r="AJ150" s="3"/>
      <c r="AK150" s="3"/>
      <c r="AL150" s="3"/>
      <c r="AM150" s="3"/>
      <c r="AN150" s="3"/>
      <c r="AO150" s="3"/>
    </row>
    <row r="151" spans="2:41" s="171" customFormat="1" x14ac:dyDescent="0.25">
      <c r="B151" s="13"/>
      <c r="C151" s="56"/>
      <c r="D151" s="60"/>
      <c r="E151" s="56"/>
      <c r="F151" s="56"/>
      <c r="G151" s="56"/>
      <c r="H151" s="56"/>
      <c r="I151" s="14"/>
      <c r="J151" s="14"/>
      <c r="K151" s="14"/>
      <c r="L151" s="14"/>
      <c r="M151" s="14"/>
      <c r="N151" s="14"/>
      <c r="O151" s="14"/>
      <c r="P151" s="14"/>
      <c r="Q151" s="14"/>
      <c r="R151" s="14"/>
      <c r="S151" s="14"/>
      <c r="T151" s="14"/>
      <c r="U151" s="14"/>
      <c r="V151" s="14"/>
      <c r="W151" s="14"/>
      <c r="X151" s="14"/>
      <c r="Y151" s="14"/>
      <c r="Z151" s="14"/>
      <c r="AA151" s="15"/>
      <c r="AB151" s="3"/>
      <c r="AC151" s="3"/>
      <c r="AD151" s="3"/>
      <c r="AE151" s="3"/>
      <c r="AF151" s="3"/>
      <c r="AG151" s="3"/>
      <c r="AH151" s="3"/>
      <c r="AI151" s="3"/>
      <c r="AJ151" s="3"/>
      <c r="AK151" s="3"/>
      <c r="AL151" s="3"/>
      <c r="AM151" s="3"/>
      <c r="AN151" s="3"/>
      <c r="AO151" s="3"/>
    </row>
    <row r="152" spans="2:41" s="171" customFormat="1" ht="18.75" x14ac:dyDescent="0.3">
      <c r="B152" s="67"/>
      <c r="C152" s="14"/>
      <c r="D152" s="60"/>
      <c r="E152" s="56"/>
      <c r="F152" s="56"/>
      <c r="G152" s="14"/>
      <c r="H152" s="56"/>
      <c r="I152" s="74"/>
      <c r="J152" s="14"/>
      <c r="K152" s="14"/>
      <c r="L152" s="14"/>
      <c r="M152" s="14"/>
      <c r="N152" s="14"/>
      <c r="O152" s="14"/>
      <c r="P152" s="14"/>
      <c r="Q152" s="14"/>
      <c r="R152" s="14"/>
      <c r="S152" s="14"/>
      <c r="T152" s="14"/>
      <c r="U152" s="14"/>
      <c r="V152" s="14"/>
      <c r="W152" s="14"/>
      <c r="X152" s="14"/>
      <c r="Y152" s="14"/>
      <c r="Z152" s="14"/>
      <c r="AA152" s="15"/>
      <c r="AB152" s="3"/>
      <c r="AC152" s="3"/>
      <c r="AD152" s="3"/>
      <c r="AE152" s="3"/>
      <c r="AF152" s="3"/>
      <c r="AG152" s="3"/>
      <c r="AH152" s="3"/>
      <c r="AI152" s="3"/>
      <c r="AJ152" s="3"/>
      <c r="AK152" s="3"/>
      <c r="AL152" s="3"/>
      <c r="AM152" s="3"/>
      <c r="AN152" s="3"/>
      <c r="AO152" s="3"/>
    </row>
    <row r="153" spans="2:41" s="171" customFormat="1" x14ac:dyDescent="0.25">
      <c r="B153" s="13"/>
      <c r="C153" s="14"/>
      <c r="D153" s="14"/>
      <c r="E153" s="56"/>
      <c r="F153" s="56"/>
      <c r="G153" s="14"/>
      <c r="H153" s="56"/>
      <c r="I153" s="14"/>
      <c r="J153" s="14"/>
      <c r="K153" s="14"/>
      <c r="L153" s="14"/>
      <c r="M153" s="14"/>
      <c r="N153" s="14"/>
      <c r="O153" s="14"/>
      <c r="P153" s="14"/>
      <c r="Q153" s="14"/>
      <c r="R153" s="14"/>
      <c r="S153" s="14"/>
      <c r="T153" s="14"/>
      <c r="U153" s="14"/>
      <c r="V153" s="14"/>
      <c r="W153" s="14"/>
      <c r="X153" s="14"/>
      <c r="Y153" s="14"/>
      <c r="Z153" s="14"/>
      <c r="AA153" s="15"/>
      <c r="AB153" s="3"/>
      <c r="AC153" s="3"/>
      <c r="AD153" s="3"/>
      <c r="AE153" s="3"/>
      <c r="AF153" s="3"/>
      <c r="AG153" s="3"/>
      <c r="AH153" s="3"/>
      <c r="AI153" s="3"/>
      <c r="AJ153" s="3"/>
      <c r="AK153" s="3"/>
      <c r="AL153" s="3"/>
      <c r="AM153" s="3"/>
      <c r="AN153" s="3"/>
      <c r="AO153" s="3"/>
    </row>
    <row r="154" spans="2:41" s="171" customFormat="1" x14ac:dyDescent="0.25">
      <c r="B154" s="13"/>
      <c r="C154" s="14"/>
      <c r="D154" s="60"/>
      <c r="E154" s="56"/>
      <c r="F154" s="56"/>
      <c r="G154" s="14"/>
      <c r="H154" s="14"/>
      <c r="I154" s="14"/>
      <c r="J154" s="14"/>
      <c r="K154" s="14"/>
      <c r="L154" s="14"/>
      <c r="M154" s="14"/>
      <c r="N154" s="14"/>
      <c r="O154" s="14"/>
      <c r="P154" s="14"/>
      <c r="Q154" s="14"/>
      <c r="R154" s="14"/>
      <c r="S154" s="14"/>
      <c r="T154" s="14"/>
      <c r="U154" s="14"/>
      <c r="V154" s="14"/>
      <c r="W154" s="14"/>
      <c r="X154" s="14"/>
      <c r="Y154" s="14"/>
      <c r="Z154" s="14"/>
      <c r="AA154" s="15"/>
      <c r="AB154" s="3"/>
      <c r="AC154" s="3"/>
      <c r="AD154" s="3"/>
      <c r="AE154" s="3"/>
      <c r="AF154" s="3"/>
      <c r="AG154" s="3"/>
      <c r="AH154" s="3"/>
      <c r="AI154" s="3"/>
      <c r="AJ154" s="3"/>
      <c r="AK154" s="3"/>
      <c r="AL154" s="3"/>
      <c r="AM154" s="3"/>
      <c r="AN154" s="3"/>
      <c r="AO154" s="3"/>
    </row>
    <row r="155" spans="2:41" s="171" customFormat="1" x14ac:dyDescent="0.25">
      <c r="B155" s="13"/>
      <c r="C155" s="14"/>
      <c r="D155" s="60"/>
      <c r="E155" s="56"/>
      <c r="F155" s="56"/>
      <c r="G155" s="14"/>
      <c r="H155" s="56"/>
      <c r="I155" s="14"/>
      <c r="J155" s="14"/>
      <c r="K155" s="14"/>
      <c r="L155" s="14"/>
      <c r="M155" s="14"/>
      <c r="N155" s="14"/>
      <c r="O155" s="14"/>
      <c r="P155" s="14"/>
      <c r="Q155" s="14"/>
      <c r="R155" s="14"/>
      <c r="S155" s="14"/>
      <c r="T155" s="14"/>
      <c r="U155" s="14"/>
      <c r="V155" s="14"/>
      <c r="W155" s="14"/>
      <c r="X155" s="14"/>
      <c r="Y155" s="14"/>
      <c r="Z155" s="14"/>
      <c r="AA155" s="15"/>
      <c r="AB155" s="3"/>
      <c r="AC155" s="3"/>
      <c r="AD155" s="3"/>
      <c r="AE155" s="3"/>
      <c r="AF155" s="3"/>
      <c r="AG155" s="3"/>
      <c r="AH155" s="3"/>
      <c r="AI155" s="3"/>
      <c r="AJ155" s="3"/>
      <c r="AK155" s="3"/>
      <c r="AL155" s="3"/>
      <c r="AM155" s="3"/>
      <c r="AN155" s="3"/>
      <c r="AO155" s="3"/>
    </row>
    <row r="156" spans="2:41" s="171" customFormat="1" x14ac:dyDescent="0.25">
      <c r="B156" s="13"/>
      <c r="C156" s="14"/>
      <c r="D156" s="60"/>
      <c r="E156" s="56"/>
      <c r="F156" s="56"/>
      <c r="G156" s="14"/>
      <c r="H156" s="56"/>
      <c r="I156" s="14"/>
      <c r="J156" s="14"/>
      <c r="K156" s="14"/>
      <c r="L156" s="14"/>
      <c r="M156" s="14"/>
      <c r="N156" s="14"/>
      <c r="O156" s="14"/>
      <c r="P156" s="14"/>
      <c r="Q156" s="14"/>
      <c r="R156" s="14"/>
      <c r="S156" s="14"/>
      <c r="T156" s="14"/>
      <c r="U156" s="14"/>
      <c r="V156" s="14"/>
      <c r="W156" s="14"/>
      <c r="X156" s="14"/>
      <c r="Y156" s="14"/>
      <c r="Z156" s="14"/>
      <c r="AA156" s="15"/>
      <c r="AB156" s="3"/>
      <c r="AC156" s="3"/>
      <c r="AD156" s="3"/>
      <c r="AE156" s="3"/>
      <c r="AF156" s="3"/>
      <c r="AG156" s="3"/>
      <c r="AH156" s="3"/>
      <c r="AI156" s="3"/>
      <c r="AJ156" s="3"/>
      <c r="AK156" s="3"/>
      <c r="AL156" s="3"/>
      <c r="AM156" s="3"/>
      <c r="AN156" s="3"/>
      <c r="AO156" s="3"/>
    </row>
    <row r="157" spans="2:41" s="171" customFormat="1" x14ac:dyDescent="0.25">
      <c r="B157" s="13"/>
      <c r="C157" s="14"/>
      <c r="D157" s="60"/>
      <c r="E157" s="56"/>
      <c r="F157" s="56"/>
      <c r="G157" s="14"/>
      <c r="H157" s="56"/>
      <c r="I157" s="14"/>
      <c r="J157" s="14"/>
      <c r="K157" s="14"/>
      <c r="L157" s="14"/>
      <c r="M157" s="14"/>
      <c r="N157" s="14"/>
      <c r="O157" s="14"/>
      <c r="P157" s="14"/>
      <c r="Q157" s="14"/>
      <c r="R157" s="14"/>
      <c r="S157" s="14"/>
      <c r="T157" s="14"/>
      <c r="U157" s="14"/>
      <c r="V157" s="14"/>
      <c r="W157" s="14"/>
      <c r="X157" s="14"/>
      <c r="Y157" s="14"/>
      <c r="Z157" s="14"/>
      <c r="AA157" s="15"/>
      <c r="AB157" s="3"/>
      <c r="AC157" s="3"/>
      <c r="AD157" s="3"/>
      <c r="AE157" s="3"/>
      <c r="AF157" s="3"/>
      <c r="AG157" s="3"/>
      <c r="AH157" s="3"/>
      <c r="AI157" s="3"/>
      <c r="AJ157" s="3"/>
      <c r="AK157" s="3"/>
      <c r="AL157" s="3"/>
      <c r="AM157" s="3"/>
      <c r="AN157" s="3"/>
      <c r="AO157" s="3"/>
    </row>
    <row r="158" spans="2:41" s="171" customFormat="1" x14ac:dyDescent="0.25">
      <c r="B158" s="13"/>
      <c r="C158" s="56"/>
      <c r="D158" s="60"/>
      <c r="E158" s="56"/>
      <c r="F158" s="56"/>
      <c r="G158" s="56"/>
      <c r="H158" s="56"/>
      <c r="I158" s="14"/>
      <c r="J158" s="14"/>
      <c r="K158" s="14"/>
      <c r="L158" s="14"/>
      <c r="M158" s="14"/>
      <c r="N158" s="14"/>
      <c r="O158" s="14"/>
      <c r="P158" s="14"/>
      <c r="Q158" s="14"/>
      <c r="R158" s="14"/>
      <c r="S158" s="14"/>
      <c r="T158" s="14"/>
      <c r="U158" s="14"/>
      <c r="V158" s="14"/>
      <c r="W158" s="14"/>
      <c r="X158" s="14"/>
      <c r="Y158" s="14"/>
      <c r="Z158" s="14"/>
      <c r="AA158" s="15"/>
      <c r="AB158" s="3"/>
      <c r="AC158" s="3"/>
      <c r="AD158" s="3"/>
      <c r="AE158" s="3"/>
      <c r="AF158" s="3"/>
      <c r="AG158" s="3"/>
      <c r="AH158" s="3"/>
      <c r="AI158" s="3"/>
      <c r="AJ158" s="3"/>
      <c r="AK158" s="3"/>
      <c r="AL158" s="3"/>
      <c r="AM158" s="3"/>
      <c r="AN158" s="3"/>
      <c r="AO158" s="3"/>
    </row>
    <row r="159" spans="2:41" s="171" customFormat="1" x14ac:dyDescent="0.25">
      <c r="B159" s="13"/>
      <c r="C159" s="14"/>
      <c r="D159" s="60"/>
      <c r="E159" s="56"/>
      <c r="F159" s="56"/>
      <c r="G159" s="14"/>
      <c r="H159" s="56"/>
      <c r="I159" s="14"/>
      <c r="J159" s="14"/>
      <c r="K159" s="14"/>
      <c r="L159" s="14"/>
      <c r="M159" s="14"/>
      <c r="N159" s="14"/>
      <c r="O159" s="14"/>
      <c r="P159" s="14"/>
      <c r="Q159" s="14"/>
      <c r="R159" s="14"/>
      <c r="S159" s="14"/>
      <c r="T159" s="14"/>
      <c r="U159" s="14"/>
      <c r="V159" s="14"/>
      <c r="W159" s="14"/>
      <c r="X159" s="14"/>
      <c r="Y159" s="14"/>
      <c r="Z159" s="14"/>
      <c r="AA159" s="15"/>
      <c r="AB159" s="3"/>
      <c r="AC159" s="3"/>
      <c r="AD159" s="3"/>
      <c r="AE159" s="3"/>
      <c r="AF159" s="3"/>
      <c r="AG159" s="3"/>
      <c r="AH159" s="3"/>
      <c r="AI159" s="3"/>
      <c r="AJ159" s="3"/>
      <c r="AK159" s="3"/>
      <c r="AL159" s="3"/>
      <c r="AM159" s="3"/>
      <c r="AN159" s="3"/>
      <c r="AO159" s="3"/>
    </row>
    <row r="160" spans="2:41" s="171" customFormat="1" ht="18.75" x14ac:dyDescent="0.3">
      <c r="B160" s="67"/>
      <c r="C160" s="14"/>
      <c r="D160" s="14"/>
      <c r="E160" s="56"/>
      <c r="F160" s="56"/>
      <c r="G160" s="14"/>
      <c r="H160" s="56"/>
      <c r="I160" s="74"/>
      <c r="J160" s="14"/>
      <c r="K160" s="14"/>
      <c r="L160" s="14"/>
      <c r="M160" s="14"/>
      <c r="N160" s="14"/>
      <c r="O160" s="14"/>
      <c r="P160" s="14"/>
      <c r="Q160" s="14"/>
      <c r="R160" s="14"/>
      <c r="S160" s="14"/>
      <c r="T160" s="14"/>
      <c r="U160" s="14"/>
      <c r="V160" s="14"/>
      <c r="W160" s="14"/>
      <c r="X160" s="14"/>
      <c r="Y160" s="14"/>
      <c r="Z160" s="14"/>
      <c r="AA160" s="15"/>
      <c r="AB160" s="3"/>
      <c r="AC160" s="3"/>
      <c r="AD160" s="3"/>
      <c r="AE160" s="3"/>
      <c r="AF160" s="3"/>
      <c r="AG160" s="3"/>
      <c r="AH160" s="3"/>
      <c r="AI160" s="3"/>
      <c r="AJ160" s="3"/>
      <c r="AK160" s="3"/>
      <c r="AL160" s="3"/>
      <c r="AM160" s="3"/>
      <c r="AN160" s="3"/>
      <c r="AO160" s="3"/>
    </row>
    <row r="161" spans="2:41" s="171" customFormat="1" x14ac:dyDescent="0.25">
      <c r="B161" s="13"/>
      <c r="C161" s="14"/>
      <c r="D161" s="60"/>
      <c r="E161" s="56"/>
      <c r="F161" s="56"/>
      <c r="G161" s="14"/>
      <c r="H161" s="14"/>
      <c r="I161" s="14"/>
      <c r="J161" s="14"/>
      <c r="K161" s="14"/>
      <c r="L161" s="14"/>
      <c r="M161" s="14"/>
      <c r="N161" s="14"/>
      <c r="O161" s="14"/>
      <c r="P161" s="14"/>
      <c r="Q161" s="14"/>
      <c r="R161" s="14"/>
      <c r="S161" s="14"/>
      <c r="T161" s="14"/>
      <c r="U161" s="14"/>
      <c r="V161" s="14"/>
      <c r="W161" s="14"/>
      <c r="X161" s="14"/>
      <c r="Y161" s="14"/>
      <c r="Z161" s="14"/>
      <c r="AA161" s="15"/>
      <c r="AB161" s="3"/>
      <c r="AC161" s="3"/>
      <c r="AD161" s="3"/>
      <c r="AE161" s="3"/>
      <c r="AF161" s="3"/>
      <c r="AG161" s="3"/>
      <c r="AH161" s="3"/>
      <c r="AI161" s="3"/>
      <c r="AJ161" s="3"/>
      <c r="AK161" s="3"/>
      <c r="AL161" s="3"/>
      <c r="AM161" s="3"/>
      <c r="AN161" s="3"/>
      <c r="AO161" s="3"/>
    </row>
    <row r="162" spans="2:41" s="171" customFormat="1" x14ac:dyDescent="0.25">
      <c r="B162" s="13"/>
      <c r="C162" s="14"/>
      <c r="D162" s="60"/>
      <c r="E162" s="56"/>
      <c r="F162" s="56"/>
      <c r="G162" s="14"/>
      <c r="H162" s="56"/>
      <c r="I162" s="14"/>
      <c r="J162" s="14"/>
      <c r="K162" s="14"/>
      <c r="L162" s="14"/>
      <c r="M162" s="14"/>
      <c r="N162" s="14"/>
      <c r="O162" s="14"/>
      <c r="P162" s="14"/>
      <c r="Q162" s="14"/>
      <c r="R162" s="14"/>
      <c r="S162" s="14"/>
      <c r="T162" s="14"/>
      <c r="U162" s="14"/>
      <c r="V162" s="14"/>
      <c r="W162" s="14"/>
      <c r="X162" s="14"/>
      <c r="Y162" s="14"/>
      <c r="Z162" s="14"/>
      <c r="AA162" s="15"/>
      <c r="AB162" s="3"/>
      <c r="AC162" s="3"/>
      <c r="AD162" s="3"/>
      <c r="AE162" s="3"/>
      <c r="AF162" s="3"/>
      <c r="AG162" s="3"/>
      <c r="AH162" s="3"/>
      <c r="AI162" s="3"/>
      <c r="AJ162" s="3"/>
      <c r="AK162" s="3"/>
      <c r="AL162" s="3"/>
      <c r="AM162" s="3"/>
      <c r="AN162" s="3"/>
      <c r="AO162" s="3"/>
    </row>
    <row r="163" spans="2:41" s="171" customFormat="1" x14ac:dyDescent="0.25">
      <c r="B163" s="13"/>
      <c r="C163" s="14"/>
      <c r="D163" s="60"/>
      <c r="E163" s="56"/>
      <c r="F163" s="56"/>
      <c r="G163" s="14"/>
      <c r="H163" s="56"/>
      <c r="I163" s="14"/>
      <c r="J163" s="14"/>
      <c r="K163" s="14"/>
      <c r="L163" s="14"/>
      <c r="M163" s="14"/>
      <c r="N163" s="14"/>
      <c r="O163" s="14"/>
      <c r="P163" s="14"/>
      <c r="Q163" s="14"/>
      <c r="R163" s="14"/>
      <c r="S163" s="14"/>
      <c r="T163" s="14"/>
      <c r="U163" s="14"/>
      <c r="V163" s="14"/>
      <c r="W163" s="14"/>
      <c r="X163" s="14"/>
      <c r="Y163" s="14"/>
      <c r="Z163" s="14"/>
      <c r="AA163" s="15"/>
      <c r="AB163" s="3"/>
      <c r="AC163" s="3"/>
      <c r="AD163" s="3"/>
      <c r="AE163" s="3"/>
      <c r="AF163" s="3"/>
      <c r="AG163" s="3"/>
      <c r="AH163" s="3"/>
      <c r="AI163" s="3"/>
      <c r="AJ163" s="3"/>
      <c r="AK163" s="3"/>
      <c r="AL163" s="3"/>
      <c r="AM163" s="3"/>
      <c r="AN163" s="3"/>
      <c r="AO163" s="3"/>
    </row>
    <row r="164" spans="2:41" s="171" customFormat="1" x14ac:dyDescent="0.25">
      <c r="B164" s="13"/>
      <c r="C164" s="14"/>
      <c r="D164" s="60"/>
      <c r="E164" s="56"/>
      <c r="F164" s="56"/>
      <c r="G164" s="14"/>
      <c r="H164" s="56"/>
      <c r="I164" s="14"/>
      <c r="J164" s="14"/>
      <c r="K164" s="14"/>
      <c r="L164" s="14"/>
      <c r="M164" s="14"/>
      <c r="N164" s="14"/>
      <c r="O164" s="14"/>
      <c r="P164" s="14"/>
      <c r="Q164" s="14"/>
      <c r="R164" s="14"/>
      <c r="S164" s="14"/>
      <c r="T164" s="14"/>
      <c r="U164" s="14"/>
      <c r="V164" s="14"/>
      <c r="W164" s="14"/>
      <c r="X164" s="14"/>
      <c r="Y164" s="14"/>
      <c r="Z164" s="14"/>
      <c r="AA164" s="15"/>
      <c r="AB164" s="3"/>
      <c r="AC164" s="3"/>
      <c r="AD164" s="3"/>
      <c r="AE164" s="3"/>
      <c r="AF164" s="3"/>
      <c r="AG164" s="3"/>
      <c r="AH164" s="3"/>
      <c r="AI164" s="3"/>
      <c r="AJ164" s="3"/>
      <c r="AK164" s="3"/>
      <c r="AL164" s="3"/>
      <c r="AM164" s="3"/>
      <c r="AN164" s="3"/>
      <c r="AO164" s="3"/>
    </row>
    <row r="165" spans="2:41" s="171" customFormat="1" x14ac:dyDescent="0.25">
      <c r="B165" s="13"/>
      <c r="C165" s="56"/>
      <c r="D165" s="60"/>
      <c r="E165" s="56"/>
      <c r="F165" s="56"/>
      <c r="G165" s="56"/>
      <c r="H165" s="56"/>
      <c r="I165" s="14"/>
      <c r="J165" s="14"/>
      <c r="K165" s="14"/>
      <c r="L165" s="14"/>
      <c r="M165" s="14"/>
      <c r="N165" s="14"/>
      <c r="O165" s="14"/>
      <c r="P165" s="14"/>
      <c r="Q165" s="14"/>
      <c r="R165" s="14"/>
      <c r="S165" s="14"/>
      <c r="T165" s="14"/>
      <c r="U165" s="14"/>
      <c r="V165" s="14"/>
      <c r="W165" s="14"/>
      <c r="X165" s="14"/>
      <c r="Y165" s="14"/>
      <c r="Z165" s="14"/>
      <c r="AA165" s="15"/>
      <c r="AB165" s="3"/>
      <c r="AC165" s="3"/>
      <c r="AD165" s="3"/>
      <c r="AE165" s="3"/>
      <c r="AF165" s="3"/>
      <c r="AG165" s="3"/>
      <c r="AH165" s="3"/>
      <c r="AI165" s="3"/>
      <c r="AJ165" s="3"/>
      <c r="AK165" s="3"/>
      <c r="AL165" s="3"/>
      <c r="AM165" s="3"/>
      <c r="AN165" s="3"/>
      <c r="AO165" s="3"/>
    </row>
    <row r="166" spans="2:41" s="171" customFormat="1" x14ac:dyDescent="0.25">
      <c r="B166" s="13"/>
      <c r="C166" s="14"/>
      <c r="D166" s="60"/>
      <c r="E166" s="56"/>
      <c r="F166" s="56"/>
      <c r="G166" s="14"/>
      <c r="H166" s="56"/>
      <c r="I166" s="14"/>
      <c r="J166" s="14"/>
      <c r="K166" s="14"/>
      <c r="L166" s="14"/>
      <c r="M166" s="14"/>
      <c r="N166" s="14"/>
      <c r="O166" s="14"/>
      <c r="P166" s="14"/>
      <c r="Q166" s="14"/>
      <c r="R166" s="14"/>
      <c r="S166" s="14"/>
      <c r="T166" s="14"/>
      <c r="U166" s="14"/>
      <c r="V166" s="14"/>
      <c r="W166" s="14"/>
      <c r="X166" s="14"/>
      <c r="Y166" s="14"/>
      <c r="Z166" s="14"/>
      <c r="AA166" s="15"/>
      <c r="AB166" s="3"/>
      <c r="AC166" s="3"/>
      <c r="AD166" s="3"/>
      <c r="AE166" s="3"/>
      <c r="AF166" s="3"/>
      <c r="AG166" s="3"/>
      <c r="AH166" s="3"/>
      <c r="AI166" s="3"/>
      <c r="AJ166" s="3"/>
      <c r="AK166" s="3"/>
      <c r="AL166" s="3"/>
      <c r="AM166" s="3"/>
      <c r="AN166" s="3"/>
      <c r="AO166" s="3"/>
    </row>
    <row r="167" spans="2:41" s="171" customFormat="1" x14ac:dyDescent="0.25">
      <c r="B167" s="13"/>
      <c r="C167" s="14"/>
      <c r="D167" s="14"/>
      <c r="E167" s="56"/>
      <c r="F167" s="56"/>
      <c r="G167" s="14"/>
      <c r="H167" s="56"/>
      <c r="I167" s="14"/>
      <c r="J167" s="14"/>
      <c r="K167" s="14"/>
      <c r="L167" s="14"/>
      <c r="M167" s="14"/>
      <c r="N167" s="14"/>
      <c r="O167" s="14"/>
      <c r="P167" s="14"/>
      <c r="Q167" s="14"/>
      <c r="R167" s="14"/>
      <c r="S167" s="14"/>
      <c r="T167" s="14"/>
      <c r="U167" s="14"/>
      <c r="V167" s="14"/>
      <c r="W167" s="14"/>
      <c r="X167" s="14"/>
      <c r="Y167" s="14"/>
      <c r="Z167" s="14"/>
      <c r="AA167" s="15"/>
      <c r="AB167" s="3"/>
      <c r="AC167" s="3"/>
      <c r="AD167" s="3"/>
      <c r="AE167" s="3"/>
      <c r="AF167" s="3"/>
      <c r="AG167" s="3"/>
      <c r="AH167" s="3"/>
      <c r="AI167" s="3"/>
      <c r="AJ167" s="3"/>
      <c r="AK167" s="3"/>
      <c r="AL167" s="3"/>
      <c r="AM167" s="3"/>
      <c r="AN167" s="3"/>
      <c r="AO167" s="3"/>
    </row>
    <row r="168" spans="2:41" s="171" customFormat="1" ht="18.75" x14ac:dyDescent="0.3">
      <c r="B168" s="67"/>
      <c r="C168" s="14"/>
      <c r="D168" s="60"/>
      <c r="E168" s="56"/>
      <c r="F168" s="56"/>
      <c r="G168" s="14"/>
      <c r="H168" s="14"/>
      <c r="I168" s="74"/>
      <c r="J168" s="14"/>
      <c r="K168" s="14"/>
      <c r="L168" s="14"/>
      <c r="M168" s="14"/>
      <c r="N168" s="14"/>
      <c r="O168" s="14"/>
      <c r="P168" s="14"/>
      <c r="Q168" s="14"/>
      <c r="R168" s="14"/>
      <c r="S168" s="14"/>
      <c r="T168" s="14"/>
      <c r="U168" s="14"/>
      <c r="V168" s="14"/>
      <c r="W168" s="14"/>
      <c r="X168" s="14"/>
      <c r="Y168" s="14"/>
      <c r="Z168" s="14"/>
      <c r="AA168" s="15"/>
      <c r="AB168" s="3"/>
      <c r="AC168" s="3"/>
      <c r="AD168" s="3"/>
      <c r="AE168" s="3"/>
      <c r="AF168" s="3"/>
      <c r="AG168" s="3"/>
      <c r="AH168" s="3"/>
      <c r="AI168" s="3"/>
      <c r="AJ168" s="3"/>
      <c r="AK168" s="3"/>
      <c r="AL168" s="3"/>
      <c r="AM168" s="3"/>
      <c r="AN168" s="3"/>
      <c r="AO168" s="3"/>
    </row>
    <row r="169" spans="2:41" s="171" customFormat="1" x14ac:dyDescent="0.25">
      <c r="B169" s="13"/>
      <c r="C169" s="14"/>
      <c r="D169" s="60"/>
      <c r="E169" s="56"/>
      <c r="F169" s="56"/>
      <c r="G169" s="14"/>
      <c r="H169" s="56"/>
      <c r="I169" s="14"/>
      <c r="J169" s="14"/>
      <c r="K169" s="14"/>
      <c r="L169" s="14"/>
      <c r="M169" s="14"/>
      <c r="N169" s="14"/>
      <c r="O169" s="14"/>
      <c r="P169" s="14"/>
      <c r="Q169" s="14"/>
      <c r="R169" s="14"/>
      <c r="S169" s="14"/>
      <c r="T169" s="14"/>
      <c r="U169" s="14"/>
      <c r="V169" s="14"/>
      <c r="W169" s="14"/>
      <c r="X169" s="14"/>
      <c r="Y169" s="14"/>
      <c r="Z169" s="14"/>
      <c r="AA169" s="15"/>
      <c r="AB169" s="3"/>
      <c r="AC169" s="3"/>
      <c r="AD169" s="3"/>
      <c r="AE169" s="3"/>
      <c r="AF169" s="3"/>
      <c r="AG169" s="3"/>
      <c r="AH169" s="3"/>
      <c r="AI169" s="3"/>
      <c r="AJ169" s="3"/>
      <c r="AK169" s="3"/>
      <c r="AL169" s="3"/>
      <c r="AM169" s="3"/>
      <c r="AN169" s="3"/>
      <c r="AO169" s="3"/>
    </row>
    <row r="170" spans="2:41" s="171" customFormat="1" x14ac:dyDescent="0.25">
      <c r="B170" s="13"/>
      <c r="C170" s="14"/>
      <c r="D170" s="60"/>
      <c r="E170" s="56"/>
      <c r="F170" s="56"/>
      <c r="G170" s="14"/>
      <c r="H170" s="56"/>
      <c r="I170" s="14"/>
      <c r="J170" s="14"/>
      <c r="K170" s="14"/>
      <c r="L170" s="14"/>
      <c r="M170" s="14"/>
      <c r="N170" s="14"/>
      <c r="O170" s="14"/>
      <c r="P170" s="14"/>
      <c r="Q170" s="14"/>
      <c r="R170" s="14"/>
      <c r="S170" s="14"/>
      <c r="T170" s="14"/>
      <c r="U170" s="14"/>
      <c r="V170" s="14"/>
      <c r="W170" s="14"/>
      <c r="X170" s="14"/>
      <c r="Y170" s="14"/>
      <c r="Z170" s="14"/>
      <c r="AA170" s="15"/>
      <c r="AB170" s="3"/>
      <c r="AC170" s="3"/>
      <c r="AD170" s="3"/>
      <c r="AE170" s="3"/>
      <c r="AF170" s="3"/>
      <c r="AG170" s="3"/>
      <c r="AH170" s="3"/>
      <c r="AI170" s="3"/>
      <c r="AJ170" s="3"/>
      <c r="AK170" s="3"/>
      <c r="AL170" s="3"/>
      <c r="AM170" s="3"/>
      <c r="AN170" s="3"/>
      <c r="AO170" s="3"/>
    </row>
    <row r="171" spans="2:41" s="171" customFormat="1" x14ac:dyDescent="0.25">
      <c r="B171" s="13"/>
      <c r="C171" s="14"/>
      <c r="D171" s="60"/>
      <c r="E171" s="56"/>
      <c r="F171" s="56"/>
      <c r="G171" s="14"/>
      <c r="H171" s="56"/>
      <c r="I171" s="14"/>
      <c r="J171" s="14"/>
      <c r="K171" s="14"/>
      <c r="L171" s="14"/>
      <c r="M171" s="14"/>
      <c r="N171" s="14"/>
      <c r="O171" s="14"/>
      <c r="P171" s="14"/>
      <c r="Q171" s="14"/>
      <c r="R171" s="14"/>
      <c r="S171" s="14"/>
      <c r="T171" s="14"/>
      <c r="U171" s="14"/>
      <c r="V171" s="14"/>
      <c r="W171" s="14"/>
      <c r="X171" s="14"/>
      <c r="Y171" s="14"/>
      <c r="Z171" s="14"/>
      <c r="AA171" s="15"/>
      <c r="AB171" s="3"/>
      <c r="AC171" s="3"/>
      <c r="AD171" s="3"/>
      <c r="AE171" s="3"/>
      <c r="AF171" s="3"/>
      <c r="AG171" s="3"/>
      <c r="AH171" s="3"/>
      <c r="AI171" s="3"/>
      <c r="AJ171" s="3"/>
      <c r="AK171" s="3"/>
      <c r="AL171" s="3"/>
      <c r="AM171" s="3"/>
      <c r="AN171" s="3"/>
      <c r="AO171" s="3"/>
    </row>
    <row r="172" spans="2:41" s="171" customFormat="1" x14ac:dyDescent="0.25">
      <c r="B172" s="13"/>
      <c r="C172" s="56"/>
      <c r="D172" s="60"/>
      <c r="E172" s="56"/>
      <c r="F172" s="56"/>
      <c r="G172" s="56"/>
      <c r="H172" s="56"/>
      <c r="I172" s="14"/>
      <c r="J172" s="14"/>
      <c r="K172" s="14"/>
      <c r="L172" s="14"/>
      <c r="M172" s="14"/>
      <c r="N172" s="14"/>
      <c r="O172" s="14"/>
      <c r="P172" s="14"/>
      <c r="Q172" s="14"/>
      <c r="R172" s="14"/>
      <c r="S172" s="14"/>
      <c r="T172" s="14"/>
      <c r="U172" s="14"/>
      <c r="V172" s="14"/>
      <c r="W172" s="14"/>
      <c r="X172" s="14"/>
      <c r="Y172" s="14"/>
      <c r="Z172" s="14"/>
      <c r="AA172" s="15"/>
      <c r="AB172" s="3"/>
      <c r="AC172" s="3"/>
      <c r="AD172" s="3"/>
      <c r="AE172" s="3"/>
      <c r="AF172" s="3"/>
      <c r="AG172" s="3"/>
      <c r="AH172" s="3"/>
      <c r="AI172" s="3"/>
      <c r="AJ172" s="3"/>
      <c r="AK172" s="3"/>
      <c r="AL172" s="3"/>
      <c r="AM172" s="3"/>
      <c r="AN172" s="3"/>
      <c r="AO172" s="3"/>
    </row>
    <row r="173" spans="2:41" s="171" customFormat="1" x14ac:dyDescent="0.25">
      <c r="B173" s="13"/>
      <c r="C173" s="14"/>
      <c r="D173" s="60"/>
      <c r="E173" s="56"/>
      <c r="F173" s="56"/>
      <c r="G173" s="14"/>
      <c r="H173" s="56"/>
      <c r="I173" s="14"/>
      <c r="J173" s="14"/>
      <c r="K173" s="14"/>
      <c r="L173" s="14"/>
      <c r="M173" s="14"/>
      <c r="N173" s="14"/>
      <c r="O173" s="14"/>
      <c r="P173" s="14"/>
      <c r="Q173" s="14"/>
      <c r="R173" s="14"/>
      <c r="S173" s="14"/>
      <c r="T173" s="14"/>
      <c r="U173" s="14"/>
      <c r="V173" s="14"/>
      <c r="W173" s="14"/>
      <c r="X173" s="14"/>
      <c r="Y173" s="14"/>
      <c r="Z173" s="14"/>
      <c r="AA173" s="15"/>
      <c r="AB173" s="3"/>
      <c r="AC173" s="3"/>
      <c r="AD173" s="3"/>
      <c r="AE173" s="3"/>
      <c r="AF173" s="3"/>
      <c r="AG173" s="3"/>
      <c r="AH173" s="3"/>
      <c r="AI173" s="3"/>
      <c r="AJ173" s="3"/>
      <c r="AK173" s="3"/>
      <c r="AL173" s="3"/>
      <c r="AM173" s="3"/>
      <c r="AN173" s="3"/>
      <c r="AO173" s="3"/>
    </row>
    <row r="174" spans="2:41" s="171" customFormat="1" x14ac:dyDescent="0.25">
      <c r="B174" s="13"/>
      <c r="C174" s="14"/>
      <c r="D174" s="14"/>
      <c r="E174" s="56"/>
      <c r="F174" s="56"/>
      <c r="G174" s="14"/>
      <c r="H174" s="56"/>
      <c r="I174" s="14"/>
      <c r="J174" s="14"/>
      <c r="K174" s="14"/>
      <c r="L174" s="14"/>
      <c r="M174" s="14"/>
      <c r="N174" s="14"/>
      <c r="O174" s="14"/>
      <c r="P174" s="14"/>
      <c r="Q174" s="14"/>
      <c r="R174" s="14"/>
      <c r="S174" s="14"/>
      <c r="T174" s="14"/>
      <c r="U174" s="14"/>
      <c r="V174" s="14"/>
      <c r="W174" s="14"/>
      <c r="X174" s="14"/>
      <c r="Y174" s="14"/>
      <c r="Z174" s="14"/>
      <c r="AA174" s="15"/>
      <c r="AB174" s="3"/>
      <c r="AC174" s="3"/>
      <c r="AD174" s="3"/>
      <c r="AE174" s="3"/>
      <c r="AF174" s="3"/>
      <c r="AG174" s="3"/>
      <c r="AH174" s="3"/>
      <c r="AI174" s="3"/>
      <c r="AJ174" s="3"/>
      <c r="AK174" s="3"/>
      <c r="AL174" s="3"/>
      <c r="AM174" s="3"/>
      <c r="AN174" s="3"/>
      <c r="AO174" s="3"/>
    </row>
    <row r="175" spans="2:41" s="171" customFormat="1" x14ac:dyDescent="0.25">
      <c r="B175" s="13"/>
      <c r="C175" s="14"/>
      <c r="D175" s="60"/>
      <c r="E175" s="56"/>
      <c r="F175" s="56"/>
      <c r="G175" s="14"/>
      <c r="H175" s="14"/>
      <c r="I175" s="14"/>
      <c r="J175" s="14"/>
      <c r="K175" s="14"/>
      <c r="L175" s="14"/>
      <c r="M175" s="14"/>
      <c r="N175" s="14"/>
      <c r="O175" s="14"/>
      <c r="P175" s="14"/>
      <c r="Q175" s="14"/>
      <c r="R175" s="14"/>
      <c r="S175" s="14"/>
      <c r="T175" s="14"/>
      <c r="U175" s="14"/>
      <c r="V175" s="14"/>
      <c r="W175" s="14"/>
      <c r="X175" s="14"/>
      <c r="Y175" s="14"/>
      <c r="Z175" s="14"/>
      <c r="AA175" s="15"/>
      <c r="AB175" s="3"/>
      <c r="AC175" s="3"/>
      <c r="AD175" s="3"/>
      <c r="AE175" s="3"/>
      <c r="AF175" s="3"/>
      <c r="AG175" s="3"/>
      <c r="AH175" s="3"/>
      <c r="AI175" s="3"/>
      <c r="AJ175" s="3"/>
      <c r="AK175" s="3"/>
      <c r="AL175" s="3"/>
      <c r="AM175" s="3"/>
      <c r="AN175" s="3"/>
      <c r="AO175" s="3"/>
    </row>
    <row r="176" spans="2:41" s="171" customFormat="1" ht="18.75" x14ac:dyDescent="0.3">
      <c r="B176" s="67"/>
      <c r="C176" s="14"/>
      <c r="D176" s="60"/>
      <c r="E176" s="56"/>
      <c r="F176" s="56"/>
      <c r="G176" s="14"/>
      <c r="H176" s="56"/>
      <c r="I176" s="74"/>
      <c r="J176" s="14"/>
      <c r="K176" s="14"/>
      <c r="L176" s="14"/>
      <c r="M176" s="14"/>
      <c r="N176" s="14"/>
      <c r="O176" s="14"/>
      <c r="P176" s="14"/>
      <c r="Q176" s="14"/>
      <c r="R176" s="14"/>
      <c r="S176" s="14"/>
      <c r="T176" s="14"/>
      <c r="U176" s="14"/>
      <c r="V176" s="14"/>
      <c r="W176" s="14"/>
      <c r="X176" s="14"/>
      <c r="Y176" s="14"/>
      <c r="Z176" s="14"/>
      <c r="AA176" s="15"/>
      <c r="AB176" s="3"/>
      <c r="AC176" s="3"/>
      <c r="AD176" s="3"/>
      <c r="AE176" s="3"/>
      <c r="AF176" s="3"/>
      <c r="AG176" s="3"/>
      <c r="AH176" s="3"/>
      <c r="AI176" s="3"/>
      <c r="AJ176" s="3"/>
      <c r="AK176" s="3"/>
      <c r="AL176" s="3"/>
      <c r="AM176" s="3"/>
      <c r="AN176" s="3"/>
      <c r="AO176" s="3"/>
    </row>
    <row r="177" spans="2:41" s="171" customFormat="1" x14ac:dyDescent="0.25">
      <c r="B177" s="13"/>
      <c r="C177" s="14"/>
      <c r="D177" s="60"/>
      <c r="E177" s="56"/>
      <c r="F177" s="56"/>
      <c r="G177" s="14"/>
      <c r="H177" s="56"/>
      <c r="I177" s="14"/>
      <c r="J177" s="14"/>
      <c r="K177" s="14"/>
      <c r="L177" s="14"/>
      <c r="M177" s="14"/>
      <c r="N177" s="14"/>
      <c r="O177" s="14"/>
      <c r="P177" s="14"/>
      <c r="Q177" s="14"/>
      <c r="R177" s="14"/>
      <c r="S177" s="14"/>
      <c r="T177" s="14"/>
      <c r="U177" s="14"/>
      <c r="V177" s="14"/>
      <c r="W177" s="14"/>
      <c r="X177" s="14"/>
      <c r="Y177" s="14"/>
      <c r="Z177" s="14"/>
      <c r="AA177" s="15"/>
      <c r="AB177" s="3"/>
      <c r="AC177" s="3"/>
      <c r="AD177" s="3"/>
      <c r="AE177" s="3"/>
      <c r="AF177" s="3"/>
      <c r="AG177" s="3"/>
      <c r="AH177" s="3"/>
      <c r="AI177" s="3"/>
      <c r="AJ177" s="3"/>
      <c r="AK177" s="3"/>
      <c r="AL177" s="3"/>
      <c r="AM177" s="3"/>
      <c r="AN177" s="3"/>
      <c r="AO177" s="3"/>
    </row>
    <row r="178" spans="2:41" s="171" customFormat="1" x14ac:dyDescent="0.25">
      <c r="B178" s="13"/>
      <c r="C178" s="14"/>
      <c r="D178" s="60"/>
      <c r="E178" s="56"/>
      <c r="F178" s="56"/>
      <c r="G178" s="14"/>
      <c r="H178" s="56"/>
      <c r="I178" s="14"/>
      <c r="J178" s="14"/>
      <c r="K178" s="14"/>
      <c r="L178" s="14"/>
      <c r="M178" s="14"/>
      <c r="N178" s="14"/>
      <c r="O178" s="14"/>
      <c r="P178" s="14"/>
      <c r="Q178" s="14"/>
      <c r="R178" s="14"/>
      <c r="S178" s="14"/>
      <c r="T178" s="14"/>
      <c r="U178" s="14"/>
      <c r="V178" s="14"/>
      <c r="W178" s="14"/>
      <c r="X178" s="14"/>
      <c r="Y178" s="14"/>
      <c r="Z178" s="14"/>
      <c r="AA178" s="15"/>
      <c r="AB178" s="3"/>
      <c r="AC178" s="3"/>
      <c r="AD178" s="3"/>
      <c r="AE178" s="3"/>
      <c r="AF178" s="3"/>
      <c r="AG178" s="3"/>
      <c r="AH178" s="3"/>
      <c r="AI178" s="3"/>
      <c r="AJ178" s="3"/>
      <c r="AK178" s="3"/>
      <c r="AL178" s="3"/>
      <c r="AM178" s="3"/>
      <c r="AN178" s="3"/>
      <c r="AO178" s="3"/>
    </row>
    <row r="179" spans="2:41" s="171" customFormat="1" x14ac:dyDescent="0.25">
      <c r="B179" s="13"/>
      <c r="C179" s="56"/>
      <c r="D179" s="60"/>
      <c r="E179" s="56"/>
      <c r="F179" s="56"/>
      <c r="G179" s="56"/>
      <c r="H179" s="56"/>
      <c r="I179" s="14"/>
      <c r="J179" s="14"/>
      <c r="K179" s="14"/>
      <c r="L179" s="14"/>
      <c r="M179" s="14"/>
      <c r="N179" s="14"/>
      <c r="O179" s="14"/>
      <c r="P179" s="14"/>
      <c r="Q179" s="14"/>
      <c r="R179" s="14"/>
      <c r="S179" s="14"/>
      <c r="T179" s="14"/>
      <c r="U179" s="14"/>
      <c r="V179" s="14"/>
      <c r="W179" s="14"/>
      <c r="X179" s="14"/>
      <c r="Y179" s="14"/>
      <c r="Z179" s="14"/>
      <c r="AA179" s="15"/>
      <c r="AB179" s="3"/>
      <c r="AC179" s="3"/>
      <c r="AD179" s="3"/>
      <c r="AE179" s="3"/>
      <c r="AF179" s="3"/>
      <c r="AG179" s="3"/>
      <c r="AH179" s="3"/>
      <c r="AI179" s="3"/>
      <c r="AJ179" s="3"/>
      <c r="AK179" s="3"/>
      <c r="AL179" s="3"/>
      <c r="AM179" s="3"/>
      <c r="AN179" s="3"/>
      <c r="AO179" s="3"/>
    </row>
    <row r="180" spans="2:41" s="171" customFormat="1" x14ac:dyDescent="0.25">
      <c r="B180" s="13"/>
      <c r="C180" s="14"/>
      <c r="D180" s="60"/>
      <c r="E180" s="56"/>
      <c r="F180" s="56"/>
      <c r="G180" s="14"/>
      <c r="H180" s="56"/>
      <c r="I180" s="14"/>
      <c r="J180" s="14"/>
      <c r="K180" s="14"/>
      <c r="L180" s="14"/>
      <c r="M180" s="14"/>
      <c r="N180" s="14"/>
      <c r="O180" s="14"/>
      <c r="P180" s="14"/>
      <c r="Q180" s="14"/>
      <c r="R180" s="14"/>
      <c r="S180" s="14"/>
      <c r="T180" s="14"/>
      <c r="U180" s="14"/>
      <c r="V180" s="14"/>
      <c r="W180" s="14"/>
      <c r="X180" s="14"/>
      <c r="Y180" s="14"/>
      <c r="Z180" s="14"/>
      <c r="AA180" s="15"/>
      <c r="AB180" s="3"/>
      <c r="AC180" s="3"/>
      <c r="AD180" s="3"/>
      <c r="AE180" s="3"/>
      <c r="AF180" s="3"/>
      <c r="AG180" s="3"/>
      <c r="AH180" s="3"/>
      <c r="AI180" s="3"/>
      <c r="AJ180" s="3"/>
      <c r="AK180" s="3"/>
      <c r="AL180" s="3"/>
      <c r="AM180" s="3"/>
      <c r="AN180" s="3"/>
      <c r="AO180" s="3"/>
    </row>
    <row r="181" spans="2:41" s="171" customFormat="1" x14ac:dyDescent="0.25">
      <c r="B181" s="13"/>
      <c r="C181" s="14"/>
      <c r="D181" s="14"/>
      <c r="E181" s="56"/>
      <c r="F181" s="56"/>
      <c r="G181" s="14"/>
      <c r="H181" s="56"/>
      <c r="I181" s="14"/>
      <c r="J181" s="14"/>
      <c r="K181" s="14"/>
      <c r="L181" s="14"/>
      <c r="M181" s="14"/>
      <c r="N181" s="14"/>
      <c r="O181" s="14"/>
      <c r="P181" s="14"/>
      <c r="Q181" s="14"/>
      <c r="R181" s="14"/>
      <c r="S181" s="14"/>
      <c r="T181" s="14"/>
      <c r="U181" s="14"/>
      <c r="V181" s="14"/>
      <c r="W181" s="14"/>
      <c r="X181" s="14"/>
      <c r="Y181" s="14"/>
      <c r="Z181" s="14"/>
      <c r="AA181" s="15"/>
      <c r="AB181" s="3"/>
      <c r="AC181" s="3"/>
      <c r="AD181" s="3"/>
      <c r="AE181" s="3"/>
      <c r="AF181" s="3"/>
      <c r="AG181" s="3"/>
      <c r="AH181" s="3"/>
      <c r="AI181" s="3"/>
      <c r="AJ181" s="3"/>
      <c r="AK181" s="3"/>
      <c r="AL181" s="3"/>
      <c r="AM181" s="3"/>
      <c r="AN181" s="3"/>
      <c r="AO181" s="3"/>
    </row>
    <row r="182" spans="2:41" s="171" customFormat="1" x14ac:dyDescent="0.25">
      <c r="B182" s="13"/>
      <c r="C182" s="14"/>
      <c r="D182" s="60"/>
      <c r="E182" s="56"/>
      <c r="F182" s="56"/>
      <c r="G182" s="14"/>
      <c r="H182" s="14"/>
      <c r="I182" s="14"/>
      <c r="J182" s="14"/>
      <c r="K182" s="14"/>
      <c r="L182" s="14"/>
      <c r="M182" s="14"/>
      <c r="N182" s="14"/>
      <c r="O182" s="14"/>
      <c r="P182" s="14"/>
      <c r="Q182" s="14"/>
      <c r="R182" s="14"/>
      <c r="S182" s="14"/>
      <c r="T182" s="14"/>
      <c r="U182" s="14"/>
      <c r="V182" s="14"/>
      <c r="W182" s="14"/>
      <c r="X182" s="14"/>
      <c r="Y182" s="14"/>
      <c r="Z182" s="14"/>
      <c r="AA182" s="15"/>
      <c r="AB182" s="3"/>
      <c r="AC182" s="3"/>
      <c r="AD182" s="3"/>
      <c r="AE182" s="3"/>
      <c r="AF182" s="3"/>
      <c r="AG182" s="3"/>
      <c r="AH182" s="3"/>
      <c r="AI182" s="3"/>
      <c r="AJ182" s="3"/>
      <c r="AK182" s="3"/>
      <c r="AL182" s="3"/>
      <c r="AM182" s="3"/>
      <c r="AN182" s="3"/>
      <c r="AO182" s="3"/>
    </row>
    <row r="183" spans="2:41" s="171" customFormat="1" x14ac:dyDescent="0.25">
      <c r="B183" s="13"/>
      <c r="C183" s="14"/>
      <c r="D183" s="60"/>
      <c r="E183" s="56"/>
      <c r="F183" s="56"/>
      <c r="G183" s="14"/>
      <c r="H183" s="56"/>
      <c r="I183" s="14"/>
      <c r="J183" s="14"/>
      <c r="K183" s="14"/>
      <c r="L183" s="14"/>
      <c r="M183" s="14"/>
      <c r="N183" s="14"/>
      <c r="O183" s="14"/>
      <c r="P183" s="14"/>
      <c r="Q183" s="14"/>
      <c r="R183" s="14"/>
      <c r="S183" s="14"/>
      <c r="T183" s="14"/>
      <c r="U183" s="14"/>
      <c r="V183" s="14"/>
      <c r="W183" s="14"/>
      <c r="X183" s="14"/>
      <c r="Y183" s="14"/>
      <c r="Z183" s="14"/>
      <c r="AA183" s="15"/>
      <c r="AB183" s="3"/>
      <c r="AC183" s="3"/>
      <c r="AD183" s="3"/>
      <c r="AE183" s="3"/>
      <c r="AF183" s="3"/>
      <c r="AG183" s="3"/>
      <c r="AH183" s="3"/>
      <c r="AI183" s="3"/>
      <c r="AJ183" s="3"/>
      <c r="AK183" s="3"/>
      <c r="AL183" s="3"/>
      <c r="AM183" s="3"/>
      <c r="AN183" s="3"/>
      <c r="AO183" s="3"/>
    </row>
    <row r="184" spans="2:41" s="171" customFormat="1" ht="18.75" x14ac:dyDescent="0.3">
      <c r="B184" s="67"/>
      <c r="C184" s="14"/>
      <c r="D184" s="60"/>
      <c r="E184" s="56"/>
      <c r="F184" s="56"/>
      <c r="G184" s="14"/>
      <c r="H184" s="56"/>
      <c r="I184" s="74"/>
      <c r="J184" s="14"/>
      <c r="K184" s="14"/>
      <c r="L184" s="14"/>
      <c r="M184" s="14"/>
      <c r="N184" s="14"/>
      <c r="O184" s="14"/>
      <c r="P184" s="14"/>
      <c r="Q184" s="14"/>
      <c r="R184" s="14"/>
      <c r="S184" s="14"/>
      <c r="T184" s="14"/>
      <c r="U184" s="14"/>
      <c r="V184" s="14"/>
      <c r="W184" s="14"/>
      <c r="X184" s="14"/>
      <c r="Y184" s="14"/>
      <c r="Z184" s="14"/>
      <c r="AA184" s="15"/>
      <c r="AB184" s="3"/>
      <c r="AC184" s="3"/>
      <c r="AD184" s="3"/>
      <c r="AE184" s="3"/>
      <c r="AF184" s="3"/>
      <c r="AG184" s="3"/>
      <c r="AH184" s="3"/>
      <c r="AI184" s="3"/>
      <c r="AJ184" s="3"/>
      <c r="AK184" s="3"/>
      <c r="AL184" s="3"/>
      <c r="AM184" s="3"/>
      <c r="AN184" s="3"/>
      <c r="AO184" s="3"/>
    </row>
    <row r="185" spans="2:41" s="171" customFormat="1" x14ac:dyDescent="0.25">
      <c r="B185" s="13"/>
      <c r="C185" s="14"/>
      <c r="D185" s="60"/>
      <c r="E185" s="56"/>
      <c r="F185" s="56"/>
      <c r="G185" s="14"/>
      <c r="H185" s="56"/>
      <c r="I185" s="14"/>
      <c r="J185" s="14"/>
      <c r="K185" s="14"/>
      <c r="L185" s="14"/>
      <c r="M185" s="14"/>
      <c r="N185" s="14"/>
      <c r="O185" s="14"/>
      <c r="P185" s="14"/>
      <c r="Q185" s="14"/>
      <c r="R185" s="14"/>
      <c r="S185" s="14"/>
      <c r="T185" s="14"/>
      <c r="U185" s="14"/>
      <c r="V185" s="14"/>
      <c r="W185" s="14"/>
      <c r="X185" s="14"/>
      <c r="Y185" s="14"/>
      <c r="Z185" s="14"/>
      <c r="AA185" s="15"/>
      <c r="AB185" s="3"/>
      <c r="AC185" s="3"/>
      <c r="AD185" s="3"/>
      <c r="AE185" s="3"/>
      <c r="AF185" s="3"/>
      <c r="AG185" s="3"/>
      <c r="AH185" s="3"/>
      <c r="AI185" s="3"/>
      <c r="AJ185" s="3"/>
      <c r="AK185" s="3"/>
      <c r="AL185" s="3"/>
      <c r="AM185" s="3"/>
      <c r="AN185" s="3"/>
      <c r="AO185" s="3"/>
    </row>
    <row r="186" spans="2:41" s="171" customFormat="1" x14ac:dyDescent="0.25">
      <c r="B186" s="13"/>
      <c r="C186" s="56"/>
      <c r="D186" s="60"/>
      <c r="E186" s="56"/>
      <c r="F186" s="56"/>
      <c r="G186" s="56"/>
      <c r="H186" s="56"/>
      <c r="I186" s="14"/>
      <c r="J186" s="14"/>
      <c r="K186" s="14"/>
      <c r="L186" s="14"/>
      <c r="M186" s="14"/>
      <c r="N186" s="14"/>
      <c r="O186" s="14"/>
      <c r="P186" s="14"/>
      <c r="Q186" s="14"/>
      <c r="R186" s="14"/>
      <c r="S186" s="14"/>
      <c r="T186" s="14"/>
      <c r="U186" s="14"/>
      <c r="V186" s="14"/>
      <c r="W186" s="14"/>
      <c r="X186" s="14"/>
      <c r="Y186" s="14"/>
      <c r="Z186" s="14"/>
      <c r="AA186" s="15"/>
      <c r="AB186" s="3"/>
      <c r="AC186" s="3"/>
      <c r="AD186" s="3"/>
      <c r="AE186" s="3"/>
      <c r="AF186" s="3"/>
      <c r="AG186" s="3"/>
      <c r="AH186" s="3"/>
      <c r="AI186" s="3"/>
      <c r="AJ186" s="3"/>
      <c r="AK186" s="3"/>
      <c r="AL186" s="3"/>
      <c r="AM186" s="3"/>
      <c r="AN186" s="3"/>
      <c r="AO186" s="3"/>
    </row>
    <row r="187" spans="2:41" s="171" customFormat="1" x14ac:dyDescent="0.25">
      <c r="B187" s="13"/>
      <c r="C187" s="14"/>
      <c r="D187" s="60"/>
      <c r="E187" s="56"/>
      <c r="F187" s="56"/>
      <c r="G187" s="14"/>
      <c r="H187" s="56"/>
      <c r="I187" s="14"/>
      <c r="J187" s="14"/>
      <c r="K187" s="14"/>
      <c r="L187" s="14"/>
      <c r="M187" s="14"/>
      <c r="N187" s="14"/>
      <c r="O187" s="14"/>
      <c r="P187" s="14"/>
      <c r="Q187" s="14"/>
      <c r="R187" s="14"/>
      <c r="S187" s="14"/>
      <c r="T187" s="14"/>
      <c r="U187" s="14"/>
      <c r="V187" s="14"/>
      <c r="W187" s="14"/>
      <c r="X187" s="14"/>
      <c r="Y187" s="14"/>
      <c r="Z187" s="14"/>
      <c r="AA187" s="15"/>
      <c r="AB187" s="3"/>
      <c r="AC187" s="3"/>
      <c r="AD187" s="3"/>
      <c r="AE187" s="3"/>
      <c r="AF187" s="3"/>
      <c r="AG187" s="3"/>
      <c r="AH187" s="3"/>
      <c r="AI187" s="3"/>
      <c r="AJ187" s="3"/>
      <c r="AK187" s="3"/>
      <c r="AL187" s="3"/>
      <c r="AM187" s="3"/>
      <c r="AN187" s="3"/>
      <c r="AO187" s="3"/>
    </row>
    <row r="188" spans="2:41" s="171" customFormat="1" x14ac:dyDescent="0.25">
      <c r="B188" s="13"/>
      <c r="C188" s="14"/>
      <c r="D188" s="14"/>
      <c r="E188" s="56"/>
      <c r="F188" s="56"/>
      <c r="G188" s="14"/>
      <c r="H188" s="56"/>
      <c r="I188" s="14"/>
      <c r="J188" s="14"/>
      <c r="K188" s="14"/>
      <c r="L188" s="14"/>
      <c r="M188" s="14"/>
      <c r="N188" s="14"/>
      <c r="O188" s="14"/>
      <c r="P188" s="14"/>
      <c r="Q188" s="14"/>
      <c r="R188" s="14"/>
      <c r="S188" s="14"/>
      <c r="T188" s="14"/>
      <c r="U188" s="14"/>
      <c r="V188" s="14"/>
      <c r="W188" s="14"/>
      <c r="X188" s="14"/>
      <c r="Y188" s="14"/>
      <c r="Z188" s="14"/>
      <c r="AA188" s="15"/>
      <c r="AB188" s="3"/>
      <c r="AC188" s="3"/>
      <c r="AD188" s="3"/>
      <c r="AE188" s="3"/>
      <c r="AF188" s="3"/>
      <c r="AG188" s="3"/>
      <c r="AH188" s="3"/>
      <c r="AI188" s="3"/>
      <c r="AJ188" s="3"/>
      <c r="AK188" s="3"/>
      <c r="AL188" s="3"/>
      <c r="AM188" s="3"/>
      <c r="AN188" s="3"/>
      <c r="AO188" s="3"/>
    </row>
    <row r="189" spans="2:41" s="171" customFormat="1" x14ac:dyDescent="0.25">
      <c r="B189" s="13"/>
      <c r="C189" s="14"/>
      <c r="D189" s="60"/>
      <c r="E189" s="56"/>
      <c r="F189" s="56"/>
      <c r="G189" s="14"/>
      <c r="H189" s="14"/>
      <c r="I189" s="14"/>
      <c r="J189" s="14"/>
      <c r="K189" s="14"/>
      <c r="L189" s="14"/>
      <c r="M189" s="14"/>
      <c r="N189" s="14"/>
      <c r="O189" s="14"/>
      <c r="P189" s="14"/>
      <c r="Q189" s="14"/>
      <c r="R189" s="14"/>
      <c r="S189" s="14"/>
      <c r="T189" s="14"/>
      <c r="U189" s="14"/>
      <c r="V189" s="14"/>
      <c r="W189" s="14"/>
      <c r="X189" s="14"/>
      <c r="Y189" s="14"/>
      <c r="Z189" s="14"/>
      <c r="AA189" s="15"/>
      <c r="AB189" s="3"/>
      <c r="AC189" s="3"/>
      <c r="AD189" s="3"/>
      <c r="AE189" s="3"/>
      <c r="AF189" s="3"/>
      <c r="AG189" s="3"/>
      <c r="AH189" s="3"/>
      <c r="AI189" s="3"/>
      <c r="AJ189" s="3"/>
      <c r="AK189" s="3"/>
      <c r="AL189" s="3"/>
      <c r="AM189" s="3"/>
      <c r="AN189" s="3"/>
      <c r="AO189" s="3"/>
    </row>
    <row r="190" spans="2:41" s="171" customFormat="1" x14ac:dyDescent="0.25">
      <c r="B190" s="13"/>
      <c r="C190" s="14"/>
      <c r="D190" s="60"/>
      <c r="E190" s="56"/>
      <c r="F190" s="56"/>
      <c r="G190" s="14"/>
      <c r="H190" s="56"/>
      <c r="I190" s="14"/>
      <c r="J190" s="14"/>
      <c r="K190" s="14"/>
      <c r="L190" s="14"/>
      <c r="M190" s="14"/>
      <c r="N190" s="14"/>
      <c r="O190" s="14"/>
      <c r="P190" s="14"/>
      <c r="Q190" s="14"/>
      <c r="R190" s="14"/>
      <c r="S190" s="14"/>
      <c r="T190" s="14"/>
      <c r="U190" s="14"/>
      <c r="V190" s="14"/>
      <c r="W190" s="14"/>
      <c r="X190" s="14"/>
      <c r="Y190" s="14"/>
      <c r="Z190" s="14"/>
      <c r="AA190" s="15"/>
      <c r="AB190" s="3"/>
      <c r="AC190" s="3"/>
      <c r="AD190" s="3"/>
      <c r="AE190" s="3"/>
      <c r="AF190" s="3"/>
      <c r="AG190" s="3"/>
      <c r="AH190" s="3"/>
      <c r="AI190" s="3"/>
      <c r="AJ190" s="3"/>
      <c r="AK190" s="3"/>
      <c r="AL190" s="3"/>
      <c r="AM190" s="3"/>
      <c r="AN190" s="3"/>
      <c r="AO190" s="3"/>
    </row>
    <row r="191" spans="2:41" s="171" customFormat="1" x14ac:dyDescent="0.25">
      <c r="B191" s="13"/>
      <c r="C191" s="14"/>
      <c r="D191" s="60"/>
      <c r="E191" s="56"/>
      <c r="F191" s="56"/>
      <c r="G191" s="14"/>
      <c r="H191" s="56"/>
      <c r="I191" s="14"/>
      <c r="J191" s="14"/>
      <c r="K191" s="14"/>
      <c r="L191" s="14"/>
      <c r="M191" s="14"/>
      <c r="N191" s="14"/>
      <c r="O191" s="14"/>
      <c r="P191" s="14"/>
      <c r="Q191" s="14"/>
      <c r="R191" s="14"/>
      <c r="S191" s="14"/>
      <c r="T191" s="14"/>
      <c r="U191" s="14"/>
      <c r="V191" s="14"/>
      <c r="W191" s="14"/>
      <c r="X191" s="14"/>
      <c r="Y191" s="14"/>
      <c r="Z191" s="14"/>
      <c r="AA191" s="15"/>
      <c r="AB191" s="3"/>
      <c r="AC191" s="3"/>
      <c r="AD191" s="3"/>
      <c r="AE191" s="3"/>
      <c r="AF191" s="3"/>
      <c r="AG191" s="3"/>
      <c r="AH191" s="3"/>
      <c r="AI191" s="3"/>
      <c r="AJ191" s="3"/>
      <c r="AK191" s="3"/>
      <c r="AL191" s="3"/>
      <c r="AM191" s="3"/>
      <c r="AN191" s="3"/>
      <c r="AO191" s="3"/>
    </row>
    <row r="192" spans="2:41" s="171" customFormat="1" ht="18.75" x14ac:dyDescent="0.3">
      <c r="B192" s="67"/>
      <c r="C192" s="14"/>
      <c r="D192" s="60"/>
      <c r="E192" s="56"/>
      <c r="F192" s="56"/>
      <c r="G192" s="14"/>
      <c r="H192" s="56"/>
      <c r="I192" s="74"/>
      <c r="J192" s="14"/>
      <c r="K192" s="14"/>
      <c r="L192" s="14"/>
      <c r="M192" s="14"/>
      <c r="N192" s="14"/>
      <c r="O192" s="14"/>
      <c r="P192" s="14"/>
      <c r="Q192" s="14"/>
      <c r="R192" s="14"/>
      <c r="S192" s="14"/>
      <c r="T192" s="14"/>
      <c r="U192" s="14"/>
      <c r="V192" s="14"/>
      <c r="W192" s="14"/>
      <c r="X192" s="14"/>
      <c r="Y192" s="14"/>
      <c r="Z192" s="14"/>
      <c r="AA192" s="15"/>
      <c r="AB192" s="3"/>
      <c r="AC192" s="3"/>
      <c r="AD192" s="3"/>
      <c r="AE192" s="3"/>
      <c r="AF192" s="3"/>
      <c r="AG192" s="3"/>
      <c r="AH192" s="3"/>
      <c r="AI192" s="3"/>
      <c r="AJ192" s="3"/>
      <c r="AK192" s="3"/>
      <c r="AL192" s="3"/>
      <c r="AM192" s="3"/>
      <c r="AN192" s="3"/>
      <c r="AO192" s="3"/>
    </row>
    <row r="193" spans="2:41" s="171" customFormat="1" x14ac:dyDescent="0.25">
      <c r="B193" s="13"/>
      <c r="C193" s="56"/>
      <c r="D193" s="60"/>
      <c r="E193" s="56"/>
      <c r="F193" s="56"/>
      <c r="G193" s="56"/>
      <c r="H193" s="56"/>
      <c r="I193" s="14"/>
      <c r="J193" s="14"/>
      <c r="K193" s="14"/>
      <c r="L193" s="14"/>
      <c r="M193" s="14"/>
      <c r="N193" s="14"/>
      <c r="O193" s="14"/>
      <c r="P193" s="14"/>
      <c r="Q193" s="14"/>
      <c r="R193" s="14"/>
      <c r="S193" s="14"/>
      <c r="T193" s="14"/>
      <c r="U193" s="14"/>
      <c r="V193" s="14"/>
      <c r="W193" s="14"/>
      <c r="X193" s="14"/>
      <c r="Y193" s="14"/>
      <c r="Z193" s="14"/>
      <c r="AA193" s="15"/>
      <c r="AB193" s="3"/>
      <c r="AC193" s="3"/>
      <c r="AD193" s="3"/>
      <c r="AE193" s="3"/>
      <c r="AF193" s="3"/>
      <c r="AG193" s="3"/>
      <c r="AH193" s="3"/>
      <c r="AI193" s="3"/>
      <c r="AJ193" s="3"/>
      <c r="AK193" s="3"/>
      <c r="AL193" s="3"/>
      <c r="AM193" s="3"/>
      <c r="AN193" s="3"/>
      <c r="AO193" s="3"/>
    </row>
    <row r="194" spans="2:41" s="171" customFormat="1" x14ac:dyDescent="0.25">
      <c r="B194" s="13"/>
      <c r="C194" s="14"/>
      <c r="D194" s="60"/>
      <c r="E194" s="56"/>
      <c r="F194" s="56"/>
      <c r="G194" s="14"/>
      <c r="H194" s="56"/>
      <c r="I194" s="14"/>
      <c r="J194" s="14"/>
      <c r="K194" s="14"/>
      <c r="L194" s="14"/>
      <c r="M194" s="14"/>
      <c r="N194" s="14"/>
      <c r="O194" s="14"/>
      <c r="P194" s="14"/>
      <c r="Q194" s="14"/>
      <c r="R194" s="14"/>
      <c r="S194" s="14"/>
      <c r="T194" s="14"/>
      <c r="U194" s="14"/>
      <c r="V194" s="14"/>
      <c r="W194" s="14"/>
      <c r="X194" s="14"/>
      <c r="Y194" s="14"/>
      <c r="Z194" s="14"/>
      <c r="AA194" s="15"/>
      <c r="AB194" s="3"/>
      <c r="AC194" s="3"/>
      <c r="AD194" s="3"/>
      <c r="AE194" s="3"/>
      <c r="AF194" s="3"/>
      <c r="AG194" s="3"/>
      <c r="AH194" s="3"/>
      <c r="AI194" s="3"/>
      <c r="AJ194" s="3"/>
      <c r="AK194" s="3"/>
      <c r="AL194" s="3"/>
      <c r="AM194" s="3"/>
      <c r="AN194" s="3"/>
      <c r="AO194" s="3"/>
    </row>
    <row r="195" spans="2:41" s="171" customFormat="1" x14ac:dyDescent="0.25">
      <c r="B195" s="13"/>
      <c r="C195" s="14"/>
      <c r="D195" s="14"/>
      <c r="E195" s="14"/>
      <c r="F195" s="14"/>
      <c r="G195" s="14"/>
      <c r="H195" s="56"/>
      <c r="I195" s="14"/>
      <c r="J195" s="14"/>
      <c r="K195" s="14"/>
      <c r="L195" s="14"/>
      <c r="M195" s="14"/>
      <c r="N195" s="14"/>
      <c r="O195" s="14"/>
      <c r="P195" s="14"/>
      <c r="Q195" s="14"/>
      <c r="R195" s="14"/>
      <c r="S195" s="14"/>
      <c r="T195" s="14"/>
      <c r="U195" s="14"/>
      <c r="V195" s="14"/>
      <c r="W195" s="14"/>
      <c r="X195" s="14"/>
      <c r="Y195" s="14"/>
      <c r="Z195" s="14"/>
      <c r="AA195" s="15"/>
      <c r="AB195" s="3"/>
      <c r="AC195" s="3"/>
      <c r="AD195" s="3"/>
      <c r="AE195" s="3"/>
      <c r="AF195" s="3"/>
      <c r="AG195" s="3"/>
      <c r="AH195" s="3"/>
      <c r="AI195" s="3"/>
      <c r="AJ195" s="3"/>
      <c r="AK195" s="3"/>
      <c r="AL195" s="3"/>
      <c r="AM195" s="3"/>
      <c r="AN195" s="3"/>
      <c r="AO195" s="3"/>
    </row>
    <row r="196" spans="2:41" s="171" customFormat="1" x14ac:dyDescent="0.25">
      <c r="B196" s="13"/>
      <c r="C196" s="14"/>
      <c r="D196" s="60"/>
      <c r="E196" s="56"/>
      <c r="F196" s="56"/>
      <c r="G196" s="14"/>
      <c r="H196" s="14"/>
      <c r="I196" s="14"/>
      <c r="J196" s="14"/>
      <c r="K196" s="14"/>
      <c r="L196" s="14"/>
      <c r="M196" s="14"/>
      <c r="N196" s="14"/>
      <c r="O196" s="14"/>
      <c r="P196" s="14"/>
      <c r="Q196" s="14"/>
      <c r="R196" s="14"/>
      <c r="S196" s="14"/>
      <c r="T196" s="14"/>
      <c r="U196" s="14"/>
      <c r="V196" s="14"/>
      <c r="W196" s="14"/>
      <c r="X196" s="14"/>
      <c r="Y196" s="14"/>
      <c r="Z196" s="14"/>
      <c r="AA196" s="15"/>
      <c r="AB196" s="3"/>
      <c r="AC196" s="3"/>
      <c r="AD196" s="3"/>
      <c r="AE196" s="3"/>
      <c r="AF196" s="3"/>
      <c r="AG196" s="3"/>
      <c r="AH196" s="3"/>
      <c r="AI196" s="3"/>
      <c r="AJ196" s="3"/>
      <c r="AK196" s="3"/>
      <c r="AL196" s="3"/>
      <c r="AM196" s="3"/>
      <c r="AN196" s="3"/>
      <c r="AO196" s="3"/>
    </row>
    <row r="197" spans="2:41" s="171" customFormat="1" x14ac:dyDescent="0.25">
      <c r="B197" s="13"/>
      <c r="C197" s="14"/>
      <c r="D197" s="60"/>
      <c r="E197" s="56"/>
      <c r="F197" s="56"/>
      <c r="G197" s="14"/>
      <c r="H197" s="56"/>
      <c r="I197" s="14"/>
      <c r="J197" s="14"/>
      <c r="K197" s="14"/>
      <c r="L197" s="14"/>
      <c r="M197" s="14"/>
      <c r="N197" s="14"/>
      <c r="O197" s="14"/>
      <c r="P197" s="14"/>
      <c r="Q197" s="14"/>
      <c r="R197" s="14"/>
      <c r="S197" s="14"/>
      <c r="T197" s="14"/>
      <c r="U197" s="14"/>
      <c r="V197" s="14"/>
      <c r="W197" s="14"/>
      <c r="X197" s="14"/>
      <c r="Y197" s="14"/>
      <c r="Z197" s="14"/>
      <c r="AA197" s="15"/>
      <c r="AB197" s="3"/>
      <c r="AC197" s="3"/>
      <c r="AD197" s="3"/>
      <c r="AE197" s="3"/>
      <c r="AF197" s="3"/>
      <c r="AG197" s="3"/>
      <c r="AH197" s="3"/>
      <c r="AI197" s="3"/>
      <c r="AJ197" s="3"/>
      <c r="AK197" s="3"/>
      <c r="AL197" s="3"/>
      <c r="AM197" s="3"/>
      <c r="AN197" s="3"/>
      <c r="AO197" s="3"/>
    </row>
    <row r="198" spans="2:41" s="171" customFormat="1" x14ac:dyDescent="0.25">
      <c r="B198" s="13"/>
      <c r="C198" s="14"/>
      <c r="D198" s="60"/>
      <c r="E198" s="56"/>
      <c r="F198" s="56"/>
      <c r="G198" s="14"/>
      <c r="H198" s="56"/>
      <c r="I198" s="14"/>
      <c r="J198" s="14"/>
      <c r="K198" s="14"/>
      <c r="L198" s="14"/>
      <c r="M198" s="14"/>
      <c r="N198" s="14"/>
      <c r="O198" s="14"/>
      <c r="P198" s="14"/>
      <c r="Q198" s="14"/>
      <c r="R198" s="14"/>
      <c r="S198" s="14"/>
      <c r="T198" s="14"/>
      <c r="U198" s="14"/>
      <c r="V198" s="14"/>
      <c r="W198" s="14"/>
      <c r="X198" s="14"/>
      <c r="Y198" s="14"/>
      <c r="Z198" s="14"/>
      <c r="AA198" s="15"/>
      <c r="AB198" s="3"/>
      <c r="AC198" s="3"/>
      <c r="AD198" s="3"/>
      <c r="AE198" s="3"/>
      <c r="AF198" s="3"/>
      <c r="AG198" s="3"/>
      <c r="AH198" s="3"/>
      <c r="AI198" s="3"/>
      <c r="AJ198" s="3"/>
      <c r="AK198" s="3"/>
      <c r="AL198" s="3"/>
      <c r="AM198" s="3"/>
      <c r="AN198" s="3"/>
      <c r="AO198" s="3"/>
    </row>
    <row r="199" spans="2:41" s="171" customFormat="1" x14ac:dyDescent="0.25">
      <c r="B199" s="13"/>
      <c r="C199" s="14"/>
      <c r="D199" s="60"/>
      <c r="E199" s="56"/>
      <c r="F199" s="56"/>
      <c r="G199" s="14"/>
      <c r="H199" s="56"/>
      <c r="I199" s="14"/>
      <c r="J199" s="14"/>
      <c r="K199" s="14"/>
      <c r="L199" s="14"/>
      <c r="M199" s="14"/>
      <c r="N199" s="14"/>
      <c r="O199" s="14"/>
      <c r="P199" s="14"/>
      <c r="Q199" s="14"/>
      <c r="R199" s="14"/>
      <c r="S199" s="14"/>
      <c r="T199" s="14"/>
      <c r="U199" s="14"/>
      <c r="V199" s="14"/>
      <c r="W199" s="14"/>
      <c r="X199" s="14"/>
      <c r="Y199" s="14"/>
      <c r="Z199" s="14"/>
      <c r="AA199" s="15"/>
      <c r="AB199" s="3"/>
      <c r="AC199" s="3"/>
      <c r="AD199" s="3"/>
      <c r="AE199" s="3"/>
      <c r="AF199" s="3"/>
      <c r="AG199" s="3"/>
      <c r="AH199" s="3"/>
      <c r="AI199" s="3"/>
      <c r="AJ199" s="3"/>
      <c r="AK199" s="3"/>
      <c r="AL199" s="3"/>
      <c r="AM199" s="3"/>
      <c r="AN199" s="3"/>
      <c r="AO199" s="3"/>
    </row>
    <row r="200" spans="2:41" s="171" customFormat="1" x14ac:dyDescent="0.25">
      <c r="B200" s="13"/>
      <c r="C200" s="14"/>
      <c r="D200" s="60"/>
      <c r="E200" s="56"/>
      <c r="F200" s="56"/>
      <c r="G200" s="14"/>
      <c r="H200" s="56"/>
      <c r="I200" s="14"/>
      <c r="J200" s="14"/>
      <c r="K200" s="14"/>
      <c r="L200" s="14"/>
      <c r="M200" s="14"/>
      <c r="N200" s="14"/>
      <c r="O200" s="14"/>
      <c r="P200" s="14"/>
      <c r="Q200" s="14"/>
      <c r="R200" s="14"/>
      <c r="S200" s="14"/>
      <c r="T200" s="14"/>
      <c r="U200" s="14"/>
      <c r="V200" s="14"/>
      <c r="W200" s="14"/>
      <c r="X200" s="14"/>
      <c r="Y200" s="14"/>
      <c r="Z200" s="14"/>
      <c r="AA200" s="15"/>
      <c r="AB200" s="3"/>
      <c r="AC200" s="3"/>
      <c r="AD200" s="3"/>
      <c r="AE200" s="3"/>
      <c r="AF200" s="3"/>
      <c r="AG200" s="3"/>
      <c r="AH200" s="3"/>
      <c r="AI200" s="3"/>
      <c r="AJ200" s="3"/>
      <c r="AK200" s="3"/>
      <c r="AL200" s="3"/>
      <c r="AM200" s="3"/>
      <c r="AN200" s="3"/>
      <c r="AO200" s="3"/>
    </row>
    <row r="201" spans="2:41" s="171" customFormat="1" x14ac:dyDescent="0.25">
      <c r="B201" s="13"/>
      <c r="C201" s="14"/>
      <c r="D201" s="60"/>
      <c r="E201" s="56"/>
      <c r="F201" s="56"/>
      <c r="G201" s="14"/>
      <c r="H201" s="56"/>
      <c r="I201" s="14"/>
      <c r="J201" s="14"/>
      <c r="K201" s="14"/>
      <c r="L201" s="14"/>
      <c r="M201" s="14"/>
      <c r="N201" s="14"/>
      <c r="O201" s="14"/>
      <c r="P201" s="14"/>
      <c r="Q201" s="14"/>
      <c r="R201" s="14"/>
      <c r="S201" s="14"/>
      <c r="T201" s="14"/>
      <c r="U201" s="14"/>
      <c r="V201" s="14"/>
      <c r="W201" s="14"/>
      <c r="X201" s="14"/>
      <c r="Y201" s="14"/>
      <c r="Z201" s="14"/>
      <c r="AA201" s="15"/>
      <c r="AB201" s="3"/>
      <c r="AC201" s="3"/>
      <c r="AD201" s="3"/>
      <c r="AE201" s="3"/>
      <c r="AF201" s="3"/>
      <c r="AG201" s="3"/>
      <c r="AH201" s="3"/>
      <c r="AI201" s="3"/>
      <c r="AJ201" s="3"/>
      <c r="AK201" s="3"/>
      <c r="AL201" s="3"/>
      <c r="AM201" s="3"/>
      <c r="AN201" s="3"/>
      <c r="AO201" s="3"/>
    </row>
    <row r="202" spans="2:41" s="171" customFormat="1" x14ac:dyDescent="0.25">
      <c r="B202" s="13"/>
      <c r="C202" s="14"/>
      <c r="D202" s="14"/>
      <c r="E202" s="56"/>
      <c r="F202" s="56"/>
      <c r="G202" s="14"/>
      <c r="H202" s="56"/>
      <c r="I202" s="14"/>
      <c r="J202" s="14"/>
      <c r="K202" s="14"/>
      <c r="L202" s="14"/>
      <c r="M202" s="14"/>
      <c r="N202" s="14"/>
      <c r="O202" s="14"/>
      <c r="P202" s="14"/>
      <c r="Q202" s="14"/>
      <c r="R202" s="14"/>
      <c r="S202" s="14"/>
      <c r="T202" s="14"/>
      <c r="U202" s="14"/>
      <c r="V202" s="14"/>
      <c r="W202" s="14"/>
      <c r="X202" s="14"/>
      <c r="Y202" s="14"/>
      <c r="Z202" s="14"/>
      <c r="AA202" s="15"/>
      <c r="AB202" s="3"/>
      <c r="AC202" s="3"/>
      <c r="AD202" s="3"/>
      <c r="AE202" s="3"/>
      <c r="AF202" s="3"/>
      <c r="AG202" s="3"/>
      <c r="AH202" s="3"/>
      <c r="AI202" s="3"/>
      <c r="AJ202" s="3"/>
      <c r="AK202" s="3"/>
      <c r="AL202" s="3"/>
      <c r="AM202" s="3"/>
      <c r="AN202" s="3"/>
      <c r="AO202" s="3"/>
    </row>
    <row r="203" spans="2:41" s="171" customFormat="1" x14ac:dyDescent="0.25">
      <c r="B203" s="13"/>
      <c r="C203" s="14"/>
      <c r="D203" s="60"/>
      <c r="E203" s="56"/>
      <c r="F203" s="56"/>
      <c r="G203" s="14"/>
      <c r="H203" s="14"/>
      <c r="I203" s="14"/>
      <c r="J203" s="14"/>
      <c r="K203" s="14"/>
      <c r="L203" s="14"/>
      <c r="M203" s="14"/>
      <c r="N203" s="14"/>
      <c r="O203" s="14"/>
      <c r="P203" s="14"/>
      <c r="Q203" s="14"/>
      <c r="R203" s="14"/>
      <c r="S203" s="14"/>
      <c r="T203" s="14"/>
      <c r="U203" s="14"/>
      <c r="V203" s="14"/>
      <c r="W203" s="14"/>
      <c r="X203" s="14"/>
      <c r="Y203" s="14"/>
      <c r="Z203" s="14"/>
      <c r="AA203" s="15"/>
      <c r="AB203" s="3"/>
      <c r="AC203" s="3"/>
      <c r="AD203" s="3"/>
      <c r="AE203" s="3"/>
      <c r="AF203" s="3"/>
      <c r="AG203" s="3"/>
      <c r="AH203" s="3"/>
      <c r="AI203" s="3"/>
      <c r="AJ203" s="3"/>
      <c r="AK203" s="3"/>
      <c r="AL203" s="3"/>
      <c r="AM203" s="3"/>
      <c r="AN203" s="3"/>
      <c r="AO203" s="3"/>
    </row>
    <row r="204" spans="2:41" s="171" customFormat="1" x14ac:dyDescent="0.25">
      <c r="B204" s="13"/>
      <c r="C204" s="14"/>
      <c r="D204" s="60"/>
      <c r="E204" s="56"/>
      <c r="F204" s="56"/>
      <c r="G204" s="14"/>
      <c r="H204" s="56"/>
      <c r="I204" s="14"/>
      <c r="J204" s="14"/>
      <c r="K204" s="14"/>
      <c r="L204" s="14"/>
      <c r="M204" s="14"/>
      <c r="N204" s="14"/>
      <c r="O204" s="14"/>
      <c r="P204" s="14"/>
      <c r="Q204" s="14"/>
      <c r="R204" s="14"/>
      <c r="S204" s="14"/>
      <c r="T204" s="14"/>
      <c r="U204" s="14"/>
      <c r="V204" s="14"/>
      <c r="W204" s="14"/>
      <c r="X204" s="14"/>
      <c r="Y204" s="14"/>
      <c r="Z204" s="14"/>
      <c r="AA204" s="15"/>
      <c r="AB204" s="3"/>
      <c r="AC204" s="3"/>
      <c r="AD204" s="3"/>
      <c r="AE204" s="3"/>
      <c r="AF204" s="3"/>
      <c r="AG204" s="3"/>
      <c r="AH204" s="3"/>
      <c r="AI204" s="3"/>
      <c r="AJ204" s="3"/>
      <c r="AK204" s="3"/>
      <c r="AL204" s="3"/>
      <c r="AM204" s="3"/>
      <c r="AN204" s="3"/>
      <c r="AO204" s="3"/>
    </row>
    <row r="205" spans="2:41" s="171" customFormat="1" x14ac:dyDescent="0.25">
      <c r="B205" s="13"/>
      <c r="C205" s="14"/>
      <c r="D205" s="60"/>
      <c r="E205" s="56"/>
      <c r="F205" s="56"/>
      <c r="G205" s="14"/>
      <c r="H205" s="56"/>
      <c r="I205" s="14"/>
      <c r="J205" s="14"/>
      <c r="K205" s="14"/>
      <c r="L205" s="14"/>
      <c r="M205" s="14"/>
      <c r="N205" s="14"/>
      <c r="O205" s="14"/>
      <c r="P205" s="14"/>
      <c r="Q205" s="14"/>
      <c r="R205" s="14"/>
      <c r="S205" s="14"/>
      <c r="T205" s="14"/>
      <c r="U205" s="14"/>
      <c r="V205" s="14"/>
      <c r="W205" s="14"/>
      <c r="X205" s="14"/>
      <c r="Y205" s="14"/>
      <c r="Z205" s="14"/>
      <c r="AA205" s="15"/>
      <c r="AB205" s="3"/>
      <c r="AC205" s="3"/>
      <c r="AD205" s="3"/>
      <c r="AE205" s="3"/>
      <c r="AF205" s="3"/>
      <c r="AG205" s="3"/>
      <c r="AH205" s="3"/>
      <c r="AI205" s="3"/>
      <c r="AJ205" s="3"/>
      <c r="AK205" s="3"/>
      <c r="AL205" s="3"/>
      <c r="AM205" s="3"/>
      <c r="AN205" s="3"/>
      <c r="AO205" s="3"/>
    </row>
    <row r="206" spans="2:41" s="171" customFormat="1" x14ac:dyDescent="0.25">
      <c r="B206" s="13"/>
      <c r="C206" s="14"/>
      <c r="D206" s="60"/>
      <c r="E206" s="56"/>
      <c r="F206" s="56"/>
      <c r="G206" s="14"/>
      <c r="H206" s="56"/>
      <c r="I206" s="14"/>
      <c r="J206" s="14"/>
      <c r="K206" s="14"/>
      <c r="L206" s="14"/>
      <c r="M206" s="14"/>
      <c r="N206" s="14"/>
      <c r="O206" s="14"/>
      <c r="P206" s="14"/>
      <c r="Q206" s="14"/>
      <c r="R206" s="14"/>
      <c r="S206" s="14"/>
      <c r="T206" s="14"/>
      <c r="U206" s="14"/>
      <c r="V206" s="14"/>
      <c r="W206" s="14"/>
      <c r="X206" s="14"/>
      <c r="Y206" s="14"/>
      <c r="Z206" s="14"/>
      <c r="AA206" s="15"/>
      <c r="AB206" s="3"/>
      <c r="AC206" s="3"/>
      <c r="AD206" s="3"/>
      <c r="AE206" s="3"/>
      <c r="AF206" s="3"/>
      <c r="AG206" s="3"/>
      <c r="AH206" s="3"/>
      <c r="AI206" s="3"/>
      <c r="AJ206" s="3"/>
      <c r="AK206" s="3"/>
      <c r="AL206" s="3"/>
      <c r="AM206" s="3"/>
      <c r="AN206" s="3"/>
      <c r="AO206" s="3"/>
    </row>
    <row r="207" spans="2:41" s="171" customFormat="1" x14ac:dyDescent="0.25">
      <c r="B207" s="70"/>
      <c r="C207" s="56"/>
      <c r="D207" s="60"/>
      <c r="E207" s="56"/>
      <c r="F207" s="56"/>
      <c r="G207" s="56"/>
      <c r="H207" s="56"/>
      <c r="I207" s="42"/>
      <c r="J207" s="14"/>
      <c r="K207" s="14"/>
      <c r="L207" s="14"/>
      <c r="M207" s="14"/>
      <c r="N207" s="14"/>
      <c r="O207" s="14"/>
      <c r="P207" s="14"/>
      <c r="Q207" s="14"/>
      <c r="R207" s="14"/>
      <c r="S207" s="14"/>
      <c r="T207" s="14"/>
      <c r="U207" s="14"/>
      <c r="V207" s="14"/>
      <c r="W207" s="14"/>
      <c r="X207" s="14"/>
      <c r="Y207" s="14"/>
      <c r="Z207" s="14"/>
      <c r="AA207" s="15"/>
      <c r="AB207" s="3"/>
      <c r="AC207" s="3"/>
      <c r="AD207" s="3"/>
      <c r="AE207" s="3"/>
      <c r="AF207" s="3"/>
      <c r="AG207" s="3"/>
      <c r="AH207" s="3"/>
      <c r="AI207" s="3"/>
      <c r="AJ207" s="3"/>
      <c r="AK207" s="3"/>
      <c r="AL207" s="3"/>
      <c r="AM207" s="3"/>
      <c r="AN207" s="3"/>
      <c r="AO207" s="3"/>
    </row>
    <row r="208" spans="2:41" s="171" customFormat="1" ht="18.75" x14ac:dyDescent="0.3">
      <c r="B208" s="67"/>
      <c r="C208" s="14"/>
      <c r="D208" s="60"/>
      <c r="E208" s="56"/>
      <c r="F208" s="56"/>
      <c r="G208" s="14"/>
      <c r="H208" s="56"/>
      <c r="I208" s="74"/>
      <c r="J208" s="14"/>
      <c r="K208" s="14"/>
      <c r="L208" s="14"/>
      <c r="M208" s="14"/>
      <c r="N208" s="14"/>
      <c r="O208" s="14"/>
      <c r="P208" s="14"/>
      <c r="Q208" s="14"/>
      <c r="R208" s="14"/>
      <c r="S208" s="14"/>
      <c r="T208" s="14"/>
      <c r="U208" s="14"/>
      <c r="V208" s="14"/>
      <c r="W208" s="14"/>
      <c r="X208" s="14"/>
      <c r="Y208" s="14"/>
      <c r="Z208" s="14"/>
      <c r="AA208" s="15"/>
      <c r="AB208" s="3"/>
      <c r="AC208" s="3"/>
      <c r="AD208" s="3"/>
      <c r="AE208" s="3"/>
      <c r="AF208" s="3"/>
      <c r="AG208" s="3"/>
      <c r="AH208" s="3"/>
      <c r="AI208" s="3"/>
      <c r="AJ208" s="3"/>
      <c r="AK208" s="3"/>
      <c r="AL208" s="3"/>
      <c r="AM208" s="3"/>
      <c r="AN208" s="3"/>
      <c r="AO208" s="3"/>
    </row>
    <row r="209" spans="2:41" s="171" customFormat="1" x14ac:dyDescent="0.25">
      <c r="B209" s="13"/>
      <c r="C209" s="14"/>
      <c r="D209" s="14"/>
      <c r="E209" s="56"/>
      <c r="F209" s="56"/>
      <c r="G209" s="14"/>
      <c r="H209" s="56"/>
      <c r="I209" s="14"/>
      <c r="J209" s="14"/>
      <c r="K209" s="14"/>
      <c r="L209" s="14"/>
      <c r="M209" s="14"/>
      <c r="N209" s="14"/>
      <c r="O209" s="14"/>
      <c r="P209" s="14"/>
      <c r="Q209" s="14"/>
      <c r="R209" s="14"/>
      <c r="S209" s="14"/>
      <c r="T209" s="14"/>
      <c r="U209" s="14"/>
      <c r="V209" s="14"/>
      <c r="W209" s="14"/>
      <c r="X209" s="14"/>
      <c r="Y209" s="14"/>
      <c r="Z209" s="14"/>
      <c r="AA209" s="15"/>
      <c r="AB209" s="3"/>
      <c r="AC209" s="3"/>
      <c r="AD209" s="3"/>
      <c r="AE209" s="3"/>
      <c r="AF209" s="3"/>
      <c r="AG209" s="3"/>
      <c r="AH209" s="3"/>
      <c r="AI209" s="3"/>
      <c r="AJ209" s="3"/>
      <c r="AK209" s="3"/>
      <c r="AL209" s="3"/>
      <c r="AM209" s="3"/>
      <c r="AN209" s="3"/>
      <c r="AO209" s="3"/>
    </row>
    <row r="210" spans="2:41" s="171" customFormat="1" x14ac:dyDescent="0.25">
      <c r="B210" s="13"/>
      <c r="C210" s="14"/>
      <c r="D210" s="60"/>
      <c r="E210" s="56"/>
      <c r="F210" s="56"/>
      <c r="G210" s="14"/>
      <c r="H210" s="14"/>
      <c r="I210" s="14"/>
      <c r="J210" s="14"/>
      <c r="K210" s="14"/>
      <c r="L210" s="14"/>
      <c r="M210" s="14"/>
      <c r="N210" s="14"/>
      <c r="O210" s="14"/>
      <c r="P210" s="14"/>
      <c r="Q210" s="14"/>
      <c r="R210" s="14"/>
      <c r="S210" s="14"/>
      <c r="T210" s="14"/>
      <c r="U210" s="14"/>
      <c r="V210" s="14"/>
      <c r="W210" s="14"/>
      <c r="X210" s="14"/>
      <c r="Y210" s="14"/>
      <c r="Z210" s="14"/>
      <c r="AA210" s="15"/>
      <c r="AB210" s="3"/>
      <c r="AC210" s="3"/>
      <c r="AD210" s="3"/>
      <c r="AE210" s="3"/>
      <c r="AF210" s="3"/>
      <c r="AG210" s="3"/>
      <c r="AH210" s="3"/>
      <c r="AI210" s="3"/>
      <c r="AJ210" s="3"/>
      <c r="AK210" s="3"/>
      <c r="AL210" s="3"/>
      <c r="AM210" s="3"/>
      <c r="AN210" s="3"/>
      <c r="AO210" s="3"/>
    </row>
    <row r="211" spans="2:41" s="171" customFormat="1" x14ac:dyDescent="0.25">
      <c r="B211" s="13"/>
      <c r="C211" s="14"/>
      <c r="D211" s="60"/>
      <c r="E211" s="56"/>
      <c r="F211" s="56"/>
      <c r="G211" s="14"/>
      <c r="H211" s="56"/>
      <c r="I211" s="14"/>
      <c r="J211" s="14"/>
      <c r="K211" s="14"/>
      <c r="L211" s="14"/>
      <c r="M211" s="14"/>
      <c r="N211" s="14"/>
      <c r="O211" s="14"/>
      <c r="P211" s="14"/>
      <c r="Q211" s="14"/>
      <c r="R211" s="14"/>
      <c r="S211" s="14"/>
      <c r="T211" s="14"/>
      <c r="U211" s="14"/>
      <c r="V211" s="14"/>
      <c r="W211" s="14"/>
      <c r="X211" s="14"/>
      <c r="Y211" s="14"/>
      <c r="Z211" s="14"/>
      <c r="AA211" s="15"/>
      <c r="AB211" s="3"/>
      <c r="AC211" s="3"/>
      <c r="AD211" s="3"/>
      <c r="AE211" s="3"/>
      <c r="AF211" s="3"/>
      <c r="AG211" s="3"/>
      <c r="AH211" s="3"/>
      <c r="AI211" s="3"/>
      <c r="AJ211" s="3"/>
      <c r="AK211" s="3"/>
      <c r="AL211" s="3"/>
      <c r="AM211" s="3"/>
      <c r="AN211" s="3"/>
      <c r="AO211" s="3"/>
    </row>
    <row r="212" spans="2:41" s="171" customFormat="1" x14ac:dyDescent="0.25">
      <c r="B212" s="13"/>
      <c r="C212" s="14"/>
      <c r="D212" s="60"/>
      <c r="E212" s="56"/>
      <c r="F212" s="56"/>
      <c r="G212" s="14"/>
      <c r="H212" s="56"/>
      <c r="I212" s="14"/>
      <c r="J212" s="14"/>
      <c r="K212" s="14"/>
      <c r="L212" s="14"/>
      <c r="M212" s="14"/>
      <c r="N212" s="14"/>
      <c r="O212" s="14"/>
      <c r="P212" s="14"/>
      <c r="Q212" s="14"/>
      <c r="R212" s="14"/>
      <c r="S212" s="14"/>
      <c r="T212" s="14"/>
      <c r="U212" s="14"/>
      <c r="V212" s="14"/>
      <c r="W212" s="14"/>
      <c r="X212" s="14"/>
      <c r="Y212" s="14"/>
      <c r="Z212" s="14"/>
      <c r="AA212" s="15"/>
      <c r="AB212" s="3"/>
      <c r="AC212" s="3"/>
      <c r="AD212" s="3"/>
      <c r="AE212" s="3"/>
      <c r="AF212" s="3"/>
      <c r="AG212" s="3"/>
      <c r="AH212" s="3"/>
      <c r="AI212" s="3"/>
      <c r="AJ212" s="3"/>
      <c r="AK212" s="3"/>
      <c r="AL212" s="3"/>
      <c r="AM212" s="3"/>
      <c r="AN212" s="3"/>
      <c r="AO212" s="3"/>
    </row>
    <row r="213" spans="2:41" s="171" customFormat="1" x14ac:dyDescent="0.25">
      <c r="B213" s="13"/>
      <c r="C213" s="14"/>
      <c r="D213" s="60"/>
      <c r="E213" s="56"/>
      <c r="F213" s="56"/>
      <c r="G213" s="14"/>
      <c r="H213" s="56"/>
      <c r="I213" s="14"/>
      <c r="J213" s="14"/>
      <c r="K213" s="14"/>
      <c r="L213" s="14"/>
      <c r="M213" s="14"/>
      <c r="N213" s="14"/>
      <c r="O213" s="14"/>
      <c r="P213" s="14"/>
      <c r="Q213" s="14"/>
      <c r="R213" s="14"/>
      <c r="S213" s="14"/>
      <c r="T213" s="14"/>
      <c r="U213" s="14"/>
      <c r="V213" s="14"/>
      <c r="W213" s="14"/>
      <c r="X213" s="14"/>
      <c r="Y213" s="14"/>
      <c r="Z213" s="14"/>
      <c r="AA213" s="15"/>
      <c r="AB213" s="3"/>
      <c r="AC213" s="3"/>
      <c r="AD213" s="3"/>
      <c r="AE213" s="3"/>
      <c r="AF213" s="3"/>
      <c r="AG213" s="3"/>
      <c r="AH213" s="3"/>
      <c r="AI213" s="3"/>
      <c r="AJ213" s="3"/>
      <c r="AK213" s="3"/>
      <c r="AL213" s="3"/>
      <c r="AM213" s="3"/>
      <c r="AN213" s="3"/>
      <c r="AO213" s="3"/>
    </row>
    <row r="214" spans="2:41" s="171" customFormat="1" x14ac:dyDescent="0.25">
      <c r="B214" s="13"/>
      <c r="C214" s="14"/>
      <c r="D214" s="60"/>
      <c r="E214" s="56"/>
      <c r="F214" s="56"/>
      <c r="G214" s="14"/>
      <c r="H214" s="56"/>
      <c r="I214" s="14"/>
      <c r="J214" s="14"/>
      <c r="K214" s="14"/>
      <c r="L214" s="14"/>
      <c r="M214" s="14"/>
      <c r="N214" s="14"/>
      <c r="O214" s="14"/>
      <c r="P214" s="14"/>
      <c r="Q214" s="14"/>
      <c r="R214" s="14"/>
      <c r="S214" s="14"/>
      <c r="T214" s="14"/>
      <c r="U214" s="14"/>
      <c r="V214" s="14"/>
      <c r="W214" s="14"/>
      <c r="X214" s="14"/>
      <c r="Y214" s="14"/>
      <c r="Z214" s="14"/>
      <c r="AA214" s="15"/>
      <c r="AB214" s="3"/>
      <c r="AC214" s="3"/>
      <c r="AD214" s="3"/>
      <c r="AE214" s="3"/>
      <c r="AF214" s="3"/>
      <c r="AG214" s="3"/>
      <c r="AH214" s="3"/>
      <c r="AI214" s="3"/>
      <c r="AJ214" s="3"/>
      <c r="AK214" s="3"/>
      <c r="AL214" s="3"/>
      <c r="AM214" s="3"/>
      <c r="AN214" s="3"/>
      <c r="AO214" s="3"/>
    </row>
    <row r="215" spans="2:41" s="171" customFormat="1" x14ac:dyDescent="0.25">
      <c r="B215" s="13"/>
      <c r="C215" s="14"/>
      <c r="D215" s="60"/>
      <c r="E215" s="56"/>
      <c r="F215" s="56"/>
      <c r="G215" s="14"/>
      <c r="H215" s="56"/>
      <c r="I215" s="14"/>
      <c r="J215" s="14"/>
      <c r="K215" s="14"/>
      <c r="L215" s="14"/>
      <c r="M215" s="14"/>
      <c r="N215" s="14"/>
      <c r="O215" s="14"/>
      <c r="P215" s="14"/>
      <c r="Q215" s="14"/>
      <c r="R215" s="14"/>
      <c r="S215" s="14"/>
      <c r="T215" s="14"/>
      <c r="U215" s="14"/>
      <c r="V215" s="14"/>
      <c r="W215" s="14"/>
      <c r="X215" s="14"/>
      <c r="Y215" s="14"/>
      <c r="Z215" s="14"/>
      <c r="AA215" s="15"/>
      <c r="AB215" s="3"/>
      <c r="AC215" s="3"/>
      <c r="AD215" s="3"/>
      <c r="AE215" s="3"/>
      <c r="AF215" s="3"/>
      <c r="AG215" s="3"/>
      <c r="AH215" s="3"/>
      <c r="AI215" s="3"/>
      <c r="AJ215" s="3"/>
      <c r="AK215" s="3"/>
      <c r="AL215" s="3"/>
      <c r="AM215" s="3"/>
      <c r="AN215" s="3"/>
      <c r="AO215" s="3"/>
    </row>
    <row r="216" spans="2:41" s="171" customFormat="1" x14ac:dyDescent="0.25">
      <c r="B216" s="13"/>
      <c r="C216" s="14"/>
      <c r="D216" s="14"/>
      <c r="E216" s="56"/>
      <c r="F216" s="56"/>
      <c r="G216" s="14"/>
      <c r="H216" s="56"/>
      <c r="I216" s="14"/>
      <c r="J216" s="14"/>
      <c r="K216" s="14"/>
      <c r="L216" s="14"/>
      <c r="M216" s="14"/>
      <c r="N216" s="14"/>
      <c r="O216" s="14"/>
      <c r="P216" s="14"/>
      <c r="Q216" s="14"/>
      <c r="R216" s="14"/>
      <c r="S216" s="14"/>
      <c r="T216" s="14"/>
      <c r="U216" s="14"/>
      <c r="V216" s="14"/>
      <c r="W216" s="14"/>
      <c r="X216" s="14"/>
      <c r="Y216" s="14"/>
      <c r="Z216" s="14"/>
      <c r="AA216" s="15"/>
      <c r="AB216" s="3"/>
      <c r="AC216" s="3"/>
      <c r="AD216" s="3"/>
      <c r="AE216" s="3"/>
      <c r="AF216" s="3"/>
      <c r="AG216" s="3"/>
      <c r="AH216" s="3"/>
      <c r="AI216" s="3"/>
      <c r="AJ216" s="3"/>
      <c r="AK216" s="3"/>
      <c r="AL216" s="3"/>
      <c r="AM216" s="3"/>
      <c r="AN216" s="3"/>
      <c r="AO216" s="3"/>
    </row>
    <row r="217" spans="2:41" s="171" customFormat="1" x14ac:dyDescent="0.25">
      <c r="B217" s="13"/>
      <c r="C217" s="14"/>
      <c r="D217" s="60"/>
      <c r="E217" s="56"/>
      <c r="F217" s="56"/>
      <c r="G217" s="14"/>
      <c r="H217" s="14"/>
      <c r="I217" s="14"/>
      <c r="J217" s="14"/>
      <c r="K217" s="14"/>
      <c r="L217" s="14"/>
      <c r="M217" s="14"/>
      <c r="N217" s="14"/>
      <c r="O217" s="14"/>
      <c r="P217" s="14"/>
      <c r="Q217" s="14"/>
      <c r="R217" s="14"/>
      <c r="S217" s="14"/>
      <c r="T217" s="14"/>
      <c r="U217" s="14"/>
      <c r="V217" s="14"/>
      <c r="W217" s="14"/>
      <c r="X217" s="14"/>
      <c r="Y217" s="14"/>
      <c r="Z217" s="14"/>
      <c r="AA217" s="15"/>
      <c r="AB217" s="3"/>
      <c r="AC217" s="3"/>
      <c r="AD217" s="3"/>
      <c r="AE217" s="3"/>
      <c r="AF217" s="3"/>
      <c r="AG217" s="3"/>
      <c r="AH217" s="3"/>
      <c r="AI217" s="3"/>
      <c r="AJ217" s="3"/>
      <c r="AK217" s="3"/>
      <c r="AL217" s="3"/>
      <c r="AM217" s="3"/>
      <c r="AN217" s="3"/>
      <c r="AO217" s="3"/>
    </row>
    <row r="218" spans="2:41" s="171" customFormat="1" x14ac:dyDescent="0.25">
      <c r="B218" s="13"/>
      <c r="C218" s="14"/>
      <c r="D218" s="60"/>
      <c r="E218" s="56"/>
      <c r="F218" s="56"/>
      <c r="G218" s="14"/>
      <c r="H218" s="56"/>
      <c r="I218" s="14"/>
      <c r="J218" s="14"/>
      <c r="K218" s="14"/>
      <c r="L218" s="14"/>
      <c r="M218" s="14"/>
      <c r="N218" s="14"/>
      <c r="O218" s="14"/>
      <c r="P218" s="14"/>
      <c r="Q218" s="14"/>
      <c r="R218" s="14"/>
      <c r="S218" s="14"/>
      <c r="T218" s="14"/>
      <c r="U218" s="14"/>
      <c r="V218" s="14"/>
      <c r="W218" s="14"/>
      <c r="X218" s="14"/>
      <c r="Y218" s="14"/>
      <c r="Z218" s="14"/>
      <c r="AA218" s="15"/>
      <c r="AB218" s="3"/>
      <c r="AC218" s="3"/>
      <c r="AD218" s="3"/>
      <c r="AE218" s="3"/>
      <c r="AF218" s="3"/>
      <c r="AG218" s="3"/>
      <c r="AH218" s="3"/>
      <c r="AI218" s="3"/>
      <c r="AJ218" s="3"/>
      <c r="AK218" s="3"/>
      <c r="AL218" s="3"/>
      <c r="AM218" s="3"/>
      <c r="AN218" s="3"/>
      <c r="AO218" s="3"/>
    </row>
    <row r="219" spans="2:41" s="171" customFormat="1" x14ac:dyDescent="0.25">
      <c r="B219" s="13"/>
      <c r="C219" s="14"/>
      <c r="D219" s="60"/>
      <c r="E219" s="56"/>
      <c r="F219" s="56"/>
      <c r="G219" s="14"/>
      <c r="H219" s="56"/>
      <c r="I219" s="14"/>
      <c r="J219" s="14"/>
      <c r="K219" s="14"/>
      <c r="L219" s="14"/>
      <c r="M219" s="14"/>
      <c r="N219" s="14"/>
      <c r="O219" s="14"/>
      <c r="P219" s="14"/>
      <c r="Q219" s="14"/>
      <c r="R219" s="14"/>
      <c r="S219" s="14"/>
      <c r="T219" s="14"/>
      <c r="U219" s="14"/>
      <c r="V219" s="14"/>
      <c r="W219" s="14"/>
      <c r="X219" s="14"/>
      <c r="Y219" s="14"/>
      <c r="Z219" s="14"/>
      <c r="AA219" s="15"/>
      <c r="AB219" s="3"/>
      <c r="AC219" s="3"/>
      <c r="AD219" s="3"/>
      <c r="AE219" s="3"/>
      <c r="AF219" s="3"/>
      <c r="AG219" s="3"/>
      <c r="AH219" s="3"/>
      <c r="AI219" s="3"/>
      <c r="AJ219" s="3"/>
      <c r="AK219" s="3"/>
      <c r="AL219" s="3"/>
      <c r="AM219" s="3"/>
      <c r="AN219" s="3"/>
      <c r="AO219" s="3"/>
    </row>
    <row r="220" spans="2:41" s="171" customFormat="1" x14ac:dyDescent="0.25">
      <c r="B220" s="13"/>
      <c r="C220" s="14"/>
      <c r="D220" s="60"/>
      <c r="E220" s="56"/>
      <c r="F220" s="56"/>
      <c r="G220" s="14"/>
      <c r="H220" s="56"/>
      <c r="I220" s="14"/>
      <c r="J220" s="14"/>
      <c r="K220" s="14"/>
      <c r="L220" s="14"/>
      <c r="M220" s="14"/>
      <c r="N220" s="14"/>
      <c r="O220" s="14"/>
      <c r="P220" s="14"/>
      <c r="Q220" s="14"/>
      <c r="R220" s="14"/>
      <c r="S220" s="14"/>
      <c r="T220" s="14"/>
      <c r="U220" s="14"/>
      <c r="V220" s="14"/>
      <c r="W220" s="14"/>
      <c r="X220" s="14"/>
      <c r="Y220" s="14"/>
      <c r="Z220" s="14"/>
      <c r="AA220" s="15"/>
      <c r="AB220" s="3"/>
      <c r="AC220" s="3"/>
      <c r="AD220" s="3"/>
      <c r="AE220" s="3"/>
      <c r="AF220" s="3"/>
      <c r="AG220" s="3"/>
      <c r="AH220" s="3"/>
      <c r="AI220" s="3"/>
      <c r="AJ220" s="3"/>
      <c r="AK220" s="3"/>
      <c r="AL220" s="3"/>
      <c r="AM220" s="3"/>
      <c r="AN220" s="3"/>
      <c r="AO220" s="3"/>
    </row>
    <row r="221" spans="2:41" s="171" customFormat="1" x14ac:dyDescent="0.25">
      <c r="B221" s="70"/>
      <c r="C221" s="56"/>
      <c r="D221" s="60"/>
      <c r="E221" s="56"/>
      <c r="F221" s="56"/>
      <c r="G221" s="56"/>
      <c r="H221" s="56"/>
      <c r="I221" s="42"/>
      <c r="J221" s="14"/>
      <c r="K221" s="14"/>
      <c r="L221" s="14"/>
      <c r="M221" s="14"/>
      <c r="N221" s="14"/>
      <c r="O221" s="14"/>
      <c r="P221" s="14"/>
      <c r="Q221" s="14"/>
      <c r="R221" s="14"/>
      <c r="S221" s="14"/>
      <c r="T221" s="14"/>
      <c r="U221" s="14"/>
      <c r="V221" s="14"/>
      <c r="W221" s="14"/>
      <c r="X221" s="14"/>
      <c r="Y221" s="14"/>
      <c r="Z221" s="14"/>
      <c r="AA221" s="15"/>
      <c r="AB221" s="3"/>
      <c r="AC221" s="3"/>
      <c r="AD221" s="3"/>
      <c r="AE221" s="3"/>
      <c r="AF221" s="3"/>
      <c r="AG221" s="3"/>
      <c r="AH221" s="3"/>
      <c r="AI221" s="3"/>
      <c r="AJ221" s="3"/>
      <c r="AK221" s="3"/>
      <c r="AL221" s="3"/>
      <c r="AM221" s="3"/>
      <c r="AN221" s="3"/>
      <c r="AO221" s="3"/>
    </row>
    <row r="222" spans="2:41" s="171" customFormat="1" x14ac:dyDescent="0.25">
      <c r="B222" s="13"/>
      <c r="C222" s="14"/>
      <c r="D222" s="60"/>
      <c r="E222" s="56"/>
      <c r="F222" s="56"/>
      <c r="G222" s="14"/>
      <c r="H222" s="56"/>
      <c r="I222" s="14"/>
      <c r="J222" s="14"/>
      <c r="K222" s="14"/>
      <c r="L222" s="14"/>
      <c r="M222" s="14"/>
      <c r="N222" s="14"/>
      <c r="O222" s="14"/>
      <c r="P222" s="14"/>
      <c r="Q222" s="14"/>
      <c r="R222" s="14"/>
      <c r="S222" s="14"/>
      <c r="T222" s="14"/>
      <c r="U222" s="14"/>
      <c r="V222" s="14"/>
      <c r="W222" s="14"/>
      <c r="X222" s="14"/>
      <c r="Y222" s="14"/>
      <c r="Z222" s="14"/>
      <c r="AA222" s="15"/>
      <c r="AB222" s="3"/>
      <c r="AC222" s="3"/>
      <c r="AD222" s="3"/>
      <c r="AE222" s="3"/>
      <c r="AF222" s="3"/>
      <c r="AG222" s="3"/>
      <c r="AH222" s="3"/>
      <c r="AI222" s="3"/>
      <c r="AJ222" s="3"/>
      <c r="AK222" s="3"/>
      <c r="AL222" s="3"/>
      <c r="AM222" s="3"/>
      <c r="AN222" s="3"/>
      <c r="AO222" s="3"/>
    </row>
    <row r="223" spans="2:41" s="171" customFormat="1" x14ac:dyDescent="0.25">
      <c r="B223" s="13"/>
      <c r="C223" s="14"/>
      <c r="D223" s="14"/>
      <c r="E223" s="56"/>
      <c r="F223" s="56"/>
      <c r="G223" s="14"/>
      <c r="H223" s="56"/>
      <c r="I223" s="14"/>
      <c r="J223" s="14"/>
      <c r="K223" s="14"/>
      <c r="L223" s="14"/>
      <c r="M223" s="14"/>
      <c r="N223" s="14"/>
      <c r="O223" s="14"/>
      <c r="P223" s="14"/>
      <c r="Q223" s="14"/>
      <c r="R223" s="14"/>
      <c r="S223" s="14"/>
      <c r="T223" s="14"/>
      <c r="U223" s="14"/>
      <c r="V223" s="14"/>
      <c r="W223" s="14"/>
      <c r="X223" s="14"/>
      <c r="Y223" s="14"/>
      <c r="Z223" s="14"/>
      <c r="AA223" s="15"/>
      <c r="AB223" s="3"/>
      <c r="AC223" s="3"/>
      <c r="AD223" s="3"/>
      <c r="AE223" s="3"/>
      <c r="AF223" s="3"/>
      <c r="AG223" s="3"/>
      <c r="AH223" s="3"/>
      <c r="AI223" s="3"/>
      <c r="AJ223" s="3"/>
      <c r="AK223" s="3"/>
      <c r="AL223" s="3"/>
      <c r="AM223" s="3"/>
      <c r="AN223" s="3"/>
      <c r="AO223" s="3"/>
    </row>
    <row r="224" spans="2:41" s="171" customFormat="1" x14ac:dyDescent="0.25">
      <c r="B224" s="13"/>
      <c r="C224" s="14"/>
      <c r="D224" s="60"/>
      <c r="E224" s="56"/>
      <c r="F224" s="56"/>
      <c r="G224" s="14"/>
      <c r="H224" s="14"/>
      <c r="I224" s="14"/>
      <c r="J224" s="14"/>
      <c r="K224" s="14"/>
      <c r="L224" s="14"/>
      <c r="M224" s="14"/>
      <c r="N224" s="14"/>
      <c r="O224" s="14"/>
      <c r="P224" s="14"/>
      <c r="Q224" s="14"/>
      <c r="R224" s="14"/>
      <c r="S224" s="14"/>
      <c r="T224" s="14"/>
      <c r="U224" s="14"/>
      <c r="V224" s="14"/>
      <c r="W224" s="14"/>
      <c r="X224" s="14"/>
      <c r="Y224" s="14"/>
      <c r="Z224" s="14"/>
      <c r="AA224" s="15"/>
      <c r="AB224" s="3"/>
      <c r="AC224" s="3"/>
      <c r="AD224" s="3"/>
      <c r="AE224" s="3"/>
      <c r="AF224" s="3"/>
      <c r="AG224" s="3"/>
      <c r="AH224" s="3"/>
      <c r="AI224" s="3"/>
      <c r="AJ224" s="3"/>
      <c r="AK224" s="3"/>
      <c r="AL224" s="3"/>
      <c r="AM224" s="3"/>
      <c r="AN224" s="3"/>
      <c r="AO224" s="3"/>
    </row>
    <row r="225" spans="2:41" s="171" customFormat="1" x14ac:dyDescent="0.25">
      <c r="B225" s="13"/>
      <c r="C225" s="14"/>
      <c r="D225" s="60"/>
      <c r="E225" s="56"/>
      <c r="F225" s="56"/>
      <c r="G225" s="14"/>
      <c r="H225" s="56"/>
      <c r="I225" s="14"/>
      <c r="J225" s="14"/>
      <c r="K225" s="14"/>
      <c r="L225" s="14"/>
      <c r="M225" s="14"/>
      <c r="N225" s="14"/>
      <c r="O225" s="14"/>
      <c r="P225" s="14"/>
      <c r="Q225" s="14"/>
      <c r="R225" s="14"/>
      <c r="S225" s="14"/>
      <c r="T225" s="14"/>
      <c r="U225" s="14"/>
      <c r="V225" s="14"/>
      <c r="W225" s="14"/>
      <c r="X225" s="14"/>
      <c r="Y225" s="14"/>
      <c r="Z225" s="14"/>
      <c r="AA225" s="15"/>
      <c r="AB225" s="3"/>
      <c r="AC225" s="3"/>
      <c r="AD225" s="3"/>
      <c r="AE225" s="3"/>
      <c r="AF225" s="3"/>
      <c r="AG225" s="3"/>
      <c r="AH225" s="3"/>
      <c r="AI225" s="3"/>
      <c r="AJ225" s="3"/>
      <c r="AK225" s="3"/>
      <c r="AL225" s="3"/>
      <c r="AM225" s="3"/>
      <c r="AN225" s="3"/>
      <c r="AO225" s="3"/>
    </row>
    <row r="226" spans="2:41" s="171" customFormat="1" x14ac:dyDescent="0.25">
      <c r="B226" s="13"/>
      <c r="C226" s="14"/>
      <c r="D226" s="60"/>
      <c r="E226" s="56"/>
      <c r="F226" s="56"/>
      <c r="G226" s="14"/>
      <c r="H226" s="56"/>
      <c r="I226" s="14"/>
      <c r="J226" s="14"/>
      <c r="K226" s="14"/>
      <c r="L226" s="14"/>
      <c r="M226" s="14"/>
      <c r="N226" s="14"/>
      <c r="O226" s="14"/>
      <c r="P226" s="14"/>
      <c r="Q226" s="14"/>
      <c r="R226" s="14"/>
      <c r="S226" s="14"/>
      <c r="T226" s="14"/>
      <c r="U226" s="14"/>
      <c r="V226" s="14"/>
      <c r="W226" s="14"/>
      <c r="X226" s="14"/>
      <c r="Y226" s="14"/>
      <c r="Z226" s="14"/>
      <c r="AA226" s="15"/>
      <c r="AB226" s="3"/>
      <c r="AC226" s="3"/>
      <c r="AD226" s="3"/>
      <c r="AE226" s="3"/>
      <c r="AF226" s="3"/>
      <c r="AG226" s="3"/>
      <c r="AH226" s="3"/>
      <c r="AI226" s="3"/>
      <c r="AJ226" s="3"/>
      <c r="AK226" s="3"/>
      <c r="AL226" s="3"/>
      <c r="AM226" s="3"/>
      <c r="AN226" s="3"/>
      <c r="AO226" s="3"/>
    </row>
    <row r="227" spans="2:41" s="171" customFormat="1" x14ac:dyDescent="0.25">
      <c r="B227" s="13"/>
      <c r="C227" s="14"/>
      <c r="D227" s="60"/>
      <c r="E227" s="56"/>
      <c r="F227" s="56"/>
      <c r="G227" s="14"/>
      <c r="H227" s="56"/>
      <c r="I227" s="14"/>
      <c r="J227" s="14"/>
      <c r="K227" s="14"/>
      <c r="L227" s="14"/>
      <c r="M227" s="14"/>
      <c r="N227" s="14"/>
      <c r="O227" s="14"/>
      <c r="P227" s="14"/>
      <c r="Q227" s="14"/>
      <c r="R227" s="14"/>
      <c r="S227" s="14"/>
      <c r="T227" s="14"/>
      <c r="U227" s="14"/>
      <c r="V227" s="14"/>
      <c r="W227" s="14"/>
      <c r="X227" s="14"/>
      <c r="Y227" s="14"/>
      <c r="Z227" s="14"/>
      <c r="AA227" s="15"/>
      <c r="AB227" s="3"/>
      <c r="AC227" s="3"/>
      <c r="AD227" s="3"/>
      <c r="AE227" s="3"/>
      <c r="AF227" s="3"/>
      <c r="AG227" s="3"/>
      <c r="AH227" s="3"/>
      <c r="AI227" s="3"/>
      <c r="AJ227" s="3"/>
      <c r="AK227" s="3"/>
      <c r="AL227" s="3"/>
      <c r="AM227" s="3"/>
      <c r="AN227" s="3"/>
      <c r="AO227" s="3"/>
    </row>
    <row r="228" spans="2:41" s="171" customFormat="1" x14ac:dyDescent="0.25">
      <c r="B228" s="70"/>
      <c r="C228" s="56"/>
      <c r="D228" s="60"/>
      <c r="E228" s="56"/>
      <c r="F228" s="56"/>
      <c r="G228" s="56"/>
      <c r="H228" s="56"/>
      <c r="I228" s="42"/>
      <c r="J228" s="14"/>
      <c r="K228" s="14"/>
      <c r="L228" s="14"/>
      <c r="M228" s="14"/>
      <c r="N228" s="14"/>
      <c r="O228" s="14"/>
      <c r="P228" s="14"/>
      <c r="Q228" s="14"/>
      <c r="R228" s="14"/>
      <c r="S228" s="14"/>
      <c r="T228" s="14"/>
      <c r="U228" s="14"/>
      <c r="V228" s="14"/>
      <c r="W228" s="14"/>
      <c r="X228" s="14"/>
      <c r="Y228" s="14"/>
      <c r="Z228" s="14"/>
      <c r="AA228" s="15"/>
      <c r="AB228" s="3"/>
      <c r="AC228" s="3"/>
      <c r="AD228" s="3"/>
      <c r="AE228" s="3"/>
      <c r="AF228" s="3"/>
      <c r="AG228" s="3"/>
      <c r="AH228" s="3"/>
      <c r="AI228" s="3"/>
      <c r="AJ228" s="3"/>
      <c r="AK228" s="3"/>
      <c r="AL228" s="3"/>
      <c r="AM228" s="3"/>
      <c r="AN228" s="3"/>
      <c r="AO228" s="3"/>
    </row>
    <row r="229" spans="2:41" s="171" customFormat="1" x14ac:dyDescent="0.25">
      <c r="B229" s="70"/>
      <c r="C229" s="56"/>
      <c r="D229" s="60"/>
      <c r="E229" s="56"/>
      <c r="F229" s="56"/>
      <c r="G229" s="56"/>
      <c r="H229" s="56"/>
      <c r="I229" s="42"/>
      <c r="J229" s="14"/>
      <c r="K229" s="14"/>
      <c r="L229" s="14"/>
      <c r="M229" s="14"/>
      <c r="N229" s="14"/>
      <c r="O229" s="14"/>
      <c r="P229" s="14"/>
      <c r="Q229" s="14"/>
      <c r="R229" s="14"/>
      <c r="S229" s="14"/>
      <c r="T229" s="14"/>
      <c r="U229" s="14"/>
      <c r="V229" s="14"/>
      <c r="W229" s="14"/>
      <c r="X229" s="14"/>
      <c r="Y229" s="14"/>
      <c r="Z229" s="14"/>
      <c r="AA229" s="15"/>
      <c r="AB229" s="3"/>
      <c r="AC229" s="3"/>
      <c r="AD229" s="3"/>
      <c r="AE229" s="3"/>
      <c r="AF229" s="3"/>
      <c r="AG229" s="3"/>
      <c r="AH229" s="3"/>
      <c r="AI229" s="3"/>
      <c r="AJ229" s="3"/>
      <c r="AK229" s="3"/>
      <c r="AL229" s="3"/>
      <c r="AM229" s="3"/>
      <c r="AN229" s="3"/>
      <c r="AO229" s="3"/>
    </row>
    <row r="230" spans="2:41" s="171" customFormat="1" x14ac:dyDescent="0.25">
      <c r="B230" s="13"/>
      <c r="C230" s="14"/>
      <c r="D230" s="14"/>
      <c r="E230" s="56"/>
      <c r="F230" s="56"/>
      <c r="G230" s="14"/>
      <c r="H230" s="56"/>
      <c r="I230" s="14"/>
      <c r="J230" s="14"/>
      <c r="K230" s="14"/>
      <c r="L230" s="14"/>
      <c r="M230" s="14"/>
      <c r="N230" s="14"/>
      <c r="O230" s="14"/>
      <c r="P230" s="14"/>
      <c r="Q230" s="14"/>
      <c r="R230" s="14"/>
      <c r="S230" s="14"/>
      <c r="T230" s="14"/>
      <c r="U230" s="14"/>
      <c r="V230" s="14"/>
      <c r="W230" s="14"/>
      <c r="X230" s="14"/>
      <c r="Y230" s="14"/>
      <c r="Z230" s="14"/>
      <c r="AA230" s="15"/>
      <c r="AB230" s="3"/>
      <c r="AC230" s="3"/>
      <c r="AD230" s="3"/>
      <c r="AE230" s="3"/>
      <c r="AF230" s="3"/>
      <c r="AG230" s="3"/>
      <c r="AH230" s="3"/>
      <c r="AI230" s="3"/>
      <c r="AJ230" s="3"/>
      <c r="AK230" s="3"/>
      <c r="AL230" s="3"/>
      <c r="AM230" s="3"/>
      <c r="AN230" s="3"/>
      <c r="AO230" s="3"/>
    </row>
    <row r="231" spans="2:41" s="171" customFormat="1" x14ac:dyDescent="0.25">
      <c r="B231" s="13"/>
      <c r="C231" s="14"/>
      <c r="D231" s="60"/>
      <c r="E231" s="56"/>
      <c r="F231" s="56"/>
      <c r="G231" s="14"/>
      <c r="H231" s="56"/>
      <c r="I231" s="14"/>
      <c r="J231" s="14"/>
      <c r="K231" s="14"/>
      <c r="L231" s="14"/>
      <c r="M231" s="14"/>
      <c r="N231" s="14"/>
      <c r="O231" s="14"/>
      <c r="P231" s="14"/>
      <c r="Q231" s="14"/>
      <c r="R231" s="14"/>
      <c r="S231" s="14"/>
      <c r="T231" s="14"/>
      <c r="U231" s="14"/>
      <c r="V231" s="14"/>
      <c r="W231" s="14"/>
      <c r="X231" s="14"/>
      <c r="Y231" s="14"/>
      <c r="Z231" s="14"/>
      <c r="AA231" s="15"/>
      <c r="AB231" s="3"/>
      <c r="AC231" s="3"/>
      <c r="AD231" s="3"/>
      <c r="AE231" s="3"/>
      <c r="AF231" s="3"/>
      <c r="AG231" s="3"/>
      <c r="AH231" s="3"/>
      <c r="AI231" s="3"/>
      <c r="AJ231" s="3"/>
      <c r="AK231" s="3"/>
      <c r="AL231" s="3"/>
      <c r="AM231" s="3"/>
      <c r="AN231" s="3"/>
      <c r="AO231" s="3"/>
    </row>
    <row r="232" spans="2:41" s="171" customFormat="1" x14ac:dyDescent="0.25">
      <c r="B232" s="13"/>
      <c r="C232" s="14"/>
      <c r="D232" s="60"/>
      <c r="E232" s="56"/>
      <c r="F232" s="56"/>
      <c r="G232" s="14"/>
      <c r="H232" s="56"/>
      <c r="I232" s="14"/>
      <c r="J232" s="14"/>
      <c r="K232" s="14"/>
      <c r="L232" s="14"/>
      <c r="M232" s="14"/>
      <c r="N232" s="14"/>
      <c r="O232" s="14"/>
      <c r="P232" s="14"/>
      <c r="Q232" s="14"/>
      <c r="R232" s="14"/>
      <c r="S232" s="14"/>
      <c r="T232" s="14"/>
      <c r="U232" s="14"/>
      <c r="V232" s="14"/>
      <c r="W232" s="14"/>
      <c r="X232" s="14"/>
      <c r="Y232" s="14"/>
      <c r="Z232" s="14"/>
      <c r="AA232" s="15"/>
      <c r="AB232" s="3"/>
      <c r="AC232" s="3"/>
      <c r="AD232" s="3"/>
      <c r="AE232" s="3"/>
      <c r="AF232" s="3"/>
      <c r="AG232" s="3"/>
      <c r="AH232" s="3"/>
      <c r="AI232" s="3"/>
      <c r="AJ232" s="3"/>
      <c r="AK232" s="3"/>
      <c r="AL232" s="3"/>
      <c r="AM232" s="3"/>
      <c r="AN232" s="3"/>
      <c r="AO232" s="3"/>
    </row>
    <row r="233" spans="2:41" s="171" customFormat="1" x14ac:dyDescent="0.25">
      <c r="B233" s="13"/>
      <c r="C233" s="14"/>
      <c r="D233" s="60"/>
      <c r="E233" s="56"/>
      <c r="F233" s="56"/>
      <c r="G233" s="14"/>
      <c r="H233" s="56"/>
      <c r="I233" s="14"/>
      <c r="J233" s="14"/>
      <c r="K233" s="14"/>
      <c r="L233" s="14"/>
      <c r="M233" s="14"/>
      <c r="N233" s="14"/>
      <c r="O233" s="14"/>
      <c r="P233" s="14"/>
      <c r="Q233" s="14"/>
      <c r="R233" s="14"/>
      <c r="S233" s="14"/>
      <c r="T233" s="14"/>
      <c r="U233" s="14"/>
      <c r="V233" s="14"/>
      <c r="W233" s="14"/>
      <c r="X233" s="14"/>
      <c r="Y233" s="14"/>
      <c r="Z233" s="14"/>
      <c r="AA233" s="15"/>
      <c r="AB233" s="3"/>
      <c r="AC233" s="3"/>
      <c r="AD233" s="3"/>
      <c r="AE233" s="3"/>
      <c r="AF233" s="3"/>
      <c r="AG233" s="3"/>
      <c r="AH233" s="3"/>
      <c r="AI233" s="3"/>
      <c r="AJ233" s="3"/>
      <c r="AK233" s="3"/>
      <c r="AL233" s="3"/>
      <c r="AM233" s="3"/>
      <c r="AN233" s="3"/>
      <c r="AO233" s="3"/>
    </row>
    <row r="234" spans="2:41" s="171" customFormat="1" x14ac:dyDescent="0.25">
      <c r="B234" s="13"/>
      <c r="C234" s="14"/>
      <c r="D234" s="60"/>
      <c r="E234" s="56"/>
      <c r="F234" s="56"/>
      <c r="G234" s="14"/>
      <c r="H234" s="56"/>
      <c r="I234" s="14"/>
      <c r="J234" s="14"/>
      <c r="K234" s="14"/>
      <c r="L234" s="14"/>
      <c r="M234" s="14"/>
      <c r="N234" s="14"/>
      <c r="O234" s="14"/>
      <c r="P234" s="14"/>
      <c r="Q234" s="14"/>
      <c r="R234" s="14"/>
      <c r="S234" s="14"/>
      <c r="T234" s="14"/>
      <c r="U234" s="14"/>
      <c r="V234" s="14"/>
      <c r="W234" s="14"/>
      <c r="X234" s="14"/>
      <c r="Y234" s="14"/>
      <c r="Z234" s="14"/>
      <c r="AA234" s="15"/>
      <c r="AB234" s="3"/>
      <c r="AC234" s="3"/>
      <c r="AD234" s="3"/>
      <c r="AE234" s="3"/>
      <c r="AF234" s="3"/>
      <c r="AG234" s="3"/>
      <c r="AH234" s="3"/>
      <c r="AI234" s="3"/>
      <c r="AJ234" s="3"/>
      <c r="AK234" s="3"/>
      <c r="AL234" s="3"/>
      <c r="AM234" s="3"/>
      <c r="AN234" s="3"/>
      <c r="AO234" s="3"/>
    </row>
    <row r="235" spans="2:41" s="171" customFormat="1" x14ac:dyDescent="0.25">
      <c r="B235" s="13"/>
      <c r="C235" s="14"/>
      <c r="D235" s="60"/>
      <c r="E235" s="56"/>
      <c r="F235" s="56"/>
      <c r="G235" s="128"/>
      <c r="H235" s="56"/>
      <c r="I235" s="14"/>
      <c r="J235" s="14"/>
      <c r="K235" s="14"/>
      <c r="L235" s="14"/>
      <c r="M235" s="14"/>
      <c r="N235" s="14"/>
      <c r="O235" s="14"/>
      <c r="P235" s="14"/>
      <c r="Q235" s="14"/>
      <c r="R235" s="14"/>
      <c r="S235" s="14"/>
      <c r="T235" s="14"/>
      <c r="U235" s="14"/>
      <c r="V235" s="14"/>
      <c r="W235" s="14"/>
      <c r="X235" s="14"/>
      <c r="Y235" s="14"/>
      <c r="Z235" s="14"/>
      <c r="AA235" s="15"/>
      <c r="AB235" s="3"/>
      <c r="AC235" s="3"/>
      <c r="AD235" s="3"/>
      <c r="AE235" s="3"/>
      <c r="AF235" s="3"/>
      <c r="AG235" s="3"/>
      <c r="AH235" s="3"/>
      <c r="AI235" s="3"/>
      <c r="AJ235" s="3"/>
      <c r="AK235" s="3"/>
      <c r="AL235" s="3"/>
      <c r="AM235" s="3"/>
      <c r="AN235" s="3"/>
      <c r="AO235" s="3"/>
    </row>
    <row r="236" spans="2:41" s="171" customFormat="1" x14ac:dyDescent="0.25">
      <c r="B236" s="13"/>
      <c r="C236" s="14"/>
      <c r="D236" s="60"/>
      <c r="E236" s="56"/>
      <c r="F236" s="56"/>
      <c r="G236" s="14"/>
      <c r="H236" s="56"/>
      <c r="I236" s="14"/>
      <c r="J236" s="14"/>
      <c r="K236" s="14"/>
      <c r="L236" s="14"/>
      <c r="M236" s="14"/>
      <c r="N236" s="14"/>
      <c r="O236" s="14"/>
      <c r="P236" s="14"/>
      <c r="Q236" s="14"/>
      <c r="R236" s="14"/>
      <c r="S236" s="14"/>
      <c r="T236" s="14"/>
      <c r="U236" s="14"/>
      <c r="V236" s="14"/>
      <c r="W236" s="14"/>
      <c r="X236" s="14"/>
      <c r="Y236" s="14"/>
      <c r="Z236" s="14"/>
      <c r="AA236" s="15"/>
      <c r="AB236" s="3"/>
      <c r="AC236" s="3"/>
      <c r="AD236" s="3"/>
      <c r="AE236" s="3"/>
      <c r="AF236" s="3"/>
      <c r="AG236" s="3"/>
      <c r="AH236" s="3"/>
      <c r="AI236" s="3"/>
      <c r="AJ236" s="3"/>
      <c r="AK236" s="3"/>
      <c r="AL236" s="3"/>
      <c r="AM236" s="3"/>
      <c r="AN236" s="3"/>
      <c r="AO236" s="3"/>
    </row>
    <row r="237" spans="2:41" s="171" customFormat="1" x14ac:dyDescent="0.25">
      <c r="B237" s="13"/>
      <c r="C237" s="14"/>
      <c r="D237" s="14"/>
      <c r="E237" s="56"/>
      <c r="F237" s="56"/>
      <c r="G237" s="14"/>
      <c r="H237" s="56"/>
      <c r="I237" s="14"/>
      <c r="J237" s="14"/>
      <c r="K237" s="14"/>
      <c r="L237" s="14"/>
      <c r="M237" s="14"/>
      <c r="N237" s="14"/>
      <c r="O237" s="14"/>
      <c r="P237" s="14"/>
      <c r="Q237" s="14"/>
      <c r="R237" s="14"/>
      <c r="S237" s="14"/>
      <c r="T237" s="14"/>
      <c r="U237" s="14"/>
      <c r="V237" s="14"/>
      <c r="W237" s="14"/>
      <c r="X237" s="14"/>
      <c r="Y237" s="14"/>
      <c r="Z237" s="14"/>
      <c r="AA237" s="15"/>
      <c r="AB237" s="3"/>
      <c r="AC237" s="3"/>
      <c r="AD237" s="3"/>
      <c r="AE237" s="3"/>
      <c r="AF237" s="3"/>
      <c r="AG237" s="3"/>
      <c r="AH237" s="3"/>
      <c r="AI237" s="3"/>
      <c r="AJ237" s="3"/>
      <c r="AK237" s="3"/>
      <c r="AL237" s="3"/>
      <c r="AM237" s="3"/>
      <c r="AN237" s="3"/>
      <c r="AO237" s="3"/>
    </row>
    <row r="238" spans="2:41" s="171" customFormat="1" x14ac:dyDescent="0.25">
      <c r="B238" s="13"/>
      <c r="C238" s="14"/>
      <c r="D238" s="60"/>
      <c r="E238" s="56"/>
      <c r="F238" s="56"/>
      <c r="G238" s="14"/>
      <c r="H238" s="56"/>
      <c r="I238" s="14"/>
      <c r="J238" s="14"/>
      <c r="K238" s="14"/>
      <c r="L238" s="14"/>
      <c r="M238" s="14"/>
      <c r="N238" s="14"/>
      <c r="O238" s="14"/>
      <c r="P238" s="14"/>
      <c r="Q238" s="14"/>
      <c r="R238" s="14"/>
      <c r="S238" s="14"/>
      <c r="T238" s="14"/>
      <c r="U238" s="14"/>
      <c r="V238" s="14"/>
      <c r="W238" s="14"/>
      <c r="X238" s="14"/>
      <c r="Y238" s="14"/>
      <c r="Z238" s="14"/>
      <c r="AA238" s="15"/>
      <c r="AB238" s="3"/>
      <c r="AC238" s="3"/>
      <c r="AD238" s="3"/>
      <c r="AE238" s="3"/>
      <c r="AF238" s="3"/>
      <c r="AG238" s="3"/>
      <c r="AH238" s="3"/>
      <c r="AI238" s="3"/>
      <c r="AJ238" s="3"/>
      <c r="AK238" s="3"/>
      <c r="AL238" s="3"/>
      <c r="AM238" s="3"/>
      <c r="AN238" s="3"/>
      <c r="AO238" s="3"/>
    </row>
    <row r="239" spans="2:41" s="171" customFormat="1" x14ac:dyDescent="0.25">
      <c r="B239" s="13"/>
      <c r="C239" s="14"/>
      <c r="D239" s="60"/>
      <c r="E239" s="56"/>
      <c r="F239" s="56"/>
      <c r="G239" s="14"/>
      <c r="H239" s="56"/>
      <c r="I239" s="14"/>
      <c r="J239" s="14"/>
      <c r="K239" s="14"/>
      <c r="L239" s="14"/>
      <c r="M239" s="14"/>
      <c r="N239" s="14"/>
      <c r="O239" s="14"/>
      <c r="P239" s="14"/>
      <c r="Q239" s="14"/>
      <c r="R239" s="14"/>
      <c r="S239" s="14"/>
      <c r="T239" s="14"/>
      <c r="U239" s="14"/>
      <c r="V239" s="14"/>
      <c r="W239" s="14"/>
      <c r="X239" s="14"/>
      <c r="Y239" s="14"/>
      <c r="Z239" s="14"/>
      <c r="AA239" s="15"/>
      <c r="AB239" s="3"/>
      <c r="AC239" s="3"/>
      <c r="AD239" s="3"/>
      <c r="AE239" s="3"/>
      <c r="AF239" s="3"/>
      <c r="AG239" s="3"/>
      <c r="AH239" s="3"/>
      <c r="AI239" s="3"/>
      <c r="AJ239" s="3"/>
      <c r="AK239" s="3"/>
      <c r="AL239" s="3"/>
      <c r="AM239" s="3"/>
      <c r="AN239" s="3"/>
      <c r="AO239" s="3"/>
    </row>
    <row r="240" spans="2:41" s="171" customFormat="1" x14ac:dyDescent="0.25">
      <c r="B240" s="13"/>
      <c r="C240" s="14"/>
      <c r="D240" s="60"/>
      <c r="E240" s="56"/>
      <c r="F240" s="56"/>
      <c r="G240" s="14"/>
      <c r="H240" s="56"/>
      <c r="I240" s="14"/>
      <c r="J240" s="14"/>
      <c r="K240" s="14"/>
      <c r="L240" s="14"/>
      <c r="M240" s="14"/>
      <c r="N240" s="14"/>
      <c r="O240" s="14"/>
      <c r="P240" s="14"/>
      <c r="Q240" s="14"/>
      <c r="R240" s="14"/>
      <c r="S240" s="14"/>
      <c r="T240" s="14"/>
      <c r="U240" s="14"/>
      <c r="V240" s="14"/>
      <c r="W240" s="14"/>
      <c r="X240" s="14"/>
      <c r="Y240" s="14"/>
      <c r="Z240" s="14"/>
      <c r="AA240" s="15"/>
      <c r="AB240" s="3"/>
      <c r="AC240" s="3"/>
      <c r="AD240" s="3"/>
      <c r="AE240" s="3"/>
      <c r="AF240" s="3"/>
      <c r="AG240" s="3"/>
      <c r="AH240" s="3"/>
      <c r="AI240" s="3"/>
      <c r="AJ240" s="3"/>
      <c r="AK240" s="3"/>
      <c r="AL240" s="3"/>
      <c r="AM240" s="3"/>
      <c r="AN240" s="3"/>
      <c r="AO240" s="3"/>
    </row>
    <row r="241" spans="2:41" s="171" customFormat="1" x14ac:dyDescent="0.25">
      <c r="B241" s="13"/>
      <c r="C241" s="14"/>
      <c r="D241" s="60"/>
      <c r="E241" s="56"/>
      <c r="F241" s="56"/>
      <c r="G241" s="14"/>
      <c r="H241" s="56"/>
      <c r="I241" s="14"/>
      <c r="J241" s="14"/>
      <c r="K241" s="14"/>
      <c r="L241" s="14"/>
      <c r="M241" s="14"/>
      <c r="N241" s="14"/>
      <c r="O241" s="14"/>
      <c r="P241" s="14"/>
      <c r="Q241" s="14"/>
      <c r="R241" s="14"/>
      <c r="S241" s="14"/>
      <c r="T241" s="14"/>
      <c r="U241" s="14"/>
      <c r="V241" s="14"/>
      <c r="W241" s="14"/>
      <c r="X241" s="14"/>
      <c r="Y241" s="14"/>
      <c r="Z241" s="14"/>
      <c r="AA241" s="15"/>
      <c r="AB241" s="3"/>
      <c r="AC241" s="3"/>
      <c r="AD241" s="3"/>
      <c r="AE241" s="3"/>
      <c r="AF241" s="3"/>
      <c r="AG241" s="3"/>
      <c r="AH241" s="3"/>
      <c r="AI241" s="3"/>
      <c r="AJ241" s="3"/>
      <c r="AK241" s="3"/>
      <c r="AL241" s="3"/>
      <c r="AM241" s="3"/>
      <c r="AN241" s="3"/>
      <c r="AO241" s="3"/>
    </row>
    <row r="242" spans="2:41" s="171" customFormat="1" x14ac:dyDescent="0.25">
      <c r="B242" s="13"/>
      <c r="C242" s="14"/>
      <c r="D242" s="60"/>
      <c r="E242" s="56"/>
      <c r="F242" s="56"/>
      <c r="G242" s="128"/>
      <c r="H242" s="56"/>
      <c r="I242" s="14"/>
      <c r="J242" s="14"/>
      <c r="K242" s="14"/>
      <c r="L242" s="14"/>
      <c r="M242" s="14"/>
      <c r="N242" s="14"/>
      <c r="O242" s="14"/>
      <c r="P242" s="14"/>
      <c r="Q242" s="14"/>
      <c r="R242" s="14"/>
      <c r="S242" s="14"/>
      <c r="T242" s="14"/>
      <c r="U242" s="14"/>
      <c r="V242" s="14"/>
      <c r="W242" s="14"/>
      <c r="X242" s="14"/>
      <c r="Y242" s="14"/>
      <c r="Z242" s="14"/>
      <c r="AA242" s="15"/>
      <c r="AB242" s="3"/>
      <c r="AC242" s="3"/>
      <c r="AD242" s="3"/>
      <c r="AE242" s="3"/>
      <c r="AF242" s="3"/>
      <c r="AG242" s="3"/>
      <c r="AH242" s="3"/>
      <c r="AI242" s="3"/>
      <c r="AJ242" s="3"/>
      <c r="AK242" s="3"/>
      <c r="AL242" s="3"/>
      <c r="AM242" s="3"/>
      <c r="AN242" s="3"/>
      <c r="AO242" s="3"/>
    </row>
    <row r="243" spans="2:41" s="171" customFormat="1" x14ac:dyDescent="0.25">
      <c r="B243" s="13"/>
      <c r="C243" s="14"/>
      <c r="D243" s="60"/>
      <c r="E243" s="56"/>
      <c r="F243" s="56"/>
      <c r="G243" s="14"/>
      <c r="H243" s="56"/>
      <c r="I243" s="14"/>
      <c r="J243" s="14"/>
      <c r="K243" s="14"/>
      <c r="L243" s="14"/>
      <c r="M243" s="14"/>
      <c r="N243" s="14"/>
      <c r="O243" s="14"/>
      <c r="P243" s="14"/>
      <c r="Q243" s="14"/>
      <c r="R243" s="14"/>
      <c r="S243" s="14"/>
      <c r="T243" s="14"/>
      <c r="U243" s="14"/>
      <c r="V243" s="14"/>
      <c r="W243" s="14"/>
      <c r="X243" s="14"/>
      <c r="Y243" s="14"/>
      <c r="Z243" s="14"/>
      <c r="AA243" s="15"/>
      <c r="AB243" s="3"/>
      <c r="AC243" s="3"/>
      <c r="AD243" s="3"/>
      <c r="AE243" s="3"/>
      <c r="AF243" s="3"/>
      <c r="AG243" s="3"/>
      <c r="AH243" s="3"/>
      <c r="AI243" s="3"/>
      <c r="AJ243" s="3"/>
      <c r="AK243" s="3"/>
      <c r="AL243" s="3"/>
      <c r="AM243" s="3"/>
      <c r="AN243" s="3"/>
      <c r="AO243" s="3"/>
    </row>
    <row r="244" spans="2:41" s="171" customFormat="1" x14ac:dyDescent="0.25">
      <c r="B244" s="13"/>
      <c r="C244" s="57"/>
      <c r="D244" s="57"/>
      <c r="E244" s="56"/>
      <c r="F244" s="57"/>
      <c r="G244" s="57"/>
      <c r="H244" s="57"/>
      <c r="I244" s="14"/>
      <c r="J244" s="14"/>
      <c r="K244" s="14"/>
      <c r="L244" s="14"/>
      <c r="M244" s="14"/>
      <c r="N244" s="14"/>
      <c r="O244" s="14"/>
      <c r="P244" s="14"/>
      <c r="Q244" s="14"/>
      <c r="R244" s="14"/>
      <c r="S244" s="14"/>
      <c r="T244" s="14"/>
      <c r="U244" s="14"/>
      <c r="V244" s="14"/>
      <c r="W244" s="14"/>
      <c r="X244" s="14"/>
      <c r="Y244" s="14"/>
      <c r="Z244" s="14"/>
      <c r="AA244" s="15"/>
      <c r="AB244" s="3"/>
      <c r="AC244" s="3"/>
      <c r="AD244" s="3"/>
      <c r="AE244" s="3"/>
      <c r="AF244" s="3"/>
      <c r="AG244" s="3"/>
      <c r="AH244" s="3"/>
      <c r="AI244" s="3"/>
      <c r="AJ244" s="3"/>
      <c r="AK244" s="3"/>
      <c r="AL244" s="3"/>
      <c r="AM244" s="3"/>
      <c r="AN244" s="3"/>
      <c r="AO244" s="3"/>
    </row>
    <row r="245" spans="2:41" s="171" customFormat="1" x14ac:dyDescent="0.25">
      <c r="B245" s="13"/>
      <c r="C245" s="57"/>
      <c r="D245" s="69"/>
      <c r="E245" s="56"/>
      <c r="F245" s="57"/>
      <c r="G245" s="57"/>
      <c r="H245" s="57"/>
      <c r="I245" s="14"/>
      <c r="J245" s="14"/>
      <c r="K245" s="14"/>
      <c r="L245" s="14"/>
      <c r="M245" s="14"/>
      <c r="N245" s="14"/>
      <c r="O245" s="14"/>
      <c r="P245" s="14"/>
      <c r="Q245" s="14"/>
      <c r="R245" s="14"/>
      <c r="S245" s="14"/>
      <c r="T245" s="14"/>
      <c r="U245" s="14"/>
      <c r="V245" s="14"/>
      <c r="W245" s="14"/>
      <c r="X245" s="14"/>
      <c r="Y245" s="14"/>
      <c r="Z245" s="14"/>
      <c r="AA245" s="15"/>
      <c r="AB245" s="3"/>
      <c r="AC245" s="3"/>
      <c r="AD245" s="3"/>
      <c r="AE245" s="3"/>
      <c r="AF245" s="3"/>
      <c r="AG245" s="3"/>
      <c r="AH245" s="3"/>
      <c r="AI245" s="3"/>
      <c r="AJ245" s="3"/>
      <c r="AK245" s="3"/>
      <c r="AL245" s="3"/>
      <c r="AM245" s="3"/>
      <c r="AN245" s="3"/>
      <c r="AO245" s="3"/>
    </row>
    <row r="246" spans="2:41" s="171" customFormat="1" x14ac:dyDescent="0.25">
      <c r="B246" s="13"/>
      <c r="C246" s="57"/>
      <c r="D246" s="69"/>
      <c r="E246" s="56"/>
      <c r="F246" s="57"/>
      <c r="G246" s="57"/>
      <c r="H246" s="57"/>
      <c r="I246" s="14"/>
      <c r="J246" s="14"/>
      <c r="K246" s="14"/>
      <c r="L246" s="14"/>
      <c r="M246" s="14"/>
      <c r="N246" s="14"/>
      <c r="O246" s="14"/>
      <c r="P246" s="14"/>
      <c r="Q246" s="14"/>
      <c r="R246" s="14"/>
      <c r="S246" s="14"/>
      <c r="T246" s="14"/>
      <c r="U246" s="14"/>
      <c r="V246" s="14"/>
      <c r="W246" s="14"/>
      <c r="X246" s="14"/>
      <c r="Y246" s="14"/>
      <c r="Z246" s="14"/>
      <c r="AA246" s="15"/>
      <c r="AB246" s="3"/>
      <c r="AC246" s="3"/>
      <c r="AD246" s="3"/>
      <c r="AE246" s="3"/>
      <c r="AF246" s="3"/>
      <c r="AG246" s="3"/>
      <c r="AH246" s="3"/>
      <c r="AI246" s="3"/>
      <c r="AJ246" s="3"/>
      <c r="AK246" s="3"/>
      <c r="AL246" s="3"/>
      <c r="AM246" s="3"/>
      <c r="AN246" s="3"/>
      <c r="AO246" s="3"/>
    </row>
    <row r="247" spans="2:41" s="171" customFormat="1" x14ac:dyDescent="0.25">
      <c r="B247" s="13"/>
      <c r="C247" s="57"/>
      <c r="D247" s="69"/>
      <c r="E247" s="56"/>
      <c r="F247" s="57"/>
      <c r="G247" s="57"/>
      <c r="H247" s="57"/>
      <c r="I247" s="14"/>
      <c r="J247" s="14"/>
      <c r="K247" s="14"/>
      <c r="L247" s="14"/>
      <c r="M247" s="14"/>
      <c r="N247" s="14"/>
      <c r="O247" s="14"/>
      <c r="P247" s="14"/>
      <c r="Q247" s="14"/>
      <c r="R247" s="14"/>
      <c r="S247" s="14"/>
      <c r="T247" s="14"/>
      <c r="U247" s="14"/>
      <c r="V247" s="14"/>
      <c r="W247" s="14"/>
      <c r="X247" s="14"/>
      <c r="Y247" s="14"/>
      <c r="Z247" s="14"/>
      <c r="AA247" s="15"/>
      <c r="AB247" s="3"/>
      <c r="AC247" s="3"/>
      <c r="AD247" s="3"/>
      <c r="AE247" s="3"/>
      <c r="AF247" s="3"/>
      <c r="AG247" s="3"/>
      <c r="AH247" s="3"/>
      <c r="AI247" s="3"/>
      <c r="AJ247" s="3"/>
      <c r="AK247" s="3"/>
      <c r="AL247" s="3"/>
      <c r="AM247" s="3"/>
      <c r="AN247" s="3"/>
      <c r="AO247" s="3"/>
    </row>
    <row r="248" spans="2:41" s="171" customFormat="1" x14ac:dyDescent="0.25">
      <c r="B248" s="13"/>
      <c r="C248" s="57"/>
      <c r="D248" s="69"/>
      <c r="E248" s="56"/>
      <c r="F248" s="57"/>
      <c r="G248" s="57"/>
      <c r="H248" s="57"/>
      <c r="I248" s="14"/>
      <c r="J248" s="14"/>
      <c r="K248" s="14"/>
      <c r="L248" s="14"/>
      <c r="M248" s="14"/>
      <c r="N248" s="14"/>
      <c r="O248" s="14"/>
      <c r="P248" s="14"/>
      <c r="Q248" s="14"/>
      <c r="R248" s="14"/>
      <c r="S248" s="14"/>
      <c r="T248" s="14"/>
      <c r="U248" s="14"/>
      <c r="V248" s="14"/>
      <c r="W248" s="14"/>
      <c r="X248" s="14"/>
      <c r="Y248" s="14"/>
      <c r="Z248" s="14"/>
      <c r="AA248" s="15"/>
      <c r="AB248" s="3"/>
      <c r="AC248" s="3"/>
      <c r="AD248" s="3"/>
      <c r="AE248" s="3"/>
      <c r="AF248" s="3"/>
      <c r="AG248" s="3"/>
      <c r="AH248" s="3"/>
      <c r="AI248" s="3"/>
      <c r="AJ248" s="3"/>
      <c r="AK248" s="3"/>
      <c r="AL248" s="3"/>
      <c r="AM248" s="3"/>
      <c r="AN248" s="3"/>
      <c r="AO248" s="3"/>
    </row>
    <row r="249" spans="2:41" s="171" customFormat="1" x14ac:dyDescent="0.25">
      <c r="B249" s="13"/>
      <c r="C249" s="57"/>
      <c r="D249" s="69"/>
      <c r="E249" s="56"/>
      <c r="F249" s="57"/>
      <c r="G249" s="130"/>
      <c r="H249" s="57"/>
      <c r="I249" s="14"/>
      <c r="J249" s="14"/>
      <c r="K249" s="14"/>
      <c r="L249" s="14"/>
      <c r="M249" s="14"/>
      <c r="N249" s="14"/>
      <c r="O249" s="14"/>
      <c r="P249" s="14"/>
      <c r="Q249" s="14"/>
      <c r="R249" s="14"/>
      <c r="S249" s="14"/>
      <c r="T249" s="14"/>
      <c r="U249" s="14"/>
      <c r="V249" s="14"/>
      <c r="W249" s="14"/>
      <c r="X249" s="14"/>
      <c r="Y249" s="14"/>
      <c r="Z249" s="14"/>
      <c r="AA249" s="15"/>
      <c r="AB249" s="3"/>
      <c r="AC249" s="3"/>
      <c r="AD249" s="3"/>
      <c r="AE249" s="3"/>
      <c r="AF249" s="3"/>
      <c r="AG249" s="3"/>
      <c r="AH249" s="3"/>
      <c r="AI249" s="3"/>
      <c r="AJ249" s="3"/>
      <c r="AK249" s="3"/>
      <c r="AL249" s="3"/>
      <c r="AM249" s="3"/>
      <c r="AN249" s="3"/>
      <c r="AO249" s="3"/>
    </row>
    <row r="250" spans="2:41" s="171" customFormat="1" x14ac:dyDescent="0.25">
      <c r="B250" s="13"/>
      <c r="C250" s="14"/>
      <c r="D250" s="60"/>
      <c r="E250" s="56"/>
      <c r="F250" s="56"/>
      <c r="G250" s="14"/>
      <c r="H250" s="56"/>
      <c r="I250" s="14"/>
      <c r="J250" s="14"/>
      <c r="K250" s="14"/>
      <c r="L250" s="14"/>
      <c r="M250" s="14"/>
      <c r="N250" s="14"/>
      <c r="O250" s="14"/>
      <c r="P250" s="14"/>
      <c r="Q250" s="14"/>
      <c r="R250" s="14"/>
      <c r="S250" s="14"/>
      <c r="T250" s="14"/>
      <c r="U250" s="14"/>
      <c r="V250" s="14"/>
      <c r="W250" s="14"/>
      <c r="X250" s="14"/>
      <c r="Y250" s="14"/>
      <c r="Z250" s="14"/>
      <c r="AA250" s="15"/>
      <c r="AB250" s="3"/>
      <c r="AC250" s="3"/>
      <c r="AD250" s="3"/>
      <c r="AE250" s="3"/>
      <c r="AF250" s="3"/>
      <c r="AG250" s="3"/>
      <c r="AH250" s="3"/>
      <c r="AI250" s="3"/>
      <c r="AJ250" s="3"/>
      <c r="AK250" s="3"/>
      <c r="AL250" s="3"/>
      <c r="AM250" s="3"/>
      <c r="AN250" s="3"/>
      <c r="AO250" s="3"/>
    </row>
    <row r="251" spans="2:41" s="171" customFormat="1" x14ac:dyDescent="0.25">
      <c r="B251" s="13"/>
      <c r="C251" s="14"/>
      <c r="D251" s="14"/>
      <c r="E251" s="56"/>
      <c r="F251" s="56"/>
      <c r="G251" s="14"/>
      <c r="H251" s="56"/>
      <c r="I251" s="14"/>
      <c r="J251" s="14"/>
      <c r="K251" s="14"/>
      <c r="L251" s="14"/>
      <c r="M251" s="14"/>
      <c r="N251" s="14"/>
      <c r="O251" s="14"/>
      <c r="P251" s="14"/>
      <c r="Q251" s="14"/>
      <c r="R251" s="14"/>
      <c r="S251" s="14"/>
      <c r="T251" s="14"/>
      <c r="U251" s="14"/>
      <c r="V251" s="14"/>
      <c r="W251" s="14"/>
      <c r="X251" s="14"/>
      <c r="Y251" s="14"/>
      <c r="Z251" s="14"/>
      <c r="AA251" s="15"/>
      <c r="AB251" s="3"/>
      <c r="AC251" s="3"/>
      <c r="AD251" s="3"/>
      <c r="AE251" s="3"/>
      <c r="AF251" s="3"/>
      <c r="AG251" s="3"/>
      <c r="AH251" s="3"/>
      <c r="AI251" s="3"/>
      <c r="AJ251" s="3"/>
      <c r="AK251" s="3"/>
      <c r="AL251" s="3"/>
      <c r="AM251" s="3"/>
      <c r="AN251" s="3"/>
      <c r="AO251" s="3"/>
    </row>
    <row r="252" spans="2:41" s="171" customFormat="1" x14ac:dyDescent="0.25">
      <c r="B252" s="13"/>
      <c r="C252" s="14"/>
      <c r="D252" s="60"/>
      <c r="E252" s="56"/>
      <c r="F252" s="56"/>
      <c r="G252" s="14"/>
      <c r="H252" s="56"/>
      <c r="I252" s="14"/>
      <c r="J252" s="14"/>
      <c r="K252" s="14"/>
      <c r="L252" s="14"/>
      <c r="M252" s="14"/>
      <c r="N252" s="14"/>
      <c r="O252" s="14"/>
      <c r="P252" s="14"/>
      <c r="Q252" s="14"/>
      <c r="R252" s="14"/>
      <c r="S252" s="14"/>
      <c r="T252" s="14"/>
      <c r="U252" s="14"/>
      <c r="V252" s="14"/>
      <c r="W252" s="14"/>
      <c r="X252" s="14"/>
      <c r="Y252" s="14"/>
      <c r="Z252" s="14"/>
      <c r="AA252" s="15"/>
      <c r="AB252" s="3"/>
      <c r="AC252" s="3"/>
      <c r="AD252" s="3"/>
      <c r="AE252" s="3"/>
      <c r="AF252" s="3"/>
      <c r="AG252" s="3"/>
      <c r="AH252" s="3"/>
      <c r="AI252" s="3"/>
      <c r="AJ252" s="3"/>
      <c r="AK252" s="3"/>
      <c r="AL252" s="3"/>
      <c r="AM252" s="3"/>
      <c r="AN252" s="3"/>
      <c r="AO252" s="3"/>
    </row>
    <row r="253" spans="2:41" s="171" customFormat="1" x14ac:dyDescent="0.25">
      <c r="B253" s="13"/>
      <c r="C253" s="14"/>
      <c r="D253" s="60"/>
      <c r="E253" s="56"/>
      <c r="F253" s="56"/>
      <c r="G253" s="14"/>
      <c r="H253" s="56"/>
      <c r="I253" s="14"/>
      <c r="J253" s="14"/>
      <c r="K253" s="14"/>
      <c r="L253" s="14"/>
      <c r="M253" s="14"/>
      <c r="N253" s="14"/>
      <c r="O253" s="14"/>
      <c r="P253" s="14"/>
      <c r="Q253" s="14"/>
      <c r="R253" s="14"/>
      <c r="S253" s="14"/>
      <c r="T253" s="14"/>
      <c r="U253" s="14"/>
      <c r="V253" s="14"/>
      <c r="W253" s="14"/>
      <c r="X253" s="14"/>
      <c r="Y253" s="14"/>
      <c r="Z253" s="14"/>
      <c r="AA253" s="15"/>
      <c r="AB253" s="3"/>
      <c r="AC253" s="3"/>
      <c r="AD253" s="3"/>
      <c r="AE253" s="3"/>
      <c r="AF253" s="3"/>
      <c r="AG253" s="3"/>
      <c r="AH253" s="3"/>
      <c r="AI253" s="3"/>
      <c r="AJ253" s="3"/>
      <c r="AK253" s="3"/>
      <c r="AL253" s="3"/>
      <c r="AM253" s="3"/>
      <c r="AN253" s="3"/>
      <c r="AO253" s="3"/>
    </row>
    <row r="254" spans="2:41" s="171" customFormat="1" x14ac:dyDescent="0.25">
      <c r="B254" s="13"/>
      <c r="C254" s="14"/>
      <c r="D254" s="60"/>
      <c r="E254" s="56"/>
      <c r="F254" s="56"/>
      <c r="G254" s="14"/>
      <c r="H254" s="56"/>
      <c r="I254" s="14"/>
      <c r="J254" s="14"/>
      <c r="K254" s="14"/>
      <c r="L254" s="14"/>
      <c r="M254" s="14"/>
      <c r="N254" s="14"/>
      <c r="O254" s="14"/>
      <c r="P254" s="14"/>
      <c r="Q254" s="14"/>
      <c r="R254" s="14"/>
      <c r="S254" s="14"/>
      <c r="T254" s="14"/>
      <c r="U254" s="14"/>
      <c r="V254" s="14"/>
      <c r="W254" s="14"/>
      <c r="X254" s="14"/>
      <c r="Y254" s="14"/>
      <c r="Z254" s="14"/>
      <c r="AA254" s="15"/>
      <c r="AB254" s="3"/>
      <c r="AC254" s="3"/>
      <c r="AD254" s="3"/>
      <c r="AE254" s="3"/>
      <c r="AF254" s="3"/>
      <c r="AG254" s="3"/>
      <c r="AH254" s="3"/>
      <c r="AI254" s="3"/>
      <c r="AJ254" s="3"/>
      <c r="AK254" s="3"/>
      <c r="AL254" s="3"/>
      <c r="AM254" s="3"/>
      <c r="AN254" s="3"/>
      <c r="AO254" s="3"/>
    </row>
    <row r="255" spans="2:41" s="171" customFormat="1" x14ac:dyDescent="0.25">
      <c r="B255" s="13"/>
      <c r="C255" s="14"/>
      <c r="D255" s="60"/>
      <c r="E255" s="56"/>
      <c r="F255" s="56"/>
      <c r="G255" s="14"/>
      <c r="H255" s="56"/>
      <c r="I255" s="14"/>
      <c r="J255" s="14"/>
      <c r="K255" s="14"/>
      <c r="L255" s="14"/>
      <c r="M255" s="14"/>
      <c r="N255" s="14"/>
      <c r="O255" s="14"/>
      <c r="P255" s="14"/>
      <c r="Q255" s="14"/>
      <c r="R255" s="14"/>
      <c r="S255" s="14"/>
      <c r="T255" s="14"/>
      <c r="U255" s="14"/>
      <c r="V255" s="14"/>
      <c r="W255" s="14"/>
      <c r="X255" s="14"/>
      <c r="Y255" s="14"/>
      <c r="Z255" s="14"/>
      <c r="AA255" s="15"/>
      <c r="AB255" s="3"/>
      <c r="AC255" s="3"/>
      <c r="AD255" s="3"/>
      <c r="AE255" s="3"/>
      <c r="AF255" s="3"/>
      <c r="AG255" s="3"/>
      <c r="AH255" s="3"/>
      <c r="AI255" s="3"/>
      <c r="AJ255" s="3"/>
      <c r="AK255" s="3"/>
      <c r="AL255" s="3"/>
      <c r="AM255" s="3"/>
      <c r="AN255" s="3"/>
      <c r="AO255" s="3"/>
    </row>
    <row r="256" spans="2:41" s="171" customFormat="1" x14ac:dyDescent="0.25">
      <c r="B256" s="13"/>
      <c r="C256" s="14"/>
      <c r="D256" s="60"/>
      <c r="E256" s="56"/>
      <c r="F256" s="56"/>
      <c r="G256" s="128"/>
      <c r="H256" s="56"/>
      <c r="I256" s="14"/>
      <c r="J256" s="14"/>
      <c r="K256" s="14"/>
      <c r="L256" s="14"/>
      <c r="M256" s="14"/>
      <c r="N256" s="14"/>
      <c r="O256" s="14"/>
      <c r="P256" s="14"/>
      <c r="Q256" s="14"/>
      <c r="R256" s="14"/>
      <c r="S256" s="14"/>
      <c r="T256" s="14"/>
      <c r="U256" s="14"/>
      <c r="V256" s="14"/>
      <c r="W256" s="14"/>
      <c r="X256" s="14"/>
      <c r="Y256" s="14"/>
      <c r="Z256" s="14"/>
      <c r="AA256" s="15"/>
      <c r="AB256" s="3"/>
      <c r="AC256" s="3"/>
      <c r="AD256" s="3"/>
      <c r="AE256" s="3"/>
      <c r="AF256" s="3"/>
      <c r="AG256" s="3"/>
      <c r="AH256" s="3"/>
      <c r="AI256" s="3"/>
      <c r="AJ256" s="3"/>
      <c r="AK256" s="3"/>
      <c r="AL256" s="3"/>
      <c r="AM256" s="3"/>
      <c r="AN256" s="3"/>
      <c r="AO256" s="3"/>
    </row>
    <row r="257" spans="2:41" s="171" customFormat="1" x14ac:dyDescent="0.25">
      <c r="B257" s="13"/>
      <c r="C257" s="14"/>
      <c r="D257" s="60"/>
      <c r="E257" s="56"/>
      <c r="F257" s="56"/>
      <c r="G257" s="14"/>
      <c r="H257" s="56"/>
      <c r="I257" s="14"/>
      <c r="J257" s="14"/>
      <c r="K257" s="14"/>
      <c r="L257" s="14"/>
      <c r="M257" s="14"/>
      <c r="N257" s="14"/>
      <c r="O257" s="14"/>
      <c r="P257" s="14"/>
      <c r="Q257" s="14"/>
      <c r="R257" s="14"/>
      <c r="S257" s="14"/>
      <c r="T257" s="14"/>
      <c r="U257" s="14"/>
      <c r="V257" s="14"/>
      <c r="W257" s="14"/>
      <c r="X257" s="14"/>
      <c r="Y257" s="14"/>
      <c r="Z257" s="14"/>
      <c r="AA257" s="15"/>
      <c r="AB257" s="3"/>
      <c r="AC257" s="3"/>
      <c r="AD257" s="3"/>
      <c r="AE257" s="3"/>
      <c r="AF257" s="3"/>
      <c r="AG257" s="3"/>
      <c r="AH257" s="3"/>
      <c r="AI257" s="3"/>
      <c r="AJ257" s="3"/>
      <c r="AK257" s="3"/>
      <c r="AL257" s="3"/>
      <c r="AM257" s="3"/>
      <c r="AN257" s="3"/>
      <c r="AO257" s="3"/>
    </row>
    <row r="258" spans="2:41" s="171" customFormat="1" x14ac:dyDescent="0.25">
      <c r="B258" s="13"/>
      <c r="C258" s="14"/>
      <c r="D258" s="14"/>
      <c r="E258" s="56"/>
      <c r="F258" s="56"/>
      <c r="G258" s="14"/>
      <c r="H258" s="56"/>
      <c r="I258" s="14"/>
      <c r="J258" s="14"/>
      <c r="K258" s="14"/>
      <c r="L258" s="14"/>
      <c r="M258" s="14"/>
      <c r="N258" s="14"/>
      <c r="O258" s="14"/>
      <c r="P258" s="14"/>
      <c r="Q258" s="14"/>
      <c r="R258" s="14"/>
      <c r="S258" s="14"/>
      <c r="T258" s="14"/>
      <c r="U258" s="14"/>
      <c r="V258" s="14"/>
      <c r="W258" s="14"/>
      <c r="X258" s="14"/>
      <c r="Y258" s="14"/>
      <c r="Z258" s="14"/>
      <c r="AA258" s="15"/>
      <c r="AB258" s="3"/>
      <c r="AC258" s="3"/>
      <c r="AD258" s="3"/>
      <c r="AE258" s="3"/>
      <c r="AF258" s="3"/>
      <c r="AG258" s="3"/>
      <c r="AH258" s="3"/>
      <c r="AI258" s="3"/>
      <c r="AJ258" s="3"/>
      <c r="AK258" s="3"/>
      <c r="AL258" s="3"/>
      <c r="AM258" s="3"/>
      <c r="AN258" s="3"/>
      <c r="AO258" s="3"/>
    </row>
    <row r="259" spans="2:41" s="171" customFormat="1" x14ac:dyDescent="0.25">
      <c r="B259" s="13"/>
      <c r="C259" s="14"/>
      <c r="D259" s="60"/>
      <c r="E259" s="56"/>
      <c r="F259" s="56"/>
      <c r="G259" s="14"/>
      <c r="H259" s="56"/>
      <c r="I259" s="14"/>
      <c r="J259" s="14"/>
      <c r="K259" s="14"/>
      <c r="L259" s="14"/>
      <c r="M259" s="14"/>
      <c r="N259" s="14"/>
      <c r="O259" s="14"/>
      <c r="P259" s="14"/>
      <c r="Q259" s="14"/>
      <c r="R259" s="14"/>
      <c r="S259" s="14"/>
      <c r="T259" s="14"/>
      <c r="U259" s="14"/>
      <c r="V259" s="14"/>
      <c r="W259" s="14"/>
      <c r="X259" s="14"/>
      <c r="Y259" s="14"/>
      <c r="Z259" s="14"/>
      <c r="AA259" s="15"/>
      <c r="AB259" s="3"/>
      <c r="AC259" s="3"/>
      <c r="AD259" s="3"/>
      <c r="AE259" s="3"/>
      <c r="AF259" s="3"/>
      <c r="AG259" s="3"/>
      <c r="AH259" s="3"/>
      <c r="AI259" s="3"/>
      <c r="AJ259" s="3"/>
      <c r="AK259" s="3"/>
      <c r="AL259" s="3"/>
      <c r="AM259" s="3"/>
      <c r="AN259" s="3"/>
      <c r="AO259" s="3"/>
    </row>
    <row r="260" spans="2:41" s="171" customFormat="1" x14ac:dyDescent="0.25">
      <c r="B260" s="13"/>
      <c r="C260" s="14"/>
      <c r="D260" s="60"/>
      <c r="E260" s="56"/>
      <c r="F260" s="56"/>
      <c r="G260" s="14"/>
      <c r="H260" s="56"/>
      <c r="I260" s="14"/>
      <c r="J260" s="14"/>
      <c r="K260" s="14"/>
      <c r="L260" s="14"/>
      <c r="M260" s="14"/>
      <c r="N260" s="14"/>
      <c r="O260" s="14"/>
      <c r="P260" s="14"/>
      <c r="Q260" s="14"/>
      <c r="R260" s="14"/>
      <c r="S260" s="14"/>
      <c r="T260" s="14"/>
      <c r="U260" s="14"/>
      <c r="V260" s="14"/>
      <c r="W260" s="14"/>
      <c r="X260" s="14"/>
      <c r="Y260" s="14"/>
      <c r="Z260" s="14"/>
      <c r="AA260" s="15"/>
      <c r="AB260" s="3"/>
      <c r="AC260" s="3"/>
      <c r="AD260" s="3"/>
      <c r="AE260" s="3"/>
      <c r="AF260" s="3"/>
      <c r="AG260" s="3"/>
      <c r="AH260" s="3"/>
      <c r="AI260" s="3"/>
      <c r="AJ260" s="3"/>
      <c r="AK260" s="3"/>
      <c r="AL260" s="3"/>
      <c r="AM260" s="3"/>
      <c r="AN260" s="3"/>
      <c r="AO260" s="3"/>
    </row>
    <row r="261" spans="2:41" s="171" customFormat="1" x14ac:dyDescent="0.25">
      <c r="B261" s="13"/>
      <c r="C261" s="14"/>
      <c r="D261" s="60"/>
      <c r="E261" s="56"/>
      <c r="F261" s="56"/>
      <c r="G261" s="14"/>
      <c r="H261" s="56"/>
      <c r="I261" s="14"/>
      <c r="J261" s="14"/>
      <c r="K261" s="14"/>
      <c r="L261" s="14"/>
      <c r="M261" s="14"/>
      <c r="N261" s="14"/>
      <c r="O261" s="14"/>
      <c r="P261" s="14"/>
      <c r="Q261" s="14"/>
      <c r="R261" s="14"/>
      <c r="S261" s="14"/>
      <c r="T261" s="14"/>
      <c r="U261" s="14"/>
      <c r="V261" s="14"/>
      <c r="W261" s="14"/>
      <c r="X261" s="14"/>
      <c r="Y261" s="14"/>
      <c r="Z261" s="14"/>
      <c r="AA261" s="15"/>
      <c r="AB261" s="3"/>
      <c r="AC261" s="3"/>
      <c r="AD261" s="3"/>
      <c r="AE261" s="3"/>
      <c r="AF261" s="3"/>
      <c r="AG261" s="3"/>
      <c r="AH261" s="3"/>
      <c r="AI261" s="3"/>
      <c r="AJ261" s="3"/>
      <c r="AK261" s="3"/>
      <c r="AL261" s="3"/>
      <c r="AM261" s="3"/>
      <c r="AN261" s="3"/>
      <c r="AO261" s="3"/>
    </row>
    <row r="262" spans="2:41" s="171" customFormat="1" x14ac:dyDescent="0.25">
      <c r="B262" s="13"/>
      <c r="C262" s="14"/>
      <c r="D262" s="60"/>
      <c r="E262" s="56"/>
      <c r="F262" s="56"/>
      <c r="G262" s="14"/>
      <c r="H262" s="56"/>
      <c r="I262" s="14"/>
      <c r="J262" s="14"/>
      <c r="K262" s="14"/>
      <c r="L262" s="14"/>
      <c r="M262" s="14"/>
      <c r="N262" s="14"/>
      <c r="O262" s="14"/>
      <c r="P262" s="14"/>
      <c r="Q262" s="14"/>
      <c r="R262" s="14"/>
      <c r="S262" s="14"/>
      <c r="T262" s="14"/>
      <c r="U262" s="14"/>
      <c r="V262" s="14"/>
      <c r="W262" s="14"/>
      <c r="X262" s="14"/>
      <c r="Y262" s="14"/>
      <c r="Z262" s="14"/>
      <c r="AA262" s="15"/>
      <c r="AB262" s="3"/>
      <c r="AC262" s="3"/>
      <c r="AD262" s="3"/>
      <c r="AE262" s="3"/>
      <c r="AF262" s="3"/>
      <c r="AG262" s="3"/>
      <c r="AH262" s="3"/>
      <c r="AI262" s="3"/>
      <c r="AJ262" s="3"/>
      <c r="AK262" s="3"/>
      <c r="AL262" s="3"/>
      <c r="AM262" s="3"/>
      <c r="AN262" s="3"/>
      <c r="AO262" s="3"/>
    </row>
    <row r="263" spans="2:41" s="171" customFormat="1" x14ac:dyDescent="0.25">
      <c r="B263" s="13"/>
      <c r="C263" s="14"/>
      <c r="D263" s="60"/>
      <c r="E263" s="56"/>
      <c r="F263" s="56"/>
      <c r="G263" s="128"/>
      <c r="H263" s="56"/>
      <c r="I263" s="14"/>
      <c r="J263" s="14"/>
      <c r="K263" s="14"/>
      <c r="L263" s="14"/>
      <c r="M263" s="14"/>
      <c r="N263" s="14"/>
      <c r="O263" s="14"/>
      <c r="P263" s="14"/>
      <c r="Q263" s="14"/>
      <c r="R263" s="14"/>
      <c r="S263" s="14"/>
      <c r="T263" s="14"/>
      <c r="U263" s="14"/>
      <c r="V263" s="14"/>
      <c r="W263" s="14"/>
      <c r="X263" s="14"/>
      <c r="Y263" s="14"/>
      <c r="Z263" s="14"/>
      <c r="AA263" s="15"/>
      <c r="AB263" s="3"/>
      <c r="AC263" s="3"/>
      <c r="AD263" s="3"/>
      <c r="AE263" s="3"/>
      <c r="AF263" s="3"/>
      <c r="AG263" s="3"/>
      <c r="AH263" s="3"/>
      <c r="AI263" s="3"/>
      <c r="AJ263" s="3"/>
      <c r="AK263" s="3"/>
      <c r="AL263" s="3"/>
      <c r="AM263" s="3"/>
      <c r="AN263" s="3"/>
      <c r="AO263" s="3"/>
    </row>
    <row r="264" spans="2:41" s="171" customFormat="1" x14ac:dyDescent="0.25">
      <c r="B264" s="13"/>
      <c r="C264" s="14"/>
      <c r="D264" s="60"/>
      <c r="E264" s="56"/>
      <c r="F264" s="56"/>
      <c r="G264" s="14"/>
      <c r="H264" s="56"/>
      <c r="I264" s="14"/>
      <c r="J264" s="14"/>
      <c r="K264" s="14"/>
      <c r="L264" s="14"/>
      <c r="M264" s="14"/>
      <c r="N264" s="14"/>
      <c r="O264" s="14"/>
      <c r="P264" s="14"/>
      <c r="Q264" s="14"/>
      <c r="R264" s="14"/>
      <c r="S264" s="14"/>
      <c r="T264" s="14"/>
      <c r="U264" s="14"/>
      <c r="V264" s="14"/>
      <c r="W264" s="14"/>
      <c r="X264" s="14"/>
      <c r="Y264" s="14"/>
      <c r="Z264" s="14"/>
      <c r="AA264" s="15"/>
      <c r="AB264" s="3"/>
      <c r="AC264" s="3"/>
      <c r="AD264" s="3"/>
      <c r="AE264" s="3"/>
      <c r="AF264" s="3"/>
      <c r="AG264" s="3"/>
      <c r="AH264" s="3"/>
      <c r="AI264" s="3"/>
      <c r="AJ264" s="3"/>
      <c r="AK264" s="3"/>
      <c r="AL264" s="3"/>
      <c r="AM264" s="3"/>
      <c r="AN264" s="3"/>
      <c r="AO264" s="3"/>
    </row>
    <row r="265" spans="2:41" s="171" customFormat="1" x14ac:dyDescent="0.25">
      <c r="B265" s="13"/>
      <c r="C265" s="14"/>
      <c r="D265" s="14"/>
      <c r="E265" s="56"/>
      <c r="F265" s="56"/>
      <c r="G265" s="14"/>
      <c r="H265" s="56"/>
      <c r="I265" s="14"/>
      <c r="J265" s="14"/>
      <c r="K265" s="14"/>
      <c r="L265" s="14"/>
      <c r="M265" s="14"/>
      <c r="N265" s="14"/>
      <c r="O265" s="14"/>
      <c r="P265" s="14"/>
      <c r="Q265" s="14"/>
      <c r="R265" s="14"/>
      <c r="S265" s="14"/>
      <c r="T265" s="14"/>
      <c r="U265" s="14"/>
      <c r="V265" s="14"/>
      <c r="W265" s="14"/>
      <c r="X265" s="14"/>
      <c r="Y265" s="14"/>
      <c r="Z265" s="14"/>
      <c r="AA265" s="15"/>
      <c r="AB265" s="3"/>
      <c r="AC265" s="3"/>
      <c r="AD265" s="3"/>
      <c r="AE265" s="3"/>
      <c r="AF265" s="3"/>
      <c r="AG265" s="3"/>
      <c r="AH265" s="3"/>
      <c r="AI265" s="3"/>
      <c r="AJ265" s="3"/>
      <c r="AK265" s="3"/>
      <c r="AL265" s="3"/>
      <c r="AM265" s="3"/>
      <c r="AN265" s="3"/>
      <c r="AO265" s="3"/>
    </row>
    <row r="266" spans="2:41" s="171" customFormat="1" x14ac:dyDescent="0.25">
      <c r="B266" s="13"/>
      <c r="C266" s="14"/>
      <c r="D266" s="60"/>
      <c r="E266" s="56"/>
      <c r="F266" s="56"/>
      <c r="G266" s="14"/>
      <c r="H266" s="56"/>
      <c r="I266" s="14"/>
      <c r="J266" s="14"/>
      <c r="K266" s="14"/>
      <c r="L266" s="14"/>
      <c r="M266" s="14"/>
      <c r="N266" s="14"/>
      <c r="O266" s="14"/>
      <c r="P266" s="14"/>
      <c r="Q266" s="14"/>
      <c r="R266" s="14"/>
      <c r="S266" s="14"/>
      <c r="T266" s="14"/>
      <c r="U266" s="14"/>
      <c r="V266" s="14"/>
      <c r="W266" s="14"/>
      <c r="X266" s="14"/>
      <c r="Y266" s="14"/>
      <c r="Z266" s="14"/>
      <c r="AA266" s="15"/>
      <c r="AB266" s="3"/>
      <c r="AC266" s="3"/>
      <c r="AD266" s="3"/>
      <c r="AE266" s="3"/>
      <c r="AF266" s="3"/>
      <c r="AG266" s="3"/>
      <c r="AH266" s="3"/>
      <c r="AI266" s="3"/>
      <c r="AJ266" s="3"/>
      <c r="AK266" s="3"/>
      <c r="AL266" s="3"/>
      <c r="AM266" s="3"/>
      <c r="AN266" s="3"/>
      <c r="AO266" s="3"/>
    </row>
    <row r="267" spans="2:41" s="171" customFormat="1" x14ac:dyDescent="0.25">
      <c r="B267" s="13"/>
      <c r="C267" s="14"/>
      <c r="D267" s="60"/>
      <c r="E267" s="56"/>
      <c r="F267" s="56"/>
      <c r="G267" s="14"/>
      <c r="H267" s="56"/>
      <c r="I267" s="14"/>
      <c r="J267" s="14"/>
      <c r="K267" s="14"/>
      <c r="L267" s="14"/>
      <c r="M267" s="14"/>
      <c r="N267" s="14"/>
      <c r="O267" s="14"/>
      <c r="P267" s="14"/>
      <c r="Q267" s="14"/>
      <c r="R267" s="14"/>
      <c r="S267" s="14"/>
      <c r="T267" s="14"/>
      <c r="U267" s="14"/>
      <c r="V267" s="14"/>
      <c r="W267" s="14"/>
      <c r="X267" s="14"/>
      <c r="Y267" s="14"/>
      <c r="Z267" s="14"/>
      <c r="AA267" s="15"/>
      <c r="AB267" s="3"/>
      <c r="AC267" s="3"/>
      <c r="AD267" s="3"/>
      <c r="AE267" s="3"/>
      <c r="AF267" s="3"/>
      <c r="AG267" s="3"/>
      <c r="AH267" s="3"/>
      <c r="AI267" s="3"/>
      <c r="AJ267" s="3"/>
      <c r="AK267" s="3"/>
      <c r="AL267" s="3"/>
      <c r="AM267" s="3"/>
      <c r="AN267" s="3"/>
      <c r="AO267" s="3"/>
    </row>
    <row r="268" spans="2:41" s="171" customFormat="1" x14ac:dyDescent="0.25">
      <c r="B268" s="13"/>
      <c r="C268" s="14"/>
      <c r="D268" s="60"/>
      <c r="E268" s="56"/>
      <c r="F268" s="56"/>
      <c r="G268" s="14"/>
      <c r="H268" s="56"/>
      <c r="I268" s="14"/>
      <c r="J268" s="14"/>
      <c r="K268" s="14"/>
      <c r="L268" s="14"/>
      <c r="M268" s="14"/>
      <c r="N268" s="14"/>
      <c r="O268" s="14"/>
      <c r="P268" s="14"/>
      <c r="Q268" s="14"/>
      <c r="R268" s="14"/>
      <c r="S268" s="14"/>
      <c r="T268" s="14"/>
      <c r="U268" s="14"/>
      <c r="V268" s="14"/>
      <c r="W268" s="14"/>
      <c r="X268" s="14"/>
      <c r="Y268" s="14"/>
      <c r="Z268" s="14"/>
      <c r="AA268" s="15"/>
      <c r="AB268" s="3"/>
      <c r="AC268" s="3"/>
      <c r="AD268" s="3"/>
      <c r="AE268" s="3"/>
      <c r="AF268" s="3"/>
      <c r="AG268" s="3"/>
      <c r="AH268" s="3"/>
      <c r="AI268" s="3"/>
      <c r="AJ268" s="3"/>
      <c r="AK268" s="3"/>
      <c r="AL268" s="3"/>
      <c r="AM268" s="3"/>
      <c r="AN268" s="3"/>
      <c r="AO268" s="3"/>
    </row>
    <row r="269" spans="2:41" s="171" customFormat="1" x14ac:dyDescent="0.25">
      <c r="B269" s="13"/>
      <c r="C269" s="14"/>
      <c r="D269" s="60"/>
      <c r="E269" s="56"/>
      <c r="F269" s="56"/>
      <c r="G269" s="14"/>
      <c r="H269" s="56"/>
      <c r="I269" s="14"/>
      <c r="J269" s="14"/>
      <c r="K269" s="14"/>
      <c r="L269" s="14"/>
      <c r="M269" s="14"/>
      <c r="N269" s="14"/>
      <c r="O269" s="14"/>
      <c r="P269" s="14"/>
      <c r="Q269" s="14"/>
      <c r="R269" s="14"/>
      <c r="S269" s="14"/>
      <c r="T269" s="14"/>
      <c r="U269" s="14"/>
      <c r="V269" s="14"/>
      <c r="W269" s="14"/>
      <c r="X269" s="14"/>
      <c r="Y269" s="14"/>
      <c r="Z269" s="14"/>
      <c r="AA269" s="15"/>
      <c r="AB269" s="3"/>
      <c r="AC269" s="3"/>
      <c r="AD269" s="3"/>
      <c r="AE269" s="3"/>
      <c r="AF269" s="3"/>
      <c r="AG269" s="3"/>
      <c r="AH269" s="3"/>
      <c r="AI269" s="3"/>
      <c r="AJ269" s="3"/>
      <c r="AK269" s="3"/>
      <c r="AL269" s="3"/>
      <c r="AM269" s="3"/>
      <c r="AN269" s="3"/>
      <c r="AO269" s="3"/>
    </row>
    <row r="270" spans="2:41" s="171" customFormat="1" x14ac:dyDescent="0.25">
      <c r="B270" s="13"/>
      <c r="C270" s="14"/>
      <c r="D270" s="60"/>
      <c r="E270" s="56"/>
      <c r="F270" s="56"/>
      <c r="G270" s="128"/>
      <c r="H270" s="56"/>
      <c r="I270" s="14"/>
      <c r="J270" s="14"/>
      <c r="K270" s="14"/>
      <c r="L270" s="14"/>
      <c r="M270" s="14"/>
      <c r="N270" s="14"/>
      <c r="O270" s="14"/>
      <c r="P270" s="14"/>
      <c r="Q270" s="14"/>
      <c r="R270" s="14"/>
      <c r="S270" s="14"/>
      <c r="T270" s="14"/>
      <c r="U270" s="14"/>
      <c r="V270" s="14"/>
      <c r="W270" s="14"/>
      <c r="X270" s="14"/>
      <c r="Y270" s="14"/>
      <c r="Z270" s="14"/>
      <c r="AA270" s="15"/>
      <c r="AB270" s="3"/>
      <c r="AC270" s="3"/>
      <c r="AD270" s="3"/>
      <c r="AE270" s="3"/>
      <c r="AF270" s="3"/>
      <c r="AG270" s="3"/>
      <c r="AH270" s="3"/>
      <c r="AI270" s="3"/>
      <c r="AJ270" s="3"/>
      <c r="AK270" s="3"/>
      <c r="AL270" s="3"/>
      <c r="AM270" s="3"/>
      <c r="AN270" s="3"/>
      <c r="AO270" s="3"/>
    </row>
    <row r="271" spans="2:41" s="171" customFormat="1" x14ac:dyDescent="0.25">
      <c r="B271" s="13"/>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5"/>
      <c r="AB271" s="3"/>
      <c r="AC271" s="3"/>
      <c r="AD271" s="3"/>
      <c r="AE271" s="3"/>
      <c r="AF271" s="3"/>
      <c r="AG271" s="3"/>
      <c r="AH271" s="3"/>
      <c r="AI271" s="3"/>
      <c r="AJ271" s="3"/>
      <c r="AK271" s="3"/>
      <c r="AL271" s="3"/>
      <c r="AM271" s="3"/>
      <c r="AN271" s="3"/>
      <c r="AO271" s="3"/>
    </row>
    <row r="272" spans="2:41" s="171" customFormat="1" x14ac:dyDescent="0.25">
      <c r="B272" s="13"/>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5"/>
      <c r="AB272" s="3"/>
      <c r="AC272" s="3"/>
      <c r="AD272" s="3"/>
      <c r="AE272" s="3"/>
      <c r="AF272" s="3"/>
      <c r="AG272" s="3"/>
      <c r="AH272" s="3"/>
      <c r="AI272" s="3"/>
      <c r="AJ272" s="3"/>
      <c r="AK272" s="3"/>
      <c r="AL272" s="3"/>
      <c r="AM272" s="3"/>
      <c r="AN272" s="3"/>
      <c r="AO272" s="3"/>
    </row>
    <row r="273" spans="2:41" s="171" customFormat="1" x14ac:dyDescent="0.25">
      <c r="B273" s="13"/>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5"/>
      <c r="AB273" s="3"/>
      <c r="AC273" s="3"/>
      <c r="AD273" s="3"/>
      <c r="AE273" s="3"/>
      <c r="AF273" s="3"/>
      <c r="AG273" s="3"/>
      <c r="AH273" s="3"/>
      <c r="AI273" s="3"/>
      <c r="AJ273" s="3"/>
      <c r="AK273" s="3"/>
      <c r="AL273" s="3"/>
      <c r="AM273" s="3"/>
      <c r="AN273" s="3"/>
      <c r="AO273" s="3"/>
    </row>
    <row r="274" spans="2:41" s="171" customFormat="1" x14ac:dyDescent="0.25">
      <c r="B274" s="13"/>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5"/>
      <c r="AB274" s="3"/>
      <c r="AC274" s="3"/>
      <c r="AD274" s="3"/>
      <c r="AE274" s="3"/>
      <c r="AF274" s="3"/>
      <c r="AG274" s="3"/>
      <c r="AH274" s="3"/>
      <c r="AI274" s="3"/>
      <c r="AJ274" s="3"/>
      <c r="AK274" s="3"/>
      <c r="AL274" s="3"/>
      <c r="AM274" s="3"/>
      <c r="AN274" s="3"/>
      <c r="AO274" s="3"/>
    </row>
    <row r="275" spans="2:41" s="171" customFormat="1" x14ac:dyDescent="0.25">
      <c r="B275" s="13"/>
      <c r="C275" s="14"/>
      <c r="D275" s="60"/>
      <c r="E275" s="56"/>
      <c r="F275" s="56"/>
      <c r="G275" s="14"/>
      <c r="H275" s="56"/>
      <c r="I275" s="14"/>
      <c r="J275" s="14"/>
      <c r="K275" s="14"/>
      <c r="L275" s="14"/>
      <c r="M275" s="14"/>
      <c r="N275" s="14"/>
      <c r="O275" s="14"/>
      <c r="P275" s="14"/>
      <c r="Q275" s="14"/>
      <c r="R275" s="14"/>
      <c r="S275" s="14"/>
      <c r="T275" s="14"/>
      <c r="U275" s="14"/>
      <c r="V275" s="14"/>
      <c r="W275" s="14"/>
      <c r="X275" s="14"/>
      <c r="Y275" s="14"/>
      <c r="Z275" s="14"/>
      <c r="AA275" s="15"/>
      <c r="AB275" s="3"/>
      <c r="AC275" s="3"/>
      <c r="AD275" s="3"/>
      <c r="AE275" s="3"/>
      <c r="AF275" s="3"/>
      <c r="AG275" s="3"/>
      <c r="AH275" s="3"/>
      <c r="AI275" s="3"/>
      <c r="AJ275" s="3"/>
      <c r="AK275" s="3"/>
      <c r="AL275" s="3"/>
      <c r="AM275" s="3"/>
      <c r="AN275" s="3"/>
      <c r="AO275" s="3"/>
    </row>
    <row r="276" spans="2:41" s="171" customFormat="1" x14ac:dyDescent="0.25">
      <c r="B276" s="13"/>
      <c r="C276" s="14"/>
      <c r="D276" s="60"/>
      <c r="E276" s="56"/>
      <c r="F276" s="56"/>
      <c r="G276" s="14"/>
      <c r="H276" s="56"/>
      <c r="I276" s="14"/>
      <c r="J276" s="14"/>
      <c r="K276" s="14"/>
      <c r="L276" s="14"/>
      <c r="M276" s="14"/>
      <c r="N276" s="14"/>
      <c r="O276" s="14"/>
      <c r="P276" s="14"/>
      <c r="Q276" s="14"/>
      <c r="R276" s="14"/>
      <c r="S276" s="14"/>
      <c r="T276" s="14"/>
      <c r="U276" s="14"/>
      <c r="V276" s="14"/>
      <c r="W276" s="14"/>
      <c r="X276" s="14"/>
      <c r="Y276" s="14"/>
      <c r="Z276" s="14"/>
      <c r="AA276" s="15"/>
      <c r="AB276" s="3"/>
      <c r="AC276" s="3"/>
      <c r="AD276" s="3"/>
      <c r="AE276" s="3"/>
      <c r="AF276" s="3"/>
      <c r="AG276" s="3"/>
      <c r="AH276" s="3"/>
      <c r="AI276" s="3"/>
      <c r="AJ276" s="3"/>
      <c r="AK276" s="3"/>
      <c r="AL276" s="3"/>
      <c r="AM276" s="3"/>
      <c r="AN276" s="3"/>
      <c r="AO276" s="3"/>
    </row>
    <row r="277" spans="2:41" s="171" customFormat="1" x14ac:dyDescent="0.25">
      <c r="B277" s="13"/>
      <c r="C277" s="56"/>
      <c r="D277" s="60"/>
      <c r="E277" s="56"/>
      <c r="F277" s="56"/>
      <c r="G277" s="56"/>
      <c r="H277" s="56"/>
      <c r="I277" s="14"/>
      <c r="J277" s="14"/>
      <c r="K277" s="14"/>
      <c r="L277" s="14"/>
      <c r="M277" s="14"/>
      <c r="N277" s="14"/>
      <c r="O277" s="14"/>
      <c r="P277" s="14"/>
      <c r="Q277" s="14"/>
      <c r="R277" s="14"/>
      <c r="S277" s="14"/>
      <c r="T277" s="14"/>
      <c r="U277" s="14"/>
      <c r="V277" s="14"/>
      <c r="W277" s="14"/>
      <c r="X277" s="14"/>
      <c r="Y277" s="14"/>
      <c r="Z277" s="14"/>
      <c r="AA277" s="15"/>
      <c r="AB277" s="3"/>
      <c r="AC277" s="3"/>
      <c r="AD277" s="3"/>
      <c r="AE277" s="3"/>
      <c r="AF277" s="3"/>
      <c r="AG277" s="3"/>
      <c r="AH277" s="3"/>
      <c r="AI277" s="3"/>
      <c r="AJ277" s="3"/>
      <c r="AK277" s="3"/>
      <c r="AL277" s="3"/>
      <c r="AM277" s="3"/>
      <c r="AN277" s="3"/>
      <c r="AO277" s="3"/>
    </row>
    <row r="278" spans="2:41" s="171" customFormat="1" x14ac:dyDescent="0.25">
      <c r="B278" s="13"/>
      <c r="C278" s="14"/>
      <c r="D278" s="60"/>
      <c r="E278" s="56"/>
      <c r="F278" s="56"/>
      <c r="G278" s="14"/>
      <c r="H278" s="56"/>
      <c r="I278" s="14"/>
      <c r="J278" s="14"/>
      <c r="K278" s="14"/>
      <c r="L278" s="14"/>
      <c r="M278" s="14"/>
      <c r="N278" s="14"/>
      <c r="O278" s="14"/>
      <c r="P278" s="14"/>
      <c r="Q278" s="14"/>
      <c r="R278" s="14"/>
      <c r="S278" s="14"/>
      <c r="T278" s="14"/>
      <c r="U278" s="14"/>
      <c r="V278" s="14"/>
      <c r="W278" s="14"/>
      <c r="X278" s="14"/>
      <c r="Y278" s="14"/>
      <c r="Z278" s="14"/>
      <c r="AA278" s="15"/>
      <c r="AB278" s="3"/>
      <c r="AC278" s="3"/>
      <c r="AD278" s="3"/>
      <c r="AE278" s="3"/>
      <c r="AF278" s="3"/>
      <c r="AG278" s="3"/>
      <c r="AH278" s="3"/>
      <c r="AI278" s="3"/>
      <c r="AJ278" s="3"/>
      <c r="AK278" s="3"/>
      <c r="AL278" s="3"/>
      <c r="AM278" s="3"/>
      <c r="AN278" s="3"/>
      <c r="AO278" s="3"/>
    </row>
    <row r="279" spans="2:41" s="171" customFormat="1" x14ac:dyDescent="0.25">
      <c r="B279" s="13"/>
      <c r="C279" s="14"/>
      <c r="D279" s="14"/>
      <c r="E279" s="56"/>
      <c r="F279" s="56"/>
      <c r="G279" s="14"/>
      <c r="H279" s="56"/>
      <c r="I279" s="14"/>
      <c r="J279" s="14"/>
      <c r="K279" s="14"/>
      <c r="L279" s="14"/>
      <c r="M279" s="14"/>
      <c r="N279" s="14"/>
      <c r="O279" s="14"/>
      <c r="P279" s="14"/>
      <c r="Q279" s="14"/>
      <c r="R279" s="14"/>
      <c r="S279" s="14"/>
      <c r="T279" s="14"/>
      <c r="U279" s="14"/>
      <c r="V279" s="14"/>
      <c r="W279" s="14"/>
      <c r="X279" s="14"/>
      <c r="Y279" s="14"/>
      <c r="Z279" s="14"/>
      <c r="AA279" s="15"/>
      <c r="AB279" s="3"/>
      <c r="AC279" s="3"/>
      <c r="AD279" s="3"/>
      <c r="AE279" s="3"/>
      <c r="AF279" s="3"/>
      <c r="AG279" s="3"/>
      <c r="AH279" s="3"/>
      <c r="AI279" s="3"/>
      <c r="AJ279" s="3"/>
      <c r="AK279" s="3"/>
      <c r="AL279" s="3"/>
      <c r="AM279" s="3"/>
      <c r="AN279" s="3"/>
      <c r="AO279" s="3"/>
    </row>
    <row r="280" spans="2:41" s="171" customFormat="1" ht="18.75" x14ac:dyDescent="0.3">
      <c r="B280" s="67"/>
      <c r="C280" s="14"/>
      <c r="D280" s="60"/>
      <c r="E280" s="56"/>
      <c r="F280" s="56"/>
      <c r="G280" s="14"/>
      <c r="H280" s="14"/>
      <c r="I280" s="74"/>
      <c r="J280" s="14"/>
      <c r="K280" s="14"/>
      <c r="L280" s="14"/>
      <c r="M280" s="14"/>
      <c r="N280" s="14"/>
      <c r="O280" s="14"/>
      <c r="P280" s="14"/>
      <c r="Q280" s="14"/>
      <c r="R280" s="14"/>
      <c r="S280" s="14"/>
      <c r="T280" s="14"/>
      <c r="U280" s="14"/>
      <c r="V280" s="14"/>
      <c r="W280" s="14"/>
      <c r="X280" s="14"/>
      <c r="Y280" s="14"/>
      <c r="Z280" s="14"/>
      <c r="AA280" s="15"/>
      <c r="AB280" s="3"/>
      <c r="AC280" s="3"/>
      <c r="AD280" s="3"/>
      <c r="AE280" s="3"/>
      <c r="AF280" s="3"/>
      <c r="AG280" s="3"/>
      <c r="AH280" s="3"/>
      <c r="AI280" s="3"/>
      <c r="AJ280" s="3"/>
      <c r="AK280" s="3"/>
      <c r="AL280" s="3"/>
      <c r="AM280" s="3"/>
      <c r="AN280" s="3"/>
      <c r="AO280" s="3"/>
    </row>
    <row r="281" spans="2:41" s="171" customFormat="1" x14ac:dyDescent="0.25">
      <c r="B281" s="13"/>
      <c r="C281" s="14"/>
      <c r="D281" s="60"/>
      <c r="E281" s="56"/>
      <c r="F281" s="56"/>
      <c r="G281" s="14"/>
      <c r="H281" s="56"/>
      <c r="I281" s="14"/>
      <c r="J281" s="14"/>
      <c r="K281" s="14"/>
      <c r="L281" s="14"/>
      <c r="M281" s="14"/>
      <c r="N281" s="14"/>
      <c r="O281" s="14"/>
      <c r="P281" s="14"/>
      <c r="Q281" s="14"/>
      <c r="R281" s="14"/>
      <c r="S281" s="14"/>
      <c r="T281" s="14"/>
      <c r="U281" s="14"/>
      <c r="V281" s="14"/>
      <c r="W281" s="14"/>
      <c r="X281" s="14"/>
      <c r="Y281" s="14"/>
      <c r="Z281" s="14"/>
      <c r="AA281" s="15"/>
      <c r="AB281" s="3"/>
      <c r="AC281" s="3"/>
      <c r="AD281" s="3"/>
      <c r="AE281" s="3"/>
      <c r="AF281" s="3"/>
      <c r="AG281" s="3"/>
      <c r="AH281" s="3"/>
      <c r="AI281" s="3"/>
      <c r="AJ281" s="3"/>
      <c r="AK281" s="3"/>
      <c r="AL281" s="3"/>
      <c r="AM281" s="3"/>
      <c r="AN281" s="3"/>
      <c r="AO281" s="3"/>
    </row>
    <row r="282" spans="2:41" s="171" customFormat="1" x14ac:dyDescent="0.25">
      <c r="B282" s="13"/>
      <c r="C282" s="14"/>
      <c r="D282" s="60"/>
      <c r="E282" s="56"/>
      <c r="F282" s="56"/>
      <c r="G282" s="14"/>
      <c r="H282" s="56"/>
      <c r="I282" s="14"/>
      <c r="J282" s="14"/>
      <c r="K282" s="14"/>
      <c r="L282" s="14"/>
      <c r="M282" s="14"/>
      <c r="N282" s="14"/>
      <c r="O282" s="14"/>
      <c r="P282" s="14"/>
      <c r="Q282" s="14"/>
      <c r="R282" s="14"/>
      <c r="S282" s="14"/>
      <c r="T282" s="14"/>
      <c r="U282" s="14"/>
      <c r="V282" s="14"/>
      <c r="W282" s="14"/>
      <c r="X282" s="14"/>
      <c r="Y282" s="14"/>
      <c r="Z282" s="14"/>
      <c r="AA282" s="15"/>
      <c r="AB282" s="3"/>
      <c r="AC282" s="3"/>
      <c r="AD282" s="3"/>
      <c r="AE282" s="3"/>
      <c r="AF282" s="3"/>
      <c r="AG282" s="3"/>
      <c r="AH282" s="3"/>
      <c r="AI282" s="3"/>
      <c r="AJ282" s="3"/>
      <c r="AK282" s="3"/>
      <c r="AL282" s="3"/>
      <c r="AM282" s="3"/>
      <c r="AN282" s="3"/>
      <c r="AO282" s="3"/>
    </row>
    <row r="283" spans="2:41" s="171" customFormat="1" x14ac:dyDescent="0.25">
      <c r="B283" s="13"/>
      <c r="C283" s="14"/>
      <c r="D283" s="60"/>
      <c r="E283" s="56"/>
      <c r="F283" s="56"/>
      <c r="G283" s="14"/>
      <c r="H283" s="56"/>
      <c r="I283" s="14"/>
      <c r="J283" s="14"/>
      <c r="K283" s="14"/>
      <c r="L283" s="14"/>
      <c r="M283" s="14"/>
      <c r="N283" s="14"/>
      <c r="O283" s="14"/>
      <c r="P283" s="14"/>
      <c r="Q283" s="14"/>
      <c r="R283" s="14"/>
      <c r="S283" s="14"/>
      <c r="T283" s="14"/>
      <c r="U283" s="14"/>
      <c r="V283" s="14"/>
      <c r="W283" s="14"/>
      <c r="X283" s="14"/>
      <c r="Y283" s="14"/>
      <c r="Z283" s="14"/>
      <c r="AA283" s="15"/>
      <c r="AB283" s="3"/>
      <c r="AC283" s="3"/>
      <c r="AD283" s="3"/>
      <c r="AE283" s="3"/>
      <c r="AF283" s="3"/>
      <c r="AG283" s="3"/>
      <c r="AH283" s="3"/>
      <c r="AI283" s="3"/>
      <c r="AJ283" s="3"/>
      <c r="AK283" s="3"/>
      <c r="AL283" s="3"/>
      <c r="AM283" s="3"/>
      <c r="AN283" s="3"/>
      <c r="AO283" s="3"/>
    </row>
    <row r="284" spans="2:41" s="171" customFormat="1" x14ac:dyDescent="0.25">
      <c r="B284" s="13"/>
      <c r="C284" s="56"/>
      <c r="D284" s="60"/>
      <c r="E284" s="56"/>
      <c r="F284" s="56"/>
      <c r="G284" s="56"/>
      <c r="H284" s="56"/>
      <c r="I284" s="14"/>
      <c r="J284" s="14"/>
      <c r="K284" s="14"/>
      <c r="L284" s="14"/>
      <c r="M284" s="14"/>
      <c r="N284" s="14"/>
      <c r="O284" s="14"/>
      <c r="P284" s="14"/>
      <c r="Q284" s="14"/>
      <c r="R284" s="14"/>
      <c r="S284" s="14"/>
      <c r="T284" s="14"/>
      <c r="U284" s="14"/>
      <c r="V284" s="14"/>
      <c r="W284" s="14"/>
      <c r="X284" s="14"/>
      <c r="Y284" s="14"/>
      <c r="Z284" s="14"/>
      <c r="AA284" s="15"/>
      <c r="AB284" s="3"/>
      <c r="AC284" s="3"/>
      <c r="AD284" s="3"/>
      <c r="AE284" s="3"/>
      <c r="AF284" s="3"/>
      <c r="AG284" s="3"/>
      <c r="AH284" s="3"/>
      <c r="AI284" s="3"/>
      <c r="AJ284" s="3"/>
      <c r="AK284" s="3"/>
      <c r="AL284" s="3"/>
      <c r="AM284" s="3"/>
      <c r="AN284" s="3"/>
      <c r="AO284" s="3"/>
    </row>
    <row r="285" spans="2:41" s="171" customFormat="1" x14ac:dyDescent="0.25">
      <c r="B285" s="13"/>
      <c r="C285" s="14"/>
      <c r="D285" s="60"/>
      <c r="E285" s="56"/>
      <c r="F285" s="56"/>
      <c r="G285" s="14"/>
      <c r="H285" s="56"/>
      <c r="I285" s="14"/>
      <c r="J285" s="14"/>
      <c r="K285" s="14"/>
      <c r="L285" s="14"/>
      <c r="M285" s="14"/>
      <c r="N285" s="14"/>
      <c r="O285" s="14"/>
      <c r="P285" s="14"/>
      <c r="Q285" s="14"/>
      <c r="R285" s="14"/>
      <c r="S285" s="14"/>
      <c r="T285" s="14"/>
      <c r="U285" s="14"/>
      <c r="V285" s="14"/>
      <c r="W285" s="14"/>
      <c r="X285" s="14"/>
      <c r="Y285" s="14"/>
      <c r="Z285" s="14"/>
      <c r="AA285" s="15"/>
      <c r="AB285" s="3"/>
      <c r="AC285" s="3"/>
      <c r="AD285" s="3"/>
      <c r="AE285" s="3"/>
      <c r="AF285" s="3"/>
      <c r="AG285" s="3"/>
      <c r="AH285" s="3"/>
      <c r="AI285" s="3"/>
      <c r="AJ285" s="3"/>
      <c r="AK285" s="3"/>
      <c r="AL285" s="3"/>
      <c r="AM285" s="3"/>
      <c r="AN285" s="3"/>
      <c r="AO285" s="3"/>
    </row>
    <row r="286" spans="2:41" s="171" customFormat="1" x14ac:dyDescent="0.25">
      <c r="B286" s="13"/>
      <c r="C286" s="14"/>
      <c r="D286" s="14"/>
      <c r="E286" s="56"/>
      <c r="F286" s="56"/>
      <c r="G286" s="14"/>
      <c r="H286" s="56"/>
      <c r="I286" s="14"/>
      <c r="J286" s="14"/>
      <c r="K286" s="14"/>
      <c r="L286" s="14"/>
      <c r="M286" s="14"/>
      <c r="N286" s="14"/>
      <c r="O286" s="14"/>
      <c r="P286" s="14"/>
      <c r="Q286" s="14"/>
      <c r="R286" s="14"/>
      <c r="S286" s="14"/>
      <c r="T286" s="14"/>
      <c r="U286" s="14"/>
      <c r="V286" s="14"/>
      <c r="W286" s="14"/>
      <c r="X286" s="14"/>
      <c r="Y286" s="14"/>
      <c r="Z286" s="14"/>
      <c r="AA286" s="15"/>
      <c r="AB286" s="3"/>
      <c r="AC286" s="3"/>
      <c r="AD286" s="3"/>
      <c r="AE286" s="3"/>
      <c r="AF286" s="3"/>
      <c r="AG286" s="3"/>
      <c r="AH286" s="3"/>
      <c r="AI286" s="3"/>
      <c r="AJ286" s="3"/>
      <c r="AK286" s="3"/>
      <c r="AL286" s="3"/>
      <c r="AM286" s="3"/>
      <c r="AN286" s="3"/>
      <c r="AO286" s="3"/>
    </row>
    <row r="287" spans="2:41" s="171" customFormat="1" x14ac:dyDescent="0.25">
      <c r="B287" s="13"/>
      <c r="C287" s="14"/>
      <c r="D287" s="60"/>
      <c r="E287" s="56"/>
      <c r="F287" s="56"/>
      <c r="G287" s="14"/>
      <c r="H287" s="14"/>
      <c r="I287" s="14"/>
      <c r="J287" s="14"/>
      <c r="K287" s="14"/>
      <c r="L287" s="14"/>
      <c r="M287" s="14"/>
      <c r="N287" s="14"/>
      <c r="O287" s="14"/>
      <c r="P287" s="14"/>
      <c r="Q287" s="14"/>
      <c r="R287" s="14"/>
      <c r="S287" s="14"/>
      <c r="T287" s="14"/>
      <c r="U287" s="14"/>
      <c r="V287" s="14"/>
      <c r="W287" s="14"/>
      <c r="X287" s="14"/>
      <c r="Y287" s="14"/>
      <c r="Z287" s="14"/>
      <c r="AA287" s="15"/>
      <c r="AB287" s="3"/>
      <c r="AC287" s="3"/>
      <c r="AD287" s="3"/>
      <c r="AE287" s="3"/>
      <c r="AF287" s="3"/>
      <c r="AG287" s="3"/>
      <c r="AH287" s="3"/>
      <c r="AI287" s="3"/>
      <c r="AJ287" s="3"/>
      <c r="AK287" s="3"/>
      <c r="AL287" s="3"/>
      <c r="AM287" s="3"/>
      <c r="AN287" s="3"/>
      <c r="AO287" s="3"/>
    </row>
    <row r="288" spans="2:41" s="171" customFormat="1" ht="18.75" x14ac:dyDescent="0.3">
      <c r="B288" s="67"/>
      <c r="C288" s="14"/>
      <c r="D288" s="60"/>
      <c r="E288" s="56"/>
      <c r="F288" s="56"/>
      <c r="G288" s="14"/>
      <c r="H288" s="56"/>
      <c r="I288" s="74"/>
      <c r="J288" s="14"/>
      <c r="K288" s="14"/>
      <c r="L288" s="14"/>
      <c r="M288" s="14"/>
      <c r="N288" s="14"/>
      <c r="O288" s="14"/>
      <c r="P288" s="14"/>
      <c r="Q288" s="14"/>
      <c r="R288" s="14"/>
      <c r="S288" s="14"/>
      <c r="T288" s="14"/>
      <c r="U288" s="14"/>
      <c r="V288" s="14"/>
      <c r="W288" s="14"/>
      <c r="X288" s="14"/>
      <c r="Y288" s="14"/>
      <c r="Z288" s="14"/>
      <c r="AA288" s="15"/>
      <c r="AB288" s="3"/>
      <c r="AC288" s="3"/>
      <c r="AD288" s="3"/>
      <c r="AE288" s="3"/>
      <c r="AF288" s="3"/>
      <c r="AG288" s="3"/>
      <c r="AH288" s="3"/>
      <c r="AI288" s="3"/>
      <c r="AJ288" s="3"/>
      <c r="AK288" s="3"/>
      <c r="AL288" s="3"/>
      <c r="AM288" s="3"/>
      <c r="AN288" s="3"/>
      <c r="AO288" s="3"/>
    </row>
    <row r="289" spans="2:41" s="171" customFormat="1" x14ac:dyDescent="0.25">
      <c r="B289" s="13"/>
      <c r="C289" s="14"/>
      <c r="D289" s="60"/>
      <c r="E289" s="56"/>
      <c r="F289" s="56"/>
      <c r="G289" s="14"/>
      <c r="H289" s="56"/>
      <c r="I289" s="14"/>
      <c r="J289" s="14"/>
      <c r="K289" s="14"/>
      <c r="L289" s="14"/>
      <c r="M289" s="14"/>
      <c r="N289" s="14"/>
      <c r="O289" s="14"/>
      <c r="P289" s="14"/>
      <c r="Q289" s="14"/>
      <c r="R289" s="14"/>
      <c r="S289" s="14"/>
      <c r="T289" s="14"/>
      <c r="U289" s="14"/>
      <c r="V289" s="14"/>
      <c r="W289" s="14"/>
      <c r="X289" s="14"/>
      <c r="Y289" s="14"/>
      <c r="Z289" s="14"/>
      <c r="AA289" s="15"/>
      <c r="AB289" s="3"/>
      <c r="AC289" s="3"/>
      <c r="AD289" s="3"/>
      <c r="AE289" s="3"/>
      <c r="AF289" s="3"/>
      <c r="AG289" s="3"/>
      <c r="AH289" s="3"/>
      <c r="AI289" s="3"/>
      <c r="AJ289" s="3"/>
      <c r="AK289" s="3"/>
      <c r="AL289" s="3"/>
      <c r="AM289" s="3"/>
      <c r="AN289" s="3"/>
      <c r="AO289" s="3"/>
    </row>
    <row r="290" spans="2:41" s="171" customFormat="1" x14ac:dyDescent="0.25">
      <c r="B290" s="13"/>
      <c r="C290" s="14"/>
      <c r="D290" s="60"/>
      <c r="E290" s="56"/>
      <c r="F290" s="56"/>
      <c r="G290" s="14"/>
      <c r="H290" s="56"/>
      <c r="I290" s="14"/>
      <c r="J290" s="14"/>
      <c r="K290" s="14"/>
      <c r="L290" s="14"/>
      <c r="M290" s="14"/>
      <c r="N290" s="14"/>
      <c r="O290" s="14"/>
      <c r="P290" s="14"/>
      <c r="Q290" s="14"/>
      <c r="R290" s="14"/>
      <c r="S290" s="14"/>
      <c r="T290" s="14"/>
      <c r="U290" s="14"/>
      <c r="V290" s="14"/>
      <c r="W290" s="14"/>
      <c r="X290" s="14"/>
      <c r="Y290" s="14"/>
      <c r="Z290" s="14"/>
      <c r="AA290" s="15"/>
      <c r="AB290" s="3"/>
      <c r="AC290" s="3"/>
      <c r="AD290" s="3"/>
      <c r="AE290" s="3"/>
      <c r="AF290" s="3"/>
      <c r="AG290" s="3"/>
      <c r="AH290" s="3"/>
      <c r="AI290" s="3"/>
      <c r="AJ290" s="3"/>
      <c r="AK290" s="3"/>
      <c r="AL290" s="3"/>
      <c r="AM290" s="3"/>
      <c r="AN290" s="3"/>
      <c r="AO290" s="3"/>
    </row>
    <row r="291" spans="2:41" s="171" customFormat="1" x14ac:dyDescent="0.25">
      <c r="B291" s="13"/>
      <c r="C291" s="56"/>
      <c r="D291" s="60"/>
      <c r="E291" s="56"/>
      <c r="F291" s="56"/>
      <c r="G291" s="56"/>
      <c r="H291" s="56"/>
      <c r="I291" s="14"/>
      <c r="J291" s="14"/>
      <c r="K291" s="14"/>
      <c r="L291" s="14"/>
      <c r="M291" s="14"/>
      <c r="N291" s="14"/>
      <c r="O291" s="14"/>
      <c r="P291" s="14"/>
      <c r="Q291" s="14"/>
      <c r="R291" s="14"/>
      <c r="S291" s="14"/>
      <c r="T291" s="14"/>
      <c r="U291" s="14"/>
      <c r="V291" s="14"/>
      <c r="W291" s="14"/>
      <c r="X291" s="14"/>
      <c r="Y291" s="14"/>
      <c r="Z291" s="14"/>
      <c r="AA291" s="15"/>
      <c r="AB291" s="3"/>
      <c r="AC291" s="3"/>
      <c r="AD291" s="3"/>
      <c r="AE291" s="3"/>
      <c r="AF291" s="3"/>
      <c r="AG291" s="3"/>
      <c r="AH291" s="3"/>
      <c r="AI291" s="3"/>
      <c r="AJ291" s="3"/>
      <c r="AK291" s="3"/>
      <c r="AL291" s="3"/>
      <c r="AM291" s="3"/>
      <c r="AN291" s="3"/>
      <c r="AO291" s="3"/>
    </row>
    <row r="292" spans="2:41" s="171" customFormat="1" x14ac:dyDescent="0.25">
      <c r="B292" s="13"/>
      <c r="C292" s="14"/>
      <c r="D292" s="60"/>
      <c r="E292" s="56"/>
      <c r="F292" s="56"/>
      <c r="G292" s="14"/>
      <c r="H292" s="56"/>
      <c r="I292" s="14"/>
      <c r="J292" s="14"/>
      <c r="K292" s="14"/>
      <c r="L292" s="14"/>
      <c r="M292" s="14"/>
      <c r="N292" s="14"/>
      <c r="O292" s="14"/>
      <c r="P292" s="14"/>
      <c r="Q292" s="14"/>
      <c r="R292" s="14"/>
      <c r="S292" s="14"/>
      <c r="T292" s="14"/>
      <c r="U292" s="14"/>
      <c r="V292" s="14"/>
      <c r="W292" s="14"/>
      <c r="X292" s="14"/>
      <c r="Y292" s="14"/>
      <c r="Z292" s="14"/>
      <c r="AA292" s="15"/>
      <c r="AB292" s="3"/>
      <c r="AC292" s="3"/>
      <c r="AD292" s="3"/>
      <c r="AE292" s="3"/>
      <c r="AF292" s="3"/>
      <c r="AG292" s="3"/>
      <c r="AH292" s="3"/>
      <c r="AI292" s="3"/>
      <c r="AJ292" s="3"/>
      <c r="AK292" s="3"/>
      <c r="AL292" s="3"/>
      <c r="AM292" s="3"/>
      <c r="AN292" s="3"/>
      <c r="AO292" s="3"/>
    </row>
    <row r="293" spans="2:41" s="171" customFormat="1" x14ac:dyDescent="0.25">
      <c r="B293" s="13"/>
      <c r="C293" s="14"/>
      <c r="D293" s="14"/>
      <c r="E293" s="56"/>
      <c r="F293" s="56"/>
      <c r="G293" s="14"/>
      <c r="H293" s="56"/>
      <c r="I293" s="14"/>
      <c r="J293" s="14"/>
      <c r="K293" s="14"/>
      <c r="L293" s="14"/>
      <c r="M293" s="14"/>
      <c r="N293" s="14"/>
      <c r="O293" s="14"/>
      <c r="P293" s="14"/>
      <c r="Q293" s="14"/>
      <c r="R293" s="14"/>
      <c r="S293" s="14"/>
      <c r="T293" s="14"/>
      <c r="U293" s="14"/>
      <c r="V293" s="14"/>
      <c r="W293" s="14"/>
      <c r="X293" s="14"/>
      <c r="Y293" s="14"/>
      <c r="Z293" s="14"/>
      <c r="AA293" s="15"/>
      <c r="AB293" s="3"/>
      <c r="AC293" s="3"/>
      <c r="AD293" s="3"/>
      <c r="AE293" s="3"/>
      <c r="AF293" s="3"/>
      <c r="AG293" s="3"/>
      <c r="AH293" s="3"/>
      <c r="AI293" s="3"/>
      <c r="AJ293" s="3"/>
      <c r="AK293" s="3"/>
      <c r="AL293" s="3"/>
      <c r="AM293" s="3"/>
      <c r="AN293" s="3"/>
      <c r="AO293" s="3"/>
    </row>
    <row r="294" spans="2:41" s="171" customFormat="1" x14ac:dyDescent="0.25">
      <c r="B294" s="13"/>
      <c r="C294" s="14"/>
      <c r="D294" s="60"/>
      <c r="E294" s="56"/>
      <c r="F294" s="56"/>
      <c r="G294" s="14"/>
      <c r="H294" s="14"/>
      <c r="I294" s="14"/>
      <c r="J294" s="14"/>
      <c r="K294" s="14"/>
      <c r="L294" s="14"/>
      <c r="M294" s="14"/>
      <c r="N294" s="14"/>
      <c r="O294" s="14"/>
      <c r="P294" s="14"/>
      <c r="Q294" s="14"/>
      <c r="R294" s="14"/>
      <c r="S294" s="14"/>
      <c r="T294" s="14"/>
      <c r="U294" s="14"/>
      <c r="V294" s="14"/>
      <c r="W294" s="14"/>
      <c r="X294" s="14"/>
      <c r="Y294" s="14"/>
      <c r="Z294" s="14"/>
      <c r="AA294" s="15"/>
      <c r="AB294" s="3"/>
      <c r="AC294" s="3"/>
      <c r="AD294" s="3"/>
      <c r="AE294" s="3"/>
      <c r="AF294" s="3"/>
      <c r="AG294" s="3"/>
      <c r="AH294" s="3"/>
      <c r="AI294" s="3"/>
      <c r="AJ294" s="3"/>
      <c r="AK294" s="3"/>
      <c r="AL294" s="3"/>
      <c r="AM294" s="3"/>
      <c r="AN294" s="3"/>
      <c r="AO294" s="3"/>
    </row>
    <row r="295" spans="2:41" s="171" customFormat="1" x14ac:dyDescent="0.25">
      <c r="B295" s="13"/>
      <c r="C295" s="14"/>
      <c r="D295" s="60"/>
      <c r="E295" s="56"/>
      <c r="F295" s="56"/>
      <c r="G295" s="14"/>
      <c r="H295" s="56"/>
      <c r="I295" s="14"/>
      <c r="J295" s="14"/>
      <c r="K295" s="14"/>
      <c r="L295" s="14"/>
      <c r="M295" s="14"/>
      <c r="N295" s="14"/>
      <c r="O295" s="14"/>
      <c r="P295" s="14"/>
      <c r="Q295" s="14"/>
      <c r="R295" s="14"/>
      <c r="S295" s="14"/>
      <c r="T295" s="14"/>
      <c r="U295" s="14"/>
      <c r="V295" s="14"/>
      <c r="W295" s="14"/>
      <c r="X295" s="14"/>
      <c r="Y295" s="14"/>
      <c r="Z295" s="14"/>
      <c r="AA295" s="15"/>
      <c r="AB295" s="3"/>
      <c r="AC295" s="3"/>
      <c r="AD295" s="3"/>
      <c r="AE295" s="3"/>
      <c r="AF295" s="3"/>
      <c r="AG295" s="3"/>
      <c r="AH295" s="3"/>
      <c r="AI295" s="3"/>
      <c r="AJ295" s="3"/>
      <c r="AK295" s="3"/>
      <c r="AL295" s="3"/>
      <c r="AM295" s="3"/>
      <c r="AN295" s="3"/>
      <c r="AO295" s="3"/>
    </row>
    <row r="296" spans="2:41" s="171" customFormat="1" ht="18.75" x14ac:dyDescent="0.3">
      <c r="B296" s="67"/>
      <c r="C296" s="14"/>
      <c r="D296" s="60"/>
      <c r="E296" s="56"/>
      <c r="F296" s="56"/>
      <c r="G296" s="14"/>
      <c r="H296" s="56"/>
      <c r="I296" s="74"/>
      <c r="J296" s="14"/>
      <c r="K296" s="14"/>
      <c r="L296" s="14"/>
      <c r="M296" s="14"/>
      <c r="N296" s="14"/>
      <c r="O296" s="14"/>
      <c r="P296" s="14"/>
      <c r="Q296" s="14"/>
      <c r="R296" s="14"/>
      <c r="S296" s="14"/>
      <c r="T296" s="14"/>
      <c r="U296" s="14"/>
      <c r="V296" s="14"/>
      <c r="W296" s="14"/>
      <c r="X296" s="14"/>
      <c r="Y296" s="14"/>
      <c r="Z296" s="14"/>
      <c r="AA296" s="15"/>
      <c r="AB296" s="3"/>
      <c r="AC296" s="3"/>
      <c r="AD296" s="3"/>
      <c r="AE296" s="3"/>
      <c r="AF296" s="3"/>
      <c r="AG296" s="3"/>
      <c r="AH296" s="3"/>
      <c r="AI296" s="3"/>
      <c r="AJ296" s="3"/>
      <c r="AK296" s="3"/>
      <c r="AL296" s="3"/>
      <c r="AM296" s="3"/>
      <c r="AN296" s="3"/>
      <c r="AO296" s="3"/>
    </row>
    <row r="297" spans="2:41" s="171" customFormat="1" x14ac:dyDescent="0.25">
      <c r="B297" s="13"/>
      <c r="C297" s="14"/>
      <c r="D297" s="60"/>
      <c r="E297" s="56"/>
      <c r="F297" s="56"/>
      <c r="G297" s="14"/>
      <c r="H297" s="56"/>
      <c r="I297" s="14"/>
      <c r="J297" s="14"/>
      <c r="K297" s="14"/>
      <c r="L297" s="14"/>
      <c r="M297" s="14"/>
      <c r="N297" s="14"/>
      <c r="O297" s="14"/>
      <c r="P297" s="14"/>
      <c r="Q297" s="14"/>
      <c r="R297" s="14"/>
      <c r="S297" s="14"/>
      <c r="T297" s="14"/>
      <c r="U297" s="14"/>
      <c r="V297" s="14"/>
      <c r="W297" s="14"/>
      <c r="X297" s="14"/>
      <c r="Y297" s="14"/>
      <c r="Z297" s="14"/>
      <c r="AA297" s="15"/>
      <c r="AB297" s="3"/>
      <c r="AC297" s="3"/>
      <c r="AD297" s="3"/>
      <c r="AE297" s="3"/>
      <c r="AF297" s="3"/>
      <c r="AG297" s="3"/>
      <c r="AH297" s="3"/>
      <c r="AI297" s="3"/>
      <c r="AJ297" s="3"/>
      <c r="AK297" s="3"/>
      <c r="AL297" s="3"/>
      <c r="AM297" s="3"/>
      <c r="AN297" s="3"/>
      <c r="AO297" s="3"/>
    </row>
    <row r="298" spans="2:41" s="171" customFormat="1" x14ac:dyDescent="0.25">
      <c r="B298" s="13"/>
      <c r="C298" s="56"/>
      <c r="D298" s="60"/>
      <c r="E298" s="56"/>
      <c r="F298" s="56"/>
      <c r="G298" s="56"/>
      <c r="H298" s="56"/>
      <c r="I298" s="14"/>
      <c r="J298" s="14"/>
      <c r="K298" s="14"/>
      <c r="L298" s="14"/>
      <c r="M298" s="14"/>
      <c r="N298" s="14"/>
      <c r="O298" s="14"/>
      <c r="P298" s="14"/>
      <c r="Q298" s="14"/>
      <c r="R298" s="14"/>
      <c r="S298" s="14"/>
      <c r="T298" s="14"/>
      <c r="U298" s="14"/>
      <c r="V298" s="14"/>
      <c r="W298" s="14"/>
      <c r="X298" s="14"/>
      <c r="Y298" s="14"/>
      <c r="Z298" s="14"/>
      <c r="AA298" s="15"/>
      <c r="AB298" s="3"/>
      <c r="AC298" s="3"/>
      <c r="AD298" s="3"/>
      <c r="AE298" s="3"/>
      <c r="AF298" s="3"/>
      <c r="AG298" s="3"/>
      <c r="AH298" s="3"/>
      <c r="AI298" s="3"/>
      <c r="AJ298" s="3"/>
      <c r="AK298" s="3"/>
      <c r="AL298" s="3"/>
      <c r="AM298" s="3"/>
      <c r="AN298" s="3"/>
      <c r="AO298" s="3"/>
    </row>
    <row r="299" spans="2:41" s="171" customFormat="1" x14ac:dyDescent="0.25">
      <c r="B299" s="13"/>
      <c r="C299" s="14"/>
      <c r="D299" s="60"/>
      <c r="E299" s="56"/>
      <c r="F299" s="56"/>
      <c r="G299" s="14"/>
      <c r="H299" s="56"/>
      <c r="I299" s="14"/>
      <c r="J299" s="14"/>
      <c r="K299" s="14"/>
      <c r="L299" s="14"/>
      <c r="M299" s="14"/>
      <c r="N299" s="14"/>
      <c r="O299" s="14"/>
      <c r="P299" s="14"/>
      <c r="Q299" s="14"/>
      <c r="R299" s="14"/>
      <c r="S299" s="14"/>
      <c r="T299" s="14"/>
      <c r="U299" s="14"/>
      <c r="V299" s="14"/>
      <c r="W299" s="14"/>
      <c r="X299" s="14"/>
      <c r="Y299" s="14"/>
      <c r="Z299" s="14"/>
      <c r="AA299" s="15"/>
      <c r="AB299" s="3"/>
      <c r="AC299" s="3"/>
      <c r="AD299" s="3"/>
      <c r="AE299" s="3"/>
      <c r="AF299" s="3"/>
      <c r="AG299" s="3"/>
      <c r="AH299" s="3"/>
      <c r="AI299" s="3"/>
      <c r="AJ299" s="3"/>
      <c r="AK299" s="3"/>
      <c r="AL299" s="3"/>
      <c r="AM299" s="3"/>
      <c r="AN299" s="3"/>
      <c r="AO299" s="3"/>
    </row>
    <row r="300" spans="2:41" s="171" customFormat="1" x14ac:dyDescent="0.25">
      <c r="B300" s="13"/>
      <c r="C300" s="14"/>
      <c r="D300" s="14"/>
      <c r="E300" s="56"/>
      <c r="F300" s="56"/>
      <c r="G300" s="14"/>
      <c r="H300" s="56"/>
      <c r="I300" s="14"/>
      <c r="J300" s="14"/>
      <c r="K300" s="14"/>
      <c r="L300" s="14"/>
      <c r="M300" s="14"/>
      <c r="N300" s="14"/>
      <c r="O300" s="14"/>
      <c r="P300" s="14"/>
      <c r="Q300" s="14"/>
      <c r="R300" s="14"/>
      <c r="S300" s="14"/>
      <c r="T300" s="14"/>
      <c r="U300" s="14"/>
      <c r="V300" s="14"/>
      <c r="W300" s="14"/>
      <c r="X300" s="14"/>
      <c r="Y300" s="14"/>
      <c r="Z300" s="14"/>
      <c r="AA300" s="15"/>
      <c r="AB300" s="3"/>
      <c r="AC300" s="3"/>
      <c r="AD300" s="3"/>
      <c r="AE300" s="3"/>
      <c r="AF300" s="3"/>
      <c r="AG300" s="3"/>
      <c r="AH300" s="3"/>
      <c r="AI300" s="3"/>
      <c r="AJ300" s="3"/>
      <c r="AK300" s="3"/>
      <c r="AL300" s="3"/>
      <c r="AM300" s="3"/>
      <c r="AN300" s="3"/>
      <c r="AO300" s="3"/>
    </row>
    <row r="301" spans="2:41" s="171" customFormat="1" x14ac:dyDescent="0.25">
      <c r="B301" s="13"/>
      <c r="C301" s="14"/>
      <c r="D301" s="60"/>
      <c r="E301" s="56"/>
      <c r="F301" s="56"/>
      <c r="G301" s="14"/>
      <c r="H301" s="14"/>
      <c r="I301" s="14"/>
      <c r="J301" s="14"/>
      <c r="K301" s="14"/>
      <c r="L301" s="14"/>
      <c r="M301" s="14"/>
      <c r="N301" s="14"/>
      <c r="O301" s="14"/>
      <c r="P301" s="14"/>
      <c r="Q301" s="14"/>
      <c r="R301" s="14"/>
      <c r="S301" s="14"/>
      <c r="T301" s="14"/>
      <c r="U301" s="14"/>
      <c r="V301" s="14"/>
      <c r="W301" s="14"/>
      <c r="X301" s="14"/>
      <c r="Y301" s="14"/>
      <c r="Z301" s="14"/>
      <c r="AA301" s="15"/>
      <c r="AB301" s="3"/>
      <c r="AC301" s="3"/>
      <c r="AD301" s="3"/>
      <c r="AE301" s="3"/>
      <c r="AF301" s="3"/>
      <c r="AG301" s="3"/>
      <c r="AH301" s="3"/>
      <c r="AI301" s="3"/>
      <c r="AJ301" s="3"/>
      <c r="AK301" s="3"/>
      <c r="AL301" s="3"/>
      <c r="AM301" s="3"/>
      <c r="AN301" s="3"/>
      <c r="AO301" s="3"/>
    </row>
    <row r="302" spans="2:41" s="171" customFormat="1" x14ac:dyDescent="0.25">
      <c r="B302" s="13"/>
      <c r="C302" s="14"/>
      <c r="D302" s="60"/>
      <c r="E302" s="56"/>
      <c r="F302" s="56"/>
      <c r="G302" s="14"/>
      <c r="H302" s="56"/>
      <c r="I302" s="14"/>
      <c r="J302" s="14"/>
      <c r="K302" s="14"/>
      <c r="L302" s="14"/>
      <c r="M302" s="14"/>
      <c r="N302" s="14"/>
      <c r="O302" s="14"/>
      <c r="P302" s="14"/>
      <c r="Q302" s="14"/>
      <c r="R302" s="14"/>
      <c r="S302" s="14"/>
      <c r="T302" s="14"/>
      <c r="U302" s="14"/>
      <c r="V302" s="14"/>
      <c r="W302" s="14"/>
      <c r="X302" s="14"/>
      <c r="Y302" s="14"/>
      <c r="Z302" s="14"/>
      <c r="AA302" s="15"/>
      <c r="AB302" s="3"/>
      <c r="AC302" s="3"/>
      <c r="AD302" s="3"/>
      <c r="AE302" s="3"/>
      <c r="AF302" s="3"/>
      <c r="AG302" s="3"/>
      <c r="AH302" s="3"/>
      <c r="AI302" s="3"/>
      <c r="AJ302" s="3"/>
      <c r="AK302" s="3"/>
      <c r="AL302" s="3"/>
      <c r="AM302" s="3"/>
      <c r="AN302" s="3"/>
      <c r="AO302" s="3"/>
    </row>
    <row r="303" spans="2:41" s="171" customFormat="1" x14ac:dyDescent="0.25">
      <c r="B303" s="13"/>
      <c r="C303" s="14"/>
      <c r="D303" s="60"/>
      <c r="E303" s="56"/>
      <c r="F303" s="56"/>
      <c r="G303" s="14"/>
      <c r="H303" s="56"/>
      <c r="I303" s="14"/>
      <c r="J303" s="14"/>
      <c r="K303" s="14"/>
      <c r="L303" s="14"/>
      <c r="M303" s="14"/>
      <c r="N303" s="14"/>
      <c r="O303" s="14"/>
      <c r="P303" s="14"/>
      <c r="Q303" s="14"/>
      <c r="R303" s="14"/>
      <c r="S303" s="14"/>
      <c r="T303" s="14"/>
      <c r="U303" s="14"/>
      <c r="V303" s="14"/>
      <c r="W303" s="14"/>
      <c r="X303" s="14"/>
      <c r="Y303" s="14"/>
      <c r="Z303" s="14"/>
      <c r="AA303" s="15"/>
      <c r="AB303" s="3"/>
      <c r="AC303" s="3"/>
      <c r="AD303" s="3"/>
      <c r="AE303" s="3"/>
      <c r="AF303" s="3"/>
      <c r="AG303" s="3"/>
      <c r="AH303" s="3"/>
      <c r="AI303" s="3"/>
      <c r="AJ303" s="3"/>
      <c r="AK303" s="3"/>
      <c r="AL303" s="3"/>
      <c r="AM303" s="3"/>
      <c r="AN303" s="3"/>
      <c r="AO303" s="3"/>
    </row>
    <row r="304" spans="2:41" s="171" customFormat="1" ht="18.75" x14ac:dyDescent="0.3">
      <c r="B304" s="67"/>
      <c r="C304" s="14"/>
      <c r="D304" s="60"/>
      <c r="E304" s="56"/>
      <c r="F304" s="56"/>
      <c r="G304" s="14"/>
      <c r="H304" s="56"/>
      <c r="I304" s="74"/>
      <c r="J304" s="14"/>
      <c r="K304" s="14"/>
      <c r="L304" s="14"/>
      <c r="M304" s="14"/>
      <c r="N304" s="14"/>
      <c r="O304" s="14"/>
      <c r="P304" s="14"/>
      <c r="Q304" s="14"/>
      <c r="R304" s="14"/>
      <c r="S304" s="14"/>
      <c r="T304" s="14"/>
      <c r="U304" s="14"/>
      <c r="V304" s="14"/>
      <c r="W304" s="14"/>
      <c r="X304" s="14"/>
      <c r="Y304" s="14"/>
      <c r="Z304" s="14"/>
      <c r="AA304" s="15"/>
      <c r="AB304" s="3"/>
      <c r="AC304" s="3"/>
      <c r="AD304" s="3"/>
      <c r="AE304" s="3"/>
      <c r="AF304" s="3"/>
      <c r="AG304" s="3"/>
      <c r="AH304" s="3"/>
      <c r="AI304" s="3"/>
      <c r="AJ304" s="3"/>
      <c r="AK304" s="3"/>
      <c r="AL304" s="3"/>
      <c r="AM304" s="3"/>
      <c r="AN304" s="3"/>
      <c r="AO304" s="3"/>
    </row>
    <row r="305" spans="2:41" s="171" customFormat="1" x14ac:dyDescent="0.25">
      <c r="B305" s="13"/>
      <c r="C305" s="56"/>
      <c r="D305" s="60"/>
      <c r="E305" s="56"/>
      <c r="F305" s="56"/>
      <c r="G305" s="56"/>
      <c r="H305" s="56"/>
      <c r="I305" s="14"/>
      <c r="J305" s="14"/>
      <c r="K305" s="14"/>
      <c r="L305" s="14"/>
      <c r="M305" s="14"/>
      <c r="N305" s="14"/>
      <c r="O305" s="14"/>
      <c r="P305" s="14"/>
      <c r="Q305" s="14"/>
      <c r="R305" s="14"/>
      <c r="S305" s="14"/>
      <c r="T305" s="14"/>
      <c r="U305" s="14"/>
      <c r="V305" s="14"/>
      <c r="W305" s="14"/>
      <c r="X305" s="14"/>
      <c r="Y305" s="14"/>
      <c r="Z305" s="14"/>
      <c r="AA305" s="15"/>
      <c r="AB305" s="3"/>
      <c r="AC305" s="3"/>
      <c r="AD305" s="3"/>
      <c r="AE305" s="3"/>
      <c r="AF305" s="3"/>
      <c r="AG305" s="3"/>
      <c r="AH305" s="3"/>
      <c r="AI305" s="3"/>
      <c r="AJ305" s="3"/>
      <c r="AK305" s="3"/>
      <c r="AL305" s="3"/>
      <c r="AM305" s="3"/>
      <c r="AN305" s="3"/>
      <c r="AO305" s="3"/>
    </row>
    <row r="306" spans="2:41" s="171" customFormat="1" x14ac:dyDescent="0.25">
      <c r="B306" s="13"/>
      <c r="C306" s="14"/>
      <c r="D306" s="60"/>
      <c r="E306" s="56"/>
      <c r="F306" s="56"/>
      <c r="G306" s="14"/>
      <c r="H306" s="56"/>
      <c r="I306" s="14"/>
      <c r="J306" s="14"/>
      <c r="K306" s="14"/>
      <c r="L306" s="14"/>
      <c r="M306" s="14"/>
      <c r="N306" s="14"/>
      <c r="O306" s="14"/>
      <c r="P306" s="14"/>
      <c r="Q306" s="14"/>
      <c r="R306" s="14"/>
      <c r="S306" s="14"/>
      <c r="T306" s="14"/>
      <c r="U306" s="14"/>
      <c r="V306" s="14"/>
      <c r="W306" s="14"/>
      <c r="X306" s="14"/>
      <c r="Y306" s="14"/>
      <c r="Z306" s="14"/>
      <c r="AA306" s="15"/>
      <c r="AB306" s="3"/>
      <c r="AC306" s="3"/>
      <c r="AD306" s="3"/>
      <c r="AE306" s="3"/>
      <c r="AF306" s="3"/>
      <c r="AG306" s="3"/>
      <c r="AH306" s="3"/>
      <c r="AI306" s="3"/>
      <c r="AJ306" s="3"/>
      <c r="AK306" s="3"/>
      <c r="AL306" s="3"/>
      <c r="AM306" s="3"/>
      <c r="AN306" s="3"/>
      <c r="AO306" s="3"/>
    </row>
    <row r="307" spans="2:41" s="171" customFormat="1" x14ac:dyDescent="0.25">
      <c r="B307" s="13"/>
      <c r="C307" s="14"/>
      <c r="D307" s="14"/>
      <c r="E307" s="56"/>
      <c r="F307" s="56"/>
      <c r="G307" s="14"/>
      <c r="H307" s="56"/>
      <c r="I307" s="14"/>
      <c r="J307" s="14"/>
      <c r="K307" s="14"/>
      <c r="L307" s="14"/>
      <c r="M307" s="14"/>
      <c r="N307" s="14"/>
      <c r="O307" s="14"/>
      <c r="P307" s="14"/>
      <c r="Q307" s="14"/>
      <c r="R307" s="14"/>
      <c r="S307" s="14"/>
      <c r="T307" s="14"/>
      <c r="U307" s="14"/>
      <c r="V307" s="14"/>
      <c r="W307" s="14"/>
      <c r="X307" s="14"/>
      <c r="Y307" s="14"/>
      <c r="Z307" s="14"/>
      <c r="AA307" s="15"/>
      <c r="AB307" s="3"/>
      <c r="AC307" s="3"/>
      <c r="AD307" s="3"/>
      <c r="AE307" s="3"/>
      <c r="AF307" s="3"/>
      <c r="AG307" s="3"/>
      <c r="AH307" s="3"/>
      <c r="AI307" s="3"/>
      <c r="AJ307" s="3"/>
      <c r="AK307" s="3"/>
      <c r="AL307" s="3"/>
      <c r="AM307" s="3"/>
      <c r="AN307" s="3"/>
      <c r="AO307" s="3"/>
    </row>
    <row r="308" spans="2:41" s="171" customFormat="1" x14ac:dyDescent="0.25">
      <c r="B308" s="13"/>
      <c r="C308" s="14"/>
      <c r="D308" s="60"/>
      <c r="E308" s="56"/>
      <c r="F308" s="56"/>
      <c r="G308" s="14"/>
      <c r="H308" s="14"/>
      <c r="I308" s="14"/>
      <c r="J308" s="14"/>
      <c r="K308" s="14"/>
      <c r="L308" s="14"/>
      <c r="M308" s="14"/>
      <c r="N308" s="14"/>
      <c r="O308" s="14"/>
      <c r="P308" s="14"/>
      <c r="Q308" s="14"/>
      <c r="R308" s="14"/>
      <c r="S308" s="14"/>
      <c r="T308" s="14"/>
      <c r="U308" s="14"/>
      <c r="V308" s="14"/>
      <c r="W308" s="14"/>
      <c r="X308" s="14"/>
      <c r="Y308" s="14"/>
      <c r="Z308" s="14"/>
      <c r="AA308" s="15"/>
      <c r="AB308" s="3"/>
      <c r="AC308" s="3"/>
      <c r="AD308" s="3"/>
      <c r="AE308" s="3"/>
      <c r="AF308" s="3"/>
      <c r="AG308" s="3"/>
      <c r="AH308" s="3"/>
      <c r="AI308" s="3"/>
      <c r="AJ308" s="3"/>
      <c r="AK308" s="3"/>
      <c r="AL308" s="3"/>
      <c r="AM308" s="3"/>
      <c r="AN308" s="3"/>
      <c r="AO308" s="3"/>
    </row>
    <row r="309" spans="2:41" s="171" customFormat="1" x14ac:dyDescent="0.25">
      <c r="B309" s="13"/>
      <c r="C309" s="14"/>
      <c r="D309" s="60"/>
      <c r="E309" s="56"/>
      <c r="F309" s="56"/>
      <c r="G309" s="14"/>
      <c r="H309" s="56"/>
      <c r="I309" s="14"/>
      <c r="J309" s="14"/>
      <c r="K309" s="14"/>
      <c r="L309" s="14"/>
      <c r="M309" s="14"/>
      <c r="N309" s="14"/>
      <c r="O309" s="14"/>
      <c r="P309" s="14"/>
      <c r="Q309" s="14"/>
      <c r="R309" s="14"/>
      <c r="S309" s="14"/>
      <c r="T309" s="14"/>
      <c r="U309" s="14"/>
      <c r="V309" s="14"/>
      <c r="W309" s="14"/>
      <c r="X309" s="14"/>
      <c r="Y309" s="14"/>
      <c r="Z309" s="14"/>
      <c r="AA309" s="15"/>
      <c r="AB309" s="3"/>
      <c r="AC309" s="3"/>
      <c r="AD309" s="3"/>
      <c r="AE309" s="3"/>
      <c r="AF309" s="3"/>
      <c r="AG309" s="3"/>
      <c r="AH309" s="3"/>
      <c r="AI309" s="3"/>
      <c r="AJ309" s="3"/>
      <c r="AK309" s="3"/>
      <c r="AL309" s="3"/>
      <c r="AM309" s="3"/>
      <c r="AN309" s="3"/>
      <c r="AO309" s="3"/>
    </row>
    <row r="310" spans="2:41" s="171" customFormat="1" x14ac:dyDescent="0.25">
      <c r="B310" s="13"/>
      <c r="C310" s="14"/>
      <c r="D310" s="60"/>
      <c r="E310" s="56"/>
      <c r="F310" s="56"/>
      <c r="G310" s="14"/>
      <c r="H310" s="56"/>
      <c r="I310" s="14"/>
      <c r="J310" s="14"/>
      <c r="K310" s="14"/>
      <c r="L310" s="14"/>
      <c r="M310" s="14"/>
      <c r="N310" s="14"/>
      <c r="O310" s="14"/>
      <c r="P310" s="14"/>
      <c r="Q310" s="14"/>
      <c r="R310" s="14"/>
      <c r="S310" s="14"/>
      <c r="T310" s="14"/>
      <c r="U310" s="14"/>
      <c r="V310" s="14"/>
      <c r="W310" s="14"/>
      <c r="X310" s="14"/>
      <c r="Y310" s="14"/>
      <c r="Z310" s="14"/>
      <c r="AA310" s="15"/>
      <c r="AB310" s="3"/>
      <c r="AC310" s="3"/>
      <c r="AD310" s="3"/>
      <c r="AE310" s="3"/>
      <c r="AF310" s="3"/>
      <c r="AG310" s="3"/>
      <c r="AH310" s="3"/>
      <c r="AI310" s="3"/>
      <c r="AJ310" s="3"/>
      <c r="AK310" s="3"/>
      <c r="AL310" s="3"/>
      <c r="AM310" s="3"/>
      <c r="AN310" s="3"/>
      <c r="AO310" s="3"/>
    </row>
    <row r="311" spans="2:41" s="171" customFormat="1" x14ac:dyDescent="0.25">
      <c r="B311" s="13"/>
      <c r="C311" s="14"/>
      <c r="D311" s="60"/>
      <c r="E311" s="56"/>
      <c r="F311" s="56"/>
      <c r="G311" s="14"/>
      <c r="H311" s="56"/>
      <c r="I311" s="14"/>
      <c r="J311" s="14"/>
      <c r="K311" s="14"/>
      <c r="L311" s="14"/>
      <c r="M311" s="14"/>
      <c r="N311" s="14"/>
      <c r="O311" s="14"/>
      <c r="P311" s="14"/>
      <c r="Q311" s="14"/>
      <c r="R311" s="14"/>
      <c r="S311" s="14"/>
      <c r="T311" s="14"/>
      <c r="U311" s="14"/>
      <c r="V311" s="14"/>
      <c r="W311" s="14"/>
      <c r="X311" s="14"/>
      <c r="Y311" s="14"/>
      <c r="Z311" s="14"/>
      <c r="AA311" s="15"/>
      <c r="AB311" s="3"/>
      <c r="AC311" s="3"/>
      <c r="AD311" s="3"/>
      <c r="AE311" s="3"/>
      <c r="AF311" s="3"/>
      <c r="AG311" s="3"/>
      <c r="AH311" s="3"/>
      <c r="AI311" s="3"/>
      <c r="AJ311" s="3"/>
      <c r="AK311" s="3"/>
      <c r="AL311" s="3"/>
      <c r="AM311" s="3"/>
      <c r="AN311" s="3"/>
      <c r="AO311" s="3"/>
    </row>
    <row r="312" spans="2:41" s="171" customFormat="1" ht="18.75" x14ac:dyDescent="0.3">
      <c r="B312" s="67"/>
      <c r="C312" s="56"/>
      <c r="D312" s="60"/>
      <c r="E312" s="56"/>
      <c r="F312" s="56"/>
      <c r="G312" s="56"/>
      <c r="H312" s="56"/>
      <c r="I312" s="74"/>
      <c r="J312" s="14"/>
      <c r="K312" s="14"/>
      <c r="L312" s="14"/>
      <c r="M312" s="14"/>
      <c r="N312" s="14"/>
      <c r="O312" s="14"/>
      <c r="P312" s="14"/>
      <c r="Q312" s="14"/>
      <c r="R312" s="14"/>
      <c r="S312" s="14"/>
      <c r="T312" s="14"/>
      <c r="U312" s="14"/>
      <c r="V312" s="14"/>
      <c r="W312" s="14"/>
      <c r="X312" s="14"/>
      <c r="Y312" s="14"/>
      <c r="Z312" s="14"/>
      <c r="AA312" s="15"/>
      <c r="AB312" s="3"/>
      <c r="AC312" s="3"/>
      <c r="AD312" s="3"/>
      <c r="AE312" s="3"/>
      <c r="AF312" s="3"/>
      <c r="AG312" s="3"/>
      <c r="AH312" s="3"/>
      <c r="AI312" s="3"/>
      <c r="AJ312" s="3"/>
      <c r="AK312" s="3"/>
      <c r="AL312" s="3"/>
      <c r="AM312" s="3"/>
      <c r="AN312" s="3"/>
      <c r="AO312" s="3"/>
    </row>
    <row r="313" spans="2:41" s="171" customFormat="1" x14ac:dyDescent="0.25">
      <c r="B313" s="13"/>
      <c r="C313" s="14"/>
      <c r="D313" s="60"/>
      <c r="E313" s="56"/>
      <c r="F313" s="56"/>
      <c r="G313" s="14"/>
      <c r="H313" s="56"/>
      <c r="I313" s="14"/>
      <c r="J313" s="14"/>
      <c r="K313" s="14"/>
      <c r="L313" s="14"/>
      <c r="M313" s="14"/>
      <c r="N313" s="14"/>
      <c r="O313" s="14"/>
      <c r="P313" s="14"/>
      <c r="Q313" s="14"/>
      <c r="R313" s="14"/>
      <c r="S313" s="14"/>
      <c r="T313" s="14"/>
      <c r="U313" s="14"/>
      <c r="V313" s="14"/>
      <c r="W313" s="14"/>
      <c r="X313" s="14"/>
      <c r="Y313" s="14"/>
      <c r="Z313" s="14"/>
      <c r="AA313" s="15"/>
      <c r="AB313" s="3"/>
      <c r="AC313" s="3"/>
      <c r="AD313" s="3"/>
      <c r="AE313" s="3"/>
      <c r="AF313" s="3"/>
      <c r="AG313" s="3"/>
      <c r="AH313" s="3"/>
      <c r="AI313" s="3"/>
      <c r="AJ313" s="3"/>
      <c r="AK313" s="3"/>
      <c r="AL313" s="3"/>
      <c r="AM313" s="3"/>
      <c r="AN313" s="3"/>
      <c r="AO313" s="3"/>
    </row>
    <row r="314" spans="2:41" s="171" customFormat="1" x14ac:dyDescent="0.25">
      <c r="B314" s="13"/>
      <c r="C314" s="14"/>
      <c r="D314" s="14"/>
      <c r="E314" s="56"/>
      <c r="F314" s="56"/>
      <c r="G314" s="14"/>
      <c r="H314" s="56"/>
      <c r="I314" s="14"/>
      <c r="J314" s="14"/>
      <c r="K314" s="14"/>
      <c r="L314" s="14"/>
      <c r="M314" s="14"/>
      <c r="N314" s="14"/>
      <c r="O314" s="14"/>
      <c r="P314" s="14"/>
      <c r="Q314" s="14"/>
      <c r="R314" s="14"/>
      <c r="S314" s="14"/>
      <c r="T314" s="14"/>
      <c r="U314" s="14"/>
      <c r="V314" s="14"/>
      <c r="W314" s="14"/>
      <c r="X314" s="14"/>
      <c r="Y314" s="14"/>
      <c r="Z314" s="14"/>
      <c r="AA314" s="15"/>
      <c r="AB314" s="3"/>
      <c r="AC314" s="3"/>
      <c r="AD314" s="3"/>
      <c r="AE314" s="3"/>
      <c r="AF314" s="3"/>
      <c r="AG314" s="3"/>
      <c r="AH314" s="3"/>
      <c r="AI314" s="3"/>
      <c r="AJ314" s="3"/>
      <c r="AK314" s="3"/>
      <c r="AL314" s="3"/>
      <c r="AM314" s="3"/>
      <c r="AN314" s="3"/>
      <c r="AO314" s="3"/>
    </row>
    <row r="315" spans="2:41" s="171" customFormat="1" x14ac:dyDescent="0.25">
      <c r="B315" s="13"/>
      <c r="C315" s="14"/>
      <c r="D315" s="60"/>
      <c r="E315" s="56"/>
      <c r="F315" s="56"/>
      <c r="G315" s="14"/>
      <c r="H315" s="14"/>
      <c r="I315" s="14"/>
      <c r="J315" s="14"/>
      <c r="K315" s="14"/>
      <c r="L315" s="14"/>
      <c r="M315" s="14"/>
      <c r="N315" s="14"/>
      <c r="O315" s="14"/>
      <c r="P315" s="14"/>
      <c r="Q315" s="14"/>
      <c r="R315" s="14"/>
      <c r="S315" s="14"/>
      <c r="T315" s="14"/>
      <c r="U315" s="14"/>
      <c r="V315" s="14"/>
      <c r="W315" s="14"/>
      <c r="X315" s="14"/>
      <c r="Y315" s="14"/>
      <c r="Z315" s="14"/>
      <c r="AA315" s="15"/>
      <c r="AB315" s="3"/>
      <c r="AC315" s="3"/>
      <c r="AD315" s="3"/>
      <c r="AE315" s="3"/>
      <c r="AF315" s="3"/>
      <c r="AG315" s="3"/>
      <c r="AH315" s="3"/>
      <c r="AI315" s="3"/>
      <c r="AJ315" s="3"/>
      <c r="AK315" s="3"/>
      <c r="AL315" s="3"/>
      <c r="AM315" s="3"/>
      <c r="AN315" s="3"/>
      <c r="AO315" s="3"/>
    </row>
    <row r="316" spans="2:41" s="171" customFormat="1" x14ac:dyDescent="0.25">
      <c r="B316" s="13"/>
      <c r="C316" s="14"/>
      <c r="D316" s="60"/>
      <c r="E316" s="56"/>
      <c r="F316" s="56"/>
      <c r="G316" s="14"/>
      <c r="H316" s="56"/>
      <c r="I316" s="14"/>
      <c r="J316" s="14"/>
      <c r="K316" s="14"/>
      <c r="L316" s="14"/>
      <c r="M316" s="14"/>
      <c r="N316" s="14"/>
      <c r="O316" s="14"/>
      <c r="P316" s="14"/>
      <c r="Q316" s="14"/>
      <c r="R316" s="14"/>
      <c r="S316" s="14"/>
      <c r="T316" s="14"/>
      <c r="U316" s="14"/>
      <c r="V316" s="14"/>
      <c r="W316" s="14"/>
      <c r="X316" s="14"/>
      <c r="Y316" s="14"/>
      <c r="Z316" s="14"/>
      <c r="AA316" s="15"/>
      <c r="AB316" s="3"/>
      <c r="AC316" s="3"/>
      <c r="AD316" s="3"/>
      <c r="AE316" s="3"/>
      <c r="AF316" s="3"/>
      <c r="AG316" s="3"/>
      <c r="AH316" s="3"/>
      <c r="AI316" s="3"/>
      <c r="AJ316" s="3"/>
      <c r="AK316" s="3"/>
      <c r="AL316" s="3"/>
      <c r="AM316" s="3"/>
      <c r="AN316" s="3"/>
      <c r="AO316" s="3"/>
    </row>
    <row r="317" spans="2:41" s="171" customFormat="1" x14ac:dyDescent="0.25">
      <c r="B317" s="13"/>
      <c r="C317" s="14"/>
      <c r="D317" s="60"/>
      <c r="E317" s="56"/>
      <c r="F317" s="56"/>
      <c r="G317" s="14"/>
      <c r="H317" s="56"/>
      <c r="I317" s="14"/>
      <c r="J317" s="14"/>
      <c r="K317" s="14"/>
      <c r="L317" s="14"/>
      <c r="M317" s="14"/>
      <c r="N317" s="14"/>
      <c r="O317" s="14"/>
      <c r="P317" s="14"/>
      <c r="Q317" s="14"/>
      <c r="R317" s="14"/>
      <c r="S317" s="14"/>
      <c r="T317" s="14"/>
      <c r="U317" s="14"/>
      <c r="V317" s="14"/>
      <c r="W317" s="14"/>
      <c r="X317" s="14"/>
      <c r="Y317" s="14"/>
      <c r="Z317" s="14"/>
      <c r="AA317" s="15"/>
      <c r="AB317" s="3"/>
      <c r="AC317" s="3"/>
      <c r="AD317" s="3"/>
      <c r="AE317" s="3"/>
      <c r="AF317" s="3"/>
      <c r="AG317" s="3"/>
      <c r="AH317" s="3"/>
      <c r="AI317" s="3"/>
      <c r="AJ317" s="3"/>
      <c r="AK317" s="3"/>
      <c r="AL317" s="3"/>
      <c r="AM317" s="3"/>
      <c r="AN317" s="3"/>
      <c r="AO317" s="3"/>
    </row>
    <row r="318" spans="2:41" s="171" customFormat="1" x14ac:dyDescent="0.25">
      <c r="B318" s="13"/>
      <c r="C318" s="14"/>
      <c r="D318" s="60"/>
      <c r="E318" s="56"/>
      <c r="F318" s="56"/>
      <c r="G318" s="14"/>
      <c r="H318" s="56"/>
      <c r="I318" s="14"/>
      <c r="J318" s="14"/>
      <c r="K318" s="14"/>
      <c r="L318" s="14"/>
      <c r="M318" s="14"/>
      <c r="N318" s="14"/>
      <c r="O318" s="14"/>
      <c r="P318" s="14"/>
      <c r="Q318" s="14"/>
      <c r="R318" s="14"/>
      <c r="S318" s="14"/>
      <c r="T318" s="14"/>
      <c r="U318" s="14"/>
      <c r="V318" s="14"/>
      <c r="W318" s="14"/>
      <c r="X318" s="14"/>
      <c r="Y318" s="14"/>
      <c r="Z318" s="14"/>
      <c r="AA318" s="15"/>
      <c r="AB318" s="3"/>
      <c r="AC318" s="3"/>
      <c r="AD318" s="3"/>
      <c r="AE318" s="3"/>
      <c r="AF318" s="3"/>
      <c r="AG318" s="3"/>
      <c r="AH318" s="3"/>
      <c r="AI318" s="3"/>
      <c r="AJ318" s="3"/>
      <c r="AK318" s="3"/>
      <c r="AL318" s="3"/>
      <c r="AM318" s="3"/>
      <c r="AN318" s="3"/>
      <c r="AO318" s="3"/>
    </row>
    <row r="319" spans="2:41" s="171" customFormat="1" x14ac:dyDescent="0.25">
      <c r="B319" s="13"/>
      <c r="C319" s="56"/>
      <c r="D319" s="60"/>
      <c r="E319" s="56"/>
      <c r="F319" s="56"/>
      <c r="G319" s="56"/>
      <c r="H319" s="56"/>
      <c r="I319" s="14"/>
      <c r="J319" s="14"/>
      <c r="K319" s="14"/>
      <c r="L319" s="14"/>
      <c r="M319" s="14"/>
      <c r="N319" s="14"/>
      <c r="O319" s="14"/>
      <c r="P319" s="14"/>
      <c r="Q319" s="14"/>
      <c r="R319" s="14"/>
      <c r="S319" s="14"/>
      <c r="T319" s="14"/>
      <c r="U319" s="14"/>
      <c r="V319" s="14"/>
      <c r="W319" s="14"/>
      <c r="X319" s="14"/>
      <c r="Y319" s="14"/>
      <c r="Z319" s="14"/>
      <c r="AA319" s="15"/>
      <c r="AB319" s="3"/>
      <c r="AC319" s="3"/>
      <c r="AD319" s="3"/>
      <c r="AE319" s="3"/>
      <c r="AF319" s="3"/>
      <c r="AG319" s="3"/>
      <c r="AH319" s="3"/>
      <c r="AI319" s="3"/>
      <c r="AJ319" s="3"/>
      <c r="AK319" s="3"/>
      <c r="AL319" s="3"/>
      <c r="AM319" s="3"/>
      <c r="AN319" s="3"/>
      <c r="AO319" s="3"/>
    </row>
    <row r="320" spans="2:41" s="171" customFormat="1" ht="18.75" x14ac:dyDescent="0.3">
      <c r="B320" s="67"/>
      <c r="C320" s="14"/>
      <c r="D320" s="60"/>
      <c r="E320" s="56"/>
      <c r="F320" s="56"/>
      <c r="G320" s="14"/>
      <c r="H320" s="56"/>
      <c r="I320" s="74"/>
      <c r="J320" s="14"/>
      <c r="K320" s="14"/>
      <c r="L320" s="14"/>
      <c r="M320" s="14"/>
      <c r="N320" s="14"/>
      <c r="O320" s="14"/>
      <c r="P320" s="14"/>
      <c r="Q320" s="14"/>
      <c r="R320" s="14"/>
      <c r="S320" s="14"/>
      <c r="T320" s="14"/>
      <c r="U320" s="14"/>
      <c r="V320" s="14"/>
      <c r="W320" s="14"/>
      <c r="X320" s="14"/>
      <c r="Y320" s="14"/>
      <c r="Z320" s="14"/>
      <c r="AA320" s="15"/>
      <c r="AB320" s="3"/>
      <c r="AC320" s="3"/>
      <c r="AD320" s="3"/>
      <c r="AE320" s="3"/>
      <c r="AF320" s="3"/>
      <c r="AG320" s="3"/>
      <c r="AH320" s="3"/>
      <c r="AI320" s="3"/>
      <c r="AJ320" s="3"/>
      <c r="AK320" s="3"/>
      <c r="AL320" s="3"/>
      <c r="AM320" s="3"/>
      <c r="AN320" s="3"/>
      <c r="AO320" s="3"/>
    </row>
    <row r="321" spans="2:41" s="171" customFormat="1" x14ac:dyDescent="0.25">
      <c r="B321" s="13"/>
      <c r="C321" s="14"/>
      <c r="D321" s="14"/>
      <c r="E321" s="56"/>
      <c r="F321" s="56"/>
      <c r="G321" s="14"/>
      <c r="H321" s="56"/>
      <c r="I321" s="14"/>
      <c r="J321" s="14"/>
      <c r="K321" s="14"/>
      <c r="L321" s="14"/>
      <c r="M321" s="14"/>
      <c r="N321" s="14"/>
      <c r="O321" s="14"/>
      <c r="P321" s="14"/>
      <c r="Q321" s="14"/>
      <c r="R321" s="14"/>
      <c r="S321" s="14"/>
      <c r="T321" s="14"/>
      <c r="U321" s="14"/>
      <c r="V321" s="14"/>
      <c r="W321" s="14"/>
      <c r="X321" s="14"/>
      <c r="Y321" s="14"/>
      <c r="Z321" s="14"/>
      <c r="AA321" s="15"/>
      <c r="AB321" s="3"/>
      <c r="AC321" s="3"/>
      <c r="AD321" s="3"/>
      <c r="AE321" s="3"/>
      <c r="AF321" s="3"/>
      <c r="AG321" s="3"/>
      <c r="AH321" s="3"/>
      <c r="AI321" s="3"/>
      <c r="AJ321" s="3"/>
      <c r="AK321" s="3"/>
      <c r="AL321" s="3"/>
      <c r="AM321" s="3"/>
      <c r="AN321" s="3"/>
      <c r="AO321" s="3"/>
    </row>
    <row r="322" spans="2:41" s="171" customFormat="1" x14ac:dyDescent="0.25">
      <c r="B322" s="13"/>
      <c r="C322" s="14"/>
      <c r="D322" s="60"/>
      <c r="E322" s="56"/>
      <c r="F322" s="56"/>
      <c r="G322" s="14"/>
      <c r="H322" s="14"/>
      <c r="I322" s="14"/>
      <c r="J322" s="14"/>
      <c r="K322" s="14"/>
      <c r="L322" s="14"/>
      <c r="M322" s="14"/>
      <c r="N322" s="14"/>
      <c r="O322" s="14"/>
      <c r="P322" s="14"/>
      <c r="Q322" s="14"/>
      <c r="R322" s="14"/>
      <c r="S322" s="14"/>
      <c r="T322" s="14"/>
      <c r="U322" s="14"/>
      <c r="V322" s="14"/>
      <c r="W322" s="14"/>
      <c r="X322" s="14"/>
      <c r="Y322" s="14"/>
      <c r="Z322" s="14"/>
      <c r="AA322" s="15"/>
      <c r="AB322" s="3"/>
      <c r="AC322" s="3"/>
      <c r="AD322" s="3"/>
      <c r="AE322" s="3"/>
      <c r="AF322" s="3"/>
      <c r="AG322" s="3"/>
      <c r="AH322" s="3"/>
      <c r="AI322" s="3"/>
      <c r="AJ322" s="3"/>
      <c r="AK322" s="3"/>
      <c r="AL322" s="3"/>
      <c r="AM322" s="3"/>
      <c r="AN322" s="3"/>
      <c r="AO322" s="3"/>
    </row>
    <row r="323" spans="2:41" s="171" customFormat="1" x14ac:dyDescent="0.25">
      <c r="B323" s="13"/>
      <c r="C323" s="14"/>
      <c r="D323" s="60"/>
      <c r="E323" s="56"/>
      <c r="F323" s="56"/>
      <c r="G323" s="14"/>
      <c r="H323" s="56"/>
      <c r="I323" s="14"/>
      <c r="J323" s="14"/>
      <c r="K323" s="14"/>
      <c r="L323" s="14"/>
      <c r="M323" s="14"/>
      <c r="N323" s="14"/>
      <c r="O323" s="14"/>
      <c r="P323" s="14"/>
      <c r="Q323" s="14"/>
      <c r="R323" s="14"/>
      <c r="S323" s="14"/>
      <c r="T323" s="14"/>
      <c r="U323" s="14"/>
      <c r="V323" s="14"/>
      <c r="W323" s="14"/>
      <c r="X323" s="14"/>
      <c r="Y323" s="14"/>
      <c r="Z323" s="14"/>
      <c r="AA323" s="15"/>
      <c r="AB323" s="3"/>
      <c r="AC323" s="3"/>
      <c r="AD323" s="3"/>
      <c r="AE323" s="3"/>
      <c r="AF323" s="3"/>
      <c r="AG323" s="3"/>
      <c r="AH323" s="3"/>
      <c r="AI323" s="3"/>
      <c r="AJ323" s="3"/>
      <c r="AK323" s="3"/>
      <c r="AL323" s="3"/>
      <c r="AM323" s="3"/>
      <c r="AN323" s="3"/>
      <c r="AO323" s="3"/>
    </row>
    <row r="324" spans="2:41" s="171" customFormat="1" x14ac:dyDescent="0.25">
      <c r="B324" s="13"/>
      <c r="C324" s="14"/>
      <c r="D324" s="60"/>
      <c r="E324" s="56"/>
      <c r="F324" s="56"/>
      <c r="G324" s="14"/>
      <c r="H324" s="56"/>
      <c r="I324" s="14"/>
      <c r="J324" s="14"/>
      <c r="K324" s="14"/>
      <c r="L324" s="14"/>
      <c r="M324" s="14"/>
      <c r="N324" s="14"/>
      <c r="O324" s="14"/>
      <c r="P324" s="14"/>
      <c r="Q324" s="14"/>
      <c r="R324" s="14"/>
      <c r="S324" s="14"/>
      <c r="T324" s="14"/>
      <c r="U324" s="14"/>
      <c r="V324" s="14"/>
      <c r="W324" s="14"/>
      <c r="X324" s="14"/>
      <c r="Y324" s="14"/>
      <c r="Z324" s="14"/>
      <c r="AA324" s="15"/>
      <c r="AB324" s="3"/>
      <c r="AC324" s="3"/>
      <c r="AD324" s="3"/>
      <c r="AE324" s="3"/>
      <c r="AF324" s="3"/>
      <c r="AG324" s="3"/>
      <c r="AH324" s="3"/>
      <c r="AI324" s="3"/>
      <c r="AJ324" s="3"/>
      <c r="AK324" s="3"/>
      <c r="AL324" s="3"/>
      <c r="AM324" s="3"/>
      <c r="AN324" s="3"/>
      <c r="AO324" s="3"/>
    </row>
    <row r="325" spans="2:41" s="171" customFormat="1" x14ac:dyDescent="0.25">
      <c r="B325" s="13"/>
      <c r="C325" s="14"/>
      <c r="D325" s="60"/>
      <c r="E325" s="56"/>
      <c r="F325" s="56"/>
      <c r="G325" s="14"/>
      <c r="H325" s="56"/>
      <c r="I325" s="14"/>
      <c r="J325" s="14"/>
      <c r="K325" s="14"/>
      <c r="L325" s="14"/>
      <c r="M325" s="14"/>
      <c r="N325" s="14"/>
      <c r="O325" s="14"/>
      <c r="P325" s="14"/>
      <c r="Q325" s="14"/>
      <c r="R325" s="14"/>
      <c r="S325" s="14"/>
      <c r="T325" s="14"/>
      <c r="U325" s="14"/>
      <c r="V325" s="14"/>
      <c r="W325" s="14"/>
      <c r="X325" s="14"/>
      <c r="Y325" s="14"/>
      <c r="Z325" s="14"/>
      <c r="AA325" s="15"/>
      <c r="AB325" s="3"/>
      <c r="AC325" s="3"/>
      <c r="AD325" s="3"/>
      <c r="AE325" s="3"/>
      <c r="AF325" s="3"/>
      <c r="AG325" s="3"/>
      <c r="AH325" s="3"/>
      <c r="AI325" s="3"/>
      <c r="AJ325" s="3"/>
      <c r="AK325" s="3"/>
      <c r="AL325" s="3"/>
      <c r="AM325" s="3"/>
      <c r="AN325" s="3"/>
      <c r="AO325" s="3"/>
    </row>
    <row r="326" spans="2:41" s="171" customFormat="1" x14ac:dyDescent="0.25">
      <c r="B326" s="13"/>
      <c r="C326" s="56"/>
      <c r="D326" s="60"/>
      <c r="E326" s="56"/>
      <c r="F326" s="56"/>
      <c r="G326" s="56"/>
      <c r="H326" s="56"/>
      <c r="I326" s="14"/>
      <c r="J326" s="14"/>
      <c r="K326" s="14"/>
      <c r="L326" s="14"/>
      <c r="M326" s="14"/>
      <c r="N326" s="14"/>
      <c r="O326" s="14"/>
      <c r="P326" s="14"/>
      <c r="Q326" s="14"/>
      <c r="R326" s="14"/>
      <c r="S326" s="14"/>
      <c r="T326" s="14"/>
      <c r="U326" s="14"/>
      <c r="V326" s="14"/>
      <c r="W326" s="14"/>
      <c r="X326" s="14"/>
      <c r="Y326" s="14"/>
      <c r="Z326" s="14"/>
      <c r="AA326" s="15"/>
      <c r="AB326" s="3"/>
      <c r="AC326" s="3"/>
      <c r="AD326" s="3"/>
      <c r="AE326" s="3"/>
      <c r="AF326" s="3"/>
      <c r="AG326" s="3"/>
      <c r="AH326" s="3"/>
      <c r="AI326" s="3"/>
      <c r="AJ326" s="3"/>
      <c r="AK326" s="3"/>
      <c r="AL326" s="3"/>
      <c r="AM326" s="3"/>
      <c r="AN326" s="3"/>
      <c r="AO326" s="3"/>
    </row>
    <row r="327" spans="2:41" s="171" customFormat="1" x14ac:dyDescent="0.25">
      <c r="B327" s="13"/>
      <c r="C327" s="14"/>
      <c r="D327" s="60"/>
      <c r="E327" s="56"/>
      <c r="F327" s="56"/>
      <c r="G327" s="14"/>
      <c r="H327" s="56"/>
      <c r="I327" s="14"/>
      <c r="J327" s="14"/>
      <c r="K327" s="14"/>
      <c r="L327" s="14"/>
      <c r="M327" s="14"/>
      <c r="N327" s="14"/>
      <c r="O327" s="14"/>
      <c r="P327" s="14"/>
      <c r="Q327" s="14"/>
      <c r="R327" s="14"/>
      <c r="S327" s="14"/>
      <c r="T327" s="14"/>
      <c r="U327" s="14"/>
      <c r="V327" s="14"/>
      <c r="W327" s="14"/>
      <c r="X327" s="14"/>
      <c r="Y327" s="14"/>
      <c r="Z327" s="14"/>
      <c r="AA327" s="15"/>
      <c r="AB327" s="3"/>
      <c r="AC327" s="3"/>
      <c r="AD327" s="3"/>
      <c r="AE327" s="3"/>
      <c r="AF327" s="3"/>
      <c r="AG327" s="3"/>
      <c r="AH327" s="3"/>
      <c r="AI327" s="3"/>
      <c r="AJ327" s="3"/>
      <c r="AK327" s="3"/>
      <c r="AL327" s="3"/>
      <c r="AM327" s="3"/>
      <c r="AN327" s="3"/>
      <c r="AO327" s="3"/>
    </row>
    <row r="328" spans="2:41" s="171" customFormat="1" ht="18.75" x14ac:dyDescent="0.3">
      <c r="B328" s="67"/>
      <c r="C328" s="14"/>
      <c r="D328" s="14"/>
      <c r="E328" s="56"/>
      <c r="F328" s="56"/>
      <c r="G328" s="14"/>
      <c r="H328" s="56"/>
      <c r="I328" s="74"/>
      <c r="J328" s="14"/>
      <c r="K328" s="14"/>
      <c r="L328" s="14"/>
      <c r="M328" s="14"/>
      <c r="N328" s="14"/>
      <c r="O328" s="14"/>
      <c r="P328" s="14"/>
      <c r="Q328" s="14"/>
      <c r="R328" s="14"/>
      <c r="S328" s="14"/>
      <c r="T328" s="14"/>
      <c r="U328" s="14"/>
      <c r="V328" s="14"/>
      <c r="W328" s="14"/>
      <c r="X328" s="14"/>
      <c r="Y328" s="14"/>
      <c r="Z328" s="14"/>
      <c r="AA328" s="15"/>
      <c r="AB328" s="3"/>
      <c r="AC328" s="3"/>
      <c r="AD328" s="3"/>
      <c r="AE328" s="3"/>
      <c r="AF328" s="3"/>
      <c r="AG328" s="3"/>
      <c r="AH328" s="3"/>
      <c r="AI328" s="3"/>
      <c r="AJ328" s="3"/>
      <c r="AK328" s="3"/>
      <c r="AL328" s="3"/>
      <c r="AM328" s="3"/>
      <c r="AN328" s="3"/>
      <c r="AO328" s="3"/>
    </row>
    <row r="329" spans="2:41" s="171" customFormat="1" x14ac:dyDescent="0.25">
      <c r="B329" s="13"/>
      <c r="C329" s="14"/>
      <c r="D329" s="60"/>
      <c r="E329" s="56"/>
      <c r="F329" s="56"/>
      <c r="G329" s="14"/>
      <c r="H329" s="14"/>
      <c r="I329" s="14"/>
      <c r="J329" s="14"/>
      <c r="K329" s="14"/>
      <c r="L329" s="14"/>
      <c r="M329" s="14"/>
      <c r="N329" s="14"/>
      <c r="O329" s="14"/>
      <c r="P329" s="14"/>
      <c r="Q329" s="14"/>
      <c r="R329" s="14"/>
      <c r="S329" s="14"/>
      <c r="T329" s="14"/>
      <c r="U329" s="14"/>
      <c r="V329" s="14"/>
      <c r="W329" s="14"/>
      <c r="X329" s="14"/>
      <c r="Y329" s="14"/>
      <c r="Z329" s="14"/>
      <c r="AA329" s="15"/>
      <c r="AB329" s="3"/>
      <c r="AC329" s="3"/>
      <c r="AD329" s="3"/>
      <c r="AE329" s="3"/>
      <c r="AF329" s="3"/>
      <c r="AG329" s="3"/>
      <c r="AH329" s="3"/>
      <c r="AI329" s="3"/>
      <c r="AJ329" s="3"/>
      <c r="AK329" s="3"/>
      <c r="AL329" s="3"/>
      <c r="AM329" s="3"/>
      <c r="AN329" s="3"/>
      <c r="AO329" s="3"/>
    </row>
    <row r="330" spans="2:41" s="171" customFormat="1" x14ac:dyDescent="0.25">
      <c r="B330" s="13"/>
      <c r="C330" s="14"/>
      <c r="D330" s="60"/>
      <c r="E330" s="56"/>
      <c r="F330" s="56"/>
      <c r="G330" s="14"/>
      <c r="H330" s="56"/>
      <c r="I330" s="14"/>
      <c r="J330" s="14"/>
      <c r="K330" s="14"/>
      <c r="L330" s="14"/>
      <c r="M330" s="14"/>
      <c r="N330" s="14"/>
      <c r="O330" s="14"/>
      <c r="P330" s="14"/>
      <c r="Q330" s="14"/>
      <c r="R330" s="14"/>
      <c r="S330" s="14"/>
      <c r="T330" s="14"/>
      <c r="U330" s="14"/>
      <c r="V330" s="14"/>
      <c r="W330" s="14"/>
      <c r="X330" s="14"/>
      <c r="Y330" s="14"/>
      <c r="Z330" s="14"/>
      <c r="AA330" s="15"/>
      <c r="AB330" s="3"/>
      <c r="AC330" s="3"/>
      <c r="AD330" s="3"/>
      <c r="AE330" s="3"/>
      <c r="AF330" s="3"/>
      <c r="AG330" s="3"/>
      <c r="AH330" s="3"/>
      <c r="AI330" s="3"/>
      <c r="AJ330" s="3"/>
      <c r="AK330" s="3"/>
      <c r="AL330" s="3"/>
      <c r="AM330" s="3"/>
      <c r="AN330" s="3"/>
      <c r="AO330" s="3"/>
    </row>
    <row r="331" spans="2:41" s="171" customFormat="1" x14ac:dyDescent="0.25">
      <c r="B331" s="13"/>
      <c r="C331" s="14"/>
      <c r="D331" s="60"/>
      <c r="E331" s="56"/>
      <c r="F331" s="56"/>
      <c r="G331" s="14"/>
      <c r="H331" s="56"/>
      <c r="I331" s="14"/>
      <c r="J331" s="14"/>
      <c r="K331" s="14"/>
      <c r="L331" s="14"/>
      <c r="M331" s="14"/>
      <c r="N331" s="14"/>
      <c r="O331" s="14"/>
      <c r="P331" s="14"/>
      <c r="Q331" s="14"/>
      <c r="R331" s="14"/>
      <c r="S331" s="14"/>
      <c r="T331" s="14"/>
      <c r="U331" s="14"/>
      <c r="V331" s="14"/>
      <c r="W331" s="14"/>
      <c r="X331" s="14"/>
      <c r="Y331" s="14"/>
      <c r="Z331" s="14"/>
      <c r="AA331" s="15"/>
      <c r="AB331" s="3"/>
      <c r="AC331" s="3"/>
      <c r="AD331" s="3"/>
      <c r="AE331" s="3"/>
      <c r="AF331" s="3"/>
      <c r="AG331" s="3"/>
      <c r="AH331" s="3"/>
      <c r="AI331" s="3"/>
      <c r="AJ331" s="3"/>
      <c r="AK331" s="3"/>
      <c r="AL331" s="3"/>
      <c r="AM331" s="3"/>
      <c r="AN331" s="3"/>
      <c r="AO331" s="3"/>
    </row>
    <row r="332" spans="2:41" s="171" customFormat="1" x14ac:dyDescent="0.25">
      <c r="B332" s="13"/>
      <c r="C332" s="14"/>
      <c r="D332" s="60"/>
      <c r="E332" s="56"/>
      <c r="F332" s="56"/>
      <c r="G332" s="14"/>
      <c r="H332" s="56"/>
      <c r="I332" s="14"/>
      <c r="J332" s="14"/>
      <c r="K332" s="14"/>
      <c r="L332" s="14"/>
      <c r="M332" s="14"/>
      <c r="N332" s="14"/>
      <c r="O332" s="14"/>
      <c r="P332" s="14"/>
      <c r="Q332" s="14"/>
      <c r="R332" s="14"/>
      <c r="S332" s="14"/>
      <c r="T332" s="14"/>
      <c r="U332" s="14"/>
      <c r="V332" s="14"/>
      <c r="W332" s="14"/>
      <c r="X332" s="14"/>
      <c r="Y332" s="14"/>
      <c r="Z332" s="14"/>
      <c r="AA332" s="15"/>
      <c r="AB332" s="3"/>
      <c r="AC332" s="3"/>
      <c r="AD332" s="3"/>
      <c r="AE332" s="3"/>
      <c r="AF332" s="3"/>
      <c r="AG332" s="3"/>
      <c r="AH332" s="3"/>
      <c r="AI332" s="3"/>
      <c r="AJ332" s="3"/>
      <c r="AK332" s="3"/>
      <c r="AL332" s="3"/>
      <c r="AM332" s="3"/>
      <c r="AN332" s="3"/>
      <c r="AO332" s="3"/>
    </row>
    <row r="333" spans="2:41" s="171" customFormat="1" x14ac:dyDescent="0.25">
      <c r="B333" s="13"/>
      <c r="C333" s="56"/>
      <c r="D333" s="60"/>
      <c r="E333" s="56"/>
      <c r="F333" s="56"/>
      <c r="G333" s="56"/>
      <c r="H333" s="56"/>
      <c r="I333" s="14"/>
      <c r="J333" s="14"/>
      <c r="K333" s="14"/>
      <c r="L333" s="14"/>
      <c r="M333" s="14"/>
      <c r="N333" s="14"/>
      <c r="O333" s="14"/>
      <c r="P333" s="14"/>
      <c r="Q333" s="14"/>
      <c r="R333" s="14"/>
      <c r="S333" s="14"/>
      <c r="T333" s="14"/>
      <c r="U333" s="14"/>
      <c r="V333" s="14"/>
      <c r="W333" s="14"/>
      <c r="X333" s="14"/>
      <c r="Y333" s="14"/>
      <c r="Z333" s="14"/>
      <c r="AA333" s="15"/>
      <c r="AB333" s="3"/>
      <c r="AC333" s="3"/>
      <c r="AD333" s="3"/>
      <c r="AE333" s="3"/>
      <c r="AF333" s="3"/>
      <c r="AG333" s="3"/>
      <c r="AH333" s="3"/>
      <c r="AI333" s="3"/>
      <c r="AJ333" s="3"/>
      <c r="AK333" s="3"/>
      <c r="AL333" s="3"/>
      <c r="AM333" s="3"/>
      <c r="AN333" s="3"/>
      <c r="AO333" s="3"/>
    </row>
    <row r="334" spans="2:41" s="171" customFormat="1" x14ac:dyDescent="0.25">
      <c r="B334" s="13"/>
      <c r="C334" s="14"/>
      <c r="D334" s="60"/>
      <c r="E334" s="56"/>
      <c r="F334" s="56"/>
      <c r="G334" s="14"/>
      <c r="H334" s="56"/>
      <c r="I334" s="14"/>
      <c r="J334" s="14"/>
      <c r="K334" s="14"/>
      <c r="L334" s="14"/>
      <c r="M334" s="14"/>
      <c r="N334" s="14"/>
      <c r="O334" s="14"/>
      <c r="P334" s="14"/>
      <c r="Q334" s="14"/>
      <c r="R334" s="14"/>
      <c r="S334" s="14"/>
      <c r="T334" s="14"/>
      <c r="U334" s="14"/>
      <c r="V334" s="14"/>
      <c r="W334" s="14"/>
      <c r="X334" s="14"/>
      <c r="Y334" s="14"/>
      <c r="Z334" s="14"/>
      <c r="AA334" s="15"/>
      <c r="AB334" s="3"/>
      <c r="AC334" s="3"/>
      <c r="AD334" s="3"/>
      <c r="AE334" s="3"/>
      <c r="AF334" s="3"/>
      <c r="AG334" s="3"/>
      <c r="AH334" s="3"/>
      <c r="AI334" s="3"/>
      <c r="AJ334" s="3"/>
      <c r="AK334" s="3"/>
      <c r="AL334" s="3"/>
      <c r="AM334" s="3"/>
      <c r="AN334" s="3"/>
      <c r="AO334" s="3"/>
    </row>
    <row r="335" spans="2:41" s="171" customFormat="1" x14ac:dyDescent="0.25">
      <c r="B335" s="13"/>
      <c r="C335" s="14"/>
      <c r="D335" s="14"/>
      <c r="E335" s="56"/>
      <c r="F335" s="56"/>
      <c r="G335" s="14"/>
      <c r="H335" s="56"/>
      <c r="I335" s="14"/>
      <c r="J335" s="14"/>
      <c r="K335" s="14"/>
      <c r="L335" s="14"/>
      <c r="M335" s="14"/>
      <c r="N335" s="14"/>
      <c r="O335" s="14"/>
      <c r="P335" s="14"/>
      <c r="Q335" s="14"/>
      <c r="R335" s="14"/>
      <c r="S335" s="14"/>
      <c r="T335" s="14"/>
      <c r="U335" s="14"/>
      <c r="V335" s="14"/>
      <c r="W335" s="14"/>
      <c r="X335" s="14"/>
      <c r="Y335" s="14"/>
      <c r="Z335" s="14"/>
      <c r="AA335" s="15"/>
      <c r="AB335" s="3"/>
      <c r="AC335" s="3"/>
      <c r="AD335" s="3"/>
      <c r="AE335" s="3"/>
      <c r="AF335" s="3"/>
      <c r="AG335" s="3"/>
      <c r="AH335" s="3"/>
      <c r="AI335" s="3"/>
      <c r="AJ335" s="3"/>
      <c r="AK335" s="3"/>
      <c r="AL335" s="3"/>
      <c r="AM335" s="3"/>
      <c r="AN335" s="3"/>
      <c r="AO335" s="3"/>
    </row>
    <row r="336" spans="2:41" s="171" customFormat="1" ht="18.75" x14ac:dyDescent="0.3">
      <c r="B336" s="67"/>
      <c r="C336" s="14"/>
      <c r="D336" s="60"/>
      <c r="E336" s="56"/>
      <c r="F336" s="56"/>
      <c r="G336" s="14"/>
      <c r="H336" s="14"/>
      <c r="I336" s="74"/>
      <c r="J336" s="14"/>
      <c r="K336" s="14"/>
      <c r="L336" s="14"/>
      <c r="M336" s="14"/>
      <c r="N336" s="14"/>
      <c r="O336" s="14"/>
      <c r="P336" s="14"/>
      <c r="Q336" s="14"/>
      <c r="R336" s="14"/>
      <c r="S336" s="14"/>
      <c r="T336" s="14"/>
      <c r="U336" s="14"/>
      <c r="V336" s="14"/>
      <c r="W336" s="14"/>
      <c r="X336" s="14"/>
      <c r="Y336" s="14"/>
      <c r="Z336" s="14"/>
      <c r="AA336" s="15"/>
      <c r="AB336" s="3"/>
      <c r="AC336" s="3"/>
      <c r="AD336" s="3"/>
      <c r="AE336" s="3"/>
      <c r="AF336" s="3"/>
      <c r="AG336" s="3"/>
      <c r="AH336" s="3"/>
      <c r="AI336" s="3"/>
      <c r="AJ336" s="3"/>
      <c r="AK336" s="3"/>
      <c r="AL336" s="3"/>
      <c r="AM336" s="3"/>
      <c r="AN336" s="3"/>
      <c r="AO336" s="3"/>
    </row>
    <row r="337" spans="2:41" s="171" customFormat="1" x14ac:dyDescent="0.25">
      <c r="B337" s="13"/>
      <c r="C337" s="14"/>
      <c r="D337" s="60"/>
      <c r="E337" s="56"/>
      <c r="F337" s="56"/>
      <c r="G337" s="14"/>
      <c r="H337" s="56"/>
      <c r="I337" s="14"/>
      <c r="J337" s="14"/>
      <c r="K337" s="14"/>
      <c r="L337" s="14"/>
      <c r="M337" s="14"/>
      <c r="N337" s="14"/>
      <c r="O337" s="14"/>
      <c r="P337" s="14"/>
      <c r="Q337" s="14"/>
      <c r="R337" s="14"/>
      <c r="S337" s="14"/>
      <c r="T337" s="14"/>
      <c r="U337" s="14"/>
      <c r="V337" s="14"/>
      <c r="W337" s="14"/>
      <c r="X337" s="14"/>
      <c r="Y337" s="14"/>
      <c r="Z337" s="14"/>
      <c r="AA337" s="15"/>
      <c r="AB337" s="3"/>
      <c r="AC337" s="3"/>
      <c r="AD337" s="3"/>
      <c r="AE337" s="3"/>
      <c r="AF337" s="3"/>
      <c r="AG337" s="3"/>
      <c r="AH337" s="3"/>
      <c r="AI337" s="3"/>
      <c r="AJ337" s="3"/>
      <c r="AK337" s="3"/>
      <c r="AL337" s="3"/>
      <c r="AM337" s="3"/>
      <c r="AN337" s="3"/>
      <c r="AO337" s="3"/>
    </row>
    <row r="338" spans="2:41" s="171" customFormat="1" x14ac:dyDescent="0.25">
      <c r="B338" s="13"/>
      <c r="C338" s="14"/>
      <c r="D338" s="60"/>
      <c r="E338" s="56"/>
      <c r="F338" s="56"/>
      <c r="G338" s="14"/>
      <c r="H338" s="56"/>
      <c r="I338" s="14"/>
      <c r="J338" s="14"/>
      <c r="K338" s="14"/>
      <c r="L338" s="14"/>
      <c r="M338" s="14"/>
      <c r="N338" s="14"/>
      <c r="O338" s="14"/>
      <c r="P338" s="14"/>
      <c r="Q338" s="14"/>
      <c r="R338" s="14"/>
      <c r="S338" s="14"/>
      <c r="T338" s="14"/>
      <c r="U338" s="14"/>
      <c r="V338" s="14"/>
      <c r="W338" s="14"/>
      <c r="X338" s="14"/>
      <c r="Y338" s="14"/>
      <c r="Z338" s="14"/>
      <c r="AA338" s="15"/>
      <c r="AB338" s="3"/>
      <c r="AC338" s="3"/>
      <c r="AD338" s="3"/>
      <c r="AE338" s="3"/>
      <c r="AF338" s="3"/>
      <c r="AG338" s="3"/>
      <c r="AH338" s="3"/>
      <c r="AI338" s="3"/>
      <c r="AJ338" s="3"/>
      <c r="AK338" s="3"/>
      <c r="AL338" s="3"/>
      <c r="AM338" s="3"/>
      <c r="AN338" s="3"/>
      <c r="AO338" s="3"/>
    </row>
    <row r="339" spans="2:41" s="171" customFormat="1" x14ac:dyDescent="0.25">
      <c r="B339" s="13"/>
      <c r="C339" s="14"/>
      <c r="D339" s="60"/>
      <c r="E339" s="56"/>
      <c r="F339" s="56"/>
      <c r="G339" s="14"/>
      <c r="H339" s="56"/>
      <c r="I339" s="14"/>
      <c r="J339" s="14"/>
      <c r="K339" s="14"/>
      <c r="L339" s="14"/>
      <c r="M339" s="14"/>
      <c r="N339" s="14"/>
      <c r="O339" s="14"/>
      <c r="P339" s="14"/>
      <c r="Q339" s="14"/>
      <c r="R339" s="14"/>
      <c r="S339" s="14"/>
      <c r="T339" s="14"/>
      <c r="U339" s="14"/>
      <c r="V339" s="14"/>
      <c r="W339" s="14"/>
      <c r="X339" s="14"/>
      <c r="Y339" s="14"/>
      <c r="Z339" s="14"/>
      <c r="AA339" s="15"/>
      <c r="AB339" s="3"/>
      <c r="AC339" s="3"/>
      <c r="AD339" s="3"/>
      <c r="AE339" s="3"/>
      <c r="AF339" s="3"/>
      <c r="AG339" s="3"/>
      <c r="AH339" s="3"/>
      <c r="AI339" s="3"/>
      <c r="AJ339" s="3"/>
      <c r="AK339" s="3"/>
      <c r="AL339" s="3"/>
      <c r="AM339" s="3"/>
      <c r="AN339" s="3"/>
      <c r="AO339" s="3"/>
    </row>
    <row r="340" spans="2:41" s="171" customFormat="1" x14ac:dyDescent="0.25">
      <c r="B340" s="13"/>
      <c r="C340" s="56"/>
      <c r="D340" s="60"/>
      <c r="E340" s="56"/>
      <c r="F340" s="56"/>
      <c r="G340" s="56"/>
      <c r="H340" s="56"/>
      <c r="I340" s="14"/>
      <c r="J340" s="14"/>
      <c r="K340" s="14"/>
      <c r="L340" s="14"/>
      <c r="M340" s="14"/>
      <c r="N340" s="14"/>
      <c r="O340" s="14"/>
      <c r="P340" s="14"/>
      <c r="Q340" s="14"/>
      <c r="R340" s="14"/>
      <c r="S340" s="14"/>
      <c r="T340" s="14"/>
      <c r="U340" s="14"/>
      <c r="V340" s="14"/>
      <c r="W340" s="14"/>
      <c r="X340" s="14"/>
      <c r="Y340" s="14"/>
      <c r="Z340" s="14"/>
      <c r="AA340" s="15"/>
      <c r="AB340" s="3"/>
      <c r="AC340" s="3"/>
      <c r="AD340" s="3"/>
      <c r="AE340" s="3"/>
      <c r="AF340" s="3"/>
      <c r="AG340" s="3"/>
      <c r="AH340" s="3"/>
      <c r="AI340" s="3"/>
      <c r="AJ340" s="3"/>
      <c r="AK340" s="3"/>
      <c r="AL340" s="3"/>
      <c r="AM340" s="3"/>
      <c r="AN340" s="3"/>
      <c r="AO340" s="3"/>
    </row>
    <row r="341" spans="2:41" s="171" customFormat="1" x14ac:dyDescent="0.25">
      <c r="B341" s="13"/>
      <c r="C341" s="14"/>
      <c r="D341" s="60"/>
      <c r="E341" s="56"/>
      <c r="F341" s="56"/>
      <c r="G341" s="14"/>
      <c r="H341" s="56"/>
      <c r="I341" s="14"/>
      <c r="J341" s="14"/>
      <c r="K341" s="14"/>
      <c r="L341" s="14"/>
      <c r="M341" s="14"/>
      <c r="N341" s="14"/>
      <c r="O341" s="14"/>
      <c r="P341" s="14"/>
      <c r="Q341" s="14"/>
      <c r="R341" s="14"/>
      <c r="S341" s="14"/>
      <c r="T341" s="14"/>
      <c r="U341" s="14"/>
      <c r="V341" s="14"/>
      <c r="W341" s="14"/>
      <c r="X341" s="14"/>
      <c r="Y341" s="14"/>
      <c r="Z341" s="14"/>
      <c r="AA341" s="15"/>
      <c r="AB341" s="3"/>
      <c r="AC341" s="3"/>
      <c r="AD341" s="3"/>
      <c r="AE341" s="3"/>
      <c r="AF341" s="3"/>
      <c r="AG341" s="3"/>
      <c r="AH341" s="3"/>
      <c r="AI341" s="3"/>
      <c r="AJ341" s="3"/>
      <c r="AK341" s="3"/>
      <c r="AL341" s="3"/>
      <c r="AM341" s="3"/>
      <c r="AN341" s="3"/>
      <c r="AO341" s="3"/>
    </row>
    <row r="342" spans="2:41" s="171" customFormat="1" x14ac:dyDescent="0.25">
      <c r="B342" s="13"/>
      <c r="C342" s="14"/>
      <c r="D342" s="14"/>
      <c r="E342" s="56"/>
      <c r="F342" s="56"/>
      <c r="G342" s="14"/>
      <c r="H342" s="56"/>
      <c r="I342" s="14"/>
      <c r="J342" s="14"/>
      <c r="K342" s="14"/>
      <c r="L342" s="14"/>
      <c r="M342" s="14"/>
      <c r="N342" s="14"/>
      <c r="O342" s="14"/>
      <c r="P342" s="14"/>
      <c r="Q342" s="14"/>
      <c r="R342" s="14"/>
      <c r="S342" s="14"/>
      <c r="T342" s="14"/>
      <c r="U342" s="14"/>
      <c r="V342" s="14"/>
      <c r="W342" s="14"/>
      <c r="X342" s="14"/>
      <c r="Y342" s="14"/>
      <c r="Z342" s="14"/>
      <c r="AA342" s="15"/>
      <c r="AB342" s="3"/>
      <c r="AC342" s="3"/>
      <c r="AD342" s="3"/>
      <c r="AE342" s="3"/>
      <c r="AF342" s="3"/>
      <c r="AG342" s="3"/>
      <c r="AH342" s="3"/>
      <c r="AI342" s="3"/>
      <c r="AJ342" s="3"/>
      <c r="AK342" s="3"/>
      <c r="AL342" s="3"/>
      <c r="AM342" s="3"/>
      <c r="AN342" s="3"/>
      <c r="AO342" s="3"/>
    </row>
    <row r="343" spans="2:41" s="171" customFormat="1" x14ac:dyDescent="0.25">
      <c r="B343" s="13"/>
      <c r="C343" s="14"/>
      <c r="D343" s="60"/>
      <c r="E343" s="56"/>
      <c r="F343" s="56"/>
      <c r="G343" s="14"/>
      <c r="H343" s="14"/>
      <c r="I343" s="14"/>
      <c r="J343" s="14"/>
      <c r="K343" s="14"/>
      <c r="L343" s="14"/>
      <c r="M343" s="14"/>
      <c r="N343" s="14"/>
      <c r="O343" s="14"/>
      <c r="P343" s="14"/>
      <c r="Q343" s="14"/>
      <c r="R343" s="14"/>
      <c r="S343" s="14"/>
      <c r="T343" s="14"/>
      <c r="U343" s="14"/>
      <c r="V343" s="14"/>
      <c r="W343" s="14"/>
      <c r="X343" s="14"/>
      <c r="Y343" s="14"/>
      <c r="Z343" s="14"/>
      <c r="AA343" s="15"/>
      <c r="AB343" s="3"/>
      <c r="AC343" s="3"/>
      <c r="AD343" s="3"/>
      <c r="AE343" s="3"/>
      <c r="AF343" s="3"/>
      <c r="AG343" s="3"/>
      <c r="AH343" s="3"/>
      <c r="AI343" s="3"/>
      <c r="AJ343" s="3"/>
      <c r="AK343" s="3"/>
      <c r="AL343" s="3"/>
      <c r="AM343" s="3"/>
      <c r="AN343" s="3"/>
      <c r="AO343" s="3"/>
    </row>
    <row r="344" spans="2:41" s="171" customFormat="1" ht="18.75" x14ac:dyDescent="0.3">
      <c r="B344" s="67"/>
      <c r="C344" s="14"/>
      <c r="D344" s="60"/>
      <c r="E344" s="56"/>
      <c r="F344" s="56"/>
      <c r="G344" s="14"/>
      <c r="H344" s="56"/>
      <c r="I344" s="74"/>
      <c r="J344" s="14"/>
      <c r="K344" s="14"/>
      <c r="L344" s="14"/>
      <c r="M344" s="14"/>
      <c r="N344" s="14"/>
      <c r="O344" s="14"/>
      <c r="P344" s="14"/>
      <c r="Q344" s="14"/>
      <c r="R344" s="14"/>
      <c r="S344" s="14"/>
      <c r="T344" s="14"/>
      <c r="U344" s="14"/>
      <c r="V344" s="14"/>
      <c r="W344" s="14"/>
      <c r="X344" s="14"/>
      <c r="Y344" s="14"/>
      <c r="Z344" s="14"/>
      <c r="AA344" s="15"/>
      <c r="AB344" s="3"/>
      <c r="AC344" s="3"/>
      <c r="AD344" s="3"/>
      <c r="AE344" s="3"/>
      <c r="AF344" s="3"/>
      <c r="AG344" s="3"/>
      <c r="AH344" s="3"/>
      <c r="AI344" s="3"/>
      <c r="AJ344" s="3"/>
      <c r="AK344" s="3"/>
      <c r="AL344" s="3"/>
      <c r="AM344" s="3"/>
      <c r="AN344" s="3"/>
      <c r="AO344" s="3"/>
    </row>
    <row r="345" spans="2:41" s="171" customFormat="1" x14ac:dyDescent="0.25">
      <c r="B345" s="13"/>
      <c r="C345" s="14"/>
      <c r="D345" s="60"/>
      <c r="E345" s="56"/>
      <c r="F345" s="56"/>
      <c r="G345" s="14"/>
      <c r="H345" s="56"/>
      <c r="I345" s="14"/>
      <c r="J345" s="14"/>
      <c r="K345" s="14"/>
      <c r="L345" s="14"/>
      <c r="M345" s="14"/>
      <c r="N345" s="14"/>
      <c r="O345" s="14"/>
      <c r="P345" s="14"/>
      <c r="Q345" s="14"/>
      <c r="R345" s="14"/>
      <c r="S345" s="14"/>
      <c r="T345" s="14"/>
      <c r="U345" s="14"/>
      <c r="V345" s="14"/>
      <c r="W345" s="14"/>
      <c r="X345" s="14"/>
      <c r="Y345" s="14"/>
      <c r="Z345" s="14"/>
      <c r="AA345" s="15"/>
      <c r="AB345" s="3"/>
      <c r="AC345" s="3"/>
      <c r="AD345" s="3"/>
      <c r="AE345" s="3"/>
      <c r="AF345" s="3"/>
      <c r="AG345" s="3"/>
      <c r="AH345" s="3"/>
      <c r="AI345" s="3"/>
      <c r="AJ345" s="3"/>
      <c r="AK345" s="3"/>
      <c r="AL345" s="3"/>
      <c r="AM345" s="3"/>
      <c r="AN345" s="3"/>
      <c r="AO345" s="3"/>
    </row>
    <row r="346" spans="2:41" s="171" customFormat="1" x14ac:dyDescent="0.25">
      <c r="B346" s="13"/>
      <c r="C346" s="14"/>
      <c r="D346" s="60"/>
      <c r="E346" s="56"/>
      <c r="F346" s="56"/>
      <c r="G346" s="14"/>
      <c r="H346" s="56"/>
      <c r="I346" s="14"/>
      <c r="J346" s="14"/>
      <c r="K346" s="14"/>
      <c r="L346" s="14"/>
      <c r="M346" s="14"/>
      <c r="N346" s="14"/>
      <c r="O346" s="14"/>
      <c r="P346" s="14"/>
      <c r="Q346" s="14"/>
      <c r="R346" s="14"/>
      <c r="S346" s="14"/>
      <c r="T346" s="14"/>
      <c r="U346" s="14"/>
      <c r="V346" s="14"/>
      <c r="W346" s="14"/>
      <c r="X346" s="14"/>
      <c r="Y346" s="14"/>
      <c r="Z346" s="14"/>
      <c r="AA346" s="15"/>
      <c r="AB346" s="3"/>
      <c r="AC346" s="3"/>
      <c r="AD346" s="3"/>
      <c r="AE346" s="3"/>
      <c r="AF346" s="3"/>
      <c r="AG346" s="3"/>
      <c r="AH346" s="3"/>
      <c r="AI346" s="3"/>
      <c r="AJ346" s="3"/>
      <c r="AK346" s="3"/>
      <c r="AL346" s="3"/>
      <c r="AM346" s="3"/>
      <c r="AN346" s="3"/>
      <c r="AO346" s="3"/>
    </row>
    <row r="347" spans="2:41" s="171" customFormat="1" x14ac:dyDescent="0.25">
      <c r="B347" s="13"/>
      <c r="C347" s="56"/>
      <c r="D347" s="60"/>
      <c r="E347" s="56"/>
      <c r="F347" s="56"/>
      <c r="G347" s="56"/>
      <c r="H347" s="56"/>
      <c r="I347" s="14"/>
      <c r="J347" s="14"/>
      <c r="K347" s="14"/>
      <c r="L347" s="14"/>
      <c r="M347" s="14"/>
      <c r="N347" s="14"/>
      <c r="O347" s="14"/>
      <c r="P347" s="14"/>
      <c r="Q347" s="14"/>
      <c r="R347" s="14"/>
      <c r="S347" s="14"/>
      <c r="T347" s="14"/>
      <c r="U347" s="14"/>
      <c r="V347" s="14"/>
      <c r="W347" s="14"/>
      <c r="X347" s="14"/>
      <c r="Y347" s="14"/>
      <c r="Z347" s="14"/>
      <c r="AA347" s="15"/>
      <c r="AB347" s="3"/>
      <c r="AC347" s="3"/>
      <c r="AD347" s="3"/>
      <c r="AE347" s="3"/>
      <c r="AF347" s="3"/>
      <c r="AG347" s="3"/>
      <c r="AH347" s="3"/>
      <c r="AI347" s="3"/>
      <c r="AJ347" s="3"/>
      <c r="AK347" s="3"/>
      <c r="AL347" s="3"/>
      <c r="AM347" s="3"/>
      <c r="AN347" s="3"/>
      <c r="AO347" s="3"/>
    </row>
    <row r="348" spans="2:41" s="171" customFormat="1" x14ac:dyDescent="0.25">
      <c r="B348" s="13"/>
      <c r="C348" s="14"/>
      <c r="D348" s="60"/>
      <c r="E348" s="56"/>
      <c r="F348" s="56"/>
      <c r="G348" s="14"/>
      <c r="H348" s="56"/>
      <c r="I348" s="14"/>
      <c r="J348" s="14"/>
      <c r="K348" s="14"/>
      <c r="L348" s="14"/>
      <c r="M348" s="14"/>
      <c r="N348" s="14"/>
      <c r="O348" s="14"/>
      <c r="P348" s="14"/>
      <c r="Q348" s="14"/>
      <c r="R348" s="14"/>
      <c r="S348" s="14"/>
      <c r="T348" s="14"/>
      <c r="U348" s="14"/>
      <c r="V348" s="14"/>
      <c r="W348" s="14"/>
      <c r="X348" s="14"/>
      <c r="Y348" s="14"/>
      <c r="Z348" s="14"/>
      <c r="AA348" s="15"/>
      <c r="AB348" s="3"/>
      <c r="AC348" s="3"/>
      <c r="AD348" s="3"/>
      <c r="AE348" s="3"/>
      <c r="AF348" s="3"/>
      <c r="AG348" s="3"/>
      <c r="AH348" s="3"/>
      <c r="AI348" s="3"/>
      <c r="AJ348" s="3"/>
      <c r="AK348" s="3"/>
      <c r="AL348" s="3"/>
      <c r="AM348" s="3"/>
      <c r="AN348" s="3"/>
      <c r="AO348" s="3"/>
    </row>
    <row r="349" spans="2:41" s="171" customFormat="1" x14ac:dyDescent="0.25">
      <c r="B349" s="13"/>
      <c r="C349" s="14"/>
      <c r="D349" s="14"/>
      <c r="E349" s="56"/>
      <c r="F349" s="56"/>
      <c r="G349" s="14"/>
      <c r="H349" s="56"/>
      <c r="I349" s="14"/>
      <c r="J349" s="14"/>
      <c r="K349" s="14"/>
      <c r="L349" s="14"/>
      <c r="M349" s="14"/>
      <c r="N349" s="14"/>
      <c r="O349" s="14"/>
      <c r="P349" s="14"/>
      <c r="Q349" s="14"/>
      <c r="R349" s="14"/>
      <c r="S349" s="14"/>
      <c r="T349" s="14"/>
      <c r="U349" s="14"/>
      <c r="V349" s="14"/>
      <c r="W349" s="14"/>
      <c r="X349" s="14"/>
      <c r="Y349" s="14"/>
      <c r="Z349" s="14"/>
      <c r="AA349" s="15"/>
      <c r="AB349" s="3"/>
      <c r="AC349" s="3"/>
      <c r="AD349" s="3"/>
      <c r="AE349" s="3"/>
      <c r="AF349" s="3"/>
      <c r="AG349" s="3"/>
      <c r="AH349" s="3"/>
      <c r="AI349" s="3"/>
      <c r="AJ349" s="3"/>
      <c r="AK349" s="3"/>
      <c r="AL349" s="3"/>
      <c r="AM349" s="3"/>
      <c r="AN349" s="3"/>
      <c r="AO349" s="3"/>
    </row>
    <row r="350" spans="2:41" s="171" customFormat="1" x14ac:dyDescent="0.25">
      <c r="B350" s="13"/>
      <c r="C350" s="14"/>
      <c r="D350" s="60"/>
      <c r="E350" s="56"/>
      <c r="F350" s="56"/>
      <c r="G350" s="14"/>
      <c r="H350" s="14"/>
      <c r="I350" s="14"/>
      <c r="J350" s="14"/>
      <c r="K350" s="14"/>
      <c r="L350" s="14"/>
      <c r="M350" s="14"/>
      <c r="N350" s="14"/>
      <c r="O350" s="14"/>
      <c r="P350" s="14"/>
      <c r="Q350" s="14"/>
      <c r="R350" s="14"/>
      <c r="S350" s="14"/>
      <c r="T350" s="14"/>
      <c r="U350" s="14"/>
      <c r="V350" s="14"/>
      <c r="W350" s="14"/>
      <c r="X350" s="14"/>
      <c r="Y350" s="14"/>
      <c r="Z350" s="14"/>
      <c r="AA350" s="15"/>
      <c r="AB350" s="3"/>
      <c r="AC350" s="3"/>
      <c r="AD350" s="3"/>
      <c r="AE350" s="3"/>
      <c r="AF350" s="3"/>
      <c r="AG350" s="3"/>
      <c r="AH350" s="3"/>
      <c r="AI350" s="3"/>
      <c r="AJ350" s="3"/>
      <c r="AK350" s="3"/>
      <c r="AL350" s="3"/>
      <c r="AM350" s="3"/>
      <c r="AN350" s="3"/>
      <c r="AO350" s="3"/>
    </row>
    <row r="351" spans="2:41" s="171" customFormat="1" x14ac:dyDescent="0.25">
      <c r="B351" s="13"/>
      <c r="C351" s="14"/>
      <c r="D351" s="60"/>
      <c r="E351" s="56"/>
      <c r="F351" s="56"/>
      <c r="G351" s="14"/>
      <c r="H351" s="56"/>
      <c r="I351" s="14"/>
      <c r="J351" s="14"/>
      <c r="K351" s="14"/>
      <c r="L351" s="14"/>
      <c r="M351" s="14"/>
      <c r="N351" s="14"/>
      <c r="O351" s="14"/>
      <c r="P351" s="14"/>
      <c r="Q351" s="14"/>
      <c r="R351" s="14"/>
      <c r="S351" s="14"/>
      <c r="T351" s="14"/>
      <c r="U351" s="14"/>
      <c r="V351" s="14"/>
      <c r="W351" s="14"/>
      <c r="X351" s="14"/>
      <c r="Y351" s="14"/>
      <c r="Z351" s="14"/>
      <c r="AA351" s="15"/>
      <c r="AB351" s="3"/>
      <c r="AC351" s="3"/>
      <c r="AD351" s="3"/>
      <c r="AE351" s="3"/>
      <c r="AF351" s="3"/>
      <c r="AG351" s="3"/>
      <c r="AH351" s="3"/>
      <c r="AI351" s="3"/>
      <c r="AJ351" s="3"/>
      <c r="AK351" s="3"/>
      <c r="AL351" s="3"/>
      <c r="AM351" s="3"/>
      <c r="AN351" s="3"/>
      <c r="AO351" s="3"/>
    </row>
    <row r="352" spans="2:41" s="171" customFormat="1" ht="18.75" x14ac:dyDescent="0.3">
      <c r="B352" s="67"/>
      <c r="C352" s="14"/>
      <c r="D352" s="60"/>
      <c r="E352" s="56"/>
      <c r="F352" s="56"/>
      <c r="G352" s="14"/>
      <c r="H352" s="56"/>
      <c r="I352" s="74"/>
      <c r="J352" s="14"/>
      <c r="K352" s="14"/>
      <c r="L352" s="14"/>
      <c r="M352" s="14"/>
      <c r="N352" s="14"/>
      <c r="O352" s="14"/>
      <c r="P352" s="14"/>
      <c r="Q352" s="14"/>
      <c r="R352" s="14"/>
      <c r="S352" s="14"/>
      <c r="T352" s="14"/>
      <c r="U352" s="14"/>
      <c r="V352" s="14"/>
      <c r="W352" s="14"/>
      <c r="X352" s="14"/>
      <c r="Y352" s="14"/>
      <c r="Z352" s="14"/>
      <c r="AA352" s="15"/>
      <c r="AB352" s="3"/>
      <c r="AC352" s="3"/>
      <c r="AD352" s="3"/>
      <c r="AE352" s="3"/>
      <c r="AF352" s="3"/>
      <c r="AG352" s="3"/>
      <c r="AH352" s="3"/>
      <c r="AI352" s="3"/>
      <c r="AJ352" s="3"/>
      <c r="AK352" s="3"/>
      <c r="AL352" s="3"/>
      <c r="AM352" s="3"/>
      <c r="AN352" s="3"/>
      <c r="AO352" s="3"/>
    </row>
    <row r="353" spans="2:41" s="171" customFormat="1" x14ac:dyDescent="0.25">
      <c r="B353" s="13"/>
      <c r="C353" s="14"/>
      <c r="D353" s="60"/>
      <c r="E353" s="56"/>
      <c r="F353" s="56"/>
      <c r="G353" s="14"/>
      <c r="H353" s="56"/>
      <c r="I353" s="14"/>
      <c r="J353" s="14"/>
      <c r="K353" s="14"/>
      <c r="L353" s="14"/>
      <c r="M353" s="14"/>
      <c r="N353" s="14"/>
      <c r="O353" s="14"/>
      <c r="P353" s="14"/>
      <c r="Q353" s="14"/>
      <c r="R353" s="14"/>
      <c r="S353" s="14"/>
      <c r="T353" s="14"/>
      <c r="U353" s="14"/>
      <c r="V353" s="14"/>
      <c r="W353" s="14"/>
      <c r="X353" s="14"/>
      <c r="Y353" s="14"/>
      <c r="Z353" s="14"/>
      <c r="AA353" s="15"/>
      <c r="AB353" s="3"/>
      <c r="AC353" s="3"/>
      <c r="AD353" s="3"/>
      <c r="AE353" s="3"/>
      <c r="AF353" s="3"/>
      <c r="AG353" s="3"/>
      <c r="AH353" s="3"/>
      <c r="AI353" s="3"/>
      <c r="AJ353" s="3"/>
      <c r="AK353" s="3"/>
      <c r="AL353" s="3"/>
      <c r="AM353" s="3"/>
      <c r="AN353" s="3"/>
      <c r="AO353" s="3"/>
    </row>
    <row r="354" spans="2:41" s="171" customFormat="1" x14ac:dyDescent="0.25">
      <c r="B354" s="13"/>
      <c r="C354" s="56"/>
      <c r="D354" s="60"/>
      <c r="E354" s="56"/>
      <c r="F354" s="56"/>
      <c r="G354" s="56"/>
      <c r="H354" s="56"/>
      <c r="I354" s="14"/>
      <c r="J354" s="14"/>
      <c r="K354" s="14"/>
      <c r="L354" s="14"/>
      <c r="M354" s="14"/>
      <c r="N354" s="14"/>
      <c r="O354" s="14"/>
      <c r="P354" s="14"/>
      <c r="Q354" s="14"/>
      <c r="R354" s="14"/>
      <c r="S354" s="14"/>
      <c r="T354" s="14"/>
      <c r="U354" s="14"/>
      <c r="V354" s="14"/>
      <c r="W354" s="14"/>
      <c r="X354" s="14"/>
      <c r="Y354" s="14"/>
      <c r="Z354" s="14"/>
      <c r="AA354" s="15"/>
      <c r="AB354" s="3"/>
      <c r="AC354" s="3"/>
      <c r="AD354" s="3"/>
      <c r="AE354" s="3"/>
      <c r="AF354" s="3"/>
      <c r="AG354" s="3"/>
      <c r="AH354" s="3"/>
      <c r="AI354" s="3"/>
      <c r="AJ354" s="3"/>
      <c r="AK354" s="3"/>
      <c r="AL354" s="3"/>
      <c r="AM354" s="3"/>
      <c r="AN354" s="3"/>
      <c r="AO354" s="3"/>
    </row>
    <row r="355" spans="2:41" s="171" customFormat="1" x14ac:dyDescent="0.25">
      <c r="B355" s="13"/>
      <c r="C355" s="14"/>
      <c r="D355" s="60"/>
      <c r="E355" s="56"/>
      <c r="F355" s="56"/>
      <c r="G355" s="14"/>
      <c r="H355" s="56"/>
      <c r="I355" s="14"/>
      <c r="J355" s="14"/>
      <c r="K355" s="14"/>
      <c r="L355" s="14"/>
      <c r="M355" s="14"/>
      <c r="N355" s="14"/>
      <c r="O355" s="14"/>
      <c r="P355" s="14"/>
      <c r="Q355" s="14"/>
      <c r="R355" s="14"/>
      <c r="S355" s="14"/>
      <c r="T355" s="14"/>
      <c r="U355" s="14"/>
      <c r="V355" s="14"/>
      <c r="W355" s="14"/>
      <c r="X355" s="14"/>
      <c r="Y355" s="14"/>
      <c r="Z355" s="14"/>
      <c r="AA355" s="15"/>
      <c r="AB355" s="3"/>
      <c r="AC355" s="3"/>
      <c r="AD355" s="3"/>
      <c r="AE355" s="3"/>
      <c r="AF355" s="3"/>
      <c r="AG355" s="3"/>
      <c r="AH355" s="3"/>
      <c r="AI355" s="3"/>
      <c r="AJ355" s="3"/>
      <c r="AK355" s="3"/>
      <c r="AL355" s="3"/>
      <c r="AM355" s="3"/>
      <c r="AN355" s="3"/>
      <c r="AO355" s="3"/>
    </row>
    <row r="356" spans="2:41" s="171" customFormat="1" x14ac:dyDescent="0.25">
      <c r="B356" s="13"/>
      <c r="C356" s="14"/>
      <c r="D356" s="14"/>
      <c r="E356" s="56"/>
      <c r="F356" s="56"/>
      <c r="G356" s="14"/>
      <c r="H356" s="56"/>
      <c r="I356" s="14"/>
      <c r="J356" s="14"/>
      <c r="K356" s="14"/>
      <c r="L356" s="14"/>
      <c r="M356" s="14"/>
      <c r="N356" s="14"/>
      <c r="O356" s="14"/>
      <c r="P356" s="14"/>
      <c r="Q356" s="14"/>
      <c r="R356" s="14"/>
      <c r="S356" s="14"/>
      <c r="T356" s="14"/>
      <c r="U356" s="14"/>
      <c r="V356" s="14"/>
      <c r="W356" s="14"/>
      <c r="X356" s="14"/>
      <c r="Y356" s="14"/>
      <c r="Z356" s="14"/>
      <c r="AA356" s="15"/>
      <c r="AB356" s="3"/>
      <c r="AC356" s="3"/>
      <c r="AD356" s="3"/>
      <c r="AE356" s="3"/>
      <c r="AF356" s="3"/>
      <c r="AG356" s="3"/>
      <c r="AH356" s="3"/>
      <c r="AI356" s="3"/>
      <c r="AJ356" s="3"/>
      <c r="AK356" s="3"/>
      <c r="AL356" s="3"/>
      <c r="AM356" s="3"/>
      <c r="AN356" s="3"/>
      <c r="AO356" s="3"/>
    </row>
    <row r="357" spans="2:41" s="171" customFormat="1" x14ac:dyDescent="0.25">
      <c r="B357" s="13"/>
      <c r="C357" s="14"/>
      <c r="D357" s="60"/>
      <c r="E357" s="56"/>
      <c r="F357" s="56"/>
      <c r="G357" s="14"/>
      <c r="H357" s="14"/>
      <c r="I357" s="14"/>
      <c r="J357" s="14"/>
      <c r="K357" s="14"/>
      <c r="L357" s="14"/>
      <c r="M357" s="14"/>
      <c r="N357" s="14"/>
      <c r="O357" s="14"/>
      <c r="P357" s="14"/>
      <c r="Q357" s="14"/>
      <c r="R357" s="14"/>
      <c r="S357" s="14"/>
      <c r="T357" s="14"/>
      <c r="U357" s="14"/>
      <c r="V357" s="14"/>
      <c r="W357" s="14"/>
      <c r="X357" s="14"/>
      <c r="Y357" s="14"/>
      <c r="Z357" s="14"/>
      <c r="AA357" s="15"/>
      <c r="AB357" s="3"/>
      <c r="AC357" s="3"/>
      <c r="AD357" s="3"/>
      <c r="AE357" s="3"/>
      <c r="AF357" s="3"/>
      <c r="AG357" s="3"/>
      <c r="AH357" s="3"/>
      <c r="AI357" s="3"/>
      <c r="AJ357" s="3"/>
      <c r="AK357" s="3"/>
      <c r="AL357" s="3"/>
      <c r="AM357" s="3"/>
      <c r="AN357" s="3"/>
      <c r="AO357" s="3"/>
    </row>
    <row r="358" spans="2:41" s="171" customFormat="1" x14ac:dyDescent="0.25">
      <c r="B358" s="13"/>
      <c r="C358" s="14"/>
      <c r="D358" s="60"/>
      <c r="E358" s="56"/>
      <c r="F358" s="56"/>
      <c r="G358" s="14"/>
      <c r="H358" s="56"/>
      <c r="I358" s="14"/>
      <c r="J358" s="14"/>
      <c r="K358" s="14"/>
      <c r="L358" s="14"/>
      <c r="M358" s="14"/>
      <c r="N358" s="14"/>
      <c r="O358" s="14"/>
      <c r="P358" s="14"/>
      <c r="Q358" s="14"/>
      <c r="R358" s="14"/>
      <c r="S358" s="14"/>
      <c r="T358" s="14"/>
      <c r="U358" s="14"/>
      <c r="V358" s="14"/>
      <c r="W358" s="14"/>
      <c r="X358" s="14"/>
      <c r="Y358" s="14"/>
      <c r="Z358" s="14"/>
      <c r="AA358" s="15"/>
      <c r="AB358" s="3"/>
      <c r="AC358" s="3"/>
      <c r="AD358" s="3"/>
      <c r="AE358" s="3"/>
      <c r="AF358" s="3"/>
      <c r="AG358" s="3"/>
      <c r="AH358" s="3"/>
      <c r="AI358" s="3"/>
      <c r="AJ358" s="3"/>
      <c r="AK358" s="3"/>
      <c r="AL358" s="3"/>
      <c r="AM358" s="3"/>
      <c r="AN358" s="3"/>
      <c r="AO358" s="3"/>
    </row>
    <row r="359" spans="2:41" s="171" customFormat="1" x14ac:dyDescent="0.25">
      <c r="B359" s="13"/>
      <c r="C359" s="14"/>
      <c r="D359" s="60"/>
      <c r="E359" s="56"/>
      <c r="F359" s="56"/>
      <c r="G359" s="14"/>
      <c r="H359" s="56"/>
      <c r="I359" s="14"/>
      <c r="J359" s="14"/>
      <c r="K359" s="14"/>
      <c r="L359" s="14"/>
      <c r="M359" s="14"/>
      <c r="N359" s="14"/>
      <c r="O359" s="14"/>
      <c r="P359" s="14"/>
      <c r="Q359" s="14"/>
      <c r="R359" s="14"/>
      <c r="S359" s="14"/>
      <c r="T359" s="14"/>
      <c r="U359" s="14"/>
      <c r="V359" s="14"/>
      <c r="W359" s="14"/>
      <c r="X359" s="14"/>
      <c r="Y359" s="14"/>
      <c r="Z359" s="14"/>
      <c r="AA359" s="15"/>
      <c r="AB359" s="3"/>
      <c r="AC359" s="3"/>
      <c r="AD359" s="3"/>
      <c r="AE359" s="3"/>
      <c r="AF359" s="3"/>
      <c r="AG359" s="3"/>
      <c r="AH359" s="3"/>
      <c r="AI359" s="3"/>
      <c r="AJ359" s="3"/>
      <c r="AK359" s="3"/>
      <c r="AL359" s="3"/>
      <c r="AM359" s="3"/>
      <c r="AN359" s="3"/>
      <c r="AO359" s="3"/>
    </row>
    <row r="360" spans="2:41" s="171" customFormat="1" ht="18.75" x14ac:dyDescent="0.3">
      <c r="B360" s="67"/>
      <c r="C360" s="14"/>
      <c r="D360" s="60"/>
      <c r="E360" s="56"/>
      <c r="F360" s="56"/>
      <c r="G360" s="14"/>
      <c r="H360" s="56"/>
      <c r="I360" s="74"/>
      <c r="J360" s="14"/>
      <c r="K360" s="14"/>
      <c r="L360" s="14"/>
      <c r="M360" s="14"/>
      <c r="N360" s="14"/>
      <c r="O360" s="14"/>
      <c r="P360" s="14"/>
      <c r="Q360" s="14"/>
      <c r="R360" s="14"/>
      <c r="S360" s="14"/>
      <c r="T360" s="14"/>
      <c r="U360" s="14"/>
      <c r="V360" s="14"/>
      <c r="W360" s="14"/>
      <c r="X360" s="14"/>
      <c r="Y360" s="14"/>
      <c r="Z360" s="14"/>
      <c r="AA360" s="15"/>
      <c r="AB360" s="3"/>
      <c r="AC360" s="3"/>
      <c r="AD360" s="3"/>
      <c r="AE360" s="3"/>
      <c r="AF360" s="3"/>
      <c r="AG360" s="3"/>
      <c r="AH360" s="3"/>
      <c r="AI360" s="3"/>
      <c r="AJ360" s="3"/>
      <c r="AK360" s="3"/>
      <c r="AL360" s="3"/>
      <c r="AM360" s="3"/>
      <c r="AN360" s="3"/>
      <c r="AO360" s="3"/>
    </row>
    <row r="361" spans="2:41" s="171" customFormat="1" x14ac:dyDescent="0.25">
      <c r="B361" s="13"/>
      <c r="C361" s="56"/>
      <c r="D361" s="60"/>
      <c r="E361" s="56"/>
      <c r="F361" s="56"/>
      <c r="G361" s="56"/>
      <c r="H361" s="56"/>
      <c r="I361" s="14"/>
      <c r="J361" s="14"/>
      <c r="K361" s="14"/>
      <c r="L361" s="14"/>
      <c r="M361" s="14"/>
      <c r="N361" s="14"/>
      <c r="O361" s="14"/>
      <c r="P361" s="14"/>
      <c r="Q361" s="14"/>
      <c r="R361" s="14"/>
      <c r="S361" s="14"/>
      <c r="T361" s="14"/>
      <c r="U361" s="14"/>
      <c r="V361" s="14"/>
      <c r="W361" s="14"/>
      <c r="X361" s="14"/>
      <c r="Y361" s="14"/>
      <c r="Z361" s="14"/>
      <c r="AA361" s="15"/>
      <c r="AB361" s="3"/>
      <c r="AC361" s="3"/>
      <c r="AD361" s="3"/>
      <c r="AE361" s="3"/>
      <c r="AF361" s="3"/>
      <c r="AG361" s="3"/>
      <c r="AH361" s="3"/>
      <c r="AI361" s="3"/>
      <c r="AJ361" s="3"/>
      <c r="AK361" s="3"/>
      <c r="AL361" s="3"/>
      <c r="AM361" s="3"/>
      <c r="AN361" s="3"/>
      <c r="AO361" s="3"/>
    </row>
    <row r="362" spans="2:41" s="171" customFormat="1" x14ac:dyDescent="0.25">
      <c r="B362" s="13"/>
      <c r="C362" s="14"/>
      <c r="D362" s="60"/>
      <c r="E362" s="56"/>
      <c r="F362" s="56"/>
      <c r="G362" s="14"/>
      <c r="H362" s="56"/>
      <c r="I362" s="14"/>
      <c r="J362" s="14"/>
      <c r="K362" s="14"/>
      <c r="L362" s="14"/>
      <c r="M362" s="14"/>
      <c r="N362" s="14"/>
      <c r="O362" s="14"/>
      <c r="P362" s="14"/>
      <c r="Q362" s="14"/>
      <c r="R362" s="14"/>
      <c r="S362" s="14"/>
      <c r="T362" s="14"/>
      <c r="U362" s="14"/>
      <c r="V362" s="14"/>
      <c r="W362" s="14"/>
      <c r="X362" s="14"/>
      <c r="Y362" s="14"/>
      <c r="Z362" s="14"/>
      <c r="AA362" s="15"/>
      <c r="AB362" s="3"/>
      <c r="AC362" s="3"/>
      <c r="AD362" s="3"/>
      <c r="AE362" s="3"/>
      <c r="AF362" s="3"/>
      <c r="AG362" s="3"/>
      <c r="AH362" s="3"/>
      <c r="AI362" s="3"/>
      <c r="AJ362" s="3"/>
      <c r="AK362" s="3"/>
      <c r="AL362" s="3"/>
      <c r="AM362" s="3"/>
      <c r="AN362" s="3"/>
      <c r="AO362" s="3"/>
    </row>
    <row r="363" spans="2:41" s="171" customFormat="1" x14ac:dyDescent="0.25">
      <c r="B363" s="13"/>
      <c r="C363" s="14"/>
      <c r="D363" s="14"/>
      <c r="E363" s="56"/>
      <c r="F363" s="56"/>
      <c r="G363" s="14"/>
      <c r="H363" s="56"/>
      <c r="I363" s="14"/>
      <c r="J363" s="14"/>
      <c r="K363" s="14"/>
      <c r="L363" s="14"/>
      <c r="M363" s="14"/>
      <c r="N363" s="14"/>
      <c r="O363" s="14"/>
      <c r="P363" s="14"/>
      <c r="Q363" s="14"/>
      <c r="R363" s="14"/>
      <c r="S363" s="14"/>
      <c r="T363" s="14"/>
      <c r="U363" s="14"/>
      <c r="V363" s="14"/>
      <c r="W363" s="14"/>
      <c r="X363" s="14"/>
      <c r="Y363" s="14"/>
      <c r="Z363" s="14"/>
      <c r="AA363" s="15"/>
      <c r="AB363" s="3"/>
      <c r="AC363" s="3"/>
      <c r="AD363" s="3"/>
      <c r="AE363" s="3"/>
      <c r="AF363" s="3"/>
      <c r="AG363" s="3"/>
      <c r="AH363" s="3"/>
      <c r="AI363" s="3"/>
      <c r="AJ363" s="3"/>
      <c r="AK363" s="3"/>
      <c r="AL363" s="3"/>
      <c r="AM363" s="3"/>
      <c r="AN363" s="3"/>
      <c r="AO363" s="3"/>
    </row>
    <row r="364" spans="2:41" s="171" customFormat="1" x14ac:dyDescent="0.25">
      <c r="B364" s="13"/>
      <c r="C364" s="14"/>
      <c r="D364" s="60"/>
      <c r="E364" s="56"/>
      <c r="F364" s="56"/>
      <c r="G364" s="14"/>
      <c r="H364" s="14"/>
      <c r="I364" s="14"/>
      <c r="J364" s="14"/>
      <c r="K364" s="14"/>
      <c r="L364" s="14"/>
      <c r="M364" s="14"/>
      <c r="N364" s="14"/>
      <c r="O364" s="14"/>
      <c r="P364" s="14"/>
      <c r="Q364" s="14"/>
      <c r="R364" s="14"/>
      <c r="S364" s="14"/>
      <c r="T364" s="14"/>
      <c r="U364" s="14"/>
      <c r="V364" s="14"/>
      <c r="W364" s="14"/>
      <c r="X364" s="14"/>
      <c r="Y364" s="14"/>
      <c r="Z364" s="14"/>
      <c r="AA364" s="15"/>
      <c r="AB364" s="3"/>
      <c r="AC364" s="3"/>
      <c r="AD364" s="3"/>
      <c r="AE364" s="3"/>
      <c r="AF364" s="3"/>
      <c r="AG364" s="3"/>
      <c r="AH364" s="3"/>
      <c r="AI364" s="3"/>
      <c r="AJ364" s="3"/>
      <c r="AK364" s="3"/>
      <c r="AL364" s="3"/>
      <c r="AM364" s="3"/>
      <c r="AN364" s="3"/>
      <c r="AO364" s="3"/>
    </row>
    <row r="365" spans="2:41" s="171" customFormat="1" x14ac:dyDescent="0.25">
      <c r="B365" s="13"/>
      <c r="C365" s="14"/>
      <c r="D365" s="60"/>
      <c r="E365" s="56"/>
      <c r="F365" s="56"/>
      <c r="G365" s="14"/>
      <c r="H365" s="56"/>
      <c r="I365" s="14"/>
      <c r="J365" s="14"/>
      <c r="K365" s="14"/>
      <c r="L365" s="14"/>
      <c r="M365" s="14"/>
      <c r="N365" s="14"/>
      <c r="O365" s="14"/>
      <c r="P365" s="14"/>
      <c r="Q365" s="14"/>
      <c r="R365" s="14"/>
      <c r="S365" s="14"/>
      <c r="T365" s="14"/>
      <c r="U365" s="14"/>
      <c r="V365" s="14"/>
      <c r="W365" s="14"/>
      <c r="X365" s="14"/>
      <c r="Y365" s="14"/>
      <c r="Z365" s="14"/>
      <c r="AA365" s="15"/>
      <c r="AB365" s="3"/>
      <c r="AC365" s="3"/>
      <c r="AD365" s="3"/>
      <c r="AE365" s="3"/>
      <c r="AF365" s="3"/>
      <c r="AG365" s="3"/>
      <c r="AH365" s="3"/>
      <c r="AI365" s="3"/>
      <c r="AJ365" s="3"/>
      <c r="AK365" s="3"/>
      <c r="AL365" s="3"/>
      <c r="AM365" s="3"/>
      <c r="AN365" s="3"/>
      <c r="AO365" s="3"/>
    </row>
    <row r="366" spans="2:41" s="171" customFormat="1" x14ac:dyDescent="0.25">
      <c r="B366" s="13"/>
      <c r="C366" s="14"/>
      <c r="D366" s="60"/>
      <c r="E366" s="56"/>
      <c r="F366" s="56"/>
      <c r="G366" s="14"/>
      <c r="H366" s="56"/>
      <c r="I366" s="14"/>
      <c r="J366" s="14"/>
      <c r="K366" s="14"/>
      <c r="L366" s="14"/>
      <c r="M366" s="14"/>
      <c r="N366" s="14"/>
      <c r="O366" s="14"/>
      <c r="P366" s="14"/>
      <c r="Q366" s="14"/>
      <c r="R366" s="14"/>
      <c r="S366" s="14"/>
      <c r="T366" s="14"/>
      <c r="U366" s="14"/>
      <c r="V366" s="14"/>
      <c r="W366" s="14"/>
      <c r="X366" s="14"/>
      <c r="Y366" s="14"/>
      <c r="Z366" s="14"/>
      <c r="AA366" s="15"/>
      <c r="AB366" s="3"/>
      <c r="AC366" s="3"/>
      <c r="AD366" s="3"/>
      <c r="AE366" s="3"/>
      <c r="AF366" s="3"/>
      <c r="AG366" s="3"/>
      <c r="AH366" s="3"/>
      <c r="AI366" s="3"/>
      <c r="AJ366" s="3"/>
      <c r="AK366" s="3"/>
      <c r="AL366" s="3"/>
      <c r="AM366" s="3"/>
      <c r="AN366" s="3"/>
      <c r="AO366" s="3"/>
    </row>
    <row r="367" spans="2:41" s="171" customFormat="1" x14ac:dyDescent="0.25">
      <c r="B367" s="13"/>
      <c r="C367" s="14"/>
      <c r="D367" s="60"/>
      <c r="E367" s="56"/>
      <c r="F367" s="56"/>
      <c r="G367" s="14"/>
      <c r="H367" s="56"/>
      <c r="I367" s="14"/>
      <c r="J367" s="14"/>
      <c r="K367" s="14"/>
      <c r="L367" s="14"/>
      <c r="M367" s="14"/>
      <c r="N367" s="14"/>
      <c r="O367" s="14"/>
      <c r="P367" s="14"/>
      <c r="Q367" s="14"/>
      <c r="R367" s="14"/>
      <c r="S367" s="14"/>
      <c r="T367" s="14"/>
      <c r="U367" s="14"/>
      <c r="V367" s="14"/>
      <c r="W367" s="14"/>
      <c r="X367" s="14"/>
      <c r="Y367" s="14"/>
      <c r="Z367" s="14"/>
      <c r="AA367" s="15"/>
      <c r="AB367" s="3"/>
      <c r="AC367" s="3"/>
      <c r="AD367" s="3"/>
      <c r="AE367" s="3"/>
      <c r="AF367" s="3"/>
      <c r="AG367" s="3"/>
      <c r="AH367" s="3"/>
      <c r="AI367" s="3"/>
      <c r="AJ367" s="3"/>
      <c r="AK367" s="3"/>
      <c r="AL367" s="3"/>
      <c r="AM367" s="3"/>
      <c r="AN367" s="3"/>
      <c r="AO367" s="3"/>
    </row>
    <row r="368" spans="2:41" s="171" customFormat="1" ht="18.75" x14ac:dyDescent="0.3">
      <c r="B368" s="67"/>
      <c r="C368" s="56"/>
      <c r="D368" s="60"/>
      <c r="E368" s="56"/>
      <c r="F368" s="56"/>
      <c r="G368" s="56"/>
      <c r="H368" s="56"/>
      <c r="I368" s="74"/>
      <c r="J368" s="14"/>
      <c r="K368" s="14"/>
      <c r="L368" s="14"/>
      <c r="M368" s="14"/>
      <c r="N368" s="14"/>
      <c r="O368" s="14"/>
      <c r="P368" s="14"/>
      <c r="Q368" s="14"/>
      <c r="R368" s="14"/>
      <c r="S368" s="14"/>
      <c r="T368" s="14"/>
      <c r="U368" s="14"/>
      <c r="V368" s="14"/>
      <c r="W368" s="14"/>
      <c r="X368" s="14"/>
      <c r="Y368" s="14"/>
      <c r="Z368" s="14"/>
      <c r="AA368" s="15"/>
      <c r="AB368" s="3"/>
      <c r="AC368" s="3"/>
      <c r="AD368" s="3"/>
      <c r="AE368" s="3"/>
      <c r="AF368" s="3"/>
      <c r="AG368" s="3"/>
      <c r="AH368" s="3"/>
      <c r="AI368" s="3"/>
      <c r="AJ368" s="3"/>
      <c r="AK368" s="3"/>
      <c r="AL368" s="3"/>
      <c r="AM368" s="3"/>
      <c r="AN368" s="3"/>
      <c r="AO368" s="3"/>
    </row>
    <row r="369" spans="2:41" s="171" customFormat="1" x14ac:dyDescent="0.25">
      <c r="B369" s="13"/>
      <c r="C369" s="14"/>
      <c r="D369" s="60"/>
      <c r="E369" s="56"/>
      <c r="F369" s="56"/>
      <c r="G369" s="14"/>
      <c r="H369" s="56"/>
      <c r="I369" s="14"/>
      <c r="J369" s="14"/>
      <c r="K369" s="14"/>
      <c r="L369" s="14"/>
      <c r="M369" s="14"/>
      <c r="N369" s="14"/>
      <c r="O369" s="14"/>
      <c r="P369" s="14"/>
      <c r="Q369" s="14"/>
      <c r="R369" s="14"/>
      <c r="S369" s="14"/>
      <c r="T369" s="14"/>
      <c r="U369" s="14"/>
      <c r="V369" s="14"/>
      <c r="W369" s="14"/>
      <c r="X369" s="14"/>
      <c r="Y369" s="14"/>
      <c r="Z369" s="14"/>
      <c r="AA369" s="15"/>
      <c r="AB369" s="3"/>
      <c r="AC369" s="3"/>
      <c r="AD369" s="3"/>
      <c r="AE369" s="3"/>
      <c r="AF369" s="3"/>
      <c r="AG369" s="3"/>
      <c r="AH369" s="3"/>
      <c r="AI369" s="3"/>
      <c r="AJ369" s="3"/>
      <c r="AK369" s="3"/>
      <c r="AL369" s="3"/>
      <c r="AM369" s="3"/>
      <c r="AN369" s="3"/>
      <c r="AO369" s="3"/>
    </row>
    <row r="370" spans="2:41" s="171" customFormat="1" x14ac:dyDescent="0.25">
      <c r="B370" s="13"/>
      <c r="C370" s="14"/>
      <c r="D370" s="14"/>
      <c r="E370" s="56"/>
      <c r="F370" s="56"/>
      <c r="G370" s="14"/>
      <c r="H370" s="56"/>
      <c r="I370" s="14"/>
      <c r="J370" s="14"/>
      <c r="K370" s="14"/>
      <c r="L370" s="14"/>
      <c r="M370" s="14"/>
      <c r="N370" s="14"/>
      <c r="O370" s="14"/>
      <c r="P370" s="14"/>
      <c r="Q370" s="14"/>
      <c r="R370" s="14"/>
      <c r="S370" s="14"/>
      <c r="T370" s="14"/>
      <c r="U370" s="14"/>
      <c r="V370" s="14"/>
      <c r="W370" s="14"/>
      <c r="X370" s="14"/>
      <c r="Y370" s="14"/>
      <c r="Z370" s="14"/>
      <c r="AA370" s="15"/>
      <c r="AB370" s="3"/>
      <c r="AC370" s="3"/>
      <c r="AD370" s="3"/>
      <c r="AE370" s="3"/>
      <c r="AF370" s="3"/>
      <c r="AG370" s="3"/>
      <c r="AH370" s="3"/>
      <c r="AI370" s="3"/>
      <c r="AJ370" s="3"/>
      <c r="AK370" s="3"/>
      <c r="AL370" s="3"/>
      <c r="AM370" s="3"/>
      <c r="AN370" s="3"/>
      <c r="AO370" s="3"/>
    </row>
    <row r="371" spans="2:41" s="171" customFormat="1" x14ac:dyDescent="0.25">
      <c r="B371" s="13"/>
      <c r="C371" s="14"/>
      <c r="D371" s="60"/>
      <c r="E371" s="56"/>
      <c r="F371" s="56"/>
      <c r="G371" s="14"/>
      <c r="H371" s="14"/>
      <c r="I371" s="14"/>
      <c r="J371" s="14"/>
      <c r="K371" s="14"/>
      <c r="L371" s="14"/>
      <c r="M371" s="14"/>
      <c r="N371" s="14"/>
      <c r="O371" s="14"/>
      <c r="P371" s="14"/>
      <c r="Q371" s="14"/>
      <c r="R371" s="14"/>
      <c r="S371" s="14"/>
      <c r="T371" s="14"/>
      <c r="U371" s="14"/>
      <c r="V371" s="14"/>
      <c r="W371" s="14"/>
      <c r="X371" s="14"/>
      <c r="Y371" s="14"/>
      <c r="Z371" s="14"/>
      <c r="AA371" s="15"/>
      <c r="AB371" s="3"/>
      <c r="AC371" s="3"/>
      <c r="AD371" s="3"/>
      <c r="AE371" s="3"/>
      <c r="AF371" s="3"/>
      <c r="AG371" s="3"/>
      <c r="AH371" s="3"/>
      <c r="AI371" s="3"/>
      <c r="AJ371" s="3"/>
      <c r="AK371" s="3"/>
      <c r="AL371" s="3"/>
      <c r="AM371" s="3"/>
      <c r="AN371" s="3"/>
      <c r="AO371" s="3"/>
    </row>
    <row r="372" spans="2:41" s="171" customFormat="1" x14ac:dyDescent="0.25">
      <c r="B372" s="13"/>
      <c r="C372" s="14"/>
      <c r="D372" s="60"/>
      <c r="E372" s="56"/>
      <c r="F372" s="56"/>
      <c r="G372" s="14"/>
      <c r="H372" s="56"/>
      <c r="I372" s="14"/>
      <c r="J372" s="14"/>
      <c r="K372" s="14"/>
      <c r="L372" s="14"/>
      <c r="M372" s="14"/>
      <c r="N372" s="14"/>
      <c r="O372" s="14"/>
      <c r="P372" s="14"/>
      <c r="Q372" s="14"/>
      <c r="R372" s="14"/>
      <c r="S372" s="14"/>
      <c r="T372" s="14"/>
      <c r="U372" s="14"/>
      <c r="V372" s="14"/>
      <c r="W372" s="14"/>
      <c r="X372" s="14"/>
      <c r="Y372" s="14"/>
      <c r="Z372" s="14"/>
      <c r="AA372" s="15"/>
      <c r="AB372" s="3"/>
      <c r="AC372" s="3"/>
      <c r="AD372" s="3"/>
      <c r="AE372" s="3"/>
      <c r="AF372" s="3"/>
      <c r="AG372" s="3"/>
      <c r="AH372" s="3"/>
      <c r="AI372" s="3"/>
      <c r="AJ372" s="3"/>
      <c r="AK372" s="3"/>
      <c r="AL372" s="3"/>
      <c r="AM372" s="3"/>
      <c r="AN372" s="3"/>
      <c r="AO372" s="3"/>
    </row>
    <row r="373" spans="2:41" s="171" customFormat="1" x14ac:dyDescent="0.25">
      <c r="B373" s="13"/>
      <c r="C373" s="14"/>
      <c r="D373" s="60"/>
      <c r="E373" s="56"/>
      <c r="F373" s="56"/>
      <c r="G373" s="14"/>
      <c r="H373" s="56"/>
      <c r="I373" s="14"/>
      <c r="J373" s="14"/>
      <c r="K373" s="14"/>
      <c r="L373" s="14"/>
      <c r="M373" s="14"/>
      <c r="N373" s="14"/>
      <c r="O373" s="14"/>
      <c r="P373" s="14"/>
      <c r="Q373" s="14"/>
      <c r="R373" s="14"/>
      <c r="S373" s="14"/>
      <c r="T373" s="14"/>
      <c r="U373" s="14"/>
      <c r="V373" s="14"/>
      <c r="W373" s="14"/>
      <c r="X373" s="14"/>
      <c r="Y373" s="14"/>
      <c r="Z373" s="14"/>
      <c r="AA373" s="15"/>
      <c r="AB373" s="3"/>
      <c r="AC373" s="3"/>
      <c r="AD373" s="3"/>
      <c r="AE373" s="3"/>
      <c r="AF373" s="3"/>
      <c r="AG373" s="3"/>
      <c r="AH373" s="3"/>
      <c r="AI373" s="3"/>
      <c r="AJ373" s="3"/>
      <c r="AK373" s="3"/>
      <c r="AL373" s="3"/>
      <c r="AM373" s="3"/>
      <c r="AN373" s="3"/>
      <c r="AO373" s="3"/>
    </row>
    <row r="374" spans="2:41" s="171" customFormat="1" x14ac:dyDescent="0.25">
      <c r="B374" s="13"/>
      <c r="C374" s="14"/>
      <c r="D374" s="60"/>
      <c r="E374" s="56"/>
      <c r="F374" s="56"/>
      <c r="G374" s="14"/>
      <c r="H374" s="56"/>
      <c r="I374" s="14"/>
      <c r="J374" s="14"/>
      <c r="K374" s="14"/>
      <c r="L374" s="14"/>
      <c r="M374" s="14"/>
      <c r="N374" s="14"/>
      <c r="O374" s="14"/>
      <c r="P374" s="14"/>
      <c r="Q374" s="14"/>
      <c r="R374" s="14"/>
      <c r="S374" s="14"/>
      <c r="T374" s="14"/>
      <c r="U374" s="14"/>
      <c r="V374" s="14"/>
      <c r="W374" s="14"/>
      <c r="X374" s="14"/>
      <c r="Y374" s="14"/>
      <c r="Z374" s="14"/>
      <c r="AA374" s="15"/>
      <c r="AB374" s="3"/>
      <c r="AC374" s="3"/>
      <c r="AD374" s="3"/>
      <c r="AE374" s="3"/>
      <c r="AF374" s="3"/>
      <c r="AG374" s="3"/>
      <c r="AH374" s="3"/>
      <c r="AI374" s="3"/>
      <c r="AJ374" s="3"/>
      <c r="AK374" s="3"/>
      <c r="AL374" s="3"/>
      <c r="AM374" s="3"/>
      <c r="AN374" s="3"/>
      <c r="AO374" s="3"/>
    </row>
    <row r="375" spans="2:41" s="171" customFormat="1" x14ac:dyDescent="0.25">
      <c r="B375" s="13"/>
      <c r="C375" s="56"/>
      <c r="D375" s="60"/>
      <c r="E375" s="56"/>
      <c r="F375" s="56"/>
      <c r="G375" s="56"/>
      <c r="H375" s="56"/>
      <c r="I375" s="14"/>
      <c r="J375" s="14"/>
      <c r="K375" s="14"/>
      <c r="L375" s="14"/>
      <c r="M375" s="14"/>
      <c r="N375" s="14"/>
      <c r="O375" s="14"/>
      <c r="P375" s="14"/>
      <c r="Q375" s="14"/>
      <c r="R375" s="14"/>
      <c r="S375" s="14"/>
      <c r="T375" s="14"/>
      <c r="U375" s="14"/>
      <c r="V375" s="14"/>
      <c r="W375" s="14"/>
      <c r="X375" s="14"/>
      <c r="Y375" s="14"/>
      <c r="Z375" s="14"/>
      <c r="AA375" s="15"/>
      <c r="AB375" s="3"/>
      <c r="AC375" s="3"/>
      <c r="AD375" s="3"/>
      <c r="AE375" s="3"/>
      <c r="AF375" s="3"/>
      <c r="AG375" s="3"/>
      <c r="AH375" s="3"/>
      <c r="AI375" s="3"/>
      <c r="AJ375" s="3"/>
      <c r="AK375" s="3"/>
      <c r="AL375" s="3"/>
      <c r="AM375" s="3"/>
      <c r="AN375" s="3"/>
      <c r="AO375" s="3"/>
    </row>
    <row r="376" spans="2:41" s="171" customFormat="1" ht="18.75" x14ac:dyDescent="0.3">
      <c r="B376" s="67"/>
      <c r="C376" s="14"/>
      <c r="D376" s="60"/>
      <c r="E376" s="56"/>
      <c r="F376" s="56"/>
      <c r="G376" s="14"/>
      <c r="H376" s="56"/>
      <c r="I376" s="74"/>
      <c r="J376" s="14"/>
      <c r="K376" s="14"/>
      <c r="L376" s="14"/>
      <c r="M376" s="14"/>
      <c r="N376" s="14"/>
      <c r="O376" s="14"/>
      <c r="P376" s="14"/>
      <c r="Q376" s="14"/>
      <c r="R376" s="14"/>
      <c r="S376" s="14"/>
      <c r="T376" s="14"/>
      <c r="U376" s="14"/>
      <c r="V376" s="14"/>
      <c r="W376" s="14"/>
      <c r="X376" s="14"/>
      <c r="Y376" s="14"/>
      <c r="Z376" s="14"/>
      <c r="AA376" s="15"/>
      <c r="AB376" s="3"/>
      <c r="AC376" s="3"/>
      <c r="AD376" s="3"/>
      <c r="AE376" s="3"/>
      <c r="AF376" s="3"/>
      <c r="AG376" s="3"/>
      <c r="AH376" s="3"/>
      <c r="AI376" s="3"/>
      <c r="AJ376" s="3"/>
      <c r="AK376" s="3"/>
      <c r="AL376" s="3"/>
      <c r="AM376" s="3"/>
      <c r="AN376" s="3"/>
      <c r="AO376" s="3"/>
    </row>
    <row r="377" spans="2:41" s="171" customFormat="1" x14ac:dyDescent="0.25">
      <c r="B377" s="13"/>
      <c r="C377" s="14"/>
      <c r="D377" s="14"/>
      <c r="E377" s="56"/>
      <c r="F377" s="56"/>
      <c r="G377" s="14"/>
      <c r="H377" s="56"/>
      <c r="I377" s="14"/>
      <c r="J377" s="14"/>
      <c r="K377" s="14"/>
      <c r="L377" s="14"/>
      <c r="M377" s="14"/>
      <c r="N377" s="14"/>
      <c r="O377" s="14"/>
      <c r="P377" s="14"/>
      <c r="Q377" s="14"/>
      <c r="R377" s="14"/>
      <c r="S377" s="14"/>
      <c r="T377" s="14"/>
      <c r="U377" s="14"/>
      <c r="V377" s="14"/>
      <c r="W377" s="14"/>
      <c r="X377" s="14"/>
      <c r="Y377" s="14"/>
      <c r="Z377" s="14"/>
      <c r="AA377" s="15"/>
      <c r="AB377" s="3"/>
      <c r="AC377" s="3"/>
      <c r="AD377" s="3"/>
      <c r="AE377" s="3"/>
      <c r="AF377" s="3"/>
      <c r="AG377" s="3"/>
      <c r="AH377" s="3"/>
      <c r="AI377" s="3"/>
      <c r="AJ377" s="3"/>
      <c r="AK377" s="3"/>
      <c r="AL377" s="3"/>
      <c r="AM377" s="3"/>
      <c r="AN377" s="3"/>
      <c r="AO377" s="3"/>
    </row>
    <row r="378" spans="2:41" s="171" customFormat="1" x14ac:dyDescent="0.25">
      <c r="B378" s="13"/>
      <c r="C378" s="14"/>
      <c r="D378" s="60"/>
      <c r="E378" s="56"/>
      <c r="F378" s="56"/>
      <c r="G378" s="14"/>
      <c r="H378" s="14"/>
      <c r="I378" s="14"/>
      <c r="J378" s="14"/>
      <c r="K378" s="14"/>
      <c r="L378" s="14"/>
      <c r="M378" s="14"/>
      <c r="N378" s="14"/>
      <c r="O378" s="14"/>
      <c r="P378" s="14"/>
      <c r="Q378" s="14"/>
      <c r="R378" s="14"/>
      <c r="S378" s="14"/>
      <c r="T378" s="14"/>
      <c r="U378" s="14"/>
      <c r="V378" s="14"/>
      <c r="W378" s="14"/>
      <c r="X378" s="14"/>
      <c r="Y378" s="14"/>
      <c r="Z378" s="14"/>
      <c r="AA378" s="15"/>
      <c r="AB378" s="3"/>
      <c r="AC378" s="3"/>
      <c r="AD378" s="3"/>
      <c r="AE378" s="3"/>
      <c r="AF378" s="3"/>
      <c r="AG378" s="3"/>
      <c r="AH378" s="3"/>
      <c r="AI378" s="3"/>
      <c r="AJ378" s="3"/>
      <c r="AK378" s="3"/>
      <c r="AL378" s="3"/>
      <c r="AM378" s="3"/>
      <c r="AN378" s="3"/>
      <c r="AO378" s="3"/>
    </row>
    <row r="379" spans="2:41" s="171" customFormat="1" x14ac:dyDescent="0.25">
      <c r="B379" s="13"/>
      <c r="C379" s="14"/>
      <c r="D379" s="60"/>
      <c r="E379" s="56"/>
      <c r="F379" s="56"/>
      <c r="G379" s="14"/>
      <c r="H379" s="56"/>
      <c r="I379" s="14"/>
      <c r="J379" s="14"/>
      <c r="K379" s="14"/>
      <c r="L379" s="14"/>
      <c r="M379" s="14"/>
      <c r="N379" s="14"/>
      <c r="O379" s="14"/>
      <c r="P379" s="14"/>
      <c r="Q379" s="14"/>
      <c r="R379" s="14"/>
      <c r="S379" s="14"/>
      <c r="T379" s="14"/>
      <c r="U379" s="14"/>
      <c r="V379" s="14"/>
      <c r="W379" s="14"/>
      <c r="X379" s="14"/>
      <c r="Y379" s="14"/>
      <c r="Z379" s="14"/>
      <c r="AA379" s="15"/>
      <c r="AB379" s="3"/>
      <c r="AC379" s="3"/>
      <c r="AD379" s="3"/>
      <c r="AE379" s="3"/>
      <c r="AF379" s="3"/>
      <c r="AG379" s="3"/>
      <c r="AH379" s="3"/>
      <c r="AI379" s="3"/>
      <c r="AJ379" s="3"/>
      <c r="AK379" s="3"/>
      <c r="AL379" s="3"/>
      <c r="AM379" s="3"/>
      <c r="AN379" s="3"/>
      <c r="AO379" s="3"/>
    </row>
    <row r="380" spans="2:41" s="171" customFormat="1" x14ac:dyDescent="0.25">
      <c r="B380" s="13"/>
      <c r="C380" s="14"/>
      <c r="D380" s="60"/>
      <c r="E380" s="56"/>
      <c r="F380" s="56"/>
      <c r="G380" s="14"/>
      <c r="H380" s="56"/>
      <c r="I380" s="14"/>
      <c r="J380" s="14"/>
      <c r="K380" s="14"/>
      <c r="L380" s="14"/>
      <c r="M380" s="14"/>
      <c r="N380" s="14"/>
      <c r="O380" s="14"/>
      <c r="P380" s="14"/>
      <c r="Q380" s="14"/>
      <c r="R380" s="14"/>
      <c r="S380" s="14"/>
      <c r="T380" s="14"/>
      <c r="U380" s="14"/>
      <c r="V380" s="14"/>
      <c r="W380" s="14"/>
      <c r="X380" s="14"/>
      <c r="Y380" s="14"/>
      <c r="Z380" s="14"/>
      <c r="AA380" s="15"/>
      <c r="AB380" s="3"/>
      <c r="AC380" s="3"/>
      <c r="AD380" s="3"/>
      <c r="AE380" s="3"/>
      <c r="AF380" s="3"/>
      <c r="AG380" s="3"/>
      <c r="AH380" s="3"/>
      <c r="AI380" s="3"/>
      <c r="AJ380" s="3"/>
      <c r="AK380" s="3"/>
      <c r="AL380" s="3"/>
      <c r="AM380" s="3"/>
      <c r="AN380" s="3"/>
      <c r="AO380" s="3"/>
    </row>
    <row r="381" spans="2:41" s="171" customFormat="1" x14ac:dyDescent="0.25">
      <c r="B381" s="13"/>
      <c r="C381" s="14"/>
      <c r="D381" s="60"/>
      <c r="E381" s="56"/>
      <c r="F381" s="56"/>
      <c r="G381" s="14"/>
      <c r="H381" s="56"/>
      <c r="I381" s="14"/>
      <c r="J381" s="14"/>
      <c r="K381" s="14"/>
      <c r="L381" s="14"/>
      <c r="M381" s="14"/>
      <c r="N381" s="14"/>
      <c r="O381" s="14"/>
      <c r="P381" s="14"/>
      <c r="Q381" s="14"/>
      <c r="R381" s="14"/>
      <c r="S381" s="14"/>
      <c r="T381" s="14"/>
      <c r="U381" s="14"/>
      <c r="V381" s="14"/>
      <c r="W381" s="14"/>
      <c r="X381" s="14"/>
      <c r="Y381" s="14"/>
      <c r="Z381" s="14"/>
      <c r="AA381" s="15"/>
      <c r="AB381" s="3"/>
      <c r="AC381" s="3"/>
      <c r="AD381" s="3"/>
      <c r="AE381" s="3"/>
      <c r="AF381" s="3"/>
      <c r="AG381" s="3"/>
      <c r="AH381" s="3"/>
      <c r="AI381" s="3"/>
      <c r="AJ381" s="3"/>
      <c r="AK381" s="3"/>
      <c r="AL381" s="3"/>
      <c r="AM381" s="3"/>
      <c r="AN381" s="3"/>
      <c r="AO381" s="3"/>
    </row>
    <row r="382" spans="2:41" s="171" customFormat="1" x14ac:dyDescent="0.25">
      <c r="B382" s="13"/>
      <c r="C382" s="56"/>
      <c r="D382" s="60"/>
      <c r="E382" s="56"/>
      <c r="F382" s="56"/>
      <c r="G382" s="56"/>
      <c r="H382" s="56"/>
      <c r="I382" s="14"/>
      <c r="J382" s="14"/>
      <c r="K382" s="14"/>
      <c r="L382" s="14"/>
      <c r="M382" s="14"/>
      <c r="N382" s="14"/>
      <c r="O382" s="14"/>
      <c r="P382" s="14"/>
      <c r="Q382" s="14"/>
      <c r="R382" s="14"/>
      <c r="S382" s="14"/>
      <c r="T382" s="14"/>
      <c r="U382" s="14"/>
      <c r="V382" s="14"/>
      <c r="W382" s="14"/>
      <c r="X382" s="14"/>
      <c r="Y382" s="14"/>
      <c r="Z382" s="14"/>
      <c r="AA382" s="15"/>
      <c r="AB382" s="3"/>
      <c r="AC382" s="3"/>
      <c r="AD382" s="3"/>
      <c r="AE382" s="3"/>
      <c r="AF382" s="3"/>
      <c r="AG382" s="3"/>
      <c r="AH382" s="3"/>
      <c r="AI382" s="3"/>
      <c r="AJ382" s="3"/>
      <c r="AK382" s="3"/>
      <c r="AL382" s="3"/>
      <c r="AM382" s="3"/>
      <c r="AN382" s="3"/>
      <c r="AO382" s="3"/>
    </row>
    <row r="383" spans="2:41" s="171" customFormat="1" x14ac:dyDescent="0.25">
      <c r="B383" s="13"/>
      <c r="C383" s="14"/>
      <c r="D383" s="60"/>
      <c r="E383" s="56"/>
      <c r="F383" s="56"/>
      <c r="G383" s="14"/>
      <c r="H383" s="56"/>
      <c r="I383" s="14"/>
      <c r="J383" s="14"/>
      <c r="K383" s="14"/>
      <c r="L383" s="14"/>
      <c r="M383" s="14"/>
      <c r="N383" s="14"/>
      <c r="O383" s="14"/>
      <c r="P383" s="14"/>
      <c r="Q383" s="14"/>
      <c r="R383" s="14"/>
      <c r="S383" s="14"/>
      <c r="T383" s="14"/>
      <c r="U383" s="14"/>
      <c r="V383" s="14"/>
      <c r="W383" s="14"/>
      <c r="X383" s="14"/>
      <c r="Y383" s="14"/>
      <c r="Z383" s="14"/>
      <c r="AA383" s="15"/>
      <c r="AB383" s="3"/>
      <c r="AC383" s="3"/>
      <c r="AD383" s="3"/>
      <c r="AE383" s="3"/>
      <c r="AF383" s="3"/>
      <c r="AG383" s="3"/>
      <c r="AH383" s="3"/>
      <c r="AI383" s="3"/>
      <c r="AJ383" s="3"/>
      <c r="AK383" s="3"/>
      <c r="AL383" s="3"/>
      <c r="AM383" s="3"/>
      <c r="AN383" s="3"/>
      <c r="AO383" s="3"/>
    </row>
    <row r="384" spans="2:41" s="171" customFormat="1" ht="18.75" x14ac:dyDescent="0.3">
      <c r="B384" s="67"/>
      <c r="C384" s="14"/>
      <c r="D384" s="14"/>
      <c r="E384" s="56"/>
      <c r="F384" s="56"/>
      <c r="G384" s="14"/>
      <c r="H384" s="56"/>
      <c r="I384" s="74"/>
      <c r="J384" s="14"/>
      <c r="K384" s="14"/>
      <c r="L384" s="14"/>
      <c r="M384" s="14"/>
      <c r="N384" s="14"/>
      <c r="O384" s="14"/>
      <c r="P384" s="14"/>
      <c r="Q384" s="14"/>
      <c r="R384" s="14"/>
      <c r="S384" s="14"/>
      <c r="T384" s="14"/>
      <c r="U384" s="14"/>
      <c r="V384" s="14"/>
      <c r="W384" s="14"/>
      <c r="X384" s="14"/>
      <c r="Y384" s="14"/>
      <c r="Z384" s="14"/>
      <c r="AA384" s="15"/>
      <c r="AB384" s="3"/>
      <c r="AC384" s="3"/>
      <c r="AD384" s="3"/>
      <c r="AE384" s="3"/>
      <c r="AF384" s="3"/>
      <c r="AG384" s="3"/>
      <c r="AH384" s="3"/>
      <c r="AI384" s="3"/>
      <c r="AJ384" s="3"/>
      <c r="AK384" s="3"/>
      <c r="AL384" s="3"/>
      <c r="AM384" s="3"/>
      <c r="AN384" s="3"/>
      <c r="AO384" s="3"/>
    </row>
    <row r="385" spans="2:41" s="171" customFormat="1" x14ac:dyDescent="0.25">
      <c r="B385" s="18"/>
      <c r="C385" s="19"/>
      <c r="D385" s="63"/>
      <c r="E385" s="64"/>
      <c r="F385" s="64"/>
      <c r="G385" s="19"/>
      <c r="H385" s="19"/>
      <c r="I385" s="19"/>
      <c r="J385" s="19"/>
      <c r="K385" s="19"/>
      <c r="L385" s="19"/>
      <c r="M385" s="19"/>
      <c r="N385" s="19"/>
      <c r="O385" s="19"/>
      <c r="P385" s="19"/>
      <c r="Q385" s="19"/>
      <c r="R385" s="19"/>
      <c r="S385" s="19"/>
      <c r="T385" s="19"/>
      <c r="U385" s="19"/>
      <c r="V385" s="19"/>
      <c r="W385" s="19"/>
      <c r="X385" s="19"/>
      <c r="Y385" s="19"/>
      <c r="Z385" s="19"/>
      <c r="AA385" s="20"/>
      <c r="AB385" s="3"/>
      <c r="AC385" s="3"/>
      <c r="AD385" s="3"/>
      <c r="AE385" s="3"/>
      <c r="AF385" s="3"/>
      <c r="AG385" s="3"/>
      <c r="AH385" s="3"/>
      <c r="AI385" s="3"/>
      <c r="AJ385" s="3"/>
      <c r="AK385" s="3"/>
      <c r="AL385" s="3"/>
      <c r="AM385" s="3"/>
      <c r="AN385" s="3"/>
      <c r="AO385" s="3"/>
    </row>
    <row r="386" spans="2:41" s="171" customFormat="1" x14ac:dyDescent="0.25">
      <c r="B386" s="13"/>
      <c r="C386" s="13"/>
      <c r="D386" s="60"/>
      <c r="E386" s="56"/>
      <c r="F386" s="56"/>
      <c r="G386" s="14"/>
      <c r="H386" s="61"/>
      <c r="I386" s="15"/>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row>
    <row r="387" spans="2:41" s="171" customFormat="1" x14ac:dyDescent="0.25">
      <c r="B387" s="13"/>
      <c r="C387" s="13"/>
      <c r="D387" s="60"/>
      <c r="E387" s="56"/>
      <c r="F387" s="56"/>
      <c r="G387" s="14"/>
      <c r="H387" s="61"/>
      <c r="I387" s="15"/>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row>
    <row r="388" spans="2:41" s="171" customFormat="1" x14ac:dyDescent="0.25">
      <c r="B388" s="13"/>
      <c r="C388" s="13"/>
      <c r="D388" s="60"/>
      <c r="E388" s="56"/>
      <c r="F388" s="56"/>
      <c r="G388" s="14"/>
      <c r="H388" s="61"/>
      <c r="I388" s="15"/>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row>
    <row r="389" spans="2:41" s="171" customFormat="1" x14ac:dyDescent="0.25">
      <c r="B389" s="13"/>
      <c r="C389" s="62"/>
      <c r="D389" s="63"/>
      <c r="E389" s="64"/>
      <c r="F389" s="64"/>
      <c r="G389" s="64"/>
      <c r="H389" s="65"/>
      <c r="I389" s="15"/>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row>
    <row r="390" spans="2:41" s="171" customFormat="1" x14ac:dyDescent="0.25">
      <c r="B390" s="13"/>
      <c r="C390" s="14"/>
      <c r="D390" s="60"/>
      <c r="E390" s="66"/>
      <c r="F390" s="56"/>
      <c r="G390" s="14"/>
      <c r="H390" s="56"/>
      <c r="I390" s="15"/>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row>
    <row r="391" spans="2:41" s="171" customFormat="1" x14ac:dyDescent="0.25">
      <c r="B391" s="13"/>
      <c r="C391" s="10"/>
      <c r="D391" s="11"/>
      <c r="E391" s="56"/>
      <c r="F391" s="58"/>
      <c r="G391" s="11"/>
      <c r="H391" s="59"/>
      <c r="I391" s="15"/>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row>
    <row r="392" spans="2:41" s="171" customFormat="1" ht="18.75" x14ac:dyDescent="0.3">
      <c r="B392" s="67"/>
      <c r="C392" s="13"/>
      <c r="D392" s="60"/>
      <c r="E392" s="56"/>
      <c r="F392" s="56"/>
      <c r="G392" s="14"/>
      <c r="H392" s="15"/>
      <c r="I392" s="68"/>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row>
    <row r="393" spans="2:41" s="171" customFormat="1" x14ac:dyDescent="0.25">
      <c r="B393" s="13"/>
      <c r="C393" s="13"/>
      <c r="D393" s="60"/>
      <c r="E393" s="56"/>
      <c r="F393" s="56"/>
      <c r="G393" s="14"/>
      <c r="H393" s="61"/>
      <c r="I393" s="15"/>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row>
    <row r="394" spans="2:41" s="171" customFormat="1" x14ac:dyDescent="0.25">
      <c r="B394" s="13"/>
      <c r="C394" s="13"/>
      <c r="D394" s="60"/>
      <c r="E394" s="56"/>
      <c r="F394" s="56"/>
      <c r="G394" s="14"/>
      <c r="H394" s="61"/>
      <c r="I394" s="15"/>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row>
    <row r="395" spans="2:41" s="171" customFormat="1" x14ac:dyDescent="0.25">
      <c r="B395" s="13"/>
      <c r="C395" s="13"/>
      <c r="D395" s="60"/>
      <c r="E395" s="56"/>
      <c r="F395" s="56"/>
      <c r="G395" s="14"/>
      <c r="H395" s="61"/>
      <c r="I395" s="15"/>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row>
    <row r="396" spans="2:41" s="171" customFormat="1" x14ac:dyDescent="0.25">
      <c r="B396" s="13"/>
      <c r="C396" s="62"/>
      <c r="D396" s="63"/>
      <c r="E396" s="64"/>
      <c r="F396" s="64"/>
      <c r="G396" s="64"/>
      <c r="H396" s="65"/>
      <c r="I396" s="15"/>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row>
    <row r="397" spans="2:41" s="171" customFormat="1" x14ac:dyDescent="0.25">
      <c r="B397" s="13"/>
      <c r="C397" s="14"/>
      <c r="D397" s="60"/>
      <c r="E397" s="66"/>
      <c r="F397" s="56"/>
      <c r="G397" s="14"/>
      <c r="H397" s="56"/>
      <c r="I397" s="15"/>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row>
    <row r="398" spans="2:41" s="171" customFormat="1" x14ac:dyDescent="0.25">
      <c r="B398" s="13"/>
      <c r="C398" s="10"/>
      <c r="D398" s="11"/>
      <c r="E398" s="56"/>
      <c r="F398" s="58"/>
      <c r="G398" s="11"/>
      <c r="H398" s="59"/>
      <c r="I398" s="15"/>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row>
    <row r="399" spans="2:41" s="171" customFormat="1" x14ac:dyDescent="0.25">
      <c r="B399" s="13"/>
      <c r="C399" s="13"/>
      <c r="D399" s="60"/>
      <c r="E399" s="56"/>
      <c r="F399" s="56"/>
      <c r="G399" s="14"/>
      <c r="H399" s="15"/>
      <c r="I399" s="15"/>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row>
    <row r="400" spans="2:41" s="171" customFormat="1" ht="18.75" x14ac:dyDescent="0.3">
      <c r="B400" s="67"/>
      <c r="C400" s="13"/>
      <c r="D400" s="60"/>
      <c r="E400" s="56"/>
      <c r="F400" s="56"/>
      <c r="G400" s="14"/>
      <c r="H400" s="61"/>
      <c r="I400" s="68"/>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row>
    <row r="401" spans="2:41" s="171" customFormat="1" x14ac:dyDescent="0.25">
      <c r="B401" s="13"/>
      <c r="C401" s="13"/>
      <c r="D401" s="60"/>
      <c r="E401" s="56"/>
      <c r="F401" s="56"/>
      <c r="G401" s="14"/>
      <c r="H401" s="61"/>
      <c r="I401" s="15"/>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row>
    <row r="402" spans="2:41" s="171" customFormat="1" x14ac:dyDescent="0.25">
      <c r="B402" s="13"/>
      <c r="C402" s="13"/>
      <c r="D402" s="60"/>
      <c r="E402" s="56"/>
      <c r="F402" s="56"/>
      <c r="G402" s="14"/>
      <c r="H402" s="61"/>
      <c r="I402" s="15"/>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row>
    <row r="403" spans="2:41" s="171" customFormat="1" x14ac:dyDescent="0.25">
      <c r="B403" s="13"/>
      <c r="C403" s="62"/>
      <c r="D403" s="63"/>
      <c r="E403" s="64"/>
      <c r="F403" s="64"/>
      <c r="G403" s="64"/>
      <c r="H403" s="65"/>
      <c r="I403" s="15"/>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row>
    <row r="404" spans="2:41" s="171" customFormat="1" x14ac:dyDescent="0.25">
      <c r="B404" s="13"/>
      <c r="C404" s="14"/>
      <c r="D404" s="60"/>
      <c r="E404" s="66"/>
      <c r="F404" s="56"/>
      <c r="G404" s="14"/>
      <c r="H404" s="56"/>
      <c r="I404" s="15"/>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row>
    <row r="405" spans="2:41" s="171" customFormat="1" x14ac:dyDescent="0.25">
      <c r="B405" s="13"/>
      <c r="C405" s="10"/>
      <c r="D405" s="11"/>
      <c r="E405" s="56"/>
      <c r="F405" s="58"/>
      <c r="G405" s="11"/>
      <c r="H405" s="59"/>
      <c r="I405" s="15"/>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row>
    <row r="406" spans="2:41" s="171" customFormat="1" x14ac:dyDescent="0.25">
      <c r="B406" s="13"/>
      <c r="C406" s="13"/>
      <c r="D406" s="60"/>
      <c r="E406" s="56"/>
      <c r="F406" s="56"/>
      <c r="G406" s="14"/>
      <c r="H406" s="15"/>
      <c r="I406" s="15"/>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row>
    <row r="407" spans="2:41" s="171" customFormat="1" x14ac:dyDescent="0.25">
      <c r="B407" s="13"/>
      <c r="C407" s="13"/>
      <c r="D407" s="60"/>
      <c r="E407" s="56"/>
      <c r="F407" s="56"/>
      <c r="G407" s="14"/>
      <c r="H407" s="61"/>
      <c r="I407" s="1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row>
    <row r="408" spans="2:41" s="171" customFormat="1" ht="18.75" x14ac:dyDescent="0.3">
      <c r="B408" s="67"/>
      <c r="C408" s="13"/>
      <c r="D408" s="60"/>
      <c r="E408" s="56"/>
      <c r="F408" s="56"/>
      <c r="G408" s="14"/>
      <c r="H408" s="61"/>
      <c r="I408" s="68"/>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row>
    <row r="409" spans="2:41" s="171" customFormat="1" x14ac:dyDescent="0.25">
      <c r="B409" s="13"/>
      <c r="C409" s="13"/>
      <c r="D409" s="60"/>
      <c r="E409" s="56"/>
      <c r="F409" s="56"/>
      <c r="G409" s="14"/>
      <c r="H409" s="61"/>
      <c r="I409" s="1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row>
    <row r="410" spans="2:41" s="171" customFormat="1" x14ac:dyDescent="0.25">
      <c r="B410" s="13"/>
      <c r="C410" s="62"/>
      <c r="D410" s="63"/>
      <c r="E410" s="64"/>
      <c r="F410" s="64"/>
      <c r="G410" s="64"/>
      <c r="H410" s="65"/>
      <c r="I410" s="15"/>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row>
    <row r="411" spans="2:41" s="171" customFormat="1" x14ac:dyDescent="0.25">
      <c r="B411" s="13"/>
      <c r="C411" s="14"/>
      <c r="D411" s="60"/>
      <c r="E411" s="66"/>
      <c r="F411" s="56"/>
      <c r="G411" s="14"/>
      <c r="H411" s="56"/>
      <c r="I411" s="15"/>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row>
    <row r="412" spans="2:41" s="171" customFormat="1" x14ac:dyDescent="0.25">
      <c r="B412" s="13"/>
      <c r="C412" s="10"/>
      <c r="D412" s="11"/>
      <c r="E412" s="56"/>
      <c r="F412" s="58"/>
      <c r="G412" s="11"/>
      <c r="H412" s="59"/>
      <c r="I412" s="15"/>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row>
    <row r="413" spans="2:41" s="171" customFormat="1" x14ac:dyDescent="0.25">
      <c r="B413" s="13"/>
      <c r="C413" s="13"/>
      <c r="D413" s="60"/>
      <c r="E413" s="56"/>
      <c r="F413" s="56"/>
      <c r="G413" s="14"/>
      <c r="H413" s="15"/>
      <c r="I413" s="15"/>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row>
    <row r="414" spans="2:41" s="171" customFormat="1" x14ac:dyDescent="0.25">
      <c r="B414" s="13"/>
      <c r="C414" s="13"/>
      <c r="D414" s="60"/>
      <c r="E414" s="56"/>
      <c r="F414" s="56"/>
      <c r="G414" s="14"/>
      <c r="H414" s="61"/>
      <c r="I414" s="15"/>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row>
    <row r="415" spans="2:41" s="171" customFormat="1" x14ac:dyDescent="0.25">
      <c r="B415" s="13"/>
      <c r="C415" s="13"/>
      <c r="D415" s="60"/>
      <c r="E415" s="56"/>
      <c r="F415" s="56"/>
      <c r="G415" s="14"/>
      <c r="H415" s="61"/>
      <c r="I415" s="15"/>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row>
    <row r="416" spans="2:41" s="171" customFormat="1" ht="18.75" x14ac:dyDescent="0.3">
      <c r="B416" s="67"/>
      <c r="C416" s="13"/>
      <c r="D416" s="60"/>
      <c r="E416" s="56"/>
      <c r="F416" s="56"/>
      <c r="G416" s="14"/>
      <c r="H416" s="61"/>
      <c r="I416" s="68"/>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row>
    <row r="417" spans="2:41" s="171" customFormat="1" x14ac:dyDescent="0.25">
      <c r="B417" s="13"/>
      <c r="C417" s="62"/>
      <c r="D417" s="63"/>
      <c r="E417" s="64"/>
      <c r="F417" s="64"/>
      <c r="G417" s="64"/>
      <c r="H417" s="65"/>
      <c r="I417" s="15"/>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row>
    <row r="418" spans="2:41" s="171" customFormat="1" x14ac:dyDescent="0.25">
      <c r="B418" s="13"/>
      <c r="C418" s="14"/>
      <c r="D418" s="60"/>
      <c r="E418" s="66"/>
      <c r="F418" s="56"/>
      <c r="G418" s="14"/>
      <c r="H418" s="56"/>
      <c r="I418" s="15"/>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row>
    <row r="419" spans="2:41" s="171" customFormat="1" x14ac:dyDescent="0.25">
      <c r="B419" s="13"/>
      <c r="C419" s="10"/>
      <c r="D419" s="11"/>
      <c r="E419" s="56"/>
      <c r="F419" s="58"/>
      <c r="G419" s="11"/>
      <c r="H419" s="59"/>
      <c r="I419" s="15"/>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row>
    <row r="420" spans="2:41" s="171" customFormat="1" x14ac:dyDescent="0.25">
      <c r="B420" s="13"/>
      <c r="C420" s="13"/>
      <c r="D420" s="60"/>
      <c r="E420" s="56"/>
      <c r="F420" s="56"/>
      <c r="G420" s="14"/>
      <c r="H420" s="15"/>
      <c r="I420" s="15"/>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row>
    <row r="421" spans="2:41" s="171" customFormat="1" x14ac:dyDescent="0.25">
      <c r="B421" s="13"/>
      <c r="C421" s="13"/>
      <c r="D421" s="60"/>
      <c r="E421" s="56"/>
      <c r="F421" s="56"/>
      <c r="G421" s="14"/>
      <c r="H421" s="61"/>
      <c r="I421" s="15"/>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row>
    <row r="422" spans="2:41" s="171" customFormat="1" x14ac:dyDescent="0.25">
      <c r="B422" s="13"/>
      <c r="C422" s="13"/>
      <c r="D422" s="60"/>
      <c r="E422" s="56"/>
      <c r="F422" s="56"/>
      <c r="G422" s="14"/>
      <c r="H422" s="61"/>
      <c r="I422" s="15"/>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row>
    <row r="423" spans="2:41" s="171" customFormat="1" x14ac:dyDescent="0.25">
      <c r="B423" s="13"/>
      <c r="C423" s="13"/>
      <c r="D423" s="60"/>
      <c r="E423" s="56"/>
      <c r="F423" s="56"/>
      <c r="G423" s="14"/>
      <c r="H423" s="61"/>
      <c r="I423" s="15"/>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row>
    <row r="424" spans="2:41" s="171" customFormat="1" ht="18.75" x14ac:dyDescent="0.3">
      <c r="B424" s="67"/>
      <c r="C424" s="62"/>
      <c r="D424" s="63"/>
      <c r="E424" s="64"/>
      <c r="F424" s="64"/>
      <c r="G424" s="64"/>
      <c r="H424" s="65"/>
      <c r="I424" s="68"/>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row>
    <row r="425" spans="2:41" s="171" customFormat="1" x14ac:dyDescent="0.25">
      <c r="B425" s="13"/>
      <c r="C425" s="14"/>
      <c r="D425" s="60"/>
      <c r="E425" s="66"/>
      <c r="F425" s="56"/>
      <c r="G425" s="14"/>
      <c r="H425" s="56"/>
      <c r="I425" s="15"/>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row>
    <row r="426" spans="2:41" s="171" customFormat="1" x14ac:dyDescent="0.25">
      <c r="B426" s="13"/>
      <c r="C426" s="10"/>
      <c r="D426" s="11"/>
      <c r="E426" s="56"/>
      <c r="F426" s="58"/>
      <c r="G426" s="11"/>
      <c r="H426" s="59"/>
      <c r="I426" s="15"/>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row>
    <row r="427" spans="2:41" s="171" customFormat="1" x14ac:dyDescent="0.25">
      <c r="B427" s="13"/>
      <c r="C427" s="13"/>
      <c r="D427" s="60"/>
      <c r="E427" s="56"/>
      <c r="F427" s="56"/>
      <c r="G427" s="14"/>
      <c r="H427" s="15"/>
      <c r="I427" s="15"/>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row>
    <row r="428" spans="2:41" s="171" customFormat="1" x14ac:dyDescent="0.25">
      <c r="B428" s="13"/>
      <c r="C428" s="13"/>
      <c r="D428" s="60"/>
      <c r="E428" s="56"/>
      <c r="F428" s="56"/>
      <c r="G428" s="14"/>
      <c r="H428" s="61"/>
      <c r="I428" s="15"/>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row>
    <row r="429" spans="2:41" s="171" customFormat="1" x14ac:dyDescent="0.25">
      <c r="B429" s="13"/>
      <c r="C429" s="13"/>
      <c r="D429" s="60"/>
      <c r="E429" s="56"/>
      <c r="F429" s="56"/>
      <c r="G429" s="14"/>
      <c r="H429" s="61"/>
      <c r="I429" s="15"/>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row>
    <row r="430" spans="2:41" s="171" customFormat="1" x14ac:dyDescent="0.25">
      <c r="B430" s="13"/>
      <c r="C430" s="13"/>
      <c r="D430" s="60"/>
      <c r="E430" s="56"/>
      <c r="F430" s="56"/>
      <c r="G430" s="14"/>
      <c r="H430" s="61"/>
      <c r="I430" s="15"/>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row>
    <row r="431" spans="2:41" s="171" customFormat="1" x14ac:dyDescent="0.25">
      <c r="B431" s="13"/>
      <c r="C431" s="62"/>
      <c r="D431" s="63"/>
      <c r="E431" s="64"/>
      <c r="F431" s="64"/>
      <c r="G431" s="64"/>
      <c r="H431" s="65"/>
      <c r="I431" s="15"/>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row>
    <row r="432" spans="2:41" s="171" customFormat="1" ht="18.75" x14ac:dyDescent="0.3">
      <c r="B432" s="67"/>
      <c r="C432" s="14"/>
      <c r="D432" s="60"/>
      <c r="E432" s="66"/>
      <c r="F432" s="56"/>
      <c r="G432" s="14"/>
      <c r="H432" s="56"/>
      <c r="I432" s="68"/>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row>
    <row r="433" spans="2:41" s="171" customFormat="1" x14ac:dyDescent="0.25">
      <c r="B433" s="13"/>
      <c r="C433" s="10"/>
      <c r="D433" s="11"/>
      <c r="E433" s="56"/>
      <c r="F433" s="58"/>
      <c r="G433" s="11"/>
      <c r="H433" s="59"/>
      <c r="I433" s="15"/>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row>
    <row r="434" spans="2:41" s="171" customFormat="1" x14ac:dyDescent="0.25">
      <c r="B434" s="13"/>
      <c r="C434" s="13"/>
      <c r="D434" s="60"/>
      <c r="E434" s="56"/>
      <c r="F434" s="56"/>
      <c r="G434" s="14"/>
      <c r="H434" s="15"/>
      <c r="I434" s="15"/>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row>
    <row r="435" spans="2:41" s="171" customFormat="1" x14ac:dyDescent="0.25">
      <c r="B435" s="13"/>
      <c r="C435" s="13"/>
      <c r="D435" s="60"/>
      <c r="E435" s="56"/>
      <c r="F435" s="56"/>
      <c r="G435" s="14"/>
      <c r="H435" s="61"/>
      <c r="I435" s="15"/>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row>
    <row r="436" spans="2:41" s="171" customFormat="1" x14ac:dyDescent="0.25">
      <c r="B436" s="13"/>
      <c r="C436" s="13"/>
      <c r="D436" s="60"/>
      <c r="E436" s="56"/>
      <c r="F436" s="56"/>
      <c r="G436" s="14"/>
      <c r="H436" s="61"/>
      <c r="I436" s="15"/>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row>
    <row r="437" spans="2:41" s="171" customFormat="1" x14ac:dyDescent="0.25">
      <c r="B437" s="13"/>
      <c r="C437" s="13"/>
      <c r="D437" s="60"/>
      <c r="E437" s="56"/>
      <c r="F437" s="56"/>
      <c r="G437" s="14"/>
      <c r="H437" s="61"/>
      <c r="I437" s="15"/>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row>
    <row r="438" spans="2:41" s="171" customFormat="1" x14ac:dyDescent="0.25">
      <c r="B438" s="13"/>
      <c r="C438" s="62"/>
      <c r="D438" s="63"/>
      <c r="E438" s="64"/>
      <c r="F438" s="64"/>
      <c r="G438" s="64"/>
      <c r="H438" s="65"/>
      <c r="I438" s="15"/>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row>
    <row r="439" spans="2:41" s="171" customFormat="1" x14ac:dyDescent="0.25">
      <c r="B439" s="13"/>
      <c r="C439" s="14"/>
      <c r="D439" s="60"/>
      <c r="E439" s="66"/>
      <c r="F439" s="56"/>
      <c r="G439" s="14"/>
      <c r="H439" s="56"/>
      <c r="I439" s="15"/>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row>
    <row r="440" spans="2:41" s="171" customFormat="1" ht="18.75" x14ac:dyDescent="0.3">
      <c r="B440" s="67"/>
      <c r="C440" s="10"/>
      <c r="D440" s="11"/>
      <c r="E440" s="56"/>
      <c r="F440" s="58"/>
      <c r="G440" s="11"/>
      <c r="H440" s="59"/>
      <c r="I440" s="68"/>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row>
    <row r="441" spans="2:41" s="171" customFormat="1" x14ac:dyDescent="0.25">
      <c r="B441" s="13"/>
      <c r="C441" s="13"/>
      <c r="D441" s="60"/>
      <c r="E441" s="56"/>
      <c r="F441" s="56"/>
      <c r="G441" s="14"/>
      <c r="H441" s="15"/>
      <c r="I441" s="15"/>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row>
    <row r="442" spans="2:41" s="171" customFormat="1" x14ac:dyDescent="0.25">
      <c r="B442" s="13"/>
      <c r="C442" s="13"/>
      <c r="D442" s="60"/>
      <c r="E442" s="56"/>
      <c r="F442" s="56"/>
      <c r="G442" s="14"/>
      <c r="H442" s="61"/>
      <c r="I442" s="15"/>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row>
    <row r="443" spans="2:41" s="171" customFormat="1" x14ac:dyDescent="0.25">
      <c r="B443" s="13"/>
      <c r="C443" s="13"/>
      <c r="D443" s="60"/>
      <c r="E443" s="56"/>
      <c r="F443" s="56"/>
      <c r="G443" s="14"/>
      <c r="H443" s="61"/>
      <c r="I443" s="15"/>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row>
    <row r="444" spans="2:41" s="171" customFormat="1" x14ac:dyDescent="0.25">
      <c r="B444" s="13"/>
      <c r="C444" s="13"/>
      <c r="D444" s="60"/>
      <c r="E444" s="56"/>
      <c r="F444" s="56"/>
      <c r="G444" s="14"/>
      <c r="H444" s="61"/>
      <c r="I444" s="15"/>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row>
    <row r="445" spans="2:41" s="171" customFormat="1" x14ac:dyDescent="0.25">
      <c r="B445" s="13"/>
      <c r="C445" s="62"/>
      <c r="D445" s="63"/>
      <c r="E445" s="64"/>
      <c r="F445" s="64"/>
      <c r="G445" s="64"/>
      <c r="H445" s="65"/>
      <c r="I445" s="15"/>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row>
    <row r="446" spans="2:41" s="171" customFormat="1" x14ac:dyDescent="0.25">
      <c r="B446" s="13"/>
      <c r="C446" s="14"/>
      <c r="D446" s="60"/>
      <c r="E446" s="66"/>
      <c r="F446" s="56"/>
      <c r="G446" s="14"/>
      <c r="H446" s="56"/>
      <c r="I446" s="15"/>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row>
    <row r="447" spans="2:41" s="171" customFormat="1" x14ac:dyDescent="0.25">
      <c r="B447" s="13"/>
      <c r="C447" s="10"/>
      <c r="D447" s="11"/>
      <c r="E447" s="56"/>
      <c r="F447" s="58"/>
      <c r="G447" s="11"/>
      <c r="H447" s="59"/>
      <c r="I447" s="15"/>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row>
    <row r="448" spans="2:41" s="171" customFormat="1" ht="18.75" x14ac:dyDescent="0.3">
      <c r="B448" s="67"/>
      <c r="C448" s="13"/>
      <c r="D448" s="60"/>
      <c r="E448" s="56"/>
      <c r="F448" s="56"/>
      <c r="G448" s="14"/>
      <c r="H448" s="15"/>
      <c r="I448" s="68"/>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row>
    <row r="449" spans="2:41" s="171" customFormat="1" x14ac:dyDescent="0.25">
      <c r="B449" s="13"/>
      <c r="C449" s="13"/>
      <c r="D449" s="60"/>
      <c r="E449" s="56"/>
      <c r="F449" s="56"/>
      <c r="G449" s="14"/>
      <c r="H449" s="61"/>
      <c r="I449" s="15"/>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row>
    <row r="450" spans="2:41" s="171" customFormat="1" x14ac:dyDescent="0.25">
      <c r="B450" s="13"/>
      <c r="C450" s="13"/>
      <c r="D450" s="60"/>
      <c r="E450" s="56"/>
      <c r="F450" s="56"/>
      <c r="G450" s="14"/>
      <c r="H450" s="61"/>
      <c r="I450" s="15"/>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row>
    <row r="451" spans="2:41" s="171" customFormat="1" x14ac:dyDescent="0.25">
      <c r="B451" s="13"/>
      <c r="C451" s="13"/>
      <c r="D451" s="60"/>
      <c r="E451" s="56"/>
      <c r="F451" s="56"/>
      <c r="G451" s="14"/>
      <c r="H451" s="61"/>
      <c r="I451" s="15"/>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row>
    <row r="452" spans="2:41" s="171" customFormat="1" x14ac:dyDescent="0.25">
      <c r="B452" s="13"/>
      <c r="C452" s="62"/>
      <c r="D452" s="63"/>
      <c r="E452" s="64"/>
      <c r="F452" s="64"/>
      <c r="G452" s="64"/>
      <c r="H452" s="65"/>
      <c r="I452" s="15"/>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row>
    <row r="453" spans="2:41" s="171" customFormat="1" x14ac:dyDescent="0.25">
      <c r="B453" s="13"/>
      <c r="C453" s="14"/>
      <c r="D453" s="60"/>
      <c r="E453" s="66"/>
      <c r="F453" s="56"/>
      <c r="G453" s="14"/>
      <c r="H453" s="56"/>
      <c r="I453" s="15"/>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row>
    <row r="454" spans="2:41" s="171" customFormat="1" x14ac:dyDescent="0.25">
      <c r="B454" s="13"/>
      <c r="C454" s="10"/>
      <c r="D454" s="11"/>
      <c r="E454" s="56"/>
      <c r="F454" s="58"/>
      <c r="G454" s="11"/>
      <c r="H454" s="59"/>
      <c r="I454" s="15"/>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row>
    <row r="455" spans="2:41" s="171" customFormat="1" x14ac:dyDescent="0.25">
      <c r="B455" s="13"/>
      <c r="C455" s="13"/>
      <c r="D455" s="60"/>
      <c r="E455" s="56"/>
      <c r="F455" s="56"/>
      <c r="G455" s="14"/>
      <c r="H455" s="15"/>
      <c r="I455" s="15"/>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row>
    <row r="456" spans="2:41" s="171" customFormat="1" ht="18.75" x14ac:dyDescent="0.3">
      <c r="B456" s="67"/>
      <c r="C456" s="13"/>
      <c r="D456" s="60"/>
      <c r="E456" s="56"/>
      <c r="F456" s="56"/>
      <c r="G456" s="14"/>
      <c r="H456" s="61"/>
      <c r="I456" s="68"/>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row>
    <row r="457" spans="2:41" s="171" customFormat="1" x14ac:dyDescent="0.25">
      <c r="B457" s="13"/>
      <c r="C457" s="13"/>
      <c r="D457" s="60"/>
      <c r="E457" s="56"/>
      <c r="F457" s="56"/>
      <c r="G457" s="14"/>
      <c r="H457" s="61"/>
      <c r="I457" s="15"/>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row>
    <row r="458" spans="2:41" s="171" customFormat="1" x14ac:dyDescent="0.25">
      <c r="B458" s="13"/>
      <c r="C458" s="13"/>
      <c r="D458" s="60"/>
      <c r="E458" s="56"/>
      <c r="F458" s="56"/>
      <c r="G458" s="14"/>
      <c r="H458" s="61"/>
      <c r="I458" s="15"/>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row>
    <row r="459" spans="2:41" s="171" customFormat="1" x14ac:dyDescent="0.25">
      <c r="B459" s="13"/>
      <c r="C459" s="62"/>
      <c r="D459" s="63"/>
      <c r="E459" s="64"/>
      <c r="F459" s="64"/>
      <c r="G459" s="64"/>
      <c r="H459" s="65"/>
      <c r="I459" s="15"/>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row>
    <row r="460" spans="2:41" s="171" customFormat="1" x14ac:dyDescent="0.25">
      <c r="B460" s="13"/>
      <c r="C460" s="14"/>
      <c r="D460" s="60"/>
      <c r="E460" s="66"/>
      <c r="F460" s="56"/>
      <c r="G460" s="14"/>
      <c r="H460" s="56"/>
      <c r="I460" s="15"/>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row>
    <row r="461" spans="2:41" s="171" customFormat="1" x14ac:dyDescent="0.25">
      <c r="B461" s="13"/>
      <c r="C461" s="10"/>
      <c r="D461" s="11"/>
      <c r="E461" s="56"/>
      <c r="F461" s="58"/>
      <c r="G461" s="11"/>
      <c r="H461" s="59"/>
      <c r="I461" s="15"/>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row>
    <row r="462" spans="2:41" s="171" customFormat="1" x14ac:dyDescent="0.25">
      <c r="B462" s="13"/>
      <c r="C462" s="13"/>
      <c r="D462" s="60"/>
      <c r="E462" s="56"/>
      <c r="F462" s="56"/>
      <c r="G462" s="14"/>
      <c r="H462" s="15"/>
      <c r="I462" s="15"/>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row>
    <row r="463" spans="2:41" s="171" customFormat="1" x14ac:dyDescent="0.25">
      <c r="B463" s="13"/>
      <c r="C463" s="13"/>
      <c r="D463" s="60"/>
      <c r="E463" s="56"/>
      <c r="F463" s="56"/>
      <c r="G463" s="14"/>
      <c r="H463" s="61"/>
      <c r="I463" s="15"/>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row>
    <row r="464" spans="2:41" s="171" customFormat="1" ht="18.75" x14ac:dyDescent="0.3">
      <c r="B464" s="67"/>
      <c r="C464" s="13"/>
      <c r="D464" s="60"/>
      <c r="E464" s="56"/>
      <c r="F464" s="56"/>
      <c r="G464" s="14"/>
      <c r="H464" s="61"/>
      <c r="I464" s="68"/>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row>
    <row r="465" spans="2:41" s="171" customFormat="1" x14ac:dyDescent="0.25">
      <c r="B465" s="13"/>
      <c r="C465" s="13"/>
      <c r="D465" s="60"/>
      <c r="E465" s="56"/>
      <c r="F465" s="56"/>
      <c r="G465" s="14"/>
      <c r="H465" s="61"/>
      <c r="I465" s="15"/>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row>
    <row r="466" spans="2:41" s="171" customFormat="1" x14ac:dyDescent="0.25">
      <c r="B466" s="13"/>
      <c r="C466" s="62"/>
      <c r="D466" s="63"/>
      <c r="E466" s="64"/>
      <c r="F466" s="64"/>
      <c r="G466" s="64"/>
      <c r="H466" s="65"/>
      <c r="I466" s="15"/>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row>
    <row r="467" spans="2:41" s="171" customFormat="1" x14ac:dyDescent="0.25">
      <c r="B467" s="13"/>
      <c r="C467" s="14"/>
      <c r="D467" s="60"/>
      <c r="E467" s="66"/>
      <c r="F467" s="56"/>
      <c r="G467" s="14"/>
      <c r="H467" s="56"/>
      <c r="I467" s="15"/>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row>
    <row r="468" spans="2:41" s="171" customFormat="1" x14ac:dyDescent="0.25">
      <c r="B468" s="13"/>
      <c r="C468" s="10"/>
      <c r="D468" s="11"/>
      <c r="E468" s="56"/>
      <c r="F468" s="58"/>
      <c r="G468" s="11"/>
      <c r="H468" s="59"/>
      <c r="I468" s="15"/>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row>
    <row r="469" spans="2:41" s="171" customFormat="1" x14ac:dyDescent="0.25">
      <c r="B469" s="13"/>
      <c r="C469" s="13"/>
      <c r="D469" s="60"/>
      <c r="E469" s="56"/>
      <c r="F469" s="56"/>
      <c r="G469" s="14"/>
      <c r="H469" s="15"/>
      <c r="I469" s="15"/>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row>
    <row r="470" spans="2:41" s="171" customFormat="1" x14ac:dyDescent="0.25">
      <c r="B470" s="13"/>
      <c r="C470" s="13"/>
      <c r="D470" s="60"/>
      <c r="E470" s="56"/>
      <c r="F470" s="56"/>
      <c r="G470" s="14"/>
      <c r="H470" s="61"/>
      <c r="I470" s="15"/>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row>
    <row r="471" spans="2:41" s="171" customFormat="1" x14ac:dyDescent="0.25">
      <c r="B471" s="13"/>
      <c r="C471" s="13"/>
      <c r="D471" s="60"/>
      <c r="E471" s="56"/>
      <c r="F471" s="56"/>
      <c r="G471" s="14"/>
      <c r="H471" s="61"/>
      <c r="I471" s="15"/>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row>
    <row r="472" spans="2:41" s="171" customFormat="1" ht="18.75" x14ac:dyDescent="0.3">
      <c r="B472" s="67"/>
      <c r="C472" s="13"/>
      <c r="D472" s="60"/>
      <c r="E472" s="56"/>
      <c r="F472" s="56"/>
      <c r="G472" s="14"/>
      <c r="H472" s="61"/>
      <c r="I472" s="68"/>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row>
    <row r="473" spans="2:41" s="171" customFormat="1" x14ac:dyDescent="0.25">
      <c r="B473" s="13"/>
      <c r="C473" s="62"/>
      <c r="D473" s="63"/>
      <c r="E473" s="64"/>
      <c r="F473" s="64"/>
      <c r="G473" s="64"/>
      <c r="H473" s="65"/>
      <c r="I473" s="15"/>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row>
    <row r="474" spans="2:41" s="171" customFormat="1" x14ac:dyDescent="0.25">
      <c r="B474" s="13"/>
      <c r="C474" s="14"/>
      <c r="D474" s="60"/>
      <c r="E474" s="66"/>
      <c r="F474" s="56"/>
      <c r="G474" s="14"/>
      <c r="H474" s="56"/>
      <c r="I474" s="1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row>
    <row r="475" spans="2:41" s="171" customFormat="1" x14ac:dyDescent="0.25">
      <c r="B475" s="13"/>
      <c r="C475" s="10"/>
      <c r="D475" s="11"/>
      <c r="E475" s="56"/>
      <c r="F475" s="58"/>
      <c r="G475" s="11"/>
      <c r="H475" s="59"/>
      <c r="I475" s="15"/>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row>
    <row r="476" spans="2:41" s="171" customFormat="1" x14ac:dyDescent="0.25">
      <c r="B476" s="13"/>
      <c r="C476" s="13"/>
      <c r="D476" s="60"/>
      <c r="E476" s="56"/>
      <c r="F476" s="56"/>
      <c r="G476" s="14"/>
      <c r="H476" s="15"/>
      <c r="I476" s="15"/>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row>
    <row r="477" spans="2:41" s="171" customFormat="1" x14ac:dyDescent="0.25">
      <c r="B477" s="13"/>
      <c r="C477" s="13"/>
      <c r="D477" s="60"/>
      <c r="E477" s="56"/>
      <c r="F477" s="56"/>
      <c r="G477" s="14"/>
      <c r="H477" s="61"/>
      <c r="I477" s="15"/>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row>
    <row r="478" spans="2:41" s="171" customFormat="1" x14ac:dyDescent="0.25">
      <c r="B478" s="13"/>
      <c r="C478" s="13"/>
      <c r="D478" s="60"/>
      <c r="E478" s="56"/>
      <c r="F478" s="56"/>
      <c r="G478" s="14"/>
      <c r="H478" s="61"/>
      <c r="I478" s="15"/>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row>
    <row r="479" spans="2:41" s="171" customFormat="1" x14ac:dyDescent="0.25">
      <c r="B479" s="13"/>
      <c r="C479" s="13"/>
      <c r="D479" s="60"/>
      <c r="E479" s="56"/>
      <c r="F479" s="56"/>
      <c r="G479" s="14"/>
      <c r="H479" s="61"/>
      <c r="I479" s="15"/>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row>
    <row r="480" spans="2:41" s="171" customFormat="1" ht="18.75" x14ac:dyDescent="0.3">
      <c r="B480" s="67"/>
      <c r="C480" s="62"/>
      <c r="D480" s="63"/>
      <c r="E480" s="64"/>
      <c r="F480" s="64"/>
      <c r="G480" s="64"/>
      <c r="H480" s="65"/>
      <c r="I480" s="68"/>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row>
    <row r="481" spans="2:41" s="171" customFormat="1" x14ac:dyDescent="0.25">
      <c r="B481" s="13"/>
      <c r="C481" s="14"/>
      <c r="D481" s="60"/>
      <c r="E481" s="66"/>
      <c r="F481" s="56"/>
      <c r="G481" s="14"/>
      <c r="H481" s="56"/>
      <c r="I481" s="15"/>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row>
    <row r="482" spans="2:41" s="171" customFormat="1" x14ac:dyDescent="0.25">
      <c r="B482" s="13"/>
      <c r="C482" s="10"/>
      <c r="D482" s="11"/>
      <c r="E482" s="56"/>
      <c r="F482" s="58"/>
      <c r="G482" s="11"/>
      <c r="H482" s="59"/>
      <c r="I482" s="15"/>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row>
    <row r="483" spans="2:41" s="171" customFormat="1" x14ac:dyDescent="0.25">
      <c r="B483" s="13"/>
      <c r="C483" s="13"/>
      <c r="D483" s="60"/>
      <c r="E483" s="56"/>
      <c r="F483" s="56"/>
      <c r="G483" s="14"/>
      <c r="H483" s="15"/>
      <c r="I483" s="15"/>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row>
    <row r="484" spans="2:41" s="171" customFormat="1" x14ac:dyDescent="0.25">
      <c r="B484" s="13"/>
      <c r="C484" s="13"/>
      <c r="D484" s="60"/>
      <c r="E484" s="56"/>
      <c r="F484" s="56"/>
      <c r="G484" s="14"/>
      <c r="H484" s="61"/>
      <c r="I484" s="15"/>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row>
    <row r="485" spans="2:41" s="171" customFormat="1" x14ac:dyDescent="0.25">
      <c r="B485" s="13"/>
      <c r="C485" s="13"/>
      <c r="D485" s="60"/>
      <c r="E485" s="56"/>
      <c r="F485" s="56"/>
      <c r="G485" s="14"/>
      <c r="H485" s="61"/>
      <c r="I485" s="15"/>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row>
    <row r="486" spans="2:41" s="171" customFormat="1" x14ac:dyDescent="0.25">
      <c r="B486" s="13"/>
      <c r="C486" s="13"/>
      <c r="D486" s="60"/>
      <c r="E486" s="56"/>
      <c r="F486" s="56"/>
      <c r="G486" s="14"/>
      <c r="H486" s="61"/>
      <c r="I486" s="15"/>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row>
    <row r="487" spans="2:41" s="171" customFormat="1" x14ac:dyDescent="0.25">
      <c r="B487" s="13"/>
      <c r="C487" s="62"/>
      <c r="D487" s="63"/>
      <c r="E487" s="64"/>
      <c r="F487" s="64"/>
      <c r="G487" s="64"/>
      <c r="H487" s="65"/>
      <c r="I487" s="15"/>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row>
    <row r="488" spans="2:41" s="171" customFormat="1" ht="18.75" x14ac:dyDescent="0.3">
      <c r="B488" s="67"/>
      <c r="C488" s="14"/>
      <c r="D488" s="60"/>
      <c r="E488" s="66"/>
      <c r="F488" s="56"/>
      <c r="G488" s="14"/>
      <c r="H488" s="56"/>
      <c r="I488" s="68"/>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row>
    <row r="489" spans="2:41" s="171" customFormat="1" x14ac:dyDescent="0.25">
      <c r="B489" s="13"/>
      <c r="C489" s="10"/>
      <c r="D489" s="11"/>
      <c r="E489" s="56"/>
      <c r="F489" s="58"/>
      <c r="G489" s="11"/>
      <c r="H489" s="59"/>
      <c r="I489" s="15"/>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row>
    <row r="490" spans="2:41" s="171" customFormat="1" x14ac:dyDescent="0.25">
      <c r="B490" s="13"/>
      <c r="C490" s="13"/>
      <c r="D490" s="60"/>
      <c r="E490" s="56"/>
      <c r="F490" s="56"/>
      <c r="G490" s="14"/>
      <c r="H490" s="15"/>
      <c r="I490" s="15"/>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row>
    <row r="491" spans="2:41" s="171" customFormat="1" x14ac:dyDescent="0.25">
      <c r="B491" s="13"/>
      <c r="C491" s="13"/>
      <c r="D491" s="60"/>
      <c r="E491" s="56"/>
      <c r="F491" s="56"/>
      <c r="G491" s="14"/>
      <c r="H491" s="61"/>
      <c r="I491" s="15"/>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row>
    <row r="492" spans="2:41" s="171" customFormat="1" x14ac:dyDescent="0.25">
      <c r="B492" s="13"/>
      <c r="C492" s="13"/>
      <c r="D492" s="60"/>
      <c r="E492" s="56"/>
      <c r="F492" s="56"/>
      <c r="G492" s="14"/>
      <c r="H492" s="61"/>
      <c r="I492" s="15"/>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row>
    <row r="493" spans="2:41" s="171" customFormat="1" x14ac:dyDescent="0.25">
      <c r="B493" s="13"/>
      <c r="C493" s="13"/>
      <c r="D493" s="60"/>
      <c r="E493" s="56"/>
      <c r="F493" s="56"/>
      <c r="G493" s="14"/>
      <c r="H493" s="61"/>
      <c r="I493" s="15"/>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row>
    <row r="494" spans="2:41" s="171" customFormat="1" x14ac:dyDescent="0.25">
      <c r="B494" s="13"/>
      <c r="C494" s="62"/>
      <c r="D494" s="63"/>
      <c r="E494" s="64"/>
      <c r="F494" s="64"/>
      <c r="G494" s="64"/>
      <c r="H494" s="65"/>
      <c r="I494" s="15"/>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row>
    <row r="495" spans="2:41" s="171" customFormat="1" x14ac:dyDescent="0.25">
      <c r="B495" s="13"/>
      <c r="C495" s="14"/>
      <c r="D495" s="60"/>
      <c r="E495" s="66"/>
      <c r="F495" s="56"/>
      <c r="G495" s="14"/>
      <c r="H495" s="56"/>
      <c r="I495" s="15"/>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row>
    <row r="496" spans="2:41" s="171" customFormat="1" ht="18.75" x14ac:dyDescent="0.3">
      <c r="B496" s="67"/>
      <c r="C496" s="10"/>
      <c r="D496" s="11"/>
      <c r="E496" s="56"/>
      <c r="F496" s="58"/>
      <c r="G496" s="11"/>
      <c r="H496" s="59"/>
      <c r="I496" s="68"/>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row>
    <row r="497" spans="2:41" s="171" customFormat="1" x14ac:dyDescent="0.25">
      <c r="B497" s="13"/>
      <c r="C497" s="13"/>
      <c r="D497" s="60"/>
      <c r="E497" s="56"/>
      <c r="F497" s="56"/>
      <c r="G497" s="14"/>
      <c r="H497" s="15"/>
      <c r="I497" s="15"/>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row>
    <row r="498" spans="2:41" s="171" customFormat="1" x14ac:dyDescent="0.25">
      <c r="B498" s="13"/>
      <c r="C498" s="13"/>
      <c r="D498" s="60"/>
      <c r="E498" s="56"/>
      <c r="F498" s="56"/>
      <c r="G498" s="14"/>
      <c r="H498" s="61"/>
      <c r="I498" s="15"/>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row>
    <row r="499" spans="2:41" s="171" customFormat="1" x14ac:dyDescent="0.25">
      <c r="B499" s="13"/>
      <c r="C499" s="13"/>
      <c r="D499" s="60"/>
      <c r="E499" s="56"/>
      <c r="F499" s="56"/>
      <c r="G499" s="14"/>
      <c r="H499" s="61"/>
      <c r="I499" s="15"/>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row>
    <row r="500" spans="2:41" s="171" customFormat="1" x14ac:dyDescent="0.25">
      <c r="B500" s="13"/>
      <c r="C500" s="13"/>
      <c r="D500" s="60"/>
      <c r="E500" s="56"/>
      <c r="F500" s="56"/>
      <c r="G500" s="14"/>
      <c r="H500" s="61"/>
      <c r="I500" s="15"/>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row>
    <row r="501" spans="2:41" s="171" customFormat="1" x14ac:dyDescent="0.25">
      <c r="B501" s="13"/>
      <c r="C501" s="62"/>
      <c r="D501" s="63"/>
      <c r="E501" s="64"/>
      <c r="F501" s="64"/>
      <c r="G501" s="64"/>
      <c r="H501" s="65"/>
      <c r="I501" s="15"/>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row>
    <row r="502" spans="2:41" s="171" customFormat="1" x14ac:dyDescent="0.25">
      <c r="B502" s="13"/>
      <c r="C502" s="14"/>
      <c r="D502" s="60"/>
      <c r="E502" s="66"/>
      <c r="F502" s="56"/>
      <c r="G502" s="14"/>
      <c r="H502" s="56"/>
      <c r="I502" s="15"/>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row>
    <row r="503" spans="2:41" s="171" customFormat="1" x14ac:dyDescent="0.25">
      <c r="B503" s="13"/>
      <c r="C503" s="10"/>
      <c r="D503" s="11"/>
      <c r="E503" s="56"/>
      <c r="F503" s="58"/>
      <c r="G503" s="11"/>
      <c r="H503" s="59"/>
      <c r="I503" s="15"/>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row>
    <row r="504" spans="2:41" s="171" customFormat="1" ht="18.75" x14ac:dyDescent="0.3">
      <c r="B504" s="67"/>
      <c r="C504" s="13"/>
      <c r="D504" s="60"/>
      <c r="E504" s="56"/>
      <c r="F504" s="56"/>
      <c r="G504" s="14"/>
      <c r="H504" s="15"/>
      <c r="I504" s="68"/>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row>
    <row r="505" spans="2:41" s="171" customFormat="1" x14ac:dyDescent="0.25">
      <c r="B505" s="13"/>
      <c r="C505" s="13"/>
      <c r="D505" s="60"/>
      <c r="E505" s="56"/>
      <c r="F505" s="56"/>
      <c r="G505" s="14"/>
      <c r="H505" s="61"/>
      <c r="I505" s="15"/>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row>
    <row r="506" spans="2:41" s="171" customFormat="1" x14ac:dyDescent="0.25">
      <c r="B506" s="13"/>
      <c r="C506" s="13"/>
      <c r="D506" s="60"/>
      <c r="E506" s="56"/>
      <c r="F506" s="56"/>
      <c r="G506" s="14"/>
      <c r="H506" s="61"/>
      <c r="I506" s="15"/>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row>
    <row r="507" spans="2:41" s="171" customFormat="1" x14ac:dyDescent="0.25">
      <c r="B507" s="13"/>
      <c r="C507" s="13"/>
      <c r="D507" s="60"/>
      <c r="E507" s="56"/>
      <c r="F507" s="56"/>
      <c r="G507" s="14"/>
      <c r="H507" s="61"/>
      <c r="I507" s="15"/>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row>
    <row r="508" spans="2:41" s="171" customFormat="1" x14ac:dyDescent="0.25">
      <c r="B508" s="13"/>
      <c r="C508" s="62"/>
      <c r="D508" s="63"/>
      <c r="E508" s="64"/>
      <c r="F508" s="64"/>
      <c r="G508" s="64"/>
      <c r="H508" s="65"/>
      <c r="I508" s="15"/>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row>
    <row r="509" spans="2:41" s="171" customFormat="1" x14ac:dyDescent="0.25">
      <c r="B509" s="13"/>
      <c r="C509" s="14"/>
      <c r="D509" s="60"/>
      <c r="E509" s="66"/>
      <c r="F509" s="56"/>
      <c r="G509" s="14"/>
      <c r="H509" s="56"/>
      <c r="I509" s="15"/>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row>
    <row r="510" spans="2:41" s="171" customFormat="1" x14ac:dyDescent="0.25">
      <c r="B510" s="13"/>
      <c r="C510" s="10"/>
      <c r="D510" s="11"/>
      <c r="E510" s="56"/>
      <c r="F510" s="58"/>
      <c r="G510" s="11"/>
      <c r="H510" s="59"/>
      <c r="I510" s="15"/>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row>
    <row r="511" spans="2:41" s="171" customFormat="1" x14ac:dyDescent="0.25">
      <c r="B511" s="13"/>
      <c r="C511" s="13"/>
      <c r="D511" s="60"/>
      <c r="E511" s="56"/>
      <c r="F511" s="56"/>
      <c r="G511" s="14"/>
      <c r="H511" s="15"/>
      <c r="I511" s="15"/>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row>
    <row r="512" spans="2:41" s="171" customFormat="1" ht="18.75" x14ac:dyDescent="0.3">
      <c r="B512" s="67"/>
      <c r="C512" s="13"/>
      <c r="D512" s="60"/>
      <c r="E512" s="56"/>
      <c r="F512" s="56"/>
      <c r="G512" s="14"/>
      <c r="H512" s="61"/>
      <c r="I512" s="68"/>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row>
    <row r="513" spans="2:41" s="171" customFormat="1" x14ac:dyDescent="0.25">
      <c r="B513" s="13"/>
      <c r="C513" s="13"/>
      <c r="D513" s="60"/>
      <c r="E513" s="56"/>
      <c r="F513" s="56"/>
      <c r="G513" s="14"/>
      <c r="H513" s="61"/>
      <c r="I513" s="15"/>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row>
    <row r="514" spans="2:41" s="171" customFormat="1" x14ac:dyDescent="0.25">
      <c r="B514" s="13"/>
      <c r="C514" s="13"/>
      <c r="D514" s="60"/>
      <c r="E514" s="56"/>
      <c r="F514" s="56"/>
      <c r="G514" s="14"/>
      <c r="H514" s="61"/>
      <c r="I514" s="15"/>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row>
    <row r="515" spans="2:41" s="171" customFormat="1" x14ac:dyDescent="0.25">
      <c r="B515" s="13"/>
      <c r="C515" s="62"/>
      <c r="D515" s="63"/>
      <c r="E515" s="64"/>
      <c r="F515" s="64"/>
      <c r="G515" s="64"/>
      <c r="H515" s="65"/>
      <c r="I515" s="15"/>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row>
    <row r="516" spans="2:41" s="171" customFormat="1" x14ac:dyDescent="0.25">
      <c r="B516" s="13"/>
      <c r="C516" s="14"/>
      <c r="D516" s="60"/>
      <c r="E516" s="66"/>
      <c r="F516" s="56"/>
      <c r="G516" s="14"/>
      <c r="H516" s="56"/>
      <c r="I516" s="15"/>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row>
    <row r="517" spans="2:41" s="171" customFormat="1" x14ac:dyDescent="0.25">
      <c r="B517" s="13"/>
      <c r="C517" s="10"/>
      <c r="D517" s="11"/>
      <c r="E517" s="56"/>
      <c r="F517" s="58"/>
      <c r="G517" s="11"/>
      <c r="H517" s="59"/>
      <c r="I517" s="15"/>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row>
    <row r="518" spans="2:41" s="171" customFormat="1" x14ac:dyDescent="0.25">
      <c r="B518" s="13"/>
      <c r="C518" s="13"/>
      <c r="D518" s="60"/>
      <c r="E518" s="56"/>
      <c r="F518" s="56"/>
      <c r="G518" s="14"/>
      <c r="H518" s="15"/>
      <c r="I518" s="15"/>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row>
    <row r="519" spans="2:41" s="171" customFormat="1" x14ac:dyDescent="0.25">
      <c r="B519" s="13"/>
      <c r="C519" s="13"/>
      <c r="D519" s="60"/>
      <c r="E519" s="56"/>
      <c r="F519" s="56"/>
      <c r="G519" s="14"/>
      <c r="H519" s="61"/>
      <c r="I519" s="15"/>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row>
    <row r="520" spans="2:41" s="171" customFormat="1" ht="18.75" x14ac:dyDescent="0.3">
      <c r="B520" s="67"/>
      <c r="C520" s="13"/>
      <c r="D520" s="60"/>
      <c r="E520" s="56"/>
      <c r="F520" s="56"/>
      <c r="G520" s="14"/>
      <c r="H520" s="61"/>
      <c r="I520" s="68"/>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row>
    <row r="521" spans="2:41" s="171" customFormat="1" x14ac:dyDescent="0.25">
      <c r="B521" s="13"/>
      <c r="C521" s="13"/>
      <c r="D521" s="60"/>
      <c r="E521" s="56"/>
      <c r="F521" s="56"/>
      <c r="G521" s="14"/>
      <c r="H521" s="61"/>
      <c r="I521" s="15"/>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row>
    <row r="522" spans="2:41" s="171" customFormat="1" x14ac:dyDescent="0.25">
      <c r="B522" s="13"/>
      <c r="C522" s="62"/>
      <c r="D522" s="63"/>
      <c r="E522" s="64"/>
      <c r="F522" s="64"/>
      <c r="G522" s="64"/>
      <c r="H522" s="65"/>
      <c r="I522" s="15"/>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row>
    <row r="523" spans="2:41" s="171" customFormat="1" x14ac:dyDescent="0.25">
      <c r="B523" s="13"/>
      <c r="C523" s="14"/>
      <c r="D523" s="60"/>
      <c r="E523" s="66"/>
      <c r="F523" s="56"/>
      <c r="G523" s="14"/>
      <c r="H523" s="56"/>
      <c r="I523" s="15"/>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row>
    <row r="524" spans="2:41" s="171" customFormat="1" x14ac:dyDescent="0.25">
      <c r="B524" s="13"/>
      <c r="C524" s="10"/>
      <c r="D524" s="11"/>
      <c r="E524" s="56"/>
      <c r="F524" s="58"/>
      <c r="G524" s="11"/>
      <c r="H524" s="59"/>
      <c r="I524" s="15"/>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row>
    <row r="525" spans="2:41" s="171" customFormat="1" x14ac:dyDescent="0.25">
      <c r="B525" s="13"/>
      <c r="C525" s="13"/>
      <c r="D525" s="60"/>
      <c r="E525" s="56"/>
      <c r="F525" s="56"/>
      <c r="G525" s="14"/>
      <c r="H525" s="15"/>
      <c r="I525" s="15"/>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row>
    <row r="526" spans="2:41" s="171" customFormat="1" x14ac:dyDescent="0.25">
      <c r="B526" s="8"/>
      <c r="C526" s="23"/>
      <c r="D526" s="47"/>
      <c r="E526" s="48"/>
      <c r="F526" s="48"/>
      <c r="G526" s="24"/>
      <c r="H526" s="49"/>
      <c r="I526" s="27"/>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row>
    <row r="527" spans="2:41" s="171" customFormat="1" x14ac:dyDescent="0.25">
      <c r="B527" s="8"/>
      <c r="C527" s="23"/>
      <c r="D527" s="47"/>
      <c r="E527" s="48"/>
      <c r="F527" s="48"/>
      <c r="G527" s="24"/>
      <c r="H527" s="49"/>
      <c r="I527" s="27"/>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row>
    <row r="528" spans="2:41" s="171" customFormat="1" ht="18.75" x14ac:dyDescent="0.3">
      <c r="B528" s="28"/>
      <c r="C528" s="23"/>
      <c r="D528" s="47"/>
      <c r="E528" s="48"/>
      <c r="F528" s="48"/>
      <c r="G528" s="24"/>
      <c r="H528" s="49"/>
      <c r="I528" s="29"/>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row>
    <row r="529" spans="2:41" s="171" customFormat="1" x14ac:dyDescent="0.25">
      <c r="B529" s="8"/>
      <c r="C529" s="50"/>
      <c r="D529" s="51"/>
      <c r="E529" s="52"/>
      <c r="F529" s="52"/>
      <c r="G529" s="52"/>
      <c r="H529" s="53"/>
      <c r="I529" s="27"/>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row>
    <row r="530" spans="2:41" s="171" customFormat="1" x14ac:dyDescent="0.25">
      <c r="B530" s="8"/>
      <c r="C530" s="9"/>
      <c r="D530" s="54"/>
      <c r="E530" s="55"/>
      <c r="F530" s="44"/>
      <c r="G530" s="9"/>
      <c r="H530" s="44"/>
      <c r="I530" s="27"/>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row>
    <row r="531" spans="2:41" s="171" customFormat="1" x14ac:dyDescent="0.25">
      <c r="B531" s="8"/>
      <c r="C531" s="21"/>
      <c r="D531" s="22"/>
      <c r="E531" s="48"/>
      <c r="F531" s="45"/>
      <c r="G531" s="22"/>
      <c r="H531" s="46"/>
      <c r="I531" s="27"/>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row>
    <row r="532" spans="2:41" s="171" customFormat="1" x14ac:dyDescent="0.25">
      <c r="B532" s="8"/>
      <c r="C532" s="23"/>
      <c r="D532" s="47"/>
      <c r="E532" s="48"/>
      <c r="F532" s="48"/>
      <c r="G532" s="24"/>
      <c r="H532" s="25"/>
      <c r="I532" s="27"/>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row>
    <row r="533" spans="2:41" s="171" customFormat="1" x14ac:dyDescent="0.25">
      <c r="B533" s="8"/>
      <c r="C533" s="23"/>
      <c r="D533" s="47"/>
      <c r="E533" s="48"/>
      <c r="F533" s="48"/>
      <c r="G533" s="24"/>
      <c r="H533" s="49"/>
      <c r="I533" s="27"/>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row>
    <row r="534" spans="2:41" s="171" customFormat="1" x14ac:dyDescent="0.25">
      <c r="B534" s="8"/>
      <c r="C534" s="23"/>
      <c r="D534" s="47"/>
      <c r="E534" s="48"/>
      <c r="F534" s="48"/>
      <c r="G534" s="24"/>
      <c r="H534" s="49"/>
      <c r="I534" s="27"/>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row>
    <row r="535" spans="2:41" s="171" customFormat="1" x14ac:dyDescent="0.25">
      <c r="B535" s="8"/>
      <c r="C535" s="23"/>
      <c r="D535" s="47"/>
      <c r="E535" s="48"/>
      <c r="F535" s="48"/>
      <c r="G535" s="24"/>
      <c r="H535" s="49"/>
      <c r="I535" s="27"/>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row>
    <row r="536" spans="2:41" s="171" customFormat="1" ht="18.75" x14ac:dyDescent="0.3">
      <c r="B536" s="28"/>
      <c r="C536" s="50"/>
      <c r="D536" s="51"/>
      <c r="E536" s="52"/>
      <c r="F536" s="52"/>
      <c r="G536" s="52"/>
      <c r="H536" s="53"/>
      <c r="I536" s="29"/>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row>
    <row r="537" spans="2:41" s="171" customFormat="1" x14ac:dyDescent="0.25">
      <c r="B537" s="8"/>
      <c r="C537" s="9"/>
      <c r="D537" s="54"/>
      <c r="E537" s="55"/>
      <c r="F537" s="44"/>
      <c r="G537" s="9"/>
      <c r="H537" s="44"/>
      <c r="I537" s="27"/>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row>
    <row r="538" spans="2:41" s="171" customFormat="1" x14ac:dyDescent="0.25">
      <c r="B538" s="8"/>
      <c r="C538" s="21"/>
      <c r="D538" s="22"/>
      <c r="E538" s="48"/>
      <c r="F538" s="45"/>
      <c r="G538" s="22"/>
      <c r="H538" s="46"/>
      <c r="I538" s="27"/>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row>
    <row r="539" spans="2:41" s="171" customFormat="1" x14ac:dyDescent="0.25">
      <c r="B539" s="8"/>
      <c r="C539" s="23"/>
      <c r="D539" s="47"/>
      <c r="E539" s="48"/>
      <c r="F539" s="48"/>
      <c r="G539" s="24"/>
      <c r="H539" s="25"/>
      <c r="I539" s="27"/>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row>
    <row r="540" spans="2:41" s="171" customFormat="1" x14ac:dyDescent="0.25">
      <c r="B540" s="8"/>
      <c r="C540" s="23"/>
      <c r="D540" s="47"/>
      <c r="E540" s="48"/>
      <c r="F540" s="48"/>
      <c r="G540" s="24"/>
      <c r="H540" s="49"/>
      <c r="I540" s="27"/>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row>
    <row r="541" spans="2:41" s="171" customFormat="1" x14ac:dyDescent="0.25">
      <c r="B541" s="8"/>
      <c r="C541" s="23"/>
      <c r="D541" s="47"/>
      <c r="E541" s="48"/>
      <c r="F541" s="48"/>
      <c r="G541" s="24"/>
      <c r="H541" s="49"/>
      <c r="I541" s="27"/>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row>
    <row r="542" spans="2:41" s="171" customFormat="1" x14ac:dyDescent="0.25">
      <c r="B542" s="8"/>
      <c r="C542" s="23"/>
      <c r="D542" s="47"/>
      <c r="E542" s="48"/>
      <c r="F542" s="48"/>
      <c r="G542" s="24"/>
      <c r="H542" s="49"/>
      <c r="I542" s="27"/>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row>
    <row r="543" spans="2:41" s="171" customFormat="1" x14ac:dyDescent="0.25">
      <c r="B543" s="8"/>
      <c r="C543" s="50"/>
      <c r="D543" s="51"/>
      <c r="E543" s="52"/>
      <c r="F543" s="52"/>
      <c r="G543" s="52"/>
      <c r="H543" s="53"/>
      <c r="I543" s="27"/>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row>
    <row r="544" spans="2:41" s="171" customFormat="1" ht="18.75" x14ac:dyDescent="0.3">
      <c r="B544" s="28"/>
      <c r="C544" s="9"/>
      <c r="D544" s="54"/>
      <c r="E544" s="55"/>
      <c r="F544" s="44"/>
      <c r="G544" s="9"/>
      <c r="H544" s="44"/>
      <c r="I544" s="29"/>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row>
    <row r="545" spans="2:41" s="171" customFormat="1" x14ac:dyDescent="0.25">
      <c r="B545" s="8"/>
      <c r="C545" s="21"/>
      <c r="D545" s="22"/>
      <c r="E545" s="48"/>
      <c r="F545" s="45"/>
      <c r="G545" s="22"/>
      <c r="H545" s="46"/>
      <c r="I545" s="27"/>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row>
    <row r="546" spans="2:41" s="171" customFormat="1" x14ac:dyDescent="0.25">
      <c r="B546" s="8"/>
      <c r="C546" s="23"/>
      <c r="D546" s="47"/>
      <c r="E546" s="48"/>
      <c r="F546" s="48"/>
      <c r="G546" s="24"/>
      <c r="H546" s="25"/>
      <c r="I546" s="27"/>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row>
    <row r="547" spans="2:41" s="171" customFormat="1" x14ac:dyDescent="0.25">
      <c r="B547" s="8"/>
      <c r="C547" s="23"/>
      <c r="D547" s="47"/>
      <c r="E547" s="48"/>
      <c r="F547" s="48"/>
      <c r="G547" s="24"/>
      <c r="H547" s="49"/>
      <c r="I547" s="27"/>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row>
    <row r="548" spans="2:41" s="171" customFormat="1" x14ac:dyDescent="0.25">
      <c r="B548" s="8"/>
      <c r="C548" s="23"/>
      <c r="D548" s="47"/>
      <c r="E548" s="48"/>
      <c r="F548" s="48"/>
      <c r="G548" s="24"/>
      <c r="H548" s="49"/>
      <c r="I548" s="27"/>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row>
    <row r="549" spans="2:41" s="171" customFormat="1" x14ac:dyDescent="0.25">
      <c r="B549" s="8"/>
      <c r="C549" s="23"/>
      <c r="D549" s="47"/>
      <c r="E549" s="48"/>
      <c r="F549" s="48"/>
      <c r="G549" s="24"/>
      <c r="H549" s="49"/>
      <c r="I549" s="27"/>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row>
    <row r="550" spans="2:41" s="171" customFormat="1" x14ac:dyDescent="0.25">
      <c r="B550" s="8"/>
      <c r="C550" s="50"/>
      <c r="D550" s="51"/>
      <c r="E550" s="52"/>
      <c r="F550" s="52"/>
      <c r="G550" s="52"/>
      <c r="H550" s="53"/>
      <c r="I550" s="27"/>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row>
    <row r="551" spans="2:41" s="171" customFormat="1" x14ac:dyDescent="0.25">
      <c r="B551" s="8"/>
      <c r="C551" s="9"/>
      <c r="D551" s="54"/>
      <c r="E551" s="55"/>
      <c r="F551" s="44"/>
      <c r="G551" s="9"/>
      <c r="H551" s="44"/>
      <c r="I551" s="27"/>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row>
    <row r="552" spans="2:41" s="171" customFormat="1" ht="18.75" x14ac:dyDescent="0.3">
      <c r="B552" s="28"/>
      <c r="C552" s="21"/>
      <c r="D552" s="22"/>
      <c r="E552" s="48"/>
      <c r="F552" s="45"/>
      <c r="G552" s="22"/>
      <c r="H552" s="46"/>
      <c r="I552" s="29"/>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row>
    <row r="553" spans="2:41" s="171" customFormat="1" x14ac:dyDescent="0.25">
      <c r="B553" s="8"/>
      <c r="C553" s="23"/>
      <c r="D553" s="47"/>
      <c r="E553" s="48"/>
      <c r="F553" s="48"/>
      <c r="G553" s="24"/>
      <c r="H553" s="25"/>
      <c r="I553" s="27"/>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row>
    <row r="554" spans="2:41" s="171" customFormat="1" x14ac:dyDescent="0.25">
      <c r="B554" s="8"/>
      <c r="C554" s="23"/>
      <c r="D554" s="47"/>
      <c r="E554" s="48"/>
      <c r="F554" s="48"/>
      <c r="G554" s="24"/>
      <c r="H554" s="49"/>
      <c r="I554" s="27"/>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row>
    <row r="555" spans="2:41" s="171" customFormat="1" x14ac:dyDescent="0.25">
      <c r="B555" s="8"/>
      <c r="C555" s="23"/>
      <c r="D555" s="47"/>
      <c r="E555" s="48"/>
      <c r="F555" s="48"/>
      <c r="G555" s="24"/>
      <c r="H555" s="49"/>
      <c r="I555" s="27"/>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row>
    <row r="556" spans="2:41" s="171" customFormat="1" x14ac:dyDescent="0.25">
      <c r="B556" s="8"/>
      <c r="C556" s="23"/>
      <c r="D556" s="47"/>
      <c r="E556" s="48"/>
      <c r="F556" s="48"/>
      <c r="G556" s="24"/>
      <c r="H556" s="49"/>
      <c r="I556" s="27"/>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row>
    <row r="557" spans="2:41" s="171" customFormat="1" x14ac:dyDescent="0.25">
      <c r="B557" s="8"/>
      <c r="C557" s="50"/>
      <c r="D557" s="51"/>
      <c r="E557" s="52"/>
      <c r="F557" s="52"/>
      <c r="G557" s="52"/>
      <c r="H557" s="53"/>
      <c r="I557" s="27"/>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row>
    <row r="558" spans="2:41" s="171" customFormat="1" x14ac:dyDescent="0.25">
      <c r="B558" s="8"/>
      <c r="C558" s="9"/>
      <c r="D558" s="54"/>
      <c r="E558" s="55"/>
      <c r="F558" s="44"/>
      <c r="G558" s="9"/>
      <c r="H558" s="44"/>
      <c r="I558" s="27"/>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row>
    <row r="559" spans="2:41" s="171" customFormat="1" x14ac:dyDescent="0.25">
      <c r="B559" s="8"/>
      <c r="C559" s="21"/>
      <c r="D559" s="22"/>
      <c r="E559" s="48"/>
      <c r="F559" s="45"/>
      <c r="G559" s="22"/>
      <c r="H559" s="46"/>
      <c r="I559" s="27"/>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row>
    <row r="560" spans="2:41" s="171" customFormat="1" ht="18.75" x14ac:dyDescent="0.3">
      <c r="B560" s="28"/>
      <c r="C560" s="23"/>
      <c r="D560" s="47"/>
      <c r="E560" s="48"/>
      <c r="F560" s="48"/>
      <c r="G560" s="24"/>
      <c r="H560" s="25"/>
      <c r="I560" s="29"/>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row>
    <row r="561" spans="2:41" s="171" customFormat="1" x14ac:dyDescent="0.25">
      <c r="B561" s="8"/>
      <c r="C561" s="23"/>
      <c r="D561" s="47"/>
      <c r="E561" s="48"/>
      <c r="F561" s="48"/>
      <c r="G561" s="24"/>
      <c r="H561" s="49"/>
      <c r="I561" s="27"/>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row>
    <row r="562" spans="2:41" s="171" customFormat="1" x14ac:dyDescent="0.25">
      <c r="B562" s="8"/>
      <c r="C562" s="23"/>
      <c r="D562" s="47"/>
      <c r="E562" s="48"/>
      <c r="F562" s="48"/>
      <c r="G562" s="24"/>
      <c r="H562" s="49"/>
      <c r="I562" s="27"/>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row>
    <row r="563" spans="2:41" s="171" customFormat="1" x14ac:dyDescent="0.25">
      <c r="B563" s="8"/>
      <c r="C563" s="23"/>
      <c r="D563" s="47"/>
      <c r="E563" s="48"/>
      <c r="F563" s="48"/>
      <c r="G563" s="24"/>
      <c r="H563" s="49"/>
      <c r="I563" s="27"/>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row>
    <row r="564" spans="2:41" s="171" customFormat="1" x14ac:dyDescent="0.25">
      <c r="B564" s="8"/>
      <c r="C564" s="50"/>
      <c r="D564" s="51"/>
      <c r="E564" s="52"/>
      <c r="F564" s="52"/>
      <c r="G564" s="52"/>
      <c r="H564" s="53"/>
      <c r="I564" s="27"/>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row>
    <row r="565" spans="2:41" s="171" customFormat="1" x14ac:dyDescent="0.25">
      <c r="B565" s="8"/>
      <c r="C565" s="9"/>
      <c r="D565" s="54"/>
      <c r="E565" s="55"/>
      <c r="F565" s="44"/>
      <c r="G565" s="9"/>
      <c r="H565" s="44"/>
      <c r="I565" s="27"/>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row>
    <row r="566" spans="2:41" s="171" customFormat="1" x14ac:dyDescent="0.25">
      <c r="B566" s="8"/>
      <c r="C566" s="21"/>
      <c r="D566" s="22"/>
      <c r="E566" s="48"/>
      <c r="F566" s="45"/>
      <c r="G566" s="22"/>
      <c r="H566" s="46"/>
      <c r="I566" s="27"/>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row>
    <row r="567" spans="2:41" s="171" customFormat="1" x14ac:dyDescent="0.25">
      <c r="B567" s="8"/>
      <c r="C567" s="23"/>
      <c r="D567" s="47"/>
      <c r="E567" s="48"/>
      <c r="F567" s="48"/>
      <c r="G567" s="24"/>
      <c r="H567" s="25"/>
      <c r="I567" s="27"/>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row>
    <row r="568" spans="2:41" s="171" customFormat="1" ht="18.75" x14ac:dyDescent="0.3">
      <c r="B568" s="28"/>
      <c r="C568" s="23"/>
      <c r="D568" s="47"/>
      <c r="E568" s="48"/>
      <c r="F568" s="48"/>
      <c r="G568" s="24"/>
      <c r="H568" s="49"/>
      <c r="I568" s="29"/>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row>
    <row r="569" spans="2:41" s="171" customFormat="1" x14ac:dyDescent="0.25">
      <c r="B569" s="8"/>
      <c r="C569" s="23"/>
      <c r="D569" s="47"/>
      <c r="E569" s="48"/>
      <c r="F569" s="48"/>
      <c r="G569" s="24"/>
      <c r="H569" s="49"/>
      <c r="I569" s="27"/>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row>
    <row r="570" spans="2:41" s="171" customFormat="1" x14ac:dyDescent="0.25">
      <c r="B570" s="8"/>
      <c r="C570" s="23"/>
      <c r="D570" s="47"/>
      <c r="E570" s="48"/>
      <c r="F570" s="48"/>
      <c r="G570" s="24"/>
      <c r="H570" s="49"/>
      <c r="I570" s="27"/>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row>
    <row r="571" spans="2:41" s="171" customFormat="1" x14ac:dyDescent="0.25">
      <c r="B571" s="8"/>
      <c r="C571" s="50"/>
      <c r="D571" s="51"/>
      <c r="E571" s="52"/>
      <c r="F571" s="52"/>
      <c r="G571" s="52"/>
      <c r="H571" s="53"/>
      <c r="I571" s="27"/>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row>
    <row r="572" spans="2:41" s="171" customFormat="1" x14ac:dyDescent="0.25">
      <c r="B572" s="8"/>
      <c r="C572" s="9"/>
      <c r="D572" s="54"/>
      <c r="E572" s="55"/>
      <c r="F572" s="44"/>
      <c r="G572" s="9"/>
      <c r="H572" s="44"/>
      <c r="I572" s="27"/>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row>
    <row r="573" spans="2:41" s="171" customFormat="1" x14ac:dyDescent="0.25">
      <c r="B573" s="8"/>
      <c r="C573" s="21"/>
      <c r="D573" s="22"/>
      <c r="E573" s="48"/>
      <c r="F573" s="45"/>
      <c r="G573" s="22"/>
      <c r="H573" s="46"/>
      <c r="I573" s="27"/>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row>
    <row r="574" spans="2:41" s="171" customFormat="1" x14ac:dyDescent="0.25">
      <c r="B574" s="8"/>
      <c r="C574" s="23"/>
      <c r="D574" s="47"/>
      <c r="E574" s="48"/>
      <c r="F574" s="48"/>
      <c r="G574" s="24"/>
      <c r="H574" s="25"/>
      <c r="I574" s="27"/>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row>
    <row r="575" spans="2:41" s="171" customFormat="1" x14ac:dyDescent="0.25">
      <c r="B575" s="8"/>
      <c r="C575" s="23"/>
      <c r="D575" s="47"/>
      <c r="E575" s="48"/>
      <c r="F575" s="48"/>
      <c r="G575" s="24"/>
      <c r="H575" s="49"/>
      <c r="I575" s="27"/>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row>
    <row r="576" spans="2:41" s="171" customFormat="1" ht="18.75" x14ac:dyDescent="0.3">
      <c r="B576" s="28"/>
      <c r="C576" s="23"/>
      <c r="D576" s="47"/>
      <c r="E576" s="48"/>
      <c r="F576" s="48"/>
      <c r="G576" s="24"/>
      <c r="H576" s="49"/>
      <c r="I576" s="29"/>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row>
    <row r="577" spans="2:41" s="171" customFormat="1" x14ac:dyDescent="0.25">
      <c r="B577" s="8"/>
      <c r="C577" s="23"/>
      <c r="D577" s="47"/>
      <c r="E577" s="48"/>
      <c r="F577" s="48"/>
      <c r="G577" s="24"/>
      <c r="H577" s="49"/>
      <c r="I577" s="27"/>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row>
    <row r="578" spans="2:41" s="171" customFormat="1" x14ac:dyDescent="0.25">
      <c r="B578" s="8"/>
      <c r="C578" s="50"/>
      <c r="D578" s="51"/>
      <c r="E578" s="52"/>
      <c r="F578" s="52"/>
      <c r="G578" s="52"/>
      <c r="H578" s="53"/>
      <c r="I578" s="27"/>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row>
    <row r="579" spans="2:41" s="171" customFormat="1" x14ac:dyDescent="0.25">
      <c r="B579" s="8"/>
      <c r="C579" s="9"/>
      <c r="D579" s="54"/>
      <c r="E579" s="55"/>
      <c r="F579" s="44"/>
      <c r="G579" s="9"/>
      <c r="H579" s="44"/>
      <c r="I579" s="27"/>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row>
    <row r="580" spans="2:41" s="171" customFormat="1" x14ac:dyDescent="0.25">
      <c r="B580" s="8"/>
      <c r="C580" s="21"/>
      <c r="D580" s="22"/>
      <c r="E580" s="48"/>
      <c r="F580" s="45"/>
      <c r="G580" s="22"/>
      <c r="H580" s="46"/>
      <c r="I580" s="27"/>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row>
    <row r="581" spans="2:41" s="171" customFormat="1" x14ac:dyDescent="0.25">
      <c r="B581" s="8"/>
      <c r="C581" s="23"/>
      <c r="D581" s="47"/>
      <c r="E581" s="48"/>
      <c r="F581" s="48"/>
      <c r="G581" s="24"/>
      <c r="H581" s="25"/>
      <c r="I581" s="27"/>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row>
    <row r="582" spans="2:41" s="171" customFormat="1" x14ac:dyDescent="0.25">
      <c r="B582" s="8"/>
      <c r="C582" s="23"/>
      <c r="D582" s="47"/>
      <c r="E582" s="48"/>
      <c r="F582" s="48"/>
      <c r="G582" s="24"/>
      <c r="H582" s="49"/>
      <c r="I582" s="27"/>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row>
    <row r="583" spans="2:41" s="171" customFormat="1" x14ac:dyDescent="0.25">
      <c r="B583" s="8"/>
      <c r="C583" s="23"/>
      <c r="D583" s="47"/>
      <c r="E583" s="48"/>
      <c r="F583" s="48"/>
      <c r="G583" s="24"/>
      <c r="H583" s="49"/>
      <c r="I583" s="27"/>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row>
    <row r="584" spans="2:41" s="171" customFormat="1" ht="18.75" x14ac:dyDescent="0.3">
      <c r="B584" s="28"/>
      <c r="C584" s="23"/>
      <c r="D584" s="47"/>
      <c r="E584" s="48"/>
      <c r="F584" s="48"/>
      <c r="G584" s="24"/>
      <c r="H584" s="49"/>
      <c r="I584" s="29"/>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row>
    <row r="585" spans="2:41" s="171" customFormat="1" x14ac:dyDescent="0.25">
      <c r="B585" s="8"/>
      <c r="C585" s="50"/>
      <c r="D585" s="51"/>
      <c r="E585" s="52"/>
      <c r="F585" s="52"/>
      <c r="G585" s="52"/>
      <c r="H585" s="53"/>
      <c r="I585" s="27"/>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row>
    <row r="586" spans="2:41" s="171" customFormat="1" x14ac:dyDescent="0.25">
      <c r="B586" s="8"/>
      <c r="C586" s="9"/>
      <c r="D586" s="54"/>
      <c r="E586" s="55"/>
      <c r="F586" s="44"/>
      <c r="G586" s="9"/>
      <c r="H586" s="44"/>
      <c r="I586" s="27"/>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row>
    <row r="587" spans="2:41" s="171" customFormat="1" x14ac:dyDescent="0.25">
      <c r="B587" s="8"/>
      <c r="C587" s="21"/>
      <c r="D587" s="22"/>
      <c r="E587" s="48"/>
      <c r="F587" s="45"/>
      <c r="G587" s="22"/>
      <c r="H587" s="46"/>
      <c r="I587" s="27"/>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row>
    <row r="588" spans="2:41" s="171" customFormat="1" x14ac:dyDescent="0.25">
      <c r="B588" s="8"/>
      <c r="C588" s="23"/>
      <c r="D588" s="47"/>
      <c r="E588" s="48"/>
      <c r="F588" s="48"/>
      <c r="G588" s="24"/>
      <c r="H588" s="25"/>
      <c r="I588" s="27"/>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row>
    <row r="589" spans="2:41" s="171" customFormat="1" x14ac:dyDescent="0.25">
      <c r="B589" s="8"/>
      <c r="C589" s="23"/>
      <c r="D589" s="47"/>
      <c r="E589" s="48"/>
      <c r="F589" s="48"/>
      <c r="G589" s="24"/>
      <c r="H589" s="49"/>
      <c r="I589" s="27"/>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row>
    <row r="590" spans="2:41" s="171" customFormat="1" x14ac:dyDescent="0.25">
      <c r="B590" s="8"/>
      <c r="C590" s="23"/>
      <c r="D590" s="47"/>
      <c r="E590" s="48"/>
      <c r="F590" s="48"/>
      <c r="G590" s="24"/>
      <c r="H590" s="49"/>
      <c r="I590" s="27"/>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row>
    <row r="591" spans="2:41" s="171" customFormat="1" x14ac:dyDescent="0.25">
      <c r="B591" s="8"/>
      <c r="C591" s="23"/>
      <c r="D591" s="47"/>
      <c r="E591" s="48"/>
      <c r="F591" s="48"/>
      <c r="G591" s="24"/>
      <c r="H591" s="49"/>
      <c r="I591" s="27"/>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row>
    <row r="592" spans="2:41" s="171" customFormat="1" ht="18.75" x14ac:dyDescent="0.3">
      <c r="B592" s="28"/>
      <c r="C592" s="50"/>
      <c r="D592" s="51"/>
      <c r="E592" s="52"/>
      <c r="F592" s="52"/>
      <c r="G592" s="52"/>
      <c r="H592" s="53"/>
      <c r="I592" s="29"/>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row>
    <row r="593" spans="2:32" s="171" customFormat="1" x14ac:dyDescent="0.25">
      <c r="B593" s="8"/>
      <c r="C593" s="9"/>
      <c r="D593" s="54"/>
      <c r="E593" s="55"/>
      <c r="F593" s="44"/>
      <c r="G593" s="9"/>
      <c r="H593" s="44"/>
      <c r="I593" s="27"/>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row>
    <row r="594" spans="2:32" s="171" customFormat="1" x14ac:dyDescent="0.25">
      <c r="B594" s="8"/>
      <c r="C594" s="21"/>
      <c r="D594" s="22"/>
      <c r="E594" s="48"/>
      <c r="F594" s="45"/>
      <c r="G594" s="22"/>
      <c r="H594" s="46"/>
      <c r="I594" s="27"/>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row>
    <row r="595" spans="2:32" s="171" customFormat="1" x14ac:dyDescent="0.25">
      <c r="B595" s="8"/>
      <c r="C595" s="23"/>
      <c r="D595" s="47"/>
      <c r="E595" s="48"/>
      <c r="F595" s="48"/>
      <c r="G595" s="24"/>
      <c r="H595" s="25"/>
      <c r="I595" s="27"/>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row>
  </sheetData>
  <conditionalFormatting sqref="E139:E144">
    <cfRule type="cellIs" dxfId="48" priority="1" operator="equal">
      <formula>#REF!</formula>
    </cfRule>
  </conditionalFormatting>
  <conditionalFormatting sqref="E196:E270">
    <cfRule type="cellIs" dxfId="47" priority="15" operator="equal">
      <formula>#REF!</formula>
    </cfRule>
  </conditionalFormatting>
  <conditionalFormatting sqref="E145:E194 E275:E595">
    <cfRule type="cellIs" dxfId="46" priority="13" operator="equal">
      <formula>#REF!</formula>
    </cfRule>
  </conditionalFormatting>
  <conditionalFormatting sqref="F5">
    <cfRule type="cellIs" dxfId="45" priority="14" operator="equal">
      <formula>#REF!</formula>
    </cfRule>
  </conditionalFormatting>
  <conditionalFormatting sqref="E138">
    <cfRule type="cellIs" dxfId="44" priority="2" operator="equal">
      <formula>#REF!</formula>
    </cfRule>
  </conditionalFormatting>
  <conditionalFormatting sqref="E82">
    <cfRule type="cellIs" dxfId="43" priority="12" operator="equal">
      <formula>#REF!</formula>
    </cfRule>
  </conditionalFormatting>
  <conditionalFormatting sqref="E83:E88">
    <cfRule type="cellIs" dxfId="42" priority="11" operator="equal">
      <formula>#REF!</formula>
    </cfRule>
  </conditionalFormatting>
  <conditionalFormatting sqref="E89:E95">
    <cfRule type="cellIs" dxfId="41" priority="10" operator="equal">
      <formula>#REF!</formula>
    </cfRule>
  </conditionalFormatting>
  <conditionalFormatting sqref="E96">
    <cfRule type="cellIs" dxfId="40" priority="9" operator="equal">
      <formula>#REF!</formula>
    </cfRule>
  </conditionalFormatting>
  <conditionalFormatting sqref="E97:E102">
    <cfRule type="cellIs" dxfId="39" priority="8" operator="equal">
      <formula>#REF!</formula>
    </cfRule>
  </conditionalFormatting>
  <conditionalFormatting sqref="E103:E109">
    <cfRule type="cellIs" dxfId="38" priority="7" operator="equal">
      <formula>#REF!</formula>
    </cfRule>
  </conditionalFormatting>
  <conditionalFormatting sqref="E110">
    <cfRule type="cellIs" dxfId="37" priority="6" operator="equal">
      <formula>#REF!</formula>
    </cfRule>
  </conditionalFormatting>
  <conditionalFormatting sqref="E124">
    <cfRule type="cellIs" dxfId="36" priority="5" operator="equal">
      <formula>#REF!</formula>
    </cfRule>
  </conditionalFormatting>
  <conditionalFormatting sqref="E125:E130">
    <cfRule type="cellIs" dxfId="35" priority="4" operator="equal">
      <formula>#REF!</formula>
    </cfRule>
  </conditionalFormatting>
  <conditionalFormatting sqref="E131:E137">
    <cfRule type="cellIs" dxfId="34" priority="3" operator="equal">
      <formula>#REF!</formula>
    </cfRule>
  </conditionalFormatting>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8">
    <tabColor theme="5"/>
  </sheetPr>
  <dimension ref="A1"/>
  <sheetViews>
    <sheetView workbookViewId="0"/>
  </sheetViews>
  <sheetFormatPr defaultColWidth="8.85546875" defaultRowHeight="15" x14ac:dyDescent="0.2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9"/>
  <dimension ref="A1:AP595"/>
  <sheetViews>
    <sheetView zoomScale="70" zoomScaleNormal="70" workbookViewId="0">
      <selection activeCell="B1" sqref="B1"/>
    </sheetView>
  </sheetViews>
  <sheetFormatPr defaultColWidth="8.85546875" defaultRowHeight="15" x14ac:dyDescent="0.25"/>
  <cols>
    <col min="1" max="1" width="9.28515625" style="3" customWidth="1"/>
    <col min="2" max="2" width="8.85546875" style="171"/>
    <col min="3" max="3" width="55.42578125" style="171" customWidth="1"/>
    <col min="4" max="4" width="20.5703125" style="171" customWidth="1"/>
    <col min="5" max="5" width="21.85546875" style="171" customWidth="1"/>
    <col min="6" max="6" width="17.85546875" style="171" customWidth="1"/>
    <col min="7" max="7" width="29.7109375" style="171" customWidth="1"/>
    <col min="8" max="8" width="22" style="171" bestFit="1" customWidth="1"/>
    <col min="9" max="9" width="12.7109375" style="171" bestFit="1" customWidth="1"/>
    <col min="10" max="10" width="11.42578125" style="171" customWidth="1"/>
    <col min="11" max="11" width="24.85546875" style="171" bestFit="1" customWidth="1"/>
    <col min="12" max="12" width="15.28515625" style="171" bestFit="1" customWidth="1"/>
    <col min="13" max="14" width="13" style="171" customWidth="1"/>
    <col min="15" max="16" width="20.85546875" style="171" customWidth="1"/>
    <col min="17" max="17" width="14" style="171" bestFit="1" customWidth="1"/>
    <col min="18" max="18" width="34.140625" style="171" customWidth="1"/>
    <col min="19" max="19" width="16.28515625" style="171" customWidth="1"/>
    <col min="20" max="20" width="25" style="171" customWidth="1"/>
    <col min="21" max="21" width="33.7109375" style="171" bestFit="1" customWidth="1"/>
    <col min="22" max="22" width="10" style="171" customWidth="1"/>
    <col min="23" max="23" width="31.28515625" style="171" bestFit="1" customWidth="1"/>
    <col min="24" max="16384" width="8.85546875" style="171"/>
  </cols>
  <sheetData>
    <row r="1" spans="1:42" s="3" customFormat="1" ht="54" customHeight="1" x14ac:dyDescent="0.65">
      <c r="A1" s="30"/>
      <c r="B1" s="1045" t="s">
        <v>1501</v>
      </c>
      <c r="C1" s="1046"/>
      <c r="D1" s="1046"/>
      <c r="E1" s="1046"/>
      <c r="F1" s="1046"/>
      <c r="G1" s="1046"/>
      <c r="H1" s="1046"/>
      <c r="I1" s="1046"/>
      <c r="J1" s="1046"/>
    </row>
    <row r="2" spans="1:42" s="165" customFormat="1" x14ac:dyDescent="0.25">
      <c r="A2" s="164"/>
      <c r="B2" s="70"/>
      <c r="C2" s="14"/>
      <c r="D2" s="14"/>
      <c r="E2" s="14"/>
      <c r="F2" s="14"/>
      <c r="G2" s="14"/>
      <c r="H2" s="14"/>
      <c r="I2" s="14"/>
      <c r="J2" s="14"/>
      <c r="K2" s="58"/>
      <c r="L2" s="58"/>
      <c r="M2" s="58"/>
      <c r="N2" s="58"/>
      <c r="O2" s="58"/>
      <c r="P2" s="58"/>
      <c r="Q2" s="58"/>
      <c r="R2" s="58"/>
      <c r="S2" s="58"/>
      <c r="T2" s="58"/>
      <c r="U2" s="58"/>
      <c r="V2" s="58"/>
      <c r="W2" s="58"/>
      <c r="X2" s="58"/>
      <c r="Y2" s="58"/>
      <c r="Z2" s="58"/>
      <c r="AA2" s="58"/>
      <c r="AB2" s="59"/>
      <c r="AC2" s="164"/>
      <c r="AD2" s="164"/>
      <c r="AE2" s="164"/>
      <c r="AF2" s="164"/>
      <c r="AG2" s="164"/>
      <c r="AH2" s="164"/>
      <c r="AI2" s="164"/>
      <c r="AJ2" s="164"/>
      <c r="AK2" s="164"/>
      <c r="AL2" s="164"/>
      <c r="AM2" s="164"/>
      <c r="AN2" s="164"/>
      <c r="AO2" s="164"/>
      <c r="AP2" s="164"/>
    </row>
    <row r="3" spans="1:42" ht="75" x14ac:dyDescent="0.25">
      <c r="B3" s="13"/>
      <c r="C3" s="1042" t="s">
        <v>1496</v>
      </c>
      <c r="D3" s="1042" t="s">
        <v>89</v>
      </c>
      <c r="E3" s="1042" t="s">
        <v>90</v>
      </c>
      <c r="F3" s="1042" t="s">
        <v>1497</v>
      </c>
      <c r="G3" s="1042" t="s">
        <v>91</v>
      </c>
      <c r="H3" s="1042" t="s">
        <v>1498</v>
      </c>
      <c r="I3" s="1042" t="s">
        <v>1492</v>
      </c>
      <c r="J3" s="1043" t="s">
        <v>1493</v>
      </c>
      <c r="K3" s="1043" t="str">
        <f>[2]Parameters!E92</f>
        <v>Number of available wells at start of business case</v>
      </c>
      <c r="L3" s="1043" t="s">
        <v>1499</v>
      </c>
      <c r="M3" s="1043" t="s">
        <v>1494</v>
      </c>
      <c r="N3" s="1043" t="s">
        <v>1495</v>
      </c>
      <c r="O3" s="1043" t="s">
        <v>1502</v>
      </c>
      <c r="P3" s="1043" t="s">
        <v>1591</v>
      </c>
      <c r="Q3" s="1042" t="s">
        <v>100</v>
      </c>
      <c r="R3" s="1042" t="s">
        <v>101</v>
      </c>
      <c r="S3" s="1042" t="s">
        <v>103</v>
      </c>
      <c r="T3" s="1042" t="s">
        <v>104</v>
      </c>
      <c r="U3" s="1042" t="s">
        <v>105</v>
      </c>
      <c r="V3" s="14"/>
      <c r="W3" s="14"/>
      <c r="X3" s="14"/>
      <c r="Y3" s="14"/>
      <c r="Z3" s="14"/>
      <c r="AA3" s="14"/>
      <c r="AB3" s="15"/>
      <c r="AC3" s="3"/>
      <c r="AD3" s="3"/>
      <c r="AE3" s="3"/>
      <c r="AF3" s="3"/>
      <c r="AG3" s="3"/>
      <c r="AH3" s="3"/>
      <c r="AI3" s="3"/>
      <c r="AJ3" s="3"/>
      <c r="AK3" s="3"/>
      <c r="AL3" s="3"/>
      <c r="AM3" s="3"/>
      <c r="AN3" s="3"/>
      <c r="AO3" s="3"/>
      <c r="AP3" s="3"/>
    </row>
    <row r="4" spans="1:42" ht="90" x14ac:dyDescent="0.25">
      <c r="B4" s="13"/>
      <c r="C4" s="1044" t="s">
        <v>508</v>
      </c>
      <c r="D4" s="1039" t="s">
        <v>1669</v>
      </c>
      <c r="E4" s="1039" t="s">
        <v>87</v>
      </c>
      <c r="F4" s="1039">
        <v>2018</v>
      </c>
      <c r="G4" s="1044" t="s">
        <v>88</v>
      </c>
      <c r="H4" s="1040">
        <v>200</v>
      </c>
      <c r="I4" s="1040">
        <v>1</v>
      </c>
      <c r="J4" s="1039">
        <v>10</v>
      </c>
      <c r="K4" s="1039">
        <v>10</v>
      </c>
      <c r="L4" s="1039">
        <v>10</v>
      </c>
      <c r="M4" s="1041">
        <v>2.5</v>
      </c>
      <c r="N4" s="1041">
        <v>40</v>
      </c>
      <c r="O4" s="1041">
        <f>P4*$G$33/10</f>
        <v>33.103448275862071</v>
      </c>
      <c r="P4" s="1041">
        <v>3</v>
      </c>
      <c r="Q4" s="1039"/>
      <c r="R4" s="1039" t="s">
        <v>102</v>
      </c>
      <c r="S4" s="1039" t="s">
        <v>106</v>
      </c>
      <c r="T4" s="1039" t="s">
        <v>107</v>
      </c>
      <c r="U4" s="1039" t="s">
        <v>108</v>
      </c>
      <c r="V4" s="14"/>
      <c r="W4" s="14"/>
      <c r="X4" s="14"/>
      <c r="Y4" s="14"/>
      <c r="Z4" s="14"/>
      <c r="AA4" s="14"/>
      <c r="AB4" s="15"/>
      <c r="AC4" s="3"/>
      <c r="AD4" s="3"/>
      <c r="AE4" s="3"/>
      <c r="AF4" s="3"/>
      <c r="AG4" s="3"/>
      <c r="AH4" s="3"/>
      <c r="AI4" s="3"/>
      <c r="AJ4" s="3"/>
      <c r="AK4" s="3"/>
      <c r="AL4" s="3"/>
      <c r="AM4" s="3"/>
      <c r="AN4" s="3"/>
      <c r="AO4" s="3"/>
      <c r="AP4" s="3"/>
    </row>
    <row r="5" spans="1:42" s="141" customFormat="1" ht="60" x14ac:dyDescent="0.25">
      <c r="A5" s="138"/>
      <c r="B5" s="139"/>
      <c r="C5" s="1044" t="s">
        <v>231</v>
      </c>
      <c r="D5" s="1039" t="s">
        <v>1670</v>
      </c>
      <c r="E5" s="1039" t="s">
        <v>87</v>
      </c>
      <c r="F5" s="1039">
        <v>2018</v>
      </c>
      <c r="G5" s="1044" t="s">
        <v>113</v>
      </c>
      <c r="H5" s="1040">
        <v>200</v>
      </c>
      <c r="I5" s="1040">
        <v>1</v>
      </c>
      <c r="J5" s="1039">
        <v>10</v>
      </c>
      <c r="K5" s="1039">
        <v>8</v>
      </c>
      <c r="L5" s="1039">
        <v>8</v>
      </c>
      <c r="M5" s="1041">
        <v>2.5</v>
      </c>
      <c r="N5" s="1041">
        <v>40</v>
      </c>
      <c r="O5" s="1041">
        <f t="shared" ref="O5:O6" si="0">P5*$G$33/10</f>
        <v>33.103448275862071</v>
      </c>
      <c r="P5" s="1041">
        <v>3</v>
      </c>
      <c r="Q5" s="1039"/>
      <c r="R5" s="1039" t="s">
        <v>102</v>
      </c>
      <c r="S5" s="1039" t="s">
        <v>114</v>
      </c>
      <c r="T5" s="1039" t="s">
        <v>115</v>
      </c>
      <c r="U5" s="1039" t="s">
        <v>116</v>
      </c>
      <c r="V5" s="16"/>
      <c r="W5" s="73"/>
      <c r="X5" s="14"/>
      <c r="Y5" s="16"/>
      <c r="Z5" s="16"/>
      <c r="AA5" s="16"/>
      <c r="AB5" s="140"/>
      <c r="AC5" s="138"/>
      <c r="AD5" s="138"/>
      <c r="AE5" s="138"/>
      <c r="AF5" s="3"/>
      <c r="AG5" s="3"/>
      <c r="AH5" s="3"/>
      <c r="AI5" s="3"/>
      <c r="AJ5" s="3"/>
      <c r="AK5" s="3"/>
      <c r="AL5" s="138"/>
      <c r="AM5" s="138"/>
      <c r="AN5" s="138"/>
      <c r="AO5" s="138"/>
      <c r="AP5" s="138"/>
    </row>
    <row r="6" spans="1:42" ht="90" x14ac:dyDescent="0.25">
      <c r="B6" s="13"/>
      <c r="C6" s="1044" t="s">
        <v>360</v>
      </c>
      <c r="D6" s="1039" t="s">
        <v>1671</v>
      </c>
      <c r="E6" s="1039" t="s">
        <v>87</v>
      </c>
      <c r="F6" s="1039">
        <v>2018</v>
      </c>
      <c r="G6" s="1044" t="s">
        <v>119</v>
      </c>
      <c r="H6" s="1040">
        <v>150</v>
      </c>
      <c r="I6" s="1040">
        <v>1</v>
      </c>
      <c r="J6" s="1039">
        <v>10</v>
      </c>
      <c r="K6" s="1039">
        <v>10</v>
      </c>
      <c r="L6" s="1039">
        <v>10</v>
      </c>
      <c r="M6" s="1041">
        <v>2.5</v>
      </c>
      <c r="N6" s="1041">
        <v>40</v>
      </c>
      <c r="O6" s="1041">
        <f t="shared" si="0"/>
        <v>33.103448275862071</v>
      </c>
      <c r="P6" s="1041">
        <v>3</v>
      </c>
      <c r="Q6" s="1039"/>
      <c r="R6" s="1039" t="s">
        <v>92</v>
      </c>
      <c r="S6" s="1039" t="s">
        <v>117</v>
      </c>
      <c r="T6" s="1039" t="s">
        <v>107</v>
      </c>
      <c r="U6" s="1039" t="s">
        <v>118</v>
      </c>
      <c r="V6" s="14"/>
      <c r="W6" s="16"/>
      <c r="X6" s="14"/>
      <c r="Y6" s="14"/>
      <c r="Z6" s="14"/>
      <c r="AA6" s="14"/>
      <c r="AB6" s="15"/>
      <c r="AC6" s="3"/>
      <c r="AD6" s="3"/>
      <c r="AE6" s="3"/>
      <c r="AF6" s="3"/>
      <c r="AG6" s="3"/>
      <c r="AH6" s="3"/>
      <c r="AI6" s="3"/>
      <c r="AJ6" s="3"/>
      <c r="AK6" s="3"/>
      <c r="AL6" s="3"/>
      <c r="AM6" s="3"/>
      <c r="AN6" s="3"/>
      <c r="AO6" s="3"/>
      <c r="AP6" s="3"/>
    </row>
    <row r="7" spans="1:42" x14ac:dyDescent="0.25">
      <c r="B7" s="13"/>
      <c r="C7" s="14"/>
      <c r="D7" s="14"/>
      <c r="E7" s="14"/>
      <c r="F7" s="14"/>
      <c r="G7" s="14"/>
      <c r="H7" s="14"/>
      <c r="I7" s="14"/>
      <c r="J7" s="14"/>
      <c r="K7" s="56"/>
      <c r="L7" s="56"/>
      <c r="M7" s="56"/>
      <c r="N7" s="56"/>
      <c r="O7" s="56"/>
      <c r="P7" s="56"/>
      <c r="Q7" s="14"/>
      <c r="R7" s="14"/>
      <c r="S7" s="14"/>
      <c r="T7" s="14"/>
      <c r="U7" s="14"/>
      <c r="V7" s="14"/>
      <c r="W7" s="14"/>
      <c r="X7" s="14"/>
      <c r="Y7" s="14"/>
      <c r="Z7" s="14"/>
      <c r="AA7" s="14"/>
      <c r="AB7" s="15"/>
      <c r="AC7" s="3"/>
      <c r="AD7" s="3"/>
      <c r="AE7" s="3"/>
      <c r="AF7" s="3"/>
      <c r="AG7" s="3"/>
      <c r="AH7" s="3"/>
      <c r="AI7" s="3"/>
      <c r="AJ7" s="3"/>
      <c r="AK7" s="3"/>
      <c r="AL7" s="3"/>
      <c r="AM7" s="3"/>
      <c r="AN7" s="3"/>
      <c r="AO7" s="3"/>
      <c r="AP7" s="3"/>
    </row>
    <row r="8" spans="1:42" ht="15" customHeight="1" x14ac:dyDescent="0.25">
      <c r="B8" s="13"/>
      <c r="C8" s="14"/>
      <c r="D8" s="14"/>
      <c r="E8" s="14"/>
      <c r="F8" s="14"/>
      <c r="G8" s="14"/>
      <c r="H8" s="14"/>
      <c r="I8" s="14"/>
      <c r="J8" s="14"/>
      <c r="K8" s="56"/>
      <c r="L8" s="56"/>
      <c r="M8" s="56"/>
      <c r="N8" s="56"/>
      <c r="O8" s="56"/>
      <c r="P8" s="56"/>
      <c r="Q8" s="14"/>
      <c r="R8" s="14"/>
      <c r="S8" s="14"/>
      <c r="T8" s="14"/>
      <c r="U8" s="14"/>
      <c r="V8" s="14"/>
      <c r="W8" s="14"/>
      <c r="X8" s="14"/>
      <c r="Y8" s="14"/>
      <c r="Z8" s="14"/>
      <c r="AA8" s="14"/>
      <c r="AB8" s="15"/>
      <c r="AC8" s="3"/>
      <c r="AD8" s="3"/>
      <c r="AE8" s="3"/>
      <c r="AF8" s="3"/>
      <c r="AG8" s="3"/>
      <c r="AH8" s="3"/>
      <c r="AI8" s="3"/>
      <c r="AJ8" s="3"/>
      <c r="AK8" s="3"/>
      <c r="AL8" s="3"/>
      <c r="AM8" s="3"/>
      <c r="AN8" s="3"/>
      <c r="AO8" s="3"/>
      <c r="AP8" s="3"/>
    </row>
    <row r="9" spans="1:42" x14ac:dyDescent="0.25">
      <c r="B9" s="13"/>
      <c r="C9" s="14"/>
      <c r="D9" s="14"/>
      <c r="E9" s="14"/>
      <c r="F9" s="14"/>
      <c r="G9" s="14"/>
      <c r="H9" s="14"/>
      <c r="I9" s="14"/>
      <c r="J9" s="14"/>
      <c r="K9" s="56"/>
      <c r="L9" s="56"/>
      <c r="M9" s="56"/>
      <c r="N9" s="56"/>
      <c r="O9" s="56"/>
      <c r="P9" s="56"/>
      <c r="Q9" s="14"/>
      <c r="R9" s="14"/>
      <c r="S9" s="14"/>
      <c r="T9" s="14"/>
      <c r="U9" s="14"/>
      <c r="V9" s="14"/>
      <c r="W9" s="14"/>
      <c r="X9" s="14"/>
      <c r="Y9" s="14"/>
      <c r="Z9" s="14"/>
      <c r="AA9" s="14"/>
      <c r="AB9" s="15"/>
      <c r="AC9" s="3"/>
      <c r="AD9" s="3"/>
      <c r="AE9" s="3"/>
      <c r="AF9" s="3"/>
      <c r="AG9" s="3"/>
      <c r="AH9" s="3"/>
      <c r="AI9" s="3"/>
      <c r="AJ9" s="3"/>
      <c r="AK9" s="3"/>
      <c r="AL9" s="3"/>
      <c r="AM9" s="3"/>
      <c r="AN9" s="3"/>
      <c r="AO9" s="3"/>
      <c r="AP9" s="3"/>
    </row>
    <row r="10" spans="1:42" x14ac:dyDescent="0.25">
      <c r="B10" s="13"/>
      <c r="C10" s="14"/>
      <c r="D10" s="14"/>
      <c r="E10" s="14"/>
      <c r="F10" s="14"/>
      <c r="G10" s="14"/>
      <c r="H10" s="14"/>
      <c r="I10" s="14"/>
      <c r="J10" s="14"/>
      <c r="K10" s="56"/>
      <c r="L10" s="56"/>
      <c r="M10" s="56"/>
      <c r="N10" s="56"/>
      <c r="O10" s="56"/>
      <c r="P10" s="56"/>
      <c r="Q10" s="14"/>
      <c r="R10" s="14"/>
      <c r="S10" s="14"/>
      <c r="T10" s="14"/>
      <c r="U10" s="14"/>
      <c r="V10" s="14"/>
      <c r="W10" s="14"/>
      <c r="X10" s="14"/>
      <c r="Y10" s="14"/>
      <c r="Z10" s="14"/>
      <c r="AA10" s="14"/>
      <c r="AB10" s="15"/>
      <c r="AC10" s="3"/>
      <c r="AD10" s="3"/>
      <c r="AE10" s="3"/>
      <c r="AF10" s="3"/>
      <c r="AG10" s="3"/>
      <c r="AH10" s="3"/>
      <c r="AI10" s="3"/>
      <c r="AJ10" s="3"/>
      <c r="AK10" s="3"/>
      <c r="AL10" s="3"/>
      <c r="AM10" s="3"/>
      <c r="AN10" s="3"/>
      <c r="AO10" s="3"/>
      <c r="AP10" s="3"/>
    </row>
    <row r="11" spans="1:42" x14ac:dyDescent="0.25">
      <c r="B11" s="13"/>
      <c r="C11" s="14"/>
      <c r="D11" s="14"/>
      <c r="E11" s="14"/>
      <c r="F11" s="14"/>
      <c r="G11" s="14"/>
      <c r="H11" s="14"/>
      <c r="I11" s="14"/>
      <c r="J11" s="14"/>
      <c r="K11" s="56"/>
      <c r="L11" s="56"/>
      <c r="M11" s="56"/>
      <c r="N11" s="1088"/>
      <c r="O11" s="56"/>
      <c r="P11" s="56"/>
      <c r="Q11" s="14"/>
      <c r="R11" s="14"/>
      <c r="S11" s="14"/>
      <c r="T11" s="14"/>
      <c r="U11" s="14"/>
      <c r="V11" s="14"/>
      <c r="W11" s="14"/>
      <c r="X11" s="14"/>
      <c r="Y11" s="14"/>
      <c r="Z11" s="14"/>
      <c r="AA11" s="14"/>
      <c r="AB11" s="15"/>
      <c r="AC11" s="3"/>
      <c r="AD11" s="3"/>
      <c r="AE11" s="3"/>
      <c r="AF11" s="3"/>
      <c r="AG11" s="3"/>
      <c r="AH11" s="3"/>
      <c r="AI11" s="3"/>
      <c r="AJ11" s="3"/>
      <c r="AK11" s="3"/>
      <c r="AL11" s="3"/>
      <c r="AM11" s="3"/>
      <c r="AN11" s="3"/>
      <c r="AO11" s="3"/>
      <c r="AP11" s="3"/>
    </row>
    <row r="12" spans="1:42" x14ac:dyDescent="0.25">
      <c r="B12" s="13"/>
      <c r="C12" s="14"/>
      <c r="D12" s="14"/>
      <c r="E12" s="14"/>
      <c r="F12" s="14"/>
      <c r="G12" s="14"/>
      <c r="H12" s="14"/>
      <c r="I12" s="14"/>
      <c r="J12" s="14"/>
      <c r="K12" s="56"/>
      <c r="L12" s="56"/>
      <c r="M12" s="56"/>
      <c r="N12" s="56"/>
      <c r="O12" s="56"/>
      <c r="P12" s="56"/>
      <c r="Q12" s="14"/>
      <c r="R12" s="14"/>
      <c r="S12" s="14"/>
      <c r="T12" s="14"/>
      <c r="U12" s="14"/>
      <c r="V12" s="14"/>
      <c r="W12" s="14"/>
      <c r="X12" s="14"/>
      <c r="Y12" s="14"/>
      <c r="Z12" s="14"/>
      <c r="AA12" s="14"/>
      <c r="AB12" s="15"/>
      <c r="AC12" s="3"/>
      <c r="AD12" s="3"/>
      <c r="AE12" s="3"/>
      <c r="AF12" s="3"/>
      <c r="AG12" s="3"/>
      <c r="AH12" s="3"/>
      <c r="AI12" s="3"/>
      <c r="AJ12" s="3"/>
      <c r="AK12" s="3"/>
      <c r="AL12" s="3"/>
      <c r="AM12" s="3"/>
      <c r="AN12" s="3"/>
      <c r="AO12" s="3"/>
      <c r="AP12" s="3"/>
    </row>
    <row r="13" spans="1:42" x14ac:dyDescent="0.25">
      <c r="B13" s="13"/>
      <c r="C13" s="14"/>
      <c r="D13" s="14"/>
      <c r="E13" s="14"/>
      <c r="F13" s="14"/>
      <c r="G13" s="14"/>
      <c r="H13" s="14"/>
      <c r="I13" s="14"/>
      <c r="J13" s="14"/>
      <c r="K13" s="56"/>
      <c r="L13" s="56"/>
      <c r="M13" s="56"/>
      <c r="N13" s="56"/>
      <c r="O13" s="56"/>
      <c r="P13" s="56"/>
      <c r="Q13" s="14"/>
      <c r="R13" s="14"/>
      <c r="S13" s="14"/>
      <c r="T13" s="14"/>
      <c r="U13" s="14"/>
      <c r="V13" s="14"/>
      <c r="W13" s="14"/>
      <c r="X13" s="14"/>
      <c r="Y13" s="14"/>
      <c r="Z13" s="14"/>
      <c r="AA13" s="14"/>
      <c r="AB13" s="15"/>
      <c r="AC13" s="3"/>
      <c r="AD13" s="3"/>
      <c r="AE13" s="3"/>
      <c r="AF13" s="3"/>
      <c r="AG13" s="3"/>
      <c r="AH13" s="3"/>
      <c r="AI13" s="3"/>
      <c r="AJ13" s="3"/>
      <c r="AK13" s="3"/>
      <c r="AL13" s="3"/>
      <c r="AM13" s="3"/>
      <c r="AN13" s="3"/>
      <c r="AO13" s="3"/>
      <c r="AP13" s="3"/>
    </row>
    <row r="14" spans="1:42" x14ac:dyDescent="0.25">
      <c r="B14" s="13"/>
      <c r="C14" s="14"/>
      <c r="D14" s="14"/>
      <c r="E14" s="14"/>
      <c r="F14" s="14"/>
      <c r="G14" s="14"/>
      <c r="H14" s="14"/>
      <c r="I14" s="14"/>
      <c r="J14" s="14"/>
      <c r="K14" s="56"/>
      <c r="L14" s="56"/>
      <c r="M14" s="56"/>
      <c r="N14" s="56"/>
      <c r="O14" s="56"/>
      <c r="P14" s="56"/>
      <c r="Q14" s="14"/>
      <c r="R14" s="14"/>
      <c r="S14" s="14"/>
      <c r="T14" s="14"/>
      <c r="U14" s="14"/>
      <c r="V14" s="14"/>
      <c r="W14" s="14"/>
      <c r="X14" s="14"/>
      <c r="Y14" s="14"/>
      <c r="Z14" s="14"/>
      <c r="AA14" s="14"/>
      <c r="AB14" s="15"/>
      <c r="AC14" s="3"/>
      <c r="AD14" s="3"/>
      <c r="AE14" s="3"/>
      <c r="AF14" s="3"/>
      <c r="AG14" s="3"/>
      <c r="AH14" s="3"/>
      <c r="AI14" s="3"/>
      <c r="AJ14" s="3"/>
      <c r="AK14" s="3"/>
      <c r="AL14" s="3"/>
      <c r="AM14" s="3"/>
      <c r="AN14" s="3"/>
      <c r="AO14" s="3"/>
      <c r="AP14" s="3"/>
    </row>
    <row r="15" spans="1:42" x14ac:dyDescent="0.25">
      <c r="B15" s="13"/>
      <c r="C15" s="14"/>
      <c r="D15" s="14"/>
      <c r="E15" s="14"/>
      <c r="F15" s="14"/>
      <c r="G15" s="14"/>
      <c r="H15" s="14"/>
      <c r="I15" s="14"/>
      <c r="J15" s="14"/>
      <c r="K15" s="56"/>
      <c r="L15" s="56"/>
      <c r="M15" s="56"/>
      <c r="N15" s="56"/>
      <c r="O15" s="56"/>
      <c r="P15" s="56"/>
      <c r="Q15" s="14"/>
      <c r="R15" s="14"/>
      <c r="S15" s="14"/>
      <c r="T15" s="14"/>
      <c r="U15" s="14"/>
      <c r="V15" s="14"/>
      <c r="W15" s="14"/>
      <c r="X15" s="14"/>
      <c r="Y15" s="14"/>
      <c r="Z15" s="14"/>
      <c r="AA15" s="14"/>
      <c r="AB15" s="15"/>
      <c r="AC15" s="3"/>
      <c r="AD15" s="3"/>
      <c r="AE15" s="3"/>
      <c r="AF15" s="3"/>
      <c r="AG15" s="3"/>
      <c r="AH15" s="3"/>
      <c r="AI15" s="3"/>
      <c r="AJ15" s="3"/>
      <c r="AK15" s="3"/>
      <c r="AL15" s="3"/>
      <c r="AM15" s="3"/>
      <c r="AN15" s="3"/>
      <c r="AO15" s="3"/>
      <c r="AP15" s="3"/>
    </row>
    <row r="16" spans="1:42" x14ac:dyDescent="0.25">
      <c r="B16" s="13"/>
      <c r="C16" s="14"/>
      <c r="D16" s="14"/>
      <c r="E16" s="14"/>
      <c r="F16" s="14"/>
      <c r="G16" s="14"/>
      <c r="H16" s="14"/>
      <c r="I16" s="14"/>
      <c r="J16" s="14"/>
      <c r="K16" s="5"/>
      <c r="L16" s="5"/>
      <c r="M16" s="5"/>
      <c r="N16" s="14"/>
      <c r="O16" s="14"/>
      <c r="P16" s="14"/>
      <c r="Q16" s="14"/>
      <c r="R16" s="14"/>
      <c r="S16" s="14"/>
      <c r="T16" s="14"/>
      <c r="U16" s="14"/>
      <c r="V16" s="14"/>
      <c r="W16" s="14"/>
      <c r="X16" s="14"/>
      <c r="Y16" s="14"/>
      <c r="Z16" s="14"/>
      <c r="AA16" s="14"/>
      <c r="AB16" s="15"/>
      <c r="AC16" s="3"/>
      <c r="AD16" s="3"/>
      <c r="AE16" s="3"/>
      <c r="AF16" s="3"/>
      <c r="AG16" s="3"/>
      <c r="AH16" s="3"/>
      <c r="AI16" s="3"/>
      <c r="AJ16" s="3"/>
      <c r="AK16" s="3"/>
      <c r="AL16" s="3"/>
      <c r="AM16" s="3"/>
      <c r="AN16" s="3"/>
      <c r="AO16" s="3"/>
      <c r="AP16" s="3"/>
    </row>
    <row r="17" spans="1:42" x14ac:dyDescent="0.25">
      <c r="B17" s="13"/>
      <c r="C17" s="14"/>
      <c r="D17" s="14"/>
      <c r="E17" s="14"/>
      <c r="F17" s="14"/>
      <c r="G17" s="14"/>
      <c r="H17" s="14"/>
      <c r="I17" s="14"/>
      <c r="J17" s="14"/>
      <c r="K17" s="5"/>
      <c r="L17" s="5"/>
      <c r="M17" s="5"/>
      <c r="N17" s="14"/>
      <c r="O17" s="14"/>
      <c r="P17" s="14"/>
      <c r="Q17" s="14"/>
      <c r="R17" s="14"/>
      <c r="S17" s="14"/>
      <c r="T17" s="14"/>
      <c r="U17" s="14"/>
      <c r="V17" s="14"/>
      <c r="W17" s="14"/>
      <c r="X17" s="14"/>
      <c r="Y17" s="14"/>
      <c r="Z17" s="14"/>
      <c r="AA17" s="14"/>
      <c r="AB17" s="15"/>
      <c r="AC17" s="3"/>
      <c r="AD17" s="3"/>
      <c r="AE17" s="3"/>
      <c r="AF17" s="3"/>
      <c r="AG17" s="3"/>
      <c r="AH17" s="3"/>
      <c r="AI17" s="3"/>
      <c r="AJ17" s="3"/>
      <c r="AK17" s="3"/>
      <c r="AL17" s="3"/>
      <c r="AM17" s="3"/>
      <c r="AN17" s="3"/>
      <c r="AO17" s="3"/>
      <c r="AP17" s="3"/>
    </row>
    <row r="18" spans="1:42" x14ac:dyDescent="0.25">
      <c r="B18" s="13"/>
      <c r="C18" s="14"/>
      <c r="D18" s="14"/>
      <c r="E18" s="14"/>
      <c r="F18" s="14"/>
      <c r="G18" s="14"/>
      <c r="H18" s="14"/>
      <c r="I18" s="14"/>
      <c r="J18" s="14"/>
      <c r="K18" s="5"/>
      <c r="L18" s="5"/>
      <c r="M18" s="5"/>
      <c r="N18" s="14"/>
      <c r="O18" s="14"/>
      <c r="P18" s="14"/>
      <c r="Q18" s="14"/>
      <c r="R18" s="14"/>
      <c r="S18" s="14"/>
      <c r="T18" s="14"/>
      <c r="U18" s="14"/>
      <c r="V18" s="14"/>
      <c r="W18" s="14"/>
      <c r="X18" s="14"/>
      <c r="Y18" s="14"/>
      <c r="Z18" s="14"/>
      <c r="AA18" s="14"/>
      <c r="AB18" s="15"/>
      <c r="AC18" s="3"/>
      <c r="AD18" s="3"/>
      <c r="AE18" s="3"/>
      <c r="AF18" s="3"/>
      <c r="AG18" s="3"/>
      <c r="AH18" s="3"/>
      <c r="AI18" s="3"/>
      <c r="AJ18" s="3"/>
      <c r="AK18" s="3"/>
      <c r="AL18" s="3"/>
      <c r="AM18" s="3"/>
      <c r="AN18" s="3"/>
      <c r="AO18" s="3"/>
      <c r="AP18" s="3"/>
    </row>
    <row r="19" spans="1:42" x14ac:dyDescent="0.25">
      <c r="B19" s="13"/>
      <c r="C19" s="14"/>
      <c r="D19" s="14"/>
      <c r="E19" s="14"/>
      <c r="F19" s="14"/>
      <c r="G19" s="14"/>
      <c r="H19" s="14"/>
      <c r="I19" s="14"/>
      <c r="J19" s="14"/>
      <c r="K19" s="5"/>
      <c r="L19" s="5"/>
      <c r="M19" s="5"/>
      <c r="N19" s="14"/>
      <c r="O19" s="14"/>
      <c r="P19" s="14"/>
      <c r="Q19" s="14"/>
      <c r="R19" s="14"/>
      <c r="S19" s="14"/>
      <c r="T19" s="14"/>
      <c r="U19" s="5"/>
      <c r="V19" s="14"/>
      <c r="W19" s="5"/>
      <c r="X19" s="5"/>
      <c r="Y19" s="14"/>
      <c r="Z19" s="14"/>
      <c r="AA19" s="14"/>
      <c r="AB19" s="15"/>
      <c r="AC19" s="3"/>
      <c r="AD19" s="3"/>
      <c r="AE19" s="3"/>
      <c r="AF19" s="3"/>
      <c r="AG19" s="3"/>
      <c r="AH19" s="3"/>
      <c r="AI19" s="3"/>
      <c r="AJ19" s="3"/>
      <c r="AK19" s="3"/>
      <c r="AL19" s="3"/>
      <c r="AM19" s="3"/>
      <c r="AN19" s="3"/>
      <c r="AO19" s="3"/>
      <c r="AP19" s="3"/>
    </row>
    <row r="20" spans="1:42" x14ac:dyDescent="0.25">
      <c r="B20" s="13"/>
      <c r="C20" s="14"/>
      <c r="D20" s="14"/>
      <c r="E20" s="14"/>
      <c r="F20" s="14"/>
      <c r="G20" s="14"/>
      <c r="H20" s="14"/>
      <c r="I20" s="14"/>
      <c r="J20" s="14"/>
      <c r="K20" s="5"/>
      <c r="L20" s="5"/>
      <c r="M20" s="5"/>
      <c r="N20" s="14"/>
      <c r="O20" s="14"/>
      <c r="P20" s="14"/>
      <c r="Q20" s="14"/>
      <c r="R20" s="14"/>
      <c r="S20" s="14"/>
      <c r="T20" s="14"/>
      <c r="U20" s="5"/>
      <c r="V20" s="14"/>
      <c r="W20" s="5"/>
      <c r="X20" s="5"/>
      <c r="Y20" s="14"/>
      <c r="Z20" s="14"/>
      <c r="AA20" s="14"/>
      <c r="AB20" s="15"/>
      <c r="AC20" s="3"/>
      <c r="AD20" s="3"/>
      <c r="AE20" s="3"/>
      <c r="AF20" s="3"/>
      <c r="AG20" s="3"/>
      <c r="AH20" s="3"/>
      <c r="AI20" s="3"/>
      <c r="AJ20" s="3"/>
      <c r="AK20" s="3"/>
      <c r="AL20" s="3"/>
      <c r="AM20" s="3"/>
      <c r="AN20" s="3"/>
      <c r="AO20" s="3"/>
      <c r="AP20" s="3"/>
    </row>
    <row r="21" spans="1:42" x14ac:dyDescent="0.25">
      <c r="B21" s="13"/>
      <c r="C21" s="14"/>
      <c r="D21" s="14"/>
      <c r="E21" s="14"/>
      <c r="F21" s="14"/>
      <c r="G21" s="14" t="s">
        <v>1588</v>
      </c>
      <c r="H21" s="14"/>
      <c r="I21" s="14"/>
      <c r="J21" s="14"/>
      <c r="K21" s="5"/>
      <c r="L21" s="5"/>
      <c r="M21" s="5"/>
      <c r="N21" s="14"/>
      <c r="O21" s="14"/>
      <c r="P21" s="14"/>
      <c r="Q21" s="14"/>
      <c r="R21" s="14"/>
      <c r="S21" s="14"/>
      <c r="T21" s="14"/>
      <c r="U21" s="5"/>
      <c r="V21" s="14"/>
      <c r="W21" s="5"/>
      <c r="X21" s="5"/>
      <c r="Y21" s="14"/>
      <c r="Z21" s="14"/>
      <c r="AA21" s="14"/>
      <c r="AB21" s="15"/>
      <c r="AC21" s="3"/>
      <c r="AD21" s="3"/>
      <c r="AE21" s="3"/>
      <c r="AF21" s="3"/>
      <c r="AG21" s="3"/>
      <c r="AH21" s="3"/>
      <c r="AI21" s="3"/>
      <c r="AJ21" s="3"/>
      <c r="AK21" s="3"/>
      <c r="AL21" s="3"/>
      <c r="AM21" s="3"/>
      <c r="AN21" s="3"/>
      <c r="AO21" s="3"/>
      <c r="AP21" s="3"/>
    </row>
    <row r="22" spans="1:42" x14ac:dyDescent="0.25">
      <c r="B22" s="13"/>
      <c r="C22" s="14"/>
      <c r="D22" s="14"/>
      <c r="E22" s="14"/>
      <c r="F22" s="14"/>
      <c r="G22" s="14"/>
      <c r="H22" s="14"/>
      <c r="I22" s="14"/>
      <c r="J22" s="14"/>
      <c r="K22" s="5"/>
      <c r="L22" s="5"/>
      <c r="M22" s="5"/>
      <c r="N22" s="14"/>
      <c r="O22" s="14"/>
      <c r="P22" s="14"/>
      <c r="Q22" s="14"/>
      <c r="R22" s="14"/>
      <c r="S22" s="14"/>
      <c r="T22" s="14"/>
      <c r="U22" s="5"/>
      <c r="V22" s="14"/>
      <c r="W22" s="5"/>
      <c r="X22" s="5"/>
      <c r="Y22" s="14"/>
      <c r="Z22" s="14"/>
      <c r="AA22" s="14"/>
      <c r="AB22" s="15"/>
      <c r="AC22" s="3"/>
      <c r="AD22" s="3"/>
      <c r="AE22" s="3"/>
      <c r="AF22" s="3"/>
      <c r="AG22" s="3"/>
      <c r="AH22" s="3"/>
      <c r="AI22" s="3"/>
      <c r="AJ22" s="3"/>
      <c r="AK22" s="3"/>
      <c r="AL22" s="3"/>
      <c r="AM22" s="3"/>
      <c r="AN22" s="3"/>
      <c r="AO22" s="3"/>
      <c r="AP22" s="3"/>
    </row>
    <row r="23" spans="1:42" x14ac:dyDescent="0.25">
      <c r="B23" s="13"/>
      <c r="C23" s="14"/>
      <c r="D23" s="14"/>
      <c r="E23" s="14"/>
      <c r="F23" s="14" t="s">
        <v>1590</v>
      </c>
      <c r="G23" s="14"/>
      <c r="H23" s="14"/>
      <c r="I23" s="14"/>
      <c r="J23" s="14"/>
      <c r="K23" s="5"/>
      <c r="L23" s="5"/>
      <c r="M23" s="5"/>
      <c r="N23" s="14"/>
      <c r="O23" s="14"/>
      <c r="P23" s="14"/>
      <c r="Q23" s="14"/>
      <c r="R23" s="14"/>
      <c r="S23" s="14"/>
      <c r="T23" s="14"/>
      <c r="U23" s="14"/>
      <c r="V23" s="14"/>
      <c r="W23" s="14"/>
      <c r="X23" s="14"/>
      <c r="Y23" s="14"/>
      <c r="Z23" s="14"/>
      <c r="AA23" s="14"/>
      <c r="AB23" s="15"/>
      <c r="AC23" s="3"/>
      <c r="AD23" s="3"/>
      <c r="AE23" s="3"/>
      <c r="AF23" s="3"/>
      <c r="AG23" s="3"/>
      <c r="AH23" s="3"/>
      <c r="AI23" s="3"/>
      <c r="AJ23" s="3"/>
      <c r="AK23" s="3"/>
      <c r="AL23" s="3"/>
      <c r="AM23" s="3"/>
      <c r="AN23" s="3"/>
      <c r="AO23" s="3"/>
      <c r="AP23" s="3"/>
    </row>
    <row r="24" spans="1:42" x14ac:dyDescent="0.25">
      <c r="B24" s="13"/>
      <c r="C24" s="14"/>
      <c r="D24" s="14"/>
      <c r="E24" s="14"/>
      <c r="F24" s="14"/>
      <c r="G24" s="14"/>
      <c r="H24" s="14"/>
      <c r="I24" s="14"/>
      <c r="J24" s="14"/>
      <c r="K24" s="5"/>
      <c r="L24" s="5"/>
      <c r="M24" s="5"/>
      <c r="N24" s="14"/>
      <c r="O24" s="14"/>
      <c r="P24" s="14"/>
      <c r="Q24" s="14"/>
      <c r="R24" s="14"/>
      <c r="S24" s="14"/>
      <c r="T24" s="14"/>
      <c r="U24" s="14"/>
      <c r="V24" s="14"/>
      <c r="W24" s="14"/>
      <c r="X24" s="14"/>
      <c r="Y24" s="14"/>
      <c r="Z24" s="14"/>
      <c r="AA24" s="14"/>
      <c r="AB24" s="15"/>
      <c r="AC24" s="3"/>
      <c r="AD24" s="3"/>
      <c r="AE24" s="3"/>
      <c r="AF24" s="3"/>
      <c r="AG24" s="3"/>
      <c r="AH24" s="3"/>
      <c r="AI24" s="3"/>
      <c r="AJ24" s="3"/>
      <c r="AK24" s="3"/>
      <c r="AL24" s="3"/>
      <c r="AM24" s="3"/>
      <c r="AN24" s="3"/>
      <c r="AO24" s="3"/>
      <c r="AP24" s="3"/>
    </row>
    <row r="25" spans="1:42" x14ac:dyDescent="0.25">
      <c r="B25" s="13"/>
      <c r="C25" s="14"/>
      <c r="D25" s="14"/>
      <c r="E25" s="14"/>
      <c r="F25" s="14" t="s">
        <v>1592</v>
      </c>
      <c r="G25" s="14" t="s">
        <v>1591</v>
      </c>
      <c r="H25" s="14"/>
      <c r="I25" s="14"/>
      <c r="J25" s="14"/>
      <c r="K25" s="5"/>
      <c r="L25" s="5"/>
      <c r="M25" s="5"/>
      <c r="N25" s="14"/>
      <c r="O25" s="14"/>
      <c r="P25" s="14"/>
      <c r="Q25" s="14"/>
      <c r="R25" s="14"/>
      <c r="S25" s="14"/>
      <c r="T25" s="14"/>
      <c r="U25" s="14"/>
      <c r="V25" s="14"/>
      <c r="W25" s="14"/>
      <c r="X25" s="14"/>
      <c r="Y25" s="14"/>
      <c r="Z25" s="14"/>
      <c r="AA25" s="14"/>
      <c r="AB25" s="15"/>
      <c r="AC25" s="3"/>
      <c r="AD25" s="3"/>
      <c r="AE25" s="3"/>
      <c r="AF25" s="3"/>
      <c r="AG25" s="3"/>
      <c r="AH25" s="3"/>
      <c r="AI25" s="3"/>
      <c r="AJ25" s="3"/>
      <c r="AK25" s="3"/>
      <c r="AL25" s="3"/>
      <c r="AM25" s="3"/>
      <c r="AN25" s="3"/>
      <c r="AO25" s="3"/>
      <c r="AP25" s="3"/>
    </row>
    <row r="26" spans="1:42" x14ac:dyDescent="0.25">
      <c r="B26" s="13"/>
      <c r="C26" s="14"/>
      <c r="D26" s="14"/>
      <c r="E26" s="14"/>
      <c r="F26" s="14">
        <v>80</v>
      </c>
      <c r="G26" s="14">
        <v>0.875</v>
      </c>
      <c r="H26" s="14"/>
      <c r="I26" s="14"/>
      <c r="J26" s="14"/>
      <c r="K26" s="5"/>
      <c r="L26" s="5"/>
      <c r="M26" s="5"/>
      <c r="N26" s="14"/>
      <c r="O26" s="14"/>
      <c r="P26" s="14"/>
      <c r="Q26" s="14"/>
      <c r="R26" s="14"/>
      <c r="S26" s="14"/>
      <c r="T26" s="14"/>
      <c r="U26" s="14"/>
      <c r="V26" s="14"/>
      <c r="W26" s="14"/>
      <c r="X26" s="14"/>
      <c r="Y26" s="14"/>
      <c r="Z26" s="14"/>
      <c r="AA26" s="14"/>
      <c r="AB26" s="15"/>
      <c r="AC26" s="3"/>
      <c r="AD26" s="3"/>
      <c r="AE26" s="3"/>
      <c r="AF26" s="3"/>
      <c r="AG26" s="3"/>
      <c r="AH26" s="3"/>
      <c r="AI26" s="3"/>
      <c r="AJ26" s="3"/>
      <c r="AK26" s="3"/>
      <c r="AL26" s="3"/>
      <c r="AM26" s="3"/>
      <c r="AN26" s="3"/>
      <c r="AO26" s="3"/>
      <c r="AP26" s="3"/>
    </row>
    <row r="27" spans="1:42" x14ac:dyDescent="0.25">
      <c r="B27" s="13"/>
      <c r="C27" s="14"/>
      <c r="D27" s="14"/>
      <c r="E27" s="14"/>
      <c r="F27" s="14">
        <v>160</v>
      </c>
      <c r="G27" s="14">
        <v>1.625</v>
      </c>
      <c r="H27" s="14"/>
      <c r="I27" s="14"/>
      <c r="J27" s="14"/>
      <c r="K27" s="5"/>
      <c r="L27" s="5"/>
      <c r="M27" s="5"/>
      <c r="N27" s="14"/>
      <c r="O27" s="14"/>
      <c r="P27" s="14"/>
      <c r="Q27" s="14"/>
      <c r="R27" s="14"/>
      <c r="S27" s="14"/>
      <c r="T27" s="14"/>
      <c r="U27" s="14"/>
      <c r="V27" s="14"/>
      <c r="W27" s="14"/>
      <c r="X27" s="14"/>
      <c r="Y27" s="14"/>
      <c r="Z27" s="14"/>
      <c r="AA27" s="14"/>
      <c r="AB27" s="15"/>
      <c r="AC27" s="3"/>
      <c r="AD27" s="3"/>
      <c r="AE27" s="3"/>
      <c r="AF27" s="3"/>
      <c r="AG27" s="3"/>
      <c r="AH27" s="3"/>
      <c r="AI27" s="3"/>
      <c r="AJ27" s="3"/>
      <c r="AK27" s="3"/>
      <c r="AL27" s="3"/>
      <c r="AM27" s="3"/>
      <c r="AN27" s="3"/>
      <c r="AO27" s="3"/>
      <c r="AP27" s="3"/>
    </row>
    <row r="28" spans="1:42" x14ac:dyDescent="0.25">
      <c r="B28" s="13"/>
      <c r="C28" s="14"/>
      <c r="D28" s="14"/>
      <c r="E28" s="14"/>
      <c r="F28" s="14">
        <v>240</v>
      </c>
      <c r="G28" s="14">
        <v>2.375</v>
      </c>
      <c r="H28" s="14"/>
      <c r="I28" s="14"/>
      <c r="J28" s="14"/>
      <c r="K28" s="5"/>
      <c r="L28" s="5"/>
      <c r="M28" s="5"/>
      <c r="N28" s="14"/>
      <c r="O28" s="14"/>
      <c r="P28" s="14"/>
      <c r="Q28" s="14"/>
      <c r="R28" s="14"/>
      <c r="S28" s="14"/>
      <c r="T28" s="14"/>
      <c r="U28" s="14"/>
      <c r="V28" s="14"/>
      <c r="W28" s="14"/>
      <c r="X28" s="14"/>
      <c r="Y28" s="14"/>
      <c r="Z28" s="14"/>
      <c r="AA28" s="14"/>
      <c r="AB28" s="15"/>
      <c r="AC28" s="3"/>
      <c r="AD28" s="3"/>
      <c r="AE28" s="3"/>
      <c r="AF28" s="3"/>
      <c r="AG28" s="3"/>
      <c r="AH28" s="3"/>
      <c r="AI28" s="3"/>
      <c r="AJ28" s="3"/>
      <c r="AK28" s="3"/>
      <c r="AL28" s="3"/>
      <c r="AM28" s="3"/>
      <c r="AN28" s="3"/>
      <c r="AO28" s="3"/>
      <c r="AP28" s="3"/>
    </row>
    <row r="29" spans="1:42" x14ac:dyDescent="0.25">
      <c r="B29" s="13"/>
      <c r="C29" s="14"/>
      <c r="D29" s="14"/>
      <c r="E29" s="14"/>
      <c r="F29" s="14">
        <v>320</v>
      </c>
      <c r="G29" s="14">
        <v>3</v>
      </c>
      <c r="H29" s="14"/>
      <c r="I29" s="14"/>
      <c r="J29" s="14"/>
      <c r="K29" s="5"/>
      <c r="L29" s="5"/>
      <c r="M29" s="5"/>
      <c r="N29" s="14"/>
      <c r="O29" s="14"/>
      <c r="P29" s="14"/>
      <c r="Q29" s="14"/>
      <c r="R29" s="14"/>
      <c r="S29" s="14"/>
      <c r="T29" s="14"/>
      <c r="U29" s="14"/>
      <c r="V29" s="14"/>
      <c r="W29" s="14"/>
      <c r="X29" s="14"/>
      <c r="Y29" s="14"/>
      <c r="Z29" s="14"/>
      <c r="AA29" s="14"/>
      <c r="AB29" s="15"/>
      <c r="AC29" s="3"/>
      <c r="AD29" s="3"/>
      <c r="AE29" s="3"/>
      <c r="AF29" s="3"/>
      <c r="AG29" s="3"/>
      <c r="AH29" s="3"/>
      <c r="AI29" s="3"/>
      <c r="AJ29" s="3"/>
      <c r="AK29" s="3"/>
      <c r="AL29" s="3"/>
      <c r="AM29" s="3"/>
      <c r="AN29" s="3"/>
      <c r="AO29" s="3"/>
      <c r="AP29" s="3"/>
    </row>
    <row r="30" spans="1:42" x14ac:dyDescent="0.25">
      <c r="B30" s="13"/>
      <c r="C30" s="14"/>
      <c r="D30" s="14"/>
      <c r="E30" s="14"/>
      <c r="F30" s="14">
        <v>400</v>
      </c>
      <c r="G30" s="14">
        <v>3.625</v>
      </c>
      <c r="H30" s="14"/>
      <c r="I30" s="14"/>
      <c r="J30" s="14"/>
      <c r="K30" s="5"/>
      <c r="L30" s="5"/>
      <c r="M30" s="5"/>
      <c r="N30" s="14"/>
      <c r="O30" s="14"/>
      <c r="P30" s="14"/>
      <c r="Q30" s="14"/>
      <c r="R30" s="14"/>
      <c r="S30" s="14"/>
      <c r="T30" s="14"/>
      <c r="U30" s="14"/>
      <c r="V30" s="14"/>
      <c r="W30" s="14"/>
      <c r="X30" s="14"/>
      <c r="Y30" s="14"/>
      <c r="Z30" s="14"/>
      <c r="AA30" s="14"/>
      <c r="AB30" s="15"/>
      <c r="AC30" s="3"/>
      <c r="AD30" s="3"/>
      <c r="AE30" s="3"/>
      <c r="AF30" s="3"/>
      <c r="AG30" s="3"/>
      <c r="AH30" s="3"/>
      <c r="AI30" s="3"/>
      <c r="AJ30" s="3"/>
      <c r="AK30" s="3"/>
      <c r="AL30" s="3"/>
      <c r="AM30" s="3"/>
      <c r="AN30" s="3"/>
      <c r="AO30" s="3"/>
      <c r="AP30" s="3"/>
    </row>
    <row r="31" spans="1:42" s="127" customFormat="1" x14ac:dyDescent="0.25">
      <c r="A31" s="125"/>
      <c r="B31" s="126"/>
      <c r="C31" s="14"/>
      <c r="D31" s="14"/>
      <c r="E31" s="14"/>
      <c r="F31" s="14"/>
      <c r="G31" s="14"/>
      <c r="H31" s="14"/>
      <c r="I31" s="14"/>
      <c r="J31" s="14"/>
      <c r="K31" s="17"/>
      <c r="L31" s="17"/>
      <c r="M31" s="17"/>
      <c r="N31" s="17"/>
      <c r="O31" s="17"/>
      <c r="P31" s="17"/>
      <c r="Q31" s="17"/>
      <c r="R31" s="17"/>
      <c r="S31" s="17"/>
      <c r="T31" s="17"/>
      <c r="U31" s="17"/>
      <c r="V31" s="17"/>
      <c r="W31" s="17"/>
      <c r="X31" s="17"/>
      <c r="Y31" s="17"/>
      <c r="Z31" s="17"/>
      <c r="AA31" s="17"/>
      <c r="AB31" s="131"/>
      <c r="AC31" s="125"/>
      <c r="AD31" s="125"/>
      <c r="AE31" s="125"/>
      <c r="AF31" s="125"/>
      <c r="AG31" s="125"/>
      <c r="AH31" s="125"/>
      <c r="AI31" s="125"/>
      <c r="AJ31" s="125"/>
      <c r="AK31" s="125"/>
      <c r="AL31" s="125"/>
      <c r="AM31" s="125"/>
      <c r="AN31" s="125"/>
      <c r="AO31" s="125"/>
      <c r="AP31" s="125"/>
    </row>
    <row r="32" spans="1:42" x14ac:dyDescent="0.25">
      <c r="B32" s="13"/>
      <c r="C32" s="14"/>
      <c r="D32" s="14"/>
      <c r="E32" s="14"/>
      <c r="F32" s="14" t="s">
        <v>1593</v>
      </c>
      <c r="G32" s="14"/>
      <c r="H32" s="14"/>
      <c r="I32" s="14"/>
      <c r="J32" s="14"/>
      <c r="K32" s="14"/>
      <c r="L32" s="14"/>
      <c r="M32" s="14"/>
      <c r="N32" s="14"/>
      <c r="O32" s="14"/>
      <c r="P32" s="14"/>
      <c r="Q32" s="14"/>
      <c r="R32" s="14"/>
      <c r="S32" s="14"/>
      <c r="T32" s="14"/>
      <c r="U32" s="14"/>
      <c r="V32" s="14"/>
      <c r="W32" s="14"/>
      <c r="X32" s="14"/>
      <c r="Y32" s="14"/>
      <c r="Z32" s="14"/>
      <c r="AA32" s="14"/>
      <c r="AB32" s="15"/>
      <c r="AC32" s="3"/>
      <c r="AD32" s="3"/>
      <c r="AE32" s="3"/>
      <c r="AF32" s="3"/>
      <c r="AG32" s="3"/>
      <c r="AH32" s="3"/>
      <c r="AI32" s="3"/>
      <c r="AJ32" s="3"/>
      <c r="AK32" s="3"/>
      <c r="AL32" s="3"/>
      <c r="AM32" s="3"/>
      <c r="AN32" s="3"/>
      <c r="AO32" s="3"/>
      <c r="AP32" s="3"/>
    </row>
    <row r="33" spans="2:42" x14ac:dyDescent="0.25">
      <c r="B33" s="13"/>
      <c r="C33" s="14"/>
      <c r="D33" s="14"/>
      <c r="E33" s="14"/>
      <c r="F33" s="14" t="s">
        <v>1594</v>
      </c>
      <c r="G33" s="83">
        <f>F30/G30</f>
        <v>110.34482758620689</v>
      </c>
      <c r="H33" s="14"/>
      <c r="I33" s="14"/>
      <c r="J33" s="14"/>
      <c r="K33" s="14"/>
      <c r="L33" s="14"/>
      <c r="M33" s="14"/>
      <c r="N33" s="14"/>
      <c r="O33" s="14"/>
      <c r="P33" s="14"/>
      <c r="Q33" s="14"/>
      <c r="R33" s="14"/>
      <c r="S33" s="14"/>
      <c r="T33" s="14"/>
      <c r="U33" s="14"/>
      <c r="V33" s="14"/>
      <c r="W33" s="14"/>
      <c r="X33" s="14"/>
      <c r="Y33" s="14"/>
      <c r="Z33" s="14"/>
      <c r="AA33" s="14"/>
      <c r="AB33" s="15"/>
      <c r="AC33" s="3"/>
      <c r="AD33" s="3"/>
      <c r="AE33" s="3"/>
      <c r="AF33" s="3"/>
      <c r="AG33" s="3"/>
      <c r="AH33" s="3"/>
      <c r="AI33" s="3"/>
      <c r="AJ33" s="3"/>
      <c r="AK33" s="3"/>
      <c r="AL33" s="3"/>
      <c r="AM33" s="3"/>
      <c r="AN33" s="3"/>
      <c r="AO33" s="3"/>
      <c r="AP33" s="3"/>
    </row>
    <row r="34" spans="2:42" x14ac:dyDescent="0.25">
      <c r="B34" s="13"/>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5"/>
      <c r="AC34" s="3"/>
      <c r="AD34" s="3"/>
      <c r="AE34" s="3"/>
      <c r="AF34" s="3"/>
      <c r="AG34" s="3"/>
      <c r="AH34" s="3"/>
      <c r="AI34" s="3"/>
      <c r="AJ34" s="3"/>
      <c r="AK34" s="3"/>
      <c r="AL34" s="3"/>
      <c r="AM34" s="3"/>
      <c r="AN34" s="3"/>
      <c r="AO34" s="3"/>
      <c r="AP34" s="3"/>
    </row>
    <row r="35" spans="2:42" x14ac:dyDescent="0.25">
      <c r="B35" s="13"/>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5"/>
      <c r="AC35" s="3"/>
      <c r="AD35" s="3"/>
      <c r="AE35" s="3"/>
      <c r="AF35" s="3"/>
      <c r="AG35" s="3"/>
      <c r="AH35" s="3"/>
      <c r="AI35" s="3"/>
      <c r="AJ35" s="3"/>
      <c r="AK35" s="3"/>
      <c r="AL35" s="3"/>
      <c r="AM35" s="3"/>
      <c r="AN35" s="3"/>
      <c r="AO35" s="3"/>
      <c r="AP35" s="3"/>
    </row>
    <row r="36" spans="2:42" ht="14.45" customHeight="1" x14ac:dyDescent="0.25">
      <c r="B36" s="13"/>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5"/>
      <c r="AC36" s="3"/>
      <c r="AD36" s="3"/>
      <c r="AE36" s="3"/>
      <c r="AF36" s="3"/>
      <c r="AG36" s="3"/>
      <c r="AH36" s="3"/>
      <c r="AI36" s="3"/>
      <c r="AJ36" s="3"/>
      <c r="AK36" s="3"/>
      <c r="AL36" s="3"/>
      <c r="AM36" s="3"/>
      <c r="AN36" s="3"/>
      <c r="AO36" s="3"/>
      <c r="AP36" s="3"/>
    </row>
    <row r="37" spans="2:42" x14ac:dyDescent="0.25">
      <c r="B37" s="13"/>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5"/>
      <c r="AC37" s="3"/>
      <c r="AD37" s="3"/>
      <c r="AE37" s="3"/>
      <c r="AF37" s="3"/>
      <c r="AG37" s="3"/>
      <c r="AH37" s="3"/>
      <c r="AI37" s="3"/>
      <c r="AJ37" s="3"/>
      <c r="AK37" s="3"/>
      <c r="AL37" s="3"/>
      <c r="AM37" s="3"/>
      <c r="AN37" s="3"/>
      <c r="AO37" s="3"/>
      <c r="AP37" s="3"/>
    </row>
    <row r="38" spans="2:42" x14ac:dyDescent="0.25">
      <c r="B38" s="13"/>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5"/>
      <c r="AC38" s="3"/>
      <c r="AD38" s="3"/>
      <c r="AE38" s="3"/>
      <c r="AF38" s="3"/>
      <c r="AG38" s="3"/>
      <c r="AH38" s="3"/>
      <c r="AI38" s="3"/>
      <c r="AJ38" s="3"/>
      <c r="AK38" s="3"/>
      <c r="AL38" s="3"/>
      <c r="AM38" s="3"/>
      <c r="AN38" s="3"/>
      <c r="AO38" s="3"/>
      <c r="AP38" s="3"/>
    </row>
    <row r="39" spans="2:42" x14ac:dyDescent="0.25">
      <c r="B39" s="13"/>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5"/>
      <c r="AC39" s="3"/>
      <c r="AD39" s="3"/>
      <c r="AE39" s="3"/>
      <c r="AF39" s="3"/>
      <c r="AG39" s="3"/>
      <c r="AH39" s="3"/>
      <c r="AI39" s="3"/>
      <c r="AJ39" s="3"/>
      <c r="AK39" s="3"/>
      <c r="AL39" s="3"/>
      <c r="AM39" s="3"/>
      <c r="AN39" s="3"/>
      <c r="AO39" s="3"/>
      <c r="AP39" s="3"/>
    </row>
    <row r="40" spans="2:42" x14ac:dyDescent="0.25">
      <c r="B40" s="13"/>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5"/>
      <c r="AC40" s="3"/>
      <c r="AD40" s="3"/>
      <c r="AE40" s="3"/>
      <c r="AF40" s="3"/>
      <c r="AG40" s="3"/>
      <c r="AH40" s="3"/>
      <c r="AI40" s="3"/>
      <c r="AJ40" s="3"/>
      <c r="AK40" s="3"/>
      <c r="AL40" s="3"/>
      <c r="AM40" s="3"/>
      <c r="AN40" s="3"/>
      <c r="AO40" s="3"/>
      <c r="AP40" s="3"/>
    </row>
    <row r="41" spans="2:42" ht="18.75" x14ac:dyDescent="0.3">
      <c r="B41" s="67"/>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5"/>
      <c r="AC41" s="3"/>
      <c r="AD41" s="3"/>
      <c r="AE41" s="3"/>
      <c r="AF41" s="3"/>
      <c r="AG41" s="3"/>
      <c r="AH41" s="3"/>
      <c r="AI41" s="3"/>
      <c r="AJ41" s="3"/>
      <c r="AK41" s="3"/>
      <c r="AL41" s="3"/>
      <c r="AM41" s="3"/>
      <c r="AN41" s="3"/>
      <c r="AO41" s="3"/>
      <c r="AP41" s="3"/>
    </row>
    <row r="42" spans="2:42" x14ac:dyDescent="0.25">
      <c r="B42" s="13"/>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5"/>
      <c r="AC42" s="3"/>
      <c r="AD42" s="3"/>
      <c r="AE42" s="3"/>
      <c r="AF42" s="3"/>
      <c r="AG42" s="3"/>
      <c r="AH42" s="3"/>
      <c r="AI42" s="3"/>
      <c r="AJ42" s="3"/>
      <c r="AK42" s="3"/>
      <c r="AL42" s="3"/>
      <c r="AM42" s="3"/>
      <c r="AN42" s="3"/>
      <c r="AO42" s="3"/>
      <c r="AP42" s="3"/>
    </row>
    <row r="43" spans="2:42" x14ac:dyDescent="0.25">
      <c r="B43" s="13"/>
      <c r="C43" s="5"/>
      <c r="D43" s="158"/>
      <c r="E43" s="158"/>
      <c r="F43" s="158"/>
      <c r="G43" s="158"/>
      <c r="H43" s="158"/>
      <c r="I43" s="14"/>
      <c r="J43" s="14"/>
      <c r="K43" s="14"/>
      <c r="L43" s="14"/>
      <c r="M43" s="14"/>
      <c r="N43" s="14"/>
      <c r="O43" s="14"/>
      <c r="P43" s="14"/>
      <c r="Q43" s="14"/>
      <c r="R43" s="14"/>
      <c r="S43" s="14"/>
      <c r="T43" s="14"/>
      <c r="U43" s="14"/>
      <c r="V43" s="14"/>
      <c r="W43" s="14"/>
      <c r="X43" s="14"/>
      <c r="Y43" s="14"/>
      <c r="Z43" s="14"/>
      <c r="AA43" s="14"/>
      <c r="AB43" s="15"/>
      <c r="AC43" s="3"/>
      <c r="AD43" s="3"/>
      <c r="AE43" s="3"/>
      <c r="AF43" s="3"/>
      <c r="AG43" s="3"/>
      <c r="AH43" s="3"/>
      <c r="AI43" s="3"/>
      <c r="AJ43" s="3"/>
      <c r="AK43" s="3"/>
      <c r="AL43" s="3"/>
      <c r="AM43" s="3"/>
      <c r="AN43" s="3"/>
      <c r="AO43" s="3"/>
      <c r="AP43" s="3"/>
    </row>
    <row r="44" spans="2:42" x14ac:dyDescent="0.25">
      <c r="B44" s="13"/>
      <c r="C44" s="5"/>
      <c r="D44" s="158"/>
      <c r="E44" s="158"/>
      <c r="F44" s="158"/>
      <c r="G44" s="158"/>
      <c r="H44" s="158"/>
      <c r="I44" s="14"/>
      <c r="J44" s="14"/>
      <c r="K44" s="14"/>
      <c r="L44" s="14"/>
      <c r="M44" s="14"/>
      <c r="N44" s="14"/>
      <c r="O44" s="14"/>
      <c r="P44" s="14"/>
      <c r="Q44" s="14"/>
      <c r="R44" s="14"/>
      <c r="S44" s="14"/>
      <c r="T44" s="14"/>
      <c r="U44" s="14"/>
      <c r="V44" s="14"/>
      <c r="W44" s="14"/>
      <c r="X44" s="14"/>
      <c r="Y44" s="14"/>
      <c r="Z44" s="14"/>
      <c r="AA44" s="14"/>
      <c r="AB44" s="15"/>
      <c r="AC44" s="3"/>
      <c r="AD44" s="3"/>
      <c r="AE44" s="3"/>
      <c r="AF44" s="3"/>
      <c r="AG44" s="3"/>
      <c r="AH44" s="3"/>
      <c r="AI44" s="3"/>
      <c r="AJ44" s="3"/>
      <c r="AK44" s="3"/>
      <c r="AL44" s="3"/>
      <c r="AM44" s="3"/>
      <c r="AN44" s="3"/>
      <c r="AO44" s="3"/>
      <c r="AP44" s="3"/>
    </row>
    <row r="45" spans="2:42" x14ac:dyDescent="0.25">
      <c r="B45" s="13"/>
      <c r="C45" s="5"/>
      <c r="D45" s="158"/>
      <c r="E45" s="5"/>
      <c r="F45" s="5"/>
      <c r="G45" s="5"/>
      <c r="H45" s="14"/>
      <c r="I45" s="14"/>
      <c r="J45" s="14"/>
      <c r="K45" s="14"/>
      <c r="L45" s="14"/>
      <c r="M45" s="14"/>
      <c r="N45" s="14"/>
      <c r="O45" s="14"/>
      <c r="P45" s="14"/>
      <c r="Q45" s="14"/>
      <c r="R45" s="14"/>
      <c r="S45" s="14"/>
      <c r="T45" s="14"/>
      <c r="U45" s="14"/>
      <c r="V45" s="14"/>
      <c r="W45" s="14"/>
      <c r="X45" s="14"/>
      <c r="Y45" s="14"/>
      <c r="Z45" s="14"/>
      <c r="AA45" s="14"/>
      <c r="AB45" s="15"/>
      <c r="AC45" s="3"/>
      <c r="AD45" s="3"/>
      <c r="AE45" s="3"/>
      <c r="AF45" s="3"/>
      <c r="AG45" s="3"/>
      <c r="AH45" s="3"/>
      <c r="AI45" s="3"/>
      <c r="AJ45" s="3"/>
      <c r="AK45" s="3"/>
      <c r="AL45" s="3"/>
      <c r="AM45" s="3"/>
      <c r="AN45" s="3"/>
      <c r="AO45" s="3"/>
      <c r="AP45" s="3"/>
    </row>
    <row r="46" spans="2:42" x14ac:dyDescent="0.25">
      <c r="B46" s="13"/>
      <c r="C46" s="185"/>
      <c r="D46" s="187"/>
      <c r="E46" s="185"/>
      <c r="F46" s="185"/>
      <c r="G46" s="185"/>
      <c r="H46" s="185"/>
      <c r="I46" s="14"/>
      <c r="J46" s="14"/>
      <c r="K46" s="14"/>
      <c r="L46" s="14"/>
      <c r="M46" s="14"/>
      <c r="N46" s="14"/>
      <c r="O46" s="14"/>
      <c r="P46" s="14"/>
      <c r="Q46" s="14"/>
      <c r="R46" s="14"/>
      <c r="S46" s="14"/>
      <c r="T46" s="14"/>
      <c r="U46" s="14"/>
      <c r="V46" s="14"/>
      <c r="W46" s="14"/>
      <c r="X46" s="14"/>
      <c r="Y46" s="14"/>
      <c r="Z46" s="14"/>
      <c r="AA46" s="14"/>
      <c r="AB46" s="15"/>
      <c r="AC46" s="3"/>
      <c r="AD46" s="3"/>
      <c r="AE46" s="3"/>
      <c r="AF46" s="3"/>
      <c r="AG46" s="3"/>
      <c r="AH46" s="3"/>
      <c r="AI46" s="3"/>
      <c r="AJ46" s="3"/>
      <c r="AK46" s="3"/>
      <c r="AL46" s="3"/>
      <c r="AM46" s="3"/>
      <c r="AN46" s="3"/>
      <c r="AO46" s="3"/>
      <c r="AP46" s="3"/>
    </row>
    <row r="47" spans="2:42" x14ac:dyDescent="0.25">
      <c r="B47" s="13"/>
      <c r="C47" s="132"/>
      <c r="D47" s="124"/>
      <c r="E47" s="134"/>
      <c r="F47" s="134"/>
      <c r="G47" s="134"/>
      <c r="H47" s="14"/>
      <c r="I47" s="14"/>
      <c r="J47" s="14"/>
      <c r="K47" s="14"/>
      <c r="L47" s="14"/>
      <c r="M47" s="14"/>
      <c r="N47" s="14"/>
      <c r="O47" s="14"/>
      <c r="P47" s="14"/>
      <c r="Q47" s="14"/>
      <c r="R47" s="14"/>
      <c r="S47" s="14"/>
      <c r="T47" s="14"/>
      <c r="U47" s="14"/>
      <c r="V47" s="14"/>
      <c r="W47" s="14"/>
      <c r="X47" s="14"/>
      <c r="Y47" s="14"/>
      <c r="Z47" s="14"/>
      <c r="AA47" s="14"/>
      <c r="AB47" s="15"/>
      <c r="AC47" s="3"/>
      <c r="AD47" s="3"/>
      <c r="AE47" s="3"/>
      <c r="AF47" s="3"/>
      <c r="AG47" s="3"/>
      <c r="AH47" s="3"/>
      <c r="AI47" s="3"/>
      <c r="AJ47" s="3"/>
      <c r="AK47" s="3"/>
      <c r="AL47" s="3"/>
      <c r="AM47" s="3"/>
      <c r="AN47" s="3"/>
      <c r="AO47" s="3"/>
      <c r="AP47" s="3"/>
    </row>
    <row r="48" spans="2:42" ht="18.75" x14ac:dyDescent="0.3">
      <c r="B48" s="67"/>
      <c r="C48" s="132"/>
      <c r="D48" s="134"/>
      <c r="E48" s="134"/>
      <c r="F48" s="134"/>
      <c r="G48" s="134"/>
      <c r="H48" s="14"/>
      <c r="I48" s="14"/>
      <c r="J48" s="14"/>
      <c r="K48" s="14"/>
      <c r="L48" s="14"/>
      <c r="M48" s="14"/>
      <c r="N48" s="14"/>
      <c r="O48" s="14"/>
      <c r="P48" s="14"/>
      <c r="Q48" s="14"/>
      <c r="R48" s="14"/>
      <c r="S48" s="14"/>
      <c r="T48" s="14"/>
      <c r="U48" s="14"/>
      <c r="V48" s="14"/>
      <c r="W48" s="14"/>
      <c r="X48" s="14"/>
      <c r="Y48" s="14"/>
      <c r="Z48" s="14"/>
      <c r="AA48" s="14"/>
      <c r="AB48" s="15"/>
      <c r="AC48" s="3"/>
      <c r="AD48" s="3"/>
      <c r="AE48" s="3"/>
      <c r="AF48" s="3"/>
      <c r="AG48" s="3"/>
      <c r="AH48" s="3"/>
      <c r="AI48" s="3"/>
      <c r="AJ48" s="3"/>
      <c r="AK48" s="3"/>
      <c r="AL48" s="3"/>
      <c r="AM48" s="3"/>
      <c r="AN48" s="3"/>
      <c r="AO48" s="3"/>
      <c r="AP48" s="3"/>
    </row>
    <row r="49" spans="2:42" x14ac:dyDescent="0.25">
      <c r="B49" s="13"/>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5"/>
      <c r="AC49" s="3"/>
      <c r="AD49" s="3"/>
      <c r="AE49" s="3"/>
      <c r="AF49" s="3"/>
      <c r="AG49" s="3"/>
      <c r="AH49" s="3"/>
      <c r="AI49" s="3"/>
      <c r="AJ49" s="3"/>
      <c r="AK49" s="3"/>
      <c r="AL49" s="3"/>
      <c r="AM49" s="3"/>
      <c r="AN49" s="3"/>
      <c r="AO49" s="3"/>
      <c r="AP49" s="3"/>
    </row>
    <row r="50" spans="2:42" x14ac:dyDescent="0.25">
      <c r="B50" s="13"/>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5"/>
      <c r="AC50" s="3"/>
      <c r="AD50" s="3"/>
      <c r="AE50" s="3"/>
      <c r="AF50" s="3"/>
      <c r="AG50" s="3"/>
      <c r="AH50" s="3"/>
      <c r="AI50" s="3"/>
      <c r="AJ50" s="3"/>
      <c r="AK50" s="3"/>
      <c r="AL50" s="3"/>
      <c r="AM50" s="3"/>
      <c r="AN50" s="3"/>
      <c r="AO50" s="3"/>
      <c r="AP50" s="3"/>
    </row>
    <row r="51" spans="2:42" x14ac:dyDescent="0.25">
      <c r="B51" s="13"/>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5"/>
      <c r="AC51" s="3"/>
      <c r="AD51" s="3"/>
      <c r="AE51" s="3"/>
      <c r="AF51" s="3"/>
      <c r="AG51" s="3"/>
      <c r="AH51" s="3"/>
      <c r="AI51" s="3"/>
      <c r="AJ51" s="3"/>
      <c r="AK51" s="3"/>
      <c r="AL51" s="3"/>
      <c r="AM51" s="3"/>
      <c r="AN51" s="3"/>
      <c r="AO51" s="3"/>
      <c r="AP51" s="3"/>
    </row>
    <row r="52" spans="2:42" x14ac:dyDescent="0.25">
      <c r="B52" s="13"/>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5"/>
      <c r="AC52" s="3"/>
      <c r="AD52" s="3"/>
      <c r="AE52" s="3"/>
      <c r="AF52" s="3"/>
      <c r="AG52" s="3"/>
      <c r="AH52" s="3"/>
      <c r="AI52" s="3"/>
      <c r="AJ52" s="3"/>
      <c r="AK52" s="3"/>
      <c r="AL52" s="3"/>
      <c r="AM52" s="3"/>
      <c r="AN52" s="3"/>
      <c r="AO52" s="3"/>
      <c r="AP52" s="3"/>
    </row>
    <row r="53" spans="2:42" x14ac:dyDescent="0.25">
      <c r="B53" s="13"/>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5"/>
      <c r="AC53" s="3"/>
      <c r="AD53" s="3"/>
      <c r="AE53" s="3"/>
      <c r="AF53" s="3"/>
      <c r="AG53" s="3"/>
      <c r="AH53" s="3"/>
      <c r="AI53" s="3"/>
      <c r="AJ53" s="3"/>
      <c r="AK53" s="3"/>
      <c r="AL53" s="3"/>
      <c r="AM53" s="3"/>
      <c r="AN53" s="3"/>
      <c r="AO53" s="3"/>
      <c r="AP53" s="3"/>
    </row>
    <row r="54" spans="2:42" x14ac:dyDescent="0.25">
      <c r="B54" s="13"/>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5"/>
      <c r="AC54" s="3"/>
      <c r="AD54" s="3"/>
      <c r="AE54" s="3"/>
      <c r="AF54" s="3"/>
      <c r="AG54" s="3"/>
      <c r="AH54" s="3"/>
      <c r="AI54" s="3"/>
      <c r="AJ54" s="3"/>
      <c r="AK54" s="3"/>
      <c r="AL54" s="3"/>
      <c r="AM54" s="3"/>
      <c r="AN54" s="3"/>
      <c r="AO54" s="3"/>
      <c r="AP54" s="3"/>
    </row>
    <row r="55" spans="2:42" x14ac:dyDescent="0.25">
      <c r="B55" s="13"/>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5"/>
      <c r="AC55" s="3"/>
      <c r="AD55" s="3"/>
      <c r="AE55" s="3"/>
      <c r="AF55" s="3"/>
      <c r="AG55" s="3"/>
      <c r="AH55" s="3"/>
      <c r="AI55" s="3"/>
      <c r="AJ55" s="3"/>
      <c r="AK55" s="3"/>
      <c r="AL55" s="3"/>
      <c r="AM55" s="3"/>
      <c r="AN55" s="3"/>
      <c r="AO55" s="3"/>
      <c r="AP55" s="3"/>
    </row>
    <row r="56" spans="2:42" x14ac:dyDescent="0.25">
      <c r="B56" s="13"/>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5"/>
      <c r="AC56" s="3"/>
      <c r="AD56" s="3"/>
      <c r="AE56" s="3"/>
      <c r="AF56" s="3"/>
      <c r="AG56" s="3"/>
      <c r="AH56" s="3"/>
      <c r="AI56" s="3"/>
      <c r="AJ56" s="3"/>
      <c r="AK56" s="3"/>
      <c r="AL56" s="3"/>
      <c r="AM56" s="3"/>
      <c r="AN56" s="3"/>
      <c r="AO56" s="3"/>
      <c r="AP56" s="3"/>
    </row>
    <row r="57" spans="2:42" x14ac:dyDescent="0.25">
      <c r="B57" s="13"/>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5"/>
      <c r="AC57" s="3"/>
      <c r="AD57" s="3"/>
      <c r="AE57" s="3"/>
      <c r="AF57" s="3"/>
      <c r="AG57" s="3"/>
      <c r="AH57" s="3"/>
      <c r="AI57" s="3"/>
      <c r="AJ57" s="3"/>
      <c r="AK57" s="3"/>
      <c r="AL57" s="3"/>
      <c r="AM57" s="3"/>
      <c r="AN57" s="3"/>
      <c r="AO57" s="3"/>
      <c r="AP57" s="3"/>
    </row>
    <row r="58" spans="2:42" x14ac:dyDescent="0.25">
      <c r="B58" s="13"/>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5"/>
      <c r="AC58" s="3"/>
      <c r="AD58" s="3"/>
      <c r="AE58" s="3"/>
      <c r="AF58" s="3"/>
      <c r="AG58" s="3"/>
      <c r="AH58" s="3"/>
      <c r="AI58" s="3"/>
      <c r="AJ58" s="3"/>
      <c r="AK58" s="3"/>
      <c r="AL58" s="3"/>
      <c r="AM58" s="3"/>
      <c r="AN58" s="3"/>
      <c r="AO58" s="3"/>
      <c r="AP58" s="3"/>
    </row>
    <row r="59" spans="2:42" x14ac:dyDescent="0.25">
      <c r="B59" s="13"/>
      <c r="C59" s="14"/>
      <c r="D59" s="14"/>
      <c r="E59" s="14" t="s">
        <v>1589</v>
      </c>
      <c r="F59" s="14"/>
      <c r="G59" s="14"/>
      <c r="H59" s="14"/>
      <c r="I59" s="14"/>
      <c r="J59" s="14"/>
      <c r="K59" s="14"/>
      <c r="L59" s="14"/>
      <c r="M59" s="14"/>
      <c r="N59" s="14"/>
      <c r="O59" s="14"/>
      <c r="P59" s="14"/>
      <c r="Q59" s="14"/>
      <c r="R59" s="14"/>
      <c r="S59" s="14"/>
      <c r="T59" s="14"/>
      <c r="U59" s="14"/>
      <c r="V59" s="14"/>
      <c r="W59" s="14"/>
      <c r="X59" s="14"/>
      <c r="Y59" s="14"/>
      <c r="Z59" s="14"/>
      <c r="AA59" s="14"/>
      <c r="AB59" s="15"/>
      <c r="AC59" s="3"/>
      <c r="AD59" s="3"/>
      <c r="AE59" s="3"/>
      <c r="AF59" s="3"/>
      <c r="AG59" s="3"/>
      <c r="AH59" s="3"/>
      <c r="AI59" s="3"/>
      <c r="AJ59" s="3"/>
      <c r="AK59" s="3"/>
      <c r="AL59" s="3"/>
      <c r="AM59" s="3"/>
      <c r="AN59" s="3"/>
      <c r="AO59" s="3"/>
      <c r="AP59" s="3"/>
    </row>
    <row r="60" spans="2:42" x14ac:dyDescent="0.25">
      <c r="B60" s="13"/>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5"/>
      <c r="AC60" s="3"/>
      <c r="AD60" s="3"/>
      <c r="AE60" s="3"/>
      <c r="AF60" s="3"/>
      <c r="AG60" s="3"/>
      <c r="AH60" s="3"/>
      <c r="AI60" s="3"/>
      <c r="AJ60" s="3"/>
      <c r="AK60" s="3"/>
      <c r="AL60" s="3"/>
      <c r="AM60" s="3"/>
      <c r="AN60" s="3"/>
      <c r="AO60" s="3"/>
      <c r="AP60" s="3"/>
    </row>
    <row r="61" spans="2:42" ht="15" customHeight="1" x14ac:dyDescent="0.3">
      <c r="B61" s="67"/>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5"/>
      <c r="AC61" s="3"/>
      <c r="AD61" s="3"/>
      <c r="AE61" s="3"/>
      <c r="AF61" s="3"/>
      <c r="AG61" s="3"/>
      <c r="AH61" s="3"/>
      <c r="AI61" s="3"/>
      <c r="AJ61" s="3"/>
      <c r="AK61" s="3"/>
      <c r="AL61" s="3"/>
      <c r="AM61" s="3"/>
      <c r="AN61" s="3"/>
      <c r="AO61" s="3"/>
      <c r="AP61" s="3"/>
    </row>
    <row r="62" spans="2:42" x14ac:dyDescent="0.25">
      <c r="B62" s="13"/>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5"/>
      <c r="AC62" s="3"/>
      <c r="AD62" s="3"/>
      <c r="AE62" s="3"/>
      <c r="AF62" s="3"/>
      <c r="AG62" s="3"/>
      <c r="AH62" s="3"/>
      <c r="AI62" s="3"/>
      <c r="AJ62" s="3"/>
      <c r="AK62" s="3"/>
      <c r="AL62" s="3"/>
      <c r="AM62" s="3"/>
      <c r="AN62" s="3"/>
      <c r="AO62" s="3"/>
      <c r="AP62" s="3"/>
    </row>
    <row r="63" spans="2:42" x14ac:dyDescent="0.25">
      <c r="B63" s="13"/>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5"/>
      <c r="AC63" s="3"/>
      <c r="AD63" s="3"/>
      <c r="AE63" s="3"/>
      <c r="AF63" s="3"/>
      <c r="AG63" s="3"/>
      <c r="AH63" s="3"/>
      <c r="AI63" s="3"/>
      <c r="AJ63" s="3"/>
      <c r="AK63" s="3"/>
      <c r="AL63" s="3"/>
      <c r="AM63" s="3"/>
      <c r="AN63" s="3"/>
      <c r="AO63" s="3"/>
      <c r="AP63" s="3"/>
    </row>
    <row r="64" spans="2:42" x14ac:dyDescent="0.25">
      <c r="B64" s="13"/>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5"/>
      <c r="AC64" s="3"/>
      <c r="AD64" s="3"/>
      <c r="AE64" s="3"/>
      <c r="AF64" s="3"/>
      <c r="AG64" s="3"/>
      <c r="AH64" s="3"/>
      <c r="AI64" s="3"/>
      <c r="AJ64" s="3"/>
      <c r="AK64" s="3"/>
      <c r="AL64" s="3"/>
      <c r="AM64" s="3"/>
      <c r="AN64" s="3"/>
      <c r="AO64" s="3"/>
      <c r="AP64" s="3"/>
    </row>
    <row r="65" spans="2:42" x14ac:dyDescent="0.25">
      <c r="B65" s="13"/>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5"/>
      <c r="AC65" s="3"/>
      <c r="AD65" s="3"/>
      <c r="AE65" s="3"/>
      <c r="AF65" s="3"/>
      <c r="AG65" s="3"/>
      <c r="AH65" s="3"/>
      <c r="AI65" s="3"/>
      <c r="AJ65" s="3"/>
      <c r="AK65" s="3"/>
      <c r="AL65" s="3"/>
      <c r="AM65" s="3"/>
      <c r="AN65" s="3"/>
      <c r="AO65" s="3"/>
      <c r="AP65" s="3"/>
    </row>
    <row r="66" spans="2:42" x14ac:dyDescent="0.25">
      <c r="B66" s="13"/>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5"/>
      <c r="AC66" s="3"/>
      <c r="AD66" s="3"/>
      <c r="AE66" s="3"/>
      <c r="AF66" s="3"/>
      <c r="AG66" s="3"/>
      <c r="AH66" s="3"/>
      <c r="AI66" s="3"/>
      <c r="AJ66" s="3"/>
      <c r="AK66" s="3"/>
      <c r="AL66" s="3"/>
      <c r="AM66" s="3"/>
      <c r="AN66" s="3"/>
      <c r="AO66" s="3"/>
      <c r="AP66" s="3"/>
    </row>
    <row r="67" spans="2:42" x14ac:dyDescent="0.25">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5"/>
      <c r="AC67" s="3"/>
      <c r="AD67" s="3"/>
      <c r="AE67" s="3"/>
      <c r="AF67" s="3"/>
      <c r="AG67" s="3"/>
      <c r="AH67" s="3"/>
      <c r="AI67" s="3"/>
      <c r="AJ67" s="3"/>
      <c r="AK67" s="3"/>
      <c r="AL67" s="3"/>
      <c r="AM67" s="3"/>
      <c r="AN67" s="3"/>
      <c r="AO67" s="3"/>
      <c r="AP67" s="3"/>
    </row>
    <row r="68" spans="2:42" x14ac:dyDescent="0.25">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5"/>
      <c r="AC68" s="3"/>
      <c r="AD68" s="3"/>
      <c r="AE68" s="3"/>
      <c r="AF68" s="3"/>
      <c r="AG68" s="3"/>
      <c r="AH68" s="3"/>
      <c r="AI68" s="3"/>
      <c r="AJ68" s="3"/>
      <c r="AK68" s="3"/>
      <c r="AL68" s="3"/>
      <c r="AM68" s="3"/>
      <c r="AN68" s="3"/>
      <c r="AO68" s="3"/>
      <c r="AP68" s="3"/>
    </row>
    <row r="69" spans="2:42" x14ac:dyDescent="0.25">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5"/>
      <c r="AC69" s="3"/>
      <c r="AD69" s="3"/>
      <c r="AE69" s="3"/>
      <c r="AF69" s="3"/>
      <c r="AG69" s="3"/>
      <c r="AH69" s="3"/>
      <c r="AI69" s="3"/>
      <c r="AJ69" s="3"/>
      <c r="AK69" s="3"/>
      <c r="AL69" s="3"/>
      <c r="AM69" s="3"/>
      <c r="AN69" s="3"/>
      <c r="AO69" s="3"/>
      <c r="AP69" s="3"/>
    </row>
    <row r="70" spans="2:42" x14ac:dyDescent="0.25">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5"/>
      <c r="AC70" s="3"/>
      <c r="AD70" s="3"/>
      <c r="AE70" s="3"/>
      <c r="AF70" s="3"/>
      <c r="AG70" s="3"/>
      <c r="AH70" s="3"/>
      <c r="AI70" s="3"/>
      <c r="AJ70" s="3"/>
      <c r="AK70" s="3"/>
      <c r="AL70" s="3"/>
      <c r="AM70" s="3"/>
      <c r="AN70" s="3"/>
      <c r="AO70" s="3"/>
      <c r="AP70" s="3"/>
    </row>
    <row r="71" spans="2:42" x14ac:dyDescent="0.25">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5"/>
      <c r="AC71" s="3"/>
      <c r="AD71" s="3"/>
      <c r="AE71" s="3"/>
      <c r="AF71" s="3"/>
      <c r="AG71" s="3"/>
      <c r="AH71" s="3"/>
      <c r="AI71" s="3"/>
      <c r="AJ71" s="3"/>
      <c r="AK71" s="3"/>
      <c r="AL71" s="3"/>
      <c r="AM71" s="3"/>
      <c r="AN71" s="3"/>
      <c r="AO71" s="3"/>
      <c r="AP71" s="3"/>
    </row>
    <row r="72" spans="2:42" x14ac:dyDescent="0.25">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5"/>
      <c r="AC72" s="3"/>
      <c r="AD72" s="3"/>
      <c r="AE72" s="3"/>
      <c r="AF72" s="3"/>
      <c r="AG72" s="3"/>
      <c r="AH72" s="3"/>
      <c r="AI72" s="3"/>
      <c r="AJ72" s="3"/>
      <c r="AK72" s="3"/>
      <c r="AL72" s="3"/>
      <c r="AM72" s="3"/>
      <c r="AN72" s="3"/>
      <c r="AO72" s="3"/>
      <c r="AP72" s="3"/>
    </row>
    <row r="73" spans="2:42" x14ac:dyDescent="0.25">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5"/>
      <c r="AC73" s="3"/>
      <c r="AD73" s="3"/>
      <c r="AE73" s="3"/>
      <c r="AF73" s="3"/>
      <c r="AG73" s="3"/>
      <c r="AH73" s="3"/>
      <c r="AI73" s="3"/>
      <c r="AJ73" s="3"/>
      <c r="AK73" s="3"/>
      <c r="AL73" s="3"/>
      <c r="AM73" s="3"/>
      <c r="AN73" s="3"/>
      <c r="AO73" s="3"/>
      <c r="AP73" s="3"/>
    </row>
    <row r="74" spans="2:42" x14ac:dyDescent="0.25">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5"/>
      <c r="AC74" s="3"/>
      <c r="AD74" s="3"/>
      <c r="AE74" s="3"/>
      <c r="AF74" s="3"/>
      <c r="AG74" s="3"/>
      <c r="AH74" s="3"/>
      <c r="AI74" s="3"/>
      <c r="AJ74" s="3"/>
      <c r="AK74" s="3"/>
      <c r="AL74" s="3"/>
      <c r="AM74" s="3"/>
      <c r="AN74" s="3"/>
      <c r="AO74" s="3"/>
      <c r="AP74" s="3"/>
    </row>
    <row r="75" spans="2:42" x14ac:dyDescent="0.25">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5"/>
      <c r="AC75" s="3"/>
      <c r="AD75" s="3"/>
      <c r="AE75" s="3"/>
      <c r="AF75" s="3"/>
      <c r="AG75" s="3"/>
      <c r="AH75" s="3"/>
      <c r="AI75" s="3"/>
      <c r="AJ75" s="3"/>
      <c r="AK75" s="3"/>
      <c r="AL75" s="3"/>
      <c r="AM75" s="3"/>
      <c r="AN75" s="3"/>
      <c r="AO75" s="3"/>
      <c r="AP75" s="3"/>
    </row>
    <row r="76" spans="2:42" x14ac:dyDescent="0.25">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5"/>
      <c r="AC76" s="3"/>
      <c r="AD76" s="3"/>
      <c r="AE76" s="3"/>
      <c r="AF76" s="3"/>
      <c r="AG76" s="3"/>
      <c r="AH76" s="3"/>
      <c r="AI76" s="3"/>
      <c r="AJ76" s="3"/>
      <c r="AK76" s="3"/>
      <c r="AL76" s="3"/>
      <c r="AM76" s="3"/>
      <c r="AN76" s="3"/>
      <c r="AO76" s="3"/>
      <c r="AP76" s="3"/>
    </row>
    <row r="77" spans="2:42" x14ac:dyDescent="0.25">
      <c r="B77" s="13"/>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5"/>
      <c r="AC77" s="3"/>
      <c r="AD77" s="3"/>
      <c r="AE77" s="3"/>
      <c r="AF77" s="3"/>
      <c r="AG77" s="3"/>
      <c r="AH77" s="3"/>
      <c r="AI77" s="3"/>
      <c r="AJ77" s="3"/>
      <c r="AK77" s="3"/>
      <c r="AL77" s="3"/>
      <c r="AM77" s="3"/>
      <c r="AN77" s="3"/>
      <c r="AO77" s="3"/>
      <c r="AP77" s="3"/>
    </row>
    <row r="78" spans="2:42" x14ac:dyDescent="0.25">
      <c r="B78" s="13"/>
      <c r="C78" s="135"/>
      <c r="D78" s="14"/>
      <c r="E78" s="14"/>
      <c r="F78" s="14"/>
      <c r="G78" s="14"/>
      <c r="H78" s="14"/>
      <c r="I78" s="14"/>
      <c r="J78" s="14"/>
      <c r="K78" s="14"/>
      <c r="L78" s="14"/>
      <c r="M78" s="14"/>
      <c r="N78" s="14"/>
      <c r="O78" s="14"/>
      <c r="P78" s="14"/>
      <c r="Q78" s="14"/>
      <c r="R78" s="14"/>
      <c r="S78" s="14"/>
      <c r="T78" s="14"/>
      <c r="U78" s="14"/>
      <c r="V78" s="14"/>
      <c r="W78" s="14"/>
      <c r="X78" s="14"/>
      <c r="Y78" s="14"/>
      <c r="Z78" s="14"/>
      <c r="AA78" s="14"/>
      <c r="AB78" s="15"/>
      <c r="AC78" s="3"/>
      <c r="AD78" s="3"/>
      <c r="AE78" s="3"/>
      <c r="AF78" s="3"/>
      <c r="AG78" s="3"/>
      <c r="AH78" s="3"/>
      <c r="AI78" s="3"/>
      <c r="AJ78" s="3"/>
      <c r="AK78" s="3"/>
      <c r="AL78" s="3"/>
      <c r="AM78" s="3"/>
      <c r="AN78" s="3"/>
      <c r="AO78" s="3"/>
      <c r="AP78" s="3"/>
    </row>
    <row r="79" spans="2:42" x14ac:dyDescent="0.25">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5"/>
      <c r="AC79" s="3"/>
      <c r="AD79" s="3"/>
      <c r="AE79" s="3"/>
      <c r="AF79" s="3"/>
      <c r="AG79" s="3"/>
      <c r="AH79" s="3"/>
      <c r="AI79" s="3"/>
      <c r="AJ79" s="3"/>
      <c r="AK79" s="3"/>
      <c r="AL79" s="3"/>
      <c r="AM79" s="3"/>
      <c r="AN79" s="3"/>
      <c r="AO79" s="3"/>
      <c r="AP79" s="3"/>
    </row>
    <row r="80" spans="2:42" x14ac:dyDescent="0.25">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5"/>
      <c r="AC80" s="3"/>
      <c r="AD80" s="3"/>
      <c r="AE80" s="3"/>
      <c r="AF80" s="3"/>
      <c r="AG80" s="3"/>
      <c r="AH80" s="3"/>
      <c r="AI80" s="3"/>
      <c r="AJ80" s="3"/>
      <c r="AK80" s="3"/>
      <c r="AL80" s="3"/>
      <c r="AM80" s="3"/>
      <c r="AN80" s="3"/>
      <c r="AO80" s="3"/>
      <c r="AP80" s="3"/>
    </row>
    <row r="81" spans="2:42" x14ac:dyDescent="0.25">
      <c r="B81" s="13"/>
      <c r="C81" s="135"/>
      <c r="D81" s="14"/>
      <c r="E81" s="14"/>
      <c r="F81" s="14"/>
      <c r="G81" s="14"/>
      <c r="H81" s="14"/>
      <c r="I81" s="14"/>
      <c r="J81" s="14"/>
      <c r="K81" s="14"/>
      <c r="L81" s="14"/>
      <c r="M81" s="14"/>
      <c r="N81" s="14"/>
      <c r="O81" s="14"/>
      <c r="P81" s="14"/>
      <c r="Q81" s="14"/>
      <c r="R81" s="14"/>
      <c r="S81" s="14"/>
      <c r="T81" s="14"/>
      <c r="U81" s="14"/>
      <c r="V81" s="14"/>
      <c r="W81" s="14"/>
      <c r="X81" s="14"/>
      <c r="Y81" s="14"/>
      <c r="Z81" s="14"/>
      <c r="AA81" s="14"/>
      <c r="AB81" s="15"/>
      <c r="AC81" s="3"/>
      <c r="AD81" s="3"/>
      <c r="AE81" s="3"/>
      <c r="AF81" s="3"/>
      <c r="AG81" s="3"/>
      <c r="AH81" s="3"/>
      <c r="AI81" s="3"/>
      <c r="AJ81" s="3"/>
      <c r="AK81" s="3"/>
      <c r="AL81" s="3"/>
      <c r="AM81" s="3"/>
      <c r="AN81" s="3"/>
      <c r="AO81" s="3"/>
      <c r="AP81" s="3"/>
    </row>
    <row r="82" spans="2:42" ht="18.75" x14ac:dyDescent="0.3">
      <c r="B82" s="67"/>
      <c r="C82" s="14"/>
      <c r="D82" s="60"/>
      <c r="E82" s="56"/>
      <c r="F82" s="56"/>
      <c r="G82" s="14"/>
      <c r="H82" s="56"/>
      <c r="I82" s="74"/>
      <c r="J82" s="14"/>
      <c r="K82" s="14"/>
      <c r="L82" s="14"/>
      <c r="M82" s="14"/>
      <c r="N82" s="14"/>
      <c r="O82" s="14"/>
      <c r="P82" s="14"/>
      <c r="Q82" s="14"/>
      <c r="R82" s="14"/>
      <c r="S82" s="14"/>
      <c r="T82" s="14"/>
      <c r="U82" s="14"/>
      <c r="V82" s="14"/>
      <c r="W82" s="14"/>
      <c r="X82" s="14"/>
      <c r="Y82" s="14"/>
      <c r="Z82" s="14"/>
      <c r="AA82" s="14"/>
      <c r="AB82" s="15"/>
      <c r="AC82" s="3"/>
      <c r="AD82" s="3"/>
      <c r="AE82" s="3"/>
      <c r="AF82" s="3"/>
      <c r="AG82" s="3"/>
      <c r="AH82" s="3"/>
      <c r="AI82" s="3"/>
      <c r="AJ82" s="3"/>
      <c r="AK82" s="3"/>
      <c r="AL82" s="3"/>
      <c r="AM82" s="3"/>
      <c r="AN82" s="3"/>
      <c r="AO82" s="3"/>
      <c r="AP82" s="3"/>
    </row>
    <row r="83" spans="2:42" x14ac:dyDescent="0.25">
      <c r="B83" s="13"/>
      <c r="C83" s="14"/>
      <c r="D83" s="14"/>
      <c r="E83" s="56"/>
      <c r="F83" s="56"/>
      <c r="G83" s="14"/>
      <c r="H83" s="56"/>
      <c r="I83" s="14"/>
      <c r="J83" s="14"/>
      <c r="K83" s="14"/>
      <c r="L83" s="14"/>
      <c r="M83" s="14"/>
      <c r="N83" s="14"/>
      <c r="O83" s="14"/>
      <c r="P83" s="14"/>
      <c r="Q83" s="14"/>
      <c r="R83" s="14"/>
      <c r="S83" s="14"/>
      <c r="T83" s="14"/>
      <c r="U83" s="14"/>
      <c r="V83" s="14"/>
      <c r="W83" s="14"/>
      <c r="X83" s="14"/>
      <c r="Y83" s="14"/>
      <c r="Z83" s="14"/>
      <c r="AA83" s="14"/>
      <c r="AB83" s="15"/>
      <c r="AC83" s="3"/>
      <c r="AD83" s="3"/>
      <c r="AE83" s="3"/>
      <c r="AF83" s="3"/>
      <c r="AG83" s="3"/>
      <c r="AH83" s="3"/>
      <c r="AI83" s="3"/>
      <c r="AJ83" s="3"/>
      <c r="AK83" s="3"/>
      <c r="AL83" s="3"/>
      <c r="AM83" s="3"/>
      <c r="AN83" s="3"/>
      <c r="AO83" s="3"/>
      <c r="AP83" s="3"/>
    </row>
    <row r="84" spans="2:42" x14ac:dyDescent="0.25">
      <c r="B84" s="13"/>
      <c r="C84" s="136"/>
      <c r="D84" s="60"/>
      <c r="E84" s="56"/>
      <c r="F84" s="56"/>
      <c r="G84" s="57"/>
      <c r="H84" s="14"/>
      <c r="I84" s="14"/>
      <c r="J84" s="14"/>
      <c r="K84" s="14"/>
      <c r="L84" s="14"/>
      <c r="M84" s="14"/>
      <c r="N84" s="14"/>
      <c r="O84" s="14"/>
      <c r="P84" s="14"/>
      <c r="Q84" s="14"/>
      <c r="R84" s="14"/>
      <c r="S84" s="14"/>
      <c r="T84" s="14"/>
      <c r="U84" s="14"/>
      <c r="V84" s="14"/>
      <c r="W84" s="14"/>
      <c r="X84" s="14"/>
      <c r="Y84" s="14"/>
      <c r="Z84" s="14"/>
      <c r="AA84" s="14"/>
      <c r="AB84" s="15"/>
      <c r="AC84" s="3"/>
      <c r="AD84" s="3"/>
      <c r="AE84" s="3"/>
      <c r="AF84" s="3"/>
      <c r="AG84" s="3"/>
      <c r="AH84" s="3"/>
      <c r="AI84" s="3"/>
      <c r="AJ84" s="3"/>
      <c r="AK84" s="3"/>
      <c r="AL84" s="3"/>
      <c r="AM84" s="3"/>
      <c r="AN84" s="3"/>
      <c r="AO84" s="3"/>
      <c r="AP84" s="3"/>
    </row>
    <row r="85" spans="2:42" x14ac:dyDescent="0.25">
      <c r="B85" s="13"/>
      <c r="C85" s="14"/>
      <c r="D85" s="60"/>
      <c r="E85" s="56"/>
      <c r="F85" s="56"/>
      <c r="G85" s="128"/>
      <c r="H85" s="56"/>
      <c r="I85" s="14"/>
      <c r="J85" s="14"/>
      <c r="K85" s="14"/>
      <c r="L85" s="14"/>
      <c r="M85" s="14"/>
      <c r="N85" s="14"/>
      <c r="O85" s="14"/>
      <c r="P85" s="14"/>
      <c r="Q85" s="14"/>
      <c r="R85" s="14"/>
      <c r="S85" s="14"/>
      <c r="T85" s="14"/>
      <c r="U85" s="14"/>
      <c r="V85" s="14"/>
      <c r="W85" s="14"/>
      <c r="X85" s="14"/>
      <c r="Y85" s="14"/>
      <c r="Z85" s="14"/>
      <c r="AA85" s="14"/>
      <c r="AB85" s="15"/>
      <c r="AC85" s="3"/>
      <c r="AD85" s="3"/>
      <c r="AE85" s="3"/>
      <c r="AF85" s="3"/>
      <c r="AG85" s="3"/>
      <c r="AH85" s="3"/>
      <c r="AI85" s="3"/>
      <c r="AJ85" s="3"/>
      <c r="AK85" s="3"/>
      <c r="AL85" s="3"/>
      <c r="AM85" s="3"/>
      <c r="AN85" s="3"/>
      <c r="AO85" s="3"/>
      <c r="AP85" s="3"/>
    </row>
    <row r="86" spans="2:42" x14ac:dyDescent="0.25">
      <c r="B86" s="13"/>
      <c r="C86" s="14"/>
      <c r="D86" s="60"/>
      <c r="E86" s="56"/>
      <c r="F86" s="56"/>
      <c r="G86" s="14"/>
      <c r="H86" s="56"/>
      <c r="I86" s="14"/>
      <c r="J86" s="14"/>
      <c r="K86" s="14"/>
      <c r="L86" s="14"/>
      <c r="M86" s="14"/>
      <c r="N86" s="14"/>
      <c r="O86" s="14"/>
      <c r="P86" s="14"/>
      <c r="Q86" s="14"/>
      <c r="R86" s="14"/>
      <c r="S86" s="14"/>
      <c r="T86" s="14"/>
      <c r="U86" s="14"/>
      <c r="V86" s="14"/>
      <c r="W86" s="14"/>
      <c r="X86" s="14"/>
      <c r="Y86" s="14"/>
      <c r="Z86" s="14"/>
      <c r="AA86" s="14"/>
      <c r="AB86" s="15"/>
      <c r="AC86" s="3"/>
      <c r="AD86" s="3"/>
      <c r="AE86" s="3"/>
      <c r="AF86" s="3"/>
      <c r="AG86" s="3"/>
      <c r="AH86" s="3"/>
      <c r="AI86" s="3"/>
      <c r="AJ86" s="3"/>
      <c r="AK86" s="3"/>
      <c r="AL86" s="3"/>
      <c r="AM86" s="3"/>
      <c r="AN86" s="3"/>
      <c r="AO86" s="3"/>
      <c r="AP86" s="3"/>
    </row>
    <row r="87" spans="2:42" x14ac:dyDescent="0.25">
      <c r="B87" s="13"/>
      <c r="C87" s="14"/>
      <c r="D87" s="60"/>
      <c r="E87" s="56"/>
      <c r="F87" s="56"/>
      <c r="G87" s="14"/>
      <c r="H87" s="56"/>
      <c r="I87" s="14"/>
      <c r="J87" s="14"/>
      <c r="K87" s="14"/>
      <c r="L87" s="14"/>
      <c r="M87" s="14"/>
      <c r="N87" s="14"/>
      <c r="O87" s="14"/>
      <c r="P87" s="14"/>
      <c r="Q87" s="14"/>
      <c r="R87" s="14"/>
      <c r="S87" s="14"/>
      <c r="T87" s="14"/>
      <c r="U87" s="14"/>
      <c r="V87" s="14"/>
      <c r="W87" s="14"/>
      <c r="X87" s="14"/>
      <c r="Y87" s="14"/>
      <c r="Z87" s="14"/>
      <c r="AA87" s="14"/>
      <c r="AB87" s="15"/>
      <c r="AC87" s="3"/>
      <c r="AD87" s="3"/>
      <c r="AE87" s="3"/>
      <c r="AF87" s="3"/>
      <c r="AG87" s="3"/>
      <c r="AH87" s="3"/>
      <c r="AI87" s="3"/>
      <c r="AJ87" s="3"/>
      <c r="AK87" s="3"/>
      <c r="AL87" s="3"/>
      <c r="AM87" s="3"/>
      <c r="AN87" s="3"/>
      <c r="AO87" s="3"/>
      <c r="AP87" s="3"/>
    </row>
    <row r="88" spans="2:42" x14ac:dyDescent="0.25">
      <c r="B88" s="13"/>
      <c r="C88" s="56"/>
      <c r="D88" s="60"/>
      <c r="E88" s="56"/>
      <c r="F88" s="56"/>
      <c r="G88" s="56"/>
      <c r="H88" s="56"/>
      <c r="I88" s="14"/>
      <c r="J88" s="14"/>
      <c r="K88" s="14"/>
      <c r="L88" s="14"/>
      <c r="M88" s="14"/>
      <c r="N88" s="14"/>
      <c r="O88" s="14"/>
      <c r="P88" s="14"/>
      <c r="Q88" s="14"/>
      <c r="R88" s="14"/>
      <c r="S88" s="14"/>
      <c r="T88" s="14"/>
      <c r="U88" s="14"/>
      <c r="V88" s="14"/>
      <c r="W88" s="14"/>
      <c r="X88" s="14"/>
      <c r="Y88" s="14"/>
      <c r="Z88" s="14"/>
      <c r="AA88" s="14"/>
      <c r="AB88" s="15"/>
      <c r="AC88" s="3"/>
      <c r="AD88" s="3"/>
      <c r="AE88" s="3"/>
      <c r="AF88" s="3"/>
      <c r="AG88" s="3"/>
      <c r="AH88" s="3"/>
      <c r="AI88" s="3"/>
      <c r="AJ88" s="3"/>
      <c r="AK88" s="3"/>
      <c r="AL88" s="3"/>
      <c r="AM88" s="3"/>
      <c r="AN88" s="3"/>
      <c r="AO88" s="3"/>
      <c r="AP88" s="3"/>
    </row>
    <row r="89" spans="2:42" x14ac:dyDescent="0.25">
      <c r="B89" s="13"/>
      <c r="C89" s="14"/>
      <c r="D89" s="60"/>
      <c r="E89" s="56"/>
      <c r="F89" s="56"/>
      <c r="G89" s="14"/>
      <c r="H89" s="56"/>
      <c r="I89" s="14"/>
      <c r="J89" s="14"/>
      <c r="K89" s="14"/>
      <c r="L89" s="14"/>
      <c r="M89" s="14"/>
      <c r="N89" s="14"/>
      <c r="O89" s="14"/>
      <c r="P89" s="14"/>
      <c r="Q89" s="14"/>
      <c r="R89" s="14"/>
      <c r="S89" s="14"/>
      <c r="T89" s="14"/>
      <c r="U89" s="14"/>
      <c r="V89" s="14"/>
      <c r="W89" s="14"/>
      <c r="X89" s="14"/>
      <c r="Y89" s="14"/>
      <c r="Z89" s="14"/>
      <c r="AA89" s="14"/>
      <c r="AB89" s="15"/>
      <c r="AC89" s="3"/>
      <c r="AD89" s="3"/>
      <c r="AE89" s="3"/>
      <c r="AF89" s="3"/>
      <c r="AG89" s="3"/>
      <c r="AH89" s="3"/>
      <c r="AI89" s="3"/>
      <c r="AJ89" s="3"/>
      <c r="AK89" s="3"/>
      <c r="AL89" s="3"/>
      <c r="AM89" s="3"/>
      <c r="AN89" s="3"/>
      <c r="AO89" s="3"/>
      <c r="AP89" s="3"/>
    </row>
    <row r="90" spans="2:42" x14ac:dyDescent="0.25">
      <c r="B90" s="13"/>
      <c r="C90" s="14"/>
      <c r="D90" s="14"/>
      <c r="E90" s="56"/>
      <c r="F90" s="56"/>
      <c r="G90" s="14"/>
      <c r="H90" s="56"/>
      <c r="I90" s="14"/>
      <c r="J90" s="14"/>
      <c r="K90" s="14"/>
      <c r="L90" s="14"/>
      <c r="M90" s="14"/>
      <c r="N90" s="14"/>
      <c r="O90" s="14"/>
      <c r="P90" s="14"/>
      <c r="Q90" s="14"/>
      <c r="R90" s="14"/>
      <c r="S90" s="14"/>
      <c r="T90" s="14"/>
      <c r="U90" s="14"/>
      <c r="V90" s="14"/>
      <c r="W90" s="14"/>
      <c r="X90" s="14"/>
      <c r="Y90" s="14"/>
      <c r="Z90" s="14"/>
      <c r="AA90" s="14"/>
      <c r="AB90" s="15"/>
      <c r="AC90" s="3"/>
      <c r="AD90" s="3"/>
      <c r="AE90" s="3"/>
      <c r="AF90" s="3"/>
      <c r="AG90" s="3"/>
      <c r="AH90" s="3"/>
      <c r="AI90" s="3"/>
      <c r="AJ90" s="3"/>
      <c r="AK90" s="3"/>
      <c r="AL90" s="3"/>
      <c r="AM90" s="3"/>
      <c r="AN90" s="3"/>
      <c r="AO90" s="3"/>
      <c r="AP90" s="3"/>
    </row>
    <row r="91" spans="2:42" x14ac:dyDescent="0.25">
      <c r="B91" s="13"/>
      <c r="C91" s="14"/>
      <c r="D91" s="60"/>
      <c r="E91" s="56"/>
      <c r="F91" s="56"/>
      <c r="G91" s="57"/>
      <c r="H91" s="14"/>
      <c r="I91" s="14"/>
      <c r="J91" s="14"/>
      <c r="K91" s="14"/>
      <c r="L91" s="14"/>
      <c r="M91" s="14"/>
      <c r="N91" s="14"/>
      <c r="O91" s="14"/>
      <c r="P91" s="14"/>
      <c r="Q91" s="14"/>
      <c r="R91" s="14"/>
      <c r="S91" s="14"/>
      <c r="T91" s="14"/>
      <c r="U91" s="14"/>
      <c r="V91" s="14"/>
      <c r="W91" s="14"/>
      <c r="X91" s="14"/>
      <c r="Y91" s="14"/>
      <c r="Z91" s="14"/>
      <c r="AA91" s="14"/>
      <c r="AB91" s="15"/>
      <c r="AC91" s="3"/>
      <c r="AD91" s="3"/>
      <c r="AE91" s="3"/>
      <c r="AF91" s="3"/>
      <c r="AG91" s="3"/>
      <c r="AH91" s="3"/>
      <c r="AI91" s="3"/>
      <c r="AJ91" s="3"/>
      <c r="AK91" s="3"/>
      <c r="AL91" s="3"/>
      <c r="AM91" s="3"/>
      <c r="AN91" s="3"/>
      <c r="AO91" s="3"/>
      <c r="AP91" s="3"/>
    </row>
    <row r="92" spans="2:42" x14ac:dyDescent="0.25">
      <c r="B92" s="13"/>
      <c r="C92" s="14"/>
      <c r="D92" s="60"/>
      <c r="E92" s="56"/>
      <c r="F92" s="56"/>
      <c r="G92" s="128"/>
      <c r="H92" s="56"/>
      <c r="I92" s="14"/>
      <c r="J92" s="14"/>
      <c r="K92" s="14"/>
      <c r="L92" s="14"/>
      <c r="M92" s="14"/>
      <c r="N92" s="14"/>
      <c r="O92" s="14"/>
      <c r="P92" s="14"/>
      <c r="Q92" s="14"/>
      <c r="R92" s="14"/>
      <c r="S92" s="14"/>
      <c r="T92" s="14"/>
      <c r="U92" s="14"/>
      <c r="V92" s="14"/>
      <c r="W92" s="14"/>
      <c r="X92" s="14"/>
      <c r="Y92" s="14"/>
      <c r="Z92" s="14"/>
      <c r="AA92" s="14"/>
      <c r="AB92" s="15"/>
      <c r="AC92" s="3"/>
      <c r="AD92" s="3"/>
      <c r="AE92" s="3"/>
      <c r="AF92" s="3"/>
      <c r="AG92" s="3"/>
      <c r="AH92" s="3"/>
      <c r="AI92" s="3"/>
      <c r="AJ92" s="3"/>
      <c r="AK92" s="3"/>
      <c r="AL92" s="3"/>
      <c r="AM92" s="3"/>
      <c r="AN92" s="3"/>
      <c r="AO92" s="3"/>
      <c r="AP92" s="3"/>
    </row>
    <row r="93" spans="2:42" x14ac:dyDescent="0.25">
      <c r="B93" s="13"/>
      <c r="C93" s="14"/>
      <c r="D93" s="60"/>
      <c r="E93" s="56"/>
      <c r="F93" s="56"/>
      <c r="G93" s="14"/>
      <c r="H93" s="56"/>
      <c r="I93" s="14"/>
      <c r="J93" s="14"/>
      <c r="K93" s="14"/>
      <c r="L93" s="14"/>
      <c r="M93" s="14"/>
      <c r="N93" s="14"/>
      <c r="O93" s="14"/>
      <c r="P93" s="14"/>
      <c r="Q93" s="14"/>
      <c r="R93" s="14"/>
      <c r="S93" s="14"/>
      <c r="T93" s="14"/>
      <c r="U93" s="14"/>
      <c r="V93" s="14"/>
      <c r="W93" s="14"/>
      <c r="X93" s="14"/>
      <c r="Y93" s="14"/>
      <c r="Z93" s="14"/>
      <c r="AA93" s="14"/>
      <c r="AB93" s="15"/>
      <c r="AC93" s="3"/>
      <c r="AD93" s="3"/>
      <c r="AE93" s="3"/>
      <c r="AF93" s="3"/>
      <c r="AG93" s="3"/>
      <c r="AH93" s="3"/>
      <c r="AI93" s="3"/>
      <c r="AJ93" s="3"/>
      <c r="AK93" s="3"/>
      <c r="AL93" s="3"/>
      <c r="AM93" s="3"/>
      <c r="AN93" s="3"/>
      <c r="AO93" s="3"/>
      <c r="AP93" s="3"/>
    </row>
    <row r="94" spans="2:42" x14ac:dyDescent="0.25">
      <c r="B94" s="13"/>
      <c r="C94" s="14"/>
      <c r="D94" s="60"/>
      <c r="E94" s="56"/>
      <c r="F94" s="56"/>
      <c r="G94" s="14"/>
      <c r="H94" s="56"/>
      <c r="I94" s="14"/>
      <c r="J94" s="14"/>
      <c r="K94" s="14"/>
      <c r="L94" s="14"/>
      <c r="M94" s="14"/>
      <c r="N94" s="14"/>
      <c r="O94" s="14"/>
      <c r="P94" s="14"/>
      <c r="Q94" s="14"/>
      <c r="R94" s="14"/>
      <c r="S94" s="14"/>
      <c r="T94" s="14"/>
      <c r="U94" s="14"/>
      <c r="V94" s="14"/>
      <c r="W94" s="14"/>
      <c r="X94" s="14"/>
      <c r="Y94" s="14"/>
      <c r="Z94" s="14"/>
      <c r="AA94" s="14"/>
      <c r="AB94" s="15"/>
      <c r="AC94" s="3"/>
      <c r="AD94" s="3"/>
      <c r="AE94" s="3"/>
      <c r="AF94" s="3"/>
      <c r="AG94" s="3"/>
      <c r="AH94" s="3"/>
      <c r="AI94" s="3"/>
      <c r="AJ94" s="3"/>
      <c r="AK94" s="3"/>
      <c r="AL94" s="3"/>
      <c r="AM94" s="3"/>
      <c r="AN94" s="3"/>
      <c r="AO94" s="3"/>
      <c r="AP94" s="3"/>
    </row>
    <row r="95" spans="2:42" x14ac:dyDescent="0.25">
      <c r="B95" s="13"/>
      <c r="C95" s="56"/>
      <c r="D95" s="60"/>
      <c r="E95" s="56"/>
      <c r="F95" s="56"/>
      <c r="G95" s="56"/>
      <c r="H95" s="56"/>
      <c r="I95" s="14"/>
      <c r="J95" s="14"/>
      <c r="K95" s="14"/>
      <c r="L95" s="14"/>
      <c r="M95" s="14"/>
      <c r="N95" s="14"/>
      <c r="O95" s="14"/>
      <c r="P95" s="14"/>
      <c r="Q95" s="14"/>
      <c r="R95" s="14"/>
      <c r="S95" s="14"/>
      <c r="T95" s="14"/>
      <c r="U95" s="14"/>
      <c r="V95" s="14"/>
      <c r="W95" s="14"/>
      <c r="X95" s="14"/>
      <c r="Y95" s="14"/>
      <c r="Z95" s="14"/>
      <c r="AA95" s="14"/>
      <c r="AB95" s="15"/>
      <c r="AC95" s="3"/>
      <c r="AD95" s="3"/>
      <c r="AE95" s="3"/>
      <c r="AF95" s="3"/>
      <c r="AG95" s="3"/>
      <c r="AH95" s="3"/>
      <c r="AI95" s="3"/>
      <c r="AJ95" s="3"/>
      <c r="AK95" s="3"/>
      <c r="AL95" s="3"/>
      <c r="AM95" s="3"/>
      <c r="AN95" s="3"/>
      <c r="AO95" s="3"/>
      <c r="AP95" s="3"/>
    </row>
    <row r="96" spans="2:42" ht="18.75" x14ac:dyDescent="0.3">
      <c r="B96" s="67"/>
      <c r="C96" s="14"/>
      <c r="D96" s="60"/>
      <c r="E96" s="56"/>
      <c r="F96" s="56"/>
      <c r="G96" s="14"/>
      <c r="H96" s="56"/>
      <c r="I96" s="74"/>
      <c r="J96" s="14"/>
      <c r="K96" s="14"/>
      <c r="L96" s="14"/>
      <c r="M96" s="14"/>
      <c r="N96" s="14"/>
      <c r="O96" s="14"/>
      <c r="P96" s="14"/>
      <c r="Q96" s="14"/>
      <c r="R96" s="14"/>
      <c r="S96" s="14"/>
      <c r="T96" s="14"/>
      <c r="U96" s="14"/>
      <c r="V96" s="14"/>
      <c r="W96" s="14"/>
      <c r="X96" s="14"/>
      <c r="Y96" s="14"/>
      <c r="Z96" s="14"/>
      <c r="AA96" s="14"/>
      <c r="AB96" s="15"/>
      <c r="AC96" s="3"/>
      <c r="AD96" s="3"/>
      <c r="AE96" s="3"/>
      <c r="AF96" s="3"/>
      <c r="AG96" s="3"/>
      <c r="AH96" s="3"/>
      <c r="AI96" s="3"/>
      <c r="AJ96" s="3"/>
      <c r="AK96" s="3"/>
      <c r="AL96" s="3"/>
      <c r="AM96" s="3"/>
      <c r="AN96" s="3"/>
      <c r="AO96" s="3"/>
      <c r="AP96" s="3"/>
    </row>
    <row r="97" spans="2:42" x14ac:dyDescent="0.25">
      <c r="B97" s="13"/>
      <c r="C97" s="14"/>
      <c r="D97" s="14"/>
      <c r="E97" s="56"/>
      <c r="F97" s="56"/>
      <c r="G97" s="14"/>
      <c r="H97" s="56"/>
      <c r="I97" s="14"/>
      <c r="J97" s="14"/>
      <c r="K97" s="14"/>
      <c r="L97" s="14"/>
      <c r="M97" s="14"/>
      <c r="N97" s="14"/>
      <c r="O97" s="14"/>
      <c r="P97" s="14"/>
      <c r="Q97" s="14"/>
      <c r="R97" s="14"/>
      <c r="S97" s="14"/>
      <c r="T97" s="14"/>
      <c r="U97" s="14"/>
      <c r="V97" s="14"/>
      <c r="W97" s="14"/>
      <c r="X97" s="14"/>
      <c r="Y97" s="14"/>
      <c r="Z97" s="14"/>
      <c r="AA97" s="14"/>
      <c r="AB97" s="15"/>
      <c r="AC97" s="3"/>
      <c r="AD97" s="3"/>
      <c r="AE97" s="3"/>
      <c r="AF97" s="3"/>
      <c r="AG97" s="3"/>
      <c r="AH97" s="3"/>
      <c r="AI97" s="3"/>
      <c r="AJ97" s="3"/>
      <c r="AK97" s="3"/>
      <c r="AL97" s="3"/>
      <c r="AM97" s="3"/>
      <c r="AN97" s="3"/>
      <c r="AO97" s="3"/>
      <c r="AP97" s="3"/>
    </row>
    <row r="98" spans="2:42" x14ac:dyDescent="0.25">
      <c r="B98" s="13"/>
      <c r="C98" s="14"/>
      <c r="D98" s="60"/>
      <c r="E98" s="56"/>
      <c r="F98" s="56"/>
      <c r="G98" s="57"/>
      <c r="H98" s="14"/>
      <c r="I98" s="14"/>
      <c r="J98" s="14"/>
      <c r="K98" s="14"/>
      <c r="L98" s="14"/>
      <c r="M98" s="14"/>
      <c r="N98" s="14"/>
      <c r="O98" s="14"/>
      <c r="P98" s="14"/>
      <c r="Q98" s="14"/>
      <c r="R98" s="14"/>
      <c r="S98" s="14"/>
      <c r="T98" s="14"/>
      <c r="U98" s="14"/>
      <c r="V98" s="14"/>
      <c r="W98" s="14"/>
      <c r="X98" s="14"/>
      <c r="Y98" s="14"/>
      <c r="Z98" s="14"/>
      <c r="AA98" s="14"/>
      <c r="AB98" s="15"/>
      <c r="AC98" s="3"/>
      <c r="AD98" s="3"/>
      <c r="AE98" s="3"/>
      <c r="AF98" s="3"/>
      <c r="AG98" s="3"/>
      <c r="AH98" s="3"/>
      <c r="AI98" s="3"/>
      <c r="AJ98" s="3"/>
      <c r="AK98" s="3"/>
      <c r="AL98" s="3"/>
      <c r="AM98" s="3"/>
      <c r="AN98" s="3"/>
      <c r="AO98" s="3"/>
      <c r="AP98" s="3"/>
    </row>
    <row r="99" spans="2:42" x14ac:dyDescent="0.25">
      <c r="B99" s="13"/>
      <c r="C99" s="14"/>
      <c r="D99" s="60"/>
      <c r="E99" s="56"/>
      <c r="F99" s="56"/>
      <c r="G99" s="128"/>
      <c r="H99" s="56"/>
      <c r="I99" s="14"/>
      <c r="J99" s="14"/>
      <c r="K99" s="14"/>
      <c r="L99" s="14"/>
      <c r="M99" s="14"/>
      <c r="N99" s="14"/>
      <c r="O99" s="14"/>
      <c r="P99" s="14"/>
      <c r="Q99" s="14"/>
      <c r="R99" s="14"/>
      <c r="S99" s="14"/>
      <c r="T99" s="14"/>
      <c r="U99" s="14"/>
      <c r="V99" s="14"/>
      <c r="W99" s="14"/>
      <c r="X99" s="14"/>
      <c r="Y99" s="14"/>
      <c r="Z99" s="14"/>
      <c r="AA99" s="14"/>
      <c r="AB99" s="15"/>
      <c r="AC99" s="3"/>
      <c r="AD99" s="3"/>
      <c r="AE99" s="3"/>
      <c r="AF99" s="3"/>
      <c r="AG99" s="3"/>
      <c r="AH99" s="3"/>
      <c r="AI99" s="3"/>
      <c r="AJ99" s="3"/>
      <c r="AK99" s="3"/>
      <c r="AL99" s="3"/>
      <c r="AM99" s="3"/>
      <c r="AN99" s="3"/>
      <c r="AO99" s="3"/>
      <c r="AP99" s="3"/>
    </row>
    <row r="100" spans="2:42" x14ac:dyDescent="0.25">
      <c r="B100" s="13"/>
      <c r="C100" s="14"/>
      <c r="D100" s="60"/>
      <c r="E100" s="56"/>
      <c r="F100" s="56"/>
      <c r="G100" s="14"/>
      <c r="H100" s="56"/>
      <c r="I100" s="14"/>
      <c r="J100" s="14"/>
      <c r="K100" s="14"/>
      <c r="L100" s="14"/>
      <c r="M100" s="14"/>
      <c r="N100" s="14"/>
      <c r="O100" s="14"/>
      <c r="P100" s="14"/>
      <c r="Q100" s="14"/>
      <c r="R100" s="14"/>
      <c r="S100" s="14"/>
      <c r="T100" s="14"/>
      <c r="U100" s="14"/>
      <c r="V100" s="14"/>
      <c r="W100" s="14"/>
      <c r="X100" s="14"/>
      <c r="Y100" s="14"/>
      <c r="Z100" s="14"/>
      <c r="AA100" s="14"/>
      <c r="AB100" s="15"/>
      <c r="AC100" s="3"/>
      <c r="AD100" s="3"/>
      <c r="AE100" s="3"/>
      <c r="AF100" s="3"/>
      <c r="AG100" s="3"/>
      <c r="AH100" s="3"/>
      <c r="AI100" s="3"/>
      <c r="AJ100" s="3"/>
      <c r="AK100" s="3"/>
      <c r="AL100" s="3"/>
      <c r="AM100" s="3"/>
      <c r="AN100" s="3"/>
      <c r="AO100" s="3"/>
      <c r="AP100" s="3"/>
    </row>
    <row r="101" spans="2:42" x14ac:dyDescent="0.25">
      <c r="B101" s="13"/>
      <c r="C101" s="14"/>
      <c r="D101" s="60"/>
      <c r="E101" s="56"/>
      <c r="F101" s="56"/>
      <c r="G101" s="14"/>
      <c r="H101" s="56"/>
      <c r="I101" s="14"/>
      <c r="J101" s="14"/>
      <c r="K101" s="14"/>
      <c r="L101" s="14"/>
      <c r="M101" s="14"/>
      <c r="N101" s="14"/>
      <c r="O101" s="14"/>
      <c r="P101" s="14"/>
      <c r="Q101" s="14"/>
      <c r="R101" s="14"/>
      <c r="S101" s="14"/>
      <c r="T101" s="14"/>
      <c r="U101" s="14"/>
      <c r="V101" s="14"/>
      <c r="W101" s="14"/>
      <c r="X101" s="14"/>
      <c r="Y101" s="14"/>
      <c r="Z101" s="14"/>
      <c r="AA101" s="14"/>
      <c r="AB101" s="15"/>
      <c r="AC101" s="3"/>
      <c r="AD101" s="3"/>
      <c r="AE101" s="3"/>
      <c r="AF101" s="3"/>
      <c r="AG101" s="3"/>
      <c r="AH101" s="3"/>
      <c r="AI101" s="3"/>
      <c r="AJ101" s="3"/>
      <c r="AK101" s="3"/>
      <c r="AL101" s="3"/>
      <c r="AM101" s="3"/>
      <c r="AN101" s="3"/>
      <c r="AO101" s="3"/>
      <c r="AP101" s="3"/>
    </row>
    <row r="102" spans="2:42" x14ac:dyDescent="0.25">
      <c r="B102" s="13"/>
      <c r="C102" s="56"/>
      <c r="D102" s="60"/>
      <c r="E102" s="56"/>
      <c r="F102" s="56"/>
      <c r="G102" s="56"/>
      <c r="H102" s="56"/>
      <c r="I102" s="14"/>
      <c r="J102" s="14"/>
      <c r="K102" s="14"/>
      <c r="L102" s="14"/>
      <c r="M102" s="14"/>
      <c r="N102" s="14"/>
      <c r="O102" s="14"/>
      <c r="P102" s="14"/>
      <c r="Q102" s="14"/>
      <c r="R102" s="14"/>
      <c r="S102" s="14"/>
      <c r="T102" s="14"/>
      <c r="U102" s="14"/>
      <c r="V102" s="14"/>
      <c r="W102" s="14"/>
      <c r="X102" s="14"/>
      <c r="Y102" s="14"/>
      <c r="Z102" s="14"/>
      <c r="AA102" s="14"/>
      <c r="AB102" s="15"/>
      <c r="AC102" s="3"/>
      <c r="AD102" s="3"/>
      <c r="AE102" s="3"/>
      <c r="AF102" s="3"/>
      <c r="AG102" s="3"/>
      <c r="AH102" s="3"/>
      <c r="AI102" s="3"/>
      <c r="AJ102" s="3"/>
      <c r="AK102" s="3"/>
      <c r="AL102" s="3"/>
      <c r="AM102" s="3"/>
      <c r="AN102" s="3"/>
      <c r="AO102" s="3"/>
      <c r="AP102" s="3"/>
    </row>
    <row r="103" spans="2:42" x14ac:dyDescent="0.25">
      <c r="B103" s="13"/>
      <c r="C103" s="14"/>
      <c r="D103" s="60"/>
      <c r="E103" s="56"/>
      <c r="F103" s="56"/>
      <c r="G103" s="14"/>
      <c r="H103" s="56"/>
      <c r="I103" s="14"/>
      <c r="J103" s="14"/>
      <c r="K103" s="14"/>
      <c r="L103" s="14"/>
      <c r="M103" s="14"/>
      <c r="N103" s="14"/>
      <c r="O103" s="14"/>
      <c r="P103" s="14"/>
      <c r="Q103" s="14"/>
      <c r="R103" s="14"/>
      <c r="S103" s="14"/>
      <c r="T103" s="14"/>
      <c r="U103" s="14"/>
      <c r="V103" s="14"/>
      <c r="W103" s="14"/>
      <c r="X103" s="14"/>
      <c r="Y103" s="14"/>
      <c r="Z103" s="14"/>
      <c r="AA103" s="14"/>
      <c r="AB103" s="15"/>
      <c r="AC103" s="3"/>
      <c r="AD103" s="3"/>
      <c r="AE103" s="3"/>
      <c r="AF103" s="3"/>
      <c r="AG103" s="3"/>
      <c r="AH103" s="3"/>
      <c r="AI103" s="3"/>
      <c r="AJ103" s="3"/>
      <c r="AK103" s="3"/>
      <c r="AL103" s="3"/>
      <c r="AM103" s="3"/>
      <c r="AN103" s="3"/>
      <c r="AO103" s="3"/>
      <c r="AP103" s="3"/>
    </row>
    <row r="104" spans="2:42" x14ac:dyDescent="0.25">
      <c r="B104" s="13"/>
      <c r="C104" s="14"/>
      <c r="D104" s="14"/>
      <c r="E104" s="56"/>
      <c r="F104" s="56"/>
      <c r="G104" s="14"/>
      <c r="H104" s="56"/>
      <c r="I104" s="14"/>
      <c r="J104" s="14"/>
      <c r="K104" s="14"/>
      <c r="L104" s="14"/>
      <c r="M104" s="14"/>
      <c r="N104" s="14"/>
      <c r="O104" s="14"/>
      <c r="P104" s="14"/>
      <c r="Q104" s="14"/>
      <c r="R104" s="14"/>
      <c r="S104" s="14"/>
      <c r="T104" s="14"/>
      <c r="U104" s="14"/>
      <c r="V104" s="14"/>
      <c r="W104" s="14"/>
      <c r="X104" s="14"/>
      <c r="Y104" s="14"/>
      <c r="Z104" s="14"/>
      <c r="AA104" s="14"/>
      <c r="AB104" s="15"/>
      <c r="AC104" s="3"/>
      <c r="AD104" s="3"/>
      <c r="AE104" s="3"/>
      <c r="AF104" s="3"/>
      <c r="AG104" s="3"/>
      <c r="AH104" s="3"/>
      <c r="AI104" s="3"/>
      <c r="AJ104" s="3"/>
      <c r="AK104" s="3"/>
      <c r="AL104" s="3"/>
      <c r="AM104" s="3"/>
      <c r="AN104" s="3"/>
      <c r="AO104" s="3"/>
      <c r="AP104" s="3"/>
    </row>
    <row r="105" spans="2:42" x14ac:dyDescent="0.25">
      <c r="B105" s="13"/>
      <c r="C105" s="14"/>
      <c r="D105" s="60"/>
      <c r="E105" s="56"/>
      <c r="F105" s="56"/>
      <c r="G105" s="57"/>
      <c r="H105" s="14"/>
      <c r="I105" s="14"/>
      <c r="J105" s="14"/>
      <c r="K105" s="14"/>
      <c r="L105" s="14"/>
      <c r="M105" s="14"/>
      <c r="N105" s="14"/>
      <c r="O105" s="14"/>
      <c r="P105" s="14"/>
      <c r="Q105" s="14"/>
      <c r="R105" s="14"/>
      <c r="S105" s="14"/>
      <c r="T105" s="14"/>
      <c r="U105" s="14"/>
      <c r="V105" s="14"/>
      <c r="W105" s="14"/>
      <c r="X105" s="14"/>
      <c r="Y105" s="14"/>
      <c r="Z105" s="14"/>
      <c r="AA105" s="14"/>
      <c r="AB105" s="15"/>
      <c r="AC105" s="3"/>
      <c r="AD105" s="3"/>
      <c r="AE105" s="3"/>
      <c r="AF105" s="3"/>
      <c r="AG105" s="3"/>
      <c r="AH105" s="3"/>
      <c r="AI105" s="3"/>
      <c r="AJ105" s="3"/>
      <c r="AK105" s="3"/>
      <c r="AL105" s="3"/>
      <c r="AM105" s="3"/>
      <c r="AN105" s="3"/>
      <c r="AO105" s="3"/>
      <c r="AP105" s="3"/>
    </row>
    <row r="106" spans="2:42" x14ac:dyDescent="0.25">
      <c r="B106" s="13"/>
      <c r="C106" s="14"/>
      <c r="D106" s="60"/>
      <c r="E106" s="56"/>
      <c r="F106" s="56"/>
      <c r="G106" s="128"/>
      <c r="H106" s="56"/>
      <c r="I106" s="14"/>
      <c r="J106" s="14"/>
      <c r="K106" s="14"/>
      <c r="L106" s="14"/>
      <c r="M106" s="14"/>
      <c r="N106" s="14"/>
      <c r="O106" s="14"/>
      <c r="P106" s="14"/>
      <c r="Q106" s="14"/>
      <c r="R106" s="14"/>
      <c r="S106" s="14"/>
      <c r="T106" s="14"/>
      <c r="U106" s="14"/>
      <c r="V106" s="14"/>
      <c r="W106" s="14"/>
      <c r="X106" s="14"/>
      <c r="Y106" s="14"/>
      <c r="Z106" s="14"/>
      <c r="AA106" s="14"/>
      <c r="AB106" s="15"/>
      <c r="AC106" s="3"/>
      <c r="AD106" s="3"/>
      <c r="AE106" s="3"/>
      <c r="AF106" s="3"/>
      <c r="AG106" s="3"/>
      <c r="AH106" s="3"/>
      <c r="AI106" s="3"/>
      <c r="AJ106" s="3"/>
      <c r="AK106" s="3"/>
      <c r="AL106" s="3"/>
      <c r="AM106" s="3"/>
      <c r="AN106" s="3"/>
      <c r="AO106" s="3"/>
      <c r="AP106" s="3"/>
    </row>
    <row r="107" spans="2:42" x14ac:dyDescent="0.25">
      <c r="B107" s="13"/>
      <c r="C107" s="14"/>
      <c r="D107" s="60"/>
      <c r="E107" s="56"/>
      <c r="F107" s="56"/>
      <c r="G107" s="14"/>
      <c r="H107" s="56"/>
      <c r="I107" s="14"/>
      <c r="J107" s="14"/>
      <c r="K107" s="14"/>
      <c r="L107" s="14"/>
      <c r="M107" s="14"/>
      <c r="N107" s="14"/>
      <c r="O107" s="14"/>
      <c r="P107" s="14"/>
      <c r="Q107" s="14"/>
      <c r="R107" s="14"/>
      <c r="S107" s="14"/>
      <c r="T107" s="14"/>
      <c r="U107" s="14"/>
      <c r="V107" s="14"/>
      <c r="W107" s="14"/>
      <c r="X107" s="14"/>
      <c r="Y107" s="14"/>
      <c r="Z107" s="14"/>
      <c r="AA107" s="14"/>
      <c r="AB107" s="15"/>
      <c r="AC107" s="3"/>
      <c r="AD107" s="3"/>
      <c r="AE107" s="3"/>
      <c r="AF107" s="3"/>
      <c r="AG107" s="3"/>
      <c r="AH107" s="3"/>
      <c r="AI107" s="3"/>
      <c r="AJ107" s="3"/>
      <c r="AK107" s="3"/>
      <c r="AL107" s="3"/>
      <c r="AM107" s="3"/>
      <c r="AN107" s="3"/>
      <c r="AO107" s="3"/>
      <c r="AP107" s="3"/>
    </row>
    <row r="108" spans="2:42" x14ac:dyDescent="0.25">
      <c r="B108" s="13"/>
      <c r="C108" s="14"/>
      <c r="D108" s="60"/>
      <c r="E108" s="56"/>
      <c r="F108" s="56"/>
      <c r="G108" s="14"/>
      <c r="H108" s="56"/>
      <c r="I108" s="14"/>
      <c r="J108" s="14"/>
      <c r="K108" s="14"/>
      <c r="L108" s="14"/>
      <c r="M108" s="14"/>
      <c r="N108" s="14"/>
      <c r="O108" s="14"/>
      <c r="P108" s="14"/>
      <c r="Q108" s="14"/>
      <c r="R108" s="14"/>
      <c r="S108" s="14"/>
      <c r="T108" s="14"/>
      <c r="U108" s="14"/>
      <c r="V108" s="14"/>
      <c r="W108" s="14"/>
      <c r="X108" s="14"/>
      <c r="Y108" s="14"/>
      <c r="Z108" s="14"/>
      <c r="AA108" s="14"/>
      <c r="AB108" s="15"/>
      <c r="AC108" s="3"/>
      <c r="AD108" s="3"/>
      <c r="AE108" s="3"/>
      <c r="AF108" s="3"/>
      <c r="AG108" s="3"/>
      <c r="AH108" s="3"/>
      <c r="AI108" s="3"/>
      <c r="AJ108" s="3"/>
      <c r="AK108" s="3"/>
      <c r="AL108" s="3"/>
      <c r="AM108" s="3"/>
      <c r="AN108" s="3"/>
      <c r="AO108" s="3"/>
      <c r="AP108" s="3"/>
    </row>
    <row r="109" spans="2:42" x14ac:dyDescent="0.25">
      <c r="B109" s="13"/>
      <c r="C109" s="56"/>
      <c r="D109" s="60"/>
      <c r="E109" s="56"/>
      <c r="F109" s="56"/>
      <c r="G109" s="56"/>
      <c r="H109" s="56"/>
      <c r="I109" s="14"/>
      <c r="J109" s="14"/>
      <c r="K109" s="14"/>
      <c r="L109" s="14"/>
      <c r="M109" s="14"/>
      <c r="N109" s="14"/>
      <c r="O109" s="14"/>
      <c r="P109" s="14"/>
      <c r="Q109" s="14"/>
      <c r="R109" s="14"/>
      <c r="S109" s="14"/>
      <c r="T109" s="14"/>
      <c r="U109" s="14"/>
      <c r="V109" s="14"/>
      <c r="W109" s="14"/>
      <c r="X109" s="14"/>
      <c r="Y109" s="14"/>
      <c r="Z109" s="14"/>
      <c r="AA109" s="14"/>
      <c r="AB109" s="15"/>
      <c r="AC109" s="3"/>
      <c r="AD109" s="3"/>
      <c r="AE109" s="3"/>
      <c r="AF109" s="3"/>
      <c r="AG109" s="3"/>
      <c r="AH109" s="3"/>
      <c r="AI109" s="3"/>
      <c r="AJ109" s="3"/>
      <c r="AK109" s="3"/>
      <c r="AL109" s="3"/>
      <c r="AM109" s="3"/>
      <c r="AN109" s="3"/>
      <c r="AO109" s="3"/>
      <c r="AP109" s="3"/>
    </row>
    <row r="110" spans="2:42" ht="18.75" x14ac:dyDescent="0.3">
      <c r="B110" s="67"/>
      <c r="C110" s="14"/>
      <c r="D110" s="60"/>
      <c r="E110" s="56"/>
      <c r="F110" s="56"/>
      <c r="G110" s="14"/>
      <c r="H110" s="56"/>
      <c r="I110" s="74"/>
      <c r="J110" s="14"/>
      <c r="K110" s="14"/>
      <c r="L110" s="14"/>
      <c r="M110" s="14"/>
      <c r="N110" s="14"/>
      <c r="O110" s="14"/>
      <c r="P110" s="14"/>
      <c r="Q110" s="14"/>
      <c r="R110" s="14"/>
      <c r="S110" s="14"/>
      <c r="T110" s="14"/>
      <c r="U110" s="14"/>
      <c r="V110" s="14"/>
      <c r="W110" s="14"/>
      <c r="X110" s="14"/>
      <c r="Y110" s="14"/>
      <c r="Z110" s="14"/>
      <c r="AA110" s="14"/>
      <c r="AB110" s="15"/>
      <c r="AC110" s="3"/>
      <c r="AD110" s="3"/>
      <c r="AE110" s="3"/>
      <c r="AF110" s="3"/>
      <c r="AG110" s="3"/>
      <c r="AH110" s="3"/>
      <c r="AI110" s="3"/>
      <c r="AJ110" s="3"/>
      <c r="AK110" s="3"/>
      <c r="AL110" s="3"/>
      <c r="AM110" s="3"/>
      <c r="AN110" s="3"/>
      <c r="AO110" s="3"/>
      <c r="AP110" s="3"/>
    </row>
    <row r="111" spans="2:42" x14ac:dyDescent="0.25">
      <c r="B111" s="13"/>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5"/>
      <c r="AC111" s="3"/>
      <c r="AD111" s="3"/>
      <c r="AE111" s="3"/>
      <c r="AF111" s="3"/>
      <c r="AG111" s="3"/>
      <c r="AH111" s="3"/>
      <c r="AI111" s="3"/>
      <c r="AJ111" s="3"/>
      <c r="AK111" s="3"/>
      <c r="AL111" s="3"/>
      <c r="AM111" s="3"/>
      <c r="AN111" s="3"/>
      <c r="AO111" s="3"/>
      <c r="AP111" s="3"/>
    </row>
    <row r="112" spans="2:42" x14ac:dyDescent="0.25">
      <c r="B112" s="13"/>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5"/>
      <c r="AC112" s="3"/>
      <c r="AD112" s="3"/>
      <c r="AE112" s="3"/>
      <c r="AF112" s="3"/>
      <c r="AG112" s="3"/>
      <c r="AH112" s="3"/>
      <c r="AI112" s="3"/>
      <c r="AJ112" s="3"/>
      <c r="AK112" s="3"/>
      <c r="AL112" s="3"/>
      <c r="AM112" s="3"/>
      <c r="AN112" s="3"/>
      <c r="AO112" s="3"/>
      <c r="AP112" s="3"/>
    </row>
    <row r="113" spans="2:42" x14ac:dyDescent="0.25">
      <c r="B113" s="13"/>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5"/>
      <c r="AC113" s="3"/>
      <c r="AD113" s="3"/>
      <c r="AE113" s="3"/>
      <c r="AF113" s="3"/>
      <c r="AG113" s="3"/>
      <c r="AH113" s="3"/>
      <c r="AI113" s="3"/>
      <c r="AJ113" s="3"/>
      <c r="AK113" s="3"/>
      <c r="AL113" s="3"/>
      <c r="AM113" s="3"/>
      <c r="AN113" s="3"/>
      <c r="AO113" s="3"/>
      <c r="AP113" s="3"/>
    </row>
    <row r="114" spans="2:42" x14ac:dyDescent="0.25">
      <c r="B114" s="13"/>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5"/>
      <c r="AC114" s="3"/>
      <c r="AD114" s="3"/>
      <c r="AE114" s="3"/>
      <c r="AF114" s="3"/>
      <c r="AG114" s="3"/>
      <c r="AH114" s="3"/>
      <c r="AI114" s="3"/>
      <c r="AJ114" s="3"/>
      <c r="AK114" s="3"/>
      <c r="AL114" s="3"/>
      <c r="AM114" s="3"/>
      <c r="AN114" s="3"/>
      <c r="AO114" s="3"/>
      <c r="AP114" s="3"/>
    </row>
    <row r="115" spans="2:42" x14ac:dyDescent="0.25">
      <c r="B115" s="13"/>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5"/>
      <c r="AC115" s="3"/>
      <c r="AD115" s="3"/>
      <c r="AE115" s="3"/>
      <c r="AF115" s="3"/>
      <c r="AG115" s="3"/>
      <c r="AH115" s="3"/>
      <c r="AI115" s="3"/>
      <c r="AJ115" s="3"/>
      <c r="AK115" s="3"/>
      <c r="AL115" s="3"/>
      <c r="AM115" s="3"/>
      <c r="AN115" s="3"/>
      <c r="AO115" s="3"/>
      <c r="AP115" s="3"/>
    </row>
    <row r="116" spans="2:42" x14ac:dyDescent="0.25">
      <c r="B116" s="13"/>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5"/>
      <c r="AC116" s="3"/>
      <c r="AD116" s="3"/>
      <c r="AE116" s="3"/>
      <c r="AF116" s="3"/>
      <c r="AG116" s="3"/>
      <c r="AH116" s="3"/>
      <c r="AI116" s="3"/>
      <c r="AJ116" s="3"/>
      <c r="AK116" s="3"/>
      <c r="AL116" s="3"/>
      <c r="AM116" s="3"/>
      <c r="AN116" s="3"/>
      <c r="AO116" s="3"/>
      <c r="AP116" s="3"/>
    </row>
    <row r="117" spans="2:42" x14ac:dyDescent="0.25">
      <c r="B117" s="13"/>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5"/>
      <c r="AC117" s="3"/>
      <c r="AD117" s="3"/>
      <c r="AE117" s="3"/>
      <c r="AF117" s="3"/>
      <c r="AG117" s="3"/>
      <c r="AH117" s="3"/>
      <c r="AI117" s="3"/>
      <c r="AJ117" s="3"/>
      <c r="AK117" s="3"/>
      <c r="AL117" s="3"/>
      <c r="AM117" s="3"/>
      <c r="AN117" s="3"/>
      <c r="AO117" s="3"/>
      <c r="AP117" s="3"/>
    </row>
    <row r="118" spans="2:42" x14ac:dyDescent="0.25">
      <c r="B118" s="13"/>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5"/>
      <c r="AC118" s="3"/>
      <c r="AD118" s="3"/>
      <c r="AE118" s="3"/>
      <c r="AF118" s="3"/>
      <c r="AG118" s="3"/>
      <c r="AH118" s="3"/>
      <c r="AI118" s="3"/>
      <c r="AJ118" s="3"/>
      <c r="AK118" s="3"/>
      <c r="AL118" s="3"/>
      <c r="AM118" s="3"/>
      <c r="AN118" s="3"/>
      <c r="AO118" s="3"/>
      <c r="AP118" s="3"/>
    </row>
    <row r="119" spans="2:42" ht="15.4" customHeight="1" x14ac:dyDescent="0.25">
      <c r="B119" s="13"/>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5"/>
      <c r="AC119" s="3"/>
      <c r="AD119" s="3"/>
      <c r="AE119" s="3"/>
      <c r="AF119" s="3"/>
      <c r="AG119" s="3"/>
      <c r="AH119" s="3"/>
      <c r="AI119" s="3"/>
      <c r="AJ119" s="3"/>
      <c r="AK119" s="3"/>
      <c r="AL119" s="3"/>
      <c r="AM119" s="3"/>
      <c r="AN119" s="3"/>
      <c r="AO119" s="3"/>
      <c r="AP119" s="3"/>
    </row>
    <row r="120" spans="2:42" x14ac:dyDescent="0.25">
      <c r="B120" s="13"/>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5"/>
      <c r="AC120" s="3"/>
      <c r="AD120" s="3"/>
      <c r="AE120" s="3"/>
      <c r="AF120" s="3"/>
      <c r="AG120" s="3"/>
      <c r="AH120" s="3"/>
      <c r="AI120" s="3"/>
      <c r="AJ120" s="3"/>
      <c r="AK120" s="3"/>
      <c r="AL120" s="3"/>
      <c r="AM120" s="3"/>
      <c r="AN120" s="3"/>
      <c r="AO120" s="3"/>
      <c r="AP120" s="3"/>
    </row>
    <row r="121" spans="2:42" x14ac:dyDescent="0.25">
      <c r="B121" s="13"/>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5"/>
      <c r="AC121" s="3"/>
      <c r="AD121" s="3"/>
      <c r="AE121" s="3"/>
      <c r="AF121" s="3"/>
      <c r="AG121" s="3"/>
      <c r="AH121" s="3"/>
      <c r="AI121" s="3"/>
      <c r="AJ121" s="3"/>
      <c r="AK121" s="3"/>
      <c r="AL121" s="3"/>
      <c r="AM121" s="3"/>
      <c r="AN121" s="3"/>
      <c r="AO121" s="3"/>
      <c r="AP121" s="3"/>
    </row>
    <row r="122" spans="2:42" x14ac:dyDescent="0.25">
      <c r="B122" s="13"/>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5"/>
      <c r="AC122" s="3"/>
      <c r="AD122" s="3"/>
      <c r="AE122" s="3"/>
      <c r="AF122" s="3"/>
      <c r="AG122" s="3"/>
      <c r="AH122" s="3"/>
      <c r="AI122" s="3"/>
      <c r="AJ122" s="3"/>
      <c r="AK122" s="3"/>
      <c r="AL122" s="3"/>
      <c r="AM122" s="3"/>
      <c r="AN122" s="3"/>
      <c r="AO122" s="3"/>
      <c r="AP122" s="3"/>
    </row>
    <row r="123" spans="2:42" x14ac:dyDescent="0.25">
      <c r="B123" s="13"/>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5"/>
      <c r="AC123" s="3"/>
      <c r="AD123" s="3"/>
      <c r="AE123" s="3"/>
      <c r="AF123" s="3"/>
      <c r="AG123" s="3"/>
      <c r="AH123" s="3"/>
      <c r="AI123" s="3"/>
      <c r="AJ123" s="3"/>
      <c r="AK123" s="3"/>
      <c r="AL123" s="3"/>
      <c r="AM123" s="3"/>
      <c r="AN123" s="3"/>
      <c r="AO123" s="3"/>
      <c r="AP123" s="3"/>
    </row>
    <row r="124" spans="2:42" ht="18.75" x14ac:dyDescent="0.3">
      <c r="B124" s="67"/>
      <c r="C124" s="14"/>
      <c r="D124" s="60"/>
      <c r="E124" s="56"/>
      <c r="F124" s="56"/>
      <c r="G124" s="14"/>
      <c r="H124" s="56"/>
      <c r="I124" s="74"/>
      <c r="J124" s="14"/>
      <c r="K124" s="14"/>
      <c r="L124" s="14"/>
      <c r="M124" s="14"/>
      <c r="N124" s="14"/>
      <c r="O124" s="14"/>
      <c r="P124" s="14"/>
      <c r="Q124" s="14"/>
      <c r="R124" s="14"/>
      <c r="S124" s="14"/>
      <c r="T124" s="14"/>
      <c r="U124" s="14"/>
      <c r="V124" s="14"/>
      <c r="W124" s="14"/>
      <c r="X124" s="14"/>
      <c r="Y124" s="14"/>
      <c r="Z124" s="14"/>
      <c r="AA124" s="14"/>
      <c r="AB124" s="15"/>
      <c r="AC124" s="3"/>
      <c r="AD124" s="3"/>
      <c r="AE124" s="3"/>
      <c r="AF124" s="3"/>
      <c r="AG124" s="3"/>
      <c r="AH124" s="3"/>
      <c r="AI124" s="3"/>
      <c r="AJ124" s="3"/>
      <c r="AK124" s="3"/>
      <c r="AL124" s="3"/>
      <c r="AM124" s="3"/>
      <c r="AN124" s="3"/>
      <c r="AO124" s="3"/>
      <c r="AP124" s="3"/>
    </row>
    <row r="125" spans="2:42" x14ac:dyDescent="0.25">
      <c r="B125" s="13"/>
      <c r="C125" s="14"/>
      <c r="D125" s="14"/>
      <c r="E125" s="56"/>
      <c r="F125" s="56"/>
      <c r="G125" s="14"/>
      <c r="H125" s="56"/>
      <c r="I125" s="14"/>
      <c r="J125" s="14"/>
      <c r="K125" s="14"/>
      <c r="L125" s="14"/>
      <c r="M125" s="14"/>
      <c r="N125" s="14"/>
      <c r="O125" s="14"/>
      <c r="P125" s="14"/>
      <c r="Q125" s="14"/>
      <c r="R125" s="14"/>
      <c r="S125" s="14"/>
      <c r="T125" s="14"/>
      <c r="U125" s="14"/>
      <c r="V125" s="14"/>
      <c r="W125" s="14"/>
      <c r="X125" s="14"/>
      <c r="Y125" s="14"/>
      <c r="Z125" s="14"/>
      <c r="AA125" s="14"/>
      <c r="AB125" s="15"/>
      <c r="AC125" s="3"/>
      <c r="AD125" s="3"/>
      <c r="AE125" s="3"/>
      <c r="AF125" s="3"/>
      <c r="AG125" s="3"/>
      <c r="AH125" s="3"/>
      <c r="AI125" s="3"/>
      <c r="AJ125" s="3"/>
      <c r="AK125" s="3"/>
      <c r="AL125" s="3"/>
      <c r="AM125" s="3"/>
      <c r="AN125" s="3"/>
      <c r="AO125" s="3"/>
      <c r="AP125" s="3"/>
    </row>
    <row r="126" spans="2:42" x14ac:dyDescent="0.25">
      <c r="B126" s="13"/>
      <c r="C126" s="14"/>
      <c r="D126" s="60"/>
      <c r="E126" s="56"/>
      <c r="F126" s="56"/>
      <c r="G126" s="57"/>
      <c r="H126" s="14"/>
      <c r="I126" s="14"/>
      <c r="J126" s="14"/>
      <c r="K126" s="14"/>
      <c r="L126" s="14"/>
      <c r="M126" s="14"/>
      <c r="N126" s="14"/>
      <c r="O126" s="14"/>
      <c r="P126" s="14"/>
      <c r="Q126" s="14"/>
      <c r="R126" s="14"/>
      <c r="S126" s="14"/>
      <c r="T126" s="14"/>
      <c r="U126" s="14"/>
      <c r="V126" s="14"/>
      <c r="W126" s="14"/>
      <c r="X126" s="14"/>
      <c r="Y126" s="14"/>
      <c r="Z126" s="14"/>
      <c r="AA126" s="14"/>
      <c r="AB126" s="15"/>
      <c r="AC126" s="3"/>
      <c r="AD126" s="3"/>
      <c r="AE126" s="3"/>
      <c r="AF126" s="3"/>
      <c r="AG126" s="3"/>
      <c r="AH126" s="3"/>
      <c r="AI126" s="3"/>
      <c r="AJ126" s="3"/>
      <c r="AK126" s="3"/>
      <c r="AL126" s="3"/>
      <c r="AM126" s="3"/>
      <c r="AN126" s="3"/>
      <c r="AO126" s="3"/>
      <c r="AP126" s="3"/>
    </row>
    <row r="127" spans="2:42" x14ac:dyDescent="0.25">
      <c r="B127" s="13"/>
      <c r="C127" s="14"/>
      <c r="D127" s="60"/>
      <c r="E127" s="56"/>
      <c r="F127" s="56"/>
      <c r="G127" s="128"/>
      <c r="H127" s="56"/>
      <c r="I127" s="14"/>
      <c r="J127" s="14"/>
      <c r="K127" s="14"/>
      <c r="L127" s="14"/>
      <c r="M127" s="14"/>
      <c r="N127" s="14"/>
      <c r="O127" s="14"/>
      <c r="P127" s="14"/>
      <c r="Q127" s="14"/>
      <c r="R127" s="14"/>
      <c r="S127" s="14"/>
      <c r="T127" s="14"/>
      <c r="U127" s="14"/>
      <c r="V127" s="14"/>
      <c r="W127" s="14"/>
      <c r="X127" s="14"/>
      <c r="Y127" s="14"/>
      <c r="Z127" s="14"/>
      <c r="AA127" s="14"/>
      <c r="AB127" s="15"/>
      <c r="AC127" s="3"/>
      <c r="AD127" s="3"/>
      <c r="AE127" s="3"/>
      <c r="AF127" s="3"/>
      <c r="AG127" s="3"/>
      <c r="AH127" s="3"/>
      <c r="AI127" s="3"/>
      <c r="AJ127" s="3"/>
      <c r="AK127" s="3"/>
      <c r="AL127" s="3"/>
      <c r="AM127" s="3"/>
      <c r="AN127" s="3"/>
      <c r="AO127" s="3"/>
      <c r="AP127" s="3"/>
    </row>
    <row r="128" spans="2:42" x14ac:dyDescent="0.25">
      <c r="B128" s="13"/>
      <c r="C128" s="14"/>
      <c r="D128" s="60"/>
      <c r="E128" s="56"/>
      <c r="F128" s="56"/>
      <c r="G128" s="14"/>
      <c r="H128" s="56"/>
      <c r="I128" s="14"/>
      <c r="J128" s="14"/>
      <c r="K128" s="14"/>
      <c r="L128" s="14"/>
      <c r="M128" s="14"/>
      <c r="N128" s="14"/>
      <c r="O128" s="14"/>
      <c r="P128" s="14"/>
      <c r="Q128" s="14"/>
      <c r="R128" s="14"/>
      <c r="S128" s="14"/>
      <c r="T128" s="14"/>
      <c r="U128" s="14"/>
      <c r="V128" s="14"/>
      <c r="W128" s="14"/>
      <c r="X128" s="14"/>
      <c r="Y128" s="14"/>
      <c r="Z128" s="14"/>
      <c r="AA128" s="14"/>
      <c r="AB128" s="15"/>
      <c r="AC128" s="3"/>
      <c r="AD128" s="3"/>
      <c r="AE128" s="3"/>
      <c r="AF128" s="3"/>
      <c r="AG128" s="3"/>
      <c r="AH128" s="3"/>
      <c r="AI128" s="3"/>
      <c r="AJ128" s="3"/>
      <c r="AK128" s="3"/>
      <c r="AL128" s="3"/>
      <c r="AM128" s="3"/>
      <c r="AN128" s="3"/>
      <c r="AO128" s="3"/>
      <c r="AP128" s="3"/>
    </row>
    <row r="129" spans="2:42" x14ac:dyDescent="0.25">
      <c r="B129" s="13"/>
      <c r="C129" s="14"/>
      <c r="D129" s="60"/>
      <c r="E129" s="56"/>
      <c r="F129" s="56"/>
      <c r="G129" s="14"/>
      <c r="H129" s="56"/>
      <c r="I129" s="14"/>
      <c r="J129" s="14"/>
      <c r="K129" s="14"/>
      <c r="L129" s="14"/>
      <c r="M129" s="14"/>
      <c r="N129" s="14"/>
      <c r="O129" s="14"/>
      <c r="P129" s="14"/>
      <c r="Q129" s="14"/>
      <c r="R129" s="14"/>
      <c r="S129" s="14"/>
      <c r="T129" s="14"/>
      <c r="U129" s="14"/>
      <c r="V129" s="14"/>
      <c r="W129" s="14"/>
      <c r="X129" s="14"/>
      <c r="Y129" s="14"/>
      <c r="Z129" s="14"/>
      <c r="AA129" s="14"/>
      <c r="AB129" s="15"/>
      <c r="AC129" s="3"/>
      <c r="AD129" s="3"/>
      <c r="AE129" s="3"/>
      <c r="AF129" s="3"/>
      <c r="AG129" s="3"/>
      <c r="AH129" s="3"/>
      <c r="AI129" s="3"/>
      <c r="AJ129" s="3"/>
      <c r="AK129" s="3"/>
      <c r="AL129" s="3"/>
      <c r="AM129" s="3"/>
      <c r="AN129" s="3"/>
      <c r="AO129" s="3"/>
      <c r="AP129" s="3"/>
    </row>
    <row r="130" spans="2:42" x14ac:dyDescent="0.25">
      <c r="B130" s="13"/>
      <c r="C130" s="56"/>
      <c r="D130" s="60"/>
      <c r="E130" s="56"/>
      <c r="F130" s="56"/>
      <c r="G130" s="56"/>
      <c r="H130" s="56"/>
      <c r="I130" s="14"/>
      <c r="J130" s="14"/>
      <c r="K130" s="14"/>
      <c r="L130" s="14"/>
      <c r="M130" s="14"/>
      <c r="N130" s="14"/>
      <c r="O130" s="14"/>
      <c r="P130" s="14"/>
      <c r="Q130" s="14"/>
      <c r="R130" s="14"/>
      <c r="S130" s="14"/>
      <c r="T130" s="14"/>
      <c r="U130" s="14"/>
      <c r="V130" s="14"/>
      <c r="W130" s="14"/>
      <c r="X130" s="14"/>
      <c r="Y130" s="14"/>
      <c r="Z130" s="14"/>
      <c r="AA130" s="14"/>
      <c r="AB130" s="15"/>
      <c r="AC130" s="3"/>
      <c r="AD130" s="3"/>
      <c r="AE130" s="3"/>
      <c r="AF130" s="3"/>
      <c r="AG130" s="3"/>
      <c r="AH130" s="3"/>
      <c r="AI130" s="3"/>
      <c r="AJ130" s="3"/>
      <c r="AK130" s="3"/>
      <c r="AL130" s="3"/>
      <c r="AM130" s="3"/>
      <c r="AN130" s="3"/>
      <c r="AO130" s="3"/>
      <c r="AP130" s="3"/>
    </row>
    <row r="131" spans="2:42" x14ac:dyDescent="0.25">
      <c r="B131" s="13"/>
      <c r="C131" s="14"/>
      <c r="D131" s="60"/>
      <c r="E131" s="56"/>
      <c r="F131" s="56"/>
      <c r="G131" s="14"/>
      <c r="H131" s="56"/>
      <c r="I131" s="14"/>
      <c r="J131" s="14"/>
      <c r="K131" s="14"/>
      <c r="L131" s="14"/>
      <c r="M131" s="14"/>
      <c r="N131" s="14"/>
      <c r="O131" s="14"/>
      <c r="P131" s="14"/>
      <c r="Q131" s="14"/>
      <c r="R131" s="14"/>
      <c r="S131" s="14"/>
      <c r="T131" s="14"/>
      <c r="U131" s="14"/>
      <c r="V131" s="14"/>
      <c r="W131" s="14"/>
      <c r="X131" s="14"/>
      <c r="Y131" s="14"/>
      <c r="Z131" s="14"/>
      <c r="AA131" s="14"/>
      <c r="AB131" s="15"/>
      <c r="AC131" s="3"/>
      <c r="AD131" s="3"/>
      <c r="AE131" s="3"/>
      <c r="AF131" s="3"/>
      <c r="AG131" s="3"/>
      <c r="AH131" s="3"/>
      <c r="AI131" s="3"/>
      <c r="AJ131" s="3"/>
      <c r="AK131" s="3"/>
      <c r="AL131" s="3"/>
      <c r="AM131" s="3"/>
      <c r="AN131" s="3"/>
      <c r="AO131" s="3"/>
      <c r="AP131" s="3"/>
    </row>
    <row r="132" spans="2:42" x14ac:dyDescent="0.25">
      <c r="B132" s="13"/>
      <c r="C132" s="14"/>
      <c r="D132" s="14"/>
      <c r="E132" s="56"/>
      <c r="F132" s="56"/>
      <c r="G132" s="14"/>
      <c r="H132" s="56"/>
      <c r="I132" s="14"/>
      <c r="J132" s="14"/>
      <c r="K132" s="14"/>
      <c r="L132" s="14"/>
      <c r="M132" s="14"/>
      <c r="N132" s="14"/>
      <c r="O132" s="14"/>
      <c r="P132" s="14"/>
      <c r="Q132" s="14"/>
      <c r="R132" s="14"/>
      <c r="S132" s="14"/>
      <c r="T132" s="14"/>
      <c r="U132" s="14"/>
      <c r="V132" s="14"/>
      <c r="W132" s="14"/>
      <c r="X132" s="14"/>
      <c r="Y132" s="14"/>
      <c r="Z132" s="14"/>
      <c r="AA132" s="14"/>
      <c r="AB132" s="15"/>
      <c r="AC132" s="3"/>
      <c r="AD132" s="3"/>
      <c r="AE132" s="3"/>
      <c r="AF132" s="3"/>
      <c r="AG132" s="3"/>
      <c r="AH132" s="3"/>
      <c r="AI132" s="3"/>
      <c r="AJ132" s="3"/>
      <c r="AK132" s="3"/>
      <c r="AL132" s="3"/>
      <c r="AM132" s="3"/>
      <c r="AN132" s="3"/>
      <c r="AO132" s="3"/>
      <c r="AP132" s="3"/>
    </row>
    <row r="133" spans="2:42" x14ac:dyDescent="0.25">
      <c r="B133" s="13"/>
      <c r="C133" s="14"/>
      <c r="D133" s="60"/>
      <c r="E133" s="56"/>
      <c r="F133" s="56"/>
      <c r="G133" s="57"/>
      <c r="H133" s="14"/>
      <c r="I133" s="14"/>
      <c r="J133" s="14"/>
      <c r="K133" s="14"/>
      <c r="L133" s="14"/>
      <c r="M133" s="14"/>
      <c r="N133" s="14"/>
      <c r="O133" s="14"/>
      <c r="P133" s="14"/>
      <c r="Q133" s="14"/>
      <c r="R133" s="14"/>
      <c r="S133" s="14"/>
      <c r="T133" s="14"/>
      <c r="U133" s="14"/>
      <c r="V133" s="14"/>
      <c r="W133" s="14"/>
      <c r="X133" s="14"/>
      <c r="Y133" s="14"/>
      <c r="Z133" s="14"/>
      <c r="AA133" s="14"/>
      <c r="AB133" s="15"/>
      <c r="AC133" s="3"/>
      <c r="AD133" s="3"/>
      <c r="AE133" s="3"/>
      <c r="AF133" s="3"/>
      <c r="AG133" s="3"/>
      <c r="AH133" s="3"/>
      <c r="AI133" s="3"/>
      <c r="AJ133" s="3"/>
      <c r="AK133" s="3"/>
      <c r="AL133" s="3"/>
      <c r="AM133" s="3"/>
      <c r="AN133" s="3"/>
      <c r="AO133" s="3"/>
      <c r="AP133" s="3"/>
    </row>
    <row r="134" spans="2:42" x14ac:dyDescent="0.25">
      <c r="B134" s="13"/>
      <c r="C134" s="14"/>
      <c r="D134" s="60"/>
      <c r="E134" s="56"/>
      <c r="F134" s="56"/>
      <c r="G134" s="128"/>
      <c r="H134" s="56"/>
      <c r="I134" s="14"/>
      <c r="J134" s="14"/>
      <c r="K134" s="14"/>
      <c r="L134" s="14"/>
      <c r="M134" s="14"/>
      <c r="N134" s="14"/>
      <c r="O134" s="14"/>
      <c r="P134" s="14"/>
      <c r="Q134" s="14"/>
      <c r="R134" s="14"/>
      <c r="S134" s="14"/>
      <c r="T134" s="14"/>
      <c r="U134" s="14"/>
      <c r="V134" s="14"/>
      <c r="W134" s="14"/>
      <c r="X134" s="14"/>
      <c r="Y134" s="14"/>
      <c r="Z134" s="14"/>
      <c r="AA134" s="14"/>
      <c r="AB134" s="15"/>
      <c r="AC134" s="3"/>
      <c r="AD134" s="3"/>
      <c r="AE134" s="3"/>
      <c r="AF134" s="3"/>
      <c r="AG134" s="3"/>
      <c r="AH134" s="3"/>
      <c r="AI134" s="3"/>
      <c r="AJ134" s="3"/>
      <c r="AK134" s="3"/>
      <c r="AL134" s="3"/>
      <c r="AM134" s="3"/>
      <c r="AN134" s="3"/>
      <c r="AO134" s="3"/>
      <c r="AP134" s="3"/>
    </row>
    <row r="135" spans="2:42" x14ac:dyDescent="0.25">
      <c r="B135" s="13"/>
      <c r="C135" s="14"/>
      <c r="D135" s="60"/>
      <c r="E135" s="56"/>
      <c r="F135" s="56"/>
      <c r="G135" s="14"/>
      <c r="H135" s="56"/>
      <c r="I135" s="14"/>
      <c r="J135" s="14"/>
      <c r="K135" s="14"/>
      <c r="L135" s="14"/>
      <c r="M135" s="14"/>
      <c r="N135" s="14"/>
      <c r="O135" s="14"/>
      <c r="P135" s="14"/>
      <c r="Q135" s="14"/>
      <c r="R135" s="14"/>
      <c r="S135" s="14"/>
      <c r="T135" s="14"/>
      <c r="U135" s="14"/>
      <c r="V135" s="14"/>
      <c r="W135" s="14"/>
      <c r="X135" s="14"/>
      <c r="Y135" s="14"/>
      <c r="Z135" s="14"/>
      <c r="AA135" s="14"/>
      <c r="AB135" s="15"/>
      <c r="AC135" s="3"/>
      <c r="AD135" s="3"/>
      <c r="AE135" s="3"/>
      <c r="AF135" s="3"/>
      <c r="AG135" s="3"/>
      <c r="AH135" s="3"/>
      <c r="AI135" s="3"/>
      <c r="AJ135" s="3"/>
      <c r="AK135" s="3"/>
      <c r="AL135" s="3"/>
      <c r="AM135" s="3"/>
      <c r="AN135" s="3"/>
      <c r="AO135" s="3"/>
      <c r="AP135" s="3"/>
    </row>
    <row r="136" spans="2:42" x14ac:dyDescent="0.25">
      <c r="B136" s="13"/>
      <c r="C136" s="14"/>
      <c r="D136" s="60"/>
      <c r="E136" s="56"/>
      <c r="F136" s="56"/>
      <c r="G136" s="14"/>
      <c r="H136" s="56"/>
      <c r="I136" s="14"/>
      <c r="J136" s="14"/>
      <c r="K136" s="14"/>
      <c r="L136" s="14"/>
      <c r="M136" s="14"/>
      <c r="N136" s="14"/>
      <c r="O136" s="14"/>
      <c r="P136" s="14"/>
      <c r="Q136" s="14"/>
      <c r="R136" s="14"/>
      <c r="S136" s="14"/>
      <c r="T136" s="14"/>
      <c r="U136" s="14"/>
      <c r="V136" s="14"/>
      <c r="W136" s="14"/>
      <c r="X136" s="14"/>
      <c r="Y136" s="14"/>
      <c r="Z136" s="14"/>
      <c r="AA136" s="14"/>
      <c r="AB136" s="15"/>
      <c r="AC136" s="3"/>
      <c r="AD136" s="3"/>
      <c r="AE136" s="3"/>
      <c r="AF136" s="3"/>
      <c r="AG136" s="3"/>
      <c r="AH136" s="3"/>
      <c r="AI136" s="3"/>
      <c r="AJ136" s="3"/>
      <c r="AK136" s="3"/>
      <c r="AL136" s="3"/>
      <c r="AM136" s="3"/>
      <c r="AN136" s="3"/>
      <c r="AO136" s="3"/>
      <c r="AP136" s="3"/>
    </row>
    <row r="137" spans="2:42" x14ac:dyDescent="0.25">
      <c r="B137" s="13"/>
      <c r="C137" s="56"/>
      <c r="D137" s="60"/>
      <c r="E137" s="56"/>
      <c r="F137" s="56"/>
      <c r="G137" s="56"/>
      <c r="H137" s="56"/>
      <c r="I137" s="14"/>
      <c r="J137" s="14"/>
      <c r="K137" s="14"/>
      <c r="L137" s="14"/>
      <c r="M137" s="14"/>
      <c r="N137" s="14"/>
      <c r="O137" s="14"/>
      <c r="P137" s="14"/>
      <c r="Q137" s="14"/>
      <c r="R137" s="14"/>
      <c r="S137" s="14"/>
      <c r="T137" s="14"/>
      <c r="U137" s="14"/>
      <c r="V137" s="14"/>
      <c r="W137" s="14"/>
      <c r="X137" s="14"/>
      <c r="Y137" s="14"/>
      <c r="Z137" s="14"/>
      <c r="AA137" s="14"/>
      <c r="AB137" s="15"/>
      <c r="AC137" s="3"/>
      <c r="AD137" s="3"/>
      <c r="AE137" s="3"/>
      <c r="AF137" s="3"/>
      <c r="AG137" s="3"/>
      <c r="AH137" s="3"/>
      <c r="AI137" s="3"/>
      <c r="AJ137" s="3"/>
      <c r="AK137" s="3"/>
      <c r="AL137" s="3"/>
      <c r="AM137" s="3"/>
      <c r="AN137" s="3"/>
      <c r="AO137" s="3"/>
      <c r="AP137" s="3"/>
    </row>
    <row r="138" spans="2:42" ht="18.75" x14ac:dyDescent="0.3">
      <c r="B138" s="67"/>
      <c r="C138" s="14"/>
      <c r="D138" s="60"/>
      <c r="E138" s="56"/>
      <c r="F138" s="56"/>
      <c r="G138" s="14"/>
      <c r="H138" s="56"/>
      <c r="I138" s="74"/>
      <c r="J138" s="14"/>
      <c r="K138" s="14"/>
      <c r="L138" s="14"/>
      <c r="M138" s="14"/>
      <c r="N138" s="14"/>
      <c r="O138" s="14"/>
      <c r="P138" s="14"/>
      <c r="Q138" s="14"/>
      <c r="R138" s="14"/>
      <c r="S138" s="14"/>
      <c r="T138" s="14"/>
      <c r="U138" s="14"/>
      <c r="V138" s="14"/>
      <c r="W138" s="14"/>
      <c r="X138" s="14"/>
      <c r="Y138" s="14"/>
      <c r="Z138" s="14"/>
      <c r="AA138" s="14"/>
      <c r="AB138" s="15"/>
      <c r="AC138" s="3"/>
      <c r="AD138" s="3"/>
      <c r="AE138" s="3"/>
      <c r="AF138" s="3"/>
      <c r="AG138" s="3"/>
      <c r="AH138" s="3"/>
      <c r="AI138" s="3"/>
      <c r="AJ138" s="3"/>
      <c r="AK138" s="3"/>
      <c r="AL138" s="3"/>
      <c r="AM138" s="3"/>
      <c r="AN138" s="3"/>
      <c r="AO138" s="3"/>
      <c r="AP138" s="3"/>
    </row>
    <row r="139" spans="2:42" x14ac:dyDescent="0.25">
      <c r="B139" s="13"/>
      <c r="C139" s="14"/>
      <c r="D139" s="14"/>
      <c r="E139" s="56"/>
      <c r="F139" s="56"/>
      <c r="G139" s="14"/>
      <c r="H139" s="56"/>
      <c r="I139" s="14"/>
      <c r="J139" s="14"/>
      <c r="K139" s="14"/>
      <c r="L139" s="14"/>
      <c r="M139" s="14"/>
      <c r="N139" s="14"/>
      <c r="O139" s="14"/>
      <c r="P139" s="14"/>
      <c r="Q139" s="14"/>
      <c r="R139" s="14"/>
      <c r="S139" s="14"/>
      <c r="T139" s="14"/>
      <c r="U139" s="14"/>
      <c r="V139" s="14"/>
      <c r="W139" s="14"/>
      <c r="X139" s="14"/>
      <c r="Y139" s="14"/>
      <c r="Z139" s="14"/>
      <c r="AA139" s="14"/>
      <c r="AB139" s="15"/>
      <c r="AC139" s="3"/>
      <c r="AD139" s="3"/>
      <c r="AE139" s="3"/>
      <c r="AF139" s="3"/>
      <c r="AG139" s="3"/>
      <c r="AH139" s="3"/>
      <c r="AI139" s="3"/>
      <c r="AJ139" s="3"/>
      <c r="AK139" s="3"/>
      <c r="AL139" s="3"/>
      <c r="AM139" s="3"/>
      <c r="AN139" s="3"/>
      <c r="AO139" s="3"/>
      <c r="AP139" s="3"/>
    </row>
    <row r="140" spans="2:42" x14ac:dyDescent="0.25">
      <c r="B140" s="13"/>
      <c r="C140" s="14"/>
      <c r="D140" s="60"/>
      <c r="E140" s="56"/>
      <c r="F140" s="56"/>
      <c r="G140" s="57"/>
      <c r="H140" s="14"/>
      <c r="I140" s="14"/>
      <c r="J140" s="14"/>
      <c r="K140" s="14"/>
      <c r="L140" s="14"/>
      <c r="M140" s="14"/>
      <c r="N140" s="14"/>
      <c r="O140" s="14"/>
      <c r="P140" s="14"/>
      <c r="Q140" s="14"/>
      <c r="R140" s="14"/>
      <c r="S140" s="14"/>
      <c r="T140" s="14"/>
      <c r="U140" s="14"/>
      <c r="V140" s="14"/>
      <c r="W140" s="14"/>
      <c r="X140" s="14"/>
      <c r="Y140" s="14"/>
      <c r="Z140" s="14"/>
      <c r="AA140" s="14"/>
      <c r="AB140" s="15"/>
      <c r="AC140" s="3"/>
      <c r="AD140" s="3"/>
      <c r="AE140" s="3"/>
      <c r="AF140" s="3"/>
      <c r="AG140" s="3"/>
      <c r="AH140" s="3"/>
      <c r="AI140" s="3"/>
      <c r="AJ140" s="3"/>
      <c r="AK140" s="3"/>
      <c r="AL140" s="3"/>
      <c r="AM140" s="3"/>
      <c r="AN140" s="3"/>
      <c r="AO140" s="3"/>
      <c r="AP140" s="3"/>
    </row>
    <row r="141" spans="2:42" x14ac:dyDescent="0.25">
      <c r="B141" s="13"/>
      <c r="C141" s="14"/>
      <c r="D141" s="60"/>
      <c r="E141" s="56"/>
      <c r="F141" s="56"/>
      <c r="G141" s="128"/>
      <c r="H141" s="56"/>
      <c r="I141" s="14"/>
      <c r="J141" s="14"/>
      <c r="K141" s="14"/>
      <c r="L141" s="14"/>
      <c r="M141" s="14"/>
      <c r="N141" s="14"/>
      <c r="O141" s="14"/>
      <c r="P141" s="14"/>
      <c r="Q141" s="14"/>
      <c r="R141" s="14"/>
      <c r="S141" s="14"/>
      <c r="T141" s="14"/>
      <c r="U141" s="14"/>
      <c r="V141" s="14"/>
      <c r="W141" s="14"/>
      <c r="X141" s="14"/>
      <c r="Y141" s="14"/>
      <c r="Z141" s="14"/>
      <c r="AA141" s="14"/>
      <c r="AB141" s="15"/>
      <c r="AC141" s="3"/>
      <c r="AD141" s="3"/>
      <c r="AE141" s="3"/>
      <c r="AF141" s="3"/>
      <c r="AG141" s="3"/>
      <c r="AH141" s="3"/>
      <c r="AI141" s="3"/>
      <c r="AJ141" s="3"/>
      <c r="AK141" s="3"/>
      <c r="AL141" s="3"/>
      <c r="AM141" s="3"/>
      <c r="AN141" s="3"/>
      <c r="AO141" s="3"/>
      <c r="AP141" s="3"/>
    </row>
    <row r="142" spans="2:42" x14ac:dyDescent="0.25">
      <c r="B142" s="13"/>
      <c r="C142" s="14"/>
      <c r="D142" s="60"/>
      <c r="E142" s="56"/>
      <c r="F142" s="56"/>
      <c r="G142" s="14"/>
      <c r="H142" s="56"/>
      <c r="I142" s="14"/>
      <c r="J142" s="14"/>
      <c r="K142" s="14"/>
      <c r="L142" s="14"/>
      <c r="M142" s="14"/>
      <c r="N142" s="14"/>
      <c r="O142" s="14"/>
      <c r="P142" s="14"/>
      <c r="Q142" s="14"/>
      <c r="R142" s="14"/>
      <c r="S142" s="14"/>
      <c r="T142" s="14"/>
      <c r="U142" s="14"/>
      <c r="V142" s="14"/>
      <c r="W142" s="14"/>
      <c r="X142" s="14"/>
      <c r="Y142" s="14"/>
      <c r="Z142" s="14"/>
      <c r="AA142" s="14"/>
      <c r="AB142" s="15"/>
      <c r="AC142" s="3"/>
      <c r="AD142" s="3"/>
      <c r="AE142" s="3"/>
      <c r="AF142" s="3"/>
      <c r="AG142" s="3"/>
      <c r="AH142" s="3"/>
      <c r="AI142" s="3"/>
      <c r="AJ142" s="3"/>
      <c r="AK142" s="3"/>
      <c r="AL142" s="3"/>
      <c r="AM142" s="3"/>
      <c r="AN142" s="3"/>
      <c r="AO142" s="3"/>
      <c r="AP142" s="3"/>
    </row>
    <row r="143" spans="2:42" x14ac:dyDescent="0.25">
      <c r="B143" s="13"/>
      <c r="C143" s="14"/>
      <c r="D143" s="60"/>
      <c r="E143" s="56"/>
      <c r="F143" s="56"/>
      <c r="G143" s="14"/>
      <c r="H143" s="56"/>
      <c r="I143" s="14"/>
      <c r="J143" s="14"/>
      <c r="K143" s="14"/>
      <c r="L143" s="14"/>
      <c r="M143" s="14"/>
      <c r="N143" s="14"/>
      <c r="O143" s="14"/>
      <c r="P143" s="14"/>
      <c r="Q143" s="14"/>
      <c r="R143" s="14"/>
      <c r="S143" s="14"/>
      <c r="T143" s="14"/>
      <c r="U143" s="14"/>
      <c r="V143" s="14"/>
      <c r="W143" s="14"/>
      <c r="X143" s="14"/>
      <c r="Y143" s="14"/>
      <c r="Z143" s="14"/>
      <c r="AA143" s="14"/>
      <c r="AB143" s="15"/>
      <c r="AC143" s="3"/>
      <c r="AD143" s="3"/>
      <c r="AE143" s="3"/>
      <c r="AF143" s="3"/>
      <c r="AG143" s="3"/>
      <c r="AH143" s="3"/>
      <c r="AI143" s="3"/>
      <c r="AJ143" s="3"/>
      <c r="AK143" s="3"/>
      <c r="AL143" s="3"/>
      <c r="AM143" s="3"/>
      <c r="AN143" s="3"/>
      <c r="AO143" s="3"/>
      <c r="AP143" s="3"/>
    </row>
    <row r="144" spans="2:42" x14ac:dyDescent="0.25">
      <c r="B144" s="13"/>
      <c r="C144" s="56"/>
      <c r="D144" s="60"/>
      <c r="E144" s="56"/>
      <c r="F144" s="56"/>
      <c r="G144" s="56"/>
      <c r="H144" s="56"/>
      <c r="I144" s="14"/>
      <c r="J144" s="14"/>
      <c r="K144" s="14"/>
      <c r="L144" s="14"/>
      <c r="M144" s="14"/>
      <c r="N144" s="14"/>
      <c r="O144" s="14"/>
      <c r="P144" s="14"/>
      <c r="Q144" s="14"/>
      <c r="R144" s="14"/>
      <c r="S144" s="14"/>
      <c r="T144" s="14"/>
      <c r="U144" s="14"/>
      <c r="V144" s="14"/>
      <c r="W144" s="14"/>
      <c r="X144" s="14"/>
      <c r="Y144" s="14"/>
      <c r="Z144" s="14"/>
      <c r="AA144" s="14"/>
      <c r="AB144" s="15"/>
      <c r="AC144" s="3"/>
      <c r="AD144" s="3"/>
      <c r="AE144" s="3"/>
      <c r="AF144" s="3"/>
      <c r="AG144" s="3"/>
      <c r="AH144" s="3"/>
      <c r="AI144" s="3"/>
      <c r="AJ144" s="3"/>
      <c r="AK144" s="3"/>
      <c r="AL144" s="3"/>
      <c r="AM144" s="3"/>
      <c r="AN144" s="3"/>
      <c r="AO144" s="3"/>
      <c r="AP144" s="3"/>
    </row>
    <row r="145" spans="2:42" x14ac:dyDescent="0.25">
      <c r="B145" s="13"/>
      <c r="C145" s="14"/>
      <c r="D145" s="60"/>
      <c r="E145" s="56"/>
      <c r="F145" s="56"/>
      <c r="G145" s="14"/>
      <c r="H145" s="56"/>
      <c r="I145" s="14"/>
      <c r="J145" s="14"/>
      <c r="K145" s="14"/>
      <c r="L145" s="14"/>
      <c r="M145" s="14"/>
      <c r="N145" s="14"/>
      <c r="O145" s="14"/>
      <c r="P145" s="14"/>
      <c r="Q145" s="14"/>
      <c r="R145" s="14"/>
      <c r="S145" s="14"/>
      <c r="T145" s="14"/>
      <c r="U145" s="14"/>
      <c r="V145" s="14"/>
      <c r="W145" s="14"/>
      <c r="X145" s="14"/>
      <c r="Y145" s="14"/>
      <c r="Z145" s="14"/>
      <c r="AA145" s="14"/>
      <c r="AB145" s="15"/>
      <c r="AC145" s="3"/>
      <c r="AD145" s="3"/>
      <c r="AE145" s="3"/>
      <c r="AF145" s="3"/>
      <c r="AG145" s="3"/>
      <c r="AH145" s="3"/>
      <c r="AI145" s="3"/>
      <c r="AJ145" s="3"/>
      <c r="AK145" s="3"/>
      <c r="AL145" s="3"/>
      <c r="AM145" s="3"/>
      <c r="AN145" s="3"/>
      <c r="AO145" s="3"/>
      <c r="AP145" s="3"/>
    </row>
    <row r="146" spans="2:42" x14ac:dyDescent="0.25">
      <c r="B146" s="13"/>
      <c r="C146" s="14"/>
      <c r="D146" s="14"/>
      <c r="E146" s="56"/>
      <c r="F146" s="56"/>
      <c r="G146" s="14"/>
      <c r="H146" s="56"/>
      <c r="I146" s="14"/>
      <c r="J146" s="14"/>
      <c r="K146" s="14"/>
      <c r="L146" s="14"/>
      <c r="M146" s="14"/>
      <c r="N146" s="14"/>
      <c r="O146" s="14"/>
      <c r="P146" s="14"/>
      <c r="Q146" s="14"/>
      <c r="R146" s="14"/>
      <c r="S146" s="14"/>
      <c r="T146" s="14"/>
      <c r="U146" s="14"/>
      <c r="V146" s="14"/>
      <c r="W146" s="14"/>
      <c r="X146" s="14"/>
      <c r="Y146" s="14"/>
      <c r="Z146" s="14"/>
      <c r="AA146" s="14"/>
      <c r="AB146" s="15"/>
      <c r="AC146" s="3"/>
      <c r="AD146" s="3"/>
      <c r="AE146" s="3"/>
      <c r="AF146" s="3"/>
      <c r="AG146" s="3"/>
      <c r="AH146" s="3"/>
      <c r="AI146" s="3"/>
      <c r="AJ146" s="3"/>
      <c r="AK146" s="3"/>
      <c r="AL146" s="3"/>
      <c r="AM146" s="3"/>
      <c r="AN146" s="3"/>
      <c r="AO146" s="3"/>
      <c r="AP146" s="3"/>
    </row>
    <row r="147" spans="2:42" x14ac:dyDescent="0.25">
      <c r="B147" s="13"/>
      <c r="C147" s="14"/>
      <c r="D147" s="60"/>
      <c r="E147" s="56"/>
      <c r="F147" s="56"/>
      <c r="G147" s="14"/>
      <c r="H147" s="14"/>
      <c r="I147" s="14"/>
      <c r="J147" s="14"/>
      <c r="K147" s="14"/>
      <c r="L147" s="14"/>
      <c r="M147" s="14"/>
      <c r="N147" s="14"/>
      <c r="O147" s="14"/>
      <c r="P147" s="14"/>
      <c r="Q147" s="14"/>
      <c r="R147" s="14"/>
      <c r="S147" s="14"/>
      <c r="T147" s="14"/>
      <c r="U147" s="14"/>
      <c r="V147" s="14"/>
      <c r="W147" s="14"/>
      <c r="X147" s="14"/>
      <c r="Y147" s="14"/>
      <c r="Z147" s="14"/>
      <c r="AA147" s="14"/>
      <c r="AB147" s="15"/>
      <c r="AC147" s="3"/>
      <c r="AD147" s="3"/>
      <c r="AE147" s="3"/>
      <c r="AF147" s="3"/>
      <c r="AG147" s="3"/>
      <c r="AH147" s="3"/>
      <c r="AI147" s="3"/>
      <c r="AJ147" s="3"/>
      <c r="AK147" s="3"/>
      <c r="AL147" s="3"/>
      <c r="AM147" s="3"/>
      <c r="AN147" s="3"/>
      <c r="AO147" s="3"/>
      <c r="AP147" s="3"/>
    </row>
    <row r="148" spans="2:42" x14ac:dyDescent="0.25">
      <c r="B148" s="13"/>
      <c r="C148" s="14"/>
      <c r="D148" s="60"/>
      <c r="E148" s="56"/>
      <c r="F148" s="56"/>
      <c r="G148" s="14"/>
      <c r="H148" s="56"/>
      <c r="I148" s="14"/>
      <c r="J148" s="14"/>
      <c r="K148" s="14"/>
      <c r="L148" s="14"/>
      <c r="M148" s="14"/>
      <c r="N148" s="14"/>
      <c r="O148" s="14"/>
      <c r="P148" s="14"/>
      <c r="Q148" s="14"/>
      <c r="R148" s="14"/>
      <c r="S148" s="14"/>
      <c r="T148" s="14"/>
      <c r="U148" s="14"/>
      <c r="V148" s="14"/>
      <c r="W148" s="14"/>
      <c r="X148" s="14"/>
      <c r="Y148" s="14"/>
      <c r="Z148" s="14"/>
      <c r="AA148" s="14"/>
      <c r="AB148" s="15"/>
      <c r="AC148" s="3"/>
      <c r="AD148" s="3"/>
      <c r="AE148" s="3"/>
      <c r="AF148" s="3"/>
      <c r="AG148" s="3"/>
      <c r="AH148" s="3"/>
      <c r="AI148" s="3"/>
      <c r="AJ148" s="3"/>
      <c r="AK148" s="3"/>
      <c r="AL148" s="3"/>
      <c r="AM148" s="3"/>
      <c r="AN148" s="3"/>
      <c r="AO148" s="3"/>
      <c r="AP148" s="3"/>
    </row>
    <row r="149" spans="2:42" x14ac:dyDescent="0.25">
      <c r="B149" s="13"/>
      <c r="C149" s="14"/>
      <c r="D149" s="60"/>
      <c r="E149" s="56"/>
      <c r="F149" s="56"/>
      <c r="G149" s="14"/>
      <c r="H149" s="56"/>
      <c r="I149" s="14"/>
      <c r="J149" s="14"/>
      <c r="K149" s="14"/>
      <c r="L149" s="14"/>
      <c r="M149" s="14"/>
      <c r="N149" s="14"/>
      <c r="O149" s="14"/>
      <c r="P149" s="14"/>
      <c r="Q149" s="14"/>
      <c r="R149" s="14"/>
      <c r="S149" s="14"/>
      <c r="T149" s="14"/>
      <c r="U149" s="14"/>
      <c r="V149" s="14"/>
      <c r="W149" s="14"/>
      <c r="X149" s="14"/>
      <c r="Y149" s="14"/>
      <c r="Z149" s="14"/>
      <c r="AA149" s="14"/>
      <c r="AB149" s="15"/>
      <c r="AC149" s="3"/>
      <c r="AD149" s="3"/>
      <c r="AE149" s="3"/>
      <c r="AF149" s="3"/>
      <c r="AG149" s="3"/>
      <c r="AH149" s="3"/>
      <c r="AI149" s="3"/>
      <c r="AJ149" s="3"/>
      <c r="AK149" s="3"/>
      <c r="AL149" s="3"/>
      <c r="AM149" s="3"/>
      <c r="AN149" s="3"/>
      <c r="AO149" s="3"/>
      <c r="AP149" s="3"/>
    </row>
    <row r="150" spans="2:42" x14ac:dyDescent="0.25">
      <c r="B150" s="13"/>
      <c r="C150" s="14"/>
      <c r="D150" s="60"/>
      <c r="E150" s="56"/>
      <c r="F150" s="56"/>
      <c r="G150" s="14"/>
      <c r="H150" s="56"/>
      <c r="I150" s="14"/>
      <c r="J150" s="14"/>
      <c r="K150" s="14"/>
      <c r="L150" s="14"/>
      <c r="M150" s="14"/>
      <c r="N150" s="14"/>
      <c r="O150" s="14"/>
      <c r="P150" s="14"/>
      <c r="Q150" s="14"/>
      <c r="R150" s="14"/>
      <c r="S150" s="14"/>
      <c r="T150" s="14"/>
      <c r="U150" s="14"/>
      <c r="V150" s="14"/>
      <c r="W150" s="14"/>
      <c r="X150" s="14"/>
      <c r="Y150" s="14"/>
      <c r="Z150" s="14"/>
      <c r="AA150" s="14"/>
      <c r="AB150" s="15"/>
      <c r="AC150" s="3"/>
      <c r="AD150" s="3"/>
      <c r="AE150" s="3"/>
      <c r="AF150" s="3"/>
      <c r="AG150" s="3"/>
      <c r="AH150" s="3"/>
      <c r="AI150" s="3"/>
      <c r="AJ150" s="3"/>
      <c r="AK150" s="3"/>
      <c r="AL150" s="3"/>
      <c r="AM150" s="3"/>
      <c r="AN150" s="3"/>
      <c r="AO150" s="3"/>
      <c r="AP150" s="3"/>
    </row>
    <row r="151" spans="2:42" x14ac:dyDescent="0.25">
      <c r="B151" s="13"/>
      <c r="C151" s="56"/>
      <c r="D151" s="60"/>
      <c r="E151" s="56"/>
      <c r="F151" s="56"/>
      <c r="G151" s="56"/>
      <c r="H151" s="56"/>
      <c r="I151" s="14"/>
      <c r="J151" s="14"/>
      <c r="K151" s="14"/>
      <c r="L151" s="14"/>
      <c r="M151" s="14"/>
      <c r="N151" s="14"/>
      <c r="O151" s="14"/>
      <c r="P151" s="14"/>
      <c r="Q151" s="14"/>
      <c r="R151" s="14"/>
      <c r="S151" s="14"/>
      <c r="T151" s="14"/>
      <c r="U151" s="14"/>
      <c r="V151" s="14"/>
      <c r="W151" s="14"/>
      <c r="X151" s="14"/>
      <c r="Y151" s="14"/>
      <c r="Z151" s="14"/>
      <c r="AA151" s="14"/>
      <c r="AB151" s="15"/>
      <c r="AC151" s="3"/>
      <c r="AD151" s="3"/>
      <c r="AE151" s="3"/>
      <c r="AF151" s="3"/>
      <c r="AG151" s="3"/>
      <c r="AH151" s="3"/>
      <c r="AI151" s="3"/>
      <c r="AJ151" s="3"/>
      <c r="AK151" s="3"/>
      <c r="AL151" s="3"/>
      <c r="AM151" s="3"/>
      <c r="AN151" s="3"/>
      <c r="AO151" s="3"/>
      <c r="AP151" s="3"/>
    </row>
    <row r="152" spans="2:42" ht="18.75" x14ac:dyDescent="0.3">
      <c r="B152" s="67"/>
      <c r="C152" s="14"/>
      <c r="D152" s="60"/>
      <c r="E152" s="56"/>
      <c r="F152" s="56"/>
      <c r="G152" s="14"/>
      <c r="H152" s="56"/>
      <c r="I152" s="74"/>
      <c r="J152" s="14"/>
      <c r="K152" s="14"/>
      <c r="L152" s="14"/>
      <c r="M152" s="14"/>
      <c r="N152" s="14"/>
      <c r="O152" s="14"/>
      <c r="P152" s="14"/>
      <c r="Q152" s="14"/>
      <c r="R152" s="14"/>
      <c r="S152" s="14"/>
      <c r="T152" s="14"/>
      <c r="U152" s="14"/>
      <c r="V152" s="14"/>
      <c r="W152" s="14"/>
      <c r="X152" s="14"/>
      <c r="Y152" s="14"/>
      <c r="Z152" s="14"/>
      <c r="AA152" s="14"/>
      <c r="AB152" s="15"/>
      <c r="AC152" s="3"/>
      <c r="AD152" s="3"/>
      <c r="AE152" s="3"/>
      <c r="AF152" s="3"/>
      <c r="AG152" s="3"/>
      <c r="AH152" s="3"/>
      <c r="AI152" s="3"/>
      <c r="AJ152" s="3"/>
      <c r="AK152" s="3"/>
      <c r="AL152" s="3"/>
      <c r="AM152" s="3"/>
      <c r="AN152" s="3"/>
      <c r="AO152" s="3"/>
      <c r="AP152" s="3"/>
    </row>
    <row r="153" spans="2:42" x14ac:dyDescent="0.25">
      <c r="B153" s="13"/>
      <c r="C153" s="14"/>
      <c r="D153" s="14"/>
      <c r="E153" s="56"/>
      <c r="F153" s="56"/>
      <c r="G153" s="14"/>
      <c r="H153" s="56"/>
      <c r="I153" s="14"/>
      <c r="J153" s="14"/>
      <c r="K153" s="14"/>
      <c r="L153" s="14"/>
      <c r="M153" s="14"/>
      <c r="N153" s="14"/>
      <c r="O153" s="14"/>
      <c r="P153" s="14"/>
      <c r="Q153" s="14"/>
      <c r="R153" s="14"/>
      <c r="S153" s="14"/>
      <c r="T153" s="14"/>
      <c r="U153" s="14"/>
      <c r="V153" s="14"/>
      <c r="W153" s="14"/>
      <c r="X153" s="14"/>
      <c r="Y153" s="14"/>
      <c r="Z153" s="14"/>
      <c r="AA153" s="14"/>
      <c r="AB153" s="15"/>
      <c r="AC153" s="3"/>
      <c r="AD153" s="3"/>
      <c r="AE153" s="3"/>
      <c r="AF153" s="3"/>
      <c r="AG153" s="3"/>
      <c r="AH153" s="3"/>
      <c r="AI153" s="3"/>
      <c r="AJ153" s="3"/>
      <c r="AK153" s="3"/>
      <c r="AL153" s="3"/>
      <c r="AM153" s="3"/>
      <c r="AN153" s="3"/>
      <c r="AO153" s="3"/>
      <c r="AP153" s="3"/>
    </row>
    <row r="154" spans="2:42" x14ac:dyDescent="0.25">
      <c r="B154" s="13"/>
      <c r="C154" s="14"/>
      <c r="D154" s="60"/>
      <c r="E154" s="56"/>
      <c r="F154" s="56"/>
      <c r="G154" s="14"/>
      <c r="H154" s="14"/>
      <c r="I154" s="14"/>
      <c r="J154" s="14"/>
      <c r="K154" s="14"/>
      <c r="L154" s="14"/>
      <c r="M154" s="14"/>
      <c r="N154" s="14"/>
      <c r="O154" s="14"/>
      <c r="P154" s="14"/>
      <c r="Q154" s="14"/>
      <c r="R154" s="14"/>
      <c r="S154" s="14"/>
      <c r="T154" s="14"/>
      <c r="U154" s="14"/>
      <c r="V154" s="14"/>
      <c r="W154" s="14"/>
      <c r="X154" s="14"/>
      <c r="Y154" s="14"/>
      <c r="Z154" s="14"/>
      <c r="AA154" s="14"/>
      <c r="AB154" s="15"/>
      <c r="AC154" s="3"/>
      <c r="AD154" s="3"/>
      <c r="AE154" s="3"/>
      <c r="AF154" s="3"/>
      <c r="AG154" s="3"/>
      <c r="AH154" s="3"/>
      <c r="AI154" s="3"/>
      <c r="AJ154" s="3"/>
      <c r="AK154" s="3"/>
      <c r="AL154" s="3"/>
      <c r="AM154" s="3"/>
      <c r="AN154" s="3"/>
      <c r="AO154" s="3"/>
      <c r="AP154" s="3"/>
    </row>
    <row r="155" spans="2:42" x14ac:dyDescent="0.25">
      <c r="B155" s="13"/>
      <c r="C155" s="14"/>
      <c r="D155" s="60"/>
      <c r="E155" s="56"/>
      <c r="F155" s="56"/>
      <c r="G155" s="14"/>
      <c r="H155" s="56"/>
      <c r="I155" s="14"/>
      <c r="J155" s="14"/>
      <c r="K155" s="14"/>
      <c r="L155" s="14"/>
      <c r="M155" s="14"/>
      <c r="N155" s="14"/>
      <c r="O155" s="14"/>
      <c r="P155" s="14"/>
      <c r="Q155" s="14"/>
      <c r="R155" s="14"/>
      <c r="S155" s="14"/>
      <c r="T155" s="14"/>
      <c r="U155" s="14"/>
      <c r="V155" s="14"/>
      <c r="W155" s="14"/>
      <c r="X155" s="14"/>
      <c r="Y155" s="14"/>
      <c r="Z155" s="14"/>
      <c r="AA155" s="14"/>
      <c r="AB155" s="15"/>
      <c r="AC155" s="3"/>
      <c r="AD155" s="3"/>
      <c r="AE155" s="3"/>
      <c r="AF155" s="3"/>
      <c r="AG155" s="3"/>
      <c r="AH155" s="3"/>
      <c r="AI155" s="3"/>
      <c r="AJ155" s="3"/>
      <c r="AK155" s="3"/>
      <c r="AL155" s="3"/>
      <c r="AM155" s="3"/>
      <c r="AN155" s="3"/>
      <c r="AO155" s="3"/>
      <c r="AP155" s="3"/>
    </row>
    <row r="156" spans="2:42" x14ac:dyDescent="0.25">
      <c r="B156" s="13"/>
      <c r="C156" s="14"/>
      <c r="D156" s="60"/>
      <c r="E156" s="56"/>
      <c r="F156" s="56"/>
      <c r="G156" s="14"/>
      <c r="H156" s="56"/>
      <c r="I156" s="14"/>
      <c r="J156" s="14"/>
      <c r="K156" s="14"/>
      <c r="L156" s="14"/>
      <c r="M156" s="14"/>
      <c r="N156" s="14"/>
      <c r="O156" s="14"/>
      <c r="P156" s="14"/>
      <c r="Q156" s="14"/>
      <c r="R156" s="14"/>
      <c r="S156" s="14"/>
      <c r="T156" s="14"/>
      <c r="U156" s="14"/>
      <c r="V156" s="14"/>
      <c r="W156" s="14"/>
      <c r="X156" s="14"/>
      <c r="Y156" s="14"/>
      <c r="Z156" s="14"/>
      <c r="AA156" s="14"/>
      <c r="AB156" s="15"/>
      <c r="AC156" s="3"/>
      <c r="AD156" s="3"/>
      <c r="AE156" s="3"/>
      <c r="AF156" s="3"/>
      <c r="AG156" s="3"/>
      <c r="AH156" s="3"/>
      <c r="AI156" s="3"/>
      <c r="AJ156" s="3"/>
      <c r="AK156" s="3"/>
      <c r="AL156" s="3"/>
      <c r="AM156" s="3"/>
      <c r="AN156" s="3"/>
      <c r="AO156" s="3"/>
      <c r="AP156" s="3"/>
    </row>
    <row r="157" spans="2:42" x14ac:dyDescent="0.25">
      <c r="B157" s="13"/>
      <c r="C157" s="14"/>
      <c r="D157" s="60"/>
      <c r="E157" s="56"/>
      <c r="F157" s="56"/>
      <c r="G157" s="14"/>
      <c r="H157" s="56"/>
      <c r="I157" s="14"/>
      <c r="J157" s="14"/>
      <c r="K157" s="14"/>
      <c r="L157" s="14"/>
      <c r="M157" s="14"/>
      <c r="N157" s="14"/>
      <c r="O157" s="14"/>
      <c r="P157" s="14"/>
      <c r="Q157" s="14"/>
      <c r="R157" s="14"/>
      <c r="S157" s="14"/>
      <c r="T157" s="14"/>
      <c r="U157" s="14"/>
      <c r="V157" s="14"/>
      <c r="W157" s="14"/>
      <c r="X157" s="14"/>
      <c r="Y157" s="14"/>
      <c r="Z157" s="14"/>
      <c r="AA157" s="14"/>
      <c r="AB157" s="15"/>
      <c r="AC157" s="3"/>
      <c r="AD157" s="3"/>
      <c r="AE157" s="3"/>
      <c r="AF157" s="3"/>
      <c r="AG157" s="3"/>
      <c r="AH157" s="3"/>
      <c r="AI157" s="3"/>
      <c r="AJ157" s="3"/>
      <c r="AK157" s="3"/>
      <c r="AL157" s="3"/>
      <c r="AM157" s="3"/>
      <c r="AN157" s="3"/>
      <c r="AO157" s="3"/>
      <c r="AP157" s="3"/>
    </row>
    <row r="158" spans="2:42" x14ac:dyDescent="0.25">
      <c r="B158" s="13"/>
      <c r="C158" s="56"/>
      <c r="D158" s="60"/>
      <c r="E158" s="56"/>
      <c r="F158" s="56"/>
      <c r="G158" s="56"/>
      <c r="H158" s="56"/>
      <c r="I158" s="14"/>
      <c r="J158" s="14"/>
      <c r="K158" s="14"/>
      <c r="L158" s="14"/>
      <c r="M158" s="14"/>
      <c r="N158" s="14"/>
      <c r="O158" s="14"/>
      <c r="P158" s="14"/>
      <c r="Q158" s="14"/>
      <c r="R158" s="14"/>
      <c r="S158" s="14"/>
      <c r="T158" s="14"/>
      <c r="U158" s="14"/>
      <c r="V158" s="14"/>
      <c r="W158" s="14"/>
      <c r="X158" s="14"/>
      <c r="Y158" s="14"/>
      <c r="Z158" s="14"/>
      <c r="AA158" s="14"/>
      <c r="AB158" s="15"/>
      <c r="AC158" s="3"/>
      <c r="AD158" s="3"/>
      <c r="AE158" s="3"/>
      <c r="AF158" s="3"/>
      <c r="AG158" s="3"/>
      <c r="AH158" s="3"/>
      <c r="AI158" s="3"/>
      <c r="AJ158" s="3"/>
      <c r="AK158" s="3"/>
      <c r="AL158" s="3"/>
      <c r="AM158" s="3"/>
      <c r="AN158" s="3"/>
      <c r="AO158" s="3"/>
      <c r="AP158" s="3"/>
    </row>
    <row r="159" spans="2:42" x14ac:dyDescent="0.25">
      <c r="B159" s="13"/>
      <c r="C159" s="14"/>
      <c r="D159" s="60"/>
      <c r="E159" s="56"/>
      <c r="F159" s="56"/>
      <c r="G159" s="14"/>
      <c r="H159" s="56"/>
      <c r="I159" s="14"/>
      <c r="J159" s="14"/>
      <c r="K159" s="14"/>
      <c r="L159" s="14"/>
      <c r="M159" s="14"/>
      <c r="N159" s="14"/>
      <c r="O159" s="14"/>
      <c r="P159" s="14"/>
      <c r="Q159" s="14"/>
      <c r="R159" s="14"/>
      <c r="S159" s="14"/>
      <c r="T159" s="14"/>
      <c r="U159" s="14"/>
      <c r="V159" s="14"/>
      <c r="W159" s="14"/>
      <c r="X159" s="14"/>
      <c r="Y159" s="14"/>
      <c r="Z159" s="14"/>
      <c r="AA159" s="14"/>
      <c r="AB159" s="15"/>
      <c r="AC159" s="3"/>
      <c r="AD159" s="3"/>
      <c r="AE159" s="3"/>
      <c r="AF159" s="3"/>
      <c r="AG159" s="3"/>
      <c r="AH159" s="3"/>
      <c r="AI159" s="3"/>
      <c r="AJ159" s="3"/>
      <c r="AK159" s="3"/>
      <c r="AL159" s="3"/>
      <c r="AM159" s="3"/>
      <c r="AN159" s="3"/>
      <c r="AO159" s="3"/>
      <c r="AP159" s="3"/>
    </row>
    <row r="160" spans="2:42" ht="18.75" x14ac:dyDescent="0.3">
      <c r="B160" s="67"/>
      <c r="C160" s="14"/>
      <c r="D160" s="14"/>
      <c r="E160" s="56"/>
      <c r="F160" s="56"/>
      <c r="G160" s="14"/>
      <c r="H160" s="56"/>
      <c r="I160" s="74"/>
      <c r="J160" s="14"/>
      <c r="K160" s="14"/>
      <c r="L160" s="14"/>
      <c r="M160" s="14"/>
      <c r="N160" s="14"/>
      <c r="O160" s="14"/>
      <c r="P160" s="14"/>
      <c r="Q160" s="14"/>
      <c r="R160" s="14"/>
      <c r="S160" s="14"/>
      <c r="T160" s="14"/>
      <c r="U160" s="14"/>
      <c r="V160" s="14"/>
      <c r="W160" s="14"/>
      <c r="X160" s="14"/>
      <c r="Y160" s="14"/>
      <c r="Z160" s="14"/>
      <c r="AA160" s="14"/>
      <c r="AB160" s="15"/>
      <c r="AC160" s="3"/>
      <c r="AD160" s="3"/>
      <c r="AE160" s="3"/>
      <c r="AF160" s="3"/>
      <c r="AG160" s="3"/>
      <c r="AH160" s="3"/>
      <c r="AI160" s="3"/>
      <c r="AJ160" s="3"/>
      <c r="AK160" s="3"/>
      <c r="AL160" s="3"/>
      <c r="AM160" s="3"/>
      <c r="AN160" s="3"/>
      <c r="AO160" s="3"/>
      <c r="AP160" s="3"/>
    </row>
    <row r="161" spans="2:42" x14ac:dyDescent="0.25">
      <c r="B161" s="13"/>
      <c r="C161" s="14"/>
      <c r="D161" s="60"/>
      <c r="E161" s="56"/>
      <c r="F161" s="56"/>
      <c r="G161" s="14"/>
      <c r="H161" s="14"/>
      <c r="I161" s="14"/>
      <c r="J161" s="14"/>
      <c r="K161" s="14"/>
      <c r="L161" s="14"/>
      <c r="M161" s="14"/>
      <c r="N161" s="14"/>
      <c r="O161" s="14"/>
      <c r="P161" s="14"/>
      <c r="Q161" s="14"/>
      <c r="R161" s="14"/>
      <c r="S161" s="14"/>
      <c r="T161" s="14"/>
      <c r="U161" s="14"/>
      <c r="V161" s="14"/>
      <c r="W161" s="14"/>
      <c r="X161" s="14"/>
      <c r="Y161" s="14"/>
      <c r="Z161" s="14"/>
      <c r="AA161" s="14"/>
      <c r="AB161" s="15"/>
      <c r="AC161" s="3"/>
      <c r="AD161" s="3"/>
      <c r="AE161" s="3"/>
      <c r="AF161" s="3"/>
      <c r="AG161" s="3"/>
      <c r="AH161" s="3"/>
      <c r="AI161" s="3"/>
      <c r="AJ161" s="3"/>
      <c r="AK161" s="3"/>
      <c r="AL161" s="3"/>
      <c r="AM161" s="3"/>
      <c r="AN161" s="3"/>
      <c r="AO161" s="3"/>
      <c r="AP161" s="3"/>
    </row>
    <row r="162" spans="2:42" x14ac:dyDescent="0.25">
      <c r="B162" s="13"/>
      <c r="C162" s="14"/>
      <c r="D162" s="60"/>
      <c r="E162" s="56"/>
      <c r="F162" s="56"/>
      <c r="G162" s="14"/>
      <c r="H162" s="56"/>
      <c r="I162" s="14"/>
      <c r="J162" s="14"/>
      <c r="K162" s="14"/>
      <c r="L162" s="14"/>
      <c r="M162" s="14"/>
      <c r="N162" s="14"/>
      <c r="O162" s="14"/>
      <c r="P162" s="14"/>
      <c r="Q162" s="14"/>
      <c r="R162" s="14"/>
      <c r="S162" s="14"/>
      <c r="T162" s="14"/>
      <c r="U162" s="14"/>
      <c r="V162" s="14"/>
      <c r="W162" s="14"/>
      <c r="X162" s="14"/>
      <c r="Y162" s="14"/>
      <c r="Z162" s="14"/>
      <c r="AA162" s="14"/>
      <c r="AB162" s="15"/>
      <c r="AC162" s="3"/>
      <c r="AD162" s="3"/>
      <c r="AE162" s="3"/>
      <c r="AF162" s="3"/>
      <c r="AG162" s="3"/>
      <c r="AH162" s="3"/>
      <c r="AI162" s="3"/>
      <c r="AJ162" s="3"/>
      <c r="AK162" s="3"/>
      <c r="AL162" s="3"/>
      <c r="AM162" s="3"/>
      <c r="AN162" s="3"/>
      <c r="AO162" s="3"/>
      <c r="AP162" s="3"/>
    </row>
    <row r="163" spans="2:42" x14ac:dyDescent="0.25">
      <c r="B163" s="13"/>
      <c r="C163" s="14"/>
      <c r="D163" s="60"/>
      <c r="E163" s="56"/>
      <c r="F163" s="56"/>
      <c r="G163" s="14"/>
      <c r="H163" s="56"/>
      <c r="I163" s="14"/>
      <c r="J163" s="14"/>
      <c r="K163" s="14"/>
      <c r="L163" s="14"/>
      <c r="M163" s="14"/>
      <c r="N163" s="14"/>
      <c r="O163" s="14"/>
      <c r="P163" s="14"/>
      <c r="Q163" s="14"/>
      <c r="R163" s="14"/>
      <c r="S163" s="14"/>
      <c r="T163" s="14"/>
      <c r="U163" s="14"/>
      <c r="V163" s="14"/>
      <c r="W163" s="14"/>
      <c r="X163" s="14"/>
      <c r="Y163" s="14"/>
      <c r="Z163" s="14"/>
      <c r="AA163" s="14"/>
      <c r="AB163" s="15"/>
      <c r="AC163" s="3"/>
      <c r="AD163" s="3"/>
      <c r="AE163" s="3"/>
      <c r="AF163" s="3"/>
      <c r="AG163" s="3"/>
      <c r="AH163" s="3"/>
      <c r="AI163" s="3"/>
      <c r="AJ163" s="3"/>
      <c r="AK163" s="3"/>
      <c r="AL163" s="3"/>
      <c r="AM163" s="3"/>
      <c r="AN163" s="3"/>
      <c r="AO163" s="3"/>
      <c r="AP163" s="3"/>
    </row>
    <row r="164" spans="2:42" x14ac:dyDescent="0.25">
      <c r="B164" s="13"/>
      <c r="C164" s="14"/>
      <c r="D164" s="60"/>
      <c r="E164" s="56"/>
      <c r="F164" s="56"/>
      <c r="G164" s="14"/>
      <c r="H164" s="56"/>
      <c r="I164" s="14"/>
      <c r="J164" s="14"/>
      <c r="K164" s="14"/>
      <c r="L164" s="14"/>
      <c r="M164" s="14"/>
      <c r="N164" s="14"/>
      <c r="O164" s="14"/>
      <c r="P164" s="14"/>
      <c r="Q164" s="14"/>
      <c r="R164" s="14"/>
      <c r="S164" s="14"/>
      <c r="T164" s="14"/>
      <c r="U164" s="14"/>
      <c r="V164" s="14"/>
      <c r="W164" s="14"/>
      <c r="X164" s="14"/>
      <c r="Y164" s="14"/>
      <c r="Z164" s="14"/>
      <c r="AA164" s="14"/>
      <c r="AB164" s="15"/>
      <c r="AC164" s="3"/>
      <c r="AD164" s="3"/>
      <c r="AE164" s="3"/>
      <c r="AF164" s="3"/>
      <c r="AG164" s="3"/>
      <c r="AH164" s="3"/>
      <c r="AI164" s="3"/>
      <c r="AJ164" s="3"/>
      <c r="AK164" s="3"/>
      <c r="AL164" s="3"/>
      <c r="AM164" s="3"/>
      <c r="AN164" s="3"/>
      <c r="AO164" s="3"/>
      <c r="AP164" s="3"/>
    </row>
    <row r="165" spans="2:42" x14ac:dyDescent="0.25">
      <c r="B165" s="13"/>
      <c r="C165" s="56"/>
      <c r="D165" s="60"/>
      <c r="E165" s="56"/>
      <c r="F165" s="56"/>
      <c r="G165" s="56"/>
      <c r="H165" s="56"/>
      <c r="I165" s="14"/>
      <c r="J165" s="14"/>
      <c r="K165" s="14"/>
      <c r="L165" s="14"/>
      <c r="M165" s="14"/>
      <c r="N165" s="14"/>
      <c r="O165" s="14"/>
      <c r="P165" s="14"/>
      <c r="Q165" s="14"/>
      <c r="R165" s="14"/>
      <c r="S165" s="14"/>
      <c r="T165" s="14"/>
      <c r="U165" s="14"/>
      <c r="V165" s="14"/>
      <c r="W165" s="14"/>
      <c r="X165" s="14"/>
      <c r="Y165" s="14"/>
      <c r="Z165" s="14"/>
      <c r="AA165" s="14"/>
      <c r="AB165" s="15"/>
      <c r="AC165" s="3"/>
      <c r="AD165" s="3"/>
      <c r="AE165" s="3"/>
      <c r="AF165" s="3"/>
      <c r="AG165" s="3"/>
      <c r="AH165" s="3"/>
      <c r="AI165" s="3"/>
      <c r="AJ165" s="3"/>
      <c r="AK165" s="3"/>
      <c r="AL165" s="3"/>
      <c r="AM165" s="3"/>
      <c r="AN165" s="3"/>
      <c r="AO165" s="3"/>
      <c r="AP165" s="3"/>
    </row>
    <row r="166" spans="2:42" x14ac:dyDescent="0.25">
      <c r="B166" s="13"/>
      <c r="C166" s="14"/>
      <c r="D166" s="60"/>
      <c r="E166" s="56"/>
      <c r="F166" s="56"/>
      <c r="G166" s="14"/>
      <c r="H166" s="56"/>
      <c r="I166" s="14"/>
      <c r="J166" s="14"/>
      <c r="K166" s="14"/>
      <c r="L166" s="14"/>
      <c r="M166" s="14"/>
      <c r="N166" s="14"/>
      <c r="O166" s="14"/>
      <c r="P166" s="14"/>
      <c r="Q166" s="14"/>
      <c r="R166" s="14"/>
      <c r="S166" s="14"/>
      <c r="T166" s="14"/>
      <c r="U166" s="14"/>
      <c r="V166" s="14"/>
      <c r="W166" s="14"/>
      <c r="X166" s="14"/>
      <c r="Y166" s="14"/>
      <c r="Z166" s="14"/>
      <c r="AA166" s="14"/>
      <c r="AB166" s="15"/>
      <c r="AC166" s="3"/>
      <c r="AD166" s="3"/>
      <c r="AE166" s="3"/>
      <c r="AF166" s="3"/>
      <c r="AG166" s="3"/>
      <c r="AH166" s="3"/>
      <c r="AI166" s="3"/>
      <c r="AJ166" s="3"/>
      <c r="AK166" s="3"/>
      <c r="AL166" s="3"/>
      <c r="AM166" s="3"/>
      <c r="AN166" s="3"/>
      <c r="AO166" s="3"/>
      <c r="AP166" s="3"/>
    </row>
    <row r="167" spans="2:42" x14ac:dyDescent="0.25">
      <c r="B167" s="13"/>
      <c r="C167" s="14"/>
      <c r="D167" s="14"/>
      <c r="E167" s="56"/>
      <c r="F167" s="56"/>
      <c r="G167" s="14"/>
      <c r="H167" s="56"/>
      <c r="I167" s="14"/>
      <c r="J167" s="14"/>
      <c r="K167" s="14"/>
      <c r="L167" s="14"/>
      <c r="M167" s="14"/>
      <c r="N167" s="14"/>
      <c r="O167" s="14"/>
      <c r="P167" s="14"/>
      <c r="Q167" s="14"/>
      <c r="R167" s="14"/>
      <c r="S167" s="14"/>
      <c r="T167" s="14"/>
      <c r="U167" s="14"/>
      <c r="V167" s="14"/>
      <c r="W167" s="14"/>
      <c r="X167" s="14"/>
      <c r="Y167" s="14"/>
      <c r="Z167" s="14"/>
      <c r="AA167" s="14"/>
      <c r="AB167" s="15"/>
      <c r="AC167" s="3"/>
      <c r="AD167" s="3"/>
      <c r="AE167" s="3"/>
      <c r="AF167" s="3"/>
      <c r="AG167" s="3"/>
      <c r="AH167" s="3"/>
      <c r="AI167" s="3"/>
      <c r="AJ167" s="3"/>
      <c r="AK167" s="3"/>
      <c r="AL167" s="3"/>
      <c r="AM167" s="3"/>
      <c r="AN167" s="3"/>
      <c r="AO167" s="3"/>
      <c r="AP167" s="3"/>
    </row>
    <row r="168" spans="2:42" ht="18.75" x14ac:dyDescent="0.3">
      <c r="B168" s="67"/>
      <c r="C168" s="14"/>
      <c r="D168" s="60"/>
      <c r="E168" s="56"/>
      <c r="F168" s="56"/>
      <c r="G168" s="14"/>
      <c r="H168" s="14"/>
      <c r="I168" s="74"/>
      <c r="J168" s="14"/>
      <c r="K168" s="14"/>
      <c r="L168" s="14"/>
      <c r="M168" s="14"/>
      <c r="N168" s="14"/>
      <c r="O168" s="14"/>
      <c r="P168" s="14"/>
      <c r="Q168" s="14"/>
      <c r="R168" s="14"/>
      <c r="S168" s="14"/>
      <c r="T168" s="14"/>
      <c r="U168" s="14"/>
      <c r="V168" s="14"/>
      <c r="W168" s="14"/>
      <c r="X168" s="14"/>
      <c r="Y168" s="14"/>
      <c r="Z168" s="14"/>
      <c r="AA168" s="14"/>
      <c r="AB168" s="15"/>
      <c r="AC168" s="3"/>
      <c r="AD168" s="3"/>
      <c r="AE168" s="3"/>
      <c r="AF168" s="3"/>
      <c r="AG168" s="3"/>
      <c r="AH168" s="3"/>
      <c r="AI168" s="3"/>
      <c r="AJ168" s="3"/>
      <c r="AK168" s="3"/>
      <c r="AL168" s="3"/>
      <c r="AM168" s="3"/>
      <c r="AN168" s="3"/>
      <c r="AO168" s="3"/>
      <c r="AP168" s="3"/>
    </row>
    <row r="169" spans="2:42" x14ac:dyDescent="0.25">
      <c r="B169" s="13"/>
      <c r="C169" s="14"/>
      <c r="D169" s="60"/>
      <c r="E169" s="56"/>
      <c r="F169" s="56"/>
      <c r="G169" s="14"/>
      <c r="H169" s="56"/>
      <c r="I169" s="14"/>
      <c r="J169" s="14"/>
      <c r="K169" s="14"/>
      <c r="L169" s="14"/>
      <c r="M169" s="14"/>
      <c r="N169" s="14"/>
      <c r="O169" s="14"/>
      <c r="P169" s="14"/>
      <c r="Q169" s="14"/>
      <c r="R169" s="14"/>
      <c r="S169" s="14"/>
      <c r="T169" s="14"/>
      <c r="U169" s="14"/>
      <c r="V169" s="14"/>
      <c r="W169" s="14"/>
      <c r="X169" s="14"/>
      <c r="Y169" s="14"/>
      <c r="Z169" s="14"/>
      <c r="AA169" s="14"/>
      <c r="AB169" s="15"/>
      <c r="AC169" s="3"/>
      <c r="AD169" s="3"/>
      <c r="AE169" s="3"/>
      <c r="AF169" s="3"/>
      <c r="AG169" s="3"/>
      <c r="AH169" s="3"/>
      <c r="AI169" s="3"/>
      <c r="AJ169" s="3"/>
      <c r="AK169" s="3"/>
      <c r="AL169" s="3"/>
      <c r="AM169" s="3"/>
      <c r="AN169" s="3"/>
      <c r="AO169" s="3"/>
      <c r="AP169" s="3"/>
    </row>
    <row r="170" spans="2:42" x14ac:dyDescent="0.25">
      <c r="B170" s="13"/>
      <c r="C170" s="14"/>
      <c r="D170" s="60"/>
      <c r="E170" s="56"/>
      <c r="F170" s="56"/>
      <c r="G170" s="14"/>
      <c r="H170" s="56"/>
      <c r="I170" s="14"/>
      <c r="J170" s="14"/>
      <c r="K170" s="14"/>
      <c r="L170" s="14"/>
      <c r="M170" s="14"/>
      <c r="N170" s="14"/>
      <c r="O170" s="14"/>
      <c r="P170" s="14"/>
      <c r="Q170" s="14"/>
      <c r="R170" s="14"/>
      <c r="S170" s="14"/>
      <c r="T170" s="14"/>
      <c r="U170" s="14"/>
      <c r="V170" s="14"/>
      <c r="W170" s="14"/>
      <c r="X170" s="14"/>
      <c r="Y170" s="14"/>
      <c r="Z170" s="14"/>
      <c r="AA170" s="14"/>
      <c r="AB170" s="15"/>
      <c r="AC170" s="3"/>
      <c r="AD170" s="3"/>
      <c r="AE170" s="3"/>
      <c r="AF170" s="3"/>
      <c r="AG170" s="3"/>
      <c r="AH170" s="3"/>
      <c r="AI170" s="3"/>
      <c r="AJ170" s="3"/>
      <c r="AK170" s="3"/>
      <c r="AL170" s="3"/>
      <c r="AM170" s="3"/>
      <c r="AN170" s="3"/>
      <c r="AO170" s="3"/>
      <c r="AP170" s="3"/>
    </row>
    <row r="171" spans="2:42" x14ac:dyDescent="0.25">
      <c r="B171" s="13"/>
      <c r="C171" s="14"/>
      <c r="D171" s="60"/>
      <c r="E171" s="56"/>
      <c r="F171" s="56"/>
      <c r="G171" s="14"/>
      <c r="H171" s="56"/>
      <c r="I171" s="14"/>
      <c r="J171" s="14"/>
      <c r="K171" s="14"/>
      <c r="L171" s="14"/>
      <c r="M171" s="14"/>
      <c r="N171" s="14"/>
      <c r="O171" s="14"/>
      <c r="P171" s="14"/>
      <c r="Q171" s="14"/>
      <c r="R171" s="14"/>
      <c r="S171" s="14"/>
      <c r="T171" s="14"/>
      <c r="U171" s="14"/>
      <c r="V171" s="14"/>
      <c r="W171" s="14"/>
      <c r="X171" s="14"/>
      <c r="Y171" s="14"/>
      <c r="Z171" s="14"/>
      <c r="AA171" s="14"/>
      <c r="AB171" s="15"/>
      <c r="AC171" s="3"/>
      <c r="AD171" s="3"/>
      <c r="AE171" s="3"/>
      <c r="AF171" s="3"/>
      <c r="AG171" s="3"/>
      <c r="AH171" s="3"/>
      <c r="AI171" s="3"/>
      <c r="AJ171" s="3"/>
      <c r="AK171" s="3"/>
      <c r="AL171" s="3"/>
      <c r="AM171" s="3"/>
      <c r="AN171" s="3"/>
      <c r="AO171" s="3"/>
      <c r="AP171" s="3"/>
    </row>
    <row r="172" spans="2:42" x14ac:dyDescent="0.25">
      <c r="B172" s="13"/>
      <c r="C172" s="56"/>
      <c r="D172" s="60"/>
      <c r="E172" s="56"/>
      <c r="F172" s="56"/>
      <c r="G172" s="56"/>
      <c r="H172" s="56"/>
      <c r="I172" s="14"/>
      <c r="J172" s="14"/>
      <c r="K172" s="14"/>
      <c r="L172" s="14"/>
      <c r="M172" s="14"/>
      <c r="N172" s="14"/>
      <c r="O172" s="14"/>
      <c r="P172" s="14"/>
      <c r="Q172" s="14"/>
      <c r="R172" s="14"/>
      <c r="S172" s="14"/>
      <c r="T172" s="14"/>
      <c r="U172" s="14"/>
      <c r="V172" s="14"/>
      <c r="W172" s="14"/>
      <c r="X172" s="14"/>
      <c r="Y172" s="14"/>
      <c r="Z172" s="14"/>
      <c r="AA172" s="14"/>
      <c r="AB172" s="15"/>
      <c r="AC172" s="3"/>
      <c r="AD172" s="3"/>
      <c r="AE172" s="3"/>
      <c r="AF172" s="3"/>
      <c r="AG172" s="3"/>
      <c r="AH172" s="3"/>
      <c r="AI172" s="3"/>
      <c r="AJ172" s="3"/>
      <c r="AK172" s="3"/>
      <c r="AL172" s="3"/>
      <c r="AM172" s="3"/>
      <c r="AN172" s="3"/>
      <c r="AO172" s="3"/>
      <c r="AP172" s="3"/>
    </row>
    <row r="173" spans="2:42" x14ac:dyDescent="0.25">
      <c r="B173" s="13"/>
      <c r="C173" s="14"/>
      <c r="D173" s="60"/>
      <c r="E173" s="56"/>
      <c r="F173" s="56"/>
      <c r="G173" s="14"/>
      <c r="H173" s="56"/>
      <c r="I173" s="14"/>
      <c r="J173" s="14"/>
      <c r="K173" s="14"/>
      <c r="L173" s="14"/>
      <c r="M173" s="14"/>
      <c r="N173" s="14"/>
      <c r="O173" s="14"/>
      <c r="P173" s="14"/>
      <c r="Q173" s="14"/>
      <c r="R173" s="14"/>
      <c r="S173" s="14"/>
      <c r="T173" s="14"/>
      <c r="U173" s="14"/>
      <c r="V173" s="14"/>
      <c r="W173" s="14"/>
      <c r="X173" s="14"/>
      <c r="Y173" s="14"/>
      <c r="Z173" s="14"/>
      <c r="AA173" s="14"/>
      <c r="AB173" s="15"/>
      <c r="AC173" s="3"/>
      <c r="AD173" s="3"/>
      <c r="AE173" s="3"/>
      <c r="AF173" s="3"/>
      <c r="AG173" s="3"/>
      <c r="AH173" s="3"/>
      <c r="AI173" s="3"/>
      <c r="AJ173" s="3"/>
      <c r="AK173" s="3"/>
      <c r="AL173" s="3"/>
      <c r="AM173" s="3"/>
      <c r="AN173" s="3"/>
      <c r="AO173" s="3"/>
      <c r="AP173" s="3"/>
    </row>
    <row r="174" spans="2:42" x14ac:dyDescent="0.25">
      <c r="B174" s="13"/>
      <c r="C174" s="14"/>
      <c r="D174" s="14"/>
      <c r="E174" s="56"/>
      <c r="F174" s="56"/>
      <c r="G174" s="14"/>
      <c r="H174" s="56"/>
      <c r="I174" s="14"/>
      <c r="J174" s="14"/>
      <c r="K174" s="14"/>
      <c r="L174" s="14"/>
      <c r="M174" s="14"/>
      <c r="N174" s="14"/>
      <c r="O174" s="14"/>
      <c r="P174" s="14"/>
      <c r="Q174" s="14"/>
      <c r="R174" s="14"/>
      <c r="S174" s="14"/>
      <c r="T174" s="14"/>
      <c r="U174" s="14"/>
      <c r="V174" s="14"/>
      <c r="W174" s="14"/>
      <c r="X174" s="14"/>
      <c r="Y174" s="14"/>
      <c r="Z174" s="14"/>
      <c r="AA174" s="14"/>
      <c r="AB174" s="15"/>
      <c r="AC174" s="3"/>
      <c r="AD174" s="3"/>
      <c r="AE174" s="3"/>
      <c r="AF174" s="3"/>
      <c r="AG174" s="3"/>
      <c r="AH174" s="3"/>
      <c r="AI174" s="3"/>
      <c r="AJ174" s="3"/>
      <c r="AK174" s="3"/>
      <c r="AL174" s="3"/>
      <c r="AM174" s="3"/>
      <c r="AN174" s="3"/>
      <c r="AO174" s="3"/>
      <c r="AP174" s="3"/>
    </row>
    <row r="175" spans="2:42" x14ac:dyDescent="0.25">
      <c r="B175" s="13"/>
      <c r="C175" s="14"/>
      <c r="D175" s="60"/>
      <c r="E175" s="56"/>
      <c r="F175" s="56"/>
      <c r="G175" s="14"/>
      <c r="H175" s="14"/>
      <c r="I175" s="14"/>
      <c r="J175" s="14"/>
      <c r="K175" s="14"/>
      <c r="L175" s="14"/>
      <c r="M175" s="14"/>
      <c r="N175" s="14"/>
      <c r="O175" s="14"/>
      <c r="P175" s="14"/>
      <c r="Q175" s="14"/>
      <c r="R175" s="14"/>
      <c r="S175" s="14"/>
      <c r="T175" s="14"/>
      <c r="U175" s="14"/>
      <c r="V175" s="14"/>
      <c r="W175" s="14"/>
      <c r="X175" s="14"/>
      <c r="Y175" s="14"/>
      <c r="Z175" s="14"/>
      <c r="AA175" s="14"/>
      <c r="AB175" s="15"/>
      <c r="AC175" s="3"/>
      <c r="AD175" s="3"/>
      <c r="AE175" s="3"/>
      <c r="AF175" s="3"/>
      <c r="AG175" s="3"/>
      <c r="AH175" s="3"/>
      <c r="AI175" s="3"/>
      <c r="AJ175" s="3"/>
      <c r="AK175" s="3"/>
      <c r="AL175" s="3"/>
      <c r="AM175" s="3"/>
      <c r="AN175" s="3"/>
      <c r="AO175" s="3"/>
      <c r="AP175" s="3"/>
    </row>
    <row r="176" spans="2:42" ht="18.75" x14ac:dyDescent="0.3">
      <c r="B176" s="67"/>
      <c r="C176" s="14"/>
      <c r="D176" s="60"/>
      <c r="E176" s="56"/>
      <c r="F176" s="56"/>
      <c r="G176" s="14"/>
      <c r="H176" s="56"/>
      <c r="I176" s="74"/>
      <c r="J176" s="14"/>
      <c r="K176" s="14"/>
      <c r="L176" s="14"/>
      <c r="M176" s="14"/>
      <c r="N176" s="14"/>
      <c r="O176" s="14"/>
      <c r="P176" s="14"/>
      <c r="Q176" s="14"/>
      <c r="R176" s="14"/>
      <c r="S176" s="14"/>
      <c r="T176" s="14"/>
      <c r="U176" s="14"/>
      <c r="V176" s="14"/>
      <c r="W176" s="14"/>
      <c r="X176" s="14"/>
      <c r="Y176" s="14"/>
      <c r="Z176" s="14"/>
      <c r="AA176" s="14"/>
      <c r="AB176" s="15"/>
      <c r="AC176" s="3"/>
      <c r="AD176" s="3"/>
      <c r="AE176" s="3"/>
      <c r="AF176" s="3"/>
      <c r="AG176" s="3"/>
      <c r="AH176" s="3"/>
      <c r="AI176" s="3"/>
      <c r="AJ176" s="3"/>
      <c r="AK176" s="3"/>
      <c r="AL176" s="3"/>
      <c r="AM176" s="3"/>
      <c r="AN176" s="3"/>
      <c r="AO176" s="3"/>
      <c r="AP176" s="3"/>
    </row>
    <row r="177" spans="2:42" x14ac:dyDescent="0.25">
      <c r="B177" s="13"/>
      <c r="C177" s="14"/>
      <c r="D177" s="60"/>
      <c r="E177" s="56"/>
      <c r="F177" s="56"/>
      <c r="G177" s="14"/>
      <c r="H177" s="56"/>
      <c r="I177" s="14"/>
      <c r="J177" s="14"/>
      <c r="K177" s="14"/>
      <c r="L177" s="14"/>
      <c r="M177" s="14"/>
      <c r="N177" s="14"/>
      <c r="O177" s="14"/>
      <c r="P177" s="14"/>
      <c r="Q177" s="14"/>
      <c r="R177" s="14"/>
      <c r="S177" s="14"/>
      <c r="T177" s="14"/>
      <c r="U177" s="14"/>
      <c r="V177" s="14"/>
      <c r="W177" s="14"/>
      <c r="X177" s="14"/>
      <c r="Y177" s="14"/>
      <c r="Z177" s="14"/>
      <c r="AA177" s="14"/>
      <c r="AB177" s="15"/>
      <c r="AC177" s="3"/>
      <c r="AD177" s="3"/>
      <c r="AE177" s="3"/>
      <c r="AF177" s="3"/>
      <c r="AG177" s="3"/>
      <c r="AH177" s="3"/>
      <c r="AI177" s="3"/>
      <c r="AJ177" s="3"/>
      <c r="AK177" s="3"/>
      <c r="AL177" s="3"/>
      <c r="AM177" s="3"/>
      <c r="AN177" s="3"/>
      <c r="AO177" s="3"/>
      <c r="AP177" s="3"/>
    </row>
    <row r="178" spans="2:42" x14ac:dyDescent="0.25">
      <c r="B178" s="13"/>
      <c r="C178" s="14"/>
      <c r="D178" s="60"/>
      <c r="E178" s="56"/>
      <c r="F178" s="56"/>
      <c r="G178" s="14"/>
      <c r="H178" s="56"/>
      <c r="I178" s="14"/>
      <c r="J178" s="14"/>
      <c r="K178" s="14"/>
      <c r="L178" s="14"/>
      <c r="M178" s="14"/>
      <c r="N178" s="14"/>
      <c r="O178" s="14"/>
      <c r="P178" s="14"/>
      <c r="Q178" s="14"/>
      <c r="R178" s="14"/>
      <c r="S178" s="14"/>
      <c r="T178" s="14"/>
      <c r="U178" s="14"/>
      <c r="V178" s="14"/>
      <c r="W178" s="14"/>
      <c r="X178" s="14"/>
      <c r="Y178" s="14"/>
      <c r="Z178" s="14"/>
      <c r="AA178" s="14"/>
      <c r="AB178" s="15"/>
      <c r="AC178" s="3"/>
      <c r="AD178" s="3"/>
      <c r="AE178" s="3"/>
      <c r="AF178" s="3"/>
      <c r="AG178" s="3"/>
      <c r="AH178" s="3"/>
      <c r="AI178" s="3"/>
      <c r="AJ178" s="3"/>
      <c r="AK178" s="3"/>
      <c r="AL178" s="3"/>
      <c r="AM178" s="3"/>
      <c r="AN178" s="3"/>
      <c r="AO178" s="3"/>
      <c r="AP178" s="3"/>
    </row>
    <row r="179" spans="2:42" x14ac:dyDescent="0.25">
      <c r="B179" s="13"/>
      <c r="C179" s="56"/>
      <c r="D179" s="60"/>
      <c r="E179" s="56"/>
      <c r="F179" s="56"/>
      <c r="G179" s="56"/>
      <c r="H179" s="56"/>
      <c r="I179" s="14"/>
      <c r="J179" s="14"/>
      <c r="K179" s="14"/>
      <c r="L179" s="14"/>
      <c r="M179" s="14"/>
      <c r="N179" s="14"/>
      <c r="O179" s="14"/>
      <c r="P179" s="14"/>
      <c r="Q179" s="14"/>
      <c r="R179" s="14"/>
      <c r="S179" s="14"/>
      <c r="T179" s="14"/>
      <c r="U179" s="14"/>
      <c r="V179" s="14"/>
      <c r="W179" s="14"/>
      <c r="X179" s="14"/>
      <c r="Y179" s="14"/>
      <c r="Z179" s="14"/>
      <c r="AA179" s="14"/>
      <c r="AB179" s="15"/>
      <c r="AC179" s="3"/>
      <c r="AD179" s="3"/>
      <c r="AE179" s="3"/>
      <c r="AF179" s="3"/>
      <c r="AG179" s="3"/>
      <c r="AH179" s="3"/>
      <c r="AI179" s="3"/>
      <c r="AJ179" s="3"/>
      <c r="AK179" s="3"/>
      <c r="AL179" s="3"/>
      <c r="AM179" s="3"/>
      <c r="AN179" s="3"/>
      <c r="AO179" s="3"/>
      <c r="AP179" s="3"/>
    </row>
    <row r="180" spans="2:42" x14ac:dyDescent="0.25">
      <c r="B180" s="13"/>
      <c r="C180" s="14"/>
      <c r="D180" s="60"/>
      <c r="E180" s="56"/>
      <c r="F180" s="56"/>
      <c r="G180" s="14"/>
      <c r="H180" s="56"/>
      <c r="I180" s="14"/>
      <c r="J180" s="14"/>
      <c r="K180" s="14"/>
      <c r="L180" s="14"/>
      <c r="M180" s="14"/>
      <c r="N180" s="14"/>
      <c r="O180" s="14"/>
      <c r="P180" s="14"/>
      <c r="Q180" s="14"/>
      <c r="R180" s="14"/>
      <c r="S180" s="14"/>
      <c r="T180" s="14"/>
      <c r="U180" s="14"/>
      <c r="V180" s="14"/>
      <c r="W180" s="14"/>
      <c r="X180" s="14"/>
      <c r="Y180" s="14"/>
      <c r="Z180" s="14"/>
      <c r="AA180" s="14"/>
      <c r="AB180" s="15"/>
      <c r="AC180" s="3"/>
      <c r="AD180" s="3"/>
      <c r="AE180" s="3"/>
      <c r="AF180" s="3"/>
      <c r="AG180" s="3"/>
      <c r="AH180" s="3"/>
      <c r="AI180" s="3"/>
      <c r="AJ180" s="3"/>
      <c r="AK180" s="3"/>
      <c r="AL180" s="3"/>
      <c r="AM180" s="3"/>
      <c r="AN180" s="3"/>
      <c r="AO180" s="3"/>
      <c r="AP180" s="3"/>
    </row>
    <row r="181" spans="2:42" x14ac:dyDescent="0.25">
      <c r="B181" s="13"/>
      <c r="C181" s="14"/>
      <c r="D181" s="14"/>
      <c r="E181" s="56"/>
      <c r="F181" s="56"/>
      <c r="G181" s="14"/>
      <c r="H181" s="56"/>
      <c r="I181" s="14"/>
      <c r="J181" s="14"/>
      <c r="K181" s="14"/>
      <c r="L181" s="14"/>
      <c r="M181" s="14"/>
      <c r="N181" s="14"/>
      <c r="O181" s="14"/>
      <c r="P181" s="14"/>
      <c r="Q181" s="14"/>
      <c r="R181" s="14"/>
      <c r="S181" s="14"/>
      <c r="T181" s="14"/>
      <c r="U181" s="14"/>
      <c r="V181" s="14"/>
      <c r="W181" s="14"/>
      <c r="X181" s="14"/>
      <c r="Y181" s="14"/>
      <c r="Z181" s="14"/>
      <c r="AA181" s="14"/>
      <c r="AB181" s="15"/>
      <c r="AC181" s="3"/>
      <c r="AD181" s="3"/>
      <c r="AE181" s="3"/>
      <c r="AF181" s="3"/>
      <c r="AG181" s="3"/>
      <c r="AH181" s="3"/>
      <c r="AI181" s="3"/>
      <c r="AJ181" s="3"/>
      <c r="AK181" s="3"/>
      <c r="AL181" s="3"/>
      <c r="AM181" s="3"/>
      <c r="AN181" s="3"/>
      <c r="AO181" s="3"/>
      <c r="AP181" s="3"/>
    </row>
    <row r="182" spans="2:42" x14ac:dyDescent="0.25">
      <c r="B182" s="13"/>
      <c r="C182" s="14"/>
      <c r="D182" s="60"/>
      <c r="E182" s="56"/>
      <c r="F182" s="56"/>
      <c r="G182" s="14"/>
      <c r="H182" s="14"/>
      <c r="I182" s="14"/>
      <c r="J182" s="14"/>
      <c r="K182" s="14"/>
      <c r="L182" s="14"/>
      <c r="M182" s="14"/>
      <c r="N182" s="14"/>
      <c r="O182" s="14"/>
      <c r="P182" s="14"/>
      <c r="Q182" s="14"/>
      <c r="R182" s="14"/>
      <c r="S182" s="14"/>
      <c r="T182" s="14"/>
      <c r="U182" s="14"/>
      <c r="V182" s="14"/>
      <c r="W182" s="14"/>
      <c r="X182" s="14"/>
      <c r="Y182" s="14"/>
      <c r="Z182" s="14"/>
      <c r="AA182" s="14"/>
      <c r="AB182" s="15"/>
      <c r="AC182" s="3"/>
      <c r="AD182" s="3"/>
      <c r="AE182" s="3"/>
      <c r="AF182" s="3"/>
      <c r="AG182" s="3"/>
      <c r="AH182" s="3"/>
      <c r="AI182" s="3"/>
      <c r="AJ182" s="3"/>
      <c r="AK182" s="3"/>
      <c r="AL182" s="3"/>
      <c r="AM182" s="3"/>
      <c r="AN182" s="3"/>
      <c r="AO182" s="3"/>
      <c r="AP182" s="3"/>
    </row>
    <row r="183" spans="2:42" x14ac:dyDescent="0.25">
      <c r="B183" s="13"/>
      <c r="C183" s="14"/>
      <c r="D183" s="60"/>
      <c r="E183" s="56"/>
      <c r="F183" s="56"/>
      <c r="G183" s="14"/>
      <c r="H183" s="56"/>
      <c r="I183" s="14"/>
      <c r="J183" s="14"/>
      <c r="K183" s="14"/>
      <c r="L183" s="14"/>
      <c r="M183" s="14"/>
      <c r="N183" s="14"/>
      <c r="O183" s="14"/>
      <c r="P183" s="14"/>
      <c r="Q183" s="14"/>
      <c r="R183" s="14"/>
      <c r="S183" s="14"/>
      <c r="T183" s="14"/>
      <c r="U183" s="14"/>
      <c r="V183" s="14"/>
      <c r="W183" s="14"/>
      <c r="X183" s="14"/>
      <c r="Y183" s="14"/>
      <c r="Z183" s="14"/>
      <c r="AA183" s="14"/>
      <c r="AB183" s="15"/>
      <c r="AC183" s="3"/>
      <c r="AD183" s="3"/>
      <c r="AE183" s="3"/>
      <c r="AF183" s="3"/>
      <c r="AG183" s="3"/>
      <c r="AH183" s="3"/>
      <c r="AI183" s="3"/>
      <c r="AJ183" s="3"/>
      <c r="AK183" s="3"/>
      <c r="AL183" s="3"/>
      <c r="AM183" s="3"/>
      <c r="AN183" s="3"/>
      <c r="AO183" s="3"/>
      <c r="AP183" s="3"/>
    </row>
    <row r="184" spans="2:42" ht="18.75" x14ac:dyDescent="0.3">
      <c r="B184" s="67"/>
      <c r="C184" s="14"/>
      <c r="D184" s="60"/>
      <c r="E184" s="56"/>
      <c r="F184" s="56"/>
      <c r="G184" s="14"/>
      <c r="H184" s="56"/>
      <c r="I184" s="74"/>
      <c r="J184" s="14"/>
      <c r="K184" s="14"/>
      <c r="L184" s="14"/>
      <c r="M184" s="14"/>
      <c r="N184" s="14"/>
      <c r="O184" s="14"/>
      <c r="P184" s="14"/>
      <c r="Q184" s="14"/>
      <c r="R184" s="14"/>
      <c r="S184" s="14"/>
      <c r="T184" s="14"/>
      <c r="U184" s="14"/>
      <c r="V184" s="14"/>
      <c r="W184" s="14"/>
      <c r="X184" s="14"/>
      <c r="Y184" s="14"/>
      <c r="Z184" s="14"/>
      <c r="AA184" s="14"/>
      <c r="AB184" s="15"/>
      <c r="AC184" s="3"/>
      <c r="AD184" s="3"/>
      <c r="AE184" s="3"/>
      <c r="AF184" s="3"/>
      <c r="AG184" s="3"/>
      <c r="AH184" s="3"/>
      <c r="AI184" s="3"/>
      <c r="AJ184" s="3"/>
      <c r="AK184" s="3"/>
      <c r="AL184" s="3"/>
      <c r="AM184" s="3"/>
      <c r="AN184" s="3"/>
      <c r="AO184" s="3"/>
      <c r="AP184" s="3"/>
    </row>
    <row r="185" spans="2:42" x14ac:dyDescent="0.25">
      <c r="B185" s="13"/>
      <c r="C185" s="14"/>
      <c r="D185" s="60"/>
      <c r="E185" s="56"/>
      <c r="F185" s="56"/>
      <c r="G185" s="14"/>
      <c r="H185" s="56"/>
      <c r="I185" s="14"/>
      <c r="J185" s="14"/>
      <c r="K185" s="14"/>
      <c r="L185" s="14"/>
      <c r="M185" s="14"/>
      <c r="N185" s="14"/>
      <c r="O185" s="14"/>
      <c r="P185" s="14"/>
      <c r="Q185" s="14"/>
      <c r="R185" s="14"/>
      <c r="S185" s="14"/>
      <c r="T185" s="14"/>
      <c r="U185" s="14"/>
      <c r="V185" s="14"/>
      <c r="W185" s="14"/>
      <c r="X185" s="14"/>
      <c r="Y185" s="14"/>
      <c r="Z185" s="14"/>
      <c r="AA185" s="14"/>
      <c r="AB185" s="15"/>
      <c r="AC185" s="3"/>
      <c r="AD185" s="3"/>
      <c r="AE185" s="3"/>
      <c r="AF185" s="3"/>
      <c r="AG185" s="3"/>
      <c r="AH185" s="3"/>
      <c r="AI185" s="3"/>
      <c r="AJ185" s="3"/>
      <c r="AK185" s="3"/>
      <c r="AL185" s="3"/>
      <c r="AM185" s="3"/>
      <c r="AN185" s="3"/>
      <c r="AO185" s="3"/>
      <c r="AP185" s="3"/>
    </row>
    <row r="186" spans="2:42" x14ac:dyDescent="0.25">
      <c r="B186" s="13"/>
      <c r="C186" s="56"/>
      <c r="D186" s="60"/>
      <c r="E186" s="56"/>
      <c r="F186" s="56"/>
      <c r="G186" s="56"/>
      <c r="H186" s="56"/>
      <c r="I186" s="14"/>
      <c r="J186" s="14"/>
      <c r="K186" s="14"/>
      <c r="L186" s="14"/>
      <c r="M186" s="14"/>
      <c r="N186" s="14"/>
      <c r="O186" s="14"/>
      <c r="P186" s="14"/>
      <c r="Q186" s="14"/>
      <c r="R186" s="14"/>
      <c r="S186" s="14"/>
      <c r="T186" s="14"/>
      <c r="U186" s="14"/>
      <c r="V186" s="14"/>
      <c r="W186" s="14"/>
      <c r="X186" s="14"/>
      <c r="Y186" s="14"/>
      <c r="Z186" s="14"/>
      <c r="AA186" s="14"/>
      <c r="AB186" s="15"/>
      <c r="AC186" s="3"/>
      <c r="AD186" s="3"/>
      <c r="AE186" s="3"/>
      <c r="AF186" s="3"/>
      <c r="AG186" s="3"/>
      <c r="AH186" s="3"/>
      <c r="AI186" s="3"/>
      <c r="AJ186" s="3"/>
      <c r="AK186" s="3"/>
      <c r="AL186" s="3"/>
      <c r="AM186" s="3"/>
      <c r="AN186" s="3"/>
      <c r="AO186" s="3"/>
      <c r="AP186" s="3"/>
    </row>
    <row r="187" spans="2:42" x14ac:dyDescent="0.25">
      <c r="B187" s="13"/>
      <c r="C187" s="14"/>
      <c r="D187" s="60"/>
      <c r="E187" s="56"/>
      <c r="F187" s="56"/>
      <c r="G187" s="14"/>
      <c r="H187" s="56"/>
      <c r="I187" s="14"/>
      <c r="J187" s="14"/>
      <c r="K187" s="14"/>
      <c r="L187" s="14"/>
      <c r="M187" s="14"/>
      <c r="N187" s="14"/>
      <c r="O187" s="14"/>
      <c r="P187" s="14"/>
      <c r="Q187" s="14"/>
      <c r="R187" s="14"/>
      <c r="S187" s="14"/>
      <c r="T187" s="14"/>
      <c r="U187" s="14"/>
      <c r="V187" s="14"/>
      <c r="W187" s="14"/>
      <c r="X187" s="14"/>
      <c r="Y187" s="14"/>
      <c r="Z187" s="14"/>
      <c r="AA187" s="14"/>
      <c r="AB187" s="15"/>
      <c r="AC187" s="3"/>
      <c r="AD187" s="3"/>
      <c r="AE187" s="3"/>
      <c r="AF187" s="3"/>
      <c r="AG187" s="3"/>
      <c r="AH187" s="3"/>
      <c r="AI187" s="3"/>
      <c r="AJ187" s="3"/>
      <c r="AK187" s="3"/>
      <c r="AL187" s="3"/>
      <c r="AM187" s="3"/>
      <c r="AN187" s="3"/>
      <c r="AO187" s="3"/>
      <c r="AP187" s="3"/>
    </row>
    <row r="188" spans="2:42" x14ac:dyDescent="0.25">
      <c r="B188" s="13"/>
      <c r="C188" s="14"/>
      <c r="D188" s="14"/>
      <c r="E188" s="56"/>
      <c r="F188" s="56"/>
      <c r="G188" s="14"/>
      <c r="H188" s="56"/>
      <c r="I188" s="14"/>
      <c r="J188" s="14"/>
      <c r="K188" s="14"/>
      <c r="L188" s="14"/>
      <c r="M188" s="14"/>
      <c r="N188" s="14"/>
      <c r="O188" s="14"/>
      <c r="P188" s="14"/>
      <c r="Q188" s="14"/>
      <c r="R188" s="14"/>
      <c r="S188" s="14"/>
      <c r="T188" s="14"/>
      <c r="U188" s="14"/>
      <c r="V188" s="14"/>
      <c r="W188" s="14"/>
      <c r="X188" s="14"/>
      <c r="Y188" s="14"/>
      <c r="Z188" s="14"/>
      <c r="AA188" s="14"/>
      <c r="AB188" s="15"/>
      <c r="AC188" s="3"/>
      <c r="AD188" s="3"/>
      <c r="AE188" s="3"/>
      <c r="AF188" s="3"/>
      <c r="AG188" s="3"/>
      <c r="AH188" s="3"/>
      <c r="AI188" s="3"/>
      <c r="AJ188" s="3"/>
      <c r="AK188" s="3"/>
      <c r="AL188" s="3"/>
      <c r="AM188" s="3"/>
      <c r="AN188" s="3"/>
      <c r="AO188" s="3"/>
      <c r="AP188" s="3"/>
    </row>
    <row r="189" spans="2:42" x14ac:dyDescent="0.25">
      <c r="B189" s="13"/>
      <c r="C189" s="14"/>
      <c r="D189" s="60"/>
      <c r="E189" s="56"/>
      <c r="F189" s="56"/>
      <c r="G189" s="14"/>
      <c r="H189" s="14"/>
      <c r="I189" s="14"/>
      <c r="J189" s="14"/>
      <c r="K189" s="14"/>
      <c r="L189" s="14"/>
      <c r="M189" s="14"/>
      <c r="N189" s="14"/>
      <c r="O189" s="14"/>
      <c r="P189" s="14"/>
      <c r="Q189" s="14"/>
      <c r="R189" s="14"/>
      <c r="S189" s="14"/>
      <c r="T189" s="14"/>
      <c r="U189" s="14"/>
      <c r="V189" s="14"/>
      <c r="W189" s="14"/>
      <c r="X189" s="14"/>
      <c r="Y189" s="14"/>
      <c r="Z189" s="14"/>
      <c r="AA189" s="14"/>
      <c r="AB189" s="15"/>
      <c r="AC189" s="3"/>
      <c r="AD189" s="3"/>
      <c r="AE189" s="3"/>
      <c r="AF189" s="3"/>
      <c r="AG189" s="3"/>
      <c r="AH189" s="3"/>
      <c r="AI189" s="3"/>
      <c r="AJ189" s="3"/>
      <c r="AK189" s="3"/>
      <c r="AL189" s="3"/>
      <c r="AM189" s="3"/>
      <c r="AN189" s="3"/>
      <c r="AO189" s="3"/>
      <c r="AP189" s="3"/>
    </row>
    <row r="190" spans="2:42" x14ac:dyDescent="0.25">
      <c r="B190" s="13"/>
      <c r="C190" s="14"/>
      <c r="D190" s="60"/>
      <c r="E190" s="56"/>
      <c r="F190" s="56"/>
      <c r="G190" s="14"/>
      <c r="H190" s="56"/>
      <c r="I190" s="14"/>
      <c r="J190" s="14"/>
      <c r="K190" s="14"/>
      <c r="L190" s="14"/>
      <c r="M190" s="14"/>
      <c r="N190" s="14"/>
      <c r="O190" s="14"/>
      <c r="P190" s="14"/>
      <c r="Q190" s="14"/>
      <c r="R190" s="14"/>
      <c r="S190" s="14"/>
      <c r="T190" s="14"/>
      <c r="U190" s="14"/>
      <c r="V190" s="14"/>
      <c r="W190" s="14"/>
      <c r="X190" s="14"/>
      <c r="Y190" s="14"/>
      <c r="Z190" s="14"/>
      <c r="AA190" s="14"/>
      <c r="AB190" s="15"/>
      <c r="AC190" s="3"/>
      <c r="AD190" s="3"/>
      <c r="AE190" s="3"/>
      <c r="AF190" s="3"/>
      <c r="AG190" s="3"/>
      <c r="AH190" s="3"/>
      <c r="AI190" s="3"/>
      <c r="AJ190" s="3"/>
      <c r="AK190" s="3"/>
      <c r="AL190" s="3"/>
      <c r="AM190" s="3"/>
      <c r="AN190" s="3"/>
      <c r="AO190" s="3"/>
      <c r="AP190" s="3"/>
    </row>
    <row r="191" spans="2:42" x14ac:dyDescent="0.25">
      <c r="B191" s="13"/>
      <c r="C191" s="14"/>
      <c r="D191" s="60"/>
      <c r="E191" s="56"/>
      <c r="F191" s="56"/>
      <c r="G191" s="14"/>
      <c r="H191" s="56"/>
      <c r="I191" s="14"/>
      <c r="J191" s="14"/>
      <c r="K191" s="14"/>
      <c r="L191" s="14"/>
      <c r="M191" s="14"/>
      <c r="N191" s="14"/>
      <c r="O191" s="14"/>
      <c r="P191" s="14"/>
      <c r="Q191" s="14"/>
      <c r="R191" s="14"/>
      <c r="S191" s="14"/>
      <c r="T191" s="14"/>
      <c r="U191" s="14"/>
      <c r="V191" s="14"/>
      <c r="W191" s="14"/>
      <c r="X191" s="14"/>
      <c r="Y191" s="14"/>
      <c r="Z191" s="14"/>
      <c r="AA191" s="14"/>
      <c r="AB191" s="15"/>
      <c r="AC191" s="3"/>
      <c r="AD191" s="3"/>
      <c r="AE191" s="3"/>
      <c r="AF191" s="3"/>
      <c r="AG191" s="3"/>
      <c r="AH191" s="3"/>
      <c r="AI191" s="3"/>
      <c r="AJ191" s="3"/>
      <c r="AK191" s="3"/>
      <c r="AL191" s="3"/>
      <c r="AM191" s="3"/>
      <c r="AN191" s="3"/>
      <c r="AO191" s="3"/>
      <c r="AP191" s="3"/>
    </row>
    <row r="192" spans="2:42" ht="18.75" x14ac:dyDescent="0.3">
      <c r="B192" s="67"/>
      <c r="C192" s="14"/>
      <c r="D192" s="60"/>
      <c r="E192" s="56"/>
      <c r="F192" s="56"/>
      <c r="G192" s="14"/>
      <c r="H192" s="56"/>
      <c r="I192" s="74"/>
      <c r="J192" s="14"/>
      <c r="K192" s="14"/>
      <c r="L192" s="14"/>
      <c r="M192" s="14"/>
      <c r="N192" s="14"/>
      <c r="O192" s="14"/>
      <c r="P192" s="14"/>
      <c r="Q192" s="14"/>
      <c r="R192" s="14"/>
      <c r="S192" s="14"/>
      <c r="T192" s="14"/>
      <c r="U192" s="14"/>
      <c r="V192" s="14"/>
      <c r="W192" s="14"/>
      <c r="X192" s="14"/>
      <c r="Y192" s="14"/>
      <c r="Z192" s="14"/>
      <c r="AA192" s="14"/>
      <c r="AB192" s="15"/>
      <c r="AC192" s="3"/>
      <c r="AD192" s="3"/>
      <c r="AE192" s="3"/>
      <c r="AF192" s="3"/>
      <c r="AG192" s="3"/>
      <c r="AH192" s="3"/>
      <c r="AI192" s="3"/>
      <c r="AJ192" s="3"/>
      <c r="AK192" s="3"/>
      <c r="AL192" s="3"/>
      <c r="AM192" s="3"/>
      <c r="AN192" s="3"/>
      <c r="AO192" s="3"/>
      <c r="AP192" s="3"/>
    </row>
    <row r="193" spans="2:42" x14ac:dyDescent="0.25">
      <c r="B193" s="13"/>
      <c r="C193" s="56"/>
      <c r="D193" s="60"/>
      <c r="E193" s="56"/>
      <c r="F193" s="56"/>
      <c r="G193" s="56"/>
      <c r="H193" s="56"/>
      <c r="I193" s="14"/>
      <c r="J193" s="14"/>
      <c r="K193" s="14"/>
      <c r="L193" s="14"/>
      <c r="M193" s="14"/>
      <c r="N193" s="14"/>
      <c r="O193" s="14"/>
      <c r="P193" s="14"/>
      <c r="Q193" s="14"/>
      <c r="R193" s="14"/>
      <c r="S193" s="14"/>
      <c r="T193" s="14"/>
      <c r="U193" s="14"/>
      <c r="V193" s="14"/>
      <c r="W193" s="14"/>
      <c r="X193" s="14"/>
      <c r="Y193" s="14"/>
      <c r="Z193" s="14"/>
      <c r="AA193" s="14"/>
      <c r="AB193" s="15"/>
      <c r="AC193" s="3"/>
      <c r="AD193" s="3"/>
      <c r="AE193" s="3"/>
      <c r="AF193" s="3"/>
      <c r="AG193" s="3"/>
      <c r="AH193" s="3"/>
      <c r="AI193" s="3"/>
      <c r="AJ193" s="3"/>
      <c r="AK193" s="3"/>
      <c r="AL193" s="3"/>
      <c r="AM193" s="3"/>
      <c r="AN193" s="3"/>
      <c r="AO193" s="3"/>
      <c r="AP193" s="3"/>
    </row>
    <row r="194" spans="2:42" x14ac:dyDescent="0.25">
      <c r="B194" s="13"/>
      <c r="C194" s="14"/>
      <c r="D194" s="60"/>
      <c r="E194" s="56"/>
      <c r="F194" s="56"/>
      <c r="G194" s="14"/>
      <c r="H194" s="56"/>
      <c r="I194" s="14"/>
      <c r="J194" s="14"/>
      <c r="K194" s="14"/>
      <c r="L194" s="14"/>
      <c r="M194" s="14"/>
      <c r="N194" s="14"/>
      <c r="O194" s="14"/>
      <c r="P194" s="14"/>
      <c r="Q194" s="14"/>
      <c r="R194" s="14"/>
      <c r="S194" s="14"/>
      <c r="T194" s="14"/>
      <c r="U194" s="14"/>
      <c r="V194" s="14"/>
      <c r="W194" s="14"/>
      <c r="X194" s="14"/>
      <c r="Y194" s="14"/>
      <c r="Z194" s="14"/>
      <c r="AA194" s="14"/>
      <c r="AB194" s="15"/>
      <c r="AC194" s="3"/>
      <c r="AD194" s="3"/>
      <c r="AE194" s="3"/>
      <c r="AF194" s="3"/>
      <c r="AG194" s="3"/>
      <c r="AH194" s="3"/>
      <c r="AI194" s="3"/>
      <c r="AJ194" s="3"/>
      <c r="AK194" s="3"/>
      <c r="AL194" s="3"/>
      <c r="AM194" s="3"/>
      <c r="AN194" s="3"/>
      <c r="AO194" s="3"/>
      <c r="AP194" s="3"/>
    </row>
    <row r="195" spans="2:42" x14ac:dyDescent="0.25">
      <c r="B195" s="13"/>
      <c r="C195" s="14"/>
      <c r="D195" s="14"/>
      <c r="E195" s="14"/>
      <c r="F195" s="14"/>
      <c r="G195" s="14"/>
      <c r="H195" s="56"/>
      <c r="I195" s="14"/>
      <c r="J195" s="14"/>
      <c r="K195" s="14"/>
      <c r="L195" s="14"/>
      <c r="M195" s="14"/>
      <c r="N195" s="14"/>
      <c r="O195" s="14"/>
      <c r="P195" s="14"/>
      <c r="Q195" s="14"/>
      <c r="R195" s="14"/>
      <c r="S195" s="14"/>
      <c r="T195" s="14"/>
      <c r="U195" s="14"/>
      <c r="V195" s="14"/>
      <c r="W195" s="14"/>
      <c r="X195" s="14"/>
      <c r="Y195" s="14"/>
      <c r="Z195" s="14"/>
      <c r="AA195" s="14"/>
      <c r="AB195" s="15"/>
      <c r="AC195" s="3"/>
      <c r="AD195" s="3"/>
      <c r="AE195" s="3"/>
      <c r="AF195" s="3"/>
      <c r="AG195" s="3"/>
      <c r="AH195" s="3"/>
      <c r="AI195" s="3"/>
      <c r="AJ195" s="3"/>
      <c r="AK195" s="3"/>
      <c r="AL195" s="3"/>
      <c r="AM195" s="3"/>
      <c r="AN195" s="3"/>
      <c r="AO195" s="3"/>
      <c r="AP195" s="3"/>
    </row>
    <row r="196" spans="2:42" x14ac:dyDescent="0.25">
      <c r="B196" s="13"/>
      <c r="C196" s="14"/>
      <c r="D196" s="60"/>
      <c r="E196" s="56"/>
      <c r="F196" s="56"/>
      <c r="G196" s="14"/>
      <c r="H196" s="14"/>
      <c r="I196" s="14"/>
      <c r="J196" s="14"/>
      <c r="K196" s="14"/>
      <c r="L196" s="14"/>
      <c r="M196" s="14"/>
      <c r="N196" s="14"/>
      <c r="O196" s="14"/>
      <c r="P196" s="14"/>
      <c r="Q196" s="14"/>
      <c r="R196" s="14"/>
      <c r="S196" s="14"/>
      <c r="T196" s="14"/>
      <c r="U196" s="14"/>
      <c r="V196" s="14"/>
      <c r="W196" s="14"/>
      <c r="X196" s="14"/>
      <c r="Y196" s="14"/>
      <c r="Z196" s="14"/>
      <c r="AA196" s="14"/>
      <c r="AB196" s="15"/>
      <c r="AC196" s="3"/>
      <c r="AD196" s="3"/>
      <c r="AE196" s="3"/>
      <c r="AF196" s="3"/>
      <c r="AG196" s="3"/>
      <c r="AH196" s="3"/>
      <c r="AI196" s="3"/>
      <c r="AJ196" s="3"/>
      <c r="AK196" s="3"/>
      <c r="AL196" s="3"/>
      <c r="AM196" s="3"/>
      <c r="AN196" s="3"/>
      <c r="AO196" s="3"/>
      <c r="AP196" s="3"/>
    </row>
    <row r="197" spans="2:42" x14ac:dyDescent="0.25">
      <c r="B197" s="13"/>
      <c r="C197" s="14"/>
      <c r="D197" s="60"/>
      <c r="E197" s="56"/>
      <c r="F197" s="56"/>
      <c r="G197" s="14"/>
      <c r="H197" s="56"/>
      <c r="I197" s="14"/>
      <c r="J197" s="14"/>
      <c r="K197" s="14"/>
      <c r="L197" s="14"/>
      <c r="M197" s="14"/>
      <c r="N197" s="14"/>
      <c r="O197" s="14"/>
      <c r="P197" s="14"/>
      <c r="Q197" s="14"/>
      <c r="R197" s="14"/>
      <c r="S197" s="14"/>
      <c r="T197" s="14"/>
      <c r="U197" s="14"/>
      <c r="V197" s="14"/>
      <c r="W197" s="14"/>
      <c r="X197" s="14"/>
      <c r="Y197" s="14"/>
      <c r="Z197" s="14"/>
      <c r="AA197" s="14"/>
      <c r="AB197" s="15"/>
      <c r="AC197" s="3"/>
      <c r="AD197" s="3"/>
      <c r="AE197" s="3"/>
      <c r="AF197" s="3"/>
      <c r="AG197" s="3"/>
      <c r="AH197" s="3"/>
      <c r="AI197" s="3"/>
      <c r="AJ197" s="3"/>
      <c r="AK197" s="3"/>
      <c r="AL197" s="3"/>
      <c r="AM197" s="3"/>
      <c r="AN197" s="3"/>
      <c r="AO197" s="3"/>
      <c r="AP197" s="3"/>
    </row>
    <row r="198" spans="2:42" x14ac:dyDescent="0.25">
      <c r="B198" s="13"/>
      <c r="C198" s="14"/>
      <c r="D198" s="60"/>
      <c r="E198" s="56"/>
      <c r="F198" s="56"/>
      <c r="G198" s="14"/>
      <c r="H198" s="56"/>
      <c r="I198" s="14"/>
      <c r="J198" s="14"/>
      <c r="K198" s="14"/>
      <c r="L198" s="14"/>
      <c r="M198" s="14"/>
      <c r="N198" s="14"/>
      <c r="O198" s="14"/>
      <c r="P198" s="14"/>
      <c r="Q198" s="14"/>
      <c r="R198" s="14"/>
      <c r="S198" s="14"/>
      <c r="T198" s="14"/>
      <c r="U198" s="14"/>
      <c r="V198" s="14"/>
      <c r="W198" s="14"/>
      <c r="X198" s="14"/>
      <c r="Y198" s="14"/>
      <c r="Z198" s="14"/>
      <c r="AA198" s="14"/>
      <c r="AB198" s="15"/>
      <c r="AC198" s="3"/>
      <c r="AD198" s="3"/>
      <c r="AE198" s="3"/>
      <c r="AF198" s="3"/>
      <c r="AG198" s="3"/>
      <c r="AH198" s="3"/>
      <c r="AI198" s="3"/>
      <c r="AJ198" s="3"/>
      <c r="AK198" s="3"/>
      <c r="AL198" s="3"/>
      <c r="AM198" s="3"/>
      <c r="AN198" s="3"/>
      <c r="AO198" s="3"/>
      <c r="AP198" s="3"/>
    </row>
    <row r="199" spans="2:42" x14ac:dyDescent="0.25">
      <c r="B199" s="13"/>
      <c r="C199" s="14"/>
      <c r="D199" s="60"/>
      <c r="E199" s="56"/>
      <c r="F199" s="56"/>
      <c r="G199" s="14"/>
      <c r="H199" s="56"/>
      <c r="I199" s="14"/>
      <c r="J199" s="14"/>
      <c r="K199" s="14"/>
      <c r="L199" s="14"/>
      <c r="M199" s="14"/>
      <c r="N199" s="14"/>
      <c r="O199" s="14"/>
      <c r="P199" s="14"/>
      <c r="Q199" s="14"/>
      <c r="R199" s="14"/>
      <c r="S199" s="14"/>
      <c r="T199" s="14"/>
      <c r="U199" s="14"/>
      <c r="V199" s="14"/>
      <c r="W199" s="14"/>
      <c r="X199" s="14"/>
      <c r="Y199" s="14"/>
      <c r="Z199" s="14"/>
      <c r="AA199" s="14"/>
      <c r="AB199" s="15"/>
      <c r="AC199" s="3"/>
      <c r="AD199" s="3"/>
      <c r="AE199" s="3"/>
      <c r="AF199" s="3"/>
      <c r="AG199" s="3"/>
      <c r="AH199" s="3"/>
      <c r="AI199" s="3"/>
      <c r="AJ199" s="3"/>
      <c r="AK199" s="3"/>
      <c r="AL199" s="3"/>
      <c r="AM199" s="3"/>
      <c r="AN199" s="3"/>
      <c r="AO199" s="3"/>
      <c r="AP199" s="3"/>
    </row>
    <row r="200" spans="2:42" x14ac:dyDescent="0.25">
      <c r="B200" s="13"/>
      <c r="C200" s="14"/>
      <c r="D200" s="60"/>
      <c r="E200" s="56"/>
      <c r="F200" s="56"/>
      <c r="G200" s="14"/>
      <c r="H200" s="56"/>
      <c r="I200" s="14"/>
      <c r="J200" s="14"/>
      <c r="K200" s="14"/>
      <c r="L200" s="14"/>
      <c r="M200" s="14"/>
      <c r="N200" s="14"/>
      <c r="O200" s="14"/>
      <c r="P200" s="14"/>
      <c r="Q200" s="14"/>
      <c r="R200" s="14"/>
      <c r="S200" s="14"/>
      <c r="T200" s="14"/>
      <c r="U200" s="14"/>
      <c r="V200" s="14"/>
      <c r="W200" s="14"/>
      <c r="X200" s="14"/>
      <c r="Y200" s="14"/>
      <c r="Z200" s="14"/>
      <c r="AA200" s="14"/>
      <c r="AB200" s="15"/>
      <c r="AC200" s="3"/>
      <c r="AD200" s="3"/>
      <c r="AE200" s="3"/>
      <c r="AF200" s="3"/>
      <c r="AG200" s="3"/>
      <c r="AH200" s="3"/>
      <c r="AI200" s="3"/>
      <c r="AJ200" s="3"/>
      <c r="AK200" s="3"/>
      <c r="AL200" s="3"/>
      <c r="AM200" s="3"/>
      <c r="AN200" s="3"/>
      <c r="AO200" s="3"/>
      <c r="AP200" s="3"/>
    </row>
    <row r="201" spans="2:42" x14ac:dyDescent="0.25">
      <c r="B201" s="13"/>
      <c r="C201" s="14"/>
      <c r="D201" s="60"/>
      <c r="E201" s="56"/>
      <c r="F201" s="56"/>
      <c r="G201" s="14"/>
      <c r="H201" s="56"/>
      <c r="I201" s="14"/>
      <c r="J201" s="14"/>
      <c r="K201" s="14"/>
      <c r="L201" s="14"/>
      <c r="M201" s="14"/>
      <c r="N201" s="14"/>
      <c r="O201" s="14"/>
      <c r="P201" s="14"/>
      <c r="Q201" s="14"/>
      <c r="R201" s="14"/>
      <c r="S201" s="14"/>
      <c r="T201" s="14"/>
      <c r="U201" s="14"/>
      <c r="V201" s="14"/>
      <c r="W201" s="14"/>
      <c r="X201" s="14"/>
      <c r="Y201" s="14"/>
      <c r="Z201" s="14"/>
      <c r="AA201" s="14"/>
      <c r="AB201" s="15"/>
      <c r="AC201" s="3"/>
      <c r="AD201" s="3"/>
      <c r="AE201" s="3"/>
      <c r="AF201" s="3"/>
      <c r="AG201" s="3"/>
      <c r="AH201" s="3"/>
      <c r="AI201" s="3"/>
      <c r="AJ201" s="3"/>
      <c r="AK201" s="3"/>
      <c r="AL201" s="3"/>
      <c r="AM201" s="3"/>
      <c r="AN201" s="3"/>
      <c r="AO201" s="3"/>
      <c r="AP201" s="3"/>
    </row>
    <row r="202" spans="2:42" x14ac:dyDescent="0.25">
      <c r="B202" s="13"/>
      <c r="C202" s="14"/>
      <c r="D202" s="14"/>
      <c r="E202" s="56"/>
      <c r="F202" s="56"/>
      <c r="G202" s="14"/>
      <c r="H202" s="56"/>
      <c r="I202" s="14"/>
      <c r="J202" s="14"/>
      <c r="K202" s="14"/>
      <c r="L202" s="14"/>
      <c r="M202" s="14"/>
      <c r="N202" s="14"/>
      <c r="O202" s="14"/>
      <c r="P202" s="14"/>
      <c r="Q202" s="14"/>
      <c r="R202" s="14"/>
      <c r="S202" s="14"/>
      <c r="T202" s="14"/>
      <c r="U202" s="14"/>
      <c r="V202" s="14"/>
      <c r="W202" s="14"/>
      <c r="X202" s="14"/>
      <c r="Y202" s="14"/>
      <c r="Z202" s="14"/>
      <c r="AA202" s="14"/>
      <c r="AB202" s="15"/>
      <c r="AC202" s="3"/>
      <c r="AD202" s="3"/>
      <c r="AE202" s="3"/>
      <c r="AF202" s="3"/>
      <c r="AG202" s="3"/>
      <c r="AH202" s="3"/>
      <c r="AI202" s="3"/>
      <c r="AJ202" s="3"/>
      <c r="AK202" s="3"/>
      <c r="AL202" s="3"/>
      <c r="AM202" s="3"/>
      <c r="AN202" s="3"/>
      <c r="AO202" s="3"/>
      <c r="AP202" s="3"/>
    </row>
    <row r="203" spans="2:42" x14ac:dyDescent="0.25">
      <c r="B203" s="13"/>
      <c r="C203" s="14"/>
      <c r="D203" s="60"/>
      <c r="E203" s="56"/>
      <c r="F203" s="56"/>
      <c r="G203" s="14"/>
      <c r="H203" s="14"/>
      <c r="I203" s="14"/>
      <c r="J203" s="14"/>
      <c r="K203" s="14"/>
      <c r="L203" s="14"/>
      <c r="M203" s="14"/>
      <c r="N203" s="14"/>
      <c r="O203" s="14"/>
      <c r="P203" s="14"/>
      <c r="Q203" s="14"/>
      <c r="R203" s="14"/>
      <c r="S203" s="14"/>
      <c r="T203" s="14"/>
      <c r="U203" s="14"/>
      <c r="V203" s="14"/>
      <c r="W203" s="14"/>
      <c r="X203" s="14"/>
      <c r="Y203" s="14"/>
      <c r="Z203" s="14"/>
      <c r="AA203" s="14"/>
      <c r="AB203" s="15"/>
      <c r="AC203" s="3"/>
      <c r="AD203" s="3"/>
      <c r="AE203" s="3"/>
      <c r="AF203" s="3"/>
      <c r="AG203" s="3"/>
      <c r="AH203" s="3"/>
      <c r="AI203" s="3"/>
      <c r="AJ203" s="3"/>
      <c r="AK203" s="3"/>
      <c r="AL203" s="3"/>
      <c r="AM203" s="3"/>
      <c r="AN203" s="3"/>
      <c r="AO203" s="3"/>
      <c r="AP203" s="3"/>
    </row>
    <row r="204" spans="2:42" x14ac:dyDescent="0.25">
      <c r="B204" s="13"/>
      <c r="C204" s="14"/>
      <c r="D204" s="60"/>
      <c r="E204" s="56"/>
      <c r="F204" s="56"/>
      <c r="G204" s="14"/>
      <c r="H204" s="56"/>
      <c r="I204" s="14"/>
      <c r="J204" s="14"/>
      <c r="K204" s="14"/>
      <c r="L204" s="14"/>
      <c r="M204" s="14"/>
      <c r="N204" s="14"/>
      <c r="O204" s="14"/>
      <c r="P204" s="14"/>
      <c r="Q204" s="14"/>
      <c r="R204" s="14"/>
      <c r="S204" s="14"/>
      <c r="T204" s="14"/>
      <c r="U204" s="14"/>
      <c r="V204" s="14"/>
      <c r="W204" s="14"/>
      <c r="X204" s="14"/>
      <c r="Y204" s="14"/>
      <c r="Z204" s="14"/>
      <c r="AA204" s="14"/>
      <c r="AB204" s="15"/>
      <c r="AC204" s="3"/>
      <c r="AD204" s="3"/>
      <c r="AE204" s="3"/>
      <c r="AF204" s="3"/>
      <c r="AG204" s="3"/>
      <c r="AH204" s="3"/>
      <c r="AI204" s="3"/>
      <c r="AJ204" s="3"/>
      <c r="AK204" s="3"/>
      <c r="AL204" s="3"/>
      <c r="AM204" s="3"/>
      <c r="AN204" s="3"/>
      <c r="AO204" s="3"/>
      <c r="AP204" s="3"/>
    </row>
    <row r="205" spans="2:42" x14ac:dyDescent="0.25">
      <c r="B205" s="13"/>
      <c r="C205" s="14"/>
      <c r="D205" s="60"/>
      <c r="E205" s="56"/>
      <c r="F205" s="56"/>
      <c r="G205" s="14"/>
      <c r="H205" s="56"/>
      <c r="I205" s="14"/>
      <c r="J205" s="14"/>
      <c r="K205" s="14"/>
      <c r="L205" s="14"/>
      <c r="M205" s="14"/>
      <c r="N205" s="14"/>
      <c r="O205" s="14"/>
      <c r="P205" s="14"/>
      <c r="Q205" s="14"/>
      <c r="R205" s="14"/>
      <c r="S205" s="14"/>
      <c r="T205" s="14"/>
      <c r="U205" s="14"/>
      <c r="V205" s="14"/>
      <c r="W205" s="14"/>
      <c r="X205" s="14"/>
      <c r="Y205" s="14"/>
      <c r="Z205" s="14"/>
      <c r="AA205" s="14"/>
      <c r="AB205" s="15"/>
      <c r="AC205" s="3"/>
      <c r="AD205" s="3"/>
      <c r="AE205" s="3"/>
      <c r="AF205" s="3"/>
      <c r="AG205" s="3"/>
      <c r="AH205" s="3"/>
      <c r="AI205" s="3"/>
      <c r="AJ205" s="3"/>
      <c r="AK205" s="3"/>
      <c r="AL205" s="3"/>
      <c r="AM205" s="3"/>
      <c r="AN205" s="3"/>
      <c r="AO205" s="3"/>
      <c r="AP205" s="3"/>
    </row>
    <row r="206" spans="2:42" x14ac:dyDescent="0.25">
      <c r="B206" s="13"/>
      <c r="C206" s="14"/>
      <c r="D206" s="60"/>
      <c r="E206" s="56"/>
      <c r="F206" s="56"/>
      <c r="G206" s="14"/>
      <c r="H206" s="56"/>
      <c r="I206" s="14"/>
      <c r="J206" s="14"/>
      <c r="K206" s="14"/>
      <c r="L206" s="14"/>
      <c r="M206" s="14"/>
      <c r="N206" s="14"/>
      <c r="O206" s="14"/>
      <c r="P206" s="14"/>
      <c r="Q206" s="14"/>
      <c r="R206" s="14"/>
      <c r="S206" s="14"/>
      <c r="T206" s="14"/>
      <c r="U206" s="14"/>
      <c r="V206" s="14"/>
      <c r="W206" s="14"/>
      <c r="X206" s="14"/>
      <c r="Y206" s="14"/>
      <c r="Z206" s="14"/>
      <c r="AA206" s="14"/>
      <c r="AB206" s="15"/>
      <c r="AC206" s="3"/>
      <c r="AD206" s="3"/>
      <c r="AE206" s="3"/>
      <c r="AF206" s="3"/>
      <c r="AG206" s="3"/>
      <c r="AH206" s="3"/>
      <c r="AI206" s="3"/>
      <c r="AJ206" s="3"/>
      <c r="AK206" s="3"/>
      <c r="AL206" s="3"/>
      <c r="AM206" s="3"/>
      <c r="AN206" s="3"/>
      <c r="AO206" s="3"/>
      <c r="AP206" s="3"/>
    </row>
    <row r="207" spans="2:42" x14ac:dyDescent="0.25">
      <c r="B207" s="70"/>
      <c r="C207" s="56"/>
      <c r="D207" s="60"/>
      <c r="E207" s="56"/>
      <c r="F207" s="56"/>
      <c r="G207" s="56"/>
      <c r="H207" s="56"/>
      <c r="I207" s="42"/>
      <c r="J207" s="14"/>
      <c r="K207" s="14"/>
      <c r="L207" s="14"/>
      <c r="M207" s="14"/>
      <c r="N207" s="14"/>
      <c r="O207" s="14"/>
      <c r="P207" s="14"/>
      <c r="Q207" s="14"/>
      <c r="R207" s="14"/>
      <c r="S207" s="14"/>
      <c r="T207" s="14"/>
      <c r="U207" s="14"/>
      <c r="V207" s="14"/>
      <c r="W207" s="14"/>
      <c r="X207" s="14"/>
      <c r="Y207" s="14"/>
      <c r="Z207" s="14"/>
      <c r="AA207" s="14"/>
      <c r="AB207" s="15"/>
      <c r="AC207" s="3"/>
      <c r="AD207" s="3"/>
      <c r="AE207" s="3"/>
      <c r="AF207" s="3"/>
      <c r="AG207" s="3"/>
      <c r="AH207" s="3"/>
      <c r="AI207" s="3"/>
      <c r="AJ207" s="3"/>
      <c r="AK207" s="3"/>
      <c r="AL207" s="3"/>
      <c r="AM207" s="3"/>
      <c r="AN207" s="3"/>
      <c r="AO207" s="3"/>
      <c r="AP207" s="3"/>
    </row>
    <row r="208" spans="2:42" ht="18.75" x14ac:dyDescent="0.3">
      <c r="B208" s="67"/>
      <c r="C208" s="14"/>
      <c r="D208" s="60"/>
      <c r="E208" s="56"/>
      <c r="F208" s="56"/>
      <c r="G208" s="14"/>
      <c r="H208" s="56"/>
      <c r="I208" s="74"/>
      <c r="J208" s="14"/>
      <c r="K208" s="14"/>
      <c r="L208" s="14"/>
      <c r="M208" s="14"/>
      <c r="N208" s="14"/>
      <c r="O208" s="14"/>
      <c r="P208" s="14"/>
      <c r="Q208" s="14"/>
      <c r="R208" s="14"/>
      <c r="S208" s="14"/>
      <c r="T208" s="14"/>
      <c r="U208" s="14"/>
      <c r="V208" s="14"/>
      <c r="W208" s="14"/>
      <c r="X208" s="14"/>
      <c r="Y208" s="14"/>
      <c r="Z208" s="14"/>
      <c r="AA208" s="14"/>
      <c r="AB208" s="15"/>
      <c r="AC208" s="3"/>
      <c r="AD208" s="3"/>
      <c r="AE208" s="3"/>
      <c r="AF208" s="3"/>
      <c r="AG208" s="3"/>
      <c r="AH208" s="3"/>
      <c r="AI208" s="3"/>
      <c r="AJ208" s="3"/>
      <c r="AK208" s="3"/>
      <c r="AL208" s="3"/>
      <c r="AM208" s="3"/>
      <c r="AN208" s="3"/>
      <c r="AO208" s="3"/>
      <c r="AP208" s="3"/>
    </row>
    <row r="209" spans="2:42" x14ac:dyDescent="0.25">
      <c r="B209" s="13"/>
      <c r="C209" s="14"/>
      <c r="D209" s="14"/>
      <c r="E209" s="56"/>
      <c r="F209" s="56"/>
      <c r="G209" s="14"/>
      <c r="H209" s="56"/>
      <c r="I209" s="14"/>
      <c r="J209" s="14"/>
      <c r="K209" s="14"/>
      <c r="L209" s="14"/>
      <c r="M209" s="14"/>
      <c r="N209" s="14"/>
      <c r="O209" s="14"/>
      <c r="P209" s="14"/>
      <c r="Q209" s="14"/>
      <c r="R209" s="14"/>
      <c r="S209" s="14"/>
      <c r="T209" s="14"/>
      <c r="U209" s="14"/>
      <c r="V209" s="14"/>
      <c r="W209" s="14"/>
      <c r="X209" s="14"/>
      <c r="Y209" s="14"/>
      <c r="Z209" s="14"/>
      <c r="AA209" s="14"/>
      <c r="AB209" s="15"/>
      <c r="AC209" s="3"/>
      <c r="AD209" s="3"/>
      <c r="AE209" s="3"/>
      <c r="AF209" s="3"/>
      <c r="AG209" s="3"/>
      <c r="AH209" s="3"/>
      <c r="AI209" s="3"/>
      <c r="AJ209" s="3"/>
      <c r="AK209" s="3"/>
      <c r="AL209" s="3"/>
      <c r="AM209" s="3"/>
      <c r="AN209" s="3"/>
      <c r="AO209" s="3"/>
      <c r="AP209" s="3"/>
    </row>
    <row r="210" spans="2:42" x14ac:dyDescent="0.25">
      <c r="B210" s="13"/>
      <c r="C210" s="14"/>
      <c r="D210" s="60"/>
      <c r="E210" s="56"/>
      <c r="F210" s="56"/>
      <c r="G210" s="14"/>
      <c r="H210" s="14"/>
      <c r="I210" s="14"/>
      <c r="J210" s="14"/>
      <c r="K210" s="14"/>
      <c r="L210" s="14"/>
      <c r="M210" s="14"/>
      <c r="N210" s="14"/>
      <c r="O210" s="14"/>
      <c r="P210" s="14"/>
      <c r="Q210" s="14"/>
      <c r="R210" s="14"/>
      <c r="S210" s="14"/>
      <c r="T210" s="14"/>
      <c r="U210" s="14"/>
      <c r="V210" s="14"/>
      <c r="W210" s="14"/>
      <c r="X210" s="14"/>
      <c r="Y210" s="14"/>
      <c r="Z210" s="14"/>
      <c r="AA210" s="14"/>
      <c r="AB210" s="15"/>
      <c r="AC210" s="3"/>
      <c r="AD210" s="3"/>
      <c r="AE210" s="3"/>
      <c r="AF210" s="3"/>
      <c r="AG210" s="3"/>
      <c r="AH210" s="3"/>
      <c r="AI210" s="3"/>
      <c r="AJ210" s="3"/>
      <c r="AK210" s="3"/>
      <c r="AL210" s="3"/>
      <c r="AM210" s="3"/>
      <c r="AN210" s="3"/>
      <c r="AO210" s="3"/>
      <c r="AP210" s="3"/>
    </row>
    <row r="211" spans="2:42" x14ac:dyDescent="0.25">
      <c r="B211" s="13"/>
      <c r="C211" s="14"/>
      <c r="D211" s="60"/>
      <c r="E211" s="56"/>
      <c r="F211" s="56"/>
      <c r="G211" s="14"/>
      <c r="H211" s="56"/>
      <c r="I211" s="14"/>
      <c r="J211" s="14"/>
      <c r="K211" s="14"/>
      <c r="L211" s="14"/>
      <c r="M211" s="14"/>
      <c r="N211" s="14"/>
      <c r="O211" s="14"/>
      <c r="P211" s="14"/>
      <c r="Q211" s="14"/>
      <c r="R211" s="14"/>
      <c r="S211" s="14"/>
      <c r="T211" s="14"/>
      <c r="U211" s="14"/>
      <c r="V211" s="14"/>
      <c r="W211" s="14"/>
      <c r="X211" s="14"/>
      <c r="Y211" s="14"/>
      <c r="Z211" s="14"/>
      <c r="AA211" s="14"/>
      <c r="AB211" s="15"/>
      <c r="AC211" s="3"/>
      <c r="AD211" s="3"/>
      <c r="AE211" s="3"/>
      <c r="AF211" s="3"/>
      <c r="AG211" s="3"/>
      <c r="AH211" s="3"/>
      <c r="AI211" s="3"/>
      <c r="AJ211" s="3"/>
      <c r="AK211" s="3"/>
      <c r="AL211" s="3"/>
      <c r="AM211" s="3"/>
      <c r="AN211" s="3"/>
      <c r="AO211" s="3"/>
      <c r="AP211" s="3"/>
    </row>
    <row r="212" spans="2:42" x14ac:dyDescent="0.25">
      <c r="B212" s="13"/>
      <c r="C212" s="14"/>
      <c r="D212" s="60"/>
      <c r="E212" s="56"/>
      <c r="F212" s="56"/>
      <c r="G212" s="14"/>
      <c r="H212" s="56"/>
      <c r="I212" s="14"/>
      <c r="J212" s="14"/>
      <c r="K212" s="14"/>
      <c r="L212" s="14"/>
      <c r="M212" s="14"/>
      <c r="N212" s="14"/>
      <c r="O212" s="14"/>
      <c r="P212" s="14"/>
      <c r="Q212" s="14"/>
      <c r="R212" s="14"/>
      <c r="S212" s="14"/>
      <c r="T212" s="14"/>
      <c r="U212" s="14"/>
      <c r="V212" s="14"/>
      <c r="W212" s="14"/>
      <c r="X212" s="14"/>
      <c r="Y212" s="14"/>
      <c r="Z212" s="14"/>
      <c r="AA212" s="14"/>
      <c r="AB212" s="15"/>
      <c r="AC212" s="3"/>
      <c r="AD212" s="3"/>
      <c r="AE212" s="3"/>
      <c r="AF212" s="3"/>
      <c r="AG212" s="3"/>
      <c r="AH212" s="3"/>
      <c r="AI212" s="3"/>
      <c r="AJ212" s="3"/>
      <c r="AK212" s="3"/>
      <c r="AL212" s="3"/>
      <c r="AM212" s="3"/>
      <c r="AN212" s="3"/>
      <c r="AO212" s="3"/>
      <c r="AP212" s="3"/>
    </row>
    <row r="213" spans="2:42" x14ac:dyDescent="0.25">
      <c r="B213" s="13"/>
      <c r="C213" s="14"/>
      <c r="D213" s="60"/>
      <c r="E213" s="56"/>
      <c r="F213" s="56"/>
      <c r="G213" s="14"/>
      <c r="H213" s="56"/>
      <c r="I213" s="14"/>
      <c r="J213" s="14"/>
      <c r="K213" s="14"/>
      <c r="L213" s="14"/>
      <c r="M213" s="14"/>
      <c r="N213" s="14"/>
      <c r="O213" s="14"/>
      <c r="P213" s="14"/>
      <c r="Q213" s="14"/>
      <c r="R213" s="14"/>
      <c r="S213" s="14"/>
      <c r="T213" s="14"/>
      <c r="U213" s="14"/>
      <c r="V213" s="14"/>
      <c r="W213" s="14"/>
      <c r="X213" s="14"/>
      <c r="Y213" s="14"/>
      <c r="Z213" s="14"/>
      <c r="AA213" s="14"/>
      <c r="AB213" s="15"/>
      <c r="AC213" s="3"/>
      <c r="AD213" s="3"/>
      <c r="AE213" s="3"/>
      <c r="AF213" s="3"/>
      <c r="AG213" s="3"/>
      <c r="AH213" s="3"/>
      <c r="AI213" s="3"/>
      <c r="AJ213" s="3"/>
      <c r="AK213" s="3"/>
      <c r="AL213" s="3"/>
      <c r="AM213" s="3"/>
      <c r="AN213" s="3"/>
      <c r="AO213" s="3"/>
      <c r="AP213" s="3"/>
    </row>
    <row r="214" spans="2:42" x14ac:dyDescent="0.25">
      <c r="B214" s="13"/>
      <c r="C214" s="14"/>
      <c r="D214" s="60"/>
      <c r="E214" s="56"/>
      <c r="F214" s="56"/>
      <c r="G214" s="14"/>
      <c r="H214" s="56"/>
      <c r="I214" s="14"/>
      <c r="J214" s="14"/>
      <c r="K214" s="14"/>
      <c r="L214" s="14"/>
      <c r="M214" s="14"/>
      <c r="N214" s="14"/>
      <c r="O214" s="14"/>
      <c r="P214" s="14"/>
      <c r="Q214" s="14"/>
      <c r="R214" s="14"/>
      <c r="S214" s="14"/>
      <c r="T214" s="14"/>
      <c r="U214" s="14"/>
      <c r="V214" s="14"/>
      <c r="W214" s="14"/>
      <c r="X214" s="14"/>
      <c r="Y214" s="14"/>
      <c r="Z214" s="14"/>
      <c r="AA214" s="14"/>
      <c r="AB214" s="15"/>
      <c r="AC214" s="3"/>
      <c r="AD214" s="3"/>
      <c r="AE214" s="3"/>
      <c r="AF214" s="3"/>
      <c r="AG214" s="3"/>
      <c r="AH214" s="3"/>
      <c r="AI214" s="3"/>
      <c r="AJ214" s="3"/>
      <c r="AK214" s="3"/>
      <c r="AL214" s="3"/>
      <c r="AM214" s="3"/>
      <c r="AN214" s="3"/>
      <c r="AO214" s="3"/>
      <c r="AP214" s="3"/>
    </row>
    <row r="215" spans="2:42" x14ac:dyDescent="0.25">
      <c r="B215" s="13"/>
      <c r="C215" s="14"/>
      <c r="D215" s="60"/>
      <c r="E215" s="56"/>
      <c r="F215" s="56"/>
      <c r="G215" s="14"/>
      <c r="H215" s="56"/>
      <c r="I215" s="14"/>
      <c r="J215" s="14"/>
      <c r="K215" s="14"/>
      <c r="L215" s="14"/>
      <c r="M215" s="14"/>
      <c r="N215" s="14"/>
      <c r="O215" s="14"/>
      <c r="P215" s="14"/>
      <c r="Q215" s="14"/>
      <c r="R215" s="14"/>
      <c r="S215" s="14"/>
      <c r="T215" s="14"/>
      <c r="U215" s="14"/>
      <c r="V215" s="14"/>
      <c r="W215" s="14"/>
      <c r="X215" s="14"/>
      <c r="Y215" s="14"/>
      <c r="Z215" s="14"/>
      <c r="AA215" s="14"/>
      <c r="AB215" s="15"/>
      <c r="AC215" s="3"/>
      <c r="AD215" s="3"/>
      <c r="AE215" s="3"/>
      <c r="AF215" s="3"/>
      <c r="AG215" s="3"/>
      <c r="AH215" s="3"/>
      <c r="AI215" s="3"/>
      <c r="AJ215" s="3"/>
      <c r="AK215" s="3"/>
      <c r="AL215" s="3"/>
      <c r="AM215" s="3"/>
      <c r="AN215" s="3"/>
      <c r="AO215" s="3"/>
      <c r="AP215" s="3"/>
    </row>
    <row r="216" spans="2:42" x14ac:dyDescent="0.25">
      <c r="B216" s="13"/>
      <c r="C216" s="14"/>
      <c r="D216" s="14"/>
      <c r="E216" s="56"/>
      <c r="F216" s="56"/>
      <c r="G216" s="14"/>
      <c r="H216" s="56"/>
      <c r="I216" s="14"/>
      <c r="J216" s="14"/>
      <c r="K216" s="14"/>
      <c r="L216" s="14"/>
      <c r="M216" s="14"/>
      <c r="N216" s="14"/>
      <c r="O216" s="14"/>
      <c r="P216" s="14"/>
      <c r="Q216" s="14"/>
      <c r="R216" s="14"/>
      <c r="S216" s="14"/>
      <c r="T216" s="14"/>
      <c r="U216" s="14"/>
      <c r="V216" s="14"/>
      <c r="W216" s="14"/>
      <c r="X216" s="14"/>
      <c r="Y216" s="14"/>
      <c r="Z216" s="14"/>
      <c r="AA216" s="14"/>
      <c r="AB216" s="15"/>
      <c r="AC216" s="3"/>
      <c r="AD216" s="3"/>
      <c r="AE216" s="3"/>
      <c r="AF216" s="3"/>
      <c r="AG216" s="3"/>
      <c r="AH216" s="3"/>
      <c r="AI216" s="3"/>
      <c r="AJ216" s="3"/>
      <c r="AK216" s="3"/>
      <c r="AL216" s="3"/>
      <c r="AM216" s="3"/>
      <c r="AN216" s="3"/>
      <c r="AO216" s="3"/>
      <c r="AP216" s="3"/>
    </row>
    <row r="217" spans="2:42" x14ac:dyDescent="0.25">
      <c r="B217" s="13"/>
      <c r="C217" s="14"/>
      <c r="D217" s="60"/>
      <c r="E217" s="56"/>
      <c r="F217" s="56"/>
      <c r="G217" s="14"/>
      <c r="H217" s="14"/>
      <c r="I217" s="14"/>
      <c r="J217" s="14"/>
      <c r="K217" s="14"/>
      <c r="L217" s="14"/>
      <c r="M217" s="14"/>
      <c r="N217" s="14"/>
      <c r="O217" s="14"/>
      <c r="P217" s="14"/>
      <c r="Q217" s="14"/>
      <c r="R217" s="14"/>
      <c r="S217" s="14"/>
      <c r="T217" s="14"/>
      <c r="U217" s="14"/>
      <c r="V217" s="14"/>
      <c r="W217" s="14"/>
      <c r="X217" s="14"/>
      <c r="Y217" s="14"/>
      <c r="Z217" s="14"/>
      <c r="AA217" s="14"/>
      <c r="AB217" s="15"/>
      <c r="AC217" s="3"/>
      <c r="AD217" s="3"/>
      <c r="AE217" s="3"/>
      <c r="AF217" s="3"/>
      <c r="AG217" s="3"/>
      <c r="AH217" s="3"/>
      <c r="AI217" s="3"/>
      <c r="AJ217" s="3"/>
      <c r="AK217" s="3"/>
      <c r="AL217" s="3"/>
      <c r="AM217" s="3"/>
      <c r="AN217" s="3"/>
      <c r="AO217" s="3"/>
      <c r="AP217" s="3"/>
    </row>
    <row r="218" spans="2:42" x14ac:dyDescent="0.25">
      <c r="B218" s="13"/>
      <c r="C218" s="14"/>
      <c r="D218" s="60"/>
      <c r="E218" s="56"/>
      <c r="F218" s="56"/>
      <c r="G218" s="14"/>
      <c r="H218" s="56"/>
      <c r="I218" s="14"/>
      <c r="J218" s="14"/>
      <c r="K218" s="14"/>
      <c r="L218" s="14"/>
      <c r="M218" s="14"/>
      <c r="N218" s="14"/>
      <c r="O218" s="14"/>
      <c r="P218" s="14"/>
      <c r="Q218" s="14"/>
      <c r="R218" s="14"/>
      <c r="S218" s="14"/>
      <c r="T218" s="14"/>
      <c r="U218" s="14"/>
      <c r="V218" s="14"/>
      <c r="W218" s="14"/>
      <c r="X218" s="14"/>
      <c r="Y218" s="14"/>
      <c r="Z218" s="14"/>
      <c r="AA218" s="14"/>
      <c r="AB218" s="15"/>
      <c r="AC218" s="3"/>
      <c r="AD218" s="3"/>
      <c r="AE218" s="3"/>
      <c r="AF218" s="3"/>
      <c r="AG218" s="3"/>
      <c r="AH218" s="3"/>
      <c r="AI218" s="3"/>
      <c r="AJ218" s="3"/>
      <c r="AK218" s="3"/>
      <c r="AL218" s="3"/>
      <c r="AM218" s="3"/>
      <c r="AN218" s="3"/>
      <c r="AO218" s="3"/>
      <c r="AP218" s="3"/>
    </row>
    <row r="219" spans="2:42" x14ac:dyDescent="0.25">
      <c r="B219" s="13"/>
      <c r="C219" s="14"/>
      <c r="D219" s="60"/>
      <c r="E219" s="56"/>
      <c r="F219" s="56"/>
      <c r="G219" s="14"/>
      <c r="H219" s="56"/>
      <c r="I219" s="14"/>
      <c r="J219" s="14"/>
      <c r="K219" s="14"/>
      <c r="L219" s="14"/>
      <c r="M219" s="14"/>
      <c r="N219" s="14"/>
      <c r="O219" s="14"/>
      <c r="P219" s="14"/>
      <c r="Q219" s="14"/>
      <c r="R219" s="14"/>
      <c r="S219" s="14"/>
      <c r="T219" s="14"/>
      <c r="U219" s="14"/>
      <c r="V219" s="14"/>
      <c r="W219" s="14"/>
      <c r="X219" s="14"/>
      <c r="Y219" s="14"/>
      <c r="Z219" s="14"/>
      <c r="AA219" s="14"/>
      <c r="AB219" s="15"/>
      <c r="AC219" s="3"/>
      <c r="AD219" s="3"/>
      <c r="AE219" s="3"/>
      <c r="AF219" s="3"/>
      <c r="AG219" s="3"/>
      <c r="AH219" s="3"/>
      <c r="AI219" s="3"/>
      <c r="AJ219" s="3"/>
      <c r="AK219" s="3"/>
      <c r="AL219" s="3"/>
      <c r="AM219" s="3"/>
      <c r="AN219" s="3"/>
      <c r="AO219" s="3"/>
      <c r="AP219" s="3"/>
    </row>
    <row r="220" spans="2:42" x14ac:dyDescent="0.25">
      <c r="B220" s="13"/>
      <c r="C220" s="14"/>
      <c r="D220" s="60"/>
      <c r="E220" s="56"/>
      <c r="F220" s="56"/>
      <c r="G220" s="14"/>
      <c r="H220" s="56"/>
      <c r="I220" s="14"/>
      <c r="J220" s="14"/>
      <c r="K220" s="14"/>
      <c r="L220" s="14"/>
      <c r="M220" s="14"/>
      <c r="N220" s="14"/>
      <c r="O220" s="14"/>
      <c r="P220" s="14"/>
      <c r="Q220" s="14"/>
      <c r="R220" s="14"/>
      <c r="S220" s="14"/>
      <c r="T220" s="14"/>
      <c r="U220" s="14"/>
      <c r="V220" s="14"/>
      <c r="W220" s="14"/>
      <c r="X220" s="14"/>
      <c r="Y220" s="14"/>
      <c r="Z220" s="14"/>
      <c r="AA220" s="14"/>
      <c r="AB220" s="15"/>
      <c r="AC220" s="3"/>
      <c r="AD220" s="3"/>
      <c r="AE220" s="3"/>
      <c r="AF220" s="3"/>
      <c r="AG220" s="3"/>
      <c r="AH220" s="3"/>
      <c r="AI220" s="3"/>
      <c r="AJ220" s="3"/>
      <c r="AK220" s="3"/>
      <c r="AL220" s="3"/>
      <c r="AM220" s="3"/>
      <c r="AN220" s="3"/>
      <c r="AO220" s="3"/>
      <c r="AP220" s="3"/>
    </row>
    <row r="221" spans="2:42" x14ac:dyDescent="0.25">
      <c r="B221" s="70"/>
      <c r="C221" s="56"/>
      <c r="D221" s="60"/>
      <c r="E221" s="56"/>
      <c r="F221" s="56"/>
      <c r="G221" s="56"/>
      <c r="H221" s="56"/>
      <c r="I221" s="42"/>
      <c r="J221" s="14"/>
      <c r="K221" s="14"/>
      <c r="L221" s="14"/>
      <c r="M221" s="14"/>
      <c r="N221" s="14"/>
      <c r="O221" s="14"/>
      <c r="P221" s="14"/>
      <c r="Q221" s="14"/>
      <c r="R221" s="14"/>
      <c r="S221" s="14"/>
      <c r="T221" s="14"/>
      <c r="U221" s="14"/>
      <c r="V221" s="14"/>
      <c r="W221" s="14"/>
      <c r="X221" s="14"/>
      <c r="Y221" s="14"/>
      <c r="Z221" s="14"/>
      <c r="AA221" s="14"/>
      <c r="AB221" s="15"/>
      <c r="AC221" s="3"/>
      <c r="AD221" s="3"/>
      <c r="AE221" s="3"/>
      <c r="AF221" s="3"/>
      <c r="AG221" s="3"/>
      <c r="AH221" s="3"/>
      <c r="AI221" s="3"/>
      <c r="AJ221" s="3"/>
      <c r="AK221" s="3"/>
      <c r="AL221" s="3"/>
      <c r="AM221" s="3"/>
      <c r="AN221" s="3"/>
      <c r="AO221" s="3"/>
      <c r="AP221" s="3"/>
    </row>
    <row r="222" spans="2:42" x14ac:dyDescent="0.25">
      <c r="B222" s="13"/>
      <c r="C222" s="14"/>
      <c r="D222" s="60"/>
      <c r="E222" s="56"/>
      <c r="F222" s="56"/>
      <c r="G222" s="14"/>
      <c r="H222" s="56"/>
      <c r="I222" s="14"/>
      <c r="J222" s="14"/>
      <c r="K222" s="14"/>
      <c r="L222" s="14"/>
      <c r="M222" s="14"/>
      <c r="N222" s="14"/>
      <c r="O222" s="14"/>
      <c r="P222" s="14"/>
      <c r="Q222" s="14"/>
      <c r="R222" s="14"/>
      <c r="S222" s="14"/>
      <c r="T222" s="14"/>
      <c r="U222" s="14"/>
      <c r="V222" s="14"/>
      <c r="W222" s="14"/>
      <c r="X222" s="14"/>
      <c r="Y222" s="14"/>
      <c r="Z222" s="14"/>
      <c r="AA222" s="14"/>
      <c r="AB222" s="15"/>
      <c r="AC222" s="3"/>
      <c r="AD222" s="3"/>
      <c r="AE222" s="3"/>
      <c r="AF222" s="3"/>
      <c r="AG222" s="3"/>
      <c r="AH222" s="3"/>
      <c r="AI222" s="3"/>
      <c r="AJ222" s="3"/>
      <c r="AK222" s="3"/>
      <c r="AL222" s="3"/>
      <c r="AM222" s="3"/>
      <c r="AN222" s="3"/>
      <c r="AO222" s="3"/>
      <c r="AP222" s="3"/>
    </row>
    <row r="223" spans="2:42" x14ac:dyDescent="0.25">
      <c r="B223" s="13"/>
      <c r="C223" s="14"/>
      <c r="D223" s="14"/>
      <c r="E223" s="56"/>
      <c r="F223" s="56"/>
      <c r="G223" s="14"/>
      <c r="H223" s="56"/>
      <c r="I223" s="14"/>
      <c r="J223" s="14"/>
      <c r="K223" s="14"/>
      <c r="L223" s="14"/>
      <c r="M223" s="14"/>
      <c r="N223" s="14"/>
      <c r="O223" s="14"/>
      <c r="P223" s="14"/>
      <c r="Q223" s="14"/>
      <c r="R223" s="14"/>
      <c r="S223" s="14"/>
      <c r="T223" s="14"/>
      <c r="U223" s="14"/>
      <c r="V223" s="14"/>
      <c r="W223" s="14"/>
      <c r="X223" s="14"/>
      <c r="Y223" s="14"/>
      <c r="Z223" s="14"/>
      <c r="AA223" s="14"/>
      <c r="AB223" s="15"/>
      <c r="AC223" s="3"/>
      <c r="AD223" s="3"/>
      <c r="AE223" s="3"/>
      <c r="AF223" s="3"/>
      <c r="AG223" s="3"/>
      <c r="AH223" s="3"/>
      <c r="AI223" s="3"/>
      <c r="AJ223" s="3"/>
      <c r="AK223" s="3"/>
      <c r="AL223" s="3"/>
      <c r="AM223" s="3"/>
      <c r="AN223" s="3"/>
      <c r="AO223" s="3"/>
      <c r="AP223" s="3"/>
    </row>
    <row r="224" spans="2:42" x14ac:dyDescent="0.25">
      <c r="B224" s="13"/>
      <c r="C224" s="14"/>
      <c r="D224" s="60"/>
      <c r="E224" s="56"/>
      <c r="F224" s="56"/>
      <c r="G224" s="14"/>
      <c r="H224" s="14"/>
      <c r="I224" s="14"/>
      <c r="J224" s="14"/>
      <c r="K224" s="14"/>
      <c r="L224" s="14"/>
      <c r="M224" s="14"/>
      <c r="N224" s="14"/>
      <c r="O224" s="14"/>
      <c r="P224" s="14"/>
      <c r="Q224" s="14"/>
      <c r="R224" s="14"/>
      <c r="S224" s="14"/>
      <c r="T224" s="14"/>
      <c r="U224" s="14"/>
      <c r="V224" s="14"/>
      <c r="W224" s="14"/>
      <c r="X224" s="14"/>
      <c r="Y224" s="14"/>
      <c r="Z224" s="14"/>
      <c r="AA224" s="14"/>
      <c r="AB224" s="15"/>
      <c r="AC224" s="3"/>
      <c r="AD224" s="3"/>
      <c r="AE224" s="3"/>
      <c r="AF224" s="3"/>
      <c r="AG224" s="3"/>
      <c r="AH224" s="3"/>
      <c r="AI224" s="3"/>
      <c r="AJ224" s="3"/>
      <c r="AK224" s="3"/>
      <c r="AL224" s="3"/>
      <c r="AM224" s="3"/>
      <c r="AN224" s="3"/>
      <c r="AO224" s="3"/>
      <c r="AP224" s="3"/>
    </row>
    <row r="225" spans="2:42" x14ac:dyDescent="0.25">
      <c r="B225" s="13"/>
      <c r="C225" s="14"/>
      <c r="D225" s="60"/>
      <c r="E225" s="56"/>
      <c r="F225" s="56"/>
      <c r="G225" s="14"/>
      <c r="H225" s="56"/>
      <c r="I225" s="14"/>
      <c r="J225" s="14"/>
      <c r="K225" s="14"/>
      <c r="L225" s="14"/>
      <c r="M225" s="14"/>
      <c r="N225" s="14"/>
      <c r="O225" s="14"/>
      <c r="P225" s="14"/>
      <c r="Q225" s="14"/>
      <c r="R225" s="14"/>
      <c r="S225" s="14"/>
      <c r="T225" s="14"/>
      <c r="U225" s="14"/>
      <c r="V225" s="14"/>
      <c r="W225" s="14"/>
      <c r="X225" s="14"/>
      <c r="Y225" s="14"/>
      <c r="Z225" s="14"/>
      <c r="AA225" s="14"/>
      <c r="AB225" s="15"/>
      <c r="AC225" s="3"/>
      <c r="AD225" s="3"/>
      <c r="AE225" s="3"/>
      <c r="AF225" s="3"/>
      <c r="AG225" s="3"/>
      <c r="AH225" s="3"/>
      <c r="AI225" s="3"/>
      <c r="AJ225" s="3"/>
      <c r="AK225" s="3"/>
      <c r="AL225" s="3"/>
      <c r="AM225" s="3"/>
      <c r="AN225" s="3"/>
      <c r="AO225" s="3"/>
      <c r="AP225" s="3"/>
    </row>
    <row r="226" spans="2:42" x14ac:dyDescent="0.25">
      <c r="B226" s="13"/>
      <c r="C226" s="14"/>
      <c r="D226" s="60"/>
      <c r="E226" s="56"/>
      <c r="F226" s="56"/>
      <c r="G226" s="14"/>
      <c r="H226" s="56"/>
      <c r="I226" s="14"/>
      <c r="J226" s="14"/>
      <c r="K226" s="14"/>
      <c r="L226" s="14"/>
      <c r="M226" s="14"/>
      <c r="N226" s="14"/>
      <c r="O226" s="14"/>
      <c r="P226" s="14"/>
      <c r="Q226" s="14"/>
      <c r="R226" s="14"/>
      <c r="S226" s="14"/>
      <c r="T226" s="14"/>
      <c r="U226" s="14"/>
      <c r="V226" s="14"/>
      <c r="W226" s="14"/>
      <c r="X226" s="14"/>
      <c r="Y226" s="14"/>
      <c r="Z226" s="14"/>
      <c r="AA226" s="14"/>
      <c r="AB226" s="15"/>
      <c r="AC226" s="3"/>
      <c r="AD226" s="3"/>
      <c r="AE226" s="3"/>
      <c r="AF226" s="3"/>
      <c r="AG226" s="3"/>
      <c r="AH226" s="3"/>
      <c r="AI226" s="3"/>
      <c r="AJ226" s="3"/>
      <c r="AK226" s="3"/>
      <c r="AL226" s="3"/>
      <c r="AM226" s="3"/>
      <c r="AN226" s="3"/>
      <c r="AO226" s="3"/>
      <c r="AP226" s="3"/>
    </row>
    <row r="227" spans="2:42" x14ac:dyDescent="0.25">
      <c r="B227" s="13"/>
      <c r="C227" s="14"/>
      <c r="D227" s="60"/>
      <c r="E227" s="56"/>
      <c r="F227" s="56"/>
      <c r="G227" s="14"/>
      <c r="H227" s="56"/>
      <c r="I227" s="14"/>
      <c r="J227" s="14"/>
      <c r="K227" s="14"/>
      <c r="L227" s="14"/>
      <c r="M227" s="14"/>
      <c r="N227" s="14"/>
      <c r="O227" s="14"/>
      <c r="P227" s="14"/>
      <c r="Q227" s="14"/>
      <c r="R227" s="14"/>
      <c r="S227" s="14"/>
      <c r="T227" s="14"/>
      <c r="U227" s="14"/>
      <c r="V227" s="14"/>
      <c r="W227" s="14"/>
      <c r="X227" s="14"/>
      <c r="Y227" s="14"/>
      <c r="Z227" s="14"/>
      <c r="AA227" s="14"/>
      <c r="AB227" s="15"/>
      <c r="AC227" s="3"/>
      <c r="AD227" s="3"/>
      <c r="AE227" s="3"/>
      <c r="AF227" s="3"/>
      <c r="AG227" s="3"/>
      <c r="AH227" s="3"/>
      <c r="AI227" s="3"/>
      <c r="AJ227" s="3"/>
      <c r="AK227" s="3"/>
      <c r="AL227" s="3"/>
      <c r="AM227" s="3"/>
      <c r="AN227" s="3"/>
      <c r="AO227" s="3"/>
      <c r="AP227" s="3"/>
    </row>
    <row r="228" spans="2:42" x14ac:dyDescent="0.25">
      <c r="B228" s="70"/>
      <c r="C228" s="56"/>
      <c r="D228" s="60"/>
      <c r="E228" s="56"/>
      <c r="F228" s="56"/>
      <c r="G228" s="56"/>
      <c r="H228" s="56"/>
      <c r="I228" s="42"/>
      <c r="J228" s="14"/>
      <c r="K228" s="14"/>
      <c r="L228" s="14"/>
      <c r="M228" s="14"/>
      <c r="N228" s="14"/>
      <c r="O228" s="14"/>
      <c r="P228" s="14"/>
      <c r="Q228" s="14"/>
      <c r="R228" s="14"/>
      <c r="S228" s="14"/>
      <c r="T228" s="14"/>
      <c r="U228" s="14"/>
      <c r="V228" s="14"/>
      <c r="W228" s="14"/>
      <c r="X228" s="14"/>
      <c r="Y228" s="14"/>
      <c r="Z228" s="14"/>
      <c r="AA228" s="14"/>
      <c r="AB228" s="15"/>
      <c r="AC228" s="3"/>
      <c r="AD228" s="3"/>
      <c r="AE228" s="3"/>
      <c r="AF228" s="3"/>
      <c r="AG228" s="3"/>
      <c r="AH228" s="3"/>
      <c r="AI228" s="3"/>
      <c r="AJ228" s="3"/>
      <c r="AK228" s="3"/>
      <c r="AL228" s="3"/>
      <c r="AM228" s="3"/>
      <c r="AN228" s="3"/>
      <c r="AO228" s="3"/>
      <c r="AP228" s="3"/>
    </row>
    <row r="229" spans="2:42" x14ac:dyDescent="0.25">
      <c r="B229" s="70"/>
      <c r="C229" s="56"/>
      <c r="D229" s="60"/>
      <c r="E229" s="56"/>
      <c r="F229" s="56"/>
      <c r="G229" s="56"/>
      <c r="H229" s="56"/>
      <c r="I229" s="42"/>
      <c r="J229" s="14"/>
      <c r="K229" s="14"/>
      <c r="L229" s="14"/>
      <c r="M229" s="14"/>
      <c r="N229" s="14"/>
      <c r="O229" s="14"/>
      <c r="P229" s="14"/>
      <c r="Q229" s="14"/>
      <c r="R229" s="14"/>
      <c r="S229" s="14"/>
      <c r="T229" s="14"/>
      <c r="U229" s="14"/>
      <c r="V229" s="14"/>
      <c r="W229" s="14"/>
      <c r="X229" s="14"/>
      <c r="Y229" s="14"/>
      <c r="Z229" s="14"/>
      <c r="AA229" s="14"/>
      <c r="AB229" s="15"/>
      <c r="AC229" s="3"/>
      <c r="AD229" s="3"/>
      <c r="AE229" s="3"/>
      <c r="AF229" s="3"/>
      <c r="AG229" s="3"/>
      <c r="AH229" s="3"/>
      <c r="AI229" s="3"/>
      <c r="AJ229" s="3"/>
      <c r="AK229" s="3"/>
      <c r="AL229" s="3"/>
      <c r="AM229" s="3"/>
      <c r="AN229" s="3"/>
      <c r="AO229" s="3"/>
      <c r="AP229" s="3"/>
    </row>
    <row r="230" spans="2:42" x14ac:dyDescent="0.25">
      <c r="B230" s="13"/>
      <c r="C230" s="14"/>
      <c r="D230" s="14"/>
      <c r="E230" s="56"/>
      <c r="F230" s="56"/>
      <c r="G230" s="14"/>
      <c r="H230" s="56"/>
      <c r="I230" s="14"/>
      <c r="J230" s="14"/>
      <c r="K230" s="14"/>
      <c r="L230" s="14"/>
      <c r="M230" s="14"/>
      <c r="N230" s="14"/>
      <c r="O230" s="14"/>
      <c r="P230" s="14"/>
      <c r="Q230" s="14"/>
      <c r="R230" s="14"/>
      <c r="S230" s="14"/>
      <c r="T230" s="14"/>
      <c r="U230" s="14"/>
      <c r="V230" s="14"/>
      <c r="W230" s="14"/>
      <c r="X230" s="14"/>
      <c r="Y230" s="14"/>
      <c r="Z230" s="14"/>
      <c r="AA230" s="14"/>
      <c r="AB230" s="15"/>
      <c r="AC230" s="3"/>
      <c r="AD230" s="3"/>
      <c r="AE230" s="3"/>
      <c r="AF230" s="3"/>
      <c r="AG230" s="3"/>
      <c r="AH230" s="3"/>
      <c r="AI230" s="3"/>
      <c r="AJ230" s="3"/>
      <c r="AK230" s="3"/>
      <c r="AL230" s="3"/>
      <c r="AM230" s="3"/>
      <c r="AN230" s="3"/>
      <c r="AO230" s="3"/>
      <c r="AP230" s="3"/>
    </row>
    <row r="231" spans="2:42" x14ac:dyDescent="0.25">
      <c r="B231" s="13"/>
      <c r="C231" s="14"/>
      <c r="D231" s="60"/>
      <c r="E231" s="56"/>
      <c r="F231" s="56"/>
      <c r="G231" s="14"/>
      <c r="H231" s="56"/>
      <c r="I231" s="14"/>
      <c r="J231" s="14"/>
      <c r="K231" s="14"/>
      <c r="L231" s="14"/>
      <c r="M231" s="14"/>
      <c r="N231" s="14"/>
      <c r="O231" s="14"/>
      <c r="P231" s="14"/>
      <c r="Q231" s="14"/>
      <c r="R231" s="14"/>
      <c r="S231" s="14"/>
      <c r="T231" s="14"/>
      <c r="U231" s="14"/>
      <c r="V231" s="14"/>
      <c r="W231" s="14"/>
      <c r="X231" s="14"/>
      <c r="Y231" s="14"/>
      <c r="Z231" s="14"/>
      <c r="AA231" s="14"/>
      <c r="AB231" s="15"/>
      <c r="AC231" s="3"/>
      <c r="AD231" s="3"/>
      <c r="AE231" s="3"/>
      <c r="AF231" s="3"/>
      <c r="AG231" s="3"/>
      <c r="AH231" s="3"/>
      <c r="AI231" s="3"/>
      <c r="AJ231" s="3"/>
      <c r="AK231" s="3"/>
      <c r="AL231" s="3"/>
      <c r="AM231" s="3"/>
      <c r="AN231" s="3"/>
      <c r="AO231" s="3"/>
      <c r="AP231" s="3"/>
    </row>
    <row r="232" spans="2:42" x14ac:dyDescent="0.25">
      <c r="B232" s="13"/>
      <c r="C232" s="14"/>
      <c r="D232" s="60"/>
      <c r="E232" s="56"/>
      <c r="F232" s="56"/>
      <c r="G232" s="14"/>
      <c r="H232" s="56"/>
      <c r="I232" s="14"/>
      <c r="J232" s="14"/>
      <c r="K232" s="14"/>
      <c r="L232" s="14"/>
      <c r="M232" s="14"/>
      <c r="N232" s="14"/>
      <c r="O232" s="14"/>
      <c r="P232" s="14"/>
      <c r="Q232" s="14"/>
      <c r="R232" s="14"/>
      <c r="S232" s="14"/>
      <c r="T232" s="14"/>
      <c r="U232" s="14"/>
      <c r="V232" s="14"/>
      <c r="W232" s="14"/>
      <c r="X232" s="14"/>
      <c r="Y232" s="14"/>
      <c r="Z232" s="14"/>
      <c r="AA232" s="14"/>
      <c r="AB232" s="15"/>
      <c r="AC232" s="3"/>
      <c r="AD232" s="3"/>
      <c r="AE232" s="3"/>
      <c r="AF232" s="3"/>
      <c r="AG232" s="3"/>
      <c r="AH232" s="3"/>
      <c r="AI232" s="3"/>
      <c r="AJ232" s="3"/>
      <c r="AK232" s="3"/>
      <c r="AL232" s="3"/>
      <c r="AM232" s="3"/>
      <c r="AN232" s="3"/>
      <c r="AO232" s="3"/>
      <c r="AP232" s="3"/>
    </row>
    <row r="233" spans="2:42" x14ac:dyDescent="0.25">
      <c r="B233" s="13"/>
      <c r="C233" s="14"/>
      <c r="D233" s="60"/>
      <c r="E233" s="56"/>
      <c r="F233" s="56"/>
      <c r="G233" s="14"/>
      <c r="H233" s="56"/>
      <c r="I233" s="14"/>
      <c r="J233" s="14"/>
      <c r="K233" s="14"/>
      <c r="L233" s="14"/>
      <c r="M233" s="14"/>
      <c r="N233" s="14"/>
      <c r="O233" s="14"/>
      <c r="P233" s="14"/>
      <c r="Q233" s="14"/>
      <c r="R233" s="14"/>
      <c r="S233" s="14"/>
      <c r="T233" s="14"/>
      <c r="U233" s="14"/>
      <c r="V233" s="14"/>
      <c r="W233" s="14"/>
      <c r="X233" s="14"/>
      <c r="Y233" s="14"/>
      <c r="Z233" s="14"/>
      <c r="AA233" s="14"/>
      <c r="AB233" s="15"/>
      <c r="AC233" s="3"/>
      <c r="AD233" s="3"/>
      <c r="AE233" s="3"/>
      <c r="AF233" s="3"/>
      <c r="AG233" s="3"/>
      <c r="AH233" s="3"/>
      <c r="AI233" s="3"/>
      <c r="AJ233" s="3"/>
      <c r="AK233" s="3"/>
      <c r="AL233" s="3"/>
      <c r="AM233" s="3"/>
      <c r="AN233" s="3"/>
      <c r="AO233" s="3"/>
      <c r="AP233" s="3"/>
    </row>
    <row r="234" spans="2:42" x14ac:dyDescent="0.25">
      <c r="B234" s="13"/>
      <c r="C234" s="14"/>
      <c r="D234" s="60"/>
      <c r="E234" s="56"/>
      <c r="F234" s="56"/>
      <c r="G234" s="14"/>
      <c r="H234" s="56"/>
      <c r="I234" s="14"/>
      <c r="J234" s="14"/>
      <c r="K234" s="14"/>
      <c r="L234" s="14"/>
      <c r="M234" s="14"/>
      <c r="N234" s="14"/>
      <c r="O234" s="14"/>
      <c r="P234" s="14"/>
      <c r="Q234" s="14"/>
      <c r="R234" s="14"/>
      <c r="S234" s="14"/>
      <c r="T234" s="14"/>
      <c r="U234" s="14"/>
      <c r="V234" s="14"/>
      <c r="W234" s="14"/>
      <c r="X234" s="14"/>
      <c r="Y234" s="14"/>
      <c r="Z234" s="14"/>
      <c r="AA234" s="14"/>
      <c r="AB234" s="15"/>
      <c r="AC234" s="3"/>
      <c r="AD234" s="3"/>
      <c r="AE234" s="3"/>
      <c r="AF234" s="3"/>
      <c r="AG234" s="3"/>
      <c r="AH234" s="3"/>
      <c r="AI234" s="3"/>
      <c r="AJ234" s="3"/>
      <c r="AK234" s="3"/>
      <c r="AL234" s="3"/>
      <c r="AM234" s="3"/>
      <c r="AN234" s="3"/>
      <c r="AO234" s="3"/>
      <c r="AP234" s="3"/>
    </row>
    <row r="235" spans="2:42" x14ac:dyDescent="0.25">
      <c r="B235" s="13"/>
      <c r="C235" s="14"/>
      <c r="D235" s="60"/>
      <c r="E235" s="56"/>
      <c r="F235" s="56"/>
      <c r="G235" s="128"/>
      <c r="H235" s="56"/>
      <c r="I235" s="14"/>
      <c r="J235" s="14"/>
      <c r="K235" s="14"/>
      <c r="L235" s="14"/>
      <c r="M235" s="14"/>
      <c r="N235" s="14"/>
      <c r="O235" s="14"/>
      <c r="P235" s="14"/>
      <c r="Q235" s="14"/>
      <c r="R235" s="14"/>
      <c r="S235" s="14"/>
      <c r="T235" s="14"/>
      <c r="U235" s="14"/>
      <c r="V235" s="14"/>
      <c r="W235" s="14"/>
      <c r="X235" s="14"/>
      <c r="Y235" s="14"/>
      <c r="Z235" s="14"/>
      <c r="AA235" s="14"/>
      <c r="AB235" s="15"/>
      <c r="AC235" s="3"/>
      <c r="AD235" s="3"/>
      <c r="AE235" s="3"/>
      <c r="AF235" s="3"/>
      <c r="AG235" s="3"/>
      <c r="AH235" s="3"/>
      <c r="AI235" s="3"/>
      <c r="AJ235" s="3"/>
      <c r="AK235" s="3"/>
      <c r="AL235" s="3"/>
      <c r="AM235" s="3"/>
      <c r="AN235" s="3"/>
      <c r="AO235" s="3"/>
      <c r="AP235" s="3"/>
    </row>
    <row r="236" spans="2:42" x14ac:dyDescent="0.25">
      <c r="B236" s="13"/>
      <c r="C236" s="14"/>
      <c r="D236" s="60"/>
      <c r="E236" s="56"/>
      <c r="F236" s="56"/>
      <c r="G236" s="14"/>
      <c r="H236" s="56"/>
      <c r="I236" s="14"/>
      <c r="J236" s="14"/>
      <c r="K236" s="14"/>
      <c r="L236" s="14"/>
      <c r="M236" s="14"/>
      <c r="N236" s="14"/>
      <c r="O236" s="14"/>
      <c r="P236" s="14"/>
      <c r="Q236" s="14"/>
      <c r="R236" s="14"/>
      <c r="S236" s="14"/>
      <c r="T236" s="14"/>
      <c r="U236" s="14"/>
      <c r="V236" s="14"/>
      <c r="W236" s="14"/>
      <c r="X236" s="14"/>
      <c r="Y236" s="14"/>
      <c r="Z236" s="14"/>
      <c r="AA236" s="14"/>
      <c r="AB236" s="15"/>
      <c r="AC236" s="3"/>
      <c r="AD236" s="3"/>
      <c r="AE236" s="3"/>
      <c r="AF236" s="3"/>
      <c r="AG236" s="3"/>
      <c r="AH236" s="3"/>
      <c r="AI236" s="3"/>
      <c r="AJ236" s="3"/>
      <c r="AK236" s="3"/>
      <c r="AL236" s="3"/>
      <c r="AM236" s="3"/>
      <c r="AN236" s="3"/>
      <c r="AO236" s="3"/>
      <c r="AP236" s="3"/>
    </row>
    <row r="237" spans="2:42" x14ac:dyDescent="0.25">
      <c r="B237" s="13"/>
      <c r="C237" s="14"/>
      <c r="D237" s="14"/>
      <c r="E237" s="56"/>
      <c r="F237" s="56"/>
      <c r="G237" s="14"/>
      <c r="H237" s="56"/>
      <c r="I237" s="14"/>
      <c r="J237" s="14"/>
      <c r="K237" s="14"/>
      <c r="L237" s="14"/>
      <c r="M237" s="14"/>
      <c r="N237" s="14"/>
      <c r="O237" s="14"/>
      <c r="P237" s="14"/>
      <c r="Q237" s="14"/>
      <c r="R237" s="14"/>
      <c r="S237" s="14"/>
      <c r="T237" s="14"/>
      <c r="U237" s="14"/>
      <c r="V237" s="14"/>
      <c r="W237" s="14"/>
      <c r="X237" s="14"/>
      <c r="Y237" s="14"/>
      <c r="Z237" s="14"/>
      <c r="AA237" s="14"/>
      <c r="AB237" s="15"/>
      <c r="AC237" s="3"/>
      <c r="AD237" s="3"/>
      <c r="AE237" s="3"/>
      <c r="AF237" s="3"/>
      <c r="AG237" s="3"/>
      <c r="AH237" s="3"/>
      <c r="AI237" s="3"/>
      <c r="AJ237" s="3"/>
      <c r="AK237" s="3"/>
      <c r="AL237" s="3"/>
      <c r="AM237" s="3"/>
      <c r="AN237" s="3"/>
      <c r="AO237" s="3"/>
      <c r="AP237" s="3"/>
    </row>
    <row r="238" spans="2:42" x14ac:dyDescent="0.25">
      <c r="B238" s="13"/>
      <c r="C238" s="14"/>
      <c r="D238" s="60"/>
      <c r="E238" s="56"/>
      <c r="F238" s="56"/>
      <c r="G238" s="14"/>
      <c r="H238" s="56"/>
      <c r="I238" s="14"/>
      <c r="J238" s="14"/>
      <c r="K238" s="14"/>
      <c r="L238" s="14"/>
      <c r="M238" s="14"/>
      <c r="N238" s="14"/>
      <c r="O238" s="14"/>
      <c r="P238" s="14"/>
      <c r="Q238" s="14"/>
      <c r="R238" s="14"/>
      <c r="S238" s="14"/>
      <c r="T238" s="14"/>
      <c r="U238" s="14"/>
      <c r="V238" s="14"/>
      <c r="W238" s="14"/>
      <c r="X238" s="14"/>
      <c r="Y238" s="14"/>
      <c r="Z238" s="14"/>
      <c r="AA238" s="14"/>
      <c r="AB238" s="15"/>
      <c r="AC238" s="3"/>
      <c r="AD238" s="3"/>
      <c r="AE238" s="3"/>
      <c r="AF238" s="3"/>
      <c r="AG238" s="3"/>
      <c r="AH238" s="3"/>
      <c r="AI238" s="3"/>
      <c r="AJ238" s="3"/>
      <c r="AK238" s="3"/>
      <c r="AL238" s="3"/>
      <c r="AM238" s="3"/>
      <c r="AN238" s="3"/>
      <c r="AO238" s="3"/>
      <c r="AP238" s="3"/>
    </row>
    <row r="239" spans="2:42" x14ac:dyDescent="0.25">
      <c r="B239" s="13"/>
      <c r="C239" s="14"/>
      <c r="D239" s="60"/>
      <c r="E239" s="56"/>
      <c r="F239" s="56"/>
      <c r="G239" s="14"/>
      <c r="H239" s="56"/>
      <c r="I239" s="14"/>
      <c r="J239" s="14"/>
      <c r="K239" s="14"/>
      <c r="L239" s="14"/>
      <c r="M239" s="14"/>
      <c r="N239" s="14"/>
      <c r="O239" s="14"/>
      <c r="P239" s="14"/>
      <c r="Q239" s="14"/>
      <c r="R239" s="14"/>
      <c r="S239" s="14"/>
      <c r="T239" s="14"/>
      <c r="U239" s="14"/>
      <c r="V239" s="14"/>
      <c r="W239" s="14"/>
      <c r="X239" s="14"/>
      <c r="Y239" s="14"/>
      <c r="Z239" s="14"/>
      <c r="AA239" s="14"/>
      <c r="AB239" s="15"/>
      <c r="AC239" s="3"/>
      <c r="AD239" s="3"/>
      <c r="AE239" s="3"/>
      <c r="AF239" s="3"/>
      <c r="AG239" s="3"/>
      <c r="AH239" s="3"/>
      <c r="AI239" s="3"/>
      <c r="AJ239" s="3"/>
      <c r="AK239" s="3"/>
      <c r="AL239" s="3"/>
      <c r="AM239" s="3"/>
      <c r="AN239" s="3"/>
      <c r="AO239" s="3"/>
      <c r="AP239" s="3"/>
    </row>
    <row r="240" spans="2:42" x14ac:dyDescent="0.25">
      <c r="B240" s="13"/>
      <c r="C240" s="14"/>
      <c r="D240" s="60"/>
      <c r="E240" s="56"/>
      <c r="F240" s="56"/>
      <c r="G240" s="14"/>
      <c r="H240" s="56"/>
      <c r="I240" s="14"/>
      <c r="J240" s="14"/>
      <c r="K240" s="14"/>
      <c r="L240" s="14"/>
      <c r="M240" s="14"/>
      <c r="N240" s="14"/>
      <c r="O240" s="14"/>
      <c r="P240" s="14"/>
      <c r="Q240" s="14"/>
      <c r="R240" s="14"/>
      <c r="S240" s="14"/>
      <c r="T240" s="14"/>
      <c r="U240" s="14"/>
      <c r="V240" s="14"/>
      <c r="W240" s="14"/>
      <c r="X240" s="14"/>
      <c r="Y240" s="14"/>
      <c r="Z240" s="14"/>
      <c r="AA240" s="14"/>
      <c r="AB240" s="15"/>
      <c r="AC240" s="3"/>
      <c r="AD240" s="3"/>
      <c r="AE240" s="3"/>
      <c r="AF240" s="3"/>
      <c r="AG240" s="3"/>
      <c r="AH240" s="3"/>
      <c r="AI240" s="3"/>
      <c r="AJ240" s="3"/>
      <c r="AK240" s="3"/>
      <c r="AL240" s="3"/>
      <c r="AM240" s="3"/>
      <c r="AN240" s="3"/>
      <c r="AO240" s="3"/>
      <c r="AP240" s="3"/>
    </row>
    <row r="241" spans="2:42" x14ac:dyDescent="0.25">
      <c r="B241" s="13"/>
      <c r="C241" s="14"/>
      <c r="D241" s="60"/>
      <c r="E241" s="56"/>
      <c r="F241" s="56"/>
      <c r="G241" s="14"/>
      <c r="H241" s="56"/>
      <c r="I241" s="14"/>
      <c r="J241" s="14"/>
      <c r="K241" s="14"/>
      <c r="L241" s="14"/>
      <c r="M241" s="14"/>
      <c r="N241" s="14"/>
      <c r="O241" s="14"/>
      <c r="P241" s="14"/>
      <c r="Q241" s="14"/>
      <c r="R241" s="14"/>
      <c r="S241" s="14"/>
      <c r="T241" s="14"/>
      <c r="U241" s="14"/>
      <c r="V241" s="14"/>
      <c r="W241" s="14"/>
      <c r="X241" s="14"/>
      <c r="Y241" s="14"/>
      <c r="Z241" s="14"/>
      <c r="AA241" s="14"/>
      <c r="AB241" s="15"/>
      <c r="AC241" s="3"/>
      <c r="AD241" s="3"/>
      <c r="AE241" s="3"/>
      <c r="AF241" s="3"/>
      <c r="AG241" s="3"/>
      <c r="AH241" s="3"/>
      <c r="AI241" s="3"/>
      <c r="AJ241" s="3"/>
      <c r="AK241" s="3"/>
      <c r="AL241" s="3"/>
      <c r="AM241" s="3"/>
      <c r="AN241" s="3"/>
      <c r="AO241" s="3"/>
      <c r="AP241" s="3"/>
    </row>
    <row r="242" spans="2:42" x14ac:dyDescent="0.25">
      <c r="B242" s="13"/>
      <c r="C242" s="14"/>
      <c r="D242" s="60"/>
      <c r="E242" s="56"/>
      <c r="F242" s="56"/>
      <c r="G242" s="128"/>
      <c r="H242" s="56"/>
      <c r="I242" s="14"/>
      <c r="J242" s="14"/>
      <c r="K242" s="14"/>
      <c r="L242" s="14"/>
      <c r="M242" s="14"/>
      <c r="N242" s="14"/>
      <c r="O242" s="14"/>
      <c r="P242" s="14"/>
      <c r="Q242" s="14"/>
      <c r="R242" s="14"/>
      <c r="S242" s="14"/>
      <c r="T242" s="14"/>
      <c r="U242" s="14"/>
      <c r="V242" s="14"/>
      <c r="W242" s="14"/>
      <c r="X242" s="14"/>
      <c r="Y242" s="14"/>
      <c r="Z242" s="14"/>
      <c r="AA242" s="14"/>
      <c r="AB242" s="15"/>
      <c r="AC242" s="3"/>
      <c r="AD242" s="3"/>
      <c r="AE242" s="3"/>
      <c r="AF242" s="3"/>
      <c r="AG242" s="3"/>
      <c r="AH242" s="3"/>
      <c r="AI242" s="3"/>
      <c r="AJ242" s="3"/>
      <c r="AK242" s="3"/>
      <c r="AL242" s="3"/>
      <c r="AM242" s="3"/>
      <c r="AN242" s="3"/>
      <c r="AO242" s="3"/>
      <c r="AP242" s="3"/>
    </row>
    <row r="243" spans="2:42" x14ac:dyDescent="0.25">
      <c r="B243" s="13"/>
      <c r="C243" s="14"/>
      <c r="D243" s="60"/>
      <c r="E243" s="56"/>
      <c r="F243" s="56"/>
      <c r="G243" s="14"/>
      <c r="H243" s="56"/>
      <c r="I243" s="14"/>
      <c r="J243" s="14"/>
      <c r="K243" s="14"/>
      <c r="L243" s="14"/>
      <c r="M243" s="14"/>
      <c r="N243" s="14"/>
      <c r="O243" s="14"/>
      <c r="P243" s="14"/>
      <c r="Q243" s="14"/>
      <c r="R243" s="14"/>
      <c r="S243" s="14"/>
      <c r="T243" s="14"/>
      <c r="U243" s="14"/>
      <c r="V243" s="14"/>
      <c r="W243" s="14"/>
      <c r="X243" s="14"/>
      <c r="Y243" s="14"/>
      <c r="Z243" s="14"/>
      <c r="AA243" s="14"/>
      <c r="AB243" s="15"/>
      <c r="AC243" s="3"/>
      <c r="AD243" s="3"/>
      <c r="AE243" s="3"/>
      <c r="AF243" s="3"/>
      <c r="AG243" s="3"/>
      <c r="AH243" s="3"/>
      <c r="AI243" s="3"/>
      <c r="AJ243" s="3"/>
      <c r="AK243" s="3"/>
      <c r="AL243" s="3"/>
      <c r="AM243" s="3"/>
      <c r="AN243" s="3"/>
      <c r="AO243" s="3"/>
      <c r="AP243" s="3"/>
    </row>
    <row r="244" spans="2:42" x14ac:dyDescent="0.25">
      <c r="B244" s="13"/>
      <c r="C244" s="57"/>
      <c r="D244" s="57"/>
      <c r="E244" s="56"/>
      <c r="F244" s="57"/>
      <c r="G244" s="57"/>
      <c r="H244" s="57"/>
      <c r="I244" s="14"/>
      <c r="J244" s="14"/>
      <c r="K244" s="14"/>
      <c r="L244" s="14"/>
      <c r="M244" s="14"/>
      <c r="N244" s="14"/>
      <c r="O244" s="14"/>
      <c r="P244" s="14"/>
      <c r="Q244" s="14"/>
      <c r="R244" s="14"/>
      <c r="S244" s="14"/>
      <c r="T244" s="14"/>
      <c r="U244" s="14"/>
      <c r="V244" s="14"/>
      <c r="W244" s="14"/>
      <c r="X244" s="14"/>
      <c r="Y244" s="14"/>
      <c r="Z244" s="14"/>
      <c r="AA244" s="14"/>
      <c r="AB244" s="15"/>
      <c r="AC244" s="3"/>
      <c r="AD244" s="3"/>
      <c r="AE244" s="3"/>
      <c r="AF244" s="3"/>
      <c r="AG244" s="3"/>
      <c r="AH244" s="3"/>
      <c r="AI244" s="3"/>
      <c r="AJ244" s="3"/>
      <c r="AK244" s="3"/>
      <c r="AL244" s="3"/>
      <c r="AM244" s="3"/>
      <c r="AN244" s="3"/>
      <c r="AO244" s="3"/>
      <c r="AP244" s="3"/>
    </row>
    <row r="245" spans="2:42" x14ac:dyDescent="0.25">
      <c r="B245" s="13"/>
      <c r="C245" s="57"/>
      <c r="D245" s="69"/>
      <c r="E245" s="56"/>
      <c r="F245" s="57"/>
      <c r="G245" s="57"/>
      <c r="H245" s="57"/>
      <c r="I245" s="14"/>
      <c r="J245" s="14"/>
      <c r="K245" s="14"/>
      <c r="L245" s="14"/>
      <c r="M245" s="14"/>
      <c r="N245" s="14"/>
      <c r="O245" s="14"/>
      <c r="P245" s="14"/>
      <c r="Q245" s="14"/>
      <c r="R245" s="14"/>
      <c r="S245" s="14"/>
      <c r="T245" s="14"/>
      <c r="U245" s="14"/>
      <c r="V245" s="14"/>
      <c r="W245" s="14"/>
      <c r="X245" s="14"/>
      <c r="Y245" s="14"/>
      <c r="Z245" s="14"/>
      <c r="AA245" s="14"/>
      <c r="AB245" s="15"/>
      <c r="AC245" s="3"/>
      <c r="AD245" s="3"/>
      <c r="AE245" s="3"/>
      <c r="AF245" s="3"/>
      <c r="AG245" s="3"/>
      <c r="AH245" s="3"/>
      <c r="AI245" s="3"/>
      <c r="AJ245" s="3"/>
      <c r="AK245" s="3"/>
      <c r="AL245" s="3"/>
      <c r="AM245" s="3"/>
      <c r="AN245" s="3"/>
      <c r="AO245" s="3"/>
      <c r="AP245" s="3"/>
    </row>
    <row r="246" spans="2:42" x14ac:dyDescent="0.25">
      <c r="B246" s="13"/>
      <c r="C246" s="57"/>
      <c r="D246" s="69"/>
      <c r="E246" s="56"/>
      <c r="F246" s="57"/>
      <c r="G246" s="57"/>
      <c r="H246" s="57"/>
      <c r="I246" s="14"/>
      <c r="J246" s="14"/>
      <c r="K246" s="14"/>
      <c r="L246" s="14"/>
      <c r="M246" s="14"/>
      <c r="N246" s="14"/>
      <c r="O246" s="14"/>
      <c r="P246" s="14"/>
      <c r="Q246" s="14"/>
      <c r="R246" s="14"/>
      <c r="S246" s="14"/>
      <c r="T246" s="14"/>
      <c r="U246" s="14"/>
      <c r="V246" s="14"/>
      <c r="W246" s="14"/>
      <c r="X246" s="14"/>
      <c r="Y246" s="14"/>
      <c r="Z246" s="14"/>
      <c r="AA246" s="14"/>
      <c r="AB246" s="15"/>
      <c r="AC246" s="3"/>
      <c r="AD246" s="3"/>
      <c r="AE246" s="3"/>
      <c r="AF246" s="3"/>
      <c r="AG246" s="3"/>
      <c r="AH246" s="3"/>
      <c r="AI246" s="3"/>
      <c r="AJ246" s="3"/>
      <c r="AK246" s="3"/>
      <c r="AL246" s="3"/>
      <c r="AM246" s="3"/>
      <c r="AN246" s="3"/>
      <c r="AO246" s="3"/>
      <c r="AP246" s="3"/>
    </row>
    <row r="247" spans="2:42" x14ac:dyDescent="0.25">
      <c r="B247" s="13"/>
      <c r="C247" s="57"/>
      <c r="D247" s="69"/>
      <c r="E247" s="56"/>
      <c r="F247" s="57"/>
      <c r="G247" s="57"/>
      <c r="H247" s="57"/>
      <c r="I247" s="14"/>
      <c r="J247" s="14"/>
      <c r="K247" s="14"/>
      <c r="L247" s="14"/>
      <c r="M247" s="14"/>
      <c r="N247" s="14"/>
      <c r="O247" s="14"/>
      <c r="P247" s="14"/>
      <c r="Q247" s="14"/>
      <c r="R247" s="14"/>
      <c r="S247" s="14"/>
      <c r="T247" s="14"/>
      <c r="U247" s="14"/>
      <c r="V247" s="14"/>
      <c r="W247" s="14"/>
      <c r="X247" s="14"/>
      <c r="Y247" s="14"/>
      <c r="Z247" s="14"/>
      <c r="AA247" s="14"/>
      <c r="AB247" s="15"/>
      <c r="AC247" s="3"/>
      <c r="AD247" s="3"/>
      <c r="AE247" s="3"/>
      <c r="AF247" s="3"/>
      <c r="AG247" s="3"/>
      <c r="AH247" s="3"/>
      <c r="AI247" s="3"/>
      <c r="AJ247" s="3"/>
      <c r="AK247" s="3"/>
      <c r="AL247" s="3"/>
      <c r="AM247" s="3"/>
      <c r="AN247" s="3"/>
      <c r="AO247" s="3"/>
      <c r="AP247" s="3"/>
    </row>
    <row r="248" spans="2:42" x14ac:dyDescent="0.25">
      <c r="B248" s="13"/>
      <c r="C248" s="57"/>
      <c r="D248" s="69"/>
      <c r="E248" s="56"/>
      <c r="F248" s="57"/>
      <c r="G248" s="57"/>
      <c r="H248" s="57"/>
      <c r="I248" s="14"/>
      <c r="J248" s="14"/>
      <c r="K248" s="14"/>
      <c r="L248" s="14"/>
      <c r="M248" s="14"/>
      <c r="N248" s="14"/>
      <c r="O248" s="14"/>
      <c r="P248" s="14"/>
      <c r="Q248" s="14"/>
      <c r="R248" s="14"/>
      <c r="S248" s="14"/>
      <c r="T248" s="14"/>
      <c r="U248" s="14"/>
      <c r="V248" s="14"/>
      <c r="W248" s="14"/>
      <c r="X248" s="14"/>
      <c r="Y248" s="14"/>
      <c r="Z248" s="14"/>
      <c r="AA248" s="14"/>
      <c r="AB248" s="15"/>
      <c r="AC248" s="3"/>
      <c r="AD248" s="3"/>
      <c r="AE248" s="3"/>
      <c r="AF248" s="3"/>
      <c r="AG248" s="3"/>
      <c r="AH248" s="3"/>
      <c r="AI248" s="3"/>
      <c r="AJ248" s="3"/>
      <c r="AK248" s="3"/>
      <c r="AL248" s="3"/>
      <c r="AM248" s="3"/>
      <c r="AN248" s="3"/>
      <c r="AO248" s="3"/>
      <c r="AP248" s="3"/>
    </row>
    <row r="249" spans="2:42" x14ac:dyDescent="0.25">
      <c r="B249" s="13"/>
      <c r="C249" s="57"/>
      <c r="D249" s="69"/>
      <c r="E249" s="56"/>
      <c r="F249" s="57"/>
      <c r="G249" s="130"/>
      <c r="H249" s="57"/>
      <c r="I249" s="14"/>
      <c r="J249" s="14"/>
      <c r="K249" s="14"/>
      <c r="L249" s="14"/>
      <c r="M249" s="14"/>
      <c r="N249" s="14"/>
      <c r="O249" s="14"/>
      <c r="P249" s="14"/>
      <c r="Q249" s="14"/>
      <c r="R249" s="14"/>
      <c r="S249" s="14"/>
      <c r="T249" s="14"/>
      <c r="U249" s="14"/>
      <c r="V249" s="14"/>
      <c r="W249" s="14"/>
      <c r="X249" s="14"/>
      <c r="Y249" s="14"/>
      <c r="Z249" s="14"/>
      <c r="AA249" s="14"/>
      <c r="AB249" s="15"/>
      <c r="AC249" s="3"/>
      <c r="AD249" s="3"/>
      <c r="AE249" s="3"/>
      <c r="AF249" s="3"/>
      <c r="AG249" s="3"/>
      <c r="AH249" s="3"/>
      <c r="AI249" s="3"/>
      <c r="AJ249" s="3"/>
      <c r="AK249" s="3"/>
      <c r="AL249" s="3"/>
      <c r="AM249" s="3"/>
      <c r="AN249" s="3"/>
      <c r="AO249" s="3"/>
      <c r="AP249" s="3"/>
    </row>
    <row r="250" spans="2:42" x14ac:dyDescent="0.25">
      <c r="B250" s="13"/>
      <c r="C250" s="14"/>
      <c r="D250" s="60"/>
      <c r="E250" s="56"/>
      <c r="F250" s="56"/>
      <c r="G250" s="14"/>
      <c r="H250" s="56"/>
      <c r="I250" s="14"/>
      <c r="J250" s="14"/>
      <c r="K250" s="14"/>
      <c r="L250" s="14"/>
      <c r="M250" s="14"/>
      <c r="N250" s="14"/>
      <c r="O250" s="14"/>
      <c r="P250" s="14"/>
      <c r="Q250" s="14"/>
      <c r="R250" s="14"/>
      <c r="S250" s="14"/>
      <c r="T250" s="14"/>
      <c r="U250" s="14"/>
      <c r="V250" s="14"/>
      <c r="W250" s="14"/>
      <c r="X250" s="14"/>
      <c r="Y250" s="14"/>
      <c r="Z250" s="14"/>
      <c r="AA250" s="14"/>
      <c r="AB250" s="15"/>
      <c r="AC250" s="3"/>
      <c r="AD250" s="3"/>
      <c r="AE250" s="3"/>
      <c r="AF250" s="3"/>
      <c r="AG250" s="3"/>
      <c r="AH250" s="3"/>
      <c r="AI250" s="3"/>
      <c r="AJ250" s="3"/>
      <c r="AK250" s="3"/>
      <c r="AL250" s="3"/>
      <c r="AM250" s="3"/>
      <c r="AN250" s="3"/>
      <c r="AO250" s="3"/>
      <c r="AP250" s="3"/>
    </row>
    <row r="251" spans="2:42" x14ac:dyDescent="0.25">
      <c r="B251" s="13"/>
      <c r="C251" s="14"/>
      <c r="D251" s="14"/>
      <c r="E251" s="56"/>
      <c r="F251" s="56"/>
      <c r="G251" s="14"/>
      <c r="H251" s="56"/>
      <c r="I251" s="14"/>
      <c r="J251" s="14"/>
      <c r="K251" s="14"/>
      <c r="L251" s="14"/>
      <c r="M251" s="14"/>
      <c r="N251" s="14"/>
      <c r="O251" s="14"/>
      <c r="P251" s="14"/>
      <c r="Q251" s="14"/>
      <c r="R251" s="14"/>
      <c r="S251" s="14"/>
      <c r="T251" s="14"/>
      <c r="U251" s="14"/>
      <c r="V251" s="14"/>
      <c r="W251" s="14"/>
      <c r="X251" s="14"/>
      <c r="Y251" s="14"/>
      <c r="Z251" s="14"/>
      <c r="AA251" s="14"/>
      <c r="AB251" s="15"/>
      <c r="AC251" s="3"/>
      <c r="AD251" s="3"/>
      <c r="AE251" s="3"/>
      <c r="AF251" s="3"/>
      <c r="AG251" s="3"/>
      <c r="AH251" s="3"/>
      <c r="AI251" s="3"/>
      <c r="AJ251" s="3"/>
      <c r="AK251" s="3"/>
      <c r="AL251" s="3"/>
      <c r="AM251" s="3"/>
      <c r="AN251" s="3"/>
      <c r="AO251" s="3"/>
      <c r="AP251" s="3"/>
    </row>
    <row r="252" spans="2:42" x14ac:dyDescent="0.25">
      <c r="B252" s="13"/>
      <c r="C252" s="14"/>
      <c r="D252" s="60"/>
      <c r="E252" s="56"/>
      <c r="F252" s="56"/>
      <c r="G252" s="14"/>
      <c r="H252" s="56"/>
      <c r="I252" s="14"/>
      <c r="J252" s="14"/>
      <c r="K252" s="14"/>
      <c r="L252" s="14"/>
      <c r="M252" s="14"/>
      <c r="N252" s="14"/>
      <c r="O252" s="14"/>
      <c r="P252" s="14"/>
      <c r="Q252" s="14"/>
      <c r="R252" s="14"/>
      <c r="S252" s="14"/>
      <c r="T252" s="14"/>
      <c r="U252" s="14"/>
      <c r="V252" s="14"/>
      <c r="W252" s="14"/>
      <c r="X252" s="14"/>
      <c r="Y252" s="14"/>
      <c r="Z252" s="14"/>
      <c r="AA252" s="14"/>
      <c r="AB252" s="15"/>
      <c r="AC252" s="3"/>
      <c r="AD252" s="3"/>
      <c r="AE252" s="3"/>
      <c r="AF252" s="3"/>
      <c r="AG252" s="3"/>
      <c r="AH252" s="3"/>
      <c r="AI252" s="3"/>
      <c r="AJ252" s="3"/>
      <c r="AK252" s="3"/>
      <c r="AL252" s="3"/>
      <c r="AM252" s="3"/>
      <c r="AN252" s="3"/>
      <c r="AO252" s="3"/>
      <c r="AP252" s="3"/>
    </row>
    <row r="253" spans="2:42" x14ac:dyDescent="0.25">
      <c r="B253" s="13"/>
      <c r="C253" s="14"/>
      <c r="D253" s="60"/>
      <c r="E253" s="56"/>
      <c r="F253" s="56"/>
      <c r="G253" s="14"/>
      <c r="H253" s="56"/>
      <c r="I253" s="14"/>
      <c r="J253" s="14"/>
      <c r="K253" s="14"/>
      <c r="L253" s="14"/>
      <c r="M253" s="14"/>
      <c r="N253" s="14"/>
      <c r="O253" s="14"/>
      <c r="P253" s="14"/>
      <c r="Q253" s="14"/>
      <c r="R253" s="14"/>
      <c r="S253" s="14"/>
      <c r="T253" s="14"/>
      <c r="U253" s="14"/>
      <c r="V253" s="14"/>
      <c r="W253" s="14"/>
      <c r="X253" s="14"/>
      <c r="Y253" s="14"/>
      <c r="Z253" s="14"/>
      <c r="AA253" s="14"/>
      <c r="AB253" s="15"/>
      <c r="AC253" s="3"/>
      <c r="AD253" s="3"/>
      <c r="AE253" s="3"/>
      <c r="AF253" s="3"/>
      <c r="AG253" s="3"/>
      <c r="AH253" s="3"/>
      <c r="AI253" s="3"/>
      <c r="AJ253" s="3"/>
      <c r="AK253" s="3"/>
      <c r="AL253" s="3"/>
      <c r="AM253" s="3"/>
      <c r="AN253" s="3"/>
      <c r="AO253" s="3"/>
      <c r="AP253" s="3"/>
    </row>
    <row r="254" spans="2:42" x14ac:dyDescent="0.25">
      <c r="B254" s="13"/>
      <c r="C254" s="14"/>
      <c r="D254" s="60"/>
      <c r="E254" s="56"/>
      <c r="F254" s="56"/>
      <c r="G254" s="14"/>
      <c r="H254" s="56"/>
      <c r="I254" s="14"/>
      <c r="J254" s="14"/>
      <c r="K254" s="14"/>
      <c r="L254" s="14"/>
      <c r="M254" s="14"/>
      <c r="N254" s="14"/>
      <c r="O254" s="14"/>
      <c r="P254" s="14"/>
      <c r="Q254" s="14"/>
      <c r="R254" s="14"/>
      <c r="S254" s="14"/>
      <c r="T254" s="14"/>
      <c r="U254" s="14"/>
      <c r="V254" s="14"/>
      <c r="W254" s="14"/>
      <c r="X254" s="14"/>
      <c r="Y254" s="14"/>
      <c r="Z254" s="14"/>
      <c r="AA254" s="14"/>
      <c r="AB254" s="15"/>
      <c r="AC254" s="3"/>
      <c r="AD254" s="3"/>
      <c r="AE254" s="3"/>
      <c r="AF254" s="3"/>
      <c r="AG254" s="3"/>
      <c r="AH254" s="3"/>
      <c r="AI254" s="3"/>
      <c r="AJ254" s="3"/>
      <c r="AK254" s="3"/>
      <c r="AL254" s="3"/>
      <c r="AM254" s="3"/>
      <c r="AN254" s="3"/>
      <c r="AO254" s="3"/>
      <c r="AP254" s="3"/>
    </row>
    <row r="255" spans="2:42" x14ac:dyDescent="0.25">
      <c r="B255" s="13"/>
      <c r="C255" s="14"/>
      <c r="D255" s="60"/>
      <c r="E255" s="56"/>
      <c r="F255" s="56"/>
      <c r="G255" s="14"/>
      <c r="H255" s="56"/>
      <c r="I255" s="14"/>
      <c r="J255" s="14"/>
      <c r="K255" s="14"/>
      <c r="L255" s="14"/>
      <c r="M255" s="14"/>
      <c r="N255" s="14"/>
      <c r="O255" s="14"/>
      <c r="P255" s="14"/>
      <c r="Q255" s="14"/>
      <c r="R255" s="14"/>
      <c r="S255" s="14"/>
      <c r="T255" s="14"/>
      <c r="U255" s="14"/>
      <c r="V255" s="14"/>
      <c r="W255" s="14"/>
      <c r="X255" s="14"/>
      <c r="Y255" s="14"/>
      <c r="Z255" s="14"/>
      <c r="AA255" s="14"/>
      <c r="AB255" s="15"/>
      <c r="AC255" s="3"/>
      <c r="AD255" s="3"/>
      <c r="AE255" s="3"/>
      <c r="AF255" s="3"/>
      <c r="AG255" s="3"/>
      <c r="AH255" s="3"/>
      <c r="AI255" s="3"/>
      <c r="AJ255" s="3"/>
      <c r="AK255" s="3"/>
      <c r="AL255" s="3"/>
      <c r="AM255" s="3"/>
      <c r="AN255" s="3"/>
      <c r="AO255" s="3"/>
      <c r="AP255" s="3"/>
    </row>
    <row r="256" spans="2:42" x14ac:dyDescent="0.25">
      <c r="B256" s="13"/>
      <c r="C256" s="14"/>
      <c r="D256" s="60"/>
      <c r="E256" s="56"/>
      <c r="F256" s="56"/>
      <c r="G256" s="128"/>
      <c r="H256" s="56"/>
      <c r="I256" s="14"/>
      <c r="J256" s="14"/>
      <c r="K256" s="14"/>
      <c r="L256" s="14"/>
      <c r="M256" s="14"/>
      <c r="N256" s="14"/>
      <c r="O256" s="14"/>
      <c r="P256" s="14"/>
      <c r="Q256" s="14"/>
      <c r="R256" s="14"/>
      <c r="S256" s="14"/>
      <c r="T256" s="14"/>
      <c r="U256" s="14"/>
      <c r="V256" s="14"/>
      <c r="W256" s="14"/>
      <c r="X256" s="14"/>
      <c r="Y256" s="14"/>
      <c r="Z256" s="14"/>
      <c r="AA256" s="14"/>
      <c r="AB256" s="15"/>
      <c r="AC256" s="3"/>
      <c r="AD256" s="3"/>
      <c r="AE256" s="3"/>
      <c r="AF256" s="3"/>
      <c r="AG256" s="3"/>
      <c r="AH256" s="3"/>
      <c r="AI256" s="3"/>
      <c r="AJ256" s="3"/>
      <c r="AK256" s="3"/>
      <c r="AL256" s="3"/>
      <c r="AM256" s="3"/>
      <c r="AN256" s="3"/>
      <c r="AO256" s="3"/>
      <c r="AP256" s="3"/>
    </row>
    <row r="257" spans="2:42" x14ac:dyDescent="0.25">
      <c r="B257" s="13"/>
      <c r="C257" s="14"/>
      <c r="D257" s="60"/>
      <c r="E257" s="56"/>
      <c r="F257" s="56"/>
      <c r="G257" s="14"/>
      <c r="H257" s="56"/>
      <c r="I257" s="14"/>
      <c r="J257" s="14"/>
      <c r="K257" s="14"/>
      <c r="L257" s="14"/>
      <c r="M257" s="14"/>
      <c r="N257" s="14"/>
      <c r="O257" s="14"/>
      <c r="P257" s="14"/>
      <c r="Q257" s="14"/>
      <c r="R257" s="14"/>
      <c r="S257" s="14"/>
      <c r="T257" s="14"/>
      <c r="U257" s="14"/>
      <c r="V257" s="14"/>
      <c r="W257" s="14"/>
      <c r="X257" s="14"/>
      <c r="Y257" s="14"/>
      <c r="Z257" s="14"/>
      <c r="AA257" s="14"/>
      <c r="AB257" s="15"/>
      <c r="AC257" s="3"/>
      <c r="AD257" s="3"/>
      <c r="AE257" s="3"/>
      <c r="AF257" s="3"/>
      <c r="AG257" s="3"/>
      <c r="AH257" s="3"/>
      <c r="AI257" s="3"/>
      <c r="AJ257" s="3"/>
      <c r="AK257" s="3"/>
      <c r="AL257" s="3"/>
      <c r="AM257" s="3"/>
      <c r="AN257" s="3"/>
      <c r="AO257" s="3"/>
      <c r="AP257" s="3"/>
    </row>
    <row r="258" spans="2:42" x14ac:dyDescent="0.25">
      <c r="B258" s="13"/>
      <c r="C258" s="14"/>
      <c r="D258" s="14"/>
      <c r="E258" s="56"/>
      <c r="F258" s="56"/>
      <c r="G258" s="14"/>
      <c r="H258" s="56"/>
      <c r="I258" s="14"/>
      <c r="J258" s="14"/>
      <c r="K258" s="14"/>
      <c r="L258" s="14"/>
      <c r="M258" s="14"/>
      <c r="N258" s="14"/>
      <c r="O258" s="14"/>
      <c r="P258" s="14"/>
      <c r="Q258" s="14"/>
      <c r="R258" s="14"/>
      <c r="S258" s="14"/>
      <c r="T258" s="14"/>
      <c r="U258" s="14"/>
      <c r="V258" s="14"/>
      <c r="W258" s="14"/>
      <c r="X258" s="14"/>
      <c r="Y258" s="14"/>
      <c r="Z258" s="14"/>
      <c r="AA258" s="14"/>
      <c r="AB258" s="15"/>
      <c r="AC258" s="3"/>
      <c r="AD258" s="3"/>
      <c r="AE258" s="3"/>
      <c r="AF258" s="3"/>
      <c r="AG258" s="3"/>
      <c r="AH258" s="3"/>
      <c r="AI258" s="3"/>
      <c r="AJ258" s="3"/>
      <c r="AK258" s="3"/>
      <c r="AL258" s="3"/>
      <c r="AM258" s="3"/>
      <c r="AN258" s="3"/>
      <c r="AO258" s="3"/>
      <c r="AP258" s="3"/>
    </row>
    <row r="259" spans="2:42" x14ac:dyDescent="0.25">
      <c r="B259" s="13"/>
      <c r="C259" s="14"/>
      <c r="D259" s="60"/>
      <c r="E259" s="56"/>
      <c r="F259" s="56"/>
      <c r="G259" s="14"/>
      <c r="H259" s="56"/>
      <c r="I259" s="14"/>
      <c r="J259" s="14"/>
      <c r="K259" s="14"/>
      <c r="L259" s="14"/>
      <c r="M259" s="14"/>
      <c r="N259" s="14"/>
      <c r="O259" s="14"/>
      <c r="P259" s="14"/>
      <c r="Q259" s="14"/>
      <c r="R259" s="14"/>
      <c r="S259" s="14"/>
      <c r="T259" s="14"/>
      <c r="U259" s="14"/>
      <c r="V259" s="14"/>
      <c r="W259" s="14"/>
      <c r="X259" s="14"/>
      <c r="Y259" s="14"/>
      <c r="Z259" s="14"/>
      <c r="AA259" s="14"/>
      <c r="AB259" s="15"/>
      <c r="AC259" s="3"/>
      <c r="AD259" s="3"/>
      <c r="AE259" s="3"/>
      <c r="AF259" s="3"/>
      <c r="AG259" s="3"/>
      <c r="AH259" s="3"/>
      <c r="AI259" s="3"/>
      <c r="AJ259" s="3"/>
      <c r="AK259" s="3"/>
      <c r="AL259" s="3"/>
      <c r="AM259" s="3"/>
      <c r="AN259" s="3"/>
      <c r="AO259" s="3"/>
      <c r="AP259" s="3"/>
    </row>
    <row r="260" spans="2:42" x14ac:dyDescent="0.25">
      <c r="B260" s="13"/>
      <c r="C260" s="14"/>
      <c r="D260" s="60"/>
      <c r="E260" s="56"/>
      <c r="F260" s="56"/>
      <c r="G260" s="14"/>
      <c r="H260" s="56"/>
      <c r="I260" s="14"/>
      <c r="J260" s="14"/>
      <c r="K260" s="14"/>
      <c r="L260" s="14"/>
      <c r="M260" s="14"/>
      <c r="N260" s="14"/>
      <c r="O260" s="14"/>
      <c r="P260" s="14"/>
      <c r="Q260" s="14"/>
      <c r="R260" s="14"/>
      <c r="S260" s="14"/>
      <c r="T260" s="14"/>
      <c r="U260" s="14"/>
      <c r="V260" s="14"/>
      <c r="W260" s="14"/>
      <c r="X260" s="14"/>
      <c r="Y260" s="14"/>
      <c r="Z260" s="14"/>
      <c r="AA260" s="14"/>
      <c r="AB260" s="15"/>
      <c r="AC260" s="3"/>
      <c r="AD260" s="3"/>
      <c r="AE260" s="3"/>
      <c r="AF260" s="3"/>
      <c r="AG260" s="3"/>
      <c r="AH260" s="3"/>
      <c r="AI260" s="3"/>
      <c r="AJ260" s="3"/>
      <c r="AK260" s="3"/>
      <c r="AL260" s="3"/>
      <c r="AM260" s="3"/>
      <c r="AN260" s="3"/>
      <c r="AO260" s="3"/>
      <c r="AP260" s="3"/>
    </row>
    <row r="261" spans="2:42" x14ac:dyDescent="0.25">
      <c r="B261" s="13"/>
      <c r="C261" s="14"/>
      <c r="D261" s="60"/>
      <c r="E261" s="56"/>
      <c r="F261" s="56"/>
      <c r="G261" s="14"/>
      <c r="H261" s="56"/>
      <c r="I261" s="14"/>
      <c r="J261" s="14"/>
      <c r="K261" s="14"/>
      <c r="L261" s="14"/>
      <c r="M261" s="14"/>
      <c r="N261" s="14"/>
      <c r="O261" s="14"/>
      <c r="P261" s="14"/>
      <c r="Q261" s="14"/>
      <c r="R261" s="14"/>
      <c r="S261" s="14"/>
      <c r="T261" s="14"/>
      <c r="U261" s="14"/>
      <c r="V261" s="14"/>
      <c r="W261" s="14"/>
      <c r="X261" s="14"/>
      <c r="Y261" s="14"/>
      <c r="Z261" s="14"/>
      <c r="AA261" s="14"/>
      <c r="AB261" s="15"/>
      <c r="AC261" s="3"/>
      <c r="AD261" s="3"/>
      <c r="AE261" s="3"/>
      <c r="AF261" s="3"/>
      <c r="AG261" s="3"/>
      <c r="AH261" s="3"/>
      <c r="AI261" s="3"/>
      <c r="AJ261" s="3"/>
      <c r="AK261" s="3"/>
      <c r="AL261" s="3"/>
      <c r="AM261" s="3"/>
      <c r="AN261" s="3"/>
      <c r="AO261" s="3"/>
      <c r="AP261" s="3"/>
    </row>
    <row r="262" spans="2:42" x14ac:dyDescent="0.25">
      <c r="B262" s="13"/>
      <c r="C262" s="14"/>
      <c r="D262" s="60"/>
      <c r="E262" s="56"/>
      <c r="F262" s="56"/>
      <c r="G262" s="14"/>
      <c r="H262" s="56"/>
      <c r="I262" s="14"/>
      <c r="J262" s="14"/>
      <c r="K262" s="14"/>
      <c r="L262" s="14"/>
      <c r="M262" s="14"/>
      <c r="N262" s="14"/>
      <c r="O262" s="14"/>
      <c r="P262" s="14"/>
      <c r="Q262" s="14"/>
      <c r="R262" s="14"/>
      <c r="S262" s="14"/>
      <c r="T262" s="14"/>
      <c r="U262" s="14"/>
      <c r="V262" s="14"/>
      <c r="W262" s="14"/>
      <c r="X262" s="14"/>
      <c r="Y262" s="14"/>
      <c r="Z262" s="14"/>
      <c r="AA262" s="14"/>
      <c r="AB262" s="15"/>
      <c r="AC262" s="3"/>
      <c r="AD262" s="3"/>
      <c r="AE262" s="3"/>
      <c r="AF262" s="3"/>
      <c r="AG262" s="3"/>
      <c r="AH262" s="3"/>
      <c r="AI262" s="3"/>
      <c r="AJ262" s="3"/>
      <c r="AK262" s="3"/>
      <c r="AL262" s="3"/>
      <c r="AM262" s="3"/>
      <c r="AN262" s="3"/>
      <c r="AO262" s="3"/>
      <c r="AP262" s="3"/>
    </row>
    <row r="263" spans="2:42" x14ac:dyDescent="0.25">
      <c r="B263" s="13"/>
      <c r="C263" s="14"/>
      <c r="D263" s="60"/>
      <c r="E263" s="56"/>
      <c r="F263" s="56"/>
      <c r="G263" s="128"/>
      <c r="H263" s="56"/>
      <c r="I263" s="14"/>
      <c r="J263" s="14"/>
      <c r="K263" s="14"/>
      <c r="L263" s="14"/>
      <c r="M263" s="14"/>
      <c r="N263" s="14"/>
      <c r="O263" s="14"/>
      <c r="P263" s="14"/>
      <c r="Q263" s="14"/>
      <c r="R263" s="14"/>
      <c r="S263" s="14"/>
      <c r="T263" s="14"/>
      <c r="U263" s="14"/>
      <c r="V263" s="14"/>
      <c r="W263" s="14"/>
      <c r="X263" s="14"/>
      <c r="Y263" s="14"/>
      <c r="Z263" s="14"/>
      <c r="AA263" s="14"/>
      <c r="AB263" s="15"/>
      <c r="AC263" s="3"/>
      <c r="AD263" s="3"/>
      <c r="AE263" s="3"/>
      <c r="AF263" s="3"/>
      <c r="AG263" s="3"/>
      <c r="AH263" s="3"/>
      <c r="AI263" s="3"/>
      <c r="AJ263" s="3"/>
      <c r="AK263" s="3"/>
      <c r="AL263" s="3"/>
      <c r="AM263" s="3"/>
      <c r="AN263" s="3"/>
      <c r="AO263" s="3"/>
      <c r="AP263" s="3"/>
    </row>
    <row r="264" spans="2:42" x14ac:dyDescent="0.25">
      <c r="B264" s="13"/>
      <c r="C264" s="14"/>
      <c r="D264" s="60"/>
      <c r="E264" s="56"/>
      <c r="F264" s="56"/>
      <c r="G264" s="14"/>
      <c r="H264" s="56"/>
      <c r="I264" s="14"/>
      <c r="J264" s="14"/>
      <c r="K264" s="14"/>
      <c r="L264" s="14"/>
      <c r="M264" s="14"/>
      <c r="N264" s="14"/>
      <c r="O264" s="14"/>
      <c r="P264" s="14"/>
      <c r="Q264" s="14"/>
      <c r="R264" s="14"/>
      <c r="S264" s="14"/>
      <c r="T264" s="14"/>
      <c r="U264" s="14"/>
      <c r="V264" s="14"/>
      <c r="W264" s="14"/>
      <c r="X264" s="14"/>
      <c r="Y264" s="14"/>
      <c r="Z264" s="14"/>
      <c r="AA264" s="14"/>
      <c r="AB264" s="15"/>
      <c r="AC264" s="3"/>
      <c r="AD264" s="3"/>
      <c r="AE264" s="3"/>
      <c r="AF264" s="3"/>
      <c r="AG264" s="3"/>
      <c r="AH264" s="3"/>
      <c r="AI264" s="3"/>
      <c r="AJ264" s="3"/>
      <c r="AK264" s="3"/>
      <c r="AL264" s="3"/>
      <c r="AM264" s="3"/>
      <c r="AN264" s="3"/>
      <c r="AO264" s="3"/>
      <c r="AP264" s="3"/>
    </row>
    <row r="265" spans="2:42" x14ac:dyDescent="0.25">
      <c r="B265" s="13"/>
      <c r="C265" s="14"/>
      <c r="D265" s="14"/>
      <c r="E265" s="56"/>
      <c r="F265" s="56"/>
      <c r="G265" s="14"/>
      <c r="H265" s="56"/>
      <c r="I265" s="14"/>
      <c r="J265" s="14"/>
      <c r="K265" s="14"/>
      <c r="L265" s="14"/>
      <c r="M265" s="14"/>
      <c r="N265" s="14"/>
      <c r="O265" s="14"/>
      <c r="P265" s="14"/>
      <c r="Q265" s="14"/>
      <c r="R265" s="14"/>
      <c r="S265" s="14"/>
      <c r="T265" s="14"/>
      <c r="U265" s="14"/>
      <c r="V265" s="14"/>
      <c r="W265" s="14"/>
      <c r="X265" s="14"/>
      <c r="Y265" s="14"/>
      <c r="Z265" s="14"/>
      <c r="AA265" s="14"/>
      <c r="AB265" s="15"/>
      <c r="AC265" s="3"/>
      <c r="AD265" s="3"/>
      <c r="AE265" s="3"/>
      <c r="AF265" s="3"/>
      <c r="AG265" s="3"/>
      <c r="AH265" s="3"/>
      <c r="AI265" s="3"/>
      <c r="AJ265" s="3"/>
      <c r="AK265" s="3"/>
      <c r="AL265" s="3"/>
      <c r="AM265" s="3"/>
      <c r="AN265" s="3"/>
      <c r="AO265" s="3"/>
      <c r="AP265" s="3"/>
    </row>
    <row r="266" spans="2:42" x14ac:dyDescent="0.25">
      <c r="B266" s="13"/>
      <c r="C266" s="14"/>
      <c r="D266" s="60"/>
      <c r="E266" s="56"/>
      <c r="F266" s="56"/>
      <c r="G266" s="14"/>
      <c r="H266" s="56"/>
      <c r="I266" s="14"/>
      <c r="J266" s="14"/>
      <c r="K266" s="14"/>
      <c r="L266" s="14"/>
      <c r="M266" s="14"/>
      <c r="N266" s="14"/>
      <c r="O266" s="14"/>
      <c r="P266" s="14"/>
      <c r="Q266" s="14"/>
      <c r="R266" s="14"/>
      <c r="S266" s="14"/>
      <c r="T266" s="14"/>
      <c r="U266" s="14"/>
      <c r="V266" s="14"/>
      <c r="W266" s="14"/>
      <c r="X266" s="14"/>
      <c r="Y266" s="14"/>
      <c r="Z266" s="14"/>
      <c r="AA266" s="14"/>
      <c r="AB266" s="15"/>
      <c r="AC266" s="3"/>
      <c r="AD266" s="3"/>
      <c r="AE266" s="3"/>
      <c r="AF266" s="3"/>
      <c r="AG266" s="3"/>
      <c r="AH266" s="3"/>
      <c r="AI266" s="3"/>
      <c r="AJ266" s="3"/>
      <c r="AK266" s="3"/>
      <c r="AL266" s="3"/>
      <c r="AM266" s="3"/>
      <c r="AN266" s="3"/>
      <c r="AO266" s="3"/>
      <c r="AP266" s="3"/>
    </row>
    <row r="267" spans="2:42" x14ac:dyDescent="0.25">
      <c r="B267" s="13"/>
      <c r="C267" s="14"/>
      <c r="D267" s="60"/>
      <c r="E267" s="56"/>
      <c r="F267" s="56"/>
      <c r="G267" s="14"/>
      <c r="H267" s="56"/>
      <c r="I267" s="14"/>
      <c r="J267" s="14"/>
      <c r="K267" s="14"/>
      <c r="L267" s="14"/>
      <c r="M267" s="14"/>
      <c r="N267" s="14"/>
      <c r="O267" s="14"/>
      <c r="P267" s="14"/>
      <c r="Q267" s="14"/>
      <c r="R267" s="14"/>
      <c r="S267" s="14"/>
      <c r="T267" s="14"/>
      <c r="U267" s="14"/>
      <c r="V267" s="14"/>
      <c r="W267" s="14"/>
      <c r="X267" s="14"/>
      <c r="Y267" s="14"/>
      <c r="Z267" s="14"/>
      <c r="AA267" s="14"/>
      <c r="AB267" s="15"/>
      <c r="AC267" s="3"/>
      <c r="AD267" s="3"/>
      <c r="AE267" s="3"/>
      <c r="AF267" s="3"/>
      <c r="AG267" s="3"/>
      <c r="AH267" s="3"/>
      <c r="AI267" s="3"/>
      <c r="AJ267" s="3"/>
      <c r="AK267" s="3"/>
      <c r="AL267" s="3"/>
      <c r="AM267" s="3"/>
      <c r="AN267" s="3"/>
      <c r="AO267" s="3"/>
      <c r="AP267" s="3"/>
    </row>
    <row r="268" spans="2:42" x14ac:dyDescent="0.25">
      <c r="B268" s="13"/>
      <c r="C268" s="14"/>
      <c r="D268" s="60"/>
      <c r="E268" s="56"/>
      <c r="F268" s="56"/>
      <c r="G268" s="14"/>
      <c r="H268" s="56"/>
      <c r="I268" s="14"/>
      <c r="J268" s="14"/>
      <c r="K268" s="14"/>
      <c r="L268" s="14"/>
      <c r="M268" s="14"/>
      <c r="N268" s="14"/>
      <c r="O268" s="14"/>
      <c r="P268" s="14"/>
      <c r="Q268" s="14"/>
      <c r="R268" s="14"/>
      <c r="S268" s="14"/>
      <c r="T268" s="14"/>
      <c r="U268" s="14"/>
      <c r="V268" s="14"/>
      <c r="W268" s="14"/>
      <c r="X268" s="14"/>
      <c r="Y268" s="14"/>
      <c r="Z268" s="14"/>
      <c r="AA268" s="14"/>
      <c r="AB268" s="15"/>
      <c r="AC268" s="3"/>
      <c r="AD268" s="3"/>
      <c r="AE268" s="3"/>
      <c r="AF268" s="3"/>
      <c r="AG268" s="3"/>
      <c r="AH268" s="3"/>
      <c r="AI268" s="3"/>
      <c r="AJ268" s="3"/>
      <c r="AK268" s="3"/>
      <c r="AL268" s="3"/>
      <c r="AM268" s="3"/>
      <c r="AN268" s="3"/>
      <c r="AO268" s="3"/>
      <c r="AP268" s="3"/>
    </row>
    <row r="269" spans="2:42" x14ac:dyDescent="0.25">
      <c r="B269" s="13"/>
      <c r="C269" s="14"/>
      <c r="D269" s="60"/>
      <c r="E269" s="56"/>
      <c r="F269" s="56"/>
      <c r="G269" s="14"/>
      <c r="H269" s="56"/>
      <c r="I269" s="14"/>
      <c r="J269" s="14"/>
      <c r="K269" s="14"/>
      <c r="L269" s="14"/>
      <c r="M269" s="14"/>
      <c r="N269" s="14"/>
      <c r="O269" s="14"/>
      <c r="P269" s="14"/>
      <c r="Q269" s="14"/>
      <c r="R269" s="14"/>
      <c r="S269" s="14"/>
      <c r="T269" s="14"/>
      <c r="U269" s="14"/>
      <c r="V269" s="14"/>
      <c r="W269" s="14"/>
      <c r="X269" s="14"/>
      <c r="Y269" s="14"/>
      <c r="Z269" s="14"/>
      <c r="AA269" s="14"/>
      <c r="AB269" s="15"/>
      <c r="AC269" s="3"/>
      <c r="AD269" s="3"/>
      <c r="AE269" s="3"/>
      <c r="AF269" s="3"/>
      <c r="AG269" s="3"/>
      <c r="AH269" s="3"/>
      <c r="AI269" s="3"/>
      <c r="AJ269" s="3"/>
      <c r="AK269" s="3"/>
      <c r="AL269" s="3"/>
      <c r="AM269" s="3"/>
      <c r="AN269" s="3"/>
      <c r="AO269" s="3"/>
      <c r="AP269" s="3"/>
    </row>
    <row r="270" spans="2:42" x14ac:dyDescent="0.25">
      <c r="B270" s="13"/>
      <c r="C270" s="14"/>
      <c r="D270" s="60"/>
      <c r="E270" s="56"/>
      <c r="F270" s="56"/>
      <c r="G270" s="128"/>
      <c r="H270" s="56"/>
      <c r="I270" s="14"/>
      <c r="J270" s="14"/>
      <c r="K270" s="14"/>
      <c r="L270" s="14"/>
      <c r="M270" s="14"/>
      <c r="N270" s="14"/>
      <c r="O270" s="14"/>
      <c r="P270" s="14"/>
      <c r="Q270" s="14"/>
      <c r="R270" s="14"/>
      <c r="S270" s="14"/>
      <c r="T270" s="14"/>
      <c r="U270" s="14"/>
      <c r="V270" s="14"/>
      <c r="W270" s="14"/>
      <c r="X270" s="14"/>
      <c r="Y270" s="14"/>
      <c r="Z270" s="14"/>
      <c r="AA270" s="14"/>
      <c r="AB270" s="15"/>
      <c r="AC270" s="3"/>
      <c r="AD270" s="3"/>
      <c r="AE270" s="3"/>
      <c r="AF270" s="3"/>
      <c r="AG270" s="3"/>
      <c r="AH270" s="3"/>
      <c r="AI270" s="3"/>
      <c r="AJ270" s="3"/>
      <c r="AK270" s="3"/>
      <c r="AL270" s="3"/>
      <c r="AM270" s="3"/>
      <c r="AN270" s="3"/>
      <c r="AO270" s="3"/>
      <c r="AP270" s="3"/>
    </row>
    <row r="271" spans="2:42" x14ac:dyDescent="0.25">
      <c r="B271" s="13"/>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5"/>
      <c r="AC271" s="3"/>
      <c r="AD271" s="3"/>
      <c r="AE271" s="3"/>
      <c r="AF271" s="3"/>
      <c r="AG271" s="3"/>
      <c r="AH271" s="3"/>
      <c r="AI271" s="3"/>
      <c r="AJ271" s="3"/>
      <c r="AK271" s="3"/>
      <c r="AL271" s="3"/>
      <c r="AM271" s="3"/>
      <c r="AN271" s="3"/>
      <c r="AO271" s="3"/>
      <c r="AP271" s="3"/>
    </row>
    <row r="272" spans="2:42" x14ac:dyDescent="0.25">
      <c r="B272" s="13"/>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5"/>
      <c r="AC272" s="3"/>
      <c r="AD272" s="3"/>
      <c r="AE272" s="3"/>
      <c r="AF272" s="3"/>
      <c r="AG272" s="3"/>
      <c r="AH272" s="3"/>
      <c r="AI272" s="3"/>
      <c r="AJ272" s="3"/>
      <c r="AK272" s="3"/>
      <c r="AL272" s="3"/>
      <c r="AM272" s="3"/>
      <c r="AN272" s="3"/>
      <c r="AO272" s="3"/>
      <c r="AP272" s="3"/>
    </row>
    <row r="273" spans="2:42" x14ac:dyDescent="0.25">
      <c r="B273" s="13"/>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5"/>
      <c r="AC273" s="3"/>
      <c r="AD273" s="3"/>
      <c r="AE273" s="3"/>
      <c r="AF273" s="3"/>
      <c r="AG273" s="3"/>
      <c r="AH273" s="3"/>
      <c r="AI273" s="3"/>
      <c r="AJ273" s="3"/>
      <c r="AK273" s="3"/>
      <c r="AL273" s="3"/>
      <c r="AM273" s="3"/>
      <c r="AN273" s="3"/>
      <c r="AO273" s="3"/>
      <c r="AP273" s="3"/>
    </row>
    <row r="274" spans="2:42" x14ac:dyDescent="0.25">
      <c r="B274" s="13"/>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5"/>
      <c r="AC274" s="3"/>
      <c r="AD274" s="3"/>
      <c r="AE274" s="3"/>
      <c r="AF274" s="3"/>
      <c r="AG274" s="3"/>
      <c r="AH274" s="3"/>
      <c r="AI274" s="3"/>
      <c r="AJ274" s="3"/>
      <c r="AK274" s="3"/>
      <c r="AL274" s="3"/>
      <c r="AM274" s="3"/>
      <c r="AN274" s="3"/>
      <c r="AO274" s="3"/>
      <c r="AP274" s="3"/>
    </row>
    <row r="275" spans="2:42" x14ac:dyDescent="0.25">
      <c r="B275" s="13"/>
      <c r="C275" s="14"/>
      <c r="D275" s="60"/>
      <c r="E275" s="56"/>
      <c r="F275" s="56"/>
      <c r="G275" s="14"/>
      <c r="H275" s="56"/>
      <c r="I275" s="14"/>
      <c r="J275" s="14"/>
      <c r="K275" s="14"/>
      <c r="L275" s="14"/>
      <c r="M275" s="14"/>
      <c r="N275" s="14"/>
      <c r="O275" s="14"/>
      <c r="P275" s="14"/>
      <c r="Q275" s="14"/>
      <c r="R275" s="14"/>
      <c r="S275" s="14"/>
      <c r="T275" s="14"/>
      <c r="U275" s="14"/>
      <c r="V275" s="14"/>
      <c r="W275" s="14"/>
      <c r="X275" s="14"/>
      <c r="Y275" s="14"/>
      <c r="Z275" s="14"/>
      <c r="AA275" s="14"/>
      <c r="AB275" s="15"/>
      <c r="AC275" s="3"/>
      <c r="AD275" s="3"/>
      <c r="AE275" s="3"/>
      <c r="AF275" s="3"/>
      <c r="AG275" s="3"/>
      <c r="AH275" s="3"/>
      <c r="AI275" s="3"/>
      <c r="AJ275" s="3"/>
      <c r="AK275" s="3"/>
      <c r="AL275" s="3"/>
      <c r="AM275" s="3"/>
      <c r="AN275" s="3"/>
      <c r="AO275" s="3"/>
      <c r="AP275" s="3"/>
    </row>
    <row r="276" spans="2:42" x14ac:dyDescent="0.25">
      <c r="B276" s="13"/>
      <c r="C276" s="14"/>
      <c r="D276" s="60"/>
      <c r="E276" s="56"/>
      <c r="F276" s="56"/>
      <c r="G276" s="14"/>
      <c r="H276" s="56"/>
      <c r="I276" s="14"/>
      <c r="J276" s="14"/>
      <c r="K276" s="14"/>
      <c r="L276" s="14"/>
      <c r="M276" s="14"/>
      <c r="N276" s="14"/>
      <c r="O276" s="14"/>
      <c r="P276" s="14"/>
      <c r="Q276" s="14"/>
      <c r="R276" s="14"/>
      <c r="S276" s="14"/>
      <c r="T276" s="14"/>
      <c r="U276" s="14"/>
      <c r="V276" s="14"/>
      <c r="W276" s="14"/>
      <c r="X276" s="14"/>
      <c r="Y276" s="14"/>
      <c r="Z276" s="14"/>
      <c r="AA276" s="14"/>
      <c r="AB276" s="15"/>
      <c r="AC276" s="3"/>
      <c r="AD276" s="3"/>
      <c r="AE276" s="3"/>
      <c r="AF276" s="3"/>
      <c r="AG276" s="3"/>
      <c r="AH276" s="3"/>
      <c r="AI276" s="3"/>
      <c r="AJ276" s="3"/>
      <c r="AK276" s="3"/>
      <c r="AL276" s="3"/>
      <c r="AM276" s="3"/>
      <c r="AN276" s="3"/>
      <c r="AO276" s="3"/>
      <c r="AP276" s="3"/>
    </row>
    <row r="277" spans="2:42" x14ac:dyDescent="0.25">
      <c r="B277" s="13"/>
      <c r="C277" s="56"/>
      <c r="D277" s="60"/>
      <c r="E277" s="56"/>
      <c r="F277" s="56"/>
      <c r="G277" s="56"/>
      <c r="H277" s="56"/>
      <c r="I277" s="14"/>
      <c r="J277" s="14"/>
      <c r="K277" s="14"/>
      <c r="L277" s="14"/>
      <c r="M277" s="14"/>
      <c r="N277" s="14"/>
      <c r="O277" s="14"/>
      <c r="P277" s="14"/>
      <c r="Q277" s="14"/>
      <c r="R277" s="14"/>
      <c r="S277" s="14"/>
      <c r="T277" s="14"/>
      <c r="U277" s="14"/>
      <c r="V277" s="14"/>
      <c r="W277" s="14"/>
      <c r="X277" s="14"/>
      <c r="Y277" s="14"/>
      <c r="Z277" s="14"/>
      <c r="AA277" s="14"/>
      <c r="AB277" s="15"/>
      <c r="AC277" s="3"/>
      <c r="AD277" s="3"/>
      <c r="AE277" s="3"/>
      <c r="AF277" s="3"/>
      <c r="AG277" s="3"/>
      <c r="AH277" s="3"/>
      <c r="AI277" s="3"/>
      <c r="AJ277" s="3"/>
      <c r="AK277" s="3"/>
      <c r="AL277" s="3"/>
      <c r="AM277" s="3"/>
      <c r="AN277" s="3"/>
      <c r="AO277" s="3"/>
      <c r="AP277" s="3"/>
    </row>
    <row r="278" spans="2:42" x14ac:dyDescent="0.25">
      <c r="B278" s="13"/>
      <c r="C278" s="14"/>
      <c r="D278" s="60"/>
      <c r="E278" s="56"/>
      <c r="F278" s="56"/>
      <c r="G278" s="14"/>
      <c r="H278" s="56"/>
      <c r="I278" s="14"/>
      <c r="J278" s="14"/>
      <c r="K278" s="14"/>
      <c r="L278" s="14"/>
      <c r="M278" s="14"/>
      <c r="N278" s="14"/>
      <c r="O278" s="14"/>
      <c r="P278" s="14"/>
      <c r="Q278" s="14"/>
      <c r="R278" s="14"/>
      <c r="S278" s="14"/>
      <c r="T278" s="14"/>
      <c r="U278" s="14"/>
      <c r="V278" s="14"/>
      <c r="W278" s="14"/>
      <c r="X278" s="14"/>
      <c r="Y278" s="14"/>
      <c r="Z278" s="14"/>
      <c r="AA278" s="14"/>
      <c r="AB278" s="15"/>
      <c r="AC278" s="3"/>
      <c r="AD278" s="3"/>
      <c r="AE278" s="3"/>
      <c r="AF278" s="3"/>
      <c r="AG278" s="3"/>
      <c r="AH278" s="3"/>
      <c r="AI278" s="3"/>
      <c r="AJ278" s="3"/>
      <c r="AK278" s="3"/>
      <c r="AL278" s="3"/>
      <c r="AM278" s="3"/>
      <c r="AN278" s="3"/>
      <c r="AO278" s="3"/>
      <c r="AP278" s="3"/>
    </row>
    <row r="279" spans="2:42" x14ac:dyDescent="0.25">
      <c r="B279" s="13"/>
      <c r="C279" s="14"/>
      <c r="D279" s="14"/>
      <c r="E279" s="56"/>
      <c r="F279" s="56"/>
      <c r="G279" s="14"/>
      <c r="H279" s="56"/>
      <c r="I279" s="14"/>
      <c r="J279" s="14"/>
      <c r="K279" s="14"/>
      <c r="L279" s="14"/>
      <c r="M279" s="14"/>
      <c r="N279" s="14"/>
      <c r="O279" s="14"/>
      <c r="P279" s="14"/>
      <c r="Q279" s="14"/>
      <c r="R279" s="14"/>
      <c r="S279" s="14"/>
      <c r="T279" s="14"/>
      <c r="U279" s="14"/>
      <c r="V279" s="14"/>
      <c r="W279" s="14"/>
      <c r="X279" s="14"/>
      <c r="Y279" s="14"/>
      <c r="Z279" s="14"/>
      <c r="AA279" s="14"/>
      <c r="AB279" s="15"/>
      <c r="AC279" s="3"/>
      <c r="AD279" s="3"/>
      <c r="AE279" s="3"/>
      <c r="AF279" s="3"/>
      <c r="AG279" s="3"/>
      <c r="AH279" s="3"/>
      <c r="AI279" s="3"/>
      <c r="AJ279" s="3"/>
      <c r="AK279" s="3"/>
      <c r="AL279" s="3"/>
      <c r="AM279" s="3"/>
      <c r="AN279" s="3"/>
      <c r="AO279" s="3"/>
      <c r="AP279" s="3"/>
    </row>
    <row r="280" spans="2:42" ht="18.75" x14ac:dyDescent="0.3">
      <c r="B280" s="67"/>
      <c r="C280" s="14"/>
      <c r="D280" s="60"/>
      <c r="E280" s="56"/>
      <c r="F280" s="56"/>
      <c r="G280" s="14"/>
      <c r="H280" s="14"/>
      <c r="I280" s="74"/>
      <c r="J280" s="14"/>
      <c r="K280" s="14"/>
      <c r="L280" s="14"/>
      <c r="M280" s="14"/>
      <c r="N280" s="14"/>
      <c r="O280" s="14"/>
      <c r="P280" s="14"/>
      <c r="Q280" s="14"/>
      <c r="R280" s="14"/>
      <c r="S280" s="14"/>
      <c r="T280" s="14"/>
      <c r="U280" s="14"/>
      <c r="V280" s="14"/>
      <c r="W280" s="14"/>
      <c r="X280" s="14"/>
      <c r="Y280" s="14"/>
      <c r="Z280" s="14"/>
      <c r="AA280" s="14"/>
      <c r="AB280" s="15"/>
      <c r="AC280" s="3"/>
      <c r="AD280" s="3"/>
      <c r="AE280" s="3"/>
      <c r="AF280" s="3"/>
      <c r="AG280" s="3"/>
      <c r="AH280" s="3"/>
      <c r="AI280" s="3"/>
      <c r="AJ280" s="3"/>
      <c r="AK280" s="3"/>
      <c r="AL280" s="3"/>
      <c r="AM280" s="3"/>
      <c r="AN280" s="3"/>
      <c r="AO280" s="3"/>
      <c r="AP280" s="3"/>
    </row>
    <row r="281" spans="2:42" x14ac:dyDescent="0.25">
      <c r="B281" s="13"/>
      <c r="C281" s="14"/>
      <c r="D281" s="60"/>
      <c r="E281" s="56"/>
      <c r="F281" s="56"/>
      <c r="G281" s="14"/>
      <c r="H281" s="56"/>
      <c r="I281" s="14"/>
      <c r="J281" s="14"/>
      <c r="K281" s="14"/>
      <c r="L281" s="14"/>
      <c r="M281" s="14"/>
      <c r="N281" s="14"/>
      <c r="O281" s="14"/>
      <c r="P281" s="14"/>
      <c r="Q281" s="14"/>
      <c r="R281" s="14"/>
      <c r="S281" s="14"/>
      <c r="T281" s="14"/>
      <c r="U281" s="14"/>
      <c r="V281" s="14"/>
      <c r="W281" s="14"/>
      <c r="X281" s="14"/>
      <c r="Y281" s="14"/>
      <c r="Z281" s="14"/>
      <c r="AA281" s="14"/>
      <c r="AB281" s="15"/>
      <c r="AC281" s="3"/>
      <c r="AD281" s="3"/>
      <c r="AE281" s="3"/>
      <c r="AF281" s="3"/>
      <c r="AG281" s="3"/>
      <c r="AH281" s="3"/>
      <c r="AI281" s="3"/>
      <c r="AJ281" s="3"/>
      <c r="AK281" s="3"/>
      <c r="AL281" s="3"/>
      <c r="AM281" s="3"/>
      <c r="AN281" s="3"/>
      <c r="AO281" s="3"/>
      <c r="AP281" s="3"/>
    </row>
    <row r="282" spans="2:42" x14ac:dyDescent="0.25">
      <c r="B282" s="13"/>
      <c r="C282" s="14"/>
      <c r="D282" s="60"/>
      <c r="E282" s="56"/>
      <c r="F282" s="56"/>
      <c r="G282" s="14"/>
      <c r="H282" s="56"/>
      <c r="I282" s="14"/>
      <c r="J282" s="14"/>
      <c r="K282" s="14"/>
      <c r="L282" s="14"/>
      <c r="M282" s="14"/>
      <c r="N282" s="14"/>
      <c r="O282" s="14"/>
      <c r="P282" s="14"/>
      <c r="Q282" s="14"/>
      <c r="R282" s="14"/>
      <c r="S282" s="14"/>
      <c r="T282" s="14"/>
      <c r="U282" s="14"/>
      <c r="V282" s="14"/>
      <c r="W282" s="14"/>
      <c r="X282" s="14"/>
      <c r="Y282" s="14"/>
      <c r="Z282" s="14"/>
      <c r="AA282" s="14"/>
      <c r="AB282" s="15"/>
      <c r="AC282" s="3"/>
      <c r="AD282" s="3"/>
      <c r="AE282" s="3"/>
      <c r="AF282" s="3"/>
      <c r="AG282" s="3"/>
      <c r="AH282" s="3"/>
      <c r="AI282" s="3"/>
      <c r="AJ282" s="3"/>
      <c r="AK282" s="3"/>
      <c r="AL282" s="3"/>
      <c r="AM282" s="3"/>
      <c r="AN282" s="3"/>
      <c r="AO282" s="3"/>
      <c r="AP282" s="3"/>
    </row>
    <row r="283" spans="2:42" x14ac:dyDescent="0.25">
      <c r="B283" s="13"/>
      <c r="C283" s="14"/>
      <c r="D283" s="60"/>
      <c r="E283" s="56"/>
      <c r="F283" s="56"/>
      <c r="G283" s="14"/>
      <c r="H283" s="56"/>
      <c r="I283" s="14"/>
      <c r="J283" s="14"/>
      <c r="K283" s="14"/>
      <c r="L283" s="14"/>
      <c r="M283" s="14"/>
      <c r="N283" s="14"/>
      <c r="O283" s="14"/>
      <c r="P283" s="14"/>
      <c r="Q283" s="14"/>
      <c r="R283" s="14"/>
      <c r="S283" s="14"/>
      <c r="T283" s="14"/>
      <c r="U283" s="14"/>
      <c r="V283" s="14"/>
      <c r="W283" s="14"/>
      <c r="X283" s="14"/>
      <c r="Y283" s="14"/>
      <c r="Z283" s="14"/>
      <c r="AA283" s="14"/>
      <c r="AB283" s="15"/>
      <c r="AC283" s="3"/>
      <c r="AD283" s="3"/>
      <c r="AE283" s="3"/>
      <c r="AF283" s="3"/>
      <c r="AG283" s="3"/>
      <c r="AH283" s="3"/>
      <c r="AI283" s="3"/>
      <c r="AJ283" s="3"/>
      <c r="AK283" s="3"/>
      <c r="AL283" s="3"/>
      <c r="AM283" s="3"/>
      <c r="AN283" s="3"/>
      <c r="AO283" s="3"/>
      <c r="AP283" s="3"/>
    </row>
    <row r="284" spans="2:42" x14ac:dyDescent="0.25">
      <c r="B284" s="13"/>
      <c r="C284" s="56"/>
      <c r="D284" s="60"/>
      <c r="E284" s="56"/>
      <c r="F284" s="56"/>
      <c r="G284" s="56"/>
      <c r="H284" s="56"/>
      <c r="I284" s="14"/>
      <c r="J284" s="14"/>
      <c r="K284" s="14"/>
      <c r="L284" s="14"/>
      <c r="M284" s="14"/>
      <c r="N284" s="14"/>
      <c r="O284" s="14"/>
      <c r="P284" s="14"/>
      <c r="Q284" s="14"/>
      <c r="R284" s="14"/>
      <c r="S284" s="14"/>
      <c r="T284" s="14"/>
      <c r="U284" s="14"/>
      <c r="V284" s="14"/>
      <c r="W284" s="14"/>
      <c r="X284" s="14"/>
      <c r="Y284" s="14"/>
      <c r="Z284" s="14"/>
      <c r="AA284" s="14"/>
      <c r="AB284" s="15"/>
      <c r="AC284" s="3"/>
      <c r="AD284" s="3"/>
      <c r="AE284" s="3"/>
      <c r="AF284" s="3"/>
      <c r="AG284" s="3"/>
      <c r="AH284" s="3"/>
      <c r="AI284" s="3"/>
      <c r="AJ284" s="3"/>
      <c r="AK284" s="3"/>
      <c r="AL284" s="3"/>
      <c r="AM284" s="3"/>
      <c r="AN284" s="3"/>
      <c r="AO284" s="3"/>
      <c r="AP284" s="3"/>
    </row>
    <row r="285" spans="2:42" x14ac:dyDescent="0.25">
      <c r="B285" s="13"/>
      <c r="C285" s="14"/>
      <c r="D285" s="60"/>
      <c r="E285" s="56"/>
      <c r="F285" s="56"/>
      <c r="G285" s="14"/>
      <c r="H285" s="56"/>
      <c r="I285" s="14"/>
      <c r="J285" s="14"/>
      <c r="K285" s="14"/>
      <c r="L285" s="14"/>
      <c r="M285" s="14"/>
      <c r="N285" s="14"/>
      <c r="O285" s="14"/>
      <c r="P285" s="14"/>
      <c r="Q285" s="14"/>
      <c r="R285" s="14"/>
      <c r="S285" s="14"/>
      <c r="T285" s="14"/>
      <c r="U285" s="14"/>
      <c r="V285" s="14"/>
      <c r="W285" s="14"/>
      <c r="X285" s="14"/>
      <c r="Y285" s="14"/>
      <c r="Z285" s="14"/>
      <c r="AA285" s="14"/>
      <c r="AB285" s="15"/>
      <c r="AC285" s="3"/>
      <c r="AD285" s="3"/>
      <c r="AE285" s="3"/>
      <c r="AF285" s="3"/>
      <c r="AG285" s="3"/>
      <c r="AH285" s="3"/>
      <c r="AI285" s="3"/>
      <c r="AJ285" s="3"/>
      <c r="AK285" s="3"/>
      <c r="AL285" s="3"/>
      <c r="AM285" s="3"/>
      <c r="AN285" s="3"/>
      <c r="AO285" s="3"/>
      <c r="AP285" s="3"/>
    </row>
    <row r="286" spans="2:42" x14ac:dyDescent="0.25">
      <c r="B286" s="13"/>
      <c r="C286" s="14"/>
      <c r="D286" s="14"/>
      <c r="E286" s="56"/>
      <c r="F286" s="56"/>
      <c r="G286" s="14"/>
      <c r="H286" s="56"/>
      <c r="I286" s="14"/>
      <c r="J286" s="14"/>
      <c r="K286" s="14"/>
      <c r="L286" s="14"/>
      <c r="M286" s="14"/>
      <c r="N286" s="14"/>
      <c r="O286" s="14"/>
      <c r="P286" s="14"/>
      <c r="Q286" s="14"/>
      <c r="R286" s="14"/>
      <c r="S286" s="14"/>
      <c r="T286" s="14"/>
      <c r="U286" s="14"/>
      <c r="V286" s="14"/>
      <c r="W286" s="14"/>
      <c r="X286" s="14"/>
      <c r="Y286" s="14"/>
      <c r="Z286" s="14"/>
      <c r="AA286" s="14"/>
      <c r="AB286" s="15"/>
      <c r="AC286" s="3"/>
      <c r="AD286" s="3"/>
      <c r="AE286" s="3"/>
      <c r="AF286" s="3"/>
      <c r="AG286" s="3"/>
      <c r="AH286" s="3"/>
      <c r="AI286" s="3"/>
      <c r="AJ286" s="3"/>
      <c r="AK286" s="3"/>
      <c r="AL286" s="3"/>
      <c r="AM286" s="3"/>
      <c r="AN286" s="3"/>
      <c r="AO286" s="3"/>
      <c r="AP286" s="3"/>
    </row>
    <row r="287" spans="2:42" x14ac:dyDescent="0.25">
      <c r="B287" s="13"/>
      <c r="C287" s="14"/>
      <c r="D287" s="60"/>
      <c r="E287" s="56"/>
      <c r="F287" s="56"/>
      <c r="G287" s="14"/>
      <c r="H287" s="14"/>
      <c r="I287" s="14"/>
      <c r="J287" s="14"/>
      <c r="K287" s="14"/>
      <c r="L287" s="14"/>
      <c r="M287" s="14"/>
      <c r="N287" s="14"/>
      <c r="O287" s="14"/>
      <c r="P287" s="14"/>
      <c r="Q287" s="14"/>
      <c r="R287" s="14"/>
      <c r="S287" s="14"/>
      <c r="T287" s="14"/>
      <c r="U287" s="14"/>
      <c r="V287" s="14"/>
      <c r="W287" s="14"/>
      <c r="X287" s="14"/>
      <c r="Y287" s="14"/>
      <c r="Z287" s="14"/>
      <c r="AA287" s="14"/>
      <c r="AB287" s="15"/>
      <c r="AC287" s="3"/>
      <c r="AD287" s="3"/>
      <c r="AE287" s="3"/>
      <c r="AF287" s="3"/>
      <c r="AG287" s="3"/>
      <c r="AH287" s="3"/>
      <c r="AI287" s="3"/>
      <c r="AJ287" s="3"/>
      <c r="AK287" s="3"/>
      <c r="AL287" s="3"/>
      <c r="AM287" s="3"/>
      <c r="AN287" s="3"/>
      <c r="AO287" s="3"/>
      <c r="AP287" s="3"/>
    </row>
    <row r="288" spans="2:42" ht="18.75" x14ac:dyDescent="0.3">
      <c r="B288" s="67"/>
      <c r="C288" s="14"/>
      <c r="D288" s="60"/>
      <c r="E288" s="56"/>
      <c r="F288" s="56"/>
      <c r="G288" s="14"/>
      <c r="H288" s="56"/>
      <c r="I288" s="74"/>
      <c r="J288" s="14"/>
      <c r="K288" s="14"/>
      <c r="L288" s="14"/>
      <c r="M288" s="14"/>
      <c r="N288" s="14"/>
      <c r="O288" s="14"/>
      <c r="P288" s="14"/>
      <c r="Q288" s="14"/>
      <c r="R288" s="14"/>
      <c r="S288" s="14"/>
      <c r="T288" s="14"/>
      <c r="U288" s="14"/>
      <c r="V288" s="14"/>
      <c r="W288" s="14"/>
      <c r="X288" s="14"/>
      <c r="Y288" s="14"/>
      <c r="Z288" s="14"/>
      <c r="AA288" s="14"/>
      <c r="AB288" s="15"/>
      <c r="AC288" s="3"/>
      <c r="AD288" s="3"/>
      <c r="AE288" s="3"/>
      <c r="AF288" s="3"/>
      <c r="AG288" s="3"/>
      <c r="AH288" s="3"/>
      <c r="AI288" s="3"/>
      <c r="AJ288" s="3"/>
      <c r="AK288" s="3"/>
      <c r="AL288" s="3"/>
      <c r="AM288" s="3"/>
      <c r="AN288" s="3"/>
      <c r="AO288" s="3"/>
      <c r="AP288" s="3"/>
    </row>
    <row r="289" spans="2:42" x14ac:dyDescent="0.25">
      <c r="B289" s="13"/>
      <c r="C289" s="14"/>
      <c r="D289" s="60"/>
      <c r="E289" s="56"/>
      <c r="F289" s="56"/>
      <c r="G289" s="14"/>
      <c r="H289" s="56"/>
      <c r="I289" s="14"/>
      <c r="J289" s="14"/>
      <c r="K289" s="14"/>
      <c r="L289" s="14"/>
      <c r="M289" s="14"/>
      <c r="N289" s="14"/>
      <c r="O289" s="14"/>
      <c r="P289" s="14"/>
      <c r="Q289" s="14"/>
      <c r="R289" s="14"/>
      <c r="S289" s="14"/>
      <c r="T289" s="14"/>
      <c r="U289" s="14"/>
      <c r="V289" s="14"/>
      <c r="W289" s="14"/>
      <c r="X289" s="14"/>
      <c r="Y289" s="14"/>
      <c r="Z289" s="14"/>
      <c r="AA289" s="14"/>
      <c r="AB289" s="15"/>
      <c r="AC289" s="3"/>
      <c r="AD289" s="3"/>
      <c r="AE289" s="3"/>
      <c r="AF289" s="3"/>
      <c r="AG289" s="3"/>
      <c r="AH289" s="3"/>
      <c r="AI289" s="3"/>
      <c r="AJ289" s="3"/>
      <c r="AK289" s="3"/>
      <c r="AL289" s="3"/>
      <c r="AM289" s="3"/>
      <c r="AN289" s="3"/>
      <c r="AO289" s="3"/>
      <c r="AP289" s="3"/>
    </row>
    <row r="290" spans="2:42" x14ac:dyDescent="0.25">
      <c r="B290" s="13"/>
      <c r="C290" s="14"/>
      <c r="D290" s="60"/>
      <c r="E290" s="56"/>
      <c r="F290" s="56"/>
      <c r="G290" s="14"/>
      <c r="H290" s="56"/>
      <c r="I290" s="14"/>
      <c r="J290" s="14"/>
      <c r="K290" s="14"/>
      <c r="L290" s="14"/>
      <c r="M290" s="14"/>
      <c r="N290" s="14"/>
      <c r="O290" s="14"/>
      <c r="P290" s="14"/>
      <c r="Q290" s="14"/>
      <c r="R290" s="14"/>
      <c r="S290" s="14"/>
      <c r="T290" s="14"/>
      <c r="U290" s="14"/>
      <c r="V290" s="14"/>
      <c r="W290" s="14"/>
      <c r="X290" s="14"/>
      <c r="Y290" s="14"/>
      <c r="Z290" s="14"/>
      <c r="AA290" s="14"/>
      <c r="AB290" s="15"/>
      <c r="AC290" s="3"/>
      <c r="AD290" s="3"/>
      <c r="AE290" s="3"/>
      <c r="AF290" s="3"/>
      <c r="AG290" s="3"/>
      <c r="AH290" s="3"/>
      <c r="AI290" s="3"/>
      <c r="AJ290" s="3"/>
      <c r="AK290" s="3"/>
      <c r="AL290" s="3"/>
      <c r="AM290" s="3"/>
      <c r="AN290" s="3"/>
      <c r="AO290" s="3"/>
      <c r="AP290" s="3"/>
    </row>
    <row r="291" spans="2:42" x14ac:dyDescent="0.25">
      <c r="B291" s="13"/>
      <c r="C291" s="56"/>
      <c r="D291" s="60"/>
      <c r="E291" s="56"/>
      <c r="F291" s="56"/>
      <c r="G291" s="56"/>
      <c r="H291" s="56"/>
      <c r="I291" s="14"/>
      <c r="J291" s="14"/>
      <c r="K291" s="14"/>
      <c r="L291" s="14"/>
      <c r="M291" s="14"/>
      <c r="N291" s="14"/>
      <c r="O291" s="14"/>
      <c r="P291" s="14"/>
      <c r="Q291" s="14"/>
      <c r="R291" s="14"/>
      <c r="S291" s="14"/>
      <c r="T291" s="14"/>
      <c r="U291" s="14"/>
      <c r="V291" s="14"/>
      <c r="W291" s="14"/>
      <c r="X291" s="14"/>
      <c r="Y291" s="14"/>
      <c r="Z291" s="14"/>
      <c r="AA291" s="14"/>
      <c r="AB291" s="15"/>
      <c r="AC291" s="3"/>
      <c r="AD291" s="3"/>
      <c r="AE291" s="3"/>
      <c r="AF291" s="3"/>
      <c r="AG291" s="3"/>
      <c r="AH291" s="3"/>
      <c r="AI291" s="3"/>
      <c r="AJ291" s="3"/>
      <c r="AK291" s="3"/>
      <c r="AL291" s="3"/>
      <c r="AM291" s="3"/>
      <c r="AN291" s="3"/>
      <c r="AO291" s="3"/>
      <c r="AP291" s="3"/>
    </row>
    <row r="292" spans="2:42" x14ac:dyDescent="0.25">
      <c r="B292" s="13"/>
      <c r="C292" s="14"/>
      <c r="D292" s="60"/>
      <c r="E292" s="56"/>
      <c r="F292" s="56"/>
      <c r="G292" s="14"/>
      <c r="H292" s="56"/>
      <c r="I292" s="14"/>
      <c r="J292" s="14"/>
      <c r="K292" s="14"/>
      <c r="L292" s="14"/>
      <c r="M292" s="14"/>
      <c r="N292" s="14"/>
      <c r="O292" s="14"/>
      <c r="P292" s="14"/>
      <c r="Q292" s="14"/>
      <c r="R292" s="14"/>
      <c r="S292" s="14"/>
      <c r="T292" s="14"/>
      <c r="U292" s="14"/>
      <c r="V292" s="14"/>
      <c r="W292" s="14"/>
      <c r="X292" s="14"/>
      <c r="Y292" s="14"/>
      <c r="Z292" s="14"/>
      <c r="AA292" s="14"/>
      <c r="AB292" s="15"/>
      <c r="AC292" s="3"/>
      <c r="AD292" s="3"/>
      <c r="AE292" s="3"/>
      <c r="AF292" s="3"/>
      <c r="AG292" s="3"/>
      <c r="AH292" s="3"/>
      <c r="AI292" s="3"/>
      <c r="AJ292" s="3"/>
      <c r="AK292" s="3"/>
      <c r="AL292" s="3"/>
      <c r="AM292" s="3"/>
      <c r="AN292" s="3"/>
      <c r="AO292" s="3"/>
      <c r="AP292" s="3"/>
    </row>
    <row r="293" spans="2:42" x14ac:dyDescent="0.25">
      <c r="B293" s="13"/>
      <c r="C293" s="14"/>
      <c r="D293" s="14"/>
      <c r="E293" s="56"/>
      <c r="F293" s="56"/>
      <c r="G293" s="14"/>
      <c r="H293" s="56"/>
      <c r="I293" s="14"/>
      <c r="J293" s="14"/>
      <c r="K293" s="14"/>
      <c r="L293" s="14"/>
      <c r="M293" s="14"/>
      <c r="N293" s="14"/>
      <c r="O293" s="14"/>
      <c r="P293" s="14"/>
      <c r="Q293" s="14"/>
      <c r="R293" s="14"/>
      <c r="S293" s="14"/>
      <c r="T293" s="14"/>
      <c r="U293" s="14"/>
      <c r="V293" s="14"/>
      <c r="W293" s="14"/>
      <c r="X293" s="14"/>
      <c r="Y293" s="14"/>
      <c r="Z293" s="14"/>
      <c r="AA293" s="14"/>
      <c r="AB293" s="15"/>
      <c r="AC293" s="3"/>
      <c r="AD293" s="3"/>
      <c r="AE293" s="3"/>
      <c r="AF293" s="3"/>
      <c r="AG293" s="3"/>
      <c r="AH293" s="3"/>
      <c r="AI293" s="3"/>
      <c r="AJ293" s="3"/>
      <c r="AK293" s="3"/>
      <c r="AL293" s="3"/>
      <c r="AM293" s="3"/>
      <c r="AN293" s="3"/>
      <c r="AO293" s="3"/>
      <c r="AP293" s="3"/>
    </row>
    <row r="294" spans="2:42" x14ac:dyDescent="0.25">
      <c r="B294" s="13"/>
      <c r="C294" s="14"/>
      <c r="D294" s="60"/>
      <c r="E294" s="56"/>
      <c r="F294" s="56"/>
      <c r="G294" s="14"/>
      <c r="H294" s="14"/>
      <c r="I294" s="14"/>
      <c r="J294" s="14"/>
      <c r="K294" s="14"/>
      <c r="L294" s="14"/>
      <c r="M294" s="14"/>
      <c r="N294" s="14"/>
      <c r="O294" s="14"/>
      <c r="P294" s="14"/>
      <c r="Q294" s="14"/>
      <c r="R294" s="14"/>
      <c r="S294" s="14"/>
      <c r="T294" s="14"/>
      <c r="U294" s="14"/>
      <c r="V294" s="14"/>
      <c r="W294" s="14"/>
      <c r="X294" s="14"/>
      <c r="Y294" s="14"/>
      <c r="Z294" s="14"/>
      <c r="AA294" s="14"/>
      <c r="AB294" s="15"/>
      <c r="AC294" s="3"/>
      <c r="AD294" s="3"/>
      <c r="AE294" s="3"/>
      <c r="AF294" s="3"/>
      <c r="AG294" s="3"/>
      <c r="AH294" s="3"/>
      <c r="AI294" s="3"/>
      <c r="AJ294" s="3"/>
      <c r="AK294" s="3"/>
      <c r="AL294" s="3"/>
      <c r="AM294" s="3"/>
      <c r="AN294" s="3"/>
      <c r="AO294" s="3"/>
      <c r="AP294" s="3"/>
    </row>
    <row r="295" spans="2:42" x14ac:dyDescent="0.25">
      <c r="B295" s="13"/>
      <c r="C295" s="14"/>
      <c r="D295" s="60"/>
      <c r="E295" s="56"/>
      <c r="F295" s="56"/>
      <c r="G295" s="14"/>
      <c r="H295" s="56"/>
      <c r="I295" s="14"/>
      <c r="J295" s="14"/>
      <c r="K295" s="14"/>
      <c r="L295" s="14"/>
      <c r="M295" s="14"/>
      <c r="N295" s="14"/>
      <c r="O295" s="14"/>
      <c r="P295" s="14"/>
      <c r="Q295" s="14"/>
      <c r="R295" s="14"/>
      <c r="S295" s="14"/>
      <c r="T295" s="14"/>
      <c r="U295" s="14"/>
      <c r="V295" s="14"/>
      <c r="W295" s="14"/>
      <c r="X295" s="14"/>
      <c r="Y295" s="14"/>
      <c r="Z295" s="14"/>
      <c r="AA295" s="14"/>
      <c r="AB295" s="15"/>
      <c r="AC295" s="3"/>
      <c r="AD295" s="3"/>
      <c r="AE295" s="3"/>
      <c r="AF295" s="3"/>
      <c r="AG295" s="3"/>
      <c r="AH295" s="3"/>
      <c r="AI295" s="3"/>
      <c r="AJ295" s="3"/>
      <c r="AK295" s="3"/>
      <c r="AL295" s="3"/>
      <c r="AM295" s="3"/>
      <c r="AN295" s="3"/>
      <c r="AO295" s="3"/>
      <c r="AP295" s="3"/>
    </row>
    <row r="296" spans="2:42" ht="18.75" x14ac:dyDescent="0.3">
      <c r="B296" s="67"/>
      <c r="C296" s="14"/>
      <c r="D296" s="60"/>
      <c r="E296" s="56"/>
      <c r="F296" s="56"/>
      <c r="G296" s="14"/>
      <c r="H296" s="56"/>
      <c r="I296" s="74"/>
      <c r="J296" s="14"/>
      <c r="K296" s="14"/>
      <c r="L296" s="14"/>
      <c r="M296" s="14"/>
      <c r="N296" s="14"/>
      <c r="O296" s="14"/>
      <c r="P296" s="14"/>
      <c r="Q296" s="14"/>
      <c r="R296" s="14"/>
      <c r="S296" s="14"/>
      <c r="T296" s="14"/>
      <c r="U296" s="14"/>
      <c r="V296" s="14"/>
      <c r="W296" s="14"/>
      <c r="X296" s="14"/>
      <c r="Y296" s="14"/>
      <c r="Z296" s="14"/>
      <c r="AA296" s="14"/>
      <c r="AB296" s="15"/>
      <c r="AC296" s="3"/>
      <c r="AD296" s="3"/>
      <c r="AE296" s="3"/>
      <c r="AF296" s="3"/>
      <c r="AG296" s="3"/>
      <c r="AH296" s="3"/>
      <c r="AI296" s="3"/>
      <c r="AJ296" s="3"/>
      <c r="AK296" s="3"/>
      <c r="AL296" s="3"/>
      <c r="AM296" s="3"/>
      <c r="AN296" s="3"/>
      <c r="AO296" s="3"/>
      <c r="AP296" s="3"/>
    </row>
    <row r="297" spans="2:42" x14ac:dyDescent="0.25">
      <c r="B297" s="13"/>
      <c r="C297" s="14"/>
      <c r="D297" s="60"/>
      <c r="E297" s="56"/>
      <c r="F297" s="56"/>
      <c r="G297" s="14"/>
      <c r="H297" s="56"/>
      <c r="I297" s="14"/>
      <c r="J297" s="14"/>
      <c r="K297" s="14"/>
      <c r="L297" s="14"/>
      <c r="M297" s="14"/>
      <c r="N297" s="14"/>
      <c r="O297" s="14"/>
      <c r="P297" s="14"/>
      <c r="Q297" s="14"/>
      <c r="R297" s="14"/>
      <c r="S297" s="14"/>
      <c r="T297" s="14"/>
      <c r="U297" s="14"/>
      <c r="V297" s="14"/>
      <c r="W297" s="14"/>
      <c r="X297" s="14"/>
      <c r="Y297" s="14"/>
      <c r="Z297" s="14"/>
      <c r="AA297" s="14"/>
      <c r="AB297" s="15"/>
      <c r="AC297" s="3"/>
      <c r="AD297" s="3"/>
      <c r="AE297" s="3"/>
      <c r="AF297" s="3"/>
      <c r="AG297" s="3"/>
      <c r="AH297" s="3"/>
      <c r="AI297" s="3"/>
      <c r="AJ297" s="3"/>
      <c r="AK297" s="3"/>
      <c r="AL297" s="3"/>
      <c r="AM297" s="3"/>
      <c r="AN297" s="3"/>
      <c r="AO297" s="3"/>
      <c r="AP297" s="3"/>
    </row>
    <row r="298" spans="2:42" x14ac:dyDescent="0.25">
      <c r="B298" s="13"/>
      <c r="C298" s="56"/>
      <c r="D298" s="60"/>
      <c r="E298" s="56"/>
      <c r="F298" s="56"/>
      <c r="G298" s="56"/>
      <c r="H298" s="56"/>
      <c r="I298" s="14"/>
      <c r="J298" s="14"/>
      <c r="K298" s="14"/>
      <c r="L298" s="14"/>
      <c r="M298" s="14"/>
      <c r="N298" s="14"/>
      <c r="O298" s="14"/>
      <c r="P298" s="14"/>
      <c r="Q298" s="14"/>
      <c r="R298" s="14"/>
      <c r="S298" s="14"/>
      <c r="T298" s="14"/>
      <c r="U298" s="14"/>
      <c r="V298" s="14"/>
      <c r="W298" s="14"/>
      <c r="X298" s="14"/>
      <c r="Y298" s="14"/>
      <c r="Z298" s="14"/>
      <c r="AA298" s="14"/>
      <c r="AB298" s="15"/>
      <c r="AC298" s="3"/>
      <c r="AD298" s="3"/>
      <c r="AE298" s="3"/>
      <c r="AF298" s="3"/>
      <c r="AG298" s="3"/>
      <c r="AH298" s="3"/>
      <c r="AI298" s="3"/>
      <c r="AJ298" s="3"/>
      <c r="AK298" s="3"/>
      <c r="AL298" s="3"/>
      <c r="AM298" s="3"/>
      <c r="AN298" s="3"/>
      <c r="AO298" s="3"/>
      <c r="AP298" s="3"/>
    </row>
    <row r="299" spans="2:42" x14ac:dyDescent="0.25">
      <c r="B299" s="13"/>
      <c r="C299" s="14"/>
      <c r="D299" s="60"/>
      <c r="E299" s="56"/>
      <c r="F299" s="56"/>
      <c r="G299" s="14"/>
      <c r="H299" s="56"/>
      <c r="I299" s="14"/>
      <c r="J299" s="14"/>
      <c r="K299" s="14"/>
      <c r="L299" s="14"/>
      <c r="M299" s="14"/>
      <c r="N299" s="14"/>
      <c r="O299" s="14"/>
      <c r="P299" s="14"/>
      <c r="Q299" s="14"/>
      <c r="R299" s="14"/>
      <c r="S299" s="14"/>
      <c r="T299" s="14"/>
      <c r="U299" s="14"/>
      <c r="V299" s="14"/>
      <c r="W299" s="14"/>
      <c r="X299" s="14"/>
      <c r="Y299" s="14"/>
      <c r="Z299" s="14"/>
      <c r="AA299" s="14"/>
      <c r="AB299" s="15"/>
      <c r="AC299" s="3"/>
      <c r="AD299" s="3"/>
      <c r="AE299" s="3"/>
      <c r="AF299" s="3"/>
      <c r="AG299" s="3"/>
      <c r="AH299" s="3"/>
      <c r="AI299" s="3"/>
      <c r="AJ299" s="3"/>
      <c r="AK299" s="3"/>
      <c r="AL299" s="3"/>
      <c r="AM299" s="3"/>
      <c r="AN299" s="3"/>
      <c r="AO299" s="3"/>
      <c r="AP299" s="3"/>
    </row>
    <row r="300" spans="2:42" x14ac:dyDescent="0.25">
      <c r="B300" s="13"/>
      <c r="C300" s="14"/>
      <c r="D300" s="14"/>
      <c r="E300" s="56"/>
      <c r="F300" s="56"/>
      <c r="G300" s="14"/>
      <c r="H300" s="56"/>
      <c r="I300" s="14"/>
      <c r="J300" s="14"/>
      <c r="K300" s="14"/>
      <c r="L300" s="14"/>
      <c r="M300" s="14"/>
      <c r="N300" s="14"/>
      <c r="O300" s="14"/>
      <c r="P300" s="14"/>
      <c r="Q300" s="14"/>
      <c r="R300" s="14"/>
      <c r="S300" s="14"/>
      <c r="T300" s="14"/>
      <c r="U300" s="14"/>
      <c r="V300" s="14"/>
      <c r="W300" s="14"/>
      <c r="X300" s="14"/>
      <c r="Y300" s="14"/>
      <c r="Z300" s="14"/>
      <c r="AA300" s="14"/>
      <c r="AB300" s="15"/>
      <c r="AC300" s="3"/>
      <c r="AD300" s="3"/>
      <c r="AE300" s="3"/>
      <c r="AF300" s="3"/>
      <c r="AG300" s="3"/>
      <c r="AH300" s="3"/>
      <c r="AI300" s="3"/>
      <c r="AJ300" s="3"/>
      <c r="AK300" s="3"/>
      <c r="AL300" s="3"/>
      <c r="AM300" s="3"/>
      <c r="AN300" s="3"/>
      <c r="AO300" s="3"/>
      <c r="AP300" s="3"/>
    </row>
    <row r="301" spans="2:42" x14ac:dyDescent="0.25">
      <c r="B301" s="13"/>
      <c r="C301" s="14"/>
      <c r="D301" s="60"/>
      <c r="E301" s="56"/>
      <c r="F301" s="56"/>
      <c r="G301" s="14"/>
      <c r="H301" s="14"/>
      <c r="I301" s="14"/>
      <c r="J301" s="14"/>
      <c r="K301" s="14"/>
      <c r="L301" s="14"/>
      <c r="M301" s="14"/>
      <c r="N301" s="14"/>
      <c r="O301" s="14"/>
      <c r="P301" s="14"/>
      <c r="Q301" s="14"/>
      <c r="R301" s="14"/>
      <c r="S301" s="14"/>
      <c r="T301" s="14"/>
      <c r="U301" s="14"/>
      <c r="V301" s="14"/>
      <c r="W301" s="14"/>
      <c r="X301" s="14"/>
      <c r="Y301" s="14"/>
      <c r="Z301" s="14"/>
      <c r="AA301" s="14"/>
      <c r="AB301" s="15"/>
      <c r="AC301" s="3"/>
      <c r="AD301" s="3"/>
      <c r="AE301" s="3"/>
      <c r="AF301" s="3"/>
      <c r="AG301" s="3"/>
      <c r="AH301" s="3"/>
      <c r="AI301" s="3"/>
      <c r="AJ301" s="3"/>
      <c r="AK301" s="3"/>
      <c r="AL301" s="3"/>
      <c r="AM301" s="3"/>
      <c r="AN301" s="3"/>
      <c r="AO301" s="3"/>
      <c r="AP301" s="3"/>
    </row>
    <row r="302" spans="2:42" x14ac:dyDescent="0.25">
      <c r="B302" s="13"/>
      <c r="C302" s="14"/>
      <c r="D302" s="60"/>
      <c r="E302" s="56"/>
      <c r="F302" s="56"/>
      <c r="G302" s="14"/>
      <c r="H302" s="56"/>
      <c r="I302" s="14"/>
      <c r="J302" s="14"/>
      <c r="K302" s="14"/>
      <c r="L302" s="14"/>
      <c r="M302" s="14"/>
      <c r="N302" s="14"/>
      <c r="O302" s="14"/>
      <c r="P302" s="14"/>
      <c r="Q302" s="14"/>
      <c r="R302" s="14"/>
      <c r="S302" s="14"/>
      <c r="T302" s="14"/>
      <c r="U302" s="14"/>
      <c r="V302" s="14"/>
      <c r="W302" s="14"/>
      <c r="X302" s="14"/>
      <c r="Y302" s="14"/>
      <c r="Z302" s="14"/>
      <c r="AA302" s="14"/>
      <c r="AB302" s="15"/>
      <c r="AC302" s="3"/>
      <c r="AD302" s="3"/>
      <c r="AE302" s="3"/>
      <c r="AF302" s="3"/>
      <c r="AG302" s="3"/>
      <c r="AH302" s="3"/>
      <c r="AI302" s="3"/>
      <c r="AJ302" s="3"/>
      <c r="AK302" s="3"/>
      <c r="AL302" s="3"/>
      <c r="AM302" s="3"/>
      <c r="AN302" s="3"/>
      <c r="AO302" s="3"/>
      <c r="AP302" s="3"/>
    </row>
    <row r="303" spans="2:42" x14ac:dyDescent="0.25">
      <c r="B303" s="13"/>
      <c r="C303" s="14"/>
      <c r="D303" s="60"/>
      <c r="E303" s="56"/>
      <c r="F303" s="56"/>
      <c r="G303" s="14"/>
      <c r="H303" s="56"/>
      <c r="I303" s="14"/>
      <c r="J303" s="14"/>
      <c r="K303" s="14"/>
      <c r="L303" s="14"/>
      <c r="M303" s="14"/>
      <c r="N303" s="14"/>
      <c r="O303" s="14"/>
      <c r="P303" s="14"/>
      <c r="Q303" s="14"/>
      <c r="R303" s="14"/>
      <c r="S303" s="14"/>
      <c r="T303" s="14"/>
      <c r="U303" s="14"/>
      <c r="V303" s="14"/>
      <c r="W303" s="14"/>
      <c r="X303" s="14"/>
      <c r="Y303" s="14"/>
      <c r="Z303" s="14"/>
      <c r="AA303" s="14"/>
      <c r="AB303" s="15"/>
      <c r="AC303" s="3"/>
      <c r="AD303" s="3"/>
      <c r="AE303" s="3"/>
      <c r="AF303" s="3"/>
      <c r="AG303" s="3"/>
      <c r="AH303" s="3"/>
      <c r="AI303" s="3"/>
      <c r="AJ303" s="3"/>
      <c r="AK303" s="3"/>
      <c r="AL303" s="3"/>
      <c r="AM303" s="3"/>
      <c r="AN303" s="3"/>
      <c r="AO303" s="3"/>
      <c r="AP303" s="3"/>
    </row>
    <row r="304" spans="2:42" ht="18.75" x14ac:dyDescent="0.3">
      <c r="B304" s="67"/>
      <c r="C304" s="14"/>
      <c r="D304" s="60"/>
      <c r="E304" s="56"/>
      <c r="F304" s="56"/>
      <c r="G304" s="14"/>
      <c r="H304" s="56"/>
      <c r="I304" s="74"/>
      <c r="J304" s="14"/>
      <c r="K304" s="14"/>
      <c r="L304" s="14"/>
      <c r="M304" s="14"/>
      <c r="N304" s="14"/>
      <c r="O304" s="14"/>
      <c r="P304" s="14"/>
      <c r="Q304" s="14"/>
      <c r="R304" s="14"/>
      <c r="S304" s="14"/>
      <c r="T304" s="14"/>
      <c r="U304" s="14"/>
      <c r="V304" s="14"/>
      <c r="W304" s="14"/>
      <c r="X304" s="14"/>
      <c r="Y304" s="14"/>
      <c r="Z304" s="14"/>
      <c r="AA304" s="14"/>
      <c r="AB304" s="15"/>
      <c r="AC304" s="3"/>
      <c r="AD304" s="3"/>
      <c r="AE304" s="3"/>
      <c r="AF304" s="3"/>
      <c r="AG304" s="3"/>
      <c r="AH304" s="3"/>
      <c r="AI304" s="3"/>
      <c r="AJ304" s="3"/>
      <c r="AK304" s="3"/>
      <c r="AL304" s="3"/>
      <c r="AM304" s="3"/>
      <c r="AN304" s="3"/>
      <c r="AO304" s="3"/>
      <c r="AP304" s="3"/>
    </row>
    <row r="305" spans="2:42" x14ac:dyDescent="0.25">
      <c r="B305" s="13"/>
      <c r="C305" s="56"/>
      <c r="D305" s="60"/>
      <c r="E305" s="56"/>
      <c r="F305" s="56"/>
      <c r="G305" s="56"/>
      <c r="H305" s="56"/>
      <c r="I305" s="14"/>
      <c r="J305" s="14"/>
      <c r="K305" s="14"/>
      <c r="L305" s="14"/>
      <c r="M305" s="14"/>
      <c r="N305" s="14"/>
      <c r="O305" s="14"/>
      <c r="P305" s="14"/>
      <c r="Q305" s="14"/>
      <c r="R305" s="14"/>
      <c r="S305" s="14"/>
      <c r="T305" s="14"/>
      <c r="U305" s="14"/>
      <c r="V305" s="14"/>
      <c r="W305" s="14"/>
      <c r="X305" s="14"/>
      <c r="Y305" s="14"/>
      <c r="Z305" s="14"/>
      <c r="AA305" s="14"/>
      <c r="AB305" s="15"/>
      <c r="AC305" s="3"/>
      <c r="AD305" s="3"/>
      <c r="AE305" s="3"/>
      <c r="AF305" s="3"/>
      <c r="AG305" s="3"/>
      <c r="AH305" s="3"/>
      <c r="AI305" s="3"/>
      <c r="AJ305" s="3"/>
      <c r="AK305" s="3"/>
      <c r="AL305" s="3"/>
      <c r="AM305" s="3"/>
      <c r="AN305" s="3"/>
      <c r="AO305" s="3"/>
      <c r="AP305" s="3"/>
    </row>
    <row r="306" spans="2:42" x14ac:dyDescent="0.25">
      <c r="B306" s="13"/>
      <c r="C306" s="14"/>
      <c r="D306" s="60"/>
      <c r="E306" s="56"/>
      <c r="F306" s="56"/>
      <c r="G306" s="14"/>
      <c r="H306" s="56"/>
      <c r="I306" s="14"/>
      <c r="J306" s="14"/>
      <c r="K306" s="14"/>
      <c r="L306" s="14"/>
      <c r="M306" s="14"/>
      <c r="N306" s="14"/>
      <c r="O306" s="14"/>
      <c r="P306" s="14"/>
      <c r="Q306" s="14"/>
      <c r="R306" s="14"/>
      <c r="S306" s="14"/>
      <c r="T306" s="14"/>
      <c r="U306" s="14"/>
      <c r="V306" s="14"/>
      <c r="W306" s="14"/>
      <c r="X306" s="14"/>
      <c r="Y306" s="14"/>
      <c r="Z306" s="14"/>
      <c r="AA306" s="14"/>
      <c r="AB306" s="15"/>
      <c r="AC306" s="3"/>
      <c r="AD306" s="3"/>
      <c r="AE306" s="3"/>
      <c r="AF306" s="3"/>
      <c r="AG306" s="3"/>
      <c r="AH306" s="3"/>
      <c r="AI306" s="3"/>
      <c r="AJ306" s="3"/>
      <c r="AK306" s="3"/>
      <c r="AL306" s="3"/>
      <c r="AM306" s="3"/>
      <c r="AN306" s="3"/>
      <c r="AO306" s="3"/>
      <c r="AP306" s="3"/>
    </row>
    <row r="307" spans="2:42" x14ac:dyDescent="0.25">
      <c r="B307" s="13"/>
      <c r="C307" s="14"/>
      <c r="D307" s="14"/>
      <c r="E307" s="56"/>
      <c r="F307" s="56"/>
      <c r="G307" s="14"/>
      <c r="H307" s="56"/>
      <c r="I307" s="14"/>
      <c r="J307" s="14"/>
      <c r="K307" s="14"/>
      <c r="L307" s="14"/>
      <c r="M307" s="14"/>
      <c r="N307" s="14"/>
      <c r="O307" s="14"/>
      <c r="P307" s="14"/>
      <c r="Q307" s="14"/>
      <c r="R307" s="14"/>
      <c r="S307" s="14"/>
      <c r="T307" s="14"/>
      <c r="U307" s="14"/>
      <c r="V307" s="14"/>
      <c r="W307" s="14"/>
      <c r="X307" s="14"/>
      <c r="Y307" s="14"/>
      <c r="Z307" s="14"/>
      <c r="AA307" s="14"/>
      <c r="AB307" s="15"/>
      <c r="AC307" s="3"/>
      <c r="AD307" s="3"/>
      <c r="AE307" s="3"/>
      <c r="AF307" s="3"/>
      <c r="AG307" s="3"/>
      <c r="AH307" s="3"/>
      <c r="AI307" s="3"/>
      <c r="AJ307" s="3"/>
      <c r="AK307" s="3"/>
      <c r="AL307" s="3"/>
      <c r="AM307" s="3"/>
      <c r="AN307" s="3"/>
      <c r="AO307" s="3"/>
      <c r="AP307" s="3"/>
    </row>
    <row r="308" spans="2:42" x14ac:dyDescent="0.25">
      <c r="B308" s="13"/>
      <c r="C308" s="14"/>
      <c r="D308" s="60"/>
      <c r="E308" s="56"/>
      <c r="F308" s="56"/>
      <c r="G308" s="14"/>
      <c r="H308" s="14"/>
      <c r="I308" s="14"/>
      <c r="J308" s="14"/>
      <c r="K308" s="14"/>
      <c r="L308" s="14"/>
      <c r="M308" s="14"/>
      <c r="N308" s="14"/>
      <c r="O308" s="14"/>
      <c r="P308" s="14"/>
      <c r="Q308" s="14"/>
      <c r="R308" s="14"/>
      <c r="S308" s="14"/>
      <c r="T308" s="14"/>
      <c r="U308" s="14"/>
      <c r="V308" s="14"/>
      <c r="W308" s="14"/>
      <c r="X308" s="14"/>
      <c r="Y308" s="14"/>
      <c r="Z308" s="14"/>
      <c r="AA308" s="14"/>
      <c r="AB308" s="15"/>
      <c r="AC308" s="3"/>
      <c r="AD308" s="3"/>
      <c r="AE308" s="3"/>
      <c r="AF308" s="3"/>
      <c r="AG308" s="3"/>
      <c r="AH308" s="3"/>
      <c r="AI308" s="3"/>
      <c r="AJ308" s="3"/>
      <c r="AK308" s="3"/>
      <c r="AL308" s="3"/>
      <c r="AM308" s="3"/>
      <c r="AN308" s="3"/>
      <c r="AO308" s="3"/>
      <c r="AP308" s="3"/>
    </row>
    <row r="309" spans="2:42" x14ac:dyDescent="0.25">
      <c r="B309" s="13"/>
      <c r="C309" s="14"/>
      <c r="D309" s="60"/>
      <c r="E309" s="56"/>
      <c r="F309" s="56"/>
      <c r="G309" s="14"/>
      <c r="H309" s="56"/>
      <c r="I309" s="14"/>
      <c r="J309" s="14"/>
      <c r="K309" s="14"/>
      <c r="L309" s="14"/>
      <c r="M309" s="14"/>
      <c r="N309" s="14"/>
      <c r="O309" s="14"/>
      <c r="P309" s="14"/>
      <c r="Q309" s="14"/>
      <c r="R309" s="14"/>
      <c r="S309" s="14"/>
      <c r="T309" s="14"/>
      <c r="U309" s="14"/>
      <c r="V309" s="14"/>
      <c r="W309" s="14"/>
      <c r="X309" s="14"/>
      <c r="Y309" s="14"/>
      <c r="Z309" s="14"/>
      <c r="AA309" s="14"/>
      <c r="AB309" s="15"/>
      <c r="AC309" s="3"/>
      <c r="AD309" s="3"/>
      <c r="AE309" s="3"/>
      <c r="AF309" s="3"/>
      <c r="AG309" s="3"/>
      <c r="AH309" s="3"/>
      <c r="AI309" s="3"/>
      <c r="AJ309" s="3"/>
      <c r="AK309" s="3"/>
      <c r="AL309" s="3"/>
      <c r="AM309" s="3"/>
      <c r="AN309" s="3"/>
      <c r="AO309" s="3"/>
      <c r="AP309" s="3"/>
    </row>
    <row r="310" spans="2:42" x14ac:dyDescent="0.25">
      <c r="B310" s="13"/>
      <c r="C310" s="14"/>
      <c r="D310" s="60"/>
      <c r="E310" s="56"/>
      <c r="F310" s="56"/>
      <c r="G310" s="14"/>
      <c r="H310" s="56"/>
      <c r="I310" s="14"/>
      <c r="J310" s="14"/>
      <c r="K310" s="14"/>
      <c r="L310" s="14"/>
      <c r="M310" s="14"/>
      <c r="N310" s="14"/>
      <c r="O310" s="14"/>
      <c r="P310" s="14"/>
      <c r="Q310" s="14"/>
      <c r="R310" s="14"/>
      <c r="S310" s="14"/>
      <c r="T310" s="14"/>
      <c r="U310" s="14"/>
      <c r="V310" s="14"/>
      <c r="W310" s="14"/>
      <c r="X310" s="14"/>
      <c r="Y310" s="14"/>
      <c r="Z310" s="14"/>
      <c r="AA310" s="14"/>
      <c r="AB310" s="15"/>
      <c r="AC310" s="3"/>
      <c r="AD310" s="3"/>
      <c r="AE310" s="3"/>
      <c r="AF310" s="3"/>
      <c r="AG310" s="3"/>
      <c r="AH310" s="3"/>
      <c r="AI310" s="3"/>
      <c r="AJ310" s="3"/>
      <c r="AK310" s="3"/>
      <c r="AL310" s="3"/>
      <c r="AM310" s="3"/>
      <c r="AN310" s="3"/>
      <c r="AO310" s="3"/>
      <c r="AP310" s="3"/>
    </row>
    <row r="311" spans="2:42" x14ac:dyDescent="0.25">
      <c r="B311" s="13"/>
      <c r="C311" s="14"/>
      <c r="D311" s="60"/>
      <c r="E311" s="56"/>
      <c r="F311" s="56"/>
      <c r="G311" s="14"/>
      <c r="H311" s="56"/>
      <c r="I311" s="14"/>
      <c r="J311" s="14"/>
      <c r="K311" s="14"/>
      <c r="L311" s="14"/>
      <c r="M311" s="14"/>
      <c r="N311" s="14"/>
      <c r="O311" s="14"/>
      <c r="P311" s="14"/>
      <c r="Q311" s="14"/>
      <c r="R311" s="14"/>
      <c r="S311" s="14"/>
      <c r="T311" s="14"/>
      <c r="U311" s="14"/>
      <c r="V311" s="14"/>
      <c r="W311" s="14"/>
      <c r="X311" s="14"/>
      <c r="Y311" s="14"/>
      <c r="Z311" s="14"/>
      <c r="AA311" s="14"/>
      <c r="AB311" s="15"/>
      <c r="AC311" s="3"/>
      <c r="AD311" s="3"/>
      <c r="AE311" s="3"/>
      <c r="AF311" s="3"/>
      <c r="AG311" s="3"/>
      <c r="AH311" s="3"/>
      <c r="AI311" s="3"/>
      <c r="AJ311" s="3"/>
      <c r="AK311" s="3"/>
      <c r="AL311" s="3"/>
      <c r="AM311" s="3"/>
      <c r="AN311" s="3"/>
      <c r="AO311" s="3"/>
      <c r="AP311" s="3"/>
    </row>
    <row r="312" spans="2:42" ht="18.75" x14ac:dyDescent="0.3">
      <c r="B312" s="67"/>
      <c r="C312" s="56"/>
      <c r="D312" s="60"/>
      <c r="E312" s="56"/>
      <c r="F312" s="56"/>
      <c r="G312" s="56"/>
      <c r="H312" s="56"/>
      <c r="I312" s="74"/>
      <c r="J312" s="14"/>
      <c r="K312" s="14"/>
      <c r="L312" s="14"/>
      <c r="M312" s="14"/>
      <c r="N312" s="14"/>
      <c r="O312" s="14"/>
      <c r="P312" s="14"/>
      <c r="Q312" s="14"/>
      <c r="R312" s="14"/>
      <c r="S312" s="14"/>
      <c r="T312" s="14"/>
      <c r="U312" s="14"/>
      <c r="V312" s="14"/>
      <c r="W312" s="14"/>
      <c r="X312" s="14"/>
      <c r="Y312" s="14"/>
      <c r="Z312" s="14"/>
      <c r="AA312" s="14"/>
      <c r="AB312" s="15"/>
      <c r="AC312" s="3"/>
      <c r="AD312" s="3"/>
      <c r="AE312" s="3"/>
      <c r="AF312" s="3"/>
      <c r="AG312" s="3"/>
      <c r="AH312" s="3"/>
      <c r="AI312" s="3"/>
      <c r="AJ312" s="3"/>
      <c r="AK312" s="3"/>
      <c r="AL312" s="3"/>
      <c r="AM312" s="3"/>
      <c r="AN312" s="3"/>
      <c r="AO312" s="3"/>
      <c r="AP312" s="3"/>
    </row>
    <row r="313" spans="2:42" x14ac:dyDescent="0.25">
      <c r="B313" s="13"/>
      <c r="C313" s="14"/>
      <c r="D313" s="60"/>
      <c r="E313" s="56"/>
      <c r="F313" s="56"/>
      <c r="G313" s="14"/>
      <c r="H313" s="56"/>
      <c r="I313" s="14"/>
      <c r="J313" s="14"/>
      <c r="K313" s="14"/>
      <c r="L313" s="14"/>
      <c r="M313" s="14"/>
      <c r="N313" s="14"/>
      <c r="O313" s="14"/>
      <c r="P313" s="14"/>
      <c r="Q313" s="14"/>
      <c r="R313" s="14"/>
      <c r="S313" s="14"/>
      <c r="T313" s="14"/>
      <c r="U313" s="14"/>
      <c r="V313" s="14"/>
      <c r="W313" s="14"/>
      <c r="X313" s="14"/>
      <c r="Y313" s="14"/>
      <c r="Z313" s="14"/>
      <c r="AA313" s="14"/>
      <c r="AB313" s="15"/>
      <c r="AC313" s="3"/>
      <c r="AD313" s="3"/>
      <c r="AE313" s="3"/>
      <c r="AF313" s="3"/>
      <c r="AG313" s="3"/>
      <c r="AH313" s="3"/>
      <c r="AI313" s="3"/>
      <c r="AJ313" s="3"/>
      <c r="AK313" s="3"/>
      <c r="AL313" s="3"/>
      <c r="AM313" s="3"/>
      <c r="AN313" s="3"/>
      <c r="AO313" s="3"/>
      <c r="AP313" s="3"/>
    </row>
    <row r="314" spans="2:42" x14ac:dyDescent="0.25">
      <c r="B314" s="13"/>
      <c r="C314" s="14"/>
      <c r="D314" s="14"/>
      <c r="E314" s="56"/>
      <c r="F314" s="56"/>
      <c r="G314" s="14"/>
      <c r="H314" s="56"/>
      <c r="I314" s="14"/>
      <c r="J314" s="14"/>
      <c r="K314" s="14"/>
      <c r="L314" s="14"/>
      <c r="M314" s="14"/>
      <c r="N314" s="14"/>
      <c r="O314" s="14"/>
      <c r="P314" s="14"/>
      <c r="Q314" s="14"/>
      <c r="R314" s="14"/>
      <c r="S314" s="14"/>
      <c r="T314" s="14"/>
      <c r="U314" s="14"/>
      <c r="V314" s="14"/>
      <c r="W314" s="14"/>
      <c r="X314" s="14"/>
      <c r="Y314" s="14"/>
      <c r="Z314" s="14"/>
      <c r="AA314" s="14"/>
      <c r="AB314" s="15"/>
      <c r="AC314" s="3"/>
      <c r="AD314" s="3"/>
      <c r="AE314" s="3"/>
      <c r="AF314" s="3"/>
      <c r="AG314" s="3"/>
      <c r="AH314" s="3"/>
      <c r="AI314" s="3"/>
      <c r="AJ314" s="3"/>
      <c r="AK314" s="3"/>
      <c r="AL314" s="3"/>
      <c r="AM314" s="3"/>
      <c r="AN314" s="3"/>
      <c r="AO314" s="3"/>
      <c r="AP314" s="3"/>
    </row>
    <row r="315" spans="2:42" x14ac:dyDescent="0.25">
      <c r="B315" s="13"/>
      <c r="C315" s="14"/>
      <c r="D315" s="60"/>
      <c r="E315" s="56"/>
      <c r="F315" s="56"/>
      <c r="G315" s="14"/>
      <c r="H315" s="14"/>
      <c r="I315" s="14"/>
      <c r="J315" s="14"/>
      <c r="K315" s="14"/>
      <c r="L315" s="14"/>
      <c r="M315" s="14"/>
      <c r="N315" s="14"/>
      <c r="O315" s="14"/>
      <c r="P315" s="14"/>
      <c r="Q315" s="14"/>
      <c r="R315" s="14"/>
      <c r="S315" s="14"/>
      <c r="T315" s="14"/>
      <c r="U315" s="14"/>
      <c r="V315" s="14"/>
      <c r="W315" s="14"/>
      <c r="X315" s="14"/>
      <c r="Y315" s="14"/>
      <c r="Z315" s="14"/>
      <c r="AA315" s="14"/>
      <c r="AB315" s="15"/>
      <c r="AC315" s="3"/>
      <c r="AD315" s="3"/>
      <c r="AE315" s="3"/>
      <c r="AF315" s="3"/>
      <c r="AG315" s="3"/>
      <c r="AH315" s="3"/>
      <c r="AI315" s="3"/>
      <c r="AJ315" s="3"/>
      <c r="AK315" s="3"/>
      <c r="AL315" s="3"/>
      <c r="AM315" s="3"/>
      <c r="AN315" s="3"/>
      <c r="AO315" s="3"/>
      <c r="AP315" s="3"/>
    </row>
    <row r="316" spans="2:42" x14ac:dyDescent="0.25">
      <c r="B316" s="13"/>
      <c r="C316" s="14"/>
      <c r="D316" s="60"/>
      <c r="E316" s="56"/>
      <c r="F316" s="56"/>
      <c r="G316" s="14"/>
      <c r="H316" s="56"/>
      <c r="I316" s="14"/>
      <c r="J316" s="14"/>
      <c r="K316" s="14"/>
      <c r="L316" s="14"/>
      <c r="M316" s="14"/>
      <c r="N316" s="14"/>
      <c r="O316" s="14"/>
      <c r="P316" s="14"/>
      <c r="Q316" s="14"/>
      <c r="R316" s="14"/>
      <c r="S316" s="14"/>
      <c r="T316" s="14"/>
      <c r="U316" s="14"/>
      <c r="V316" s="14"/>
      <c r="W316" s="14"/>
      <c r="X316" s="14"/>
      <c r="Y316" s="14"/>
      <c r="Z316" s="14"/>
      <c r="AA316" s="14"/>
      <c r="AB316" s="15"/>
      <c r="AC316" s="3"/>
      <c r="AD316" s="3"/>
      <c r="AE316" s="3"/>
      <c r="AF316" s="3"/>
      <c r="AG316" s="3"/>
      <c r="AH316" s="3"/>
      <c r="AI316" s="3"/>
      <c r="AJ316" s="3"/>
      <c r="AK316" s="3"/>
      <c r="AL316" s="3"/>
      <c r="AM316" s="3"/>
      <c r="AN316" s="3"/>
      <c r="AO316" s="3"/>
      <c r="AP316" s="3"/>
    </row>
    <row r="317" spans="2:42" x14ac:dyDescent="0.25">
      <c r="B317" s="13"/>
      <c r="C317" s="14"/>
      <c r="D317" s="60"/>
      <c r="E317" s="56"/>
      <c r="F317" s="56"/>
      <c r="G317" s="14"/>
      <c r="H317" s="56"/>
      <c r="I317" s="14"/>
      <c r="J317" s="14"/>
      <c r="K317" s="14"/>
      <c r="L317" s="14"/>
      <c r="M317" s="14"/>
      <c r="N317" s="14"/>
      <c r="O317" s="14"/>
      <c r="P317" s="14"/>
      <c r="Q317" s="14"/>
      <c r="R317" s="14"/>
      <c r="S317" s="14"/>
      <c r="T317" s="14"/>
      <c r="U317" s="14"/>
      <c r="V317" s="14"/>
      <c r="W317" s="14"/>
      <c r="X317" s="14"/>
      <c r="Y317" s="14"/>
      <c r="Z317" s="14"/>
      <c r="AA317" s="14"/>
      <c r="AB317" s="15"/>
      <c r="AC317" s="3"/>
      <c r="AD317" s="3"/>
      <c r="AE317" s="3"/>
      <c r="AF317" s="3"/>
      <c r="AG317" s="3"/>
      <c r="AH317" s="3"/>
      <c r="AI317" s="3"/>
      <c r="AJ317" s="3"/>
      <c r="AK317" s="3"/>
      <c r="AL317" s="3"/>
      <c r="AM317" s="3"/>
      <c r="AN317" s="3"/>
      <c r="AO317" s="3"/>
      <c r="AP317" s="3"/>
    </row>
    <row r="318" spans="2:42" x14ac:dyDescent="0.25">
      <c r="B318" s="13"/>
      <c r="C318" s="14"/>
      <c r="D318" s="60"/>
      <c r="E318" s="56"/>
      <c r="F318" s="56"/>
      <c r="G318" s="14"/>
      <c r="H318" s="56"/>
      <c r="I318" s="14"/>
      <c r="J318" s="14"/>
      <c r="K318" s="14"/>
      <c r="L318" s="14"/>
      <c r="M318" s="14"/>
      <c r="N318" s="14"/>
      <c r="O318" s="14"/>
      <c r="P318" s="14"/>
      <c r="Q318" s="14"/>
      <c r="R318" s="14"/>
      <c r="S318" s="14"/>
      <c r="T318" s="14"/>
      <c r="U318" s="14"/>
      <c r="V318" s="14"/>
      <c r="W318" s="14"/>
      <c r="X318" s="14"/>
      <c r="Y318" s="14"/>
      <c r="Z318" s="14"/>
      <c r="AA318" s="14"/>
      <c r="AB318" s="15"/>
      <c r="AC318" s="3"/>
      <c r="AD318" s="3"/>
      <c r="AE318" s="3"/>
      <c r="AF318" s="3"/>
      <c r="AG318" s="3"/>
      <c r="AH318" s="3"/>
      <c r="AI318" s="3"/>
      <c r="AJ318" s="3"/>
      <c r="AK318" s="3"/>
      <c r="AL318" s="3"/>
      <c r="AM318" s="3"/>
      <c r="AN318" s="3"/>
      <c r="AO318" s="3"/>
      <c r="AP318" s="3"/>
    </row>
    <row r="319" spans="2:42" x14ac:dyDescent="0.25">
      <c r="B319" s="13"/>
      <c r="C319" s="56"/>
      <c r="D319" s="60"/>
      <c r="E319" s="56"/>
      <c r="F319" s="56"/>
      <c r="G319" s="56"/>
      <c r="H319" s="56"/>
      <c r="I319" s="14"/>
      <c r="J319" s="14"/>
      <c r="K319" s="14"/>
      <c r="L319" s="14"/>
      <c r="M319" s="14"/>
      <c r="N319" s="14"/>
      <c r="O319" s="14"/>
      <c r="P319" s="14"/>
      <c r="Q319" s="14"/>
      <c r="R319" s="14"/>
      <c r="S319" s="14"/>
      <c r="T319" s="14"/>
      <c r="U319" s="14"/>
      <c r="V319" s="14"/>
      <c r="W319" s="14"/>
      <c r="X319" s="14"/>
      <c r="Y319" s="14"/>
      <c r="Z319" s="14"/>
      <c r="AA319" s="14"/>
      <c r="AB319" s="15"/>
      <c r="AC319" s="3"/>
      <c r="AD319" s="3"/>
      <c r="AE319" s="3"/>
      <c r="AF319" s="3"/>
      <c r="AG319" s="3"/>
      <c r="AH319" s="3"/>
      <c r="AI319" s="3"/>
      <c r="AJ319" s="3"/>
      <c r="AK319" s="3"/>
      <c r="AL319" s="3"/>
      <c r="AM319" s="3"/>
      <c r="AN319" s="3"/>
      <c r="AO319" s="3"/>
      <c r="AP319" s="3"/>
    </row>
    <row r="320" spans="2:42" ht="18.75" x14ac:dyDescent="0.3">
      <c r="B320" s="67"/>
      <c r="C320" s="14"/>
      <c r="D320" s="60"/>
      <c r="E320" s="56"/>
      <c r="F320" s="56"/>
      <c r="G320" s="14"/>
      <c r="H320" s="56"/>
      <c r="I320" s="74"/>
      <c r="J320" s="14"/>
      <c r="K320" s="14"/>
      <c r="L320" s="14"/>
      <c r="M320" s="14"/>
      <c r="N320" s="14"/>
      <c r="O320" s="14"/>
      <c r="P320" s="14"/>
      <c r="Q320" s="14"/>
      <c r="R320" s="14"/>
      <c r="S320" s="14"/>
      <c r="T320" s="14"/>
      <c r="U320" s="14"/>
      <c r="V320" s="14"/>
      <c r="W320" s="14"/>
      <c r="X320" s="14"/>
      <c r="Y320" s="14"/>
      <c r="Z320" s="14"/>
      <c r="AA320" s="14"/>
      <c r="AB320" s="15"/>
      <c r="AC320" s="3"/>
      <c r="AD320" s="3"/>
      <c r="AE320" s="3"/>
      <c r="AF320" s="3"/>
      <c r="AG320" s="3"/>
      <c r="AH320" s="3"/>
      <c r="AI320" s="3"/>
      <c r="AJ320" s="3"/>
      <c r="AK320" s="3"/>
      <c r="AL320" s="3"/>
      <c r="AM320" s="3"/>
      <c r="AN320" s="3"/>
      <c r="AO320" s="3"/>
      <c r="AP320" s="3"/>
    </row>
    <row r="321" spans="2:42" x14ac:dyDescent="0.25">
      <c r="B321" s="13"/>
      <c r="C321" s="14"/>
      <c r="D321" s="14"/>
      <c r="E321" s="56"/>
      <c r="F321" s="56"/>
      <c r="G321" s="14"/>
      <c r="H321" s="56"/>
      <c r="I321" s="14"/>
      <c r="J321" s="14"/>
      <c r="K321" s="14"/>
      <c r="L321" s="14"/>
      <c r="M321" s="14"/>
      <c r="N321" s="14"/>
      <c r="O321" s="14"/>
      <c r="P321" s="14"/>
      <c r="Q321" s="14"/>
      <c r="R321" s="14"/>
      <c r="S321" s="14"/>
      <c r="T321" s="14"/>
      <c r="U321" s="14"/>
      <c r="V321" s="14"/>
      <c r="W321" s="14"/>
      <c r="X321" s="14"/>
      <c r="Y321" s="14"/>
      <c r="Z321" s="14"/>
      <c r="AA321" s="14"/>
      <c r="AB321" s="15"/>
      <c r="AC321" s="3"/>
      <c r="AD321" s="3"/>
      <c r="AE321" s="3"/>
      <c r="AF321" s="3"/>
      <c r="AG321" s="3"/>
      <c r="AH321" s="3"/>
      <c r="AI321" s="3"/>
      <c r="AJ321" s="3"/>
      <c r="AK321" s="3"/>
      <c r="AL321" s="3"/>
      <c r="AM321" s="3"/>
      <c r="AN321" s="3"/>
      <c r="AO321" s="3"/>
      <c r="AP321" s="3"/>
    </row>
    <row r="322" spans="2:42" x14ac:dyDescent="0.25">
      <c r="B322" s="13"/>
      <c r="C322" s="14"/>
      <c r="D322" s="60"/>
      <c r="E322" s="56"/>
      <c r="F322" s="56"/>
      <c r="G322" s="14"/>
      <c r="H322" s="14"/>
      <c r="I322" s="14"/>
      <c r="J322" s="14"/>
      <c r="K322" s="14"/>
      <c r="L322" s="14"/>
      <c r="M322" s="14"/>
      <c r="N322" s="14"/>
      <c r="O322" s="14"/>
      <c r="P322" s="14"/>
      <c r="Q322" s="14"/>
      <c r="R322" s="14"/>
      <c r="S322" s="14"/>
      <c r="T322" s="14"/>
      <c r="U322" s="14"/>
      <c r="V322" s="14"/>
      <c r="W322" s="14"/>
      <c r="X322" s="14"/>
      <c r="Y322" s="14"/>
      <c r="Z322" s="14"/>
      <c r="AA322" s="14"/>
      <c r="AB322" s="15"/>
      <c r="AC322" s="3"/>
      <c r="AD322" s="3"/>
      <c r="AE322" s="3"/>
      <c r="AF322" s="3"/>
      <c r="AG322" s="3"/>
      <c r="AH322" s="3"/>
      <c r="AI322" s="3"/>
      <c r="AJ322" s="3"/>
      <c r="AK322" s="3"/>
      <c r="AL322" s="3"/>
      <c r="AM322" s="3"/>
      <c r="AN322" s="3"/>
      <c r="AO322" s="3"/>
      <c r="AP322" s="3"/>
    </row>
    <row r="323" spans="2:42" x14ac:dyDescent="0.25">
      <c r="B323" s="13"/>
      <c r="C323" s="14"/>
      <c r="D323" s="60"/>
      <c r="E323" s="56"/>
      <c r="F323" s="56"/>
      <c r="G323" s="14"/>
      <c r="H323" s="56"/>
      <c r="I323" s="14"/>
      <c r="J323" s="14"/>
      <c r="K323" s="14"/>
      <c r="L323" s="14"/>
      <c r="M323" s="14"/>
      <c r="N323" s="14"/>
      <c r="O323" s="14"/>
      <c r="P323" s="14"/>
      <c r="Q323" s="14"/>
      <c r="R323" s="14"/>
      <c r="S323" s="14"/>
      <c r="T323" s="14"/>
      <c r="U323" s="14"/>
      <c r="V323" s="14"/>
      <c r="W323" s="14"/>
      <c r="X323" s="14"/>
      <c r="Y323" s="14"/>
      <c r="Z323" s="14"/>
      <c r="AA323" s="14"/>
      <c r="AB323" s="15"/>
      <c r="AC323" s="3"/>
      <c r="AD323" s="3"/>
      <c r="AE323" s="3"/>
      <c r="AF323" s="3"/>
      <c r="AG323" s="3"/>
      <c r="AH323" s="3"/>
      <c r="AI323" s="3"/>
      <c r="AJ323" s="3"/>
      <c r="AK323" s="3"/>
      <c r="AL323" s="3"/>
      <c r="AM323" s="3"/>
      <c r="AN323" s="3"/>
      <c r="AO323" s="3"/>
      <c r="AP323" s="3"/>
    </row>
    <row r="324" spans="2:42" x14ac:dyDescent="0.25">
      <c r="B324" s="13"/>
      <c r="C324" s="14"/>
      <c r="D324" s="60"/>
      <c r="E324" s="56"/>
      <c r="F324" s="56"/>
      <c r="G324" s="14"/>
      <c r="H324" s="56"/>
      <c r="I324" s="14"/>
      <c r="J324" s="14"/>
      <c r="K324" s="14"/>
      <c r="L324" s="14"/>
      <c r="M324" s="14"/>
      <c r="N324" s="14"/>
      <c r="O324" s="14"/>
      <c r="P324" s="14"/>
      <c r="Q324" s="14"/>
      <c r="R324" s="14"/>
      <c r="S324" s="14"/>
      <c r="T324" s="14"/>
      <c r="U324" s="14"/>
      <c r="V324" s="14"/>
      <c r="W324" s="14"/>
      <c r="X324" s="14"/>
      <c r="Y324" s="14"/>
      <c r="Z324" s="14"/>
      <c r="AA324" s="14"/>
      <c r="AB324" s="15"/>
      <c r="AC324" s="3"/>
      <c r="AD324" s="3"/>
      <c r="AE324" s="3"/>
      <c r="AF324" s="3"/>
      <c r="AG324" s="3"/>
      <c r="AH324" s="3"/>
      <c r="AI324" s="3"/>
      <c r="AJ324" s="3"/>
      <c r="AK324" s="3"/>
      <c r="AL324" s="3"/>
      <c r="AM324" s="3"/>
      <c r="AN324" s="3"/>
      <c r="AO324" s="3"/>
      <c r="AP324" s="3"/>
    </row>
    <row r="325" spans="2:42" x14ac:dyDescent="0.25">
      <c r="B325" s="13"/>
      <c r="C325" s="14"/>
      <c r="D325" s="60"/>
      <c r="E325" s="56"/>
      <c r="F325" s="56"/>
      <c r="G325" s="14"/>
      <c r="H325" s="56"/>
      <c r="I325" s="14"/>
      <c r="J325" s="14"/>
      <c r="K325" s="14"/>
      <c r="L325" s="14"/>
      <c r="M325" s="14"/>
      <c r="N325" s="14"/>
      <c r="O325" s="14"/>
      <c r="P325" s="14"/>
      <c r="Q325" s="14"/>
      <c r="R325" s="14"/>
      <c r="S325" s="14"/>
      <c r="T325" s="14"/>
      <c r="U325" s="14"/>
      <c r="V325" s="14"/>
      <c r="W325" s="14"/>
      <c r="X325" s="14"/>
      <c r="Y325" s="14"/>
      <c r="Z325" s="14"/>
      <c r="AA325" s="14"/>
      <c r="AB325" s="15"/>
      <c r="AC325" s="3"/>
      <c r="AD325" s="3"/>
      <c r="AE325" s="3"/>
      <c r="AF325" s="3"/>
      <c r="AG325" s="3"/>
      <c r="AH325" s="3"/>
      <c r="AI325" s="3"/>
      <c r="AJ325" s="3"/>
      <c r="AK325" s="3"/>
      <c r="AL325" s="3"/>
      <c r="AM325" s="3"/>
      <c r="AN325" s="3"/>
      <c r="AO325" s="3"/>
      <c r="AP325" s="3"/>
    </row>
    <row r="326" spans="2:42" x14ac:dyDescent="0.25">
      <c r="B326" s="13"/>
      <c r="C326" s="56"/>
      <c r="D326" s="60"/>
      <c r="E326" s="56"/>
      <c r="F326" s="56"/>
      <c r="G326" s="56"/>
      <c r="H326" s="56"/>
      <c r="I326" s="14"/>
      <c r="J326" s="14"/>
      <c r="K326" s="14"/>
      <c r="L326" s="14"/>
      <c r="M326" s="14"/>
      <c r="N326" s="14"/>
      <c r="O326" s="14"/>
      <c r="P326" s="14"/>
      <c r="Q326" s="14"/>
      <c r="R326" s="14"/>
      <c r="S326" s="14"/>
      <c r="T326" s="14"/>
      <c r="U326" s="14"/>
      <c r="V326" s="14"/>
      <c r="W326" s="14"/>
      <c r="X326" s="14"/>
      <c r="Y326" s="14"/>
      <c r="Z326" s="14"/>
      <c r="AA326" s="14"/>
      <c r="AB326" s="15"/>
      <c r="AC326" s="3"/>
      <c r="AD326" s="3"/>
      <c r="AE326" s="3"/>
      <c r="AF326" s="3"/>
      <c r="AG326" s="3"/>
      <c r="AH326" s="3"/>
      <c r="AI326" s="3"/>
      <c r="AJ326" s="3"/>
      <c r="AK326" s="3"/>
      <c r="AL326" s="3"/>
      <c r="AM326" s="3"/>
      <c r="AN326" s="3"/>
      <c r="AO326" s="3"/>
      <c r="AP326" s="3"/>
    </row>
    <row r="327" spans="2:42" x14ac:dyDescent="0.25">
      <c r="B327" s="13"/>
      <c r="C327" s="14"/>
      <c r="D327" s="60"/>
      <c r="E327" s="56"/>
      <c r="F327" s="56"/>
      <c r="G327" s="14"/>
      <c r="H327" s="56"/>
      <c r="I327" s="14"/>
      <c r="J327" s="14"/>
      <c r="K327" s="14"/>
      <c r="L327" s="14"/>
      <c r="M327" s="14"/>
      <c r="N327" s="14"/>
      <c r="O327" s="14"/>
      <c r="P327" s="14"/>
      <c r="Q327" s="14"/>
      <c r="R327" s="14"/>
      <c r="S327" s="14"/>
      <c r="T327" s="14"/>
      <c r="U327" s="14"/>
      <c r="V327" s="14"/>
      <c r="W327" s="14"/>
      <c r="X327" s="14"/>
      <c r="Y327" s="14"/>
      <c r="Z327" s="14"/>
      <c r="AA327" s="14"/>
      <c r="AB327" s="15"/>
      <c r="AC327" s="3"/>
      <c r="AD327" s="3"/>
      <c r="AE327" s="3"/>
      <c r="AF327" s="3"/>
      <c r="AG327" s="3"/>
      <c r="AH327" s="3"/>
      <c r="AI327" s="3"/>
      <c r="AJ327" s="3"/>
      <c r="AK327" s="3"/>
      <c r="AL327" s="3"/>
      <c r="AM327" s="3"/>
      <c r="AN327" s="3"/>
      <c r="AO327" s="3"/>
      <c r="AP327" s="3"/>
    </row>
    <row r="328" spans="2:42" ht="18.75" x14ac:dyDescent="0.3">
      <c r="B328" s="67"/>
      <c r="C328" s="14"/>
      <c r="D328" s="14"/>
      <c r="E328" s="56"/>
      <c r="F328" s="56"/>
      <c r="G328" s="14"/>
      <c r="H328" s="56"/>
      <c r="I328" s="74"/>
      <c r="J328" s="14"/>
      <c r="K328" s="14"/>
      <c r="L328" s="14"/>
      <c r="M328" s="14"/>
      <c r="N328" s="14"/>
      <c r="O328" s="14"/>
      <c r="P328" s="14"/>
      <c r="Q328" s="14"/>
      <c r="R328" s="14"/>
      <c r="S328" s="14"/>
      <c r="T328" s="14"/>
      <c r="U328" s="14"/>
      <c r="V328" s="14"/>
      <c r="W328" s="14"/>
      <c r="X328" s="14"/>
      <c r="Y328" s="14"/>
      <c r="Z328" s="14"/>
      <c r="AA328" s="14"/>
      <c r="AB328" s="15"/>
      <c r="AC328" s="3"/>
      <c r="AD328" s="3"/>
      <c r="AE328" s="3"/>
      <c r="AF328" s="3"/>
      <c r="AG328" s="3"/>
      <c r="AH328" s="3"/>
      <c r="AI328" s="3"/>
      <c r="AJ328" s="3"/>
      <c r="AK328" s="3"/>
      <c r="AL328" s="3"/>
      <c r="AM328" s="3"/>
      <c r="AN328" s="3"/>
      <c r="AO328" s="3"/>
      <c r="AP328" s="3"/>
    </row>
    <row r="329" spans="2:42" x14ac:dyDescent="0.25">
      <c r="B329" s="13"/>
      <c r="C329" s="14"/>
      <c r="D329" s="60"/>
      <c r="E329" s="56"/>
      <c r="F329" s="56"/>
      <c r="G329" s="14"/>
      <c r="H329" s="14"/>
      <c r="I329" s="14"/>
      <c r="J329" s="14"/>
      <c r="K329" s="14"/>
      <c r="L329" s="14"/>
      <c r="M329" s="14"/>
      <c r="N329" s="14"/>
      <c r="O329" s="14"/>
      <c r="P329" s="14"/>
      <c r="Q329" s="14"/>
      <c r="R329" s="14"/>
      <c r="S329" s="14"/>
      <c r="T329" s="14"/>
      <c r="U329" s="14"/>
      <c r="V329" s="14"/>
      <c r="W329" s="14"/>
      <c r="X329" s="14"/>
      <c r="Y329" s="14"/>
      <c r="Z329" s="14"/>
      <c r="AA329" s="14"/>
      <c r="AB329" s="15"/>
      <c r="AC329" s="3"/>
      <c r="AD329" s="3"/>
      <c r="AE329" s="3"/>
      <c r="AF329" s="3"/>
      <c r="AG329" s="3"/>
      <c r="AH329" s="3"/>
      <c r="AI329" s="3"/>
      <c r="AJ329" s="3"/>
      <c r="AK329" s="3"/>
      <c r="AL329" s="3"/>
      <c r="AM329" s="3"/>
      <c r="AN329" s="3"/>
      <c r="AO329" s="3"/>
      <c r="AP329" s="3"/>
    </row>
    <row r="330" spans="2:42" x14ac:dyDescent="0.25">
      <c r="B330" s="13"/>
      <c r="C330" s="14"/>
      <c r="D330" s="60"/>
      <c r="E330" s="56"/>
      <c r="F330" s="56"/>
      <c r="G330" s="14"/>
      <c r="H330" s="56"/>
      <c r="I330" s="14"/>
      <c r="J330" s="14"/>
      <c r="K330" s="14"/>
      <c r="L330" s="14"/>
      <c r="M330" s="14"/>
      <c r="N330" s="14"/>
      <c r="O330" s="14"/>
      <c r="P330" s="14"/>
      <c r="Q330" s="14"/>
      <c r="R330" s="14"/>
      <c r="S330" s="14"/>
      <c r="T330" s="14"/>
      <c r="U330" s="14"/>
      <c r="V330" s="14"/>
      <c r="W330" s="14"/>
      <c r="X330" s="14"/>
      <c r="Y330" s="14"/>
      <c r="Z330" s="14"/>
      <c r="AA330" s="14"/>
      <c r="AB330" s="15"/>
      <c r="AC330" s="3"/>
      <c r="AD330" s="3"/>
      <c r="AE330" s="3"/>
      <c r="AF330" s="3"/>
      <c r="AG330" s="3"/>
      <c r="AH330" s="3"/>
      <c r="AI330" s="3"/>
      <c r="AJ330" s="3"/>
      <c r="AK330" s="3"/>
      <c r="AL330" s="3"/>
      <c r="AM330" s="3"/>
      <c r="AN330" s="3"/>
      <c r="AO330" s="3"/>
      <c r="AP330" s="3"/>
    </row>
    <row r="331" spans="2:42" x14ac:dyDescent="0.25">
      <c r="B331" s="13"/>
      <c r="C331" s="14"/>
      <c r="D331" s="60"/>
      <c r="E331" s="56"/>
      <c r="F331" s="56"/>
      <c r="G331" s="14"/>
      <c r="H331" s="56"/>
      <c r="I331" s="14"/>
      <c r="J331" s="14"/>
      <c r="K331" s="14"/>
      <c r="L331" s="14"/>
      <c r="M331" s="14"/>
      <c r="N331" s="14"/>
      <c r="O331" s="14"/>
      <c r="P331" s="14"/>
      <c r="Q331" s="14"/>
      <c r="R331" s="14"/>
      <c r="S331" s="14"/>
      <c r="T331" s="14"/>
      <c r="U331" s="14"/>
      <c r="V331" s="14"/>
      <c r="W331" s="14"/>
      <c r="X331" s="14"/>
      <c r="Y331" s="14"/>
      <c r="Z331" s="14"/>
      <c r="AA331" s="14"/>
      <c r="AB331" s="15"/>
      <c r="AC331" s="3"/>
      <c r="AD331" s="3"/>
      <c r="AE331" s="3"/>
      <c r="AF331" s="3"/>
      <c r="AG331" s="3"/>
      <c r="AH331" s="3"/>
      <c r="AI331" s="3"/>
      <c r="AJ331" s="3"/>
      <c r="AK331" s="3"/>
      <c r="AL331" s="3"/>
      <c r="AM331" s="3"/>
      <c r="AN331" s="3"/>
      <c r="AO331" s="3"/>
      <c r="AP331" s="3"/>
    </row>
    <row r="332" spans="2:42" x14ac:dyDescent="0.25">
      <c r="B332" s="13"/>
      <c r="C332" s="14"/>
      <c r="D332" s="60"/>
      <c r="E332" s="56"/>
      <c r="F332" s="56"/>
      <c r="G332" s="14"/>
      <c r="H332" s="56"/>
      <c r="I332" s="14"/>
      <c r="J332" s="14"/>
      <c r="K332" s="14"/>
      <c r="L332" s="14"/>
      <c r="M332" s="14"/>
      <c r="N332" s="14"/>
      <c r="O332" s="14"/>
      <c r="P332" s="14"/>
      <c r="Q332" s="14"/>
      <c r="R332" s="14"/>
      <c r="S332" s="14"/>
      <c r="T332" s="14"/>
      <c r="U332" s="14"/>
      <c r="V332" s="14"/>
      <c r="W332" s="14"/>
      <c r="X332" s="14"/>
      <c r="Y332" s="14"/>
      <c r="Z332" s="14"/>
      <c r="AA332" s="14"/>
      <c r="AB332" s="15"/>
      <c r="AC332" s="3"/>
      <c r="AD332" s="3"/>
      <c r="AE332" s="3"/>
      <c r="AF332" s="3"/>
      <c r="AG332" s="3"/>
      <c r="AH332" s="3"/>
      <c r="AI332" s="3"/>
      <c r="AJ332" s="3"/>
      <c r="AK332" s="3"/>
      <c r="AL332" s="3"/>
      <c r="AM332" s="3"/>
      <c r="AN332" s="3"/>
      <c r="AO332" s="3"/>
      <c r="AP332" s="3"/>
    </row>
    <row r="333" spans="2:42" x14ac:dyDescent="0.25">
      <c r="B333" s="13"/>
      <c r="C333" s="56"/>
      <c r="D333" s="60"/>
      <c r="E333" s="56"/>
      <c r="F333" s="56"/>
      <c r="G333" s="56"/>
      <c r="H333" s="56"/>
      <c r="I333" s="14"/>
      <c r="J333" s="14"/>
      <c r="K333" s="14"/>
      <c r="L333" s="14"/>
      <c r="M333" s="14"/>
      <c r="N333" s="14"/>
      <c r="O333" s="14"/>
      <c r="P333" s="14"/>
      <c r="Q333" s="14"/>
      <c r="R333" s="14"/>
      <c r="S333" s="14"/>
      <c r="T333" s="14"/>
      <c r="U333" s="14"/>
      <c r="V333" s="14"/>
      <c r="W333" s="14"/>
      <c r="X333" s="14"/>
      <c r="Y333" s="14"/>
      <c r="Z333" s="14"/>
      <c r="AA333" s="14"/>
      <c r="AB333" s="15"/>
      <c r="AC333" s="3"/>
      <c r="AD333" s="3"/>
      <c r="AE333" s="3"/>
      <c r="AF333" s="3"/>
      <c r="AG333" s="3"/>
      <c r="AH333" s="3"/>
      <c r="AI333" s="3"/>
      <c r="AJ333" s="3"/>
      <c r="AK333" s="3"/>
      <c r="AL333" s="3"/>
      <c r="AM333" s="3"/>
      <c r="AN333" s="3"/>
      <c r="AO333" s="3"/>
      <c r="AP333" s="3"/>
    </row>
    <row r="334" spans="2:42" x14ac:dyDescent="0.25">
      <c r="B334" s="13"/>
      <c r="C334" s="14"/>
      <c r="D334" s="60"/>
      <c r="E334" s="56"/>
      <c r="F334" s="56"/>
      <c r="G334" s="14"/>
      <c r="H334" s="56"/>
      <c r="I334" s="14"/>
      <c r="J334" s="14"/>
      <c r="K334" s="14"/>
      <c r="L334" s="14"/>
      <c r="M334" s="14"/>
      <c r="N334" s="14"/>
      <c r="O334" s="14"/>
      <c r="P334" s="14"/>
      <c r="Q334" s="14"/>
      <c r="R334" s="14"/>
      <c r="S334" s="14"/>
      <c r="T334" s="14"/>
      <c r="U334" s="14"/>
      <c r="V334" s="14"/>
      <c r="W334" s="14"/>
      <c r="X334" s="14"/>
      <c r="Y334" s="14"/>
      <c r="Z334" s="14"/>
      <c r="AA334" s="14"/>
      <c r="AB334" s="15"/>
      <c r="AC334" s="3"/>
      <c r="AD334" s="3"/>
      <c r="AE334" s="3"/>
      <c r="AF334" s="3"/>
      <c r="AG334" s="3"/>
      <c r="AH334" s="3"/>
      <c r="AI334" s="3"/>
      <c r="AJ334" s="3"/>
      <c r="AK334" s="3"/>
      <c r="AL334" s="3"/>
      <c r="AM334" s="3"/>
      <c r="AN334" s="3"/>
      <c r="AO334" s="3"/>
      <c r="AP334" s="3"/>
    </row>
    <row r="335" spans="2:42" x14ac:dyDescent="0.25">
      <c r="B335" s="13"/>
      <c r="C335" s="14"/>
      <c r="D335" s="14"/>
      <c r="E335" s="56"/>
      <c r="F335" s="56"/>
      <c r="G335" s="14"/>
      <c r="H335" s="56"/>
      <c r="I335" s="14"/>
      <c r="J335" s="14"/>
      <c r="K335" s="14"/>
      <c r="L335" s="14"/>
      <c r="M335" s="14"/>
      <c r="N335" s="14"/>
      <c r="O335" s="14"/>
      <c r="P335" s="14"/>
      <c r="Q335" s="14"/>
      <c r="R335" s="14"/>
      <c r="S335" s="14"/>
      <c r="T335" s="14"/>
      <c r="U335" s="14"/>
      <c r="V335" s="14"/>
      <c r="W335" s="14"/>
      <c r="X335" s="14"/>
      <c r="Y335" s="14"/>
      <c r="Z335" s="14"/>
      <c r="AA335" s="14"/>
      <c r="AB335" s="15"/>
      <c r="AC335" s="3"/>
      <c r="AD335" s="3"/>
      <c r="AE335" s="3"/>
      <c r="AF335" s="3"/>
      <c r="AG335" s="3"/>
      <c r="AH335" s="3"/>
      <c r="AI335" s="3"/>
      <c r="AJ335" s="3"/>
      <c r="AK335" s="3"/>
      <c r="AL335" s="3"/>
      <c r="AM335" s="3"/>
      <c r="AN335" s="3"/>
      <c r="AO335" s="3"/>
      <c r="AP335" s="3"/>
    </row>
    <row r="336" spans="2:42" ht="18.75" x14ac:dyDescent="0.3">
      <c r="B336" s="67"/>
      <c r="C336" s="14"/>
      <c r="D336" s="60"/>
      <c r="E336" s="56"/>
      <c r="F336" s="56"/>
      <c r="G336" s="14"/>
      <c r="H336" s="14"/>
      <c r="I336" s="74"/>
      <c r="J336" s="14"/>
      <c r="K336" s="14"/>
      <c r="L336" s="14"/>
      <c r="M336" s="14"/>
      <c r="N336" s="14"/>
      <c r="O336" s="14"/>
      <c r="P336" s="14"/>
      <c r="Q336" s="14"/>
      <c r="R336" s="14"/>
      <c r="S336" s="14"/>
      <c r="T336" s="14"/>
      <c r="U336" s="14"/>
      <c r="V336" s="14"/>
      <c r="W336" s="14"/>
      <c r="X336" s="14"/>
      <c r="Y336" s="14"/>
      <c r="Z336" s="14"/>
      <c r="AA336" s="14"/>
      <c r="AB336" s="15"/>
      <c r="AC336" s="3"/>
      <c r="AD336" s="3"/>
      <c r="AE336" s="3"/>
      <c r="AF336" s="3"/>
      <c r="AG336" s="3"/>
      <c r="AH336" s="3"/>
      <c r="AI336" s="3"/>
      <c r="AJ336" s="3"/>
      <c r="AK336" s="3"/>
      <c r="AL336" s="3"/>
      <c r="AM336" s="3"/>
      <c r="AN336" s="3"/>
      <c r="AO336" s="3"/>
      <c r="AP336" s="3"/>
    </row>
    <row r="337" spans="2:42" x14ac:dyDescent="0.25">
      <c r="B337" s="13"/>
      <c r="C337" s="14"/>
      <c r="D337" s="60"/>
      <c r="E337" s="56"/>
      <c r="F337" s="56"/>
      <c r="G337" s="14"/>
      <c r="H337" s="56"/>
      <c r="I337" s="14"/>
      <c r="J337" s="14"/>
      <c r="K337" s="14"/>
      <c r="L337" s="14"/>
      <c r="M337" s="14"/>
      <c r="N337" s="14"/>
      <c r="O337" s="14"/>
      <c r="P337" s="14"/>
      <c r="Q337" s="14"/>
      <c r="R337" s="14"/>
      <c r="S337" s="14"/>
      <c r="T337" s="14"/>
      <c r="U337" s="14"/>
      <c r="V337" s="14"/>
      <c r="W337" s="14"/>
      <c r="X337" s="14"/>
      <c r="Y337" s="14"/>
      <c r="Z337" s="14"/>
      <c r="AA337" s="14"/>
      <c r="AB337" s="15"/>
      <c r="AC337" s="3"/>
      <c r="AD337" s="3"/>
      <c r="AE337" s="3"/>
      <c r="AF337" s="3"/>
      <c r="AG337" s="3"/>
      <c r="AH337" s="3"/>
      <c r="AI337" s="3"/>
      <c r="AJ337" s="3"/>
      <c r="AK337" s="3"/>
      <c r="AL337" s="3"/>
      <c r="AM337" s="3"/>
      <c r="AN337" s="3"/>
      <c r="AO337" s="3"/>
      <c r="AP337" s="3"/>
    </row>
    <row r="338" spans="2:42" x14ac:dyDescent="0.25">
      <c r="B338" s="13"/>
      <c r="C338" s="14"/>
      <c r="D338" s="60"/>
      <c r="E338" s="56"/>
      <c r="F338" s="56"/>
      <c r="G338" s="14"/>
      <c r="H338" s="56"/>
      <c r="I338" s="14"/>
      <c r="J338" s="14"/>
      <c r="K338" s="14"/>
      <c r="L338" s="14"/>
      <c r="M338" s="14"/>
      <c r="N338" s="14"/>
      <c r="O338" s="14"/>
      <c r="P338" s="14"/>
      <c r="Q338" s="14"/>
      <c r="R338" s="14"/>
      <c r="S338" s="14"/>
      <c r="T338" s="14"/>
      <c r="U338" s="14"/>
      <c r="V338" s="14"/>
      <c r="W338" s="14"/>
      <c r="X338" s="14"/>
      <c r="Y338" s="14"/>
      <c r="Z338" s="14"/>
      <c r="AA338" s="14"/>
      <c r="AB338" s="15"/>
      <c r="AC338" s="3"/>
      <c r="AD338" s="3"/>
      <c r="AE338" s="3"/>
      <c r="AF338" s="3"/>
      <c r="AG338" s="3"/>
      <c r="AH338" s="3"/>
      <c r="AI338" s="3"/>
      <c r="AJ338" s="3"/>
      <c r="AK338" s="3"/>
      <c r="AL338" s="3"/>
      <c r="AM338" s="3"/>
      <c r="AN338" s="3"/>
      <c r="AO338" s="3"/>
      <c r="AP338" s="3"/>
    </row>
    <row r="339" spans="2:42" x14ac:dyDescent="0.25">
      <c r="B339" s="13"/>
      <c r="C339" s="14"/>
      <c r="D339" s="60"/>
      <c r="E339" s="56"/>
      <c r="F339" s="56"/>
      <c r="G339" s="14"/>
      <c r="H339" s="56"/>
      <c r="I339" s="14"/>
      <c r="J339" s="14"/>
      <c r="K339" s="14"/>
      <c r="L339" s="14"/>
      <c r="M339" s="14"/>
      <c r="N339" s="14"/>
      <c r="O339" s="14"/>
      <c r="P339" s="14"/>
      <c r="Q339" s="14"/>
      <c r="R339" s="14"/>
      <c r="S339" s="14"/>
      <c r="T339" s="14"/>
      <c r="U339" s="14"/>
      <c r="V339" s="14"/>
      <c r="W339" s="14"/>
      <c r="X339" s="14"/>
      <c r="Y339" s="14"/>
      <c r="Z339" s="14"/>
      <c r="AA339" s="14"/>
      <c r="AB339" s="15"/>
      <c r="AC339" s="3"/>
      <c r="AD339" s="3"/>
      <c r="AE339" s="3"/>
      <c r="AF339" s="3"/>
      <c r="AG339" s="3"/>
      <c r="AH339" s="3"/>
      <c r="AI339" s="3"/>
      <c r="AJ339" s="3"/>
      <c r="AK339" s="3"/>
      <c r="AL339" s="3"/>
      <c r="AM339" s="3"/>
      <c r="AN339" s="3"/>
      <c r="AO339" s="3"/>
      <c r="AP339" s="3"/>
    </row>
    <row r="340" spans="2:42" x14ac:dyDescent="0.25">
      <c r="B340" s="13"/>
      <c r="C340" s="56"/>
      <c r="D340" s="60"/>
      <c r="E340" s="56"/>
      <c r="F340" s="56"/>
      <c r="G340" s="56"/>
      <c r="H340" s="56"/>
      <c r="I340" s="14"/>
      <c r="J340" s="14"/>
      <c r="K340" s="14"/>
      <c r="L340" s="14"/>
      <c r="M340" s="14"/>
      <c r="N340" s="14"/>
      <c r="O340" s="14"/>
      <c r="P340" s="14"/>
      <c r="Q340" s="14"/>
      <c r="R340" s="14"/>
      <c r="S340" s="14"/>
      <c r="T340" s="14"/>
      <c r="U340" s="14"/>
      <c r="V340" s="14"/>
      <c r="W340" s="14"/>
      <c r="X340" s="14"/>
      <c r="Y340" s="14"/>
      <c r="Z340" s="14"/>
      <c r="AA340" s="14"/>
      <c r="AB340" s="15"/>
      <c r="AC340" s="3"/>
      <c r="AD340" s="3"/>
      <c r="AE340" s="3"/>
      <c r="AF340" s="3"/>
      <c r="AG340" s="3"/>
      <c r="AH340" s="3"/>
      <c r="AI340" s="3"/>
      <c r="AJ340" s="3"/>
      <c r="AK340" s="3"/>
      <c r="AL340" s="3"/>
      <c r="AM340" s="3"/>
      <c r="AN340" s="3"/>
      <c r="AO340" s="3"/>
      <c r="AP340" s="3"/>
    </row>
    <row r="341" spans="2:42" x14ac:dyDescent="0.25">
      <c r="B341" s="13"/>
      <c r="C341" s="14"/>
      <c r="D341" s="60"/>
      <c r="E341" s="56"/>
      <c r="F341" s="56"/>
      <c r="G341" s="14"/>
      <c r="H341" s="56"/>
      <c r="I341" s="14"/>
      <c r="J341" s="14"/>
      <c r="K341" s="14"/>
      <c r="L341" s="14"/>
      <c r="M341" s="14"/>
      <c r="N341" s="14"/>
      <c r="O341" s="14"/>
      <c r="P341" s="14"/>
      <c r="Q341" s="14"/>
      <c r="R341" s="14"/>
      <c r="S341" s="14"/>
      <c r="T341" s="14"/>
      <c r="U341" s="14"/>
      <c r="V341" s="14"/>
      <c r="W341" s="14"/>
      <c r="X341" s="14"/>
      <c r="Y341" s="14"/>
      <c r="Z341" s="14"/>
      <c r="AA341" s="14"/>
      <c r="AB341" s="15"/>
      <c r="AC341" s="3"/>
      <c r="AD341" s="3"/>
      <c r="AE341" s="3"/>
      <c r="AF341" s="3"/>
      <c r="AG341" s="3"/>
      <c r="AH341" s="3"/>
      <c r="AI341" s="3"/>
      <c r="AJ341" s="3"/>
      <c r="AK341" s="3"/>
      <c r="AL341" s="3"/>
      <c r="AM341" s="3"/>
      <c r="AN341" s="3"/>
      <c r="AO341" s="3"/>
      <c r="AP341" s="3"/>
    </row>
    <row r="342" spans="2:42" x14ac:dyDescent="0.25">
      <c r="B342" s="13"/>
      <c r="C342" s="14"/>
      <c r="D342" s="14"/>
      <c r="E342" s="56"/>
      <c r="F342" s="56"/>
      <c r="G342" s="14"/>
      <c r="H342" s="56"/>
      <c r="I342" s="14"/>
      <c r="J342" s="14"/>
      <c r="K342" s="14"/>
      <c r="L342" s="14"/>
      <c r="M342" s="14"/>
      <c r="N342" s="14"/>
      <c r="O342" s="14"/>
      <c r="P342" s="14"/>
      <c r="Q342" s="14"/>
      <c r="R342" s="14"/>
      <c r="S342" s="14"/>
      <c r="T342" s="14"/>
      <c r="U342" s="14"/>
      <c r="V342" s="14"/>
      <c r="W342" s="14"/>
      <c r="X342" s="14"/>
      <c r="Y342" s="14"/>
      <c r="Z342" s="14"/>
      <c r="AA342" s="14"/>
      <c r="AB342" s="15"/>
      <c r="AC342" s="3"/>
      <c r="AD342" s="3"/>
      <c r="AE342" s="3"/>
      <c r="AF342" s="3"/>
      <c r="AG342" s="3"/>
      <c r="AH342" s="3"/>
      <c r="AI342" s="3"/>
      <c r="AJ342" s="3"/>
      <c r="AK342" s="3"/>
      <c r="AL342" s="3"/>
      <c r="AM342" s="3"/>
      <c r="AN342" s="3"/>
      <c r="AO342" s="3"/>
      <c r="AP342" s="3"/>
    </row>
    <row r="343" spans="2:42" x14ac:dyDescent="0.25">
      <c r="B343" s="13"/>
      <c r="C343" s="14"/>
      <c r="D343" s="60"/>
      <c r="E343" s="56"/>
      <c r="F343" s="56"/>
      <c r="G343" s="14"/>
      <c r="H343" s="14"/>
      <c r="I343" s="14"/>
      <c r="J343" s="14"/>
      <c r="K343" s="14"/>
      <c r="L343" s="14"/>
      <c r="M343" s="14"/>
      <c r="N343" s="14"/>
      <c r="O343" s="14"/>
      <c r="P343" s="14"/>
      <c r="Q343" s="14"/>
      <c r="R343" s="14"/>
      <c r="S343" s="14"/>
      <c r="T343" s="14"/>
      <c r="U343" s="14"/>
      <c r="V343" s="14"/>
      <c r="W343" s="14"/>
      <c r="X343" s="14"/>
      <c r="Y343" s="14"/>
      <c r="Z343" s="14"/>
      <c r="AA343" s="14"/>
      <c r="AB343" s="15"/>
      <c r="AC343" s="3"/>
      <c r="AD343" s="3"/>
      <c r="AE343" s="3"/>
      <c r="AF343" s="3"/>
      <c r="AG343" s="3"/>
      <c r="AH343" s="3"/>
      <c r="AI343" s="3"/>
      <c r="AJ343" s="3"/>
      <c r="AK343" s="3"/>
      <c r="AL343" s="3"/>
      <c r="AM343" s="3"/>
      <c r="AN343" s="3"/>
      <c r="AO343" s="3"/>
      <c r="AP343" s="3"/>
    </row>
    <row r="344" spans="2:42" ht="18.75" x14ac:dyDescent="0.3">
      <c r="B344" s="67"/>
      <c r="C344" s="14"/>
      <c r="D344" s="60"/>
      <c r="E344" s="56"/>
      <c r="F344" s="56"/>
      <c r="G344" s="14"/>
      <c r="H344" s="56"/>
      <c r="I344" s="74"/>
      <c r="J344" s="14"/>
      <c r="K344" s="14"/>
      <c r="L344" s="14"/>
      <c r="M344" s="14"/>
      <c r="N344" s="14"/>
      <c r="O344" s="14"/>
      <c r="P344" s="14"/>
      <c r="Q344" s="14"/>
      <c r="R344" s="14"/>
      <c r="S344" s="14"/>
      <c r="T344" s="14"/>
      <c r="U344" s="14"/>
      <c r="V344" s="14"/>
      <c r="W344" s="14"/>
      <c r="X344" s="14"/>
      <c r="Y344" s="14"/>
      <c r="Z344" s="14"/>
      <c r="AA344" s="14"/>
      <c r="AB344" s="15"/>
      <c r="AC344" s="3"/>
      <c r="AD344" s="3"/>
      <c r="AE344" s="3"/>
      <c r="AF344" s="3"/>
      <c r="AG344" s="3"/>
      <c r="AH344" s="3"/>
      <c r="AI344" s="3"/>
      <c r="AJ344" s="3"/>
      <c r="AK344" s="3"/>
      <c r="AL344" s="3"/>
      <c r="AM344" s="3"/>
      <c r="AN344" s="3"/>
      <c r="AO344" s="3"/>
      <c r="AP344" s="3"/>
    </row>
    <row r="345" spans="2:42" x14ac:dyDescent="0.25">
      <c r="B345" s="13"/>
      <c r="C345" s="14"/>
      <c r="D345" s="60"/>
      <c r="E345" s="56"/>
      <c r="F345" s="56"/>
      <c r="G345" s="14"/>
      <c r="H345" s="56"/>
      <c r="I345" s="14"/>
      <c r="J345" s="14"/>
      <c r="K345" s="14"/>
      <c r="L345" s="14"/>
      <c r="M345" s="14"/>
      <c r="N345" s="14"/>
      <c r="O345" s="14"/>
      <c r="P345" s="14"/>
      <c r="Q345" s="14"/>
      <c r="R345" s="14"/>
      <c r="S345" s="14"/>
      <c r="T345" s="14"/>
      <c r="U345" s="14"/>
      <c r="V345" s="14"/>
      <c r="W345" s="14"/>
      <c r="X345" s="14"/>
      <c r="Y345" s="14"/>
      <c r="Z345" s="14"/>
      <c r="AA345" s="14"/>
      <c r="AB345" s="15"/>
      <c r="AC345" s="3"/>
      <c r="AD345" s="3"/>
      <c r="AE345" s="3"/>
      <c r="AF345" s="3"/>
      <c r="AG345" s="3"/>
      <c r="AH345" s="3"/>
      <c r="AI345" s="3"/>
      <c r="AJ345" s="3"/>
      <c r="AK345" s="3"/>
      <c r="AL345" s="3"/>
      <c r="AM345" s="3"/>
      <c r="AN345" s="3"/>
      <c r="AO345" s="3"/>
      <c r="AP345" s="3"/>
    </row>
    <row r="346" spans="2:42" x14ac:dyDescent="0.25">
      <c r="B346" s="13"/>
      <c r="C346" s="14"/>
      <c r="D346" s="60"/>
      <c r="E346" s="56"/>
      <c r="F346" s="56"/>
      <c r="G346" s="14"/>
      <c r="H346" s="56"/>
      <c r="I346" s="14"/>
      <c r="J346" s="14"/>
      <c r="K346" s="14"/>
      <c r="L346" s="14"/>
      <c r="M346" s="14"/>
      <c r="N346" s="14"/>
      <c r="O346" s="14"/>
      <c r="P346" s="14"/>
      <c r="Q346" s="14"/>
      <c r="R346" s="14"/>
      <c r="S346" s="14"/>
      <c r="T346" s="14"/>
      <c r="U346" s="14"/>
      <c r="V346" s="14"/>
      <c r="W346" s="14"/>
      <c r="X346" s="14"/>
      <c r="Y346" s="14"/>
      <c r="Z346" s="14"/>
      <c r="AA346" s="14"/>
      <c r="AB346" s="15"/>
      <c r="AC346" s="3"/>
      <c r="AD346" s="3"/>
      <c r="AE346" s="3"/>
      <c r="AF346" s="3"/>
      <c r="AG346" s="3"/>
      <c r="AH346" s="3"/>
      <c r="AI346" s="3"/>
      <c r="AJ346" s="3"/>
      <c r="AK346" s="3"/>
      <c r="AL346" s="3"/>
      <c r="AM346" s="3"/>
      <c r="AN346" s="3"/>
      <c r="AO346" s="3"/>
      <c r="AP346" s="3"/>
    </row>
    <row r="347" spans="2:42" x14ac:dyDescent="0.25">
      <c r="B347" s="13"/>
      <c r="C347" s="56"/>
      <c r="D347" s="60"/>
      <c r="E347" s="56"/>
      <c r="F347" s="56"/>
      <c r="G347" s="56"/>
      <c r="H347" s="56"/>
      <c r="I347" s="14"/>
      <c r="J347" s="14"/>
      <c r="K347" s="14"/>
      <c r="L347" s="14"/>
      <c r="M347" s="14"/>
      <c r="N347" s="14"/>
      <c r="O347" s="14"/>
      <c r="P347" s="14"/>
      <c r="Q347" s="14"/>
      <c r="R347" s="14"/>
      <c r="S347" s="14"/>
      <c r="T347" s="14"/>
      <c r="U347" s="14"/>
      <c r="V347" s="14"/>
      <c r="W347" s="14"/>
      <c r="X347" s="14"/>
      <c r="Y347" s="14"/>
      <c r="Z347" s="14"/>
      <c r="AA347" s="14"/>
      <c r="AB347" s="15"/>
      <c r="AC347" s="3"/>
      <c r="AD347" s="3"/>
      <c r="AE347" s="3"/>
      <c r="AF347" s="3"/>
      <c r="AG347" s="3"/>
      <c r="AH347" s="3"/>
      <c r="AI347" s="3"/>
      <c r="AJ347" s="3"/>
      <c r="AK347" s="3"/>
      <c r="AL347" s="3"/>
      <c r="AM347" s="3"/>
      <c r="AN347" s="3"/>
      <c r="AO347" s="3"/>
      <c r="AP347" s="3"/>
    </row>
    <row r="348" spans="2:42" x14ac:dyDescent="0.25">
      <c r="B348" s="13"/>
      <c r="C348" s="14"/>
      <c r="D348" s="60"/>
      <c r="E348" s="56"/>
      <c r="F348" s="56"/>
      <c r="G348" s="14"/>
      <c r="H348" s="56"/>
      <c r="I348" s="14"/>
      <c r="J348" s="14"/>
      <c r="K348" s="14"/>
      <c r="L348" s="14"/>
      <c r="M348" s="14"/>
      <c r="N348" s="14"/>
      <c r="O348" s="14"/>
      <c r="P348" s="14"/>
      <c r="Q348" s="14"/>
      <c r="R348" s="14"/>
      <c r="S348" s="14"/>
      <c r="T348" s="14"/>
      <c r="U348" s="14"/>
      <c r="V348" s="14"/>
      <c r="W348" s="14"/>
      <c r="X348" s="14"/>
      <c r="Y348" s="14"/>
      <c r="Z348" s="14"/>
      <c r="AA348" s="14"/>
      <c r="AB348" s="15"/>
      <c r="AC348" s="3"/>
      <c r="AD348" s="3"/>
      <c r="AE348" s="3"/>
      <c r="AF348" s="3"/>
      <c r="AG348" s="3"/>
      <c r="AH348" s="3"/>
      <c r="AI348" s="3"/>
      <c r="AJ348" s="3"/>
      <c r="AK348" s="3"/>
      <c r="AL348" s="3"/>
      <c r="AM348" s="3"/>
      <c r="AN348" s="3"/>
      <c r="AO348" s="3"/>
      <c r="AP348" s="3"/>
    </row>
    <row r="349" spans="2:42" x14ac:dyDescent="0.25">
      <c r="B349" s="13"/>
      <c r="C349" s="14"/>
      <c r="D349" s="14"/>
      <c r="E349" s="56"/>
      <c r="F349" s="56"/>
      <c r="G349" s="14"/>
      <c r="H349" s="56"/>
      <c r="I349" s="14"/>
      <c r="J349" s="14"/>
      <c r="K349" s="14"/>
      <c r="L349" s="14"/>
      <c r="M349" s="14"/>
      <c r="N349" s="14"/>
      <c r="O349" s="14"/>
      <c r="P349" s="14"/>
      <c r="Q349" s="14"/>
      <c r="R349" s="14"/>
      <c r="S349" s="14"/>
      <c r="T349" s="14"/>
      <c r="U349" s="14"/>
      <c r="V349" s="14"/>
      <c r="W349" s="14"/>
      <c r="X349" s="14"/>
      <c r="Y349" s="14"/>
      <c r="Z349" s="14"/>
      <c r="AA349" s="14"/>
      <c r="AB349" s="15"/>
      <c r="AC349" s="3"/>
      <c r="AD349" s="3"/>
      <c r="AE349" s="3"/>
      <c r="AF349" s="3"/>
      <c r="AG349" s="3"/>
      <c r="AH349" s="3"/>
      <c r="AI349" s="3"/>
      <c r="AJ349" s="3"/>
      <c r="AK349" s="3"/>
      <c r="AL349" s="3"/>
      <c r="AM349" s="3"/>
      <c r="AN349" s="3"/>
      <c r="AO349" s="3"/>
      <c r="AP349" s="3"/>
    </row>
    <row r="350" spans="2:42" x14ac:dyDescent="0.25">
      <c r="B350" s="13"/>
      <c r="C350" s="14"/>
      <c r="D350" s="60"/>
      <c r="E350" s="56"/>
      <c r="F350" s="56"/>
      <c r="G350" s="14"/>
      <c r="H350" s="14"/>
      <c r="I350" s="14"/>
      <c r="J350" s="14"/>
      <c r="K350" s="14"/>
      <c r="L350" s="14"/>
      <c r="M350" s="14"/>
      <c r="N350" s="14"/>
      <c r="O350" s="14"/>
      <c r="P350" s="14"/>
      <c r="Q350" s="14"/>
      <c r="R350" s="14"/>
      <c r="S350" s="14"/>
      <c r="T350" s="14"/>
      <c r="U350" s="14"/>
      <c r="V350" s="14"/>
      <c r="W350" s="14"/>
      <c r="X350" s="14"/>
      <c r="Y350" s="14"/>
      <c r="Z350" s="14"/>
      <c r="AA350" s="14"/>
      <c r="AB350" s="15"/>
      <c r="AC350" s="3"/>
      <c r="AD350" s="3"/>
      <c r="AE350" s="3"/>
      <c r="AF350" s="3"/>
      <c r="AG350" s="3"/>
      <c r="AH350" s="3"/>
      <c r="AI350" s="3"/>
      <c r="AJ350" s="3"/>
      <c r="AK350" s="3"/>
      <c r="AL350" s="3"/>
      <c r="AM350" s="3"/>
      <c r="AN350" s="3"/>
      <c r="AO350" s="3"/>
      <c r="AP350" s="3"/>
    </row>
    <row r="351" spans="2:42" x14ac:dyDescent="0.25">
      <c r="B351" s="13"/>
      <c r="C351" s="14"/>
      <c r="D351" s="60"/>
      <c r="E351" s="56"/>
      <c r="F351" s="56"/>
      <c r="G351" s="14"/>
      <c r="H351" s="56"/>
      <c r="I351" s="14"/>
      <c r="J351" s="14"/>
      <c r="K351" s="14"/>
      <c r="L351" s="14"/>
      <c r="M351" s="14"/>
      <c r="N351" s="14"/>
      <c r="O351" s="14"/>
      <c r="P351" s="14"/>
      <c r="Q351" s="14"/>
      <c r="R351" s="14"/>
      <c r="S351" s="14"/>
      <c r="T351" s="14"/>
      <c r="U351" s="14"/>
      <c r="V351" s="14"/>
      <c r="W351" s="14"/>
      <c r="X351" s="14"/>
      <c r="Y351" s="14"/>
      <c r="Z351" s="14"/>
      <c r="AA351" s="14"/>
      <c r="AB351" s="15"/>
      <c r="AC351" s="3"/>
      <c r="AD351" s="3"/>
      <c r="AE351" s="3"/>
      <c r="AF351" s="3"/>
      <c r="AG351" s="3"/>
      <c r="AH351" s="3"/>
      <c r="AI351" s="3"/>
      <c r="AJ351" s="3"/>
      <c r="AK351" s="3"/>
      <c r="AL351" s="3"/>
      <c r="AM351" s="3"/>
      <c r="AN351" s="3"/>
      <c r="AO351" s="3"/>
      <c r="AP351" s="3"/>
    </row>
    <row r="352" spans="2:42" ht="18.75" x14ac:dyDescent="0.3">
      <c r="B352" s="67"/>
      <c r="C352" s="14"/>
      <c r="D352" s="60"/>
      <c r="E352" s="56"/>
      <c r="F352" s="56"/>
      <c r="G352" s="14"/>
      <c r="H352" s="56"/>
      <c r="I352" s="74"/>
      <c r="J352" s="14"/>
      <c r="K352" s="14"/>
      <c r="L352" s="14"/>
      <c r="M352" s="14"/>
      <c r="N352" s="14"/>
      <c r="O352" s="14"/>
      <c r="P352" s="14"/>
      <c r="Q352" s="14"/>
      <c r="R352" s="14"/>
      <c r="S352" s="14"/>
      <c r="T352" s="14"/>
      <c r="U352" s="14"/>
      <c r="V352" s="14"/>
      <c r="W352" s="14"/>
      <c r="X352" s="14"/>
      <c r="Y352" s="14"/>
      <c r="Z352" s="14"/>
      <c r="AA352" s="14"/>
      <c r="AB352" s="15"/>
      <c r="AC352" s="3"/>
      <c r="AD352" s="3"/>
      <c r="AE352" s="3"/>
      <c r="AF352" s="3"/>
      <c r="AG352" s="3"/>
      <c r="AH352" s="3"/>
      <c r="AI352" s="3"/>
      <c r="AJ352" s="3"/>
      <c r="AK352" s="3"/>
      <c r="AL352" s="3"/>
      <c r="AM352" s="3"/>
      <c r="AN352" s="3"/>
      <c r="AO352" s="3"/>
      <c r="AP352" s="3"/>
    </row>
    <row r="353" spans="2:42" x14ac:dyDescent="0.25">
      <c r="B353" s="13"/>
      <c r="C353" s="14"/>
      <c r="D353" s="60"/>
      <c r="E353" s="56"/>
      <c r="F353" s="56"/>
      <c r="G353" s="14"/>
      <c r="H353" s="56"/>
      <c r="I353" s="14"/>
      <c r="J353" s="14"/>
      <c r="K353" s="14"/>
      <c r="L353" s="14"/>
      <c r="M353" s="14"/>
      <c r="N353" s="14"/>
      <c r="O353" s="14"/>
      <c r="P353" s="14"/>
      <c r="Q353" s="14"/>
      <c r="R353" s="14"/>
      <c r="S353" s="14"/>
      <c r="T353" s="14"/>
      <c r="U353" s="14"/>
      <c r="V353" s="14"/>
      <c r="W353" s="14"/>
      <c r="X353" s="14"/>
      <c r="Y353" s="14"/>
      <c r="Z353" s="14"/>
      <c r="AA353" s="14"/>
      <c r="AB353" s="15"/>
      <c r="AC353" s="3"/>
      <c r="AD353" s="3"/>
      <c r="AE353" s="3"/>
      <c r="AF353" s="3"/>
      <c r="AG353" s="3"/>
      <c r="AH353" s="3"/>
      <c r="AI353" s="3"/>
      <c r="AJ353" s="3"/>
      <c r="AK353" s="3"/>
      <c r="AL353" s="3"/>
      <c r="AM353" s="3"/>
      <c r="AN353" s="3"/>
      <c r="AO353" s="3"/>
      <c r="AP353" s="3"/>
    </row>
    <row r="354" spans="2:42" x14ac:dyDescent="0.25">
      <c r="B354" s="13"/>
      <c r="C354" s="56"/>
      <c r="D354" s="60"/>
      <c r="E354" s="56"/>
      <c r="F354" s="56"/>
      <c r="G354" s="56"/>
      <c r="H354" s="56"/>
      <c r="I354" s="14"/>
      <c r="J354" s="14"/>
      <c r="K354" s="14"/>
      <c r="L354" s="14"/>
      <c r="M354" s="14"/>
      <c r="N354" s="14"/>
      <c r="O354" s="14"/>
      <c r="P354" s="14"/>
      <c r="Q354" s="14"/>
      <c r="R354" s="14"/>
      <c r="S354" s="14"/>
      <c r="T354" s="14"/>
      <c r="U354" s="14"/>
      <c r="V354" s="14"/>
      <c r="W354" s="14"/>
      <c r="X354" s="14"/>
      <c r="Y354" s="14"/>
      <c r="Z354" s="14"/>
      <c r="AA354" s="14"/>
      <c r="AB354" s="15"/>
      <c r="AC354" s="3"/>
      <c r="AD354" s="3"/>
      <c r="AE354" s="3"/>
      <c r="AF354" s="3"/>
      <c r="AG354" s="3"/>
      <c r="AH354" s="3"/>
      <c r="AI354" s="3"/>
      <c r="AJ354" s="3"/>
      <c r="AK354" s="3"/>
      <c r="AL354" s="3"/>
      <c r="AM354" s="3"/>
      <c r="AN354" s="3"/>
      <c r="AO354" s="3"/>
      <c r="AP354" s="3"/>
    </row>
    <row r="355" spans="2:42" x14ac:dyDescent="0.25">
      <c r="B355" s="13"/>
      <c r="C355" s="14"/>
      <c r="D355" s="60"/>
      <c r="E355" s="56"/>
      <c r="F355" s="56"/>
      <c r="G355" s="14"/>
      <c r="H355" s="56"/>
      <c r="I355" s="14"/>
      <c r="J355" s="14"/>
      <c r="K355" s="14"/>
      <c r="L355" s="14"/>
      <c r="M355" s="14"/>
      <c r="N355" s="14"/>
      <c r="O355" s="14"/>
      <c r="P355" s="14"/>
      <c r="Q355" s="14"/>
      <c r="R355" s="14"/>
      <c r="S355" s="14"/>
      <c r="T355" s="14"/>
      <c r="U355" s="14"/>
      <c r="V355" s="14"/>
      <c r="W355" s="14"/>
      <c r="X355" s="14"/>
      <c r="Y355" s="14"/>
      <c r="Z355" s="14"/>
      <c r="AA355" s="14"/>
      <c r="AB355" s="15"/>
      <c r="AC355" s="3"/>
      <c r="AD355" s="3"/>
      <c r="AE355" s="3"/>
      <c r="AF355" s="3"/>
      <c r="AG355" s="3"/>
      <c r="AH355" s="3"/>
      <c r="AI355" s="3"/>
      <c r="AJ355" s="3"/>
      <c r="AK355" s="3"/>
      <c r="AL355" s="3"/>
      <c r="AM355" s="3"/>
      <c r="AN355" s="3"/>
      <c r="AO355" s="3"/>
      <c r="AP355" s="3"/>
    </row>
    <row r="356" spans="2:42" x14ac:dyDescent="0.25">
      <c r="B356" s="13"/>
      <c r="C356" s="14"/>
      <c r="D356" s="14"/>
      <c r="E356" s="56"/>
      <c r="F356" s="56"/>
      <c r="G356" s="14"/>
      <c r="H356" s="56"/>
      <c r="I356" s="14"/>
      <c r="J356" s="14"/>
      <c r="K356" s="14"/>
      <c r="L356" s="14"/>
      <c r="M356" s="14"/>
      <c r="N356" s="14"/>
      <c r="O356" s="14"/>
      <c r="P356" s="14"/>
      <c r="Q356" s="14"/>
      <c r="R356" s="14"/>
      <c r="S356" s="14"/>
      <c r="T356" s="14"/>
      <c r="U356" s="14"/>
      <c r="V356" s="14"/>
      <c r="W356" s="14"/>
      <c r="X356" s="14"/>
      <c r="Y356" s="14"/>
      <c r="Z356" s="14"/>
      <c r="AA356" s="14"/>
      <c r="AB356" s="15"/>
      <c r="AC356" s="3"/>
      <c r="AD356" s="3"/>
      <c r="AE356" s="3"/>
      <c r="AF356" s="3"/>
      <c r="AG356" s="3"/>
      <c r="AH356" s="3"/>
      <c r="AI356" s="3"/>
      <c r="AJ356" s="3"/>
      <c r="AK356" s="3"/>
      <c r="AL356" s="3"/>
      <c r="AM356" s="3"/>
      <c r="AN356" s="3"/>
      <c r="AO356" s="3"/>
      <c r="AP356" s="3"/>
    </row>
    <row r="357" spans="2:42" x14ac:dyDescent="0.25">
      <c r="B357" s="13"/>
      <c r="C357" s="14"/>
      <c r="D357" s="60"/>
      <c r="E357" s="56"/>
      <c r="F357" s="56"/>
      <c r="G357" s="14"/>
      <c r="H357" s="14"/>
      <c r="I357" s="14"/>
      <c r="J357" s="14"/>
      <c r="K357" s="14"/>
      <c r="L357" s="14"/>
      <c r="M357" s="14"/>
      <c r="N357" s="14"/>
      <c r="O357" s="14"/>
      <c r="P357" s="14"/>
      <c r="Q357" s="14"/>
      <c r="R357" s="14"/>
      <c r="S357" s="14"/>
      <c r="T357" s="14"/>
      <c r="U357" s="14"/>
      <c r="V357" s="14"/>
      <c r="W357" s="14"/>
      <c r="X357" s="14"/>
      <c r="Y357" s="14"/>
      <c r="Z357" s="14"/>
      <c r="AA357" s="14"/>
      <c r="AB357" s="15"/>
      <c r="AC357" s="3"/>
      <c r="AD357" s="3"/>
      <c r="AE357" s="3"/>
      <c r="AF357" s="3"/>
      <c r="AG357" s="3"/>
      <c r="AH357" s="3"/>
      <c r="AI357" s="3"/>
      <c r="AJ357" s="3"/>
      <c r="AK357" s="3"/>
      <c r="AL357" s="3"/>
      <c r="AM357" s="3"/>
      <c r="AN357" s="3"/>
      <c r="AO357" s="3"/>
      <c r="AP357" s="3"/>
    </row>
    <row r="358" spans="2:42" x14ac:dyDescent="0.25">
      <c r="B358" s="13"/>
      <c r="C358" s="14"/>
      <c r="D358" s="60"/>
      <c r="E358" s="56"/>
      <c r="F358" s="56"/>
      <c r="G358" s="14"/>
      <c r="H358" s="56"/>
      <c r="I358" s="14"/>
      <c r="J358" s="14"/>
      <c r="K358" s="14"/>
      <c r="L358" s="14"/>
      <c r="M358" s="14"/>
      <c r="N358" s="14"/>
      <c r="O358" s="14"/>
      <c r="P358" s="14"/>
      <c r="Q358" s="14"/>
      <c r="R358" s="14"/>
      <c r="S358" s="14"/>
      <c r="T358" s="14"/>
      <c r="U358" s="14"/>
      <c r="V358" s="14"/>
      <c r="W358" s="14"/>
      <c r="X358" s="14"/>
      <c r="Y358" s="14"/>
      <c r="Z358" s="14"/>
      <c r="AA358" s="14"/>
      <c r="AB358" s="15"/>
      <c r="AC358" s="3"/>
      <c r="AD358" s="3"/>
      <c r="AE358" s="3"/>
      <c r="AF358" s="3"/>
      <c r="AG358" s="3"/>
      <c r="AH358" s="3"/>
      <c r="AI358" s="3"/>
      <c r="AJ358" s="3"/>
      <c r="AK358" s="3"/>
      <c r="AL358" s="3"/>
      <c r="AM358" s="3"/>
      <c r="AN358" s="3"/>
      <c r="AO358" s="3"/>
      <c r="AP358" s="3"/>
    </row>
    <row r="359" spans="2:42" x14ac:dyDescent="0.25">
      <c r="B359" s="13"/>
      <c r="C359" s="14"/>
      <c r="D359" s="60"/>
      <c r="E359" s="56"/>
      <c r="F359" s="56"/>
      <c r="G359" s="14"/>
      <c r="H359" s="56"/>
      <c r="I359" s="14"/>
      <c r="J359" s="14"/>
      <c r="K359" s="14"/>
      <c r="L359" s="14"/>
      <c r="M359" s="14"/>
      <c r="N359" s="14"/>
      <c r="O359" s="14"/>
      <c r="P359" s="14"/>
      <c r="Q359" s="14"/>
      <c r="R359" s="14"/>
      <c r="S359" s="14"/>
      <c r="T359" s="14"/>
      <c r="U359" s="14"/>
      <c r="V359" s="14"/>
      <c r="W359" s="14"/>
      <c r="X359" s="14"/>
      <c r="Y359" s="14"/>
      <c r="Z359" s="14"/>
      <c r="AA359" s="14"/>
      <c r="AB359" s="15"/>
      <c r="AC359" s="3"/>
      <c r="AD359" s="3"/>
      <c r="AE359" s="3"/>
      <c r="AF359" s="3"/>
      <c r="AG359" s="3"/>
      <c r="AH359" s="3"/>
      <c r="AI359" s="3"/>
      <c r="AJ359" s="3"/>
      <c r="AK359" s="3"/>
      <c r="AL359" s="3"/>
      <c r="AM359" s="3"/>
      <c r="AN359" s="3"/>
      <c r="AO359" s="3"/>
      <c r="AP359" s="3"/>
    </row>
    <row r="360" spans="2:42" ht="18.75" x14ac:dyDescent="0.3">
      <c r="B360" s="67"/>
      <c r="C360" s="14"/>
      <c r="D360" s="60"/>
      <c r="E360" s="56"/>
      <c r="F360" s="56"/>
      <c r="G360" s="14"/>
      <c r="H360" s="56"/>
      <c r="I360" s="74"/>
      <c r="J360" s="14"/>
      <c r="K360" s="14"/>
      <c r="L360" s="14"/>
      <c r="M360" s="14"/>
      <c r="N360" s="14"/>
      <c r="O360" s="14"/>
      <c r="P360" s="14"/>
      <c r="Q360" s="14"/>
      <c r="R360" s="14"/>
      <c r="S360" s="14"/>
      <c r="T360" s="14"/>
      <c r="U360" s="14"/>
      <c r="V360" s="14"/>
      <c r="W360" s="14"/>
      <c r="X360" s="14"/>
      <c r="Y360" s="14"/>
      <c r="Z360" s="14"/>
      <c r="AA360" s="14"/>
      <c r="AB360" s="15"/>
      <c r="AC360" s="3"/>
      <c r="AD360" s="3"/>
      <c r="AE360" s="3"/>
      <c r="AF360" s="3"/>
      <c r="AG360" s="3"/>
      <c r="AH360" s="3"/>
      <c r="AI360" s="3"/>
      <c r="AJ360" s="3"/>
      <c r="AK360" s="3"/>
      <c r="AL360" s="3"/>
      <c r="AM360" s="3"/>
      <c r="AN360" s="3"/>
      <c r="AO360" s="3"/>
      <c r="AP360" s="3"/>
    </row>
    <row r="361" spans="2:42" x14ac:dyDescent="0.25">
      <c r="B361" s="13"/>
      <c r="C361" s="56"/>
      <c r="D361" s="60"/>
      <c r="E361" s="56"/>
      <c r="F361" s="56"/>
      <c r="G361" s="56"/>
      <c r="H361" s="56"/>
      <c r="I361" s="14"/>
      <c r="J361" s="14"/>
      <c r="K361" s="14"/>
      <c r="L361" s="14"/>
      <c r="M361" s="14"/>
      <c r="N361" s="14"/>
      <c r="O361" s="14"/>
      <c r="P361" s="14"/>
      <c r="Q361" s="14"/>
      <c r="R361" s="14"/>
      <c r="S361" s="14"/>
      <c r="T361" s="14"/>
      <c r="U361" s="14"/>
      <c r="V361" s="14"/>
      <c r="W361" s="14"/>
      <c r="X361" s="14"/>
      <c r="Y361" s="14"/>
      <c r="Z361" s="14"/>
      <c r="AA361" s="14"/>
      <c r="AB361" s="15"/>
      <c r="AC361" s="3"/>
      <c r="AD361" s="3"/>
      <c r="AE361" s="3"/>
      <c r="AF361" s="3"/>
      <c r="AG361" s="3"/>
      <c r="AH361" s="3"/>
      <c r="AI361" s="3"/>
      <c r="AJ361" s="3"/>
      <c r="AK361" s="3"/>
      <c r="AL361" s="3"/>
      <c r="AM361" s="3"/>
      <c r="AN361" s="3"/>
      <c r="AO361" s="3"/>
      <c r="AP361" s="3"/>
    </row>
    <row r="362" spans="2:42" x14ac:dyDescent="0.25">
      <c r="B362" s="13"/>
      <c r="C362" s="14"/>
      <c r="D362" s="60"/>
      <c r="E362" s="56"/>
      <c r="F362" s="56"/>
      <c r="G362" s="14"/>
      <c r="H362" s="56"/>
      <c r="I362" s="14"/>
      <c r="J362" s="14"/>
      <c r="K362" s="14"/>
      <c r="L362" s="14"/>
      <c r="M362" s="14"/>
      <c r="N362" s="14"/>
      <c r="O362" s="14"/>
      <c r="P362" s="14"/>
      <c r="Q362" s="14"/>
      <c r="R362" s="14"/>
      <c r="S362" s="14"/>
      <c r="T362" s="14"/>
      <c r="U362" s="14"/>
      <c r="V362" s="14"/>
      <c r="W362" s="14"/>
      <c r="X362" s="14"/>
      <c r="Y362" s="14"/>
      <c r="Z362" s="14"/>
      <c r="AA362" s="14"/>
      <c r="AB362" s="15"/>
      <c r="AC362" s="3"/>
      <c r="AD362" s="3"/>
      <c r="AE362" s="3"/>
      <c r="AF362" s="3"/>
      <c r="AG362" s="3"/>
      <c r="AH362" s="3"/>
      <c r="AI362" s="3"/>
      <c r="AJ362" s="3"/>
      <c r="AK362" s="3"/>
      <c r="AL362" s="3"/>
      <c r="AM362" s="3"/>
      <c r="AN362" s="3"/>
      <c r="AO362" s="3"/>
      <c r="AP362" s="3"/>
    </row>
    <row r="363" spans="2:42" x14ac:dyDescent="0.25">
      <c r="B363" s="13"/>
      <c r="C363" s="14"/>
      <c r="D363" s="14"/>
      <c r="E363" s="56"/>
      <c r="F363" s="56"/>
      <c r="G363" s="14"/>
      <c r="H363" s="56"/>
      <c r="I363" s="14"/>
      <c r="J363" s="14"/>
      <c r="K363" s="14"/>
      <c r="L363" s="14"/>
      <c r="M363" s="14"/>
      <c r="N363" s="14"/>
      <c r="O363" s="14"/>
      <c r="P363" s="14"/>
      <c r="Q363" s="14"/>
      <c r="R363" s="14"/>
      <c r="S363" s="14"/>
      <c r="T363" s="14"/>
      <c r="U363" s="14"/>
      <c r="V363" s="14"/>
      <c r="W363" s="14"/>
      <c r="X363" s="14"/>
      <c r="Y363" s="14"/>
      <c r="Z363" s="14"/>
      <c r="AA363" s="14"/>
      <c r="AB363" s="15"/>
      <c r="AC363" s="3"/>
      <c r="AD363" s="3"/>
      <c r="AE363" s="3"/>
      <c r="AF363" s="3"/>
      <c r="AG363" s="3"/>
      <c r="AH363" s="3"/>
      <c r="AI363" s="3"/>
      <c r="AJ363" s="3"/>
      <c r="AK363" s="3"/>
      <c r="AL363" s="3"/>
      <c r="AM363" s="3"/>
      <c r="AN363" s="3"/>
      <c r="AO363" s="3"/>
      <c r="AP363" s="3"/>
    </row>
    <row r="364" spans="2:42" x14ac:dyDescent="0.25">
      <c r="B364" s="13"/>
      <c r="C364" s="14"/>
      <c r="D364" s="60"/>
      <c r="E364" s="56"/>
      <c r="F364" s="56"/>
      <c r="G364" s="14"/>
      <c r="H364" s="14"/>
      <c r="I364" s="14"/>
      <c r="J364" s="14"/>
      <c r="K364" s="14"/>
      <c r="L364" s="14"/>
      <c r="M364" s="14"/>
      <c r="N364" s="14"/>
      <c r="O364" s="14"/>
      <c r="P364" s="14"/>
      <c r="Q364" s="14"/>
      <c r="R364" s="14"/>
      <c r="S364" s="14"/>
      <c r="T364" s="14"/>
      <c r="U364" s="14"/>
      <c r="V364" s="14"/>
      <c r="W364" s="14"/>
      <c r="X364" s="14"/>
      <c r="Y364" s="14"/>
      <c r="Z364" s="14"/>
      <c r="AA364" s="14"/>
      <c r="AB364" s="15"/>
      <c r="AC364" s="3"/>
      <c r="AD364" s="3"/>
      <c r="AE364" s="3"/>
      <c r="AF364" s="3"/>
      <c r="AG364" s="3"/>
      <c r="AH364" s="3"/>
      <c r="AI364" s="3"/>
      <c r="AJ364" s="3"/>
      <c r="AK364" s="3"/>
      <c r="AL364" s="3"/>
      <c r="AM364" s="3"/>
      <c r="AN364" s="3"/>
      <c r="AO364" s="3"/>
      <c r="AP364" s="3"/>
    </row>
    <row r="365" spans="2:42" x14ac:dyDescent="0.25">
      <c r="B365" s="13"/>
      <c r="C365" s="14"/>
      <c r="D365" s="60"/>
      <c r="E365" s="56"/>
      <c r="F365" s="56"/>
      <c r="G365" s="14"/>
      <c r="H365" s="56"/>
      <c r="I365" s="14"/>
      <c r="J365" s="14"/>
      <c r="K365" s="14"/>
      <c r="L365" s="14"/>
      <c r="M365" s="14"/>
      <c r="N365" s="14"/>
      <c r="O365" s="14"/>
      <c r="P365" s="14"/>
      <c r="Q365" s="14"/>
      <c r="R365" s="14"/>
      <c r="S365" s="14"/>
      <c r="T365" s="14"/>
      <c r="U365" s="14"/>
      <c r="V365" s="14"/>
      <c r="W365" s="14"/>
      <c r="X365" s="14"/>
      <c r="Y365" s="14"/>
      <c r="Z365" s="14"/>
      <c r="AA365" s="14"/>
      <c r="AB365" s="15"/>
      <c r="AC365" s="3"/>
      <c r="AD365" s="3"/>
      <c r="AE365" s="3"/>
      <c r="AF365" s="3"/>
      <c r="AG365" s="3"/>
      <c r="AH365" s="3"/>
      <c r="AI365" s="3"/>
      <c r="AJ365" s="3"/>
      <c r="AK365" s="3"/>
      <c r="AL365" s="3"/>
      <c r="AM365" s="3"/>
      <c r="AN365" s="3"/>
      <c r="AO365" s="3"/>
      <c r="AP365" s="3"/>
    </row>
    <row r="366" spans="2:42" x14ac:dyDescent="0.25">
      <c r="B366" s="13"/>
      <c r="C366" s="14"/>
      <c r="D366" s="60"/>
      <c r="E366" s="56"/>
      <c r="F366" s="56"/>
      <c r="G366" s="14"/>
      <c r="H366" s="56"/>
      <c r="I366" s="14"/>
      <c r="J366" s="14"/>
      <c r="K366" s="14"/>
      <c r="L366" s="14"/>
      <c r="M366" s="14"/>
      <c r="N366" s="14"/>
      <c r="O366" s="14"/>
      <c r="P366" s="14"/>
      <c r="Q366" s="14"/>
      <c r="R366" s="14"/>
      <c r="S366" s="14"/>
      <c r="T366" s="14"/>
      <c r="U366" s="14"/>
      <c r="V366" s="14"/>
      <c r="W366" s="14"/>
      <c r="X366" s="14"/>
      <c r="Y366" s="14"/>
      <c r="Z366" s="14"/>
      <c r="AA366" s="14"/>
      <c r="AB366" s="15"/>
      <c r="AC366" s="3"/>
      <c r="AD366" s="3"/>
      <c r="AE366" s="3"/>
      <c r="AF366" s="3"/>
      <c r="AG366" s="3"/>
      <c r="AH366" s="3"/>
      <c r="AI366" s="3"/>
      <c r="AJ366" s="3"/>
      <c r="AK366" s="3"/>
      <c r="AL366" s="3"/>
      <c r="AM366" s="3"/>
      <c r="AN366" s="3"/>
      <c r="AO366" s="3"/>
      <c r="AP366" s="3"/>
    </row>
    <row r="367" spans="2:42" x14ac:dyDescent="0.25">
      <c r="B367" s="13"/>
      <c r="C367" s="14"/>
      <c r="D367" s="60"/>
      <c r="E367" s="56"/>
      <c r="F367" s="56"/>
      <c r="G367" s="14"/>
      <c r="H367" s="56"/>
      <c r="I367" s="14"/>
      <c r="J367" s="14"/>
      <c r="K367" s="14"/>
      <c r="L367" s="14"/>
      <c r="M367" s="14"/>
      <c r="N367" s="14"/>
      <c r="O367" s="14"/>
      <c r="P367" s="14"/>
      <c r="Q367" s="14"/>
      <c r="R367" s="14"/>
      <c r="S367" s="14"/>
      <c r="T367" s="14"/>
      <c r="U367" s="14"/>
      <c r="V367" s="14"/>
      <c r="W367" s="14"/>
      <c r="X367" s="14"/>
      <c r="Y367" s="14"/>
      <c r="Z367" s="14"/>
      <c r="AA367" s="14"/>
      <c r="AB367" s="15"/>
      <c r="AC367" s="3"/>
      <c r="AD367" s="3"/>
      <c r="AE367" s="3"/>
      <c r="AF367" s="3"/>
      <c r="AG367" s="3"/>
      <c r="AH367" s="3"/>
      <c r="AI367" s="3"/>
      <c r="AJ367" s="3"/>
      <c r="AK367" s="3"/>
      <c r="AL367" s="3"/>
      <c r="AM367" s="3"/>
      <c r="AN367" s="3"/>
      <c r="AO367" s="3"/>
      <c r="AP367" s="3"/>
    </row>
    <row r="368" spans="2:42" ht="18.75" x14ac:dyDescent="0.3">
      <c r="B368" s="67"/>
      <c r="C368" s="56"/>
      <c r="D368" s="60"/>
      <c r="E368" s="56"/>
      <c r="F368" s="56"/>
      <c r="G368" s="56"/>
      <c r="H368" s="56"/>
      <c r="I368" s="74"/>
      <c r="J368" s="14"/>
      <c r="K368" s="14"/>
      <c r="L368" s="14"/>
      <c r="M368" s="14"/>
      <c r="N368" s="14"/>
      <c r="O368" s="14"/>
      <c r="P368" s="14"/>
      <c r="Q368" s="14"/>
      <c r="R368" s="14"/>
      <c r="S368" s="14"/>
      <c r="T368" s="14"/>
      <c r="U368" s="14"/>
      <c r="V368" s="14"/>
      <c r="W368" s="14"/>
      <c r="X368" s="14"/>
      <c r="Y368" s="14"/>
      <c r="Z368" s="14"/>
      <c r="AA368" s="14"/>
      <c r="AB368" s="15"/>
      <c r="AC368" s="3"/>
      <c r="AD368" s="3"/>
      <c r="AE368" s="3"/>
      <c r="AF368" s="3"/>
      <c r="AG368" s="3"/>
      <c r="AH368" s="3"/>
      <c r="AI368" s="3"/>
      <c r="AJ368" s="3"/>
      <c r="AK368" s="3"/>
      <c r="AL368" s="3"/>
      <c r="AM368" s="3"/>
      <c r="AN368" s="3"/>
      <c r="AO368" s="3"/>
      <c r="AP368" s="3"/>
    </row>
    <row r="369" spans="2:42" x14ac:dyDescent="0.25">
      <c r="B369" s="13"/>
      <c r="C369" s="14"/>
      <c r="D369" s="60"/>
      <c r="E369" s="56"/>
      <c r="F369" s="56"/>
      <c r="G369" s="14"/>
      <c r="H369" s="56"/>
      <c r="I369" s="14"/>
      <c r="J369" s="14"/>
      <c r="K369" s="14"/>
      <c r="L369" s="14"/>
      <c r="M369" s="14"/>
      <c r="N369" s="14"/>
      <c r="O369" s="14"/>
      <c r="P369" s="14"/>
      <c r="Q369" s="14"/>
      <c r="R369" s="14"/>
      <c r="S369" s="14"/>
      <c r="T369" s="14"/>
      <c r="U369" s="14"/>
      <c r="V369" s="14"/>
      <c r="W369" s="14"/>
      <c r="X369" s="14"/>
      <c r="Y369" s="14"/>
      <c r="Z369" s="14"/>
      <c r="AA369" s="14"/>
      <c r="AB369" s="15"/>
      <c r="AC369" s="3"/>
      <c r="AD369" s="3"/>
      <c r="AE369" s="3"/>
      <c r="AF369" s="3"/>
      <c r="AG369" s="3"/>
      <c r="AH369" s="3"/>
      <c r="AI369" s="3"/>
      <c r="AJ369" s="3"/>
      <c r="AK369" s="3"/>
      <c r="AL369" s="3"/>
      <c r="AM369" s="3"/>
      <c r="AN369" s="3"/>
      <c r="AO369" s="3"/>
      <c r="AP369" s="3"/>
    </row>
    <row r="370" spans="2:42" x14ac:dyDescent="0.25">
      <c r="B370" s="13"/>
      <c r="C370" s="14"/>
      <c r="D370" s="14"/>
      <c r="E370" s="56"/>
      <c r="F370" s="56"/>
      <c r="G370" s="14"/>
      <c r="H370" s="56"/>
      <c r="I370" s="14"/>
      <c r="J370" s="14"/>
      <c r="K370" s="14"/>
      <c r="L370" s="14"/>
      <c r="M370" s="14"/>
      <c r="N370" s="14"/>
      <c r="O370" s="14"/>
      <c r="P370" s="14"/>
      <c r="Q370" s="14"/>
      <c r="R370" s="14"/>
      <c r="S370" s="14"/>
      <c r="T370" s="14"/>
      <c r="U370" s="14"/>
      <c r="V370" s="14"/>
      <c r="W370" s="14"/>
      <c r="X370" s="14"/>
      <c r="Y370" s="14"/>
      <c r="Z370" s="14"/>
      <c r="AA370" s="14"/>
      <c r="AB370" s="15"/>
      <c r="AC370" s="3"/>
      <c r="AD370" s="3"/>
      <c r="AE370" s="3"/>
      <c r="AF370" s="3"/>
      <c r="AG370" s="3"/>
      <c r="AH370" s="3"/>
      <c r="AI370" s="3"/>
      <c r="AJ370" s="3"/>
      <c r="AK370" s="3"/>
      <c r="AL370" s="3"/>
      <c r="AM370" s="3"/>
      <c r="AN370" s="3"/>
      <c r="AO370" s="3"/>
      <c r="AP370" s="3"/>
    </row>
    <row r="371" spans="2:42" x14ac:dyDescent="0.25">
      <c r="B371" s="13"/>
      <c r="C371" s="14"/>
      <c r="D371" s="60"/>
      <c r="E371" s="56"/>
      <c r="F371" s="56"/>
      <c r="G371" s="14"/>
      <c r="H371" s="14"/>
      <c r="I371" s="14"/>
      <c r="J371" s="14"/>
      <c r="K371" s="14"/>
      <c r="L371" s="14"/>
      <c r="M371" s="14"/>
      <c r="N371" s="14"/>
      <c r="O371" s="14"/>
      <c r="P371" s="14"/>
      <c r="Q371" s="14"/>
      <c r="R371" s="14"/>
      <c r="S371" s="14"/>
      <c r="T371" s="14"/>
      <c r="U371" s="14"/>
      <c r="V371" s="14"/>
      <c r="W371" s="14"/>
      <c r="X371" s="14"/>
      <c r="Y371" s="14"/>
      <c r="Z371" s="14"/>
      <c r="AA371" s="14"/>
      <c r="AB371" s="15"/>
      <c r="AC371" s="3"/>
      <c r="AD371" s="3"/>
      <c r="AE371" s="3"/>
      <c r="AF371" s="3"/>
      <c r="AG371" s="3"/>
      <c r="AH371" s="3"/>
      <c r="AI371" s="3"/>
      <c r="AJ371" s="3"/>
      <c r="AK371" s="3"/>
      <c r="AL371" s="3"/>
      <c r="AM371" s="3"/>
      <c r="AN371" s="3"/>
      <c r="AO371" s="3"/>
      <c r="AP371" s="3"/>
    </row>
    <row r="372" spans="2:42" x14ac:dyDescent="0.25">
      <c r="B372" s="13"/>
      <c r="C372" s="14"/>
      <c r="D372" s="60"/>
      <c r="E372" s="56"/>
      <c r="F372" s="56"/>
      <c r="G372" s="14"/>
      <c r="H372" s="56"/>
      <c r="I372" s="14"/>
      <c r="J372" s="14"/>
      <c r="K372" s="14"/>
      <c r="L372" s="14"/>
      <c r="M372" s="14"/>
      <c r="N372" s="14"/>
      <c r="O372" s="14"/>
      <c r="P372" s="14"/>
      <c r="Q372" s="14"/>
      <c r="R372" s="14"/>
      <c r="S372" s="14"/>
      <c r="T372" s="14"/>
      <c r="U372" s="14"/>
      <c r="V372" s="14"/>
      <c r="W372" s="14"/>
      <c r="X372" s="14"/>
      <c r="Y372" s="14"/>
      <c r="Z372" s="14"/>
      <c r="AA372" s="14"/>
      <c r="AB372" s="15"/>
      <c r="AC372" s="3"/>
      <c r="AD372" s="3"/>
      <c r="AE372" s="3"/>
      <c r="AF372" s="3"/>
      <c r="AG372" s="3"/>
      <c r="AH372" s="3"/>
      <c r="AI372" s="3"/>
      <c r="AJ372" s="3"/>
      <c r="AK372" s="3"/>
      <c r="AL372" s="3"/>
      <c r="AM372" s="3"/>
      <c r="AN372" s="3"/>
      <c r="AO372" s="3"/>
      <c r="AP372" s="3"/>
    </row>
    <row r="373" spans="2:42" x14ac:dyDescent="0.25">
      <c r="B373" s="13"/>
      <c r="C373" s="14"/>
      <c r="D373" s="60"/>
      <c r="E373" s="56"/>
      <c r="F373" s="56"/>
      <c r="G373" s="14"/>
      <c r="H373" s="56"/>
      <c r="I373" s="14"/>
      <c r="J373" s="14"/>
      <c r="K373" s="14"/>
      <c r="L373" s="14"/>
      <c r="M373" s="14"/>
      <c r="N373" s="14"/>
      <c r="O373" s="14"/>
      <c r="P373" s="14"/>
      <c r="Q373" s="14"/>
      <c r="R373" s="14"/>
      <c r="S373" s="14"/>
      <c r="T373" s="14"/>
      <c r="U373" s="14"/>
      <c r="V373" s="14"/>
      <c r="W373" s="14"/>
      <c r="X373" s="14"/>
      <c r="Y373" s="14"/>
      <c r="Z373" s="14"/>
      <c r="AA373" s="14"/>
      <c r="AB373" s="15"/>
      <c r="AC373" s="3"/>
      <c r="AD373" s="3"/>
      <c r="AE373" s="3"/>
      <c r="AF373" s="3"/>
      <c r="AG373" s="3"/>
      <c r="AH373" s="3"/>
      <c r="AI373" s="3"/>
      <c r="AJ373" s="3"/>
      <c r="AK373" s="3"/>
      <c r="AL373" s="3"/>
      <c r="AM373" s="3"/>
      <c r="AN373" s="3"/>
      <c r="AO373" s="3"/>
      <c r="AP373" s="3"/>
    </row>
    <row r="374" spans="2:42" x14ac:dyDescent="0.25">
      <c r="B374" s="13"/>
      <c r="C374" s="14"/>
      <c r="D374" s="60"/>
      <c r="E374" s="56"/>
      <c r="F374" s="56"/>
      <c r="G374" s="14"/>
      <c r="H374" s="56"/>
      <c r="I374" s="14"/>
      <c r="J374" s="14"/>
      <c r="K374" s="14"/>
      <c r="L374" s="14"/>
      <c r="M374" s="14"/>
      <c r="N374" s="14"/>
      <c r="O374" s="14"/>
      <c r="P374" s="14"/>
      <c r="Q374" s="14"/>
      <c r="R374" s="14"/>
      <c r="S374" s="14"/>
      <c r="T374" s="14"/>
      <c r="U374" s="14"/>
      <c r="V374" s="14"/>
      <c r="W374" s="14"/>
      <c r="X374" s="14"/>
      <c r="Y374" s="14"/>
      <c r="Z374" s="14"/>
      <c r="AA374" s="14"/>
      <c r="AB374" s="15"/>
      <c r="AC374" s="3"/>
      <c r="AD374" s="3"/>
      <c r="AE374" s="3"/>
      <c r="AF374" s="3"/>
      <c r="AG374" s="3"/>
      <c r="AH374" s="3"/>
      <c r="AI374" s="3"/>
      <c r="AJ374" s="3"/>
      <c r="AK374" s="3"/>
      <c r="AL374" s="3"/>
      <c r="AM374" s="3"/>
      <c r="AN374" s="3"/>
      <c r="AO374" s="3"/>
      <c r="AP374" s="3"/>
    </row>
    <row r="375" spans="2:42" x14ac:dyDescent="0.25">
      <c r="B375" s="13"/>
      <c r="C375" s="56"/>
      <c r="D375" s="60"/>
      <c r="E375" s="56"/>
      <c r="F375" s="56"/>
      <c r="G375" s="56"/>
      <c r="H375" s="56"/>
      <c r="I375" s="14"/>
      <c r="J375" s="14"/>
      <c r="K375" s="14"/>
      <c r="L375" s="14"/>
      <c r="M375" s="14"/>
      <c r="N375" s="14"/>
      <c r="O375" s="14"/>
      <c r="P375" s="14"/>
      <c r="Q375" s="14"/>
      <c r="R375" s="14"/>
      <c r="S375" s="14"/>
      <c r="T375" s="14"/>
      <c r="U375" s="14"/>
      <c r="V375" s="14"/>
      <c r="W375" s="14"/>
      <c r="X375" s="14"/>
      <c r="Y375" s="14"/>
      <c r="Z375" s="14"/>
      <c r="AA375" s="14"/>
      <c r="AB375" s="15"/>
      <c r="AC375" s="3"/>
      <c r="AD375" s="3"/>
      <c r="AE375" s="3"/>
      <c r="AF375" s="3"/>
      <c r="AG375" s="3"/>
      <c r="AH375" s="3"/>
      <c r="AI375" s="3"/>
      <c r="AJ375" s="3"/>
      <c r="AK375" s="3"/>
      <c r="AL375" s="3"/>
      <c r="AM375" s="3"/>
      <c r="AN375" s="3"/>
      <c r="AO375" s="3"/>
      <c r="AP375" s="3"/>
    </row>
    <row r="376" spans="2:42" ht="18.75" x14ac:dyDescent="0.3">
      <c r="B376" s="67"/>
      <c r="C376" s="14"/>
      <c r="D376" s="60"/>
      <c r="E376" s="56"/>
      <c r="F376" s="56"/>
      <c r="G376" s="14"/>
      <c r="H376" s="56"/>
      <c r="I376" s="74"/>
      <c r="J376" s="14"/>
      <c r="K376" s="14"/>
      <c r="L376" s="14"/>
      <c r="M376" s="14"/>
      <c r="N376" s="14"/>
      <c r="O376" s="14"/>
      <c r="P376" s="14"/>
      <c r="Q376" s="14"/>
      <c r="R376" s="14"/>
      <c r="S376" s="14"/>
      <c r="T376" s="14"/>
      <c r="U376" s="14"/>
      <c r="V376" s="14"/>
      <c r="W376" s="14"/>
      <c r="X376" s="14"/>
      <c r="Y376" s="14"/>
      <c r="Z376" s="14"/>
      <c r="AA376" s="14"/>
      <c r="AB376" s="15"/>
      <c r="AC376" s="3"/>
      <c r="AD376" s="3"/>
      <c r="AE376" s="3"/>
      <c r="AF376" s="3"/>
      <c r="AG376" s="3"/>
      <c r="AH376" s="3"/>
      <c r="AI376" s="3"/>
      <c r="AJ376" s="3"/>
      <c r="AK376" s="3"/>
      <c r="AL376" s="3"/>
      <c r="AM376" s="3"/>
      <c r="AN376" s="3"/>
      <c r="AO376" s="3"/>
      <c r="AP376" s="3"/>
    </row>
    <row r="377" spans="2:42" x14ac:dyDescent="0.25">
      <c r="B377" s="13"/>
      <c r="C377" s="14"/>
      <c r="D377" s="14"/>
      <c r="E377" s="56"/>
      <c r="F377" s="56"/>
      <c r="G377" s="14"/>
      <c r="H377" s="56"/>
      <c r="I377" s="14"/>
      <c r="J377" s="14"/>
      <c r="K377" s="14"/>
      <c r="L377" s="14"/>
      <c r="M377" s="14"/>
      <c r="N377" s="14"/>
      <c r="O377" s="14"/>
      <c r="P377" s="14"/>
      <c r="Q377" s="14"/>
      <c r="R377" s="14"/>
      <c r="S377" s="14"/>
      <c r="T377" s="14"/>
      <c r="U377" s="14"/>
      <c r="V377" s="14"/>
      <c r="W377" s="14"/>
      <c r="X377" s="14"/>
      <c r="Y377" s="14"/>
      <c r="Z377" s="14"/>
      <c r="AA377" s="14"/>
      <c r="AB377" s="15"/>
      <c r="AC377" s="3"/>
      <c r="AD377" s="3"/>
      <c r="AE377" s="3"/>
      <c r="AF377" s="3"/>
      <c r="AG377" s="3"/>
      <c r="AH377" s="3"/>
      <c r="AI377" s="3"/>
      <c r="AJ377" s="3"/>
      <c r="AK377" s="3"/>
      <c r="AL377" s="3"/>
      <c r="AM377" s="3"/>
      <c r="AN377" s="3"/>
      <c r="AO377" s="3"/>
      <c r="AP377" s="3"/>
    </row>
    <row r="378" spans="2:42" x14ac:dyDescent="0.25">
      <c r="B378" s="13"/>
      <c r="C378" s="14"/>
      <c r="D378" s="60"/>
      <c r="E378" s="56"/>
      <c r="F378" s="56"/>
      <c r="G378" s="14"/>
      <c r="H378" s="14"/>
      <c r="I378" s="14"/>
      <c r="J378" s="14"/>
      <c r="K378" s="14"/>
      <c r="L378" s="14"/>
      <c r="M378" s="14"/>
      <c r="N378" s="14"/>
      <c r="O378" s="14"/>
      <c r="P378" s="14"/>
      <c r="Q378" s="14"/>
      <c r="R378" s="14"/>
      <c r="S378" s="14"/>
      <c r="T378" s="14"/>
      <c r="U378" s="14"/>
      <c r="V378" s="14"/>
      <c r="W378" s="14"/>
      <c r="X378" s="14"/>
      <c r="Y378" s="14"/>
      <c r="Z378" s="14"/>
      <c r="AA378" s="14"/>
      <c r="AB378" s="15"/>
      <c r="AC378" s="3"/>
      <c r="AD378" s="3"/>
      <c r="AE378" s="3"/>
      <c r="AF378" s="3"/>
      <c r="AG378" s="3"/>
      <c r="AH378" s="3"/>
      <c r="AI378" s="3"/>
      <c r="AJ378" s="3"/>
      <c r="AK378" s="3"/>
      <c r="AL378" s="3"/>
      <c r="AM378" s="3"/>
      <c r="AN378" s="3"/>
      <c r="AO378" s="3"/>
      <c r="AP378" s="3"/>
    </row>
    <row r="379" spans="2:42" x14ac:dyDescent="0.25">
      <c r="B379" s="13"/>
      <c r="C379" s="14"/>
      <c r="D379" s="60"/>
      <c r="E379" s="56"/>
      <c r="F379" s="56"/>
      <c r="G379" s="14"/>
      <c r="H379" s="56"/>
      <c r="I379" s="14"/>
      <c r="J379" s="14"/>
      <c r="K379" s="14"/>
      <c r="L379" s="14"/>
      <c r="M379" s="14"/>
      <c r="N379" s="14"/>
      <c r="O379" s="14"/>
      <c r="P379" s="14"/>
      <c r="Q379" s="14"/>
      <c r="R379" s="14"/>
      <c r="S379" s="14"/>
      <c r="T379" s="14"/>
      <c r="U379" s="14"/>
      <c r="V379" s="14"/>
      <c r="W379" s="14"/>
      <c r="X379" s="14"/>
      <c r="Y379" s="14"/>
      <c r="Z379" s="14"/>
      <c r="AA379" s="14"/>
      <c r="AB379" s="15"/>
      <c r="AC379" s="3"/>
      <c r="AD379" s="3"/>
      <c r="AE379" s="3"/>
      <c r="AF379" s="3"/>
      <c r="AG379" s="3"/>
      <c r="AH379" s="3"/>
      <c r="AI379" s="3"/>
      <c r="AJ379" s="3"/>
      <c r="AK379" s="3"/>
      <c r="AL379" s="3"/>
      <c r="AM379" s="3"/>
      <c r="AN379" s="3"/>
      <c r="AO379" s="3"/>
      <c r="AP379" s="3"/>
    </row>
    <row r="380" spans="2:42" x14ac:dyDescent="0.25">
      <c r="B380" s="13"/>
      <c r="C380" s="14"/>
      <c r="D380" s="60"/>
      <c r="E380" s="56"/>
      <c r="F380" s="56"/>
      <c r="G380" s="14"/>
      <c r="H380" s="56"/>
      <c r="I380" s="14"/>
      <c r="J380" s="14"/>
      <c r="K380" s="14"/>
      <c r="L380" s="14"/>
      <c r="M380" s="14"/>
      <c r="N380" s="14"/>
      <c r="O380" s="14"/>
      <c r="P380" s="14"/>
      <c r="Q380" s="14"/>
      <c r="R380" s="14"/>
      <c r="S380" s="14"/>
      <c r="T380" s="14"/>
      <c r="U380" s="14"/>
      <c r="V380" s="14"/>
      <c r="W380" s="14"/>
      <c r="X380" s="14"/>
      <c r="Y380" s="14"/>
      <c r="Z380" s="14"/>
      <c r="AA380" s="14"/>
      <c r="AB380" s="15"/>
      <c r="AC380" s="3"/>
      <c r="AD380" s="3"/>
      <c r="AE380" s="3"/>
      <c r="AF380" s="3"/>
      <c r="AG380" s="3"/>
      <c r="AH380" s="3"/>
      <c r="AI380" s="3"/>
      <c r="AJ380" s="3"/>
      <c r="AK380" s="3"/>
      <c r="AL380" s="3"/>
      <c r="AM380" s="3"/>
      <c r="AN380" s="3"/>
      <c r="AO380" s="3"/>
      <c r="AP380" s="3"/>
    </row>
    <row r="381" spans="2:42" x14ac:dyDescent="0.25">
      <c r="B381" s="13"/>
      <c r="C381" s="14"/>
      <c r="D381" s="60"/>
      <c r="E381" s="56"/>
      <c r="F381" s="56"/>
      <c r="G381" s="14"/>
      <c r="H381" s="56"/>
      <c r="I381" s="14"/>
      <c r="J381" s="14"/>
      <c r="K381" s="14"/>
      <c r="L381" s="14"/>
      <c r="M381" s="14"/>
      <c r="N381" s="14"/>
      <c r="O381" s="14"/>
      <c r="P381" s="14"/>
      <c r="Q381" s="14"/>
      <c r="R381" s="14"/>
      <c r="S381" s="14"/>
      <c r="T381" s="14"/>
      <c r="U381" s="14"/>
      <c r="V381" s="14"/>
      <c r="W381" s="14"/>
      <c r="X381" s="14"/>
      <c r="Y381" s="14"/>
      <c r="Z381" s="14"/>
      <c r="AA381" s="14"/>
      <c r="AB381" s="15"/>
      <c r="AC381" s="3"/>
      <c r="AD381" s="3"/>
      <c r="AE381" s="3"/>
      <c r="AF381" s="3"/>
      <c r="AG381" s="3"/>
      <c r="AH381" s="3"/>
      <c r="AI381" s="3"/>
      <c r="AJ381" s="3"/>
      <c r="AK381" s="3"/>
      <c r="AL381" s="3"/>
      <c r="AM381" s="3"/>
      <c r="AN381" s="3"/>
      <c r="AO381" s="3"/>
      <c r="AP381" s="3"/>
    </row>
    <row r="382" spans="2:42" x14ac:dyDescent="0.25">
      <c r="B382" s="13"/>
      <c r="C382" s="56"/>
      <c r="D382" s="60"/>
      <c r="E382" s="56"/>
      <c r="F382" s="56"/>
      <c r="G382" s="56"/>
      <c r="H382" s="56"/>
      <c r="I382" s="14"/>
      <c r="J382" s="14"/>
      <c r="K382" s="14"/>
      <c r="L382" s="14"/>
      <c r="M382" s="14"/>
      <c r="N382" s="14"/>
      <c r="O382" s="14"/>
      <c r="P382" s="14"/>
      <c r="Q382" s="14"/>
      <c r="R382" s="14"/>
      <c r="S382" s="14"/>
      <c r="T382" s="14"/>
      <c r="U382" s="14"/>
      <c r="V382" s="14"/>
      <c r="W382" s="14"/>
      <c r="X382" s="14"/>
      <c r="Y382" s="14"/>
      <c r="Z382" s="14"/>
      <c r="AA382" s="14"/>
      <c r="AB382" s="15"/>
      <c r="AC382" s="3"/>
      <c r="AD382" s="3"/>
      <c r="AE382" s="3"/>
      <c r="AF382" s="3"/>
      <c r="AG382" s="3"/>
      <c r="AH382" s="3"/>
      <c r="AI382" s="3"/>
      <c r="AJ382" s="3"/>
      <c r="AK382" s="3"/>
      <c r="AL382" s="3"/>
      <c r="AM382" s="3"/>
      <c r="AN382" s="3"/>
      <c r="AO382" s="3"/>
      <c r="AP382" s="3"/>
    </row>
    <row r="383" spans="2:42" x14ac:dyDescent="0.25">
      <c r="B383" s="13"/>
      <c r="C383" s="14"/>
      <c r="D383" s="60"/>
      <c r="E383" s="56"/>
      <c r="F383" s="56"/>
      <c r="G383" s="14"/>
      <c r="H383" s="56"/>
      <c r="I383" s="14"/>
      <c r="J383" s="14"/>
      <c r="K383" s="14"/>
      <c r="L383" s="14"/>
      <c r="M383" s="14"/>
      <c r="N383" s="14"/>
      <c r="O383" s="14"/>
      <c r="P383" s="14"/>
      <c r="Q383" s="14"/>
      <c r="R383" s="14"/>
      <c r="S383" s="14"/>
      <c r="T383" s="14"/>
      <c r="U383" s="14"/>
      <c r="V383" s="14"/>
      <c r="W383" s="14"/>
      <c r="X383" s="14"/>
      <c r="Y383" s="14"/>
      <c r="Z383" s="14"/>
      <c r="AA383" s="14"/>
      <c r="AB383" s="15"/>
      <c r="AC383" s="3"/>
      <c r="AD383" s="3"/>
      <c r="AE383" s="3"/>
      <c r="AF383" s="3"/>
      <c r="AG383" s="3"/>
      <c r="AH383" s="3"/>
      <c r="AI383" s="3"/>
      <c r="AJ383" s="3"/>
      <c r="AK383" s="3"/>
      <c r="AL383" s="3"/>
      <c r="AM383" s="3"/>
      <c r="AN383" s="3"/>
      <c r="AO383" s="3"/>
      <c r="AP383" s="3"/>
    </row>
    <row r="384" spans="2:42" ht="18.75" x14ac:dyDescent="0.3">
      <c r="B384" s="67"/>
      <c r="C384" s="14"/>
      <c r="D384" s="14"/>
      <c r="E384" s="56"/>
      <c r="F384" s="56"/>
      <c r="G384" s="14"/>
      <c r="H384" s="56"/>
      <c r="I384" s="74"/>
      <c r="J384" s="14"/>
      <c r="K384" s="14"/>
      <c r="L384" s="14"/>
      <c r="M384" s="14"/>
      <c r="N384" s="14"/>
      <c r="O384" s="14"/>
      <c r="P384" s="14"/>
      <c r="Q384" s="14"/>
      <c r="R384" s="14"/>
      <c r="S384" s="14"/>
      <c r="T384" s="14"/>
      <c r="U384" s="14"/>
      <c r="V384" s="14"/>
      <c r="W384" s="14"/>
      <c r="X384" s="14"/>
      <c r="Y384" s="14"/>
      <c r="Z384" s="14"/>
      <c r="AA384" s="14"/>
      <c r="AB384" s="15"/>
      <c r="AC384" s="3"/>
      <c r="AD384" s="3"/>
      <c r="AE384" s="3"/>
      <c r="AF384" s="3"/>
      <c r="AG384" s="3"/>
      <c r="AH384" s="3"/>
      <c r="AI384" s="3"/>
      <c r="AJ384" s="3"/>
      <c r="AK384" s="3"/>
      <c r="AL384" s="3"/>
      <c r="AM384" s="3"/>
      <c r="AN384" s="3"/>
      <c r="AO384" s="3"/>
      <c r="AP384" s="3"/>
    </row>
    <row r="385" spans="2:42" x14ac:dyDescent="0.25">
      <c r="B385" s="18"/>
      <c r="C385" s="19"/>
      <c r="D385" s="63"/>
      <c r="E385" s="64"/>
      <c r="F385" s="64"/>
      <c r="G385" s="19"/>
      <c r="H385" s="19"/>
      <c r="I385" s="19"/>
      <c r="J385" s="19"/>
      <c r="K385" s="19"/>
      <c r="L385" s="19"/>
      <c r="M385" s="19"/>
      <c r="N385" s="19"/>
      <c r="O385" s="19"/>
      <c r="P385" s="19"/>
      <c r="Q385" s="19"/>
      <c r="R385" s="19"/>
      <c r="S385" s="19"/>
      <c r="T385" s="19"/>
      <c r="U385" s="19"/>
      <c r="V385" s="19"/>
      <c r="W385" s="19"/>
      <c r="X385" s="19"/>
      <c r="Y385" s="19"/>
      <c r="Z385" s="19"/>
      <c r="AA385" s="19"/>
      <c r="AB385" s="20"/>
      <c r="AC385" s="3"/>
      <c r="AD385" s="3"/>
      <c r="AE385" s="3"/>
      <c r="AF385" s="3"/>
      <c r="AG385" s="3"/>
      <c r="AH385" s="3"/>
      <c r="AI385" s="3"/>
      <c r="AJ385" s="3"/>
      <c r="AK385" s="3"/>
      <c r="AL385" s="3"/>
      <c r="AM385" s="3"/>
      <c r="AN385" s="3"/>
      <c r="AO385" s="3"/>
      <c r="AP385" s="3"/>
    </row>
    <row r="386" spans="2:42" x14ac:dyDescent="0.25">
      <c r="B386" s="13"/>
      <c r="C386" s="13"/>
      <c r="D386" s="60"/>
      <c r="E386" s="56"/>
      <c r="F386" s="56"/>
      <c r="G386" s="14"/>
      <c r="H386" s="61"/>
      <c r="I386" s="15"/>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row>
    <row r="387" spans="2:42" x14ac:dyDescent="0.25">
      <c r="B387" s="13"/>
      <c r="C387" s="13"/>
      <c r="D387" s="60"/>
      <c r="E387" s="56"/>
      <c r="F387" s="56"/>
      <c r="G387" s="14"/>
      <c r="H387" s="61"/>
      <c r="I387" s="15"/>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row>
    <row r="388" spans="2:42" x14ac:dyDescent="0.25">
      <c r="B388" s="13"/>
      <c r="C388" s="13"/>
      <c r="D388" s="60"/>
      <c r="E388" s="56"/>
      <c r="F388" s="56"/>
      <c r="G388" s="14"/>
      <c r="H388" s="61"/>
      <c r="I388" s="15"/>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row>
    <row r="389" spans="2:42" x14ac:dyDescent="0.25">
      <c r="B389" s="13"/>
      <c r="C389" s="62"/>
      <c r="D389" s="63"/>
      <c r="E389" s="64"/>
      <c r="F389" s="64"/>
      <c r="G389" s="64"/>
      <c r="H389" s="65"/>
      <c r="I389" s="15"/>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row>
    <row r="390" spans="2:42" x14ac:dyDescent="0.25">
      <c r="B390" s="13"/>
      <c r="C390" s="14"/>
      <c r="D390" s="60"/>
      <c r="E390" s="66"/>
      <c r="F390" s="56"/>
      <c r="G390" s="14"/>
      <c r="H390" s="56"/>
      <c r="I390" s="15"/>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row>
    <row r="391" spans="2:42" x14ac:dyDescent="0.25">
      <c r="B391" s="13"/>
      <c r="C391" s="10"/>
      <c r="D391" s="11"/>
      <c r="E391" s="56"/>
      <c r="F391" s="58"/>
      <c r="G391" s="11"/>
      <c r="H391" s="59"/>
      <c r="I391" s="15"/>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row>
    <row r="392" spans="2:42" ht="18.75" x14ac:dyDescent="0.3">
      <c r="B392" s="67"/>
      <c r="C392" s="13"/>
      <c r="D392" s="60"/>
      <c r="E392" s="56"/>
      <c r="F392" s="56"/>
      <c r="G392" s="14"/>
      <c r="H392" s="15"/>
      <c r="I392" s="68"/>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row>
    <row r="393" spans="2:42" x14ac:dyDescent="0.25">
      <c r="B393" s="13"/>
      <c r="C393" s="13"/>
      <c r="D393" s="60"/>
      <c r="E393" s="56"/>
      <c r="F393" s="56"/>
      <c r="G393" s="14"/>
      <c r="H393" s="61"/>
      <c r="I393" s="15"/>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row>
    <row r="394" spans="2:42" x14ac:dyDescent="0.25">
      <c r="B394" s="13"/>
      <c r="C394" s="13"/>
      <c r="D394" s="60"/>
      <c r="E394" s="56"/>
      <c r="F394" s="56"/>
      <c r="G394" s="14"/>
      <c r="H394" s="61"/>
      <c r="I394" s="15"/>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row>
    <row r="395" spans="2:42" x14ac:dyDescent="0.25">
      <c r="B395" s="13"/>
      <c r="C395" s="13"/>
      <c r="D395" s="60"/>
      <c r="E395" s="56"/>
      <c r="F395" s="56"/>
      <c r="G395" s="14"/>
      <c r="H395" s="61"/>
      <c r="I395" s="15"/>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row>
    <row r="396" spans="2:42" x14ac:dyDescent="0.25">
      <c r="B396" s="13"/>
      <c r="C396" s="62"/>
      <c r="D396" s="63"/>
      <c r="E396" s="64"/>
      <c r="F396" s="64"/>
      <c r="G396" s="64"/>
      <c r="H396" s="65"/>
      <c r="I396" s="15"/>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row>
    <row r="397" spans="2:42" x14ac:dyDescent="0.25">
      <c r="B397" s="13"/>
      <c r="C397" s="14"/>
      <c r="D397" s="60"/>
      <c r="E397" s="66"/>
      <c r="F397" s="56"/>
      <c r="G397" s="14"/>
      <c r="H397" s="56"/>
      <c r="I397" s="15"/>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row>
    <row r="398" spans="2:42" x14ac:dyDescent="0.25">
      <c r="B398" s="13"/>
      <c r="C398" s="10"/>
      <c r="D398" s="11"/>
      <c r="E398" s="56"/>
      <c r="F398" s="58"/>
      <c r="G398" s="11"/>
      <c r="H398" s="59"/>
      <c r="I398" s="15"/>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row>
    <row r="399" spans="2:42" x14ac:dyDescent="0.25">
      <c r="B399" s="13"/>
      <c r="C399" s="13"/>
      <c r="D399" s="60"/>
      <c r="E399" s="56"/>
      <c r="F399" s="56"/>
      <c r="G399" s="14"/>
      <c r="H399" s="15"/>
      <c r="I399" s="15"/>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row>
    <row r="400" spans="2:42" ht="18.75" x14ac:dyDescent="0.3">
      <c r="B400" s="67"/>
      <c r="C400" s="13"/>
      <c r="D400" s="60"/>
      <c r="E400" s="56"/>
      <c r="F400" s="56"/>
      <c r="G400" s="14"/>
      <c r="H400" s="61"/>
      <c r="I400" s="68"/>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row>
    <row r="401" spans="2:42" x14ac:dyDescent="0.25">
      <c r="B401" s="13"/>
      <c r="C401" s="13"/>
      <c r="D401" s="60"/>
      <c r="E401" s="56"/>
      <c r="F401" s="56"/>
      <c r="G401" s="14"/>
      <c r="H401" s="61"/>
      <c r="I401" s="15"/>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row>
    <row r="402" spans="2:42" x14ac:dyDescent="0.25">
      <c r="B402" s="13"/>
      <c r="C402" s="13"/>
      <c r="D402" s="60"/>
      <c r="E402" s="56"/>
      <c r="F402" s="56"/>
      <c r="G402" s="14"/>
      <c r="H402" s="61"/>
      <c r="I402" s="15"/>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row>
    <row r="403" spans="2:42" x14ac:dyDescent="0.25">
      <c r="B403" s="13"/>
      <c r="C403" s="62"/>
      <c r="D403" s="63"/>
      <c r="E403" s="64"/>
      <c r="F403" s="64"/>
      <c r="G403" s="64"/>
      <c r="H403" s="65"/>
      <c r="I403" s="15"/>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row>
    <row r="404" spans="2:42" x14ac:dyDescent="0.25">
      <c r="B404" s="13"/>
      <c r="C404" s="14"/>
      <c r="D404" s="60"/>
      <c r="E404" s="66"/>
      <c r="F404" s="56"/>
      <c r="G404" s="14"/>
      <c r="H404" s="56"/>
      <c r="I404" s="15"/>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row>
    <row r="405" spans="2:42" x14ac:dyDescent="0.25">
      <c r="B405" s="13"/>
      <c r="C405" s="10"/>
      <c r="D405" s="11"/>
      <c r="E405" s="56"/>
      <c r="F405" s="58"/>
      <c r="G405" s="11"/>
      <c r="H405" s="59"/>
      <c r="I405" s="15"/>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row>
    <row r="406" spans="2:42" x14ac:dyDescent="0.25">
      <c r="B406" s="13"/>
      <c r="C406" s="13"/>
      <c r="D406" s="60"/>
      <c r="E406" s="56"/>
      <c r="F406" s="56"/>
      <c r="G406" s="14"/>
      <c r="H406" s="15"/>
      <c r="I406" s="15"/>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row>
    <row r="407" spans="2:42" x14ac:dyDescent="0.25">
      <c r="B407" s="13"/>
      <c r="C407" s="13"/>
      <c r="D407" s="60"/>
      <c r="E407" s="56"/>
      <c r="F407" s="56"/>
      <c r="G407" s="14"/>
      <c r="H407" s="61"/>
      <c r="I407" s="1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row>
    <row r="408" spans="2:42" ht="18.75" x14ac:dyDescent="0.3">
      <c r="B408" s="67"/>
      <c r="C408" s="13"/>
      <c r="D408" s="60"/>
      <c r="E408" s="56"/>
      <c r="F408" s="56"/>
      <c r="G408" s="14"/>
      <c r="H408" s="61"/>
      <c r="I408" s="68"/>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row>
    <row r="409" spans="2:42" x14ac:dyDescent="0.25">
      <c r="B409" s="13"/>
      <c r="C409" s="13"/>
      <c r="D409" s="60"/>
      <c r="E409" s="56"/>
      <c r="F409" s="56"/>
      <c r="G409" s="14"/>
      <c r="H409" s="61"/>
      <c r="I409" s="1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row>
    <row r="410" spans="2:42" x14ac:dyDescent="0.25">
      <c r="B410" s="13"/>
      <c r="C410" s="62"/>
      <c r="D410" s="63"/>
      <c r="E410" s="64"/>
      <c r="F410" s="64"/>
      <c r="G410" s="64"/>
      <c r="H410" s="65"/>
      <c r="I410" s="15"/>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row>
    <row r="411" spans="2:42" x14ac:dyDescent="0.25">
      <c r="B411" s="13"/>
      <c r="C411" s="14"/>
      <c r="D411" s="60"/>
      <c r="E411" s="66"/>
      <c r="F411" s="56"/>
      <c r="G411" s="14"/>
      <c r="H411" s="56"/>
      <c r="I411" s="15"/>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row>
    <row r="412" spans="2:42" x14ac:dyDescent="0.25">
      <c r="B412" s="13"/>
      <c r="C412" s="10"/>
      <c r="D412" s="11"/>
      <c r="E412" s="56"/>
      <c r="F412" s="58"/>
      <c r="G412" s="11"/>
      <c r="H412" s="59"/>
      <c r="I412" s="15"/>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row>
    <row r="413" spans="2:42" x14ac:dyDescent="0.25">
      <c r="B413" s="13"/>
      <c r="C413" s="13"/>
      <c r="D413" s="60"/>
      <c r="E413" s="56"/>
      <c r="F413" s="56"/>
      <c r="G413" s="14"/>
      <c r="H413" s="15"/>
      <c r="I413" s="15"/>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row>
    <row r="414" spans="2:42" x14ac:dyDescent="0.25">
      <c r="B414" s="13"/>
      <c r="C414" s="13"/>
      <c r="D414" s="60"/>
      <c r="E414" s="56"/>
      <c r="F414" s="56"/>
      <c r="G414" s="14"/>
      <c r="H414" s="61"/>
      <c r="I414" s="15"/>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row>
    <row r="415" spans="2:42" x14ac:dyDescent="0.25">
      <c r="B415" s="13"/>
      <c r="C415" s="13"/>
      <c r="D415" s="60"/>
      <c r="E415" s="56"/>
      <c r="F415" s="56"/>
      <c r="G415" s="14"/>
      <c r="H415" s="61"/>
      <c r="I415" s="15"/>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row>
    <row r="416" spans="2:42" ht="18.75" x14ac:dyDescent="0.3">
      <c r="B416" s="67"/>
      <c r="C416" s="13"/>
      <c r="D416" s="60"/>
      <c r="E416" s="56"/>
      <c r="F416" s="56"/>
      <c r="G416" s="14"/>
      <c r="H416" s="61"/>
      <c r="I416" s="68"/>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row>
    <row r="417" spans="2:42" x14ac:dyDescent="0.25">
      <c r="B417" s="13"/>
      <c r="C417" s="62"/>
      <c r="D417" s="63"/>
      <c r="E417" s="64"/>
      <c r="F417" s="64"/>
      <c r="G417" s="64"/>
      <c r="H417" s="65"/>
      <c r="I417" s="15"/>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row>
    <row r="418" spans="2:42" x14ac:dyDescent="0.25">
      <c r="B418" s="13"/>
      <c r="C418" s="14"/>
      <c r="D418" s="60"/>
      <c r="E418" s="66"/>
      <c r="F418" s="56"/>
      <c r="G418" s="14"/>
      <c r="H418" s="56"/>
      <c r="I418" s="15"/>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row>
    <row r="419" spans="2:42" x14ac:dyDescent="0.25">
      <c r="B419" s="13"/>
      <c r="C419" s="10"/>
      <c r="D419" s="11"/>
      <c r="E419" s="56"/>
      <c r="F419" s="58"/>
      <c r="G419" s="11"/>
      <c r="H419" s="59"/>
      <c r="I419" s="15"/>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row>
    <row r="420" spans="2:42" x14ac:dyDescent="0.25">
      <c r="B420" s="13"/>
      <c r="C420" s="13"/>
      <c r="D420" s="60"/>
      <c r="E420" s="56"/>
      <c r="F420" s="56"/>
      <c r="G420" s="14"/>
      <c r="H420" s="15"/>
      <c r="I420" s="15"/>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row>
    <row r="421" spans="2:42" x14ac:dyDescent="0.25">
      <c r="B421" s="13"/>
      <c r="C421" s="13"/>
      <c r="D421" s="60"/>
      <c r="E421" s="56"/>
      <c r="F421" s="56"/>
      <c r="G421" s="14"/>
      <c r="H421" s="61"/>
      <c r="I421" s="15"/>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row>
    <row r="422" spans="2:42" x14ac:dyDescent="0.25">
      <c r="B422" s="13"/>
      <c r="C422" s="13"/>
      <c r="D422" s="60"/>
      <c r="E422" s="56"/>
      <c r="F422" s="56"/>
      <c r="G422" s="14"/>
      <c r="H422" s="61"/>
      <c r="I422" s="15"/>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row>
    <row r="423" spans="2:42" x14ac:dyDescent="0.25">
      <c r="B423" s="13"/>
      <c r="C423" s="13"/>
      <c r="D423" s="60"/>
      <c r="E423" s="56"/>
      <c r="F423" s="56"/>
      <c r="G423" s="14"/>
      <c r="H423" s="61"/>
      <c r="I423" s="15"/>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row>
    <row r="424" spans="2:42" ht="18.75" x14ac:dyDescent="0.3">
      <c r="B424" s="67"/>
      <c r="C424" s="62"/>
      <c r="D424" s="63"/>
      <c r="E424" s="64"/>
      <c r="F424" s="64"/>
      <c r="G424" s="64"/>
      <c r="H424" s="65"/>
      <c r="I424" s="68"/>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row>
    <row r="425" spans="2:42" x14ac:dyDescent="0.25">
      <c r="B425" s="13"/>
      <c r="C425" s="14"/>
      <c r="D425" s="60"/>
      <c r="E425" s="66"/>
      <c r="F425" s="56"/>
      <c r="G425" s="14"/>
      <c r="H425" s="56"/>
      <c r="I425" s="15"/>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row>
    <row r="426" spans="2:42" x14ac:dyDescent="0.25">
      <c r="B426" s="13"/>
      <c r="C426" s="10"/>
      <c r="D426" s="11"/>
      <c r="E426" s="56"/>
      <c r="F426" s="58"/>
      <c r="G426" s="11"/>
      <c r="H426" s="59"/>
      <c r="I426" s="15"/>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row>
    <row r="427" spans="2:42" x14ac:dyDescent="0.25">
      <c r="B427" s="13"/>
      <c r="C427" s="13"/>
      <c r="D427" s="60"/>
      <c r="E427" s="56"/>
      <c r="F427" s="56"/>
      <c r="G427" s="14"/>
      <c r="H427" s="15"/>
      <c r="I427" s="15"/>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row>
    <row r="428" spans="2:42" x14ac:dyDescent="0.25">
      <c r="B428" s="13"/>
      <c r="C428" s="13"/>
      <c r="D428" s="60"/>
      <c r="E428" s="56"/>
      <c r="F428" s="56"/>
      <c r="G428" s="14"/>
      <c r="H428" s="61"/>
      <c r="I428" s="15"/>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row>
    <row r="429" spans="2:42" x14ac:dyDescent="0.25">
      <c r="B429" s="13"/>
      <c r="C429" s="13"/>
      <c r="D429" s="60"/>
      <c r="E429" s="56"/>
      <c r="F429" s="56"/>
      <c r="G429" s="14"/>
      <c r="H429" s="61"/>
      <c r="I429" s="15"/>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row>
    <row r="430" spans="2:42" x14ac:dyDescent="0.25">
      <c r="B430" s="13"/>
      <c r="C430" s="13"/>
      <c r="D430" s="60"/>
      <c r="E430" s="56"/>
      <c r="F430" s="56"/>
      <c r="G430" s="14"/>
      <c r="H430" s="61"/>
      <c r="I430" s="15"/>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row>
    <row r="431" spans="2:42" x14ac:dyDescent="0.25">
      <c r="B431" s="13"/>
      <c r="C431" s="62"/>
      <c r="D431" s="63"/>
      <c r="E431" s="64"/>
      <c r="F431" s="64"/>
      <c r="G431" s="64"/>
      <c r="H431" s="65"/>
      <c r="I431" s="15"/>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row>
    <row r="432" spans="2:42" ht="18.75" x14ac:dyDescent="0.3">
      <c r="B432" s="67"/>
      <c r="C432" s="14"/>
      <c r="D432" s="60"/>
      <c r="E432" s="66"/>
      <c r="F432" s="56"/>
      <c r="G432" s="14"/>
      <c r="H432" s="56"/>
      <c r="I432" s="68"/>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row>
    <row r="433" spans="2:42" x14ac:dyDescent="0.25">
      <c r="B433" s="13"/>
      <c r="C433" s="10"/>
      <c r="D433" s="11"/>
      <c r="E433" s="56"/>
      <c r="F433" s="58"/>
      <c r="G433" s="11"/>
      <c r="H433" s="59"/>
      <c r="I433" s="15"/>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row>
    <row r="434" spans="2:42" x14ac:dyDescent="0.25">
      <c r="B434" s="13"/>
      <c r="C434" s="13"/>
      <c r="D434" s="60"/>
      <c r="E434" s="56"/>
      <c r="F434" s="56"/>
      <c r="G434" s="14"/>
      <c r="H434" s="15"/>
      <c r="I434" s="15"/>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row>
    <row r="435" spans="2:42" x14ac:dyDescent="0.25">
      <c r="B435" s="13"/>
      <c r="C435" s="13"/>
      <c r="D435" s="60"/>
      <c r="E435" s="56"/>
      <c r="F435" s="56"/>
      <c r="G435" s="14"/>
      <c r="H435" s="61"/>
      <c r="I435" s="15"/>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row>
    <row r="436" spans="2:42" x14ac:dyDescent="0.25">
      <c r="B436" s="13"/>
      <c r="C436" s="13"/>
      <c r="D436" s="60"/>
      <c r="E436" s="56"/>
      <c r="F436" s="56"/>
      <c r="G436" s="14"/>
      <c r="H436" s="61"/>
      <c r="I436" s="15"/>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row>
    <row r="437" spans="2:42" x14ac:dyDescent="0.25">
      <c r="B437" s="13"/>
      <c r="C437" s="13"/>
      <c r="D437" s="60"/>
      <c r="E437" s="56"/>
      <c r="F437" s="56"/>
      <c r="G437" s="14"/>
      <c r="H437" s="61"/>
      <c r="I437" s="15"/>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row>
    <row r="438" spans="2:42" x14ac:dyDescent="0.25">
      <c r="B438" s="13"/>
      <c r="C438" s="62"/>
      <c r="D438" s="63"/>
      <c r="E438" s="64"/>
      <c r="F438" s="64"/>
      <c r="G438" s="64"/>
      <c r="H438" s="65"/>
      <c r="I438" s="15"/>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row>
    <row r="439" spans="2:42" x14ac:dyDescent="0.25">
      <c r="B439" s="13"/>
      <c r="C439" s="14"/>
      <c r="D439" s="60"/>
      <c r="E439" s="66"/>
      <c r="F439" s="56"/>
      <c r="G439" s="14"/>
      <c r="H439" s="56"/>
      <c r="I439" s="15"/>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row>
    <row r="440" spans="2:42" ht="18.75" x14ac:dyDescent="0.3">
      <c r="B440" s="67"/>
      <c r="C440" s="10"/>
      <c r="D440" s="11"/>
      <c r="E440" s="56"/>
      <c r="F440" s="58"/>
      <c r="G440" s="11"/>
      <c r="H440" s="59"/>
      <c r="I440" s="68"/>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row>
    <row r="441" spans="2:42" x14ac:dyDescent="0.25">
      <c r="B441" s="13"/>
      <c r="C441" s="13"/>
      <c r="D441" s="60"/>
      <c r="E441" s="56"/>
      <c r="F441" s="56"/>
      <c r="G441" s="14"/>
      <c r="H441" s="15"/>
      <c r="I441" s="15"/>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row>
    <row r="442" spans="2:42" x14ac:dyDescent="0.25">
      <c r="B442" s="13"/>
      <c r="C442" s="13"/>
      <c r="D442" s="60"/>
      <c r="E442" s="56"/>
      <c r="F442" s="56"/>
      <c r="G442" s="14"/>
      <c r="H442" s="61"/>
      <c r="I442" s="15"/>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row>
    <row r="443" spans="2:42" x14ac:dyDescent="0.25">
      <c r="B443" s="13"/>
      <c r="C443" s="13"/>
      <c r="D443" s="60"/>
      <c r="E443" s="56"/>
      <c r="F443" s="56"/>
      <c r="G443" s="14"/>
      <c r="H443" s="61"/>
      <c r="I443" s="15"/>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row>
    <row r="444" spans="2:42" x14ac:dyDescent="0.25">
      <c r="B444" s="13"/>
      <c r="C444" s="13"/>
      <c r="D444" s="60"/>
      <c r="E444" s="56"/>
      <c r="F444" s="56"/>
      <c r="G444" s="14"/>
      <c r="H444" s="61"/>
      <c r="I444" s="15"/>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row>
    <row r="445" spans="2:42" x14ac:dyDescent="0.25">
      <c r="B445" s="13"/>
      <c r="C445" s="62"/>
      <c r="D445" s="63"/>
      <c r="E445" s="64"/>
      <c r="F445" s="64"/>
      <c r="G445" s="64"/>
      <c r="H445" s="65"/>
      <c r="I445" s="15"/>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row>
    <row r="446" spans="2:42" x14ac:dyDescent="0.25">
      <c r="B446" s="13"/>
      <c r="C446" s="14"/>
      <c r="D446" s="60"/>
      <c r="E446" s="66"/>
      <c r="F446" s="56"/>
      <c r="G446" s="14"/>
      <c r="H446" s="56"/>
      <c r="I446" s="15"/>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row>
    <row r="447" spans="2:42" x14ac:dyDescent="0.25">
      <c r="B447" s="13"/>
      <c r="C447" s="10"/>
      <c r="D447" s="11"/>
      <c r="E447" s="56"/>
      <c r="F447" s="58"/>
      <c r="G447" s="11"/>
      <c r="H447" s="59"/>
      <c r="I447" s="15"/>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row>
    <row r="448" spans="2:42" ht="18.75" x14ac:dyDescent="0.3">
      <c r="B448" s="67"/>
      <c r="C448" s="13"/>
      <c r="D448" s="60"/>
      <c r="E448" s="56"/>
      <c r="F448" s="56"/>
      <c r="G448" s="14"/>
      <c r="H448" s="15"/>
      <c r="I448" s="68"/>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row>
    <row r="449" spans="2:42" x14ac:dyDescent="0.25">
      <c r="B449" s="13"/>
      <c r="C449" s="13"/>
      <c r="D449" s="60"/>
      <c r="E449" s="56"/>
      <c r="F449" s="56"/>
      <c r="G449" s="14"/>
      <c r="H449" s="61"/>
      <c r="I449" s="15"/>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row>
    <row r="450" spans="2:42" x14ac:dyDescent="0.25">
      <c r="B450" s="13"/>
      <c r="C450" s="13"/>
      <c r="D450" s="60"/>
      <c r="E450" s="56"/>
      <c r="F450" s="56"/>
      <c r="G450" s="14"/>
      <c r="H450" s="61"/>
      <c r="I450" s="15"/>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row>
    <row r="451" spans="2:42" x14ac:dyDescent="0.25">
      <c r="B451" s="13"/>
      <c r="C451" s="13"/>
      <c r="D451" s="60"/>
      <c r="E451" s="56"/>
      <c r="F451" s="56"/>
      <c r="G451" s="14"/>
      <c r="H451" s="61"/>
      <c r="I451" s="15"/>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row>
    <row r="452" spans="2:42" x14ac:dyDescent="0.25">
      <c r="B452" s="13"/>
      <c r="C452" s="62"/>
      <c r="D452" s="63"/>
      <c r="E452" s="64"/>
      <c r="F452" s="64"/>
      <c r="G452" s="64"/>
      <c r="H452" s="65"/>
      <c r="I452" s="15"/>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row>
    <row r="453" spans="2:42" x14ac:dyDescent="0.25">
      <c r="B453" s="13"/>
      <c r="C453" s="14"/>
      <c r="D453" s="60"/>
      <c r="E453" s="66"/>
      <c r="F453" s="56"/>
      <c r="G453" s="14"/>
      <c r="H453" s="56"/>
      <c r="I453" s="15"/>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row>
    <row r="454" spans="2:42" x14ac:dyDescent="0.25">
      <c r="B454" s="13"/>
      <c r="C454" s="10"/>
      <c r="D454" s="11"/>
      <c r="E454" s="56"/>
      <c r="F454" s="58"/>
      <c r="G454" s="11"/>
      <c r="H454" s="59"/>
      <c r="I454" s="15"/>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row>
    <row r="455" spans="2:42" x14ac:dyDescent="0.25">
      <c r="B455" s="13"/>
      <c r="C455" s="13"/>
      <c r="D455" s="60"/>
      <c r="E455" s="56"/>
      <c r="F455" s="56"/>
      <c r="G455" s="14"/>
      <c r="H455" s="15"/>
      <c r="I455" s="15"/>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row>
    <row r="456" spans="2:42" ht="18.75" x14ac:dyDescent="0.3">
      <c r="B456" s="67"/>
      <c r="C456" s="13"/>
      <c r="D456" s="60"/>
      <c r="E456" s="56"/>
      <c r="F456" s="56"/>
      <c r="G456" s="14"/>
      <c r="H456" s="61"/>
      <c r="I456" s="68"/>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row>
    <row r="457" spans="2:42" x14ac:dyDescent="0.25">
      <c r="B457" s="13"/>
      <c r="C457" s="13"/>
      <c r="D457" s="60"/>
      <c r="E457" s="56"/>
      <c r="F457" s="56"/>
      <c r="G457" s="14"/>
      <c r="H457" s="61"/>
      <c r="I457" s="15"/>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row>
    <row r="458" spans="2:42" x14ac:dyDescent="0.25">
      <c r="B458" s="13"/>
      <c r="C458" s="13"/>
      <c r="D458" s="60"/>
      <c r="E458" s="56"/>
      <c r="F458" s="56"/>
      <c r="G458" s="14"/>
      <c r="H458" s="61"/>
      <c r="I458" s="15"/>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row>
    <row r="459" spans="2:42" x14ac:dyDescent="0.25">
      <c r="B459" s="13"/>
      <c r="C459" s="62"/>
      <c r="D459" s="63"/>
      <c r="E459" s="64"/>
      <c r="F459" s="64"/>
      <c r="G459" s="64"/>
      <c r="H459" s="65"/>
      <c r="I459" s="15"/>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row>
    <row r="460" spans="2:42" x14ac:dyDescent="0.25">
      <c r="B460" s="13"/>
      <c r="C460" s="14"/>
      <c r="D460" s="60"/>
      <c r="E460" s="66"/>
      <c r="F460" s="56"/>
      <c r="G460" s="14"/>
      <c r="H460" s="56"/>
      <c r="I460" s="15"/>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row>
    <row r="461" spans="2:42" x14ac:dyDescent="0.25">
      <c r="B461" s="13"/>
      <c r="C461" s="10"/>
      <c r="D461" s="11"/>
      <c r="E461" s="56"/>
      <c r="F461" s="58"/>
      <c r="G461" s="11"/>
      <c r="H461" s="59"/>
      <c r="I461" s="15"/>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row>
    <row r="462" spans="2:42" x14ac:dyDescent="0.25">
      <c r="B462" s="13"/>
      <c r="C462" s="13"/>
      <c r="D462" s="60"/>
      <c r="E462" s="56"/>
      <c r="F462" s="56"/>
      <c r="G462" s="14"/>
      <c r="H462" s="15"/>
      <c r="I462" s="15"/>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row>
    <row r="463" spans="2:42" x14ac:dyDescent="0.25">
      <c r="B463" s="13"/>
      <c r="C463" s="13"/>
      <c r="D463" s="60"/>
      <c r="E463" s="56"/>
      <c r="F463" s="56"/>
      <c r="G463" s="14"/>
      <c r="H463" s="61"/>
      <c r="I463" s="15"/>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row>
    <row r="464" spans="2:42" ht="18.75" x14ac:dyDescent="0.3">
      <c r="B464" s="67"/>
      <c r="C464" s="13"/>
      <c r="D464" s="60"/>
      <c r="E464" s="56"/>
      <c r="F464" s="56"/>
      <c r="G464" s="14"/>
      <c r="H464" s="61"/>
      <c r="I464" s="68"/>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row>
    <row r="465" spans="2:42" x14ac:dyDescent="0.25">
      <c r="B465" s="13"/>
      <c r="C465" s="13"/>
      <c r="D465" s="60"/>
      <c r="E465" s="56"/>
      <c r="F465" s="56"/>
      <c r="G465" s="14"/>
      <c r="H465" s="61"/>
      <c r="I465" s="15"/>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row>
    <row r="466" spans="2:42" x14ac:dyDescent="0.25">
      <c r="B466" s="13"/>
      <c r="C466" s="62"/>
      <c r="D466" s="63"/>
      <c r="E466" s="64"/>
      <c r="F466" s="64"/>
      <c r="G466" s="64"/>
      <c r="H466" s="65"/>
      <c r="I466" s="15"/>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row>
    <row r="467" spans="2:42" x14ac:dyDescent="0.25">
      <c r="B467" s="13"/>
      <c r="C467" s="14"/>
      <c r="D467" s="60"/>
      <c r="E467" s="66"/>
      <c r="F467" s="56"/>
      <c r="G467" s="14"/>
      <c r="H467" s="56"/>
      <c r="I467" s="15"/>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row>
    <row r="468" spans="2:42" x14ac:dyDescent="0.25">
      <c r="B468" s="13"/>
      <c r="C468" s="10"/>
      <c r="D468" s="11"/>
      <c r="E468" s="56"/>
      <c r="F468" s="58"/>
      <c r="G468" s="11"/>
      <c r="H468" s="59"/>
      <c r="I468" s="15"/>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row>
    <row r="469" spans="2:42" x14ac:dyDescent="0.25">
      <c r="B469" s="13"/>
      <c r="C469" s="13"/>
      <c r="D469" s="60"/>
      <c r="E469" s="56"/>
      <c r="F469" s="56"/>
      <c r="G469" s="14"/>
      <c r="H469" s="15"/>
      <c r="I469" s="15"/>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row>
    <row r="470" spans="2:42" x14ac:dyDescent="0.25">
      <c r="B470" s="13"/>
      <c r="C470" s="13"/>
      <c r="D470" s="60"/>
      <c r="E470" s="56"/>
      <c r="F470" s="56"/>
      <c r="G470" s="14"/>
      <c r="H470" s="61"/>
      <c r="I470" s="15"/>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row>
    <row r="471" spans="2:42" x14ac:dyDescent="0.25">
      <c r="B471" s="13"/>
      <c r="C471" s="13"/>
      <c r="D471" s="60"/>
      <c r="E471" s="56"/>
      <c r="F471" s="56"/>
      <c r="G471" s="14"/>
      <c r="H471" s="61"/>
      <c r="I471" s="15"/>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row>
    <row r="472" spans="2:42" ht="18.75" x14ac:dyDescent="0.3">
      <c r="B472" s="67"/>
      <c r="C472" s="13"/>
      <c r="D472" s="60"/>
      <c r="E472" s="56"/>
      <c r="F472" s="56"/>
      <c r="G472" s="14"/>
      <c r="H472" s="61"/>
      <c r="I472" s="68"/>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row>
    <row r="473" spans="2:42" x14ac:dyDescent="0.25">
      <c r="B473" s="13"/>
      <c r="C473" s="62"/>
      <c r="D473" s="63"/>
      <c r="E473" s="64"/>
      <c r="F473" s="64"/>
      <c r="G473" s="64"/>
      <c r="H473" s="65"/>
      <c r="I473" s="15"/>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row>
    <row r="474" spans="2:42" x14ac:dyDescent="0.25">
      <c r="B474" s="13"/>
      <c r="C474" s="14"/>
      <c r="D474" s="60"/>
      <c r="E474" s="66"/>
      <c r="F474" s="56"/>
      <c r="G474" s="14"/>
      <c r="H474" s="56"/>
      <c r="I474" s="1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row>
    <row r="475" spans="2:42" x14ac:dyDescent="0.25">
      <c r="B475" s="13"/>
      <c r="C475" s="10"/>
      <c r="D475" s="11"/>
      <c r="E475" s="56"/>
      <c r="F475" s="58"/>
      <c r="G475" s="11"/>
      <c r="H475" s="59"/>
      <c r="I475" s="15"/>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row>
    <row r="476" spans="2:42" x14ac:dyDescent="0.25">
      <c r="B476" s="13"/>
      <c r="C476" s="13"/>
      <c r="D476" s="60"/>
      <c r="E476" s="56"/>
      <c r="F476" s="56"/>
      <c r="G476" s="14"/>
      <c r="H476" s="15"/>
      <c r="I476" s="15"/>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row>
    <row r="477" spans="2:42" x14ac:dyDescent="0.25">
      <c r="B477" s="13"/>
      <c r="C477" s="13"/>
      <c r="D477" s="60"/>
      <c r="E477" s="56"/>
      <c r="F477" s="56"/>
      <c r="G477" s="14"/>
      <c r="H477" s="61"/>
      <c r="I477" s="15"/>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row>
    <row r="478" spans="2:42" x14ac:dyDescent="0.25">
      <c r="B478" s="13"/>
      <c r="C478" s="13"/>
      <c r="D478" s="60"/>
      <c r="E478" s="56"/>
      <c r="F478" s="56"/>
      <c r="G478" s="14"/>
      <c r="H478" s="61"/>
      <c r="I478" s="15"/>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row>
    <row r="479" spans="2:42" x14ac:dyDescent="0.25">
      <c r="B479" s="13"/>
      <c r="C479" s="13"/>
      <c r="D479" s="60"/>
      <c r="E479" s="56"/>
      <c r="F479" s="56"/>
      <c r="G479" s="14"/>
      <c r="H479" s="61"/>
      <c r="I479" s="15"/>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row>
    <row r="480" spans="2:42" ht="18.75" x14ac:dyDescent="0.3">
      <c r="B480" s="67"/>
      <c r="C480" s="62"/>
      <c r="D480" s="63"/>
      <c r="E480" s="64"/>
      <c r="F480" s="64"/>
      <c r="G480" s="64"/>
      <c r="H480" s="65"/>
      <c r="I480" s="68"/>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row>
    <row r="481" spans="2:42" x14ac:dyDescent="0.25">
      <c r="B481" s="13"/>
      <c r="C481" s="14"/>
      <c r="D481" s="60"/>
      <c r="E481" s="66"/>
      <c r="F481" s="56"/>
      <c r="G481" s="14"/>
      <c r="H481" s="56"/>
      <c r="I481" s="15"/>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row>
    <row r="482" spans="2:42" x14ac:dyDescent="0.25">
      <c r="B482" s="13"/>
      <c r="C482" s="10"/>
      <c r="D482" s="11"/>
      <c r="E482" s="56"/>
      <c r="F482" s="58"/>
      <c r="G482" s="11"/>
      <c r="H482" s="59"/>
      <c r="I482" s="15"/>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row>
    <row r="483" spans="2:42" x14ac:dyDescent="0.25">
      <c r="B483" s="13"/>
      <c r="C483" s="13"/>
      <c r="D483" s="60"/>
      <c r="E483" s="56"/>
      <c r="F483" s="56"/>
      <c r="G483" s="14"/>
      <c r="H483" s="15"/>
      <c r="I483" s="15"/>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row>
    <row r="484" spans="2:42" x14ac:dyDescent="0.25">
      <c r="B484" s="13"/>
      <c r="C484" s="13"/>
      <c r="D484" s="60"/>
      <c r="E484" s="56"/>
      <c r="F484" s="56"/>
      <c r="G484" s="14"/>
      <c r="H484" s="61"/>
      <c r="I484" s="15"/>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row>
    <row r="485" spans="2:42" x14ac:dyDescent="0.25">
      <c r="B485" s="13"/>
      <c r="C485" s="13"/>
      <c r="D485" s="60"/>
      <c r="E485" s="56"/>
      <c r="F485" s="56"/>
      <c r="G485" s="14"/>
      <c r="H485" s="61"/>
      <c r="I485" s="15"/>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row>
    <row r="486" spans="2:42" x14ac:dyDescent="0.25">
      <c r="B486" s="13"/>
      <c r="C486" s="13"/>
      <c r="D486" s="60"/>
      <c r="E486" s="56"/>
      <c r="F486" s="56"/>
      <c r="G486" s="14"/>
      <c r="H486" s="61"/>
      <c r="I486" s="15"/>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row>
    <row r="487" spans="2:42" x14ac:dyDescent="0.25">
      <c r="B487" s="13"/>
      <c r="C487" s="62"/>
      <c r="D487" s="63"/>
      <c r="E487" s="64"/>
      <c r="F487" s="64"/>
      <c r="G487" s="64"/>
      <c r="H487" s="65"/>
      <c r="I487" s="15"/>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row>
    <row r="488" spans="2:42" ht="18.75" x14ac:dyDescent="0.3">
      <c r="B488" s="67"/>
      <c r="C488" s="14"/>
      <c r="D488" s="60"/>
      <c r="E488" s="66"/>
      <c r="F488" s="56"/>
      <c r="G488" s="14"/>
      <c r="H488" s="56"/>
      <c r="I488" s="68"/>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row>
    <row r="489" spans="2:42" x14ac:dyDescent="0.25">
      <c r="B489" s="13"/>
      <c r="C489" s="10"/>
      <c r="D489" s="11"/>
      <c r="E489" s="56"/>
      <c r="F489" s="58"/>
      <c r="G489" s="11"/>
      <c r="H489" s="59"/>
      <c r="I489" s="15"/>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row>
    <row r="490" spans="2:42" x14ac:dyDescent="0.25">
      <c r="B490" s="13"/>
      <c r="C490" s="13"/>
      <c r="D490" s="60"/>
      <c r="E490" s="56"/>
      <c r="F490" s="56"/>
      <c r="G490" s="14"/>
      <c r="H490" s="15"/>
      <c r="I490" s="15"/>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row>
    <row r="491" spans="2:42" x14ac:dyDescent="0.25">
      <c r="B491" s="13"/>
      <c r="C491" s="13"/>
      <c r="D491" s="60"/>
      <c r="E491" s="56"/>
      <c r="F491" s="56"/>
      <c r="G491" s="14"/>
      <c r="H491" s="61"/>
      <c r="I491" s="15"/>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row>
    <row r="492" spans="2:42" x14ac:dyDescent="0.25">
      <c r="B492" s="13"/>
      <c r="C492" s="13"/>
      <c r="D492" s="60"/>
      <c r="E492" s="56"/>
      <c r="F492" s="56"/>
      <c r="G492" s="14"/>
      <c r="H492" s="61"/>
      <c r="I492" s="15"/>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row>
    <row r="493" spans="2:42" x14ac:dyDescent="0.25">
      <c r="B493" s="13"/>
      <c r="C493" s="13"/>
      <c r="D493" s="60"/>
      <c r="E493" s="56"/>
      <c r="F493" s="56"/>
      <c r="G493" s="14"/>
      <c r="H493" s="61"/>
      <c r="I493" s="15"/>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row>
    <row r="494" spans="2:42" x14ac:dyDescent="0.25">
      <c r="B494" s="13"/>
      <c r="C494" s="62"/>
      <c r="D494" s="63"/>
      <c r="E494" s="64"/>
      <c r="F494" s="64"/>
      <c r="G494" s="64"/>
      <c r="H494" s="65"/>
      <c r="I494" s="15"/>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row>
    <row r="495" spans="2:42" x14ac:dyDescent="0.25">
      <c r="B495" s="13"/>
      <c r="C495" s="14"/>
      <c r="D495" s="60"/>
      <c r="E495" s="66"/>
      <c r="F495" s="56"/>
      <c r="G495" s="14"/>
      <c r="H495" s="56"/>
      <c r="I495" s="15"/>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row>
    <row r="496" spans="2:42" ht="18.75" x14ac:dyDescent="0.3">
      <c r="B496" s="67"/>
      <c r="C496" s="10"/>
      <c r="D496" s="11"/>
      <c r="E496" s="56"/>
      <c r="F496" s="58"/>
      <c r="G496" s="11"/>
      <c r="H496" s="59"/>
      <c r="I496" s="68"/>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row>
    <row r="497" spans="2:42" x14ac:dyDescent="0.25">
      <c r="B497" s="13"/>
      <c r="C497" s="13"/>
      <c r="D497" s="60"/>
      <c r="E497" s="56"/>
      <c r="F497" s="56"/>
      <c r="G497" s="14"/>
      <c r="H497" s="15"/>
      <c r="I497" s="15"/>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row>
    <row r="498" spans="2:42" x14ac:dyDescent="0.25">
      <c r="B498" s="13"/>
      <c r="C498" s="13"/>
      <c r="D498" s="60"/>
      <c r="E498" s="56"/>
      <c r="F498" s="56"/>
      <c r="G498" s="14"/>
      <c r="H498" s="61"/>
      <c r="I498" s="15"/>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row>
    <row r="499" spans="2:42" x14ac:dyDescent="0.25">
      <c r="B499" s="13"/>
      <c r="C499" s="13"/>
      <c r="D499" s="60"/>
      <c r="E499" s="56"/>
      <c r="F499" s="56"/>
      <c r="G499" s="14"/>
      <c r="H499" s="61"/>
      <c r="I499" s="15"/>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row>
    <row r="500" spans="2:42" x14ac:dyDescent="0.25">
      <c r="B500" s="13"/>
      <c r="C500" s="13"/>
      <c r="D500" s="60"/>
      <c r="E500" s="56"/>
      <c r="F500" s="56"/>
      <c r="G500" s="14"/>
      <c r="H500" s="61"/>
      <c r="I500" s="15"/>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row>
    <row r="501" spans="2:42" x14ac:dyDescent="0.25">
      <c r="B501" s="13"/>
      <c r="C501" s="62"/>
      <c r="D501" s="63"/>
      <c r="E501" s="64"/>
      <c r="F501" s="64"/>
      <c r="G501" s="64"/>
      <c r="H501" s="65"/>
      <c r="I501" s="15"/>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row>
    <row r="502" spans="2:42" x14ac:dyDescent="0.25">
      <c r="B502" s="13"/>
      <c r="C502" s="14"/>
      <c r="D502" s="60"/>
      <c r="E502" s="66"/>
      <c r="F502" s="56"/>
      <c r="G502" s="14"/>
      <c r="H502" s="56"/>
      <c r="I502" s="15"/>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row>
    <row r="503" spans="2:42" x14ac:dyDescent="0.25">
      <c r="B503" s="13"/>
      <c r="C503" s="10"/>
      <c r="D503" s="11"/>
      <c r="E503" s="56"/>
      <c r="F503" s="58"/>
      <c r="G503" s="11"/>
      <c r="H503" s="59"/>
      <c r="I503" s="15"/>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row>
    <row r="504" spans="2:42" ht="18.75" x14ac:dyDescent="0.3">
      <c r="B504" s="67"/>
      <c r="C504" s="13"/>
      <c r="D504" s="60"/>
      <c r="E504" s="56"/>
      <c r="F504" s="56"/>
      <c r="G504" s="14"/>
      <c r="H504" s="15"/>
      <c r="I504" s="68"/>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row>
    <row r="505" spans="2:42" x14ac:dyDescent="0.25">
      <c r="B505" s="13"/>
      <c r="C505" s="13"/>
      <c r="D505" s="60"/>
      <c r="E505" s="56"/>
      <c r="F505" s="56"/>
      <c r="G505" s="14"/>
      <c r="H505" s="61"/>
      <c r="I505" s="15"/>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row>
    <row r="506" spans="2:42" x14ac:dyDescent="0.25">
      <c r="B506" s="13"/>
      <c r="C506" s="13"/>
      <c r="D506" s="60"/>
      <c r="E506" s="56"/>
      <c r="F506" s="56"/>
      <c r="G506" s="14"/>
      <c r="H506" s="61"/>
      <c r="I506" s="15"/>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row>
    <row r="507" spans="2:42" x14ac:dyDescent="0.25">
      <c r="B507" s="13"/>
      <c r="C507" s="13"/>
      <c r="D507" s="60"/>
      <c r="E507" s="56"/>
      <c r="F507" s="56"/>
      <c r="G507" s="14"/>
      <c r="H507" s="61"/>
      <c r="I507" s="15"/>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row>
    <row r="508" spans="2:42" x14ac:dyDescent="0.25">
      <c r="B508" s="13"/>
      <c r="C508" s="62"/>
      <c r="D508" s="63"/>
      <c r="E508" s="64"/>
      <c r="F508" s="64"/>
      <c r="G508" s="64"/>
      <c r="H508" s="65"/>
      <c r="I508" s="15"/>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row>
    <row r="509" spans="2:42" x14ac:dyDescent="0.25">
      <c r="B509" s="13"/>
      <c r="C509" s="14"/>
      <c r="D509" s="60"/>
      <c r="E509" s="66"/>
      <c r="F509" s="56"/>
      <c r="G509" s="14"/>
      <c r="H509" s="56"/>
      <c r="I509" s="15"/>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row>
    <row r="510" spans="2:42" x14ac:dyDescent="0.25">
      <c r="B510" s="13"/>
      <c r="C510" s="10"/>
      <c r="D510" s="11"/>
      <c r="E510" s="56"/>
      <c r="F510" s="58"/>
      <c r="G510" s="11"/>
      <c r="H510" s="59"/>
      <c r="I510" s="15"/>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row>
    <row r="511" spans="2:42" x14ac:dyDescent="0.25">
      <c r="B511" s="13"/>
      <c r="C511" s="13"/>
      <c r="D511" s="60"/>
      <c r="E511" s="56"/>
      <c r="F511" s="56"/>
      <c r="G511" s="14"/>
      <c r="H511" s="15"/>
      <c r="I511" s="15"/>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row>
    <row r="512" spans="2:42" ht="18.75" x14ac:dyDescent="0.3">
      <c r="B512" s="67"/>
      <c r="C512" s="13"/>
      <c r="D512" s="60"/>
      <c r="E512" s="56"/>
      <c r="F512" s="56"/>
      <c r="G512" s="14"/>
      <c r="H512" s="61"/>
      <c r="I512" s="68"/>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row>
    <row r="513" spans="2:42" x14ac:dyDescent="0.25">
      <c r="B513" s="13"/>
      <c r="C513" s="13"/>
      <c r="D513" s="60"/>
      <c r="E513" s="56"/>
      <c r="F513" s="56"/>
      <c r="G513" s="14"/>
      <c r="H513" s="61"/>
      <c r="I513" s="15"/>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row>
    <row r="514" spans="2:42" x14ac:dyDescent="0.25">
      <c r="B514" s="13"/>
      <c r="C514" s="13"/>
      <c r="D514" s="60"/>
      <c r="E514" s="56"/>
      <c r="F514" s="56"/>
      <c r="G514" s="14"/>
      <c r="H514" s="61"/>
      <c r="I514" s="15"/>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row>
    <row r="515" spans="2:42" x14ac:dyDescent="0.25">
      <c r="B515" s="13"/>
      <c r="C515" s="62"/>
      <c r="D515" s="63"/>
      <c r="E515" s="64"/>
      <c r="F515" s="64"/>
      <c r="G515" s="64"/>
      <c r="H515" s="65"/>
      <c r="I515" s="15"/>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row>
    <row r="516" spans="2:42" x14ac:dyDescent="0.25">
      <c r="B516" s="13"/>
      <c r="C516" s="14"/>
      <c r="D516" s="60"/>
      <c r="E516" s="66"/>
      <c r="F516" s="56"/>
      <c r="G516" s="14"/>
      <c r="H516" s="56"/>
      <c r="I516" s="15"/>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row>
    <row r="517" spans="2:42" x14ac:dyDescent="0.25">
      <c r="B517" s="13"/>
      <c r="C517" s="10"/>
      <c r="D517" s="11"/>
      <c r="E517" s="56"/>
      <c r="F517" s="58"/>
      <c r="G517" s="11"/>
      <c r="H517" s="59"/>
      <c r="I517" s="15"/>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row>
    <row r="518" spans="2:42" x14ac:dyDescent="0.25">
      <c r="B518" s="13"/>
      <c r="C518" s="13"/>
      <c r="D518" s="60"/>
      <c r="E518" s="56"/>
      <c r="F518" s="56"/>
      <c r="G518" s="14"/>
      <c r="H518" s="15"/>
      <c r="I518" s="15"/>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row>
    <row r="519" spans="2:42" x14ac:dyDescent="0.25">
      <c r="B519" s="13"/>
      <c r="C519" s="13"/>
      <c r="D519" s="60"/>
      <c r="E519" s="56"/>
      <c r="F519" s="56"/>
      <c r="G519" s="14"/>
      <c r="H519" s="61"/>
      <c r="I519" s="15"/>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row>
    <row r="520" spans="2:42" ht="18.75" x14ac:dyDescent="0.3">
      <c r="B520" s="67"/>
      <c r="C520" s="13"/>
      <c r="D520" s="60"/>
      <c r="E520" s="56"/>
      <c r="F520" s="56"/>
      <c r="G520" s="14"/>
      <c r="H520" s="61"/>
      <c r="I520" s="68"/>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row>
    <row r="521" spans="2:42" x14ac:dyDescent="0.25">
      <c r="B521" s="13"/>
      <c r="C521" s="13"/>
      <c r="D521" s="60"/>
      <c r="E521" s="56"/>
      <c r="F521" s="56"/>
      <c r="G521" s="14"/>
      <c r="H521" s="61"/>
      <c r="I521" s="15"/>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row>
    <row r="522" spans="2:42" x14ac:dyDescent="0.25">
      <c r="B522" s="13"/>
      <c r="C522" s="62"/>
      <c r="D522" s="63"/>
      <c r="E522" s="64"/>
      <c r="F522" s="64"/>
      <c r="G522" s="64"/>
      <c r="H522" s="65"/>
      <c r="I522" s="15"/>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row>
    <row r="523" spans="2:42" x14ac:dyDescent="0.25">
      <c r="B523" s="13"/>
      <c r="C523" s="14"/>
      <c r="D523" s="60"/>
      <c r="E523" s="66"/>
      <c r="F523" s="56"/>
      <c r="G523" s="14"/>
      <c r="H523" s="56"/>
      <c r="I523" s="15"/>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row>
    <row r="524" spans="2:42" x14ac:dyDescent="0.25">
      <c r="B524" s="13"/>
      <c r="C524" s="10"/>
      <c r="D524" s="11"/>
      <c r="E524" s="56"/>
      <c r="F524" s="58"/>
      <c r="G524" s="11"/>
      <c r="H524" s="59"/>
      <c r="I524" s="15"/>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row>
    <row r="525" spans="2:42" x14ac:dyDescent="0.25">
      <c r="B525" s="13"/>
      <c r="C525" s="13"/>
      <c r="D525" s="60"/>
      <c r="E525" s="56"/>
      <c r="F525" s="56"/>
      <c r="G525" s="14"/>
      <c r="H525" s="15"/>
      <c r="I525" s="15"/>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row>
    <row r="526" spans="2:42" x14ac:dyDescent="0.25">
      <c r="B526" s="8"/>
      <c r="C526" s="23"/>
      <c r="D526" s="47"/>
      <c r="E526" s="48"/>
      <c r="F526" s="48"/>
      <c r="G526" s="24"/>
      <c r="H526" s="49"/>
      <c r="I526" s="27"/>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row>
    <row r="527" spans="2:42" x14ac:dyDescent="0.25">
      <c r="B527" s="8"/>
      <c r="C527" s="23"/>
      <c r="D527" s="47"/>
      <c r="E527" s="48"/>
      <c r="F527" s="48"/>
      <c r="G527" s="24"/>
      <c r="H527" s="49"/>
      <c r="I527" s="27"/>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row>
    <row r="528" spans="2:42" ht="18.75" x14ac:dyDescent="0.3">
      <c r="B528" s="28"/>
      <c r="C528" s="23"/>
      <c r="D528" s="47"/>
      <c r="E528" s="48"/>
      <c r="F528" s="48"/>
      <c r="G528" s="24"/>
      <c r="H528" s="49"/>
      <c r="I528" s="29"/>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row>
    <row r="529" spans="2:42" x14ac:dyDescent="0.25">
      <c r="B529" s="8"/>
      <c r="C529" s="50"/>
      <c r="D529" s="51"/>
      <c r="E529" s="52"/>
      <c r="F529" s="52"/>
      <c r="G529" s="52"/>
      <c r="H529" s="53"/>
      <c r="I529" s="27"/>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row>
    <row r="530" spans="2:42" x14ac:dyDescent="0.25">
      <c r="B530" s="8"/>
      <c r="C530" s="9"/>
      <c r="D530" s="54"/>
      <c r="E530" s="55"/>
      <c r="F530" s="44"/>
      <c r="G530" s="9"/>
      <c r="H530" s="44"/>
      <c r="I530" s="27"/>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row>
    <row r="531" spans="2:42" x14ac:dyDescent="0.25">
      <c r="B531" s="8"/>
      <c r="C531" s="21"/>
      <c r="D531" s="22"/>
      <c r="E531" s="48"/>
      <c r="F531" s="45"/>
      <c r="G531" s="22"/>
      <c r="H531" s="46"/>
      <c r="I531" s="27"/>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row>
    <row r="532" spans="2:42" x14ac:dyDescent="0.25">
      <c r="B532" s="8"/>
      <c r="C532" s="23"/>
      <c r="D532" s="47"/>
      <c r="E532" s="48"/>
      <c r="F532" s="48"/>
      <c r="G532" s="24"/>
      <c r="H532" s="25"/>
      <c r="I532" s="27"/>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row>
    <row r="533" spans="2:42" x14ac:dyDescent="0.25">
      <c r="B533" s="8"/>
      <c r="C533" s="23"/>
      <c r="D533" s="47"/>
      <c r="E533" s="48"/>
      <c r="F533" s="48"/>
      <c r="G533" s="24"/>
      <c r="H533" s="49"/>
      <c r="I533" s="27"/>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row>
    <row r="534" spans="2:42" x14ac:dyDescent="0.25">
      <c r="B534" s="8"/>
      <c r="C534" s="23"/>
      <c r="D534" s="47"/>
      <c r="E534" s="48"/>
      <c r="F534" s="48"/>
      <c r="G534" s="24"/>
      <c r="H534" s="49"/>
      <c r="I534" s="27"/>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row>
    <row r="535" spans="2:42" x14ac:dyDescent="0.25">
      <c r="B535" s="8"/>
      <c r="C535" s="23"/>
      <c r="D535" s="47"/>
      <c r="E535" s="48"/>
      <c r="F535" s="48"/>
      <c r="G535" s="24"/>
      <c r="H535" s="49"/>
      <c r="I535" s="27"/>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row>
    <row r="536" spans="2:42" ht="18.75" x14ac:dyDescent="0.3">
      <c r="B536" s="28"/>
      <c r="C536" s="50"/>
      <c r="D536" s="51"/>
      <c r="E536" s="52"/>
      <c r="F536" s="52"/>
      <c r="G536" s="52"/>
      <c r="H536" s="53"/>
      <c r="I536" s="29"/>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row>
    <row r="537" spans="2:42" x14ac:dyDescent="0.25">
      <c r="B537" s="8"/>
      <c r="C537" s="9"/>
      <c r="D537" s="54"/>
      <c r="E537" s="55"/>
      <c r="F537" s="44"/>
      <c r="G537" s="9"/>
      <c r="H537" s="44"/>
      <c r="I537" s="27"/>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row>
    <row r="538" spans="2:42" x14ac:dyDescent="0.25">
      <c r="B538" s="8"/>
      <c r="C538" s="21"/>
      <c r="D538" s="22"/>
      <c r="E538" s="48"/>
      <c r="F538" s="45"/>
      <c r="G538" s="22"/>
      <c r="H538" s="46"/>
      <c r="I538" s="27"/>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row>
    <row r="539" spans="2:42" x14ac:dyDescent="0.25">
      <c r="B539" s="8"/>
      <c r="C539" s="23"/>
      <c r="D539" s="47"/>
      <c r="E539" s="48"/>
      <c r="F539" s="48"/>
      <c r="G539" s="24"/>
      <c r="H539" s="25"/>
      <c r="I539" s="27"/>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row>
    <row r="540" spans="2:42" x14ac:dyDescent="0.25">
      <c r="B540" s="8"/>
      <c r="C540" s="23"/>
      <c r="D540" s="47"/>
      <c r="E540" s="48"/>
      <c r="F540" s="48"/>
      <c r="G540" s="24"/>
      <c r="H540" s="49"/>
      <c r="I540" s="27"/>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row>
    <row r="541" spans="2:42" x14ac:dyDescent="0.25">
      <c r="B541" s="8"/>
      <c r="C541" s="23"/>
      <c r="D541" s="47"/>
      <c r="E541" s="48"/>
      <c r="F541" s="48"/>
      <c r="G541" s="24"/>
      <c r="H541" s="49"/>
      <c r="I541" s="27"/>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row>
    <row r="542" spans="2:42" x14ac:dyDescent="0.25">
      <c r="B542" s="8"/>
      <c r="C542" s="23"/>
      <c r="D542" s="47"/>
      <c r="E542" s="48"/>
      <c r="F542" s="48"/>
      <c r="G542" s="24"/>
      <c r="H542" s="49"/>
      <c r="I542" s="27"/>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row>
    <row r="543" spans="2:42" x14ac:dyDescent="0.25">
      <c r="B543" s="8"/>
      <c r="C543" s="50"/>
      <c r="D543" s="51"/>
      <c r="E543" s="52"/>
      <c r="F543" s="52"/>
      <c r="G543" s="52"/>
      <c r="H543" s="53"/>
      <c r="I543" s="27"/>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row>
    <row r="544" spans="2:42" ht="18.75" x14ac:dyDescent="0.3">
      <c r="B544" s="28"/>
      <c r="C544" s="9"/>
      <c r="D544" s="54"/>
      <c r="E544" s="55"/>
      <c r="F544" s="44"/>
      <c r="G544" s="9"/>
      <c r="H544" s="44"/>
      <c r="I544" s="29"/>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row>
    <row r="545" spans="2:42" x14ac:dyDescent="0.25">
      <c r="B545" s="8"/>
      <c r="C545" s="21"/>
      <c r="D545" s="22"/>
      <c r="E545" s="48"/>
      <c r="F545" s="45"/>
      <c r="G545" s="22"/>
      <c r="H545" s="46"/>
      <c r="I545" s="27"/>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row>
    <row r="546" spans="2:42" x14ac:dyDescent="0.25">
      <c r="B546" s="8"/>
      <c r="C546" s="23"/>
      <c r="D546" s="47"/>
      <c r="E546" s="48"/>
      <c r="F546" s="48"/>
      <c r="G546" s="24"/>
      <c r="H546" s="25"/>
      <c r="I546" s="27"/>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row>
    <row r="547" spans="2:42" x14ac:dyDescent="0.25">
      <c r="B547" s="8"/>
      <c r="C547" s="23"/>
      <c r="D547" s="47"/>
      <c r="E547" s="48"/>
      <c r="F547" s="48"/>
      <c r="G547" s="24"/>
      <c r="H547" s="49"/>
      <c r="I547" s="27"/>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row>
    <row r="548" spans="2:42" x14ac:dyDescent="0.25">
      <c r="B548" s="8"/>
      <c r="C548" s="23"/>
      <c r="D548" s="47"/>
      <c r="E548" s="48"/>
      <c r="F548" s="48"/>
      <c r="G548" s="24"/>
      <c r="H548" s="49"/>
      <c r="I548" s="27"/>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row>
    <row r="549" spans="2:42" x14ac:dyDescent="0.25">
      <c r="B549" s="8"/>
      <c r="C549" s="23"/>
      <c r="D549" s="47"/>
      <c r="E549" s="48"/>
      <c r="F549" s="48"/>
      <c r="G549" s="24"/>
      <c r="H549" s="49"/>
      <c r="I549" s="27"/>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row>
    <row r="550" spans="2:42" x14ac:dyDescent="0.25">
      <c r="B550" s="8"/>
      <c r="C550" s="50"/>
      <c r="D550" s="51"/>
      <c r="E550" s="52"/>
      <c r="F550" s="52"/>
      <c r="G550" s="52"/>
      <c r="H550" s="53"/>
      <c r="I550" s="27"/>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row>
    <row r="551" spans="2:42" x14ac:dyDescent="0.25">
      <c r="B551" s="8"/>
      <c r="C551" s="9"/>
      <c r="D551" s="54"/>
      <c r="E551" s="55"/>
      <c r="F551" s="44"/>
      <c r="G551" s="9"/>
      <c r="H551" s="44"/>
      <c r="I551" s="27"/>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row>
    <row r="552" spans="2:42" ht="18.75" x14ac:dyDescent="0.3">
      <c r="B552" s="28"/>
      <c r="C552" s="21"/>
      <c r="D552" s="22"/>
      <c r="E552" s="48"/>
      <c r="F552" s="45"/>
      <c r="G552" s="22"/>
      <c r="H552" s="46"/>
      <c r="I552" s="29"/>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row>
    <row r="553" spans="2:42" x14ac:dyDescent="0.25">
      <c r="B553" s="8"/>
      <c r="C553" s="23"/>
      <c r="D553" s="47"/>
      <c r="E553" s="48"/>
      <c r="F553" s="48"/>
      <c r="G553" s="24"/>
      <c r="H553" s="25"/>
      <c r="I553" s="27"/>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row>
    <row r="554" spans="2:42" x14ac:dyDescent="0.25">
      <c r="B554" s="8"/>
      <c r="C554" s="23"/>
      <c r="D554" s="47"/>
      <c r="E554" s="48"/>
      <c r="F554" s="48"/>
      <c r="G554" s="24"/>
      <c r="H554" s="49"/>
      <c r="I554" s="27"/>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row>
    <row r="555" spans="2:42" x14ac:dyDescent="0.25">
      <c r="B555" s="8"/>
      <c r="C555" s="23"/>
      <c r="D555" s="47"/>
      <c r="E555" s="48"/>
      <c r="F555" s="48"/>
      <c r="G555" s="24"/>
      <c r="H555" s="49"/>
      <c r="I555" s="27"/>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row>
    <row r="556" spans="2:42" x14ac:dyDescent="0.25">
      <c r="B556" s="8"/>
      <c r="C556" s="23"/>
      <c r="D556" s="47"/>
      <c r="E556" s="48"/>
      <c r="F556" s="48"/>
      <c r="G556" s="24"/>
      <c r="H556" s="49"/>
      <c r="I556" s="27"/>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row>
    <row r="557" spans="2:42" x14ac:dyDescent="0.25">
      <c r="B557" s="8"/>
      <c r="C557" s="50"/>
      <c r="D557" s="51"/>
      <c r="E557" s="52"/>
      <c r="F557" s="52"/>
      <c r="G557" s="52"/>
      <c r="H557" s="53"/>
      <c r="I557" s="27"/>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row>
    <row r="558" spans="2:42" x14ac:dyDescent="0.25">
      <c r="B558" s="8"/>
      <c r="C558" s="9"/>
      <c r="D558" s="54"/>
      <c r="E558" s="55"/>
      <c r="F558" s="44"/>
      <c r="G558" s="9"/>
      <c r="H558" s="44"/>
      <c r="I558" s="27"/>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row>
    <row r="559" spans="2:42" x14ac:dyDescent="0.25">
      <c r="B559" s="8"/>
      <c r="C559" s="21"/>
      <c r="D559" s="22"/>
      <c r="E559" s="48"/>
      <c r="F559" s="45"/>
      <c r="G559" s="22"/>
      <c r="H559" s="46"/>
      <c r="I559" s="27"/>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row>
    <row r="560" spans="2:42" ht="18.75" x14ac:dyDescent="0.3">
      <c r="B560" s="28"/>
      <c r="C560" s="23"/>
      <c r="D560" s="47"/>
      <c r="E560" s="48"/>
      <c r="F560" s="48"/>
      <c r="G560" s="24"/>
      <c r="H560" s="25"/>
      <c r="I560" s="29"/>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row>
    <row r="561" spans="2:42" x14ac:dyDescent="0.25">
      <c r="B561" s="8"/>
      <c r="C561" s="23"/>
      <c r="D561" s="47"/>
      <c r="E561" s="48"/>
      <c r="F561" s="48"/>
      <c r="G561" s="24"/>
      <c r="H561" s="49"/>
      <c r="I561" s="27"/>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row>
    <row r="562" spans="2:42" x14ac:dyDescent="0.25">
      <c r="B562" s="8"/>
      <c r="C562" s="23"/>
      <c r="D562" s="47"/>
      <c r="E562" s="48"/>
      <c r="F562" s="48"/>
      <c r="G562" s="24"/>
      <c r="H562" s="49"/>
      <c r="I562" s="27"/>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row>
    <row r="563" spans="2:42" x14ac:dyDescent="0.25">
      <c r="B563" s="8"/>
      <c r="C563" s="23"/>
      <c r="D563" s="47"/>
      <c r="E563" s="48"/>
      <c r="F563" s="48"/>
      <c r="G563" s="24"/>
      <c r="H563" s="49"/>
      <c r="I563" s="27"/>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row>
    <row r="564" spans="2:42" x14ac:dyDescent="0.25">
      <c r="B564" s="8"/>
      <c r="C564" s="50"/>
      <c r="D564" s="51"/>
      <c r="E564" s="52"/>
      <c r="F564" s="52"/>
      <c r="G564" s="52"/>
      <c r="H564" s="53"/>
      <c r="I564" s="27"/>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row>
    <row r="565" spans="2:42" x14ac:dyDescent="0.25">
      <c r="B565" s="8"/>
      <c r="C565" s="9"/>
      <c r="D565" s="54"/>
      <c r="E565" s="55"/>
      <c r="F565" s="44"/>
      <c r="G565" s="9"/>
      <c r="H565" s="44"/>
      <c r="I565" s="27"/>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row>
    <row r="566" spans="2:42" x14ac:dyDescent="0.25">
      <c r="B566" s="8"/>
      <c r="C566" s="21"/>
      <c r="D566" s="22"/>
      <c r="E566" s="48"/>
      <c r="F566" s="45"/>
      <c r="G566" s="22"/>
      <c r="H566" s="46"/>
      <c r="I566" s="27"/>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row>
    <row r="567" spans="2:42" x14ac:dyDescent="0.25">
      <c r="B567" s="8"/>
      <c r="C567" s="23"/>
      <c r="D567" s="47"/>
      <c r="E567" s="48"/>
      <c r="F567" s="48"/>
      <c r="G567" s="24"/>
      <c r="H567" s="25"/>
      <c r="I567" s="27"/>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row>
    <row r="568" spans="2:42" ht="18.75" x14ac:dyDescent="0.3">
      <c r="B568" s="28"/>
      <c r="C568" s="23"/>
      <c r="D568" s="47"/>
      <c r="E568" s="48"/>
      <c r="F568" s="48"/>
      <c r="G568" s="24"/>
      <c r="H568" s="49"/>
      <c r="I568" s="29"/>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row>
    <row r="569" spans="2:42" x14ac:dyDescent="0.25">
      <c r="B569" s="8"/>
      <c r="C569" s="23"/>
      <c r="D569" s="47"/>
      <c r="E569" s="48"/>
      <c r="F569" s="48"/>
      <c r="G569" s="24"/>
      <c r="H569" s="49"/>
      <c r="I569" s="27"/>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row>
    <row r="570" spans="2:42" x14ac:dyDescent="0.25">
      <c r="B570" s="8"/>
      <c r="C570" s="23"/>
      <c r="D570" s="47"/>
      <c r="E570" s="48"/>
      <c r="F570" s="48"/>
      <c r="G570" s="24"/>
      <c r="H570" s="49"/>
      <c r="I570" s="27"/>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row>
    <row r="571" spans="2:42" x14ac:dyDescent="0.25">
      <c r="B571" s="8"/>
      <c r="C571" s="50"/>
      <c r="D571" s="51"/>
      <c r="E571" s="52"/>
      <c r="F571" s="52"/>
      <c r="G571" s="52"/>
      <c r="H571" s="53"/>
      <c r="I571" s="27"/>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row>
    <row r="572" spans="2:42" x14ac:dyDescent="0.25">
      <c r="B572" s="8"/>
      <c r="C572" s="9"/>
      <c r="D572" s="54"/>
      <c r="E572" s="55"/>
      <c r="F572" s="44"/>
      <c r="G572" s="9"/>
      <c r="H572" s="44"/>
      <c r="I572" s="27"/>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row>
    <row r="573" spans="2:42" x14ac:dyDescent="0.25">
      <c r="B573" s="8"/>
      <c r="C573" s="21"/>
      <c r="D573" s="22"/>
      <c r="E573" s="48"/>
      <c r="F573" s="45"/>
      <c r="G573" s="22"/>
      <c r="H573" s="46"/>
      <c r="I573" s="27"/>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row>
    <row r="574" spans="2:42" x14ac:dyDescent="0.25">
      <c r="B574" s="8"/>
      <c r="C574" s="23"/>
      <c r="D574" s="47"/>
      <c r="E574" s="48"/>
      <c r="F574" s="48"/>
      <c r="G574" s="24"/>
      <c r="H574" s="25"/>
      <c r="I574" s="27"/>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row>
    <row r="575" spans="2:42" x14ac:dyDescent="0.25">
      <c r="B575" s="8"/>
      <c r="C575" s="23"/>
      <c r="D575" s="47"/>
      <c r="E575" s="48"/>
      <c r="F575" s="48"/>
      <c r="G575" s="24"/>
      <c r="H575" s="49"/>
      <c r="I575" s="27"/>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row>
    <row r="576" spans="2:42" ht="18.75" x14ac:dyDescent="0.3">
      <c r="B576" s="28"/>
      <c r="C576" s="23"/>
      <c r="D576" s="47"/>
      <c r="E576" s="48"/>
      <c r="F576" s="48"/>
      <c r="G576" s="24"/>
      <c r="H576" s="49"/>
      <c r="I576" s="29"/>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row>
    <row r="577" spans="2:42" x14ac:dyDescent="0.25">
      <c r="B577" s="8"/>
      <c r="C577" s="23"/>
      <c r="D577" s="47"/>
      <c r="E577" s="48"/>
      <c r="F577" s="48"/>
      <c r="G577" s="24"/>
      <c r="H577" s="49"/>
      <c r="I577" s="27"/>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row>
    <row r="578" spans="2:42" x14ac:dyDescent="0.25">
      <c r="B578" s="8"/>
      <c r="C578" s="50"/>
      <c r="D578" s="51"/>
      <c r="E578" s="52"/>
      <c r="F578" s="52"/>
      <c r="G578" s="52"/>
      <c r="H578" s="53"/>
      <c r="I578" s="27"/>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row>
    <row r="579" spans="2:42" x14ac:dyDescent="0.25">
      <c r="B579" s="8"/>
      <c r="C579" s="9"/>
      <c r="D579" s="54"/>
      <c r="E579" s="55"/>
      <c r="F579" s="44"/>
      <c r="G579" s="9"/>
      <c r="H579" s="44"/>
      <c r="I579" s="27"/>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row>
    <row r="580" spans="2:42" x14ac:dyDescent="0.25">
      <c r="B580" s="8"/>
      <c r="C580" s="21"/>
      <c r="D580" s="22"/>
      <c r="E580" s="48"/>
      <c r="F580" s="45"/>
      <c r="G580" s="22"/>
      <c r="H580" s="46"/>
      <c r="I580" s="27"/>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row>
    <row r="581" spans="2:42" x14ac:dyDescent="0.25">
      <c r="B581" s="8"/>
      <c r="C581" s="23"/>
      <c r="D581" s="47"/>
      <c r="E581" s="48"/>
      <c r="F581" s="48"/>
      <c r="G581" s="24"/>
      <c r="H581" s="25"/>
      <c r="I581" s="27"/>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row>
    <row r="582" spans="2:42" x14ac:dyDescent="0.25">
      <c r="B582" s="8"/>
      <c r="C582" s="23"/>
      <c r="D582" s="47"/>
      <c r="E582" s="48"/>
      <c r="F582" s="48"/>
      <c r="G582" s="24"/>
      <c r="H582" s="49"/>
      <c r="I582" s="27"/>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row>
    <row r="583" spans="2:42" x14ac:dyDescent="0.25">
      <c r="B583" s="8"/>
      <c r="C583" s="23"/>
      <c r="D583" s="47"/>
      <c r="E583" s="48"/>
      <c r="F583" s="48"/>
      <c r="G583" s="24"/>
      <c r="H583" s="49"/>
      <c r="I583" s="27"/>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row>
    <row r="584" spans="2:42" ht="18.75" x14ac:dyDescent="0.3">
      <c r="B584" s="28"/>
      <c r="C584" s="23"/>
      <c r="D584" s="47"/>
      <c r="E584" s="48"/>
      <c r="F584" s="48"/>
      <c r="G584" s="24"/>
      <c r="H584" s="49"/>
      <c r="I584" s="29"/>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row>
    <row r="585" spans="2:42" x14ac:dyDescent="0.25">
      <c r="B585" s="8"/>
      <c r="C585" s="50"/>
      <c r="D585" s="51"/>
      <c r="E585" s="52"/>
      <c r="F585" s="52"/>
      <c r="G585" s="52"/>
      <c r="H585" s="53"/>
      <c r="I585" s="27"/>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row>
    <row r="586" spans="2:42" x14ac:dyDescent="0.25">
      <c r="B586" s="8"/>
      <c r="C586" s="9"/>
      <c r="D586" s="54"/>
      <c r="E586" s="55"/>
      <c r="F586" s="44"/>
      <c r="G586" s="9"/>
      <c r="H586" s="44"/>
      <c r="I586" s="27"/>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row>
    <row r="587" spans="2:42" x14ac:dyDescent="0.25">
      <c r="B587" s="8"/>
      <c r="C587" s="21"/>
      <c r="D587" s="22"/>
      <c r="E587" s="48"/>
      <c r="F587" s="45"/>
      <c r="G587" s="22"/>
      <c r="H587" s="46"/>
      <c r="I587" s="27"/>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row>
    <row r="588" spans="2:42" x14ac:dyDescent="0.25">
      <c r="B588" s="8"/>
      <c r="C588" s="23"/>
      <c r="D588" s="47"/>
      <c r="E588" s="48"/>
      <c r="F588" s="48"/>
      <c r="G588" s="24"/>
      <c r="H588" s="25"/>
      <c r="I588" s="27"/>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row>
    <row r="589" spans="2:42" x14ac:dyDescent="0.25">
      <c r="B589" s="8"/>
      <c r="C589" s="23"/>
      <c r="D589" s="47"/>
      <c r="E589" s="48"/>
      <c r="F589" s="48"/>
      <c r="G589" s="24"/>
      <c r="H589" s="49"/>
      <c r="I589" s="27"/>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row>
    <row r="590" spans="2:42" x14ac:dyDescent="0.25">
      <c r="B590" s="8"/>
      <c r="C590" s="23"/>
      <c r="D590" s="47"/>
      <c r="E590" s="48"/>
      <c r="F590" s="48"/>
      <c r="G590" s="24"/>
      <c r="H590" s="49"/>
      <c r="I590" s="27"/>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row>
    <row r="591" spans="2:42" x14ac:dyDescent="0.25">
      <c r="B591" s="8"/>
      <c r="C591" s="23"/>
      <c r="D591" s="47"/>
      <c r="E591" s="48"/>
      <c r="F591" s="48"/>
      <c r="G591" s="24"/>
      <c r="H591" s="49"/>
      <c r="I591" s="27"/>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row>
    <row r="592" spans="2:42" ht="18.75" x14ac:dyDescent="0.3">
      <c r="B592" s="28"/>
      <c r="C592" s="50"/>
      <c r="D592" s="51"/>
      <c r="E592" s="52"/>
      <c r="F592" s="52"/>
      <c r="G592" s="52"/>
      <c r="H592" s="53"/>
      <c r="I592" s="29"/>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row>
    <row r="593" spans="2:33" x14ac:dyDescent="0.25">
      <c r="B593" s="8"/>
      <c r="C593" s="9"/>
      <c r="D593" s="54"/>
      <c r="E593" s="55"/>
      <c r="F593" s="44"/>
      <c r="G593" s="9"/>
      <c r="H593" s="44"/>
      <c r="I593" s="27"/>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row>
    <row r="594" spans="2:33" x14ac:dyDescent="0.25">
      <c r="B594" s="8"/>
      <c r="C594" s="21"/>
      <c r="D594" s="22"/>
      <c r="E594" s="48"/>
      <c r="F594" s="45"/>
      <c r="G594" s="22"/>
      <c r="H594" s="46"/>
      <c r="I594" s="27"/>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row>
    <row r="595" spans="2:33" x14ac:dyDescent="0.25">
      <c r="B595" s="8"/>
      <c r="C595" s="23"/>
      <c r="D595" s="47"/>
      <c r="E595" s="48"/>
      <c r="F595" s="48"/>
      <c r="G595" s="24"/>
      <c r="H595" s="25"/>
      <c r="I595" s="27"/>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row>
  </sheetData>
  <conditionalFormatting sqref="E139:E144">
    <cfRule type="cellIs" dxfId="33" priority="2" operator="equal">
      <formula>#REF!</formula>
    </cfRule>
  </conditionalFormatting>
  <conditionalFormatting sqref="E196:E270">
    <cfRule type="cellIs" dxfId="32" priority="16" operator="equal">
      <formula>#REF!</formula>
    </cfRule>
  </conditionalFormatting>
  <conditionalFormatting sqref="E145:E194 E275:E595">
    <cfRule type="cellIs" dxfId="31" priority="14" operator="equal">
      <formula>#REF!</formula>
    </cfRule>
  </conditionalFormatting>
  <conditionalFormatting sqref="E138">
    <cfRule type="cellIs" dxfId="30" priority="3" operator="equal">
      <formula>#REF!</formula>
    </cfRule>
  </conditionalFormatting>
  <conditionalFormatting sqref="E82">
    <cfRule type="cellIs" dxfId="29" priority="13" operator="equal">
      <formula>#REF!</formula>
    </cfRule>
  </conditionalFormatting>
  <conditionalFormatting sqref="E83:E88">
    <cfRule type="cellIs" dxfId="28" priority="12" operator="equal">
      <formula>#REF!</formula>
    </cfRule>
  </conditionalFormatting>
  <conditionalFormatting sqref="E89:E95">
    <cfRule type="cellIs" dxfId="27" priority="11" operator="equal">
      <formula>#REF!</formula>
    </cfRule>
  </conditionalFormatting>
  <conditionalFormatting sqref="E96">
    <cfRule type="cellIs" dxfId="26" priority="10" operator="equal">
      <formula>#REF!</formula>
    </cfRule>
  </conditionalFormatting>
  <conditionalFormatting sqref="E97:E102">
    <cfRule type="cellIs" dxfId="25" priority="9" operator="equal">
      <formula>#REF!</formula>
    </cfRule>
  </conditionalFormatting>
  <conditionalFormatting sqref="E103:E109">
    <cfRule type="cellIs" dxfId="24" priority="8" operator="equal">
      <formula>#REF!</formula>
    </cfRule>
  </conditionalFormatting>
  <conditionalFormatting sqref="E110">
    <cfRule type="cellIs" dxfId="23" priority="7" operator="equal">
      <formula>#REF!</formula>
    </cfRule>
  </conditionalFormatting>
  <conditionalFormatting sqref="E124">
    <cfRule type="cellIs" dxfId="22" priority="6" operator="equal">
      <formula>#REF!</formula>
    </cfRule>
  </conditionalFormatting>
  <conditionalFormatting sqref="E125:E130">
    <cfRule type="cellIs" dxfId="21" priority="5" operator="equal">
      <formula>#REF!</formula>
    </cfRule>
  </conditionalFormatting>
  <conditionalFormatting sqref="E131:E137">
    <cfRule type="cellIs" dxfId="20" priority="4" operator="equal">
      <formula>#REF!</formula>
    </cfRule>
  </conditionalFormatting>
  <conditionalFormatting sqref="G5 F6">
    <cfRule type="cellIs" dxfId="19" priority="1" operator="equal">
      <formula>#REF!</formula>
    </cfRule>
  </conditionalFormatting>
  <pageMargins left="0.7" right="0.7" top="0.75" bottom="0.75" header="0.3" footer="0.3"/>
  <pageSetup paperSize="9" orientation="portrait" horizontalDpi="1200" verticalDpi="1200" r:id="rId1"/>
  <drawing r:id="rId2"/>
  <legacy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3" filterMode="1"/>
  <dimension ref="B1:BB257"/>
  <sheetViews>
    <sheetView zoomScaleNormal="100" workbookViewId="0">
      <pane ySplit="7" topLeftCell="A8" activePane="bottomLeft" state="frozen"/>
      <selection activeCell="L18" sqref="L18"/>
      <selection pane="bottomLeft" activeCell="A2" sqref="A2"/>
    </sheetView>
  </sheetViews>
  <sheetFormatPr defaultColWidth="9.140625" defaultRowHeight="15" x14ac:dyDescent="0.25"/>
  <cols>
    <col min="1" max="2" width="9.140625" style="193"/>
    <col min="3" max="3" width="13.140625" style="193" bestFit="1" customWidth="1"/>
    <col min="4" max="4" width="21.28515625" style="193" customWidth="1"/>
    <col min="5" max="5" width="25.140625" style="193" bestFit="1" customWidth="1"/>
    <col min="6" max="6" width="20.28515625" style="193" bestFit="1" customWidth="1"/>
    <col min="7" max="7" width="10" style="193" bestFit="1" customWidth="1"/>
    <col min="8" max="8" width="9.85546875" style="193" bestFit="1" customWidth="1"/>
    <col min="9" max="9" width="20.7109375" style="193" customWidth="1"/>
    <col min="10" max="10" width="20.5703125" style="193" bestFit="1" customWidth="1"/>
    <col min="11" max="11" width="15.28515625" style="193" bestFit="1" customWidth="1"/>
    <col min="12" max="12" width="13.7109375" style="193" bestFit="1" customWidth="1"/>
    <col min="13" max="13" width="18.28515625" style="193" bestFit="1" customWidth="1"/>
    <col min="14" max="14" width="21.85546875" style="193" bestFit="1" customWidth="1"/>
    <col min="15" max="15" width="22.85546875" style="193" bestFit="1" customWidth="1"/>
    <col min="16" max="16" width="28.28515625" style="193" bestFit="1" customWidth="1"/>
    <col min="17" max="17" width="23" style="193" bestFit="1" customWidth="1"/>
    <col min="18" max="18" width="9.140625" style="193"/>
    <col min="19" max="19" width="10.5703125" style="193" bestFit="1" customWidth="1"/>
    <col min="20" max="20" width="9.5703125" style="193" bestFit="1" customWidth="1"/>
    <col min="21" max="21" width="12" style="193" bestFit="1" customWidth="1"/>
    <col min="22" max="22" width="10.140625" style="193" customWidth="1"/>
    <col min="23" max="16384" width="9.140625" style="193"/>
  </cols>
  <sheetData>
    <row r="1" spans="2:54" ht="45" customHeight="1" x14ac:dyDescent="0.4">
      <c r="B1" s="200" t="s">
        <v>594</v>
      </c>
      <c r="C1" s="200"/>
      <c r="G1" s="199"/>
      <c r="H1" s="199"/>
      <c r="I1" s="199"/>
      <c r="J1" s="199"/>
      <c r="K1" s="199"/>
    </row>
    <row r="2" spans="2:54" x14ac:dyDescent="0.25">
      <c r="B2" s="194"/>
      <c r="C2" s="194"/>
      <c r="D2" s="194"/>
      <c r="E2" s="194"/>
      <c r="F2" s="194"/>
      <c r="G2" s="194"/>
      <c r="H2" s="194"/>
      <c r="I2" s="194"/>
      <c r="J2" s="194"/>
      <c r="K2" s="194"/>
      <c r="L2" s="194"/>
      <c r="M2" s="194"/>
      <c r="N2" s="194"/>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4"/>
      <c r="AR2" s="194"/>
      <c r="AS2" s="194"/>
      <c r="AT2" s="194"/>
      <c r="AU2" s="194"/>
      <c r="AV2" s="194"/>
      <c r="AW2" s="194"/>
      <c r="AX2" s="194"/>
      <c r="AY2" s="194"/>
      <c r="AZ2" s="194"/>
      <c r="BA2" s="194"/>
      <c r="BB2" s="194"/>
    </row>
    <row r="3" spans="2:54" x14ac:dyDescent="0.25">
      <c r="B3" s="194"/>
      <c r="C3" s="194" t="e">
        <f>Parameters!#REF!</f>
        <v>#REF!</v>
      </c>
      <c r="D3" s="194" t="e">
        <f>Parameters!#REF!</f>
        <v>#REF!</v>
      </c>
      <c r="E3" s="273" t="e">
        <f>Parameters!#REF!</f>
        <v>#REF!</v>
      </c>
      <c r="F3" s="194"/>
      <c r="G3" s="194"/>
      <c r="H3" s="194"/>
      <c r="I3" s="194"/>
      <c r="J3" s="194"/>
      <c r="K3" s="194"/>
      <c r="L3" s="194"/>
      <c r="M3" s="194"/>
      <c r="N3" s="194"/>
      <c r="O3" s="194"/>
      <c r="P3" s="194"/>
      <c r="Q3" s="194"/>
      <c r="R3" s="194"/>
      <c r="S3" s="194"/>
      <c r="T3" s="194"/>
      <c r="U3" s="194"/>
      <c r="V3" s="194"/>
      <c r="W3" s="194"/>
      <c r="X3" s="194"/>
      <c r="Y3" s="194"/>
      <c r="Z3" s="194"/>
      <c r="AA3" s="194"/>
      <c r="AB3" s="194"/>
      <c r="AC3" s="194"/>
      <c r="AD3" s="194"/>
      <c r="AE3" s="194"/>
      <c r="AF3" s="194"/>
      <c r="AG3" s="194"/>
      <c r="AH3" s="194"/>
      <c r="AI3" s="194"/>
      <c r="AJ3" s="194"/>
      <c r="AK3" s="194"/>
      <c r="AL3" s="194"/>
      <c r="AM3" s="194"/>
      <c r="AN3" s="194"/>
      <c r="AO3" s="194"/>
      <c r="AP3" s="194"/>
      <c r="AQ3" s="194"/>
      <c r="AR3" s="194"/>
      <c r="AS3" s="194"/>
      <c r="AT3" s="194"/>
      <c r="AU3" s="194"/>
      <c r="AV3" s="194"/>
      <c r="AW3" s="194"/>
      <c r="AX3" s="194"/>
      <c r="AY3" s="194"/>
      <c r="AZ3" s="194"/>
      <c r="BA3" s="194"/>
      <c r="BB3" s="194"/>
    </row>
    <row r="4" spans="2:54" x14ac:dyDescent="0.25">
      <c r="B4" s="194"/>
      <c r="C4" s="194" t="e">
        <f>Parameters!#REF!</f>
        <v>#REF!</v>
      </c>
      <c r="D4" s="194" t="e">
        <f>Parameters!#REF!</f>
        <v>#REF!</v>
      </c>
      <c r="E4" s="273" t="e">
        <f>Parameters!#REF!</f>
        <v>#REF!</v>
      </c>
      <c r="F4" s="194"/>
      <c r="G4" s="194"/>
      <c r="H4" s="194"/>
      <c r="I4" s="194"/>
      <c r="J4" s="194"/>
      <c r="K4" s="194"/>
      <c r="L4" s="194"/>
      <c r="M4" s="194"/>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row>
    <row r="5" spans="2:54" x14ac:dyDescent="0.25">
      <c r="B5" s="194"/>
      <c r="C5" s="194"/>
      <c r="D5" s="194"/>
      <c r="E5" s="273"/>
      <c r="F5" s="194"/>
      <c r="G5" s="194"/>
      <c r="H5" s="194"/>
      <c r="I5" s="194"/>
      <c r="J5" s="194"/>
      <c r="K5" s="194"/>
      <c r="L5" s="194"/>
      <c r="M5" s="194"/>
      <c r="N5" s="194"/>
      <c r="O5" s="194"/>
      <c r="P5" s="194"/>
      <c r="Q5" s="194"/>
      <c r="R5" s="194"/>
      <c r="S5" s="194"/>
      <c r="T5" s="194"/>
      <c r="U5" s="194"/>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4"/>
      <c r="BB5" s="194"/>
    </row>
    <row r="6" spans="2:54" x14ac:dyDescent="0.25">
      <c r="B6" s="194"/>
      <c r="C6" s="194"/>
      <c r="D6" s="194"/>
      <c r="E6" s="273"/>
      <c r="F6" s="194"/>
      <c r="G6" s="194"/>
      <c r="H6" s="194"/>
      <c r="I6" s="194"/>
      <c r="J6" s="194"/>
      <c r="K6" s="194"/>
      <c r="L6" s="194"/>
      <c r="M6" s="194"/>
      <c r="N6" s="194"/>
      <c r="O6" s="194"/>
      <c r="P6" s="194"/>
      <c r="Q6" s="194"/>
      <c r="R6" s="194"/>
      <c r="S6" s="194"/>
      <c r="T6" s="194"/>
      <c r="U6" s="194"/>
      <c r="V6" s="194"/>
      <c r="W6" s="194"/>
      <c r="X6" s="194"/>
      <c r="Y6" s="194"/>
      <c r="Z6" s="194"/>
      <c r="AA6" s="194"/>
      <c r="AB6" s="194"/>
      <c r="AC6" s="194"/>
      <c r="AD6" s="194"/>
      <c r="AE6" s="194"/>
      <c r="AF6" s="194"/>
      <c r="AG6" s="194"/>
      <c r="AH6" s="194"/>
      <c r="AI6" s="194"/>
      <c r="AJ6" s="194"/>
      <c r="AK6" s="194"/>
      <c r="AL6" s="194"/>
      <c r="AM6" s="194"/>
      <c r="AN6" s="194"/>
      <c r="AO6" s="194"/>
      <c r="AP6" s="194"/>
      <c r="AQ6" s="194"/>
      <c r="AR6" s="194"/>
      <c r="AS6" s="194"/>
      <c r="AT6" s="194"/>
      <c r="AU6" s="194"/>
      <c r="AV6" s="194"/>
      <c r="AW6" s="194"/>
      <c r="AX6" s="194"/>
      <c r="AY6" s="194"/>
      <c r="AZ6" s="194"/>
      <c r="BA6" s="194"/>
      <c r="BB6" s="194"/>
    </row>
    <row r="7" spans="2:54" x14ac:dyDescent="0.25">
      <c r="B7" s="194"/>
      <c r="C7" s="194" t="s">
        <v>138</v>
      </c>
      <c r="D7" s="194" t="s">
        <v>136</v>
      </c>
      <c r="E7" s="194" t="s">
        <v>137</v>
      </c>
      <c r="F7" s="194" t="s">
        <v>139</v>
      </c>
      <c r="G7" s="194" t="s">
        <v>140</v>
      </c>
      <c r="H7" s="194" t="s">
        <v>141</v>
      </c>
      <c r="I7" s="194" t="s">
        <v>536</v>
      </c>
      <c r="J7" s="194" t="s">
        <v>142</v>
      </c>
      <c r="K7" s="194" t="s">
        <v>143</v>
      </c>
      <c r="L7" s="194" t="s">
        <v>144</v>
      </c>
      <c r="M7" s="194" t="s">
        <v>145</v>
      </c>
      <c r="N7" s="194" t="s">
        <v>146</v>
      </c>
      <c r="O7" s="194" t="s">
        <v>147</v>
      </c>
      <c r="P7" s="194" t="s">
        <v>596</v>
      </c>
      <c r="Q7" s="194" t="s">
        <v>595</v>
      </c>
      <c r="R7" s="194" t="s">
        <v>148</v>
      </c>
      <c r="S7" s="194" t="s">
        <v>1508</v>
      </c>
      <c r="T7" s="194"/>
      <c r="U7" s="194"/>
      <c r="V7" s="194"/>
      <c r="W7" s="194"/>
      <c r="X7" s="194"/>
      <c r="Y7" s="194"/>
      <c r="Z7" s="194"/>
      <c r="AA7" s="194"/>
      <c r="AB7" s="194"/>
      <c r="AC7" s="194"/>
      <c r="AD7" s="194"/>
      <c r="AE7" s="194"/>
      <c r="AF7" s="194"/>
      <c r="AG7" s="194"/>
      <c r="AH7" s="194"/>
      <c r="AI7" s="194"/>
      <c r="AJ7" s="194"/>
      <c r="AK7" s="194"/>
      <c r="AL7" s="194"/>
      <c r="AM7" s="194"/>
      <c r="AN7" s="194"/>
      <c r="AO7" s="194"/>
      <c r="AP7" s="194"/>
      <c r="AQ7" s="194"/>
      <c r="AR7" s="194"/>
      <c r="AS7" s="194"/>
      <c r="AT7" s="194"/>
      <c r="AU7" s="194"/>
      <c r="AV7" s="194"/>
      <c r="AW7" s="194"/>
      <c r="AX7" s="194"/>
      <c r="AY7" s="194"/>
      <c r="AZ7" s="194"/>
      <c r="BA7" s="194"/>
      <c r="BB7" s="194"/>
    </row>
    <row r="8" spans="2:54" hidden="1" x14ac:dyDescent="0.25">
      <c r="B8" s="194"/>
      <c r="C8" s="194" t="s">
        <v>499</v>
      </c>
      <c r="D8" s="194" t="s">
        <v>498</v>
      </c>
      <c r="E8" s="194" t="s">
        <v>150</v>
      </c>
      <c r="F8" s="194" t="s">
        <v>500</v>
      </c>
      <c r="G8" s="194">
        <v>55.399633999999899</v>
      </c>
      <c r="H8" s="194">
        <v>3.8114499999999998</v>
      </c>
      <c r="I8" s="194">
        <v>29.5</v>
      </c>
      <c r="J8" s="194" t="s">
        <v>501</v>
      </c>
      <c r="K8" s="194">
        <v>2008</v>
      </c>
      <c r="L8" s="194" t="s">
        <v>152</v>
      </c>
      <c r="M8" s="194" t="s">
        <v>123</v>
      </c>
      <c r="N8" s="194" t="s">
        <v>153</v>
      </c>
      <c r="O8" s="194" t="s">
        <v>502</v>
      </c>
      <c r="P8" s="194">
        <v>1100</v>
      </c>
      <c r="Q8" s="194">
        <v>3270</v>
      </c>
      <c r="R8" s="194" t="s">
        <v>0</v>
      </c>
      <c r="S8" s="194"/>
      <c r="T8" s="194"/>
      <c r="U8" s="194"/>
      <c r="V8" s="194"/>
      <c r="W8" s="194"/>
      <c r="X8" s="194"/>
      <c r="Y8" s="194"/>
      <c r="Z8" s="194"/>
      <c r="AA8" s="194"/>
      <c r="AB8" s="194"/>
      <c r="AC8" s="194"/>
      <c r="AD8" s="194"/>
      <c r="AE8" s="194"/>
      <c r="AF8" s="194"/>
      <c r="AG8" s="194"/>
      <c r="AH8" s="194"/>
      <c r="AI8" s="194"/>
      <c r="AJ8" s="194"/>
      <c r="AK8" s="194"/>
      <c r="AL8" s="194"/>
      <c r="AM8" s="194"/>
      <c r="AN8" s="194"/>
      <c r="AO8" s="194"/>
      <c r="AP8" s="194"/>
      <c r="AQ8" s="194"/>
      <c r="AR8" s="194"/>
      <c r="AS8" s="194"/>
      <c r="AT8" s="194"/>
      <c r="AU8" s="194"/>
      <c r="AV8" s="194"/>
      <c r="AW8" s="194"/>
      <c r="AX8" s="194"/>
      <c r="AY8" s="194"/>
      <c r="AZ8" s="194"/>
      <c r="BA8" s="194"/>
      <c r="BB8" s="194"/>
    </row>
    <row r="9" spans="2:54" hidden="1" x14ac:dyDescent="0.25">
      <c r="B9" s="194"/>
      <c r="C9" s="194" t="s">
        <v>151</v>
      </c>
      <c r="D9" s="194" t="s">
        <v>149</v>
      </c>
      <c r="E9" s="194" t="s">
        <v>150</v>
      </c>
      <c r="F9" s="194" t="s">
        <v>151</v>
      </c>
      <c r="G9" s="194">
        <v>53.485323000000001</v>
      </c>
      <c r="H9" s="194">
        <v>5.8684349999999998</v>
      </c>
      <c r="I9" s="194">
        <v>7</v>
      </c>
      <c r="J9" s="194" t="s">
        <v>88</v>
      </c>
      <c r="K9" s="194">
        <v>1983</v>
      </c>
      <c r="L9" s="194" t="s">
        <v>152</v>
      </c>
      <c r="M9" s="194" t="s">
        <v>123</v>
      </c>
      <c r="N9" s="194" t="s">
        <v>153</v>
      </c>
      <c r="O9" s="194" t="s">
        <v>154</v>
      </c>
      <c r="P9" s="194">
        <v>270</v>
      </c>
      <c r="Q9" s="194">
        <v>450</v>
      </c>
      <c r="R9" s="194" t="s">
        <v>0</v>
      </c>
      <c r="S9" s="194"/>
      <c r="T9" s="194"/>
      <c r="U9" s="194"/>
      <c r="V9" s="194"/>
      <c r="W9" s="194"/>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4"/>
    </row>
    <row r="10" spans="2:54" hidden="1" x14ac:dyDescent="0.25">
      <c r="B10" s="194"/>
      <c r="C10" s="194" t="s">
        <v>156</v>
      </c>
      <c r="D10" s="194" t="s">
        <v>155</v>
      </c>
      <c r="E10" s="194" t="s">
        <v>150</v>
      </c>
      <c r="F10" s="194" t="s">
        <v>156</v>
      </c>
      <c r="G10" s="194">
        <v>53.493848</v>
      </c>
      <c r="H10" s="194">
        <v>5.941948</v>
      </c>
      <c r="I10" s="194">
        <v>7</v>
      </c>
      <c r="J10" s="194" t="s">
        <v>88</v>
      </c>
      <c r="K10" s="194">
        <v>1984</v>
      </c>
      <c r="L10" s="194" t="s">
        <v>152</v>
      </c>
      <c r="M10" s="194" t="s">
        <v>123</v>
      </c>
      <c r="N10" s="194" t="s">
        <v>153</v>
      </c>
      <c r="O10" s="194" t="s">
        <v>154</v>
      </c>
      <c r="P10" s="194">
        <v>100</v>
      </c>
      <c r="Q10" s="194">
        <v>400</v>
      </c>
      <c r="R10" s="194" t="s">
        <v>157</v>
      </c>
      <c r="S10" s="194"/>
      <c r="T10" s="194"/>
      <c r="U10" s="194"/>
      <c r="V10" s="194"/>
      <c r="W10" s="194"/>
      <c r="X10" s="194"/>
      <c r="Y10" s="194"/>
      <c r="Z10" s="194"/>
      <c r="AA10" s="194"/>
      <c r="AB10" s="194"/>
      <c r="AC10" s="194"/>
      <c r="AD10" s="194"/>
      <c r="AE10" s="194"/>
      <c r="AF10" s="194"/>
      <c r="AG10" s="194"/>
      <c r="AH10" s="194"/>
      <c r="AI10" s="194"/>
      <c r="AJ10" s="194"/>
      <c r="AK10" s="194"/>
      <c r="AL10" s="194"/>
      <c r="AM10" s="194"/>
      <c r="AN10" s="194"/>
      <c r="AO10" s="194"/>
      <c r="AP10" s="194"/>
      <c r="AQ10" s="194"/>
      <c r="AR10" s="194"/>
      <c r="AS10" s="194"/>
      <c r="AT10" s="194"/>
      <c r="AU10" s="194"/>
      <c r="AV10" s="194"/>
      <c r="AW10" s="194"/>
      <c r="AX10" s="194"/>
      <c r="AY10" s="194"/>
      <c r="AZ10" s="194"/>
      <c r="BA10" s="194"/>
      <c r="BB10" s="194"/>
    </row>
    <row r="11" spans="2:54" hidden="1" x14ac:dyDescent="0.25">
      <c r="B11" s="194"/>
      <c r="C11" s="194" t="s">
        <v>159</v>
      </c>
      <c r="D11" s="194" t="s">
        <v>158</v>
      </c>
      <c r="E11" s="194" t="s">
        <v>150</v>
      </c>
      <c r="F11" s="194" t="s">
        <v>160</v>
      </c>
      <c r="G11" s="194">
        <v>53.49</v>
      </c>
      <c r="H11" s="194">
        <v>5.94</v>
      </c>
      <c r="I11" s="194">
        <v>7</v>
      </c>
      <c r="J11" s="194" t="s">
        <v>88</v>
      </c>
      <c r="K11" s="194">
        <v>1994</v>
      </c>
      <c r="L11" s="194" t="s">
        <v>152</v>
      </c>
      <c r="M11" s="194" t="s">
        <v>123</v>
      </c>
      <c r="N11" s="194" t="s">
        <v>153</v>
      </c>
      <c r="O11" s="194" t="s">
        <v>154</v>
      </c>
      <c r="P11" s="194">
        <v>200</v>
      </c>
      <c r="Q11" s="194">
        <v>400</v>
      </c>
      <c r="R11" s="194" t="s">
        <v>161</v>
      </c>
      <c r="S11" s="194"/>
      <c r="T11" s="194"/>
      <c r="U11" s="194"/>
      <c r="V11" s="194"/>
      <c r="W11" s="194"/>
      <c r="X11" s="194"/>
      <c r="Y11" s="194"/>
      <c r="Z11" s="194"/>
      <c r="AA11" s="194"/>
      <c r="AB11" s="194"/>
      <c r="AC11" s="194"/>
      <c r="AD11" s="194"/>
      <c r="AE11" s="194"/>
      <c r="AF11" s="194"/>
      <c r="AG11" s="194"/>
      <c r="AH11" s="194"/>
      <c r="AI11" s="194"/>
      <c r="AJ11" s="194"/>
      <c r="AK11" s="194"/>
      <c r="AL11" s="194"/>
      <c r="AM11" s="194"/>
      <c r="AN11" s="194"/>
      <c r="AO11" s="194"/>
      <c r="AP11" s="194"/>
      <c r="AQ11" s="194"/>
      <c r="AR11" s="194"/>
      <c r="AS11" s="194"/>
      <c r="AT11" s="194"/>
      <c r="AU11" s="194"/>
      <c r="AV11" s="194"/>
      <c r="AW11" s="194"/>
      <c r="AX11" s="194"/>
      <c r="AY11" s="194"/>
      <c r="AZ11" s="194"/>
      <c r="BA11" s="194"/>
      <c r="BB11" s="194"/>
    </row>
    <row r="12" spans="2:54" hidden="1" x14ac:dyDescent="0.25">
      <c r="B12" s="194"/>
      <c r="C12" s="194" t="s">
        <v>473</v>
      </c>
      <c r="D12" s="194" t="s">
        <v>472</v>
      </c>
      <c r="E12" s="194" t="s">
        <v>150</v>
      </c>
      <c r="F12" s="194" t="s">
        <v>474</v>
      </c>
      <c r="G12" s="194">
        <v>54.344220999999898</v>
      </c>
      <c r="H12" s="194">
        <v>2.8658229999999998</v>
      </c>
      <c r="I12" s="194">
        <v>40</v>
      </c>
      <c r="J12" s="194" t="s">
        <v>177</v>
      </c>
      <c r="K12" s="194">
        <v>2004</v>
      </c>
      <c r="L12" s="194" t="s">
        <v>152</v>
      </c>
      <c r="M12" s="194" t="s">
        <v>123</v>
      </c>
      <c r="N12" s="194" t="s">
        <v>153</v>
      </c>
      <c r="O12" s="194" t="s">
        <v>154</v>
      </c>
      <c r="P12" s="194">
        <v>480</v>
      </c>
      <c r="Q12" s="194">
        <v>1220</v>
      </c>
      <c r="R12" s="194" t="s">
        <v>475</v>
      </c>
      <c r="S12" s="194"/>
      <c r="T12" s="194"/>
      <c r="U12" s="194"/>
      <c r="V12" s="194"/>
      <c r="W12" s="194"/>
      <c r="X12" s="194"/>
      <c r="Y12" s="194"/>
      <c r="Z12" s="194"/>
      <c r="AA12" s="194"/>
      <c r="AB12" s="194"/>
      <c r="AC12" s="194"/>
      <c r="AD12" s="194"/>
      <c r="AE12" s="194"/>
      <c r="AF12" s="194"/>
      <c r="AG12" s="194"/>
      <c r="AH12" s="194"/>
      <c r="AI12" s="194"/>
      <c r="AJ12" s="194"/>
      <c r="AK12" s="194"/>
      <c r="AL12" s="194"/>
      <c r="AM12" s="194"/>
      <c r="AN12" s="194"/>
      <c r="AO12" s="194"/>
      <c r="AP12" s="194"/>
      <c r="AQ12" s="194"/>
      <c r="AR12" s="194"/>
      <c r="AS12" s="194"/>
      <c r="AT12" s="194"/>
      <c r="AU12" s="194"/>
      <c r="AV12" s="194"/>
      <c r="AW12" s="194"/>
      <c r="AX12" s="194"/>
      <c r="AY12" s="194"/>
      <c r="AZ12" s="194"/>
      <c r="BA12" s="194"/>
      <c r="BB12" s="194"/>
    </row>
    <row r="13" spans="2:54" hidden="1" x14ac:dyDescent="0.25">
      <c r="B13" s="194"/>
      <c r="C13" s="194" t="s">
        <v>406</v>
      </c>
      <c r="D13" s="194" t="s">
        <v>405</v>
      </c>
      <c r="E13" s="194" t="s">
        <v>150</v>
      </c>
      <c r="F13" s="194" t="s">
        <v>407</v>
      </c>
      <c r="G13" s="194">
        <v>54.325667000000003</v>
      </c>
      <c r="H13" s="194">
        <v>2.9357500000000001</v>
      </c>
      <c r="I13" s="194">
        <v>40</v>
      </c>
      <c r="J13" s="194" t="s">
        <v>183</v>
      </c>
      <c r="K13" s="194">
        <v>1999</v>
      </c>
      <c r="L13" s="194" t="s">
        <v>152</v>
      </c>
      <c r="M13" s="194" t="s">
        <v>123</v>
      </c>
      <c r="N13" s="194" t="s">
        <v>153</v>
      </c>
      <c r="O13" s="194" t="s">
        <v>154</v>
      </c>
      <c r="P13" s="194">
        <v>1600</v>
      </c>
      <c r="Q13" s="194">
        <v>3150</v>
      </c>
      <c r="R13" s="194" t="s">
        <v>190</v>
      </c>
      <c r="S13" s="194"/>
      <c r="T13" s="194"/>
      <c r="U13" s="194"/>
      <c r="V13" s="194"/>
      <c r="W13" s="194"/>
      <c r="X13" s="194"/>
      <c r="Y13" s="194"/>
      <c r="Z13" s="194"/>
      <c r="AA13" s="194"/>
      <c r="AB13" s="194"/>
      <c r="AC13" s="194"/>
      <c r="AD13" s="194"/>
      <c r="AE13" s="194"/>
      <c r="AF13" s="194"/>
      <c r="AG13" s="194"/>
      <c r="AH13" s="194"/>
      <c r="AI13" s="194"/>
      <c r="AJ13" s="194"/>
      <c r="AK13" s="194"/>
      <c r="AL13" s="194"/>
      <c r="AM13" s="194"/>
      <c r="AN13" s="194"/>
      <c r="AO13" s="194"/>
      <c r="AP13" s="194"/>
      <c r="AQ13" s="194"/>
      <c r="AR13" s="194"/>
      <c r="AS13" s="194"/>
      <c r="AT13" s="194"/>
      <c r="AU13" s="194"/>
      <c r="AV13" s="194"/>
      <c r="AW13" s="194"/>
      <c r="AX13" s="194"/>
      <c r="AY13" s="194"/>
      <c r="AZ13" s="194"/>
      <c r="BA13" s="194"/>
      <c r="BB13" s="194"/>
    </row>
    <row r="14" spans="2:54" hidden="1" x14ac:dyDescent="0.25">
      <c r="B14" s="194"/>
      <c r="C14" s="194" t="s">
        <v>163</v>
      </c>
      <c r="D14" s="194" t="s">
        <v>162</v>
      </c>
      <c r="E14" s="194" t="s">
        <v>150</v>
      </c>
      <c r="F14" s="194" t="s">
        <v>164</v>
      </c>
      <c r="G14" s="194">
        <v>54.217402</v>
      </c>
      <c r="H14" s="194">
        <v>4.8285220000000004</v>
      </c>
      <c r="I14" s="194">
        <v>45</v>
      </c>
      <c r="J14" s="194" t="s">
        <v>84</v>
      </c>
      <c r="K14" s="194">
        <v>1993</v>
      </c>
      <c r="L14" s="194" t="s">
        <v>152</v>
      </c>
      <c r="M14" s="194" t="s">
        <v>123</v>
      </c>
      <c r="N14" s="194" t="s">
        <v>153</v>
      </c>
      <c r="O14" s="194" t="s">
        <v>154</v>
      </c>
      <c r="P14" s="194">
        <v>700</v>
      </c>
      <c r="Q14" s="194">
        <v>2050</v>
      </c>
      <c r="R14" s="194" t="s">
        <v>157</v>
      </c>
      <c r="S14" s="194"/>
      <c r="T14" s="194"/>
      <c r="U14" s="194"/>
      <c r="V14" s="194"/>
      <c r="W14" s="194"/>
      <c r="X14" s="194"/>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c r="AX14" s="194"/>
      <c r="AY14" s="194"/>
      <c r="AZ14" s="194"/>
      <c r="BA14" s="194"/>
      <c r="BB14" s="194"/>
    </row>
    <row r="15" spans="2:54" hidden="1" x14ac:dyDescent="0.25">
      <c r="B15" s="194"/>
      <c r="C15" s="194" t="s">
        <v>492</v>
      </c>
      <c r="D15" s="194" t="s">
        <v>491</v>
      </c>
      <c r="E15" s="194" t="s">
        <v>150</v>
      </c>
      <c r="F15" s="194" t="s">
        <v>493</v>
      </c>
      <c r="G15" s="194">
        <v>54.117823000000001</v>
      </c>
      <c r="H15" s="194">
        <v>4.0125770000000003</v>
      </c>
      <c r="I15" s="194">
        <v>50</v>
      </c>
      <c r="J15" s="194" t="s">
        <v>177</v>
      </c>
      <c r="K15" s="194">
        <v>2005</v>
      </c>
      <c r="L15" s="194" t="s">
        <v>152</v>
      </c>
      <c r="M15" s="194" t="s">
        <v>123</v>
      </c>
      <c r="N15" s="194" t="s">
        <v>153</v>
      </c>
      <c r="O15" s="194" t="s">
        <v>154</v>
      </c>
      <c r="P15" s="194">
        <v>2397</v>
      </c>
      <c r="Q15" s="194">
        <v>3275</v>
      </c>
      <c r="R15" s="194" t="s">
        <v>490</v>
      </c>
      <c r="S15" s="194"/>
      <c r="T15" s="194"/>
      <c r="U15" s="194"/>
      <c r="V15" s="194"/>
      <c r="W15" s="194"/>
      <c r="X15" s="194"/>
      <c r="Y15" s="194"/>
      <c r="Z15" s="194"/>
      <c r="AA15" s="194"/>
      <c r="AB15" s="194"/>
      <c r="AC15" s="194"/>
      <c r="AD15" s="194"/>
      <c r="AE15" s="194"/>
      <c r="AF15" s="194"/>
      <c r="AG15" s="194"/>
      <c r="AH15" s="194"/>
      <c r="AI15" s="194"/>
      <c r="AJ15" s="194"/>
      <c r="AK15" s="194"/>
      <c r="AL15" s="194"/>
      <c r="AM15" s="194"/>
      <c r="AN15" s="194"/>
      <c r="AO15" s="194"/>
      <c r="AP15" s="194"/>
      <c r="AQ15" s="194"/>
      <c r="AR15" s="194"/>
      <c r="AS15" s="194"/>
      <c r="AT15" s="194"/>
      <c r="AU15" s="194"/>
      <c r="AV15" s="194"/>
      <c r="AW15" s="194"/>
      <c r="AX15" s="194"/>
      <c r="AY15" s="194"/>
      <c r="AZ15" s="194"/>
      <c r="BA15" s="194"/>
      <c r="BB15" s="194"/>
    </row>
    <row r="16" spans="2:54" hidden="1" x14ac:dyDescent="0.25">
      <c r="B16" s="194"/>
      <c r="C16" s="194" t="s">
        <v>402</v>
      </c>
      <c r="D16" s="194" t="s">
        <v>401</v>
      </c>
      <c r="E16" s="194" t="s">
        <v>150</v>
      </c>
      <c r="F16" s="194" t="s">
        <v>167</v>
      </c>
      <c r="G16" s="194">
        <v>54.855012000000002</v>
      </c>
      <c r="H16" s="194">
        <v>4.6964649999999999</v>
      </c>
      <c r="I16" s="194">
        <v>42.299999999999898</v>
      </c>
      <c r="J16" s="194" t="s">
        <v>88</v>
      </c>
      <c r="K16" s="194">
        <v>1992</v>
      </c>
      <c r="L16" s="194" t="s">
        <v>152</v>
      </c>
      <c r="M16" s="194" t="s">
        <v>123</v>
      </c>
      <c r="N16" s="194" t="s">
        <v>403</v>
      </c>
      <c r="O16" s="194" t="s">
        <v>154</v>
      </c>
      <c r="P16" s="194">
        <v>60500</v>
      </c>
      <c r="Q16" s="194">
        <v>8000</v>
      </c>
      <c r="R16" s="194" t="s">
        <v>404</v>
      </c>
      <c r="S16" s="194"/>
      <c r="T16" s="194"/>
      <c r="U16" s="194"/>
      <c r="V16" s="194"/>
      <c r="W16" s="194"/>
      <c r="X16" s="194"/>
      <c r="Y16" s="194"/>
      <c r="Z16" s="194"/>
      <c r="AA16" s="194"/>
      <c r="AB16" s="194"/>
      <c r="AC16" s="194"/>
      <c r="AD16" s="194"/>
      <c r="AE16" s="194"/>
      <c r="AF16" s="194"/>
      <c r="AG16" s="194"/>
      <c r="AH16" s="194"/>
      <c r="AI16" s="194"/>
      <c r="AJ16" s="194"/>
      <c r="AK16" s="194"/>
      <c r="AL16" s="194"/>
      <c r="AM16" s="194"/>
      <c r="AN16" s="194"/>
      <c r="AO16" s="194"/>
      <c r="AP16" s="194"/>
      <c r="AQ16" s="194"/>
      <c r="AR16" s="194"/>
      <c r="AS16" s="194"/>
      <c r="AT16" s="194"/>
      <c r="AU16" s="194"/>
      <c r="AV16" s="194"/>
      <c r="AW16" s="194"/>
      <c r="AX16" s="194"/>
      <c r="AY16" s="194"/>
      <c r="AZ16" s="194"/>
      <c r="BA16" s="194"/>
      <c r="BB16" s="194"/>
    </row>
    <row r="17" spans="2:54" hidden="1" x14ac:dyDescent="0.25">
      <c r="B17" s="194"/>
      <c r="C17" s="194" t="s">
        <v>166</v>
      </c>
      <c r="D17" s="194" t="s">
        <v>165</v>
      </c>
      <c r="E17" s="194" t="s">
        <v>150</v>
      </c>
      <c r="F17" s="194" t="s">
        <v>167</v>
      </c>
      <c r="G17" s="194">
        <v>54.855012000000002</v>
      </c>
      <c r="H17" s="194">
        <v>4.6964649999999999</v>
      </c>
      <c r="I17" s="194">
        <v>42.299999999999898</v>
      </c>
      <c r="J17" s="194" t="s">
        <v>88</v>
      </c>
      <c r="K17" s="194">
        <v>1993</v>
      </c>
      <c r="L17" s="194" t="s">
        <v>152</v>
      </c>
      <c r="M17" s="194" t="s">
        <v>123</v>
      </c>
      <c r="N17" s="194" t="s">
        <v>153</v>
      </c>
      <c r="O17" s="194" t="s">
        <v>168</v>
      </c>
      <c r="P17" s="194">
        <v>200</v>
      </c>
      <c r="Q17" s="194">
        <v>400</v>
      </c>
      <c r="R17" s="194" t="s">
        <v>169</v>
      </c>
      <c r="S17" s="194"/>
      <c r="T17" s="194"/>
      <c r="U17" s="194"/>
      <c r="V17" s="194"/>
      <c r="W17" s="194"/>
      <c r="X17" s="194"/>
      <c r="Y17" s="194"/>
      <c r="Z17" s="194"/>
      <c r="AA17" s="194"/>
      <c r="AB17" s="194"/>
      <c r="AC17" s="194"/>
      <c r="AD17" s="194"/>
      <c r="AE17" s="194"/>
      <c r="AF17" s="194"/>
      <c r="AG17" s="194"/>
      <c r="AH17" s="194"/>
      <c r="AI17" s="194"/>
      <c r="AJ17" s="194"/>
      <c r="AK17" s="194"/>
      <c r="AL17" s="194"/>
      <c r="AM17" s="194"/>
      <c r="AN17" s="194"/>
      <c r="AO17" s="194"/>
      <c r="AP17" s="194"/>
      <c r="AQ17" s="194"/>
      <c r="AR17" s="194"/>
      <c r="AS17" s="194"/>
      <c r="AT17" s="194"/>
      <c r="AU17" s="194"/>
      <c r="AV17" s="194"/>
      <c r="AW17" s="194"/>
      <c r="AX17" s="194"/>
      <c r="AY17" s="194"/>
      <c r="AZ17" s="194"/>
      <c r="BA17" s="194"/>
      <c r="BB17" s="194"/>
    </row>
    <row r="18" spans="2:54" hidden="1" x14ac:dyDescent="0.25">
      <c r="B18" s="194"/>
      <c r="C18" s="194" t="s">
        <v>480</v>
      </c>
      <c r="D18" s="194" t="s">
        <v>479</v>
      </c>
      <c r="E18" s="194" t="s">
        <v>150</v>
      </c>
      <c r="F18" s="194" t="s">
        <v>481</v>
      </c>
      <c r="G18" s="194">
        <v>54.225881000000001</v>
      </c>
      <c r="H18" s="194">
        <v>5.5001920000000002</v>
      </c>
      <c r="I18" s="194">
        <v>39.5</v>
      </c>
      <c r="J18" s="194" t="s">
        <v>183</v>
      </c>
      <c r="K18" s="194">
        <v>2005</v>
      </c>
      <c r="L18" s="194" t="s">
        <v>152</v>
      </c>
      <c r="M18" s="194" t="s">
        <v>123</v>
      </c>
      <c r="N18" s="194" t="s">
        <v>153</v>
      </c>
      <c r="O18" s="194" t="s">
        <v>154</v>
      </c>
      <c r="P18" s="194">
        <v>920</v>
      </c>
      <c r="Q18" s="194">
        <v>725</v>
      </c>
      <c r="R18" s="194" t="s">
        <v>482</v>
      </c>
      <c r="S18" s="194"/>
      <c r="T18" s="194"/>
      <c r="U18" s="194"/>
      <c r="V18" s="194"/>
      <c r="W18" s="194"/>
      <c r="X18" s="194"/>
      <c r="Y18" s="194"/>
      <c r="Z18" s="194"/>
      <c r="AA18" s="194"/>
      <c r="AB18" s="194"/>
      <c r="AC18" s="194"/>
      <c r="AD18" s="194"/>
      <c r="AE18" s="194"/>
      <c r="AF18" s="194"/>
      <c r="AG18" s="194"/>
      <c r="AH18" s="194"/>
      <c r="AI18" s="194"/>
      <c r="AJ18" s="194"/>
      <c r="AK18" s="194"/>
      <c r="AL18" s="194"/>
      <c r="AM18" s="194"/>
      <c r="AN18" s="194"/>
      <c r="AO18" s="194"/>
      <c r="AP18" s="194"/>
      <c r="AQ18" s="194"/>
      <c r="AR18" s="194"/>
      <c r="AS18" s="194"/>
      <c r="AT18" s="194"/>
      <c r="AU18" s="194"/>
      <c r="AV18" s="194"/>
      <c r="AW18" s="194"/>
      <c r="AX18" s="194"/>
      <c r="AY18" s="194"/>
      <c r="AZ18" s="194"/>
      <c r="BA18" s="194"/>
      <c r="BB18" s="194"/>
    </row>
    <row r="19" spans="2:54" hidden="1" x14ac:dyDescent="0.25">
      <c r="B19" s="194"/>
      <c r="C19" s="194" t="s">
        <v>484</v>
      </c>
      <c r="D19" s="194" t="s">
        <v>483</v>
      </c>
      <c r="E19" s="194" t="s">
        <v>150</v>
      </c>
      <c r="F19" s="194" t="s">
        <v>485</v>
      </c>
      <c r="G19" s="194">
        <v>54.127853000000002</v>
      </c>
      <c r="H19" s="194">
        <v>5.2050859999999997</v>
      </c>
      <c r="I19" s="194">
        <v>41.1</v>
      </c>
      <c r="J19" s="194" t="s">
        <v>183</v>
      </c>
      <c r="K19" s="194">
        <v>2005</v>
      </c>
      <c r="L19" s="194" t="s">
        <v>152</v>
      </c>
      <c r="M19" s="194" t="s">
        <v>123</v>
      </c>
      <c r="N19" s="194" t="s">
        <v>153</v>
      </c>
      <c r="O19" s="194" t="s">
        <v>154</v>
      </c>
      <c r="P19" s="194">
        <v>930</v>
      </c>
      <c r="Q19" s="194">
        <v>660</v>
      </c>
      <c r="R19" s="194" t="s">
        <v>486</v>
      </c>
      <c r="S19" s="194"/>
      <c r="T19" s="194"/>
      <c r="U19" s="194"/>
      <c r="V19" s="194"/>
      <c r="W19" s="194"/>
      <c r="X19" s="194"/>
      <c r="Y19" s="194"/>
      <c r="Z19" s="194"/>
      <c r="AA19" s="194"/>
      <c r="AB19" s="194"/>
      <c r="AC19" s="194"/>
      <c r="AD19" s="194"/>
      <c r="AE19" s="194"/>
      <c r="AF19" s="194"/>
      <c r="AG19" s="194"/>
      <c r="AH19" s="194"/>
      <c r="AI19" s="194"/>
      <c r="AJ19" s="194"/>
      <c r="AK19" s="194"/>
      <c r="AL19" s="194"/>
      <c r="AM19" s="194"/>
      <c r="AN19" s="194"/>
      <c r="AO19" s="194"/>
      <c r="AP19" s="194"/>
      <c r="AQ19" s="194"/>
      <c r="AR19" s="194"/>
      <c r="AS19" s="194"/>
      <c r="AT19" s="194"/>
      <c r="AU19" s="194"/>
      <c r="AV19" s="194"/>
      <c r="AW19" s="194"/>
      <c r="AX19" s="194"/>
      <c r="AY19" s="194"/>
      <c r="AZ19" s="194"/>
      <c r="BA19" s="194"/>
      <c r="BB19" s="194"/>
    </row>
    <row r="20" spans="2:54" hidden="1" x14ac:dyDescent="0.25">
      <c r="B20" s="194"/>
      <c r="C20" s="194" t="s">
        <v>409</v>
      </c>
      <c r="D20" s="194" t="s">
        <v>408</v>
      </c>
      <c r="E20" s="194" t="s">
        <v>150</v>
      </c>
      <c r="F20" s="194" t="s">
        <v>410</v>
      </c>
      <c r="G20" s="194">
        <v>54.050848000000002</v>
      </c>
      <c r="H20" s="194">
        <v>5.4399550000000003</v>
      </c>
      <c r="I20" s="194">
        <v>38.700000000000003</v>
      </c>
      <c r="J20" s="194" t="s">
        <v>183</v>
      </c>
      <c r="K20" s="194">
        <v>2002</v>
      </c>
      <c r="L20" s="194" t="s">
        <v>152</v>
      </c>
      <c r="M20" s="194" t="s">
        <v>123</v>
      </c>
      <c r="N20" s="194" t="s">
        <v>153</v>
      </c>
      <c r="O20" s="194" t="s">
        <v>154</v>
      </c>
      <c r="P20" s="194">
        <v>1050</v>
      </c>
      <c r="Q20" s="194">
        <v>1310</v>
      </c>
      <c r="R20" s="194" t="s">
        <v>0</v>
      </c>
      <c r="S20" s="194"/>
      <c r="T20" s="194"/>
      <c r="U20" s="194"/>
      <c r="V20" s="194"/>
      <c r="W20" s="194"/>
      <c r="X20" s="194"/>
      <c r="Y20" s="194"/>
      <c r="Z20" s="194"/>
      <c r="AA20" s="194"/>
      <c r="AB20" s="194"/>
      <c r="AC20" s="194"/>
      <c r="AD20" s="194"/>
      <c r="AE20" s="194"/>
      <c r="AF20" s="194"/>
      <c r="AG20" s="194"/>
      <c r="AH20" s="194"/>
      <c r="AI20" s="194"/>
      <c r="AJ20" s="194"/>
      <c r="AK20" s="194"/>
      <c r="AL20" s="194"/>
      <c r="AM20" s="194"/>
      <c r="AN20" s="194"/>
      <c r="AO20" s="194"/>
      <c r="AP20" s="194"/>
      <c r="AQ20" s="194"/>
      <c r="AR20" s="194"/>
      <c r="AS20" s="194"/>
      <c r="AT20" s="194"/>
      <c r="AU20" s="194"/>
      <c r="AV20" s="194"/>
      <c r="AW20" s="194"/>
      <c r="AX20" s="194"/>
      <c r="AY20" s="194"/>
      <c r="AZ20" s="194"/>
      <c r="BA20" s="194"/>
      <c r="BB20" s="194"/>
    </row>
    <row r="21" spans="2:54" hidden="1" x14ac:dyDescent="0.25">
      <c r="B21" s="194"/>
      <c r="C21" s="194" t="s">
        <v>477</v>
      </c>
      <c r="D21" s="194" t="s">
        <v>476</v>
      </c>
      <c r="E21" s="194" t="s">
        <v>150</v>
      </c>
      <c r="F21" s="194" t="s">
        <v>410</v>
      </c>
      <c r="G21" s="194">
        <v>54.051430000000003</v>
      </c>
      <c r="H21" s="194">
        <v>5.4393529999999997</v>
      </c>
      <c r="I21" s="194">
        <v>38.700000000000003</v>
      </c>
      <c r="J21" s="194" t="s">
        <v>183</v>
      </c>
      <c r="K21" s="194">
        <v>2005</v>
      </c>
      <c r="L21" s="194" t="s">
        <v>152</v>
      </c>
      <c r="M21" s="194" t="s">
        <v>123</v>
      </c>
      <c r="N21" s="194" t="s">
        <v>153</v>
      </c>
      <c r="O21" s="194" t="s">
        <v>154</v>
      </c>
      <c r="P21" s="194">
        <v>1050</v>
      </c>
      <c r="Q21" s="194">
        <v>1310</v>
      </c>
      <c r="R21" s="194" t="s">
        <v>478</v>
      </c>
      <c r="S21" s="194"/>
      <c r="T21" s="194"/>
      <c r="U21" s="194"/>
      <c r="V21" s="194"/>
      <c r="W21" s="194"/>
      <c r="X21" s="194"/>
      <c r="Y21" s="194"/>
      <c r="Z21" s="194"/>
      <c r="AA21" s="194"/>
      <c r="AB21" s="194"/>
      <c r="AC21" s="194"/>
      <c r="AD21" s="194"/>
      <c r="AE21" s="194"/>
      <c r="AF21" s="194"/>
      <c r="AG21" s="194"/>
      <c r="AH21" s="194"/>
      <c r="AI21" s="194"/>
      <c r="AJ21" s="194"/>
      <c r="AK21" s="194"/>
      <c r="AL21" s="194"/>
      <c r="AM21" s="194"/>
      <c r="AN21" s="194"/>
      <c r="AO21" s="194"/>
      <c r="AP21" s="194"/>
      <c r="AQ21" s="194"/>
      <c r="AR21" s="194"/>
      <c r="AS21" s="194"/>
      <c r="AT21" s="194"/>
      <c r="AU21" s="194"/>
      <c r="AV21" s="194"/>
      <c r="AW21" s="194"/>
      <c r="AX21" s="194"/>
      <c r="AY21" s="194"/>
      <c r="AZ21" s="194"/>
      <c r="BA21" s="194"/>
      <c r="BB21" s="194"/>
    </row>
    <row r="22" spans="2:54" hidden="1" x14ac:dyDescent="0.25">
      <c r="B22" s="194"/>
      <c r="C22" s="194" t="s">
        <v>171</v>
      </c>
      <c r="D22" s="194" t="s">
        <v>170</v>
      </c>
      <c r="E22" s="194" t="s">
        <v>150</v>
      </c>
      <c r="F22" s="194" t="s">
        <v>172</v>
      </c>
      <c r="G22" s="194">
        <v>53.825280999999897</v>
      </c>
      <c r="H22" s="194">
        <v>2.9452780000000001</v>
      </c>
      <c r="I22" s="194">
        <v>37</v>
      </c>
      <c r="J22" s="194" t="s">
        <v>173</v>
      </c>
      <c r="K22" s="194">
        <v>1992</v>
      </c>
      <c r="L22" s="194" t="s">
        <v>152</v>
      </c>
      <c r="M22" s="194" t="s">
        <v>123</v>
      </c>
      <c r="N22" s="194" t="s">
        <v>153</v>
      </c>
      <c r="O22" s="194" t="s">
        <v>154</v>
      </c>
      <c r="P22" s="194">
        <v>1400</v>
      </c>
      <c r="Q22" s="194">
        <v>4000</v>
      </c>
      <c r="R22" s="194" t="s">
        <v>0</v>
      </c>
      <c r="S22" s="194"/>
      <c r="T22" s="194"/>
      <c r="U22" s="194"/>
      <c r="V22" s="194"/>
      <c r="W22" s="194"/>
      <c r="X22" s="194"/>
      <c r="Y22" s="194"/>
      <c r="Z22" s="194"/>
      <c r="AA22" s="194"/>
      <c r="AB22" s="194"/>
      <c r="AC22" s="194"/>
      <c r="AD22" s="194"/>
      <c r="AE22" s="194"/>
      <c r="AF22" s="194"/>
      <c r="AG22" s="194"/>
      <c r="AH22" s="194"/>
      <c r="AI22" s="194"/>
      <c r="AJ22" s="194"/>
      <c r="AK22" s="194"/>
      <c r="AL22" s="194"/>
      <c r="AM22" s="194"/>
      <c r="AN22" s="194"/>
      <c r="AO22" s="194"/>
      <c r="AP22" s="194"/>
      <c r="AQ22" s="194"/>
      <c r="AR22" s="194"/>
      <c r="AS22" s="194"/>
      <c r="AT22" s="194"/>
      <c r="AU22" s="194"/>
      <c r="AV22" s="194"/>
      <c r="AW22" s="194"/>
      <c r="AX22" s="194"/>
      <c r="AY22" s="194"/>
      <c r="AZ22" s="194"/>
      <c r="BA22" s="194"/>
      <c r="BB22" s="194"/>
    </row>
    <row r="23" spans="2:54" hidden="1" x14ac:dyDescent="0.25">
      <c r="B23" s="194"/>
      <c r="C23" s="194" t="s">
        <v>263</v>
      </c>
      <c r="D23" s="194" t="s">
        <v>262</v>
      </c>
      <c r="E23" s="194" t="s">
        <v>150</v>
      </c>
      <c r="F23" s="194" t="s">
        <v>263</v>
      </c>
      <c r="G23" s="194">
        <v>53.654415999999898</v>
      </c>
      <c r="H23" s="194">
        <v>3.8742559999999999</v>
      </c>
      <c r="I23" s="194">
        <v>38.299999999999898</v>
      </c>
      <c r="J23" s="194" t="s">
        <v>183</v>
      </c>
      <c r="K23" s="194">
        <v>1987</v>
      </c>
      <c r="L23" s="194" t="s">
        <v>152</v>
      </c>
      <c r="M23" s="194" t="s">
        <v>123</v>
      </c>
      <c r="N23" s="194" t="s">
        <v>153</v>
      </c>
      <c r="O23" s="194" t="s">
        <v>154</v>
      </c>
      <c r="P23" s="194">
        <v>715</v>
      </c>
      <c r="Q23" s="194">
        <v>1342</v>
      </c>
      <c r="R23" s="194" t="s">
        <v>190</v>
      </c>
      <c r="S23" s="194"/>
      <c r="T23" s="194"/>
      <c r="U23" s="194"/>
      <c r="V23" s="194"/>
      <c r="W23" s="194"/>
      <c r="X23" s="194"/>
      <c r="Y23" s="194"/>
      <c r="Z23" s="194"/>
      <c r="AA23" s="194"/>
      <c r="AB23" s="194"/>
      <c r="AC23" s="194"/>
      <c r="AD23" s="194"/>
      <c r="AE23" s="194"/>
      <c r="AF23" s="194"/>
      <c r="AG23" s="194"/>
      <c r="AH23" s="194"/>
      <c r="AI23" s="194"/>
      <c r="AJ23" s="194"/>
      <c r="AK23" s="194"/>
      <c r="AL23" s="194"/>
      <c r="AM23" s="194"/>
      <c r="AN23" s="194"/>
      <c r="AO23" s="194"/>
      <c r="AP23" s="194"/>
      <c r="AQ23" s="194"/>
      <c r="AR23" s="194"/>
      <c r="AS23" s="194"/>
      <c r="AT23" s="194"/>
      <c r="AU23" s="194"/>
      <c r="AV23" s="194"/>
      <c r="AW23" s="194"/>
      <c r="AX23" s="194"/>
      <c r="AY23" s="194"/>
      <c r="AZ23" s="194"/>
      <c r="BA23" s="194"/>
      <c r="BB23" s="194"/>
    </row>
    <row r="24" spans="2:54" hidden="1" x14ac:dyDescent="0.25">
      <c r="B24" s="194"/>
      <c r="C24" s="194" t="s">
        <v>260</v>
      </c>
      <c r="D24" s="194" t="s">
        <v>259</v>
      </c>
      <c r="E24" s="194" t="s">
        <v>150</v>
      </c>
      <c r="F24" s="194" t="s">
        <v>261</v>
      </c>
      <c r="G24" s="194">
        <v>53.521939000000003</v>
      </c>
      <c r="H24" s="194">
        <v>3.9938259999999999</v>
      </c>
      <c r="I24" s="194">
        <v>29.6</v>
      </c>
      <c r="J24" s="194" t="s">
        <v>183</v>
      </c>
      <c r="K24" s="194">
        <v>1987</v>
      </c>
      <c r="L24" s="194" t="s">
        <v>152</v>
      </c>
      <c r="M24" s="194" t="s">
        <v>123</v>
      </c>
      <c r="N24" s="194" t="s">
        <v>153</v>
      </c>
      <c r="O24" s="194" t="s">
        <v>154</v>
      </c>
      <c r="P24" s="194">
        <v>645</v>
      </c>
      <c r="Q24" s="194">
        <v>1342</v>
      </c>
      <c r="R24" s="194" t="s">
        <v>190</v>
      </c>
      <c r="S24" s="194"/>
      <c r="T24" s="194"/>
      <c r="U24" s="194"/>
      <c r="V24" s="194"/>
      <c r="W24" s="194"/>
      <c r="X24" s="194"/>
      <c r="Y24" s="194"/>
      <c r="Z24" s="194"/>
      <c r="AA24" s="194"/>
      <c r="AB24" s="194"/>
      <c r="AC24" s="194"/>
      <c r="AD24" s="194"/>
      <c r="AE24" s="194"/>
      <c r="AF24" s="194"/>
      <c r="AG24" s="194"/>
      <c r="AH24" s="194"/>
      <c r="AI24" s="194"/>
      <c r="AJ24" s="194"/>
      <c r="AK24" s="194"/>
      <c r="AL24" s="194"/>
      <c r="AM24" s="194"/>
      <c r="AN24" s="194"/>
      <c r="AO24" s="194"/>
      <c r="AP24" s="194"/>
      <c r="AQ24" s="194"/>
      <c r="AR24" s="194"/>
      <c r="AS24" s="194"/>
      <c r="AT24" s="194"/>
      <c r="AU24" s="194"/>
      <c r="AV24" s="194"/>
      <c r="AW24" s="194"/>
      <c r="AX24" s="194"/>
      <c r="AY24" s="194"/>
      <c r="AZ24" s="194"/>
      <c r="BA24" s="194"/>
      <c r="BB24" s="194"/>
    </row>
    <row r="25" spans="2:54" hidden="1" x14ac:dyDescent="0.25">
      <c r="B25" s="194"/>
      <c r="C25" s="194" t="s">
        <v>432</v>
      </c>
      <c r="D25" s="194" t="s">
        <v>431</v>
      </c>
      <c r="E25" s="194" t="s">
        <v>150</v>
      </c>
      <c r="F25" s="194" t="s">
        <v>433</v>
      </c>
      <c r="G25" s="194">
        <v>53.552948000000001</v>
      </c>
      <c r="H25" s="194">
        <v>3.781066</v>
      </c>
      <c r="I25" s="194">
        <v>28.399999999999899</v>
      </c>
      <c r="J25" s="194" t="s">
        <v>183</v>
      </c>
      <c r="K25" s="194">
        <v>1999</v>
      </c>
      <c r="L25" s="194" t="s">
        <v>152</v>
      </c>
      <c r="M25" s="194" t="s">
        <v>123</v>
      </c>
      <c r="N25" s="194" t="s">
        <v>153</v>
      </c>
      <c r="O25" s="194" t="s">
        <v>154</v>
      </c>
      <c r="P25" s="194">
        <v>700</v>
      </c>
      <c r="Q25" s="194">
        <v>1375</v>
      </c>
      <c r="R25" s="194" t="s">
        <v>190</v>
      </c>
      <c r="S25" s="194"/>
      <c r="T25" s="194"/>
      <c r="U25" s="194"/>
      <c r="V25" s="194"/>
      <c r="W25" s="194"/>
      <c r="X25" s="194"/>
      <c r="Y25" s="194"/>
      <c r="Z25" s="194"/>
      <c r="AA25" s="194"/>
      <c r="AB25" s="194"/>
      <c r="AC25" s="194"/>
      <c r="AD25" s="194"/>
      <c r="AE25" s="194"/>
      <c r="AF25" s="194"/>
      <c r="AG25" s="194"/>
      <c r="AH25" s="194"/>
      <c r="AI25" s="194"/>
      <c r="AJ25" s="194"/>
      <c r="AK25" s="194"/>
      <c r="AL25" s="194"/>
      <c r="AM25" s="194"/>
      <c r="AN25" s="194"/>
      <c r="AO25" s="194"/>
      <c r="AP25" s="194"/>
      <c r="AQ25" s="194"/>
      <c r="AR25" s="194"/>
      <c r="AS25" s="194"/>
      <c r="AT25" s="194"/>
      <c r="AU25" s="194"/>
      <c r="AV25" s="194"/>
      <c r="AW25" s="194"/>
      <c r="AX25" s="194"/>
      <c r="AY25" s="194"/>
      <c r="AZ25" s="194"/>
      <c r="BA25" s="194"/>
      <c r="BB25" s="194"/>
    </row>
    <row r="26" spans="2:54" hidden="1" x14ac:dyDescent="0.25">
      <c r="B26" s="194"/>
      <c r="C26" s="194" t="s">
        <v>175</v>
      </c>
      <c r="D26" s="194" t="s">
        <v>174</v>
      </c>
      <c r="E26" s="194" t="s">
        <v>150</v>
      </c>
      <c r="F26" s="194" t="s">
        <v>176</v>
      </c>
      <c r="G26" s="194">
        <v>53.363714000000002</v>
      </c>
      <c r="H26" s="194">
        <v>3.2539639999999999</v>
      </c>
      <c r="I26" s="194">
        <v>25</v>
      </c>
      <c r="J26" s="194" t="s">
        <v>177</v>
      </c>
      <c r="K26" s="194">
        <v>1983</v>
      </c>
      <c r="L26" s="194" t="s">
        <v>178</v>
      </c>
      <c r="M26" s="194" t="s">
        <v>123</v>
      </c>
      <c r="N26" s="194" t="s">
        <v>153</v>
      </c>
      <c r="O26" s="194" t="s">
        <v>154</v>
      </c>
      <c r="P26" s="194">
        <v>2280</v>
      </c>
      <c r="Q26" s="194">
        <v>4650</v>
      </c>
      <c r="R26" s="194" t="s">
        <v>179</v>
      </c>
      <c r="S26" s="194"/>
      <c r="T26" s="194"/>
      <c r="U26" s="194"/>
      <c r="V26" s="194"/>
      <c r="W26" s="194"/>
      <c r="X26" s="194"/>
      <c r="Y26" s="194"/>
      <c r="Z26" s="194"/>
      <c r="AA26" s="194"/>
      <c r="AB26" s="194"/>
      <c r="AC26" s="194"/>
      <c r="AD26" s="194"/>
      <c r="AE26" s="194"/>
      <c r="AF26" s="194"/>
      <c r="AG26" s="194"/>
      <c r="AH26" s="194"/>
      <c r="AI26" s="194"/>
      <c r="AJ26" s="194"/>
      <c r="AK26" s="194"/>
      <c r="AL26" s="194"/>
      <c r="AM26" s="194"/>
      <c r="AN26" s="194"/>
      <c r="AO26" s="194"/>
      <c r="AP26" s="194"/>
      <c r="AQ26" s="194"/>
      <c r="AR26" s="194"/>
      <c r="AS26" s="194"/>
      <c r="AT26" s="194"/>
      <c r="AU26" s="194"/>
      <c r="AV26" s="194"/>
      <c r="AW26" s="194"/>
      <c r="AX26" s="194"/>
      <c r="AY26" s="194"/>
      <c r="AZ26" s="194"/>
      <c r="BA26" s="194"/>
      <c r="BB26" s="194"/>
    </row>
    <row r="27" spans="2:54" hidden="1" x14ac:dyDescent="0.25">
      <c r="B27" s="194"/>
      <c r="C27" s="194" t="s">
        <v>181</v>
      </c>
      <c r="D27" s="194" t="s">
        <v>180</v>
      </c>
      <c r="E27" s="194" t="s">
        <v>150</v>
      </c>
      <c r="F27" s="194" t="s">
        <v>182</v>
      </c>
      <c r="G27" s="194">
        <v>53.477885000000001</v>
      </c>
      <c r="H27" s="194">
        <v>3.7887879999999998</v>
      </c>
      <c r="I27" s="194">
        <v>29.5</v>
      </c>
      <c r="J27" s="194" t="s">
        <v>183</v>
      </c>
      <c r="K27" s="194">
        <v>1983</v>
      </c>
      <c r="L27" s="194" t="s">
        <v>152</v>
      </c>
      <c r="M27" s="194" t="s">
        <v>123</v>
      </c>
      <c r="N27" s="194" t="s">
        <v>153</v>
      </c>
      <c r="O27" s="194" t="s">
        <v>154</v>
      </c>
      <c r="P27" s="194">
        <v>580</v>
      </c>
      <c r="Q27" s="194">
        <v>630</v>
      </c>
      <c r="R27" s="194" t="s">
        <v>184</v>
      </c>
      <c r="S27" s="194"/>
      <c r="T27" s="194"/>
      <c r="U27" s="194"/>
      <c r="V27" s="194"/>
      <c r="W27" s="194"/>
      <c r="X27" s="194"/>
      <c r="Y27" s="194"/>
      <c r="Z27" s="194"/>
      <c r="AA27" s="194"/>
      <c r="AB27" s="194"/>
      <c r="AC27" s="194"/>
      <c r="AD27" s="194"/>
      <c r="AE27" s="194"/>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row>
    <row r="28" spans="2:54" hidden="1" x14ac:dyDescent="0.25">
      <c r="B28" s="194"/>
      <c r="C28" s="194" t="s">
        <v>186</v>
      </c>
      <c r="D28" s="194" t="s">
        <v>185</v>
      </c>
      <c r="E28" s="194" t="s">
        <v>150</v>
      </c>
      <c r="F28" s="194" t="s">
        <v>187</v>
      </c>
      <c r="G28" s="194">
        <v>53.343040000000002</v>
      </c>
      <c r="H28" s="194">
        <v>3.8969230000000001</v>
      </c>
      <c r="I28" s="194">
        <v>26.5</v>
      </c>
      <c r="J28" s="194" t="s">
        <v>183</v>
      </c>
      <c r="K28" s="194">
        <v>1986</v>
      </c>
      <c r="L28" s="194" t="s">
        <v>152</v>
      </c>
      <c r="M28" s="194" t="s">
        <v>123</v>
      </c>
      <c r="N28" s="194" t="s">
        <v>153</v>
      </c>
      <c r="O28" s="194" t="s">
        <v>154</v>
      </c>
      <c r="P28" s="194">
        <v>765</v>
      </c>
      <c r="Q28" s="194">
        <v>805</v>
      </c>
      <c r="R28" s="194" t="s">
        <v>184</v>
      </c>
      <c r="S28" s="194"/>
      <c r="T28" s="194"/>
      <c r="U28" s="194"/>
      <c r="V28" s="194"/>
      <c r="W28" s="194"/>
      <c r="X28" s="194"/>
      <c r="Y28" s="194"/>
      <c r="Z28" s="194"/>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row>
    <row r="29" spans="2:54" hidden="1" x14ac:dyDescent="0.25">
      <c r="B29" s="194"/>
      <c r="C29" s="194" t="s">
        <v>189</v>
      </c>
      <c r="D29" s="194" t="s">
        <v>188</v>
      </c>
      <c r="E29" s="194" t="s">
        <v>150</v>
      </c>
      <c r="F29" s="194" t="s">
        <v>187</v>
      </c>
      <c r="G29" s="194">
        <v>53.342381000000003</v>
      </c>
      <c r="H29" s="194">
        <v>3.8973</v>
      </c>
      <c r="I29" s="194">
        <v>26.5</v>
      </c>
      <c r="J29" s="194" t="s">
        <v>183</v>
      </c>
      <c r="K29" s="194">
        <v>1987</v>
      </c>
      <c r="L29" s="194" t="s">
        <v>152</v>
      </c>
      <c r="M29" s="194" t="s">
        <v>123</v>
      </c>
      <c r="N29" s="194" t="s">
        <v>153</v>
      </c>
      <c r="O29" s="194" t="s">
        <v>154</v>
      </c>
      <c r="P29" s="194">
        <v>2120</v>
      </c>
      <c r="Q29" s="194">
        <v>7870</v>
      </c>
      <c r="R29" s="194" t="s">
        <v>190</v>
      </c>
      <c r="S29" s="194"/>
      <c r="T29" s="194"/>
      <c r="U29" s="194"/>
      <c r="V29" s="194"/>
      <c r="W29" s="194"/>
      <c r="X29" s="194"/>
      <c r="Y29" s="194"/>
      <c r="Z29" s="194"/>
      <c r="AA29" s="194"/>
      <c r="AB29" s="194"/>
      <c r="AC29" s="194"/>
      <c r="AD29" s="194"/>
      <c r="AE29" s="194"/>
      <c r="AF29" s="194"/>
      <c r="AG29" s="194"/>
      <c r="AH29" s="194"/>
      <c r="AI29" s="194"/>
      <c r="AJ29" s="194"/>
      <c r="AK29" s="194"/>
      <c r="AL29" s="194"/>
      <c r="AM29" s="194"/>
      <c r="AN29" s="194"/>
      <c r="AO29" s="194"/>
      <c r="AP29" s="194"/>
      <c r="AQ29" s="194"/>
      <c r="AR29" s="194"/>
      <c r="AS29" s="194"/>
      <c r="AT29" s="194"/>
      <c r="AU29" s="194"/>
      <c r="AV29" s="194"/>
      <c r="AW29" s="194"/>
      <c r="AX29" s="194"/>
      <c r="AY29" s="194"/>
      <c r="AZ29" s="194"/>
      <c r="BA29" s="194"/>
      <c r="BB29" s="194"/>
    </row>
    <row r="30" spans="2:54" hidden="1" x14ac:dyDescent="0.25">
      <c r="B30" s="194"/>
      <c r="C30" s="194" t="s">
        <v>192</v>
      </c>
      <c r="D30" s="194" t="s">
        <v>191</v>
      </c>
      <c r="E30" s="194" t="s">
        <v>150</v>
      </c>
      <c r="F30" s="194" t="s">
        <v>193</v>
      </c>
      <c r="G30" s="194">
        <v>53.460354000000002</v>
      </c>
      <c r="H30" s="194">
        <v>3.9057949999999999</v>
      </c>
      <c r="I30" s="194">
        <v>27.399999999999899</v>
      </c>
      <c r="J30" s="194" t="s">
        <v>183</v>
      </c>
      <c r="K30" s="194">
        <v>1984</v>
      </c>
      <c r="L30" s="194" t="s">
        <v>152</v>
      </c>
      <c r="M30" s="194" t="s">
        <v>123</v>
      </c>
      <c r="N30" s="194" t="s">
        <v>153</v>
      </c>
      <c r="O30" s="194" t="s">
        <v>154</v>
      </c>
      <c r="P30" s="194">
        <v>565</v>
      </c>
      <c r="Q30" s="194">
        <v>656</v>
      </c>
      <c r="R30" s="194" t="s">
        <v>184</v>
      </c>
      <c r="S30" s="194"/>
      <c r="T30" s="194"/>
      <c r="U30" s="194"/>
      <c r="V30" s="194"/>
      <c r="W30" s="194"/>
      <c r="X30" s="194"/>
      <c r="Y30" s="194"/>
      <c r="Z30" s="194"/>
      <c r="AA30" s="194"/>
      <c r="AB30" s="194"/>
      <c r="AC30" s="194"/>
      <c r="AD30" s="194"/>
      <c r="AE30" s="194"/>
      <c r="AF30" s="194"/>
      <c r="AG30" s="194"/>
      <c r="AH30" s="194"/>
      <c r="AI30" s="194"/>
      <c r="AJ30" s="194"/>
      <c r="AK30" s="194"/>
      <c r="AL30" s="194"/>
      <c r="AM30" s="194"/>
      <c r="AN30" s="194"/>
      <c r="AO30" s="194"/>
      <c r="AP30" s="194"/>
      <c r="AQ30" s="194"/>
      <c r="AR30" s="194"/>
      <c r="AS30" s="194"/>
      <c r="AT30" s="194"/>
      <c r="AU30" s="194"/>
      <c r="AV30" s="194"/>
      <c r="AW30" s="194"/>
      <c r="AX30" s="194"/>
      <c r="AY30" s="194"/>
      <c r="AZ30" s="194"/>
      <c r="BA30" s="194"/>
      <c r="BB30" s="194"/>
    </row>
    <row r="31" spans="2:54" hidden="1" x14ac:dyDescent="0.25">
      <c r="B31" s="194"/>
      <c r="C31" s="194" t="s">
        <v>195</v>
      </c>
      <c r="D31" s="194" t="s">
        <v>194</v>
      </c>
      <c r="E31" s="194" t="s">
        <v>150</v>
      </c>
      <c r="F31" s="194" t="s">
        <v>193</v>
      </c>
      <c r="G31" s="194">
        <v>53.460783999999897</v>
      </c>
      <c r="H31" s="194">
        <v>3.9059249999999999</v>
      </c>
      <c r="I31" s="194">
        <v>27.399999999999899</v>
      </c>
      <c r="J31" s="194" t="s">
        <v>183</v>
      </c>
      <c r="K31" s="194">
        <v>1987</v>
      </c>
      <c r="L31" s="194" t="s">
        <v>152</v>
      </c>
      <c r="M31" s="194" t="s">
        <v>123</v>
      </c>
      <c r="N31" s="194" t="s">
        <v>153</v>
      </c>
      <c r="O31" s="194" t="s">
        <v>154</v>
      </c>
      <c r="P31" s="194">
        <v>585</v>
      </c>
      <c r="Q31" s="194">
        <v>1435</v>
      </c>
      <c r="R31" s="194" t="s">
        <v>18</v>
      </c>
      <c r="S31" s="194"/>
      <c r="T31" s="194"/>
      <c r="U31" s="194"/>
      <c r="V31" s="194"/>
      <c r="W31" s="194"/>
      <c r="X31" s="194"/>
      <c r="Y31" s="194"/>
      <c r="Z31" s="194"/>
      <c r="AA31" s="194"/>
      <c r="AB31" s="194"/>
      <c r="AC31" s="194"/>
      <c r="AD31" s="194"/>
      <c r="AE31" s="194"/>
      <c r="AF31" s="194"/>
      <c r="AG31" s="194"/>
      <c r="AH31" s="194"/>
      <c r="AI31" s="194"/>
      <c r="AJ31" s="194"/>
      <c r="AK31" s="194"/>
      <c r="AL31" s="194"/>
      <c r="AM31" s="194"/>
      <c r="AN31" s="194"/>
      <c r="AO31" s="194"/>
      <c r="AP31" s="194"/>
      <c r="AQ31" s="194"/>
      <c r="AR31" s="194"/>
      <c r="AS31" s="194"/>
      <c r="AT31" s="194"/>
      <c r="AU31" s="194"/>
      <c r="AV31" s="194"/>
      <c r="AW31" s="194"/>
      <c r="AX31" s="194"/>
      <c r="AY31" s="194"/>
      <c r="AZ31" s="194"/>
      <c r="BA31" s="194"/>
      <c r="BB31" s="194"/>
    </row>
    <row r="32" spans="2:54" hidden="1" x14ac:dyDescent="0.25">
      <c r="B32" s="194"/>
      <c r="C32" s="194" t="s">
        <v>197</v>
      </c>
      <c r="D32" s="194" t="s">
        <v>196</v>
      </c>
      <c r="E32" s="194" t="s">
        <v>150</v>
      </c>
      <c r="F32" s="194" t="s">
        <v>198</v>
      </c>
      <c r="G32" s="194">
        <v>53.423544</v>
      </c>
      <c r="H32" s="194">
        <v>3.8865180000000001</v>
      </c>
      <c r="I32" s="194">
        <v>29.5</v>
      </c>
      <c r="J32" s="194" t="s">
        <v>183</v>
      </c>
      <c r="K32" s="194">
        <v>1985</v>
      </c>
      <c r="L32" s="194" t="s">
        <v>152</v>
      </c>
      <c r="M32" s="194" t="s">
        <v>123</v>
      </c>
      <c r="N32" s="194" t="s">
        <v>153</v>
      </c>
      <c r="O32" s="194" t="s">
        <v>154</v>
      </c>
      <c r="P32" s="194">
        <v>580</v>
      </c>
      <c r="Q32" s="194">
        <v>660</v>
      </c>
      <c r="R32" s="194" t="s">
        <v>184</v>
      </c>
      <c r="S32" s="194"/>
      <c r="T32" s="194"/>
      <c r="U32" s="194"/>
      <c r="V32" s="194"/>
      <c r="W32" s="194"/>
      <c r="X32" s="194"/>
      <c r="Y32" s="194"/>
      <c r="Z32" s="194"/>
      <c r="AA32" s="194"/>
      <c r="AB32" s="194"/>
      <c r="AC32" s="194"/>
      <c r="AD32" s="194"/>
      <c r="AE32" s="194"/>
      <c r="AF32" s="194"/>
      <c r="AG32" s="194"/>
      <c r="AH32" s="194"/>
      <c r="AI32" s="194"/>
      <c r="AJ32" s="194"/>
      <c r="AK32" s="194"/>
      <c r="AL32" s="194"/>
      <c r="AM32" s="194"/>
      <c r="AN32" s="194"/>
      <c r="AO32" s="194"/>
      <c r="AP32" s="194"/>
      <c r="AQ32" s="194"/>
      <c r="AR32" s="194"/>
      <c r="AS32" s="194"/>
      <c r="AT32" s="194"/>
      <c r="AU32" s="194"/>
      <c r="AV32" s="194"/>
      <c r="AW32" s="194"/>
      <c r="AX32" s="194"/>
      <c r="AY32" s="194"/>
      <c r="AZ32" s="194"/>
      <c r="BA32" s="194"/>
      <c r="BB32" s="194"/>
    </row>
    <row r="33" spans="2:54" hidden="1" x14ac:dyDescent="0.25">
      <c r="B33" s="194"/>
      <c r="C33" s="194" t="s">
        <v>412</v>
      </c>
      <c r="D33" s="194" t="s">
        <v>411</v>
      </c>
      <c r="E33" s="194" t="s">
        <v>150</v>
      </c>
      <c r="F33" s="194" t="s">
        <v>413</v>
      </c>
      <c r="G33" s="194">
        <v>53.357126000000001</v>
      </c>
      <c r="H33" s="194">
        <v>3.9837370000000001</v>
      </c>
      <c r="I33" s="194">
        <v>26</v>
      </c>
      <c r="J33" s="194" t="s">
        <v>183</v>
      </c>
      <c r="K33" s="194">
        <v>2001</v>
      </c>
      <c r="L33" s="194" t="s">
        <v>152</v>
      </c>
      <c r="M33" s="194" t="s">
        <v>123</v>
      </c>
      <c r="N33" s="194" t="s">
        <v>153</v>
      </c>
      <c r="O33" s="194" t="s">
        <v>154</v>
      </c>
      <c r="P33" s="194">
        <v>675</v>
      </c>
      <c r="Q33" s="194">
        <v>900</v>
      </c>
      <c r="R33" s="194" t="s">
        <v>184</v>
      </c>
      <c r="S33" s="194"/>
      <c r="T33" s="194"/>
      <c r="U33" s="194"/>
      <c r="V33" s="194"/>
      <c r="W33" s="194"/>
      <c r="X33" s="194"/>
      <c r="Y33" s="194"/>
      <c r="Z33" s="194"/>
      <c r="AA33" s="194"/>
      <c r="AB33" s="194"/>
      <c r="AC33" s="194"/>
      <c r="AD33" s="194"/>
      <c r="AE33" s="194"/>
      <c r="AF33" s="194"/>
      <c r="AG33" s="194"/>
      <c r="AH33" s="194"/>
      <c r="AI33" s="194"/>
      <c r="AJ33" s="194"/>
      <c r="AK33" s="194"/>
      <c r="AL33" s="194"/>
      <c r="AM33" s="194"/>
      <c r="AN33" s="194"/>
      <c r="AO33" s="194"/>
      <c r="AP33" s="194"/>
      <c r="AQ33" s="194"/>
      <c r="AR33" s="194"/>
      <c r="AS33" s="194"/>
      <c r="AT33" s="194"/>
      <c r="AU33" s="194"/>
      <c r="AV33" s="194"/>
      <c r="AW33" s="194"/>
      <c r="AX33" s="194"/>
      <c r="AY33" s="194"/>
      <c r="AZ33" s="194"/>
      <c r="BA33" s="194"/>
      <c r="BB33" s="194"/>
    </row>
    <row r="34" spans="2:54" hidden="1" x14ac:dyDescent="0.25">
      <c r="B34" s="194"/>
      <c r="C34" s="194" t="s">
        <v>504</v>
      </c>
      <c r="D34" s="194" t="s">
        <v>503</v>
      </c>
      <c r="E34" s="194" t="s">
        <v>150</v>
      </c>
      <c r="F34" s="194" t="s">
        <v>505</v>
      </c>
      <c r="G34" s="194">
        <v>53.423561999999897</v>
      </c>
      <c r="H34" s="194">
        <v>3.961678</v>
      </c>
      <c r="I34" s="194">
        <v>26</v>
      </c>
      <c r="J34" s="194" t="s">
        <v>506</v>
      </c>
      <c r="K34" s="194">
        <v>2008</v>
      </c>
      <c r="L34" s="194" t="s">
        <v>152</v>
      </c>
      <c r="M34" s="194" t="s">
        <v>123</v>
      </c>
      <c r="N34" s="194" t="s">
        <v>153</v>
      </c>
      <c r="O34" s="194" t="s">
        <v>502</v>
      </c>
      <c r="P34" s="194">
        <v>844</v>
      </c>
      <c r="Q34" s="194">
        <v>1022</v>
      </c>
      <c r="R34" s="194" t="s">
        <v>0</v>
      </c>
      <c r="S34" s="194"/>
      <c r="T34" s="194"/>
      <c r="U34" s="194"/>
      <c r="V34" s="194"/>
      <c r="W34" s="194"/>
      <c r="X34" s="194"/>
      <c r="Y34" s="194"/>
      <c r="Z34" s="194"/>
      <c r="AA34" s="194"/>
      <c r="AB34" s="194"/>
      <c r="AC34" s="194"/>
      <c r="AD34" s="194"/>
      <c r="AE34" s="194"/>
      <c r="AF34" s="194"/>
      <c r="AG34" s="194"/>
      <c r="AH34" s="194"/>
      <c r="AI34" s="194"/>
      <c r="AJ34" s="194"/>
      <c r="AK34" s="194"/>
      <c r="AL34" s="194"/>
      <c r="AM34" s="194"/>
      <c r="AN34" s="194"/>
      <c r="AO34" s="194"/>
      <c r="AP34" s="194"/>
      <c r="AQ34" s="194"/>
      <c r="AR34" s="194"/>
      <c r="AS34" s="194"/>
      <c r="AT34" s="194"/>
      <c r="AU34" s="194"/>
      <c r="AV34" s="194"/>
      <c r="AW34" s="194"/>
      <c r="AX34" s="194"/>
      <c r="AY34" s="194"/>
      <c r="AZ34" s="194"/>
      <c r="BA34" s="194"/>
      <c r="BB34" s="194"/>
    </row>
    <row r="35" spans="2:54" hidden="1" x14ac:dyDescent="0.25">
      <c r="B35" s="194"/>
      <c r="C35" s="194" t="s">
        <v>200</v>
      </c>
      <c r="D35" s="194" t="s">
        <v>199</v>
      </c>
      <c r="E35" s="194" t="s">
        <v>150</v>
      </c>
      <c r="F35" s="194" t="s">
        <v>201</v>
      </c>
      <c r="G35" s="194">
        <v>53.219112000000003</v>
      </c>
      <c r="H35" s="194">
        <v>3.220383</v>
      </c>
      <c r="I35" s="194">
        <v>28</v>
      </c>
      <c r="J35" s="194" t="s">
        <v>177</v>
      </c>
      <c r="K35" s="194">
        <v>1976</v>
      </c>
      <c r="L35" s="194" t="s">
        <v>152</v>
      </c>
      <c r="M35" s="194" t="s">
        <v>123</v>
      </c>
      <c r="N35" s="194" t="s">
        <v>153</v>
      </c>
      <c r="O35" s="194" t="s">
        <v>154</v>
      </c>
      <c r="P35" s="194">
        <v>2245</v>
      </c>
      <c r="Q35" s="194">
        <v>2750</v>
      </c>
      <c r="R35" s="194" t="s">
        <v>0</v>
      </c>
      <c r="S35" s="194"/>
      <c r="T35" s="194"/>
      <c r="U35" s="194"/>
      <c r="V35" s="194"/>
      <c r="W35" s="194"/>
      <c r="X35" s="194"/>
      <c r="Y35" s="194"/>
      <c r="Z35" s="194"/>
      <c r="AA35" s="194"/>
      <c r="AB35" s="194"/>
      <c r="AC35" s="194"/>
      <c r="AD35" s="194"/>
      <c r="AE35" s="194"/>
      <c r="AF35" s="194"/>
      <c r="AG35" s="194"/>
      <c r="AH35" s="194"/>
      <c r="AI35" s="194"/>
      <c r="AJ35" s="194"/>
      <c r="AK35" s="194"/>
      <c r="AL35" s="194"/>
      <c r="AM35" s="194"/>
      <c r="AN35" s="194"/>
      <c r="AO35" s="194"/>
      <c r="AP35" s="194"/>
      <c r="AQ35" s="194"/>
      <c r="AR35" s="194"/>
      <c r="AS35" s="194"/>
      <c r="AT35" s="194"/>
      <c r="AU35" s="194"/>
      <c r="AV35" s="194"/>
      <c r="AW35" s="194"/>
      <c r="AX35" s="194"/>
      <c r="AY35" s="194"/>
      <c r="AZ35" s="194"/>
      <c r="BA35" s="194"/>
      <c r="BB35" s="194"/>
    </row>
    <row r="36" spans="2:54" s="1048" customFormat="1" x14ac:dyDescent="0.25">
      <c r="C36" s="1048" t="s">
        <v>508</v>
      </c>
      <c r="D36" s="1048" t="s">
        <v>507</v>
      </c>
      <c r="E36" s="1048" t="s">
        <v>150</v>
      </c>
      <c r="F36" s="1048" t="s">
        <v>204</v>
      </c>
      <c r="G36" s="1048">
        <v>53.269458</v>
      </c>
      <c r="H36" s="1048">
        <v>3.6276060000000001</v>
      </c>
      <c r="I36" s="1048">
        <v>26</v>
      </c>
      <c r="J36" s="1048" t="s">
        <v>509</v>
      </c>
      <c r="K36" s="1048">
        <v>1994</v>
      </c>
      <c r="L36" s="1048" t="s">
        <v>152</v>
      </c>
      <c r="M36" s="1048" t="s">
        <v>123</v>
      </c>
      <c r="N36" s="1048" t="s">
        <v>153</v>
      </c>
      <c r="O36" s="1048" t="s">
        <v>502</v>
      </c>
      <c r="P36" s="1048">
        <v>18200</v>
      </c>
      <c r="Q36" s="1048">
        <v>45197</v>
      </c>
      <c r="R36" s="1048" t="s">
        <v>0</v>
      </c>
      <c r="S36" s="1050" t="e">
        <f>Q36*$E$3</f>
        <v>#REF!</v>
      </c>
      <c r="T36" s="1050"/>
      <c r="U36" s="1050"/>
    </row>
    <row r="37" spans="2:54" s="1048" customFormat="1" x14ac:dyDescent="0.25">
      <c r="C37" s="1048" t="s">
        <v>206</v>
      </c>
      <c r="D37" s="1048" t="s">
        <v>205</v>
      </c>
      <c r="E37" s="1048" t="s">
        <v>150</v>
      </c>
      <c r="F37" s="1048" t="s">
        <v>207</v>
      </c>
      <c r="G37" s="1048">
        <v>53.192618000000003</v>
      </c>
      <c r="H37" s="1048">
        <v>3.5798749999999999</v>
      </c>
      <c r="I37" s="1048">
        <v>26.6999999999999</v>
      </c>
      <c r="J37" s="1048" t="s">
        <v>88</v>
      </c>
      <c r="K37" s="1048">
        <v>1985</v>
      </c>
      <c r="L37" s="1048" t="s">
        <v>152</v>
      </c>
      <c r="M37" s="1048" t="s">
        <v>123</v>
      </c>
      <c r="N37" s="1048" t="s">
        <v>153</v>
      </c>
      <c r="O37" s="1048" t="s">
        <v>154</v>
      </c>
      <c r="P37" s="1048">
        <v>1600</v>
      </c>
      <c r="Q37" s="1048">
        <v>5000</v>
      </c>
      <c r="R37" s="1048" t="s">
        <v>208</v>
      </c>
      <c r="S37" s="1050" t="e">
        <f t="shared" ref="S37:S39" si="0">Q37*$E$3</f>
        <v>#REF!</v>
      </c>
      <c r="T37" s="1050"/>
    </row>
    <row r="38" spans="2:54" s="1048" customFormat="1" x14ac:dyDescent="0.25">
      <c r="C38" s="1048" t="s">
        <v>203</v>
      </c>
      <c r="D38" s="1048" t="s">
        <v>202</v>
      </c>
      <c r="E38" s="1048" t="s">
        <v>150</v>
      </c>
      <c r="F38" s="1048" t="s">
        <v>204</v>
      </c>
      <c r="G38" s="1048">
        <v>53.270581999999898</v>
      </c>
      <c r="H38" s="1048">
        <v>3.627653</v>
      </c>
      <c r="I38" s="1048">
        <v>26</v>
      </c>
      <c r="J38" s="1048" t="s">
        <v>88</v>
      </c>
      <c r="K38" s="1048">
        <v>1976</v>
      </c>
      <c r="L38" s="1048" t="s">
        <v>152</v>
      </c>
      <c r="M38" s="1048" t="s">
        <v>123</v>
      </c>
      <c r="N38" s="1048" t="s">
        <v>153</v>
      </c>
      <c r="O38" s="1048" t="s">
        <v>154</v>
      </c>
      <c r="P38" s="1048">
        <v>1000</v>
      </c>
      <c r="Q38" s="1048">
        <v>5700</v>
      </c>
      <c r="R38" s="1048" t="s">
        <v>0</v>
      </c>
      <c r="S38" s="1050" t="e">
        <f t="shared" si="0"/>
        <v>#REF!</v>
      </c>
      <c r="T38" s="1050"/>
    </row>
    <row r="39" spans="2:54" s="1048" customFormat="1" x14ac:dyDescent="0.25">
      <c r="C39" s="1048" t="s">
        <v>467</v>
      </c>
      <c r="D39" s="1048" t="s">
        <v>466</v>
      </c>
      <c r="E39" s="1048" t="s">
        <v>150</v>
      </c>
      <c r="F39" s="1048" t="s">
        <v>207</v>
      </c>
      <c r="G39" s="1048">
        <v>53.192618000000003</v>
      </c>
      <c r="H39" s="1048">
        <v>3.5798749999999999</v>
      </c>
      <c r="I39" s="1048">
        <v>27</v>
      </c>
      <c r="J39" s="1048" t="s">
        <v>88</v>
      </c>
      <c r="K39" s="1048">
        <v>1985</v>
      </c>
      <c r="L39" s="1048" t="s">
        <v>152</v>
      </c>
      <c r="M39" s="1048" t="s">
        <v>123</v>
      </c>
      <c r="N39" s="1048" t="s">
        <v>153</v>
      </c>
      <c r="O39" s="1048" t="s">
        <v>154</v>
      </c>
      <c r="P39" s="1048">
        <v>6250</v>
      </c>
      <c r="Q39" s="1048">
        <v>9992</v>
      </c>
      <c r="R39" s="1048" t="s">
        <v>0</v>
      </c>
      <c r="S39" s="1050" t="e">
        <f t="shared" si="0"/>
        <v>#REF!</v>
      </c>
      <c r="T39" s="1050"/>
    </row>
    <row r="40" spans="2:54" hidden="1" x14ac:dyDescent="0.25">
      <c r="B40" s="194"/>
      <c r="C40" s="194" t="s">
        <v>210</v>
      </c>
      <c r="D40" s="194" t="s">
        <v>209</v>
      </c>
      <c r="E40" s="194" t="s">
        <v>150</v>
      </c>
      <c r="F40" s="194" t="s">
        <v>211</v>
      </c>
      <c r="G40" s="194">
        <v>53.249077</v>
      </c>
      <c r="H40" s="194">
        <v>3.9876870000000002</v>
      </c>
      <c r="I40" s="194">
        <v>25</v>
      </c>
      <c r="J40" s="194" t="s">
        <v>88</v>
      </c>
      <c r="K40" s="194">
        <v>1977</v>
      </c>
      <c r="L40" s="194" t="s">
        <v>152</v>
      </c>
      <c r="M40" s="194" t="s">
        <v>123</v>
      </c>
      <c r="N40" s="194" t="s">
        <v>153</v>
      </c>
      <c r="O40" s="194" t="s">
        <v>154</v>
      </c>
      <c r="P40" s="194">
        <v>1260</v>
      </c>
      <c r="Q40" s="194">
        <v>2030</v>
      </c>
      <c r="R40" s="194" t="s">
        <v>0</v>
      </c>
      <c r="S40" s="194"/>
      <c r="T40" s="194"/>
      <c r="U40" s="194"/>
      <c r="V40" s="194"/>
      <c r="W40" s="194"/>
      <c r="X40" s="194"/>
      <c r="Y40" s="194"/>
      <c r="Z40" s="194"/>
      <c r="AA40" s="194"/>
      <c r="AB40" s="194"/>
      <c r="AC40" s="194"/>
      <c r="AD40" s="194"/>
      <c r="AE40" s="194"/>
      <c r="AF40" s="194"/>
      <c r="AG40" s="194"/>
      <c r="AH40" s="194"/>
      <c r="AI40" s="194"/>
      <c r="AJ40" s="194"/>
      <c r="AK40" s="194"/>
      <c r="AL40" s="194"/>
      <c r="AM40" s="194"/>
      <c r="AN40" s="194"/>
      <c r="AO40" s="194"/>
      <c r="AP40" s="194"/>
      <c r="AQ40" s="194"/>
      <c r="AR40" s="194"/>
      <c r="AS40" s="194"/>
      <c r="AT40" s="194"/>
      <c r="AU40" s="194"/>
      <c r="AV40" s="194"/>
      <c r="AW40" s="194"/>
      <c r="AX40" s="194"/>
      <c r="AY40" s="194"/>
      <c r="AZ40" s="194"/>
      <c r="BA40" s="194"/>
      <c r="BB40" s="194"/>
    </row>
    <row r="41" spans="2:54" hidden="1" x14ac:dyDescent="0.25">
      <c r="B41" s="194"/>
      <c r="C41" s="194" t="s">
        <v>213</v>
      </c>
      <c r="D41" s="194" t="s">
        <v>212</v>
      </c>
      <c r="E41" s="194" t="s">
        <v>150</v>
      </c>
      <c r="F41" s="194" t="s">
        <v>214</v>
      </c>
      <c r="G41" s="194">
        <v>53.277639999999899</v>
      </c>
      <c r="H41" s="194">
        <v>3.8731170000000001</v>
      </c>
      <c r="I41" s="194">
        <v>25</v>
      </c>
      <c r="J41" s="194" t="s">
        <v>88</v>
      </c>
      <c r="K41" s="194">
        <v>1978</v>
      </c>
      <c r="L41" s="194" t="s">
        <v>152</v>
      </c>
      <c r="M41" s="194" t="s">
        <v>123</v>
      </c>
      <c r="N41" s="194" t="s">
        <v>153</v>
      </c>
      <c r="O41" s="194" t="s">
        <v>154</v>
      </c>
      <c r="P41" s="194">
        <v>1010</v>
      </c>
      <c r="Q41" s="194">
        <v>1860</v>
      </c>
      <c r="R41" s="194" t="s">
        <v>0</v>
      </c>
      <c r="S41" s="194"/>
      <c r="T41" s="194"/>
      <c r="U41" s="194"/>
      <c r="V41" s="194"/>
      <c r="W41" s="194"/>
      <c r="X41" s="194"/>
      <c r="Y41" s="194"/>
      <c r="Z41" s="194"/>
      <c r="AA41" s="194"/>
      <c r="AB41" s="194"/>
      <c r="AC41" s="194"/>
      <c r="AD41" s="194"/>
      <c r="AE41" s="194"/>
      <c r="AF41" s="194"/>
      <c r="AG41" s="194"/>
      <c r="AH41" s="194"/>
      <c r="AI41" s="194"/>
      <c r="AJ41" s="194"/>
      <c r="AK41" s="194"/>
      <c r="AL41" s="194"/>
      <c r="AM41" s="194"/>
      <c r="AN41" s="194"/>
      <c r="AO41" s="194"/>
      <c r="AP41" s="194"/>
      <c r="AQ41" s="194"/>
      <c r="AR41" s="194"/>
      <c r="AS41" s="194"/>
      <c r="AT41" s="194"/>
      <c r="AU41" s="194"/>
      <c r="AV41" s="194"/>
      <c r="AW41" s="194"/>
      <c r="AX41" s="194"/>
      <c r="AY41" s="194"/>
      <c r="AZ41" s="194"/>
      <c r="BA41" s="194"/>
      <c r="BB41" s="194"/>
    </row>
    <row r="42" spans="2:54" hidden="1" x14ac:dyDescent="0.25">
      <c r="B42" s="194"/>
      <c r="C42" s="194" t="s">
        <v>216</v>
      </c>
      <c r="D42" s="194" t="s">
        <v>215</v>
      </c>
      <c r="E42" s="194" t="s">
        <v>150</v>
      </c>
      <c r="F42" s="194" t="s">
        <v>217</v>
      </c>
      <c r="G42" s="194">
        <v>53.253821000000002</v>
      </c>
      <c r="H42" s="194">
        <v>3.7640790000000002</v>
      </c>
      <c r="I42" s="194">
        <v>25</v>
      </c>
      <c r="J42" s="194" t="s">
        <v>88</v>
      </c>
      <c r="K42" s="194">
        <v>1989</v>
      </c>
      <c r="L42" s="194" t="s">
        <v>152</v>
      </c>
      <c r="M42" s="194" t="s">
        <v>123</v>
      </c>
      <c r="N42" s="194" t="s">
        <v>153</v>
      </c>
      <c r="O42" s="194" t="s">
        <v>154</v>
      </c>
      <c r="P42" s="194">
        <v>350</v>
      </c>
      <c r="Q42" s="194">
        <v>442</v>
      </c>
      <c r="R42" s="194" t="s">
        <v>0</v>
      </c>
      <c r="S42" s="194"/>
      <c r="T42" s="194"/>
      <c r="U42" s="194"/>
      <c r="V42" s="194"/>
      <c r="W42" s="194"/>
      <c r="X42" s="194"/>
      <c r="Y42" s="194"/>
      <c r="Z42" s="194"/>
      <c r="AA42" s="194"/>
      <c r="AB42" s="194"/>
      <c r="AC42" s="194"/>
      <c r="AD42" s="194"/>
      <c r="AE42" s="194"/>
      <c r="AF42" s="194"/>
      <c r="AG42" s="194"/>
      <c r="AH42" s="194"/>
      <c r="AI42" s="194"/>
      <c r="AJ42" s="194"/>
      <c r="AK42" s="194"/>
      <c r="AL42" s="194"/>
      <c r="AM42" s="194"/>
      <c r="AN42" s="194"/>
      <c r="AO42" s="194"/>
      <c r="AP42" s="194"/>
      <c r="AQ42" s="194"/>
      <c r="AR42" s="194"/>
      <c r="AS42" s="194"/>
      <c r="AT42" s="194"/>
      <c r="AU42" s="194"/>
      <c r="AV42" s="194"/>
      <c r="AW42" s="194"/>
      <c r="AX42" s="194"/>
      <c r="AY42" s="194"/>
      <c r="AZ42" s="194"/>
      <c r="BA42" s="194"/>
      <c r="BB42" s="194"/>
    </row>
    <row r="43" spans="2:54" hidden="1" x14ac:dyDescent="0.25">
      <c r="B43" s="194"/>
      <c r="C43" s="194" t="s">
        <v>219</v>
      </c>
      <c r="D43" s="194" t="s">
        <v>218</v>
      </c>
      <c r="E43" s="194" t="s">
        <v>150</v>
      </c>
      <c r="F43" s="194" t="s">
        <v>220</v>
      </c>
      <c r="G43" s="194">
        <v>53.307234999999899</v>
      </c>
      <c r="H43" s="194">
        <v>3.948251</v>
      </c>
      <c r="I43" s="194">
        <v>25</v>
      </c>
      <c r="J43" s="194" t="s">
        <v>88</v>
      </c>
      <c r="K43" s="194">
        <v>1990</v>
      </c>
      <c r="L43" s="194" t="s">
        <v>152</v>
      </c>
      <c r="M43" s="194" t="s">
        <v>123</v>
      </c>
      <c r="N43" s="194" t="s">
        <v>153</v>
      </c>
      <c r="O43" s="194" t="s">
        <v>154</v>
      </c>
      <c r="P43" s="194">
        <v>200</v>
      </c>
      <c r="Q43" s="194">
        <v>380</v>
      </c>
      <c r="R43" s="194" t="s">
        <v>0</v>
      </c>
      <c r="S43" s="194"/>
      <c r="T43" s="194"/>
      <c r="U43" s="194"/>
      <c r="V43" s="194"/>
      <c r="W43" s="194"/>
      <c r="X43" s="194"/>
      <c r="Y43" s="194"/>
      <c r="Z43" s="194"/>
      <c r="AA43" s="194"/>
      <c r="AB43" s="194"/>
      <c r="AC43" s="194"/>
      <c r="AD43" s="194"/>
      <c r="AE43" s="194"/>
      <c r="AF43" s="194"/>
      <c r="AG43" s="194"/>
      <c r="AH43" s="194"/>
      <c r="AI43" s="194"/>
      <c r="AJ43" s="194"/>
      <c r="AK43" s="194"/>
      <c r="AL43" s="194"/>
      <c r="AM43" s="194"/>
      <c r="AN43" s="194"/>
      <c r="AO43" s="194"/>
      <c r="AP43" s="194"/>
      <c r="AQ43" s="194"/>
      <c r="AR43" s="194"/>
      <c r="AS43" s="194"/>
      <c r="AT43" s="194"/>
      <c r="AU43" s="194"/>
      <c r="AV43" s="194"/>
      <c r="AW43" s="194"/>
      <c r="AX43" s="194"/>
      <c r="AY43" s="194"/>
      <c r="AZ43" s="194"/>
      <c r="BA43" s="194"/>
      <c r="BB43" s="194"/>
    </row>
    <row r="44" spans="2:54" hidden="1" x14ac:dyDescent="0.25">
      <c r="B44" s="194"/>
      <c r="C44" s="194" t="s">
        <v>464</v>
      </c>
      <c r="D44" s="194" t="s">
        <v>463</v>
      </c>
      <c r="E44" s="194" t="s">
        <v>150</v>
      </c>
      <c r="F44" s="194" t="s">
        <v>465</v>
      </c>
      <c r="G44" s="194">
        <v>53.218789000000001</v>
      </c>
      <c r="H44" s="194">
        <v>3.9206259999999999</v>
      </c>
      <c r="I44" s="194">
        <v>27.399999999999899</v>
      </c>
      <c r="J44" s="194" t="s">
        <v>88</v>
      </c>
      <c r="K44" s="194">
        <v>2003</v>
      </c>
      <c r="L44" s="194" t="s">
        <v>152</v>
      </c>
      <c r="M44" s="194" t="s">
        <v>123</v>
      </c>
      <c r="N44" s="194" t="s">
        <v>153</v>
      </c>
      <c r="O44" s="194" t="s">
        <v>154</v>
      </c>
      <c r="P44" s="194">
        <v>724</v>
      </c>
      <c r="Q44" s="194">
        <v>550</v>
      </c>
      <c r="R44" s="194" t="s">
        <v>0</v>
      </c>
      <c r="S44" s="194"/>
      <c r="T44" s="194"/>
      <c r="U44" s="194"/>
      <c r="V44" s="194"/>
      <c r="W44" s="194"/>
      <c r="X44" s="194"/>
      <c r="Y44" s="194"/>
      <c r="Z44" s="194"/>
      <c r="AA44" s="194"/>
      <c r="AB44" s="194"/>
      <c r="AC44" s="194"/>
      <c r="AD44" s="194"/>
      <c r="AE44" s="194"/>
      <c r="AF44" s="194"/>
      <c r="AG44" s="194"/>
      <c r="AH44" s="194"/>
      <c r="AI44" s="194"/>
      <c r="AJ44" s="194"/>
      <c r="AK44" s="194"/>
      <c r="AL44" s="194"/>
      <c r="AM44" s="194"/>
      <c r="AN44" s="194"/>
      <c r="AO44" s="194"/>
      <c r="AP44" s="194"/>
      <c r="AQ44" s="194"/>
      <c r="AR44" s="194"/>
      <c r="AS44" s="194"/>
      <c r="AT44" s="194"/>
      <c r="AU44" s="194"/>
      <c r="AV44" s="194"/>
      <c r="AW44" s="194"/>
      <c r="AX44" s="194"/>
      <c r="AY44" s="194"/>
      <c r="AZ44" s="194"/>
      <c r="BA44" s="194"/>
      <c r="BB44" s="194"/>
    </row>
    <row r="45" spans="2:54" hidden="1" x14ac:dyDescent="0.25">
      <c r="B45" s="194"/>
      <c r="C45" s="194" t="s">
        <v>495</v>
      </c>
      <c r="D45" s="194" t="s">
        <v>494</v>
      </c>
      <c r="E45" s="194" t="s">
        <v>150</v>
      </c>
      <c r="F45" s="194" t="s">
        <v>496</v>
      </c>
      <c r="G45" s="194">
        <v>53.064728000000002</v>
      </c>
      <c r="H45" s="194">
        <v>3.5386510000000002</v>
      </c>
      <c r="I45" s="194">
        <v>20</v>
      </c>
      <c r="J45" s="194" t="s">
        <v>88</v>
      </c>
      <c r="K45" s="194">
        <v>2005</v>
      </c>
      <c r="L45" s="194" t="s">
        <v>152</v>
      </c>
      <c r="M45" s="194" t="s">
        <v>123</v>
      </c>
      <c r="N45" s="194" t="s">
        <v>153</v>
      </c>
      <c r="O45" s="194" t="s">
        <v>154</v>
      </c>
      <c r="P45" s="194">
        <v>160</v>
      </c>
      <c r="Q45" s="194">
        <v>205</v>
      </c>
      <c r="R45" s="194" t="s">
        <v>497</v>
      </c>
      <c r="S45" s="194"/>
      <c r="T45" s="194"/>
      <c r="U45" s="194"/>
      <c r="V45" s="194"/>
      <c r="W45" s="194"/>
      <c r="X45" s="194"/>
      <c r="Y45" s="194"/>
      <c r="Z45" s="194"/>
      <c r="AA45" s="194"/>
      <c r="AB45" s="194"/>
      <c r="AC45" s="194"/>
      <c r="AD45" s="194"/>
      <c r="AE45" s="194"/>
      <c r="AF45" s="194"/>
      <c r="AG45" s="194"/>
      <c r="AH45" s="194"/>
      <c r="AI45" s="194"/>
      <c r="AJ45" s="194"/>
      <c r="AK45" s="194"/>
      <c r="AL45" s="194"/>
      <c r="AM45" s="194"/>
      <c r="AN45" s="194"/>
      <c r="AO45" s="194"/>
      <c r="AP45" s="194"/>
      <c r="AQ45" s="194"/>
      <c r="AR45" s="194"/>
      <c r="AS45" s="194"/>
      <c r="AT45" s="194"/>
      <c r="AU45" s="194"/>
      <c r="AV45" s="194"/>
      <c r="AW45" s="194"/>
      <c r="AX45" s="194"/>
      <c r="AY45" s="194"/>
      <c r="AZ45" s="194"/>
      <c r="BA45" s="194"/>
      <c r="BB45" s="194"/>
    </row>
    <row r="46" spans="2:54" hidden="1" x14ac:dyDescent="0.25">
      <c r="B46" s="194"/>
      <c r="C46" s="194" t="s">
        <v>415</v>
      </c>
      <c r="D46" s="194" t="s">
        <v>414</v>
      </c>
      <c r="E46" s="194" t="s">
        <v>150</v>
      </c>
      <c r="F46" s="194" t="s">
        <v>416</v>
      </c>
      <c r="G46" s="194">
        <v>53.845122000000003</v>
      </c>
      <c r="H46" s="194">
        <v>3.0796899999999998</v>
      </c>
      <c r="I46" s="194">
        <v>51.2</v>
      </c>
      <c r="J46" s="194" t="s">
        <v>84</v>
      </c>
      <c r="K46" s="194">
        <v>2002</v>
      </c>
      <c r="L46" s="194" t="s">
        <v>152</v>
      </c>
      <c r="M46" s="194" t="s">
        <v>123</v>
      </c>
      <c r="N46" s="194" t="s">
        <v>153</v>
      </c>
      <c r="O46" s="194" t="s">
        <v>154</v>
      </c>
      <c r="P46" s="194">
        <v>1000</v>
      </c>
      <c r="Q46" s="194">
        <v>800</v>
      </c>
      <c r="R46" s="194" t="s">
        <v>0</v>
      </c>
      <c r="S46" s="194"/>
      <c r="T46" s="194"/>
      <c r="U46" s="194"/>
      <c r="V46" s="194"/>
      <c r="W46" s="194"/>
      <c r="X46" s="194"/>
      <c r="Y46" s="194"/>
      <c r="Z46" s="194"/>
      <c r="AA46" s="194"/>
      <c r="AB46" s="194"/>
      <c r="AC46" s="194"/>
      <c r="AD46" s="194"/>
      <c r="AE46" s="194"/>
      <c r="AF46" s="194"/>
      <c r="AG46" s="194"/>
      <c r="AH46" s="194"/>
      <c r="AI46" s="194"/>
      <c r="AJ46" s="194"/>
      <c r="AK46" s="194"/>
      <c r="AL46" s="194"/>
      <c r="AM46" s="194"/>
      <c r="AN46" s="194"/>
      <c r="AO46" s="194"/>
      <c r="AP46" s="194"/>
      <c r="AQ46" s="194"/>
      <c r="AR46" s="194"/>
      <c r="AS46" s="194"/>
      <c r="AT46" s="194"/>
      <c r="AU46" s="194"/>
      <c r="AV46" s="194"/>
      <c r="AW46" s="194"/>
      <c r="AX46" s="194"/>
      <c r="AY46" s="194"/>
      <c r="AZ46" s="194"/>
      <c r="BA46" s="194"/>
      <c r="BB46" s="194"/>
    </row>
    <row r="47" spans="2:54" hidden="1" x14ac:dyDescent="0.25">
      <c r="B47" s="194"/>
      <c r="C47" s="194" t="s">
        <v>488</v>
      </c>
      <c r="D47" s="194" t="s">
        <v>487</v>
      </c>
      <c r="E47" s="194" t="s">
        <v>150</v>
      </c>
      <c r="F47" s="194" t="s">
        <v>489</v>
      </c>
      <c r="G47" s="194">
        <v>53.950595</v>
      </c>
      <c r="H47" s="194">
        <v>3.663662</v>
      </c>
      <c r="I47" s="194">
        <v>43</v>
      </c>
      <c r="J47" s="194" t="s">
        <v>183</v>
      </c>
      <c r="K47" s="194">
        <v>2005</v>
      </c>
      <c r="L47" s="194" t="s">
        <v>152</v>
      </c>
      <c r="M47" s="194" t="s">
        <v>123</v>
      </c>
      <c r="N47" s="194" t="s">
        <v>153</v>
      </c>
      <c r="O47" s="194" t="s">
        <v>154</v>
      </c>
      <c r="P47" s="194">
        <v>1050</v>
      </c>
      <c r="Q47" s="194">
        <v>1310</v>
      </c>
      <c r="R47" s="194" t="s">
        <v>490</v>
      </c>
      <c r="S47" s="194"/>
      <c r="T47" s="194"/>
      <c r="U47" s="194"/>
      <c r="V47" s="194"/>
      <c r="W47" s="194"/>
      <c r="X47" s="194"/>
      <c r="Y47" s="194"/>
      <c r="Z47" s="194"/>
      <c r="AA47" s="194"/>
      <c r="AB47" s="194"/>
      <c r="AC47" s="194"/>
      <c r="AD47" s="194"/>
      <c r="AE47" s="194"/>
      <c r="AF47" s="194"/>
      <c r="AG47" s="194"/>
      <c r="AH47" s="194"/>
      <c r="AI47" s="194"/>
      <c r="AJ47" s="194"/>
      <c r="AK47" s="194"/>
      <c r="AL47" s="194"/>
      <c r="AM47" s="194"/>
      <c r="AN47" s="194"/>
      <c r="AO47" s="194"/>
      <c r="AP47" s="194"/>
      <c r="AQ47" s="194"/>
      <c r="AR47" s="194"/>
      <c r="AS47" s="194"/>
      <c r="AT47" s="194"/>
      <c r="AU47" s="194"/>
      <c r="AV47" s="194"/>
      <c r="AW47" s="194"/>
      <c r="AX47" s="194"/>
      <c r="AY47" s="194"/>
      <c r="AZ47" s="194"/>
      <c r="BA47" s="194"/>
      <c r="BB47" s="194"/>
    </row>
    <row r="48" spans="2:54" hidden="1" x14ac:dyDescent="0.25">
      <c r="B48" s="194"/>
      <c r="C48" s="194" t="s">
        <v>418</v>
      </c>
      <c r="D48" s="194" t="s">
        <v>417</v>
      </c>
      <c r="E48" s="194" t="s">
        <v>150</v>
      </c>
      <c r="F48" s="194" t="s">
        <v>419</v>
      </c>
      <c r="G48" s="194">
        <v>53.752156999999897</v>
      </c>
      <c r="H48" s="194">
        <v>3.3110339999999998</v>
      </c>
      <c r="I48" s="194">
        <v>37.5</v>
      </c>
      <c r="J48" s="194" t="s">
        <v>84</v>
      </c>
      <c r="K48" s="194">
        <v>1998</v>
      </c>
      <c r="L48" s="194" t="s">
        <v>152</v>
      </c>
      <c r="M48" s="194" t="s">
        <v>123</v>
      </c>
      <c r="N48" s="194" t="s">
        <v>153</v>
      </c>
      <c r="O48" s="194" t="s">
        <v>154</v>
      </c>
      <c r="P48" s="194">
        <v>630</v>
      </c>
      <c r="Q48" s="194">
        <v>673</v>
      </c>
      <c r="R48" s="194" t="s">
        <v>0</v>
      </c>
      <c r="S48" s="194"/>
      <c r="T48" s="194"/>
      <c r="U48" s="194"/>
      <c r="V48" s="194"/>
      <c r="W48" s="194"/>
      <c r="X48" s="194"/>
      <c r="Y48" s="194"/>
      <c r="Z48" s="194"/>
      <c r="AA48" s="194"/>
      <c r="AB48" s="194"/>
      <c r="AC48" s="194"/>
      <c r="AD48" s="194"/>
      <c r="AE48" s="194"/>
      <c r="AF48" s="194"/>
      <c r="AG48" s="194"/>
      <c r="AH48" s="194"/>
      <c r="AI48" s="194"/>
      <c r="AJ48" s="194"/>
      <c r="AK48" s="194"/>
      <c r="AL48" s="194"/>
      <c r="AM48" s="194"/>
      <c r="AN48" s="194"/>
      <c r="AO48" s="194"/>
      <c r="AP48" s="194"/>
      <c r="AQ48" s="194"/>
      <c r="AR48" s="194"/>
      <c r="AS48" s="194"/>
      <c r="AT48" s="194"/>
      <c r="AU48" s="194"/>
      <c r="AV48" s="194"/>
      <c r="AW48" s="194"/>
      <c r="AX48" s="194"/>
      <c r="AY48" s="194"/>
      <c r="AZ48" s="194"/>
      <c r="BA48" s="194"/>
      <c r="BB48" s="194"/>
    </row>
    <row r="49" spans="2:54" hidden="1" x14ac:dyDescent="0.25">
      <c r="B49" s="194"/>
      <c r="C49" s="194" t="s">
        <v>421</v>
      </c>
      <c r="D49" s="194" t="s">
        <v>420</v>
      </c>
      <c r="E49" s="194" t="s">
        <v>150</v>
      </c>
      <c r="F49" s="194" t="s">
        <v>422</v>
      </c>
      <c r="G49" s="194">
        <v>53.767059000000003</v>
      </c>
      <c r="H49" s="194">
        <v>3.1968139999999998</v>
      </c>
      <c r="I49" s="194">
        <v>45.6</v>
      </c>
      <c r="J49" s="194" t="s">
        <v>84</v>
      </c>
      <c r="K49" s="194">
        <v>2001</v>
      </c>
      <c r="L49" s="194" t="s">
        <v>152</v>
      </c>
      <c r="M49" s="194" t="s">
        <v>123</v>
      </c>
      <c r="N49" s="194" t="s">
        <v>153</v>
      </c>
      <c r="O49" s="194" t="s">
        <v>154</v>
      </c>
      <c r="P49" s="194">
        <v>700</v>
      </c>
      <c r="Q49" s="194">
        <v>800</v>
      </c>
      <c r="R49" s="194" t="s">
        <v>0</v>
      </c>
      <c r="S49" s="194"/>
      <c r="T49" s="194"/>
      <c r="U49" s="194"/>
      <c r="V49" s="194"/>
      <c r="W49" s="194"/>
      <c r="X49" s="194"/>
      <c r="Y49" s="194"/>
      <c r="Z49" s="194"/>
      <c r="AA49" s="194"/>
      <c r="AB49" s="194"/>
      <c r="AC49" s="194"/>
      <c r="AD49" s="194"/>
      <c r="AE49" s="194"/>
      <c r="AF49" s="194"/>
      <c r="AG49" s="194"/>
      <c r="AH49" s="194"/>
      <c r="AI49" s="194"/>
      <c r="AJ49" s="194"/>
      <c r="AK49" s="194"/>
      <c r="AL49" s="194"/>
      <c r="AM49" s="194"/>
      <c r="AN49" s="194"/>
      <c r="AO49" s="194"/>
      <c r="AP49" s="194"/>
      <c r="AQ49" s="194"/>
      <c r="AR49" s="194"/>
      <c r="AS49" s="194"/>
      <c r="AT49" s="194"/>
      <c r="AU49" s="194"/>
      <c r="AV49" s="194"/>
      <c r="AW49" s="194"/>
      <c r="AX49" s="194"/>
      <c r="AY49" s="194"/>
      <c r="AZ49" s="194"/>
      <c r="BA49" s="194"/>
      <c r="BB49" s="194"/>
    </row>
    <row r="50" spans="2:54" s="26" customFormat="1" x14ac:dyDescent="0.25">
      <c r="C50" s="26" t="s">
        <v>222</v>
      </c>
      <c r="D50" s="26" t="s">
        <v>221</v>
      </c>
      <c r="E50" s="26" t="s">
        <v>150</v>
      </c>
      <c r="F50" s="26" t="s">
        <v>223</v>
      </c>
      <c r="G50" s="26">
        <v>53.697527000000001</v>
      </c>
      <c r="H50" s="26">
        <v>3.340363</v>
      </c>
      <c r="I50" s="26">
        <v>44.299999999999898</v>
      </c>
      <c r="J50" s="26" t="s">
        <v>84</v>
      </c>
      <c r="K50" s="26">
        <v>1994</v>
      </c>
      <c r="L50" s="26" t="s">
        <v>152</v>
      </c>
      <c r="M50" s="26" t="s">
        <v>123</v>
      </c>
      <c r="N50" s="26" t="s">
        <v>153</v>
      </c>
      <c r="O50" s="26" t="s">
        <v>154</v>
      </c>
      <c r="P50" s="26">
        <v>732</v>
      </c>
      <c r="Q50" s="26">
        <v>956</v>
      </c>
      <c r="R50" s="26" t="s">
        <v>0</v>
      </c>
      <c r="S50" s="1051" t="e">
        <f>Q50*$E$4</f>
        <v>#REF!</v>
      </c>
      <c r="T50" s="1051"/>
    </row>
    <row r="51" spans="2:54" s="26" customFormat="1" x14ac:dyDescent="0.25">
      <c r="C51" s="26" t="s">
        <v>222</v>
      </c>
      <c r="D51" s="26" t="s">
        <v>471</v>
      </c>
      <c r="E51" s="26" t="s">
        <v>150</v>
      </c>
      <c r="F51" s="26" t="s">
        <v>223</v>
      </c>
      <c r="G51" s="26">
        <v>53.697808000000002</v>
      </c>
      <c r="H51" s="26">
        <v>3.3394710000000001</v>
      </c>
      <c r="I51" s="26">
        <v>40.299999999999898</v>
      </c>
      <c r="J51" s="26" t="s">
        <v>84</v>
      </c>
      <c r="K51" s="26">
        <v>2003</v>
      </c>
      <c r="L51" s="26" t="s">
        <v>152</v>
      </c>
      <c r="M51" s="26" t="s">
        <v>123</v>
      </c>
      <c r="N51" s="26" t="s">
        <v>153</v>
      </c>
      <c r="O51" s="26" t="s">
        <v>154</v>
      </c>
      <c r="P51" s="26">
        <v>500</v>
      </c>
      <c r="Q51" s="26">
        <v>2070</v>
      </c>
      <c r="R51" s="26" t="s">
        <v>18</v>
      </c>
      <c r="S51" s="1051" t="e">
        <f t="shared" ref="S51" si="1">Q51*$E$3</f>
        <v>#REF!</v>
      </c>
      <c r="T51" s="1051"/>
    </row>
    <row r="52" spans="2:54" s="26" customFormat="1" x14ac:dyDescent="0.25">
      <c r="C52" s="26" t="s">
        <v>225</v>
      </c>
      <c r="D52" s="26" t="s">
        <v>224</v>
      </c>
      <c r="E52" s="26" t="s">
        <v>150</v>
      </c>
      <c r="F52" s="26" t="s">
        <v>226</v>
      </c>
      <c r="G52" s="26">
        <v>53.715949000000002</v>
      </c>
      <c r="H52" s="26">
        <v>3.4285640000000002</v>
      </c>
      <c r="I52" s="26">
        <v>40.299999999999898</v>
      </c>
      <c r="J52" s="26" t="s">
        <v>84</v>
      </c>
      <c r="K52" s="26">
        <v>1995</v>
      </c>
      <c r="L52" s="26" t="s">
        <v>152</v>
      </c>
      <c r="M52" s="26" t="s">
        <v>123</v>
      </c>
      <c r="N52" s="26" t="s">
        <v>153</v>
      </c>
      <c r="O52" s="26" t="s">
        <v>154</v>
      </c>
      <c r="P52" s="26">
        <v>654</v>
      </c>
      <c r="Q52" s="26">
        <v>673</v>
      </c>
      <c r="R52" s="26" t="s">
        <v>0</v>
      </c>
      <c r="S52" s="1051" t="e">
        <f t="shared" ref="S52:S54" si="2">Q52*$E$4</f>
        <v>#REF!</v>
      </c>
      <c r="T52" s="1051"/>
    </row>
    <row r="53" spans="2:54" s="26" customFormat="1" x14ac:dyDescent="0.25">
      <c r="C53" s="26" t="s">
        <v>228</v>
      </c>
      <c r="D53" s="26" t="s">
        <v>227</v>
      </c>
      <c r="E53" s="26" t="s">
        <v>150</v>
      </c>
      <c r="F53" s="26" t="s">
        <v>229</v>
      </c>
      <c r="G53" s="26">
        <v>53.692807000000002</v>
      </c>
      <c r="H53" s="26">
        <v>3.4886499999999998</v>
      </c>
      <c r="I53" s="26">
        <v>39</v>
      </c>
      <c r="J53" s="26" t="s">
        <v>84</v>
      </c>
      <c r="K53" s="26">
        <v>1994</v>
      </c>
      <c r="L53" s="26" t="s">
        <v>152</v>
      </c>
      <c r="M53" s="26" t="s">
        <v>123</v>
      </c>
      <c r="N53" s="26" t="s">
        <v>153</v>
      </c>
      <c r="O53" s="26" t="s">
        <v>154</v>
      </c>
      <c r="P53" s="26">
        <v>500</v>
      </c>
      <c r="Q53" s="26">
        <v>900</v>
      </c>
      <c r="R53" s="26" t="s">
        <v>0</v>
      </c>
      <c r="S53" s="1051" t="e">
        <f t="shared" si="2"/>
        <v>#REF!</v>
      </c>
      <c r="T53" s="1051"/>
    </row>
    <row r="54" spans="2:54" s="26" customFormat="1" x14ac:dyDescent="0.25">
      <c r="C54" s="26" t="s">
        <v>469</v>
      </c>
      <c r="D54" s="26" t="s">
        <v>468</v>
      </c>
      <c r="E54" s="26" t="s">
        <v>150</v>
      </c>
      <c r="F54" s="26" t="s">
        <v>470</v>
      </c>
      <c r="G54" s="26">
        <v>53.712626</v>
      </c>
      <c r="H54" s="26">
        <v>3.51247</v>
      </c>
      <c r="I54" s="26">
        <v>38.5</v>
      </c>
      <c r="J54" s="26" t="s">
        <v>84</v>
      </c>
      <c r="K54" s="26">
        <v>1997</v>
      </c>
      <c r="L54" s="26" t="s">
        <v>152</v>
      </c>
      <c r="M54" s="26" t="s">
        <v>123</v>
      </c>
      <c r="N54" s="26" t="s">
        <v>153</v>
      </c>
      <c r="O54" s="26" t="s">
        <v>154</v>
      </c>
      <c r="P54" s="26">
        <v>630</v>
      </c>
      <c r="Q54" s="26">
        <v>673</v>
      </c>
      <c r="R54" s="26" t="s">
        <v>0</v>
      </c>
      <c r="S54" s="1051" t="e">
        <f t="shared" si="2"/>
        <v>#REF!</v>
      </c>
      <c r="T54" s="1051"/>
    </row>
    <row r="55" spans="2:54" s="26" customFormat="1" x14ac:dyDescent="0.25">
      <c r="C55" s="26" t="s">
        <v>231</v>
      </c>
      <c r="D55" s="26" t="s">
        <v>230</v>
      </c>
      <c r="E55" s="26" t="s">
        <v>150</v>
      </c>
      <c r="F55" s="26" t="s">
        <v>223</v>
      </c>
      <c r="G55" s="26">
        <v>53.697527000000001</v>
      </c>
      <c r="H55" s="26">
        <v>3.340363</v>
      </c>
      <c r="I55" s="26">
        <v>40.299999999999898</v>
      </c>
      <c r="J55" s="26" t="s">
        <v>84</v>
      </c>
      <c r="K55" s="26">
        <v>1994</v>
      </c>
      <c r="L55" s="26" t="s">
        <v>152</v>
      </c>
      <c r="M55" s="26" t="s">
        <v>123</v>
      </c>
      <c r="N55" s="26" t="s">
        <v>153</v>
      </c>
      <c r="O55" s="26" t="s">
        <v>154</v>
      </c>
      <c r="P55" s="26">
        <v>456</v>
      </c>
      <c r="Q55" s="26">
        <v>2359</v>
      </c>
      <c r="R55" s="26" t="s">
        <v>232</v>
      </c>
      <c r="S55" s="1051" t="e">
        <f t="shared" ref="S55" si="3">Q55*$E$3</f>
        <v>#REF!</v>
      </c>
      <c r="T55" s="1051"/>
    </row>
    <row r="56" spans="2:54" hidden="1" x14ac:dyDescent="0.25">
      <c r="B56" s="194"/>
      <c r="C56" s="194" t="s">
        <v>234</v>
      </c>
      <c r="D56" s="194" t="s">
        <v>233</v>
      </c>
      <c r="E56" s="194" t="s">
        <v>150</v>
      </c>
      <c r="F56" s="194" t="s">
        <v>235</v>
      </c>
      <c r="G56" s="194">
        <v>53.700321000000002</v>
      </c>
      <c r="H56" s="194">
        <v>3.8705259999999999</v>
      </c>
      <c r="I56" s="194">
        <v>39.5</v>
      </c>
      <c r="J56" s="194" t="s">
        <v>84</v>
      </c>
      <c r="K56" s="194">
        <v>1992</v>
      </c>
      <c r="L56" s="194" t="s">
        <v>152</v>
      </c>
      <c r="M56" s="194" t="s">
        <v>123</v>
      </c>
      <c r="N56" s="194" t="s">
        <v>153</v>
      </c>
      <c r="O56" s="194" t="s">
        <v>154</v>
      </c>
      <c r="P56" s="194">
        <v>456</v>
      </c>
      <c r="Q56" s="194">
        <v>1480</v>
      </c>
      <c r="R56" s="194" t="s">
        <v>0</v>
      </c>
      <c r="S56" s="194"/>
      <c r="T56" s="194"/>
      <c r="U56" s="194"/>
      <c r="V56" s="194"/>
      <c r="W56" s="194"/>
      <c r="X56" s="194"/>
      <c r="Y56" s="194"/>
      <c r="Z56" s="194"/>
      <c r="AA56" s="194"/>
      <c r="AB56" s="194"/>
      <c r="AC56" s="194"/>
      <c r="AD56" s="194"/>
      <c r="AE56" s="194"/>
      <c r="AF56" s="194"/>
      <c r="AG56" s="194"/>
      <c r="AH56" s="194"/>
      <c r="AI56" s="194"/>
      <c r="AJ56" s="194"/>
      <c r="AK56" s="194"/>
      <c r="AL56" s="194"/>
      <c r="AM56" s="194"/>
      <c r="AN56" s="194"/>
      <c r="AO56" s="194"/>
      <c r="AP56" s="194"/>
      <c r="AQ56" s="194"/>
      <c r="AR56" s="194"/>
      <c r="AS56" s="194"/>
      <c r="AT56" s="194"/>
      <c r="AU56" s="194"/>
      <c r="AV56" s="194"/>
      <c r="AW56" s="194"/>
      <c r="AX56" s="194"/>
      <c r="AY56" s="194"/>
      <c r="AZ56" s="194"/>
      <c r="BA56" s="194"/>
      <c r="BB56" s="194"/>
    </row>
    <row r="57" spans="2:54" hidden="1" x14ac:dyDescent="0.25">
      <c r="B57" s="194"/>
      <c r="C57" s="194" t="s">
        <v>237</v>
      </c>
      <c r="D57" s="194" t="s">
        <v>236</v>
      </c>
      <c r="E57" s="194" t="s">
        <v>150</v>
      </c>
      <c r="F57" s="194" t="s">
        <v>238</v>
      </c>
      <c r="G57" s="194">
        <v>53.676862999999898</v>
      </c>
      <c r="H57" s="194">
        <v>3.8296670000000002</v>
      </c>
      <c r="I57" s="194">
        <v>39</v>
      </c>
      <c r="J57" s="194" t="s">
        <v>84</v>
      </c>
      <c r="K57" s="194">
        <v>1992</v>
      </c>
      <c r="L57" s="194" t="s">
        <v>152</v>
      </c>
      <c r="M57" s="194" t="s">
        <v>123</v>
      </c>
      <c r="N57" s="194" t="s">
        <v>153</v>
      </c>
      <c r="O57" s="194" t="s">
        <v>154</v>
      </c>
      <c r="P57" s="194">
        <v>455</v>
      </c>
      <c r="Q57" s="194">
        <v>716</v>
      </c>
      <c r="R57" s="194" t="s">
        <v>0</v>
      </c>
      <c r="S57" s="194"/>
      <c r="T57" s="194"/>
      <c r="U57" s="194"/>
      <c r="V57" s="194"/>
      <c r="W57" s="194"/>
      <c r="X57" s="194"/>
      <c r="Y57" s="194"/>
      <c r="Z57" s="194"/>
      <c r="AA57" s="194"/>
      <c r="AB57" s="194"/>
      <c r="AC57" s="194"/>
      <c r="AD57" s="194"/>
      <c r="AE57" s="194"/>
      <c r="AF57" s="194"/>
      <c r="AG57" s="194"/>
      <c r="AH57" s="194"/>
      <c r="AI57" s="194"/>
      <c r="AJ57" s="194"/>
      <c r="AK57" s="194"/>
      <c r="AL57" s="194"/>
      <c r="AM57" s="194"/>
      <c r="AN57" s="194"/>
      <c r="AO57" s="194"/>
      <c r="AP57" s="194"/>
      <c r="AQ57" s="194"/>
      <c r="AR57" s="194"/>
      <c r="AS57" s="194"/>
      <c r="AT57" s="194"/>
      <c r="AU57" s="194"/>
      <c r="AV57" s="194"/>
      <c r="AW57" s="194"/>
      <c r="AX57" s="194"/>
      <c r="AY57" s="194"/>
      <c r="AZ57" s="194"/>
      <c r="BA57" s="194"/>
      <c r="BB57" s="194"/>
    </row>
    <row r="58" spans="2:54" hidden="1" x14ac:dyDescent="0.25">
      <c r="B58" s="194"/>
      <c r="C58" s="194" t="s">
        <v>240</v>
      </c>
      <c r="D58" s="194" t="s">
        <v>239</v>
      </c>
      <c r="E58" s="194" t="s">
        <v>150</v>
      </c>
      <c r="F58" s="194" t="s">
        <v>241</v>
      </c>
      <c r="G58" s="194">
        <v>53.727587</v>
      </c>
      <c r="H58" s="194">
        <v>3.8058369999999999</v>
      </c>
      <c r="I58" s="194">
        <v>38.200000000000003</v>
      </c>
      <c r="J58" s="194" t="s">
        <v>84</v>
      </c>
      <c r="K58" s="194">
        <v>1992</v>
      </c>
      <c r="L58" s="194" t="s">
        <v>152</v>
      </c>
      <c r="M58" s="194" t="s">
        <v>123</v>
      </c>
      <c r="N58" s="194" t="s">
        <v>153</v>
      </c>
      <c r="O58" s="194" t="s">
        <v>154</v>
      </c>
      <c r="P58" s="194">
        <v>500</v>
      </c>
      <c r="Q58" s="194">
        <v>900</v>
      </c>
      <c r="R58" s="194" t="s">
        <v>0</v>
      </c>
      <c r="S58" s="194"/>
      <c r="T58" s="194"/>
      <c r="U58" s="194"/>
      <c r="V58" s="194"/>
      <c r="W58" s="194"/>
      <c r="X58" s="194"/>
      <c r="Y58" s="194"/>
      <c r="Z58" s="194"/>
      <c r="AA58" s="194"/>
      <c r="AB58" s="194"/>
      <c r="AC58" s="194"/>
      <c r="AD58" s="194"/>
      <c r="AE58" s="194"/>
      <c r="AF58" s="194"/>
      <c r="AG58" s="194"/>
      <c r="AH58" s="194"/>
      <c r="AI58" s="194"/>
      <c r="AJ58" s="194"/>
      <c r="AK58" s="194"/>
      <c r="AL58" s="194"/>
      <c r="AM58" s="194"/>
      <c r="AN58" s="194"/>
      <c r="AO58" s="194"/>
      <c r="AP58" s="194"/>
      <c r="AQ58" s="194"/>
      <c r="AR58" s="194"/>
      <c r="AS58" s="194"/>
      <c r="AT58" s="194"/>
      <c r="AU58" s="194"/>
      <c r="AV58" s="194"/>
      <c r="AW58" s="194"/>
      <c r="AX58" s="194"/>
      <c r="AY58" s="194"/>
      <c r="AZ58" s="194"/>
      <c r="BA58" s="194"/>
      <c r="BB58" s="194"/>
    </row>
    <row r="59" spans="2:54" hidden="1" x14ac:dyDescent="0.25">
      <c r="B59" s="194"/>
      <c r="C59" s="194" t="s">
        <v>424</v>
      </c>
      <c r="D59" s="194" t="s">
        <v>423</v>
      </c>
      <c r="E59" s="194" t="s">
        <v>150</v>
      </c>
      <c r="F59" s="194" t="s">
        <v>425</v>
      </c>
      <c r="G59" s="194">
        <v>53.7547029999999</v>
      </c>
      <c r="H59" s="194">
        <v>3.9163480000000002</v>
      </c>
      <c r="I59" s="194">
        <v>39.799999999999898</v>
      </c>
      <c r="J59" s="194" t="s">
        <v>84</v>
      </c>
      <c r="K59" s="194">
        <v>1999</v>
      </c>
      <c r="L59" s="194" t="s">
        <v>152</v>
      </c>
      <c r="M59" s="194" t="s">
        <v>123</v>
      </c>
      <c r="N59" s="194" t="s">
        <v>153</v>
      </c>
      <c r="O59" s="194" t="s">
        <v>154</v>
      </c>
      <c r="P59" s="194">
        <v>550</v>
      </c>
      <c r="Q59" s="194">
        <v>650</v>
      </c>
      <c r="R59" s="194" t="s">
        <v>0</v>
      </c>
      <c r="S59" s="194"/>
      <c r="T59" s="194"/>
      <c r="U59" s="194"/>
      <c r="V59" s="194"/>
      <c r="W59" s="194"/>
      <c r="X59" s="194"/>
      <c r="Y59" s="194"/>
      <c r="Z59" s="194"/>
      <c r="AA59" s="194"/>
      <c r="AB59" s="194"/>
      <c r="AC59" s="194"/>
      <c r="AD59" s="194"/>
      <c r="AE59" s="194"/>
      <c r="AF59" s="194"/>
      <c r="AG59" s="194"/>
      <c r="AH59" s="194"/>
      <c r="AI59" s="194"/>
      <c r="AJ59" s="194"/>
      <c r="AK59" s="194"/>
      <c r="AL59" s="194"/>
      <c r="AM59" s="194"/>
      <c r="AN59" s="194"/>
      <c r="AO59" s="194"/>
      <c r="AP59" s="194"/>
      <c r="AQ59" s="194"/>
      <c r="AR59" s="194"/>
      <c r="AS59" s="194"/>
      <c r="AT59" s="194"/>
      <c r="AU59" s="194"/>
      <c r="AV59" s="194"/>
      <c r="AW59" s="194"/>
      <c r="AX59" s="194"/>
      <c r="AY59" s="194"/>
      <c r="AZ59" s="194"/>
      <c r="BA59" s="194"/>
      <c r="BB59" s="194"/>
    </row>
    <row r="60" spans="2:54" hidden="1" x14ac:dyDescent="0.25">
      <c r="B60" s="194"/>
      <c r="C60" s="194" t="s">
        <v>243</v>
      </c>
      <c r="D60" s="194" t="s">
        <v>242</v>
      </c>
      <c r="E60" s="194" t="s">
        <v>150</v>
      </c>
      <c r="F60" s="194" t="s">
        <v>244</v>
      </c>
      <c r="G60" s="194">
        <v>53.7005839999999</v>
      </c>
      <c r="H60" s="194">
        <v>3.7492450000000002</v>
      </c>
      <c r="I60" s="194">
        <v>37.5</v>
      </c>
      <c r="J60" s="194" t="s">
        <v>84</v>
      </c>
      <c r="K60" s="194">
        <v>1993</v>
      </c>
      <c r="L60" s="194" t="s">
        <v>152</v>
      </c>
      <c r="M60" s="194" t="s">
        <v>123</v>
      </c>
      <c r="N60" s="194" t="s">
        <v>153</v>
      </c>
      <c r="O60" s="194" t="s">
        <v>154</v>
      </c>
      <c r="P60" s="194">
        <v>455</v>
      </c>
      <c r="Q60" s="194">
        <v>716</v>
      </c>
      <c r="R60" s="194" t="s">
        <v>0</v>
      </c>
      <c r="S60" s="194"/>
      <c r="T60" s="194"/>
      <c r="U60" s="194"/>
      <c r="V60" s="194"/>
      <c r="W60" s="194"/>
      <c r="X60" s="194"/>
      <c r="Y60" s="194"/>
      <c r="Z60" s="194"/>
      <c r="AA60" s="194"/>
      <c r="AB60" s="194"/>
      <c r="AC60" s="194"/>
      <c r="AD60" s="194"/>
      <c r="AE60" s="194"/>
      <c r="AF60" s="194"/>
      <c r="AG60" s="194"/>
      <c r="AH60" s="194"/>
      <c r="AI60" s="194"/>
      <c r="AJ60" s="194"/>
      <c r="AK60" s="194"/>
      <c r="AL60" s="194"/>
      <c r="AM60" s="194"/>
      <c r="AN60" s="194"/>
      <c r="AO60" s="194"/>
      <c r="AP60" s="194"/>
      <c r="AQ60" s="194"/>
      <c r="AR60" s="194"/>
      <c r="AS60" s="194"/>
      <c r="AT60" s="194"/>
      <c r="AU60" s="194"/>
      <c r="AV60" s="194"/>
      <c r="AW60" s="194"/>
      <c r="AX60" s="194"/>
      <c r="AY60" s="194"/>
      <c r="AZ60" s="194"/>
      <c r="BA60" s="194"/>
      <c r="BB60" s="194"/>
    </row>
    <row r="61" spans="2:54" hidden="1" x14ac:dyDescent="0.25">
      <c r="B61" s="194"/>
      <c r="C61" s="194" t="s">
        <v>246</v>
      </c>
      <c r="D61" s="194" t="s">
        <v>245</v>
      </c>
      <c r="E61" s="194" t="s">
        <v>150</v>
      </c>
      <c r="F61" s="194" t="s">
        <v>235</v>
      </c>
      <c r="G61" s="194">
        <v>53.699167000000003</v>
      </c>
      <c r="H61" s="194">
        <v>3.8704719999999999</v>
      </c>
      <c r="I61" s="194">
        <v>39.5</v>
      </c>
      <c r="J61" s="194" t="s">
        <v>84</v>
      </c>
      <c r="K61" s="194">
        <v>1992</v>
      </c>
      <c r="L61" s="194" t="s">
        <v>152</v>
      </c>
      <c r="M61" s="194" t="s">
        <v>123</v>
      </c>
      <c r="N61" s="194" t="s">
        <v>153</v>
      </c>
      <c r="O61" s="194" t="s">
        <v>154</v>
      </c>
      <c r="P61" s="194">
        <v>468</v>
      </c>
      <c r="Q61" s="194">
        <v>1720</v>
      </c>
      <c r="R61" s="194" t="s">
        <v>247</v>
      </c>
      <c r="S61" s="194"/>
      <c r="T61" s="194"/>
      <c r="U61" s="194"/>
      <c r="V61" s="194"/>
      <c r="W61" s="194"/>
      <c r="X61" s="194"/>
      <c r="Y61" s="194"/>
      <c r="Z61" s="194"/>
      <c r="AA61" s="194"/>
      <c r="AB61" s="194"/>
      <c r="AC61" s="194"/>
      <c r="AD61" s="194"/>
      <c r="AE61" s="194"/>
      <c r="AF61" s="194"/>
      <c r="AG61" s="194"/>
      <c r="AH61" s="194"/>
      <c r="AI61" s="194"/>
      <c r="AJ61" s="194"/>
      <c r="AK61" s="194"/>
      <c r="AL61" s="194"/>
      <c r="AM61" s="194"/>
      <c r="AN61" s="194"/>
      <c r="AO61" s="194"/>
      <c r="AP61" s="194"/>
      <c r="AQ61" s="194"/>
      <c r="AR61" s="194"/>
      <c r="AS61" s="194"/>
      <c r="AT61" s="194"/>
      <c r="AU61" s="194"/>
      <c r="AV61" s="194"/>
      <c r="AW61" s="194"/>
      <c r="AX61" s="194"/>
      <c r="AY61" s="194"/>
      <c r="AZ61" s="194"/>
      <c r="BA61" s="194"/>
      <c r="BB61" s="194"/>
    </row>
    <row r="62" spans="2:54" hidden="1" x14ac:dyDescent="0.25">
      <c r="B62" s="194"/>
      <c r="C62" s="194" t="s">
        <v>249</v>
      </c>
      <c r="D62" s="194" t="s">
        <v>248</v>
      </c>
      <c r="E62" s="194" t="s">
        <v>150</v>
      </c>
      <c r="F62" s="194" t="s">
        <v>250</v>
      </c>
      <c r="G62" s="194">
        <v>53.573948999999899</v>
      </c>
      <c r="H62" s="194">
        <v>3.3049219999999999</v>
      </c>
      <c r="I62" s="194">
        <v>36.1</v>
      </c>
      <c r="J62" s="194" t="s">
        <v>88</v>
      </c>
      <c r="K62" s="194">
        <v>1982</v>
      </c>
      <c r="L62" s="194" t="s">
        <v>152</v>
      </c>
      <c r="M62" s="194" t="s">
        <v>123</v>
      </c>
      <c r="N62" s="194" t="s">
        <v>153</v>
      </c>
      <c r="O62" s="194" t="s">
        <v>154</v>
      </c>
      <c r="P62" s="194">
        <v>810</v>
      </c>
      <c r="Q62" s="194">
        <v>1350</v>
      </c>
      <c r="R62" s="194" t="s">
        <v>251</v>
      </c>
      <c r="S62" s="194"/>
      <c r="T62" s="194"/>
      <c r="U62" s="194"/>
      <c r="V62" s="194"/>
      <c r="W62" s="194"/>
      <c r="X62" s="194"/>
      <c r="Y62" s="194"/>
      <c r="Z62" s="194"/>
      <c r="AA62" s="194"/>
      <c r="AB62" s="194"/>
      <c r="AC62" s="194"/>
      <c r="AD62" s="194"/>
      <c r="AE62" s="194"/>
      <c r="AF62" s="194"/>
      <c r="AG62" s="194"/>
      <c r="AH62" s="194"/>
      <c r="AI62" s="194"/>
      <c r="AJ62" s="194"/>
      <c r="AK62" s="194"/>
      <c r="AL62" s="194"/>
      <c r="AM62" s="194"/>
      <c r="AN62" s="194"/>
      <c r="AO62" s="194"/>
      <c r="AP62" s="194"/>
      <c r="AQ62" s="194"/>
      <c r="AR62" s="194"/>
      <c r="AS62" s="194"/>
      <c r="AT62" s="194"/>
      <c r="AU62" s="194"/>
      <c r="AV62" s="194"/>
      <c r="AW62" s="194"/>
      <c r="AX62" s="194"/>
      <c r="AY62" s="194"/>
      <c r="AZ62" s="194"/>
      <c r="BA62" s="194"/>
      <c r="BB62" s="194"/>
    </row>
    <row r="63" spans="2:54" hidden="1" x14ac:dyDescent="0.25">
      <c r="B63" s="194"/>
      <c r="C63" s="194" t="s">
        <v>461</v>
      </c>
      <c r="D63" s="194" t="s">
        <v>460</v>
      </c>
      <c r="E63" s="194" t="s">
        <v>150</v>
      </c>
      <c r="F63" s="194" t="s">
        <v>462</v>
      </c>
      <c r="G63" s="194">
        <v>53.631171000000002</v>
      </c>
      <c r="H63" s="194">
        <v>3.0690629999999999</v>
      </c>
      <c r="I63" s="194">
        <v>38</v>
      </c>
      <c r="J63" s="194" t="s">
        <v>88</v>
      </c>
      <c r="K63" s="194">
        <v>2003</v>
      </c>
      <c r="L63" s="194" t="s">
        <v>152</v>
      </c>
      <c r="M63" s="194" t="s">
        <v>123</v>
      </c>
      <c r="N63" s="194" t="s">
        <v>153</v>
      </c>
      <c r="O63" s="194" t="s">
        <v>154</v>
      </c>
      <c r="P63" s="194">
        <v>750</v>
      </c>
      <c r="Q63" s="194">
        <v>250</v>
      </c>
      <c r="R63" s="194" t="s">
        <v>0</v>
      </c>
      <c r="S63" s="194"/>
      <c r="T63" s="194"/>
      <c r="U63" s="194"/>
      <c r="V63" s="194"/>
      <c r="W63" s="194"/>
      <c r="X63" s="194"/>
      <c r="Y63" s="194"/>
      <c r="Z63" s="194"/>
      <c r="AA63" s="194"/>
      <c r="AB63" s="194"/>
      <c r="AC63" s="194"/>
      <c r="AD63" s="194"/>
      <c r="AE63" s="194"/>
      <c r="AF63" s="194"/>
      <c r="AG63" s="194"/>
      <c r="AH63" s="194"/>
      <c r="AI63" s="194"/>
      <c r="AJ63" s="194"/>
      <c r="AK63" s="194"/>
      <c r="AL63" s="194"/>
      <c r="AM63" s="194"/>
      <c r="AN63" s="194"/>
      <c r="AO63" s="194"/>
      <c r="AP63" s="194"/>
      <c r="AQ63" s="194"/>
      <c r="AR63" s="194"/>
      <c r="AS63" s="194"/>
      <c r="AT63" s="194"/>
      <c r="AU63" s="194"/>
      <c r="AV63" s="194"/>
      <c r="AW63" s="194"/>
      <c r="AX63" s="194"/>
      <c r="AY63" s="194"/>
      <c r="AZ63" s="194"/>
      <c r="BA63" s="194"/>
      <c r="BB63" s="194"/>
    </row>
    <row r="64" spans="2:54" hidden="1" x14ac:dyDescent="0.25">
      <c r="B64" s="194"/>
      <c r="C64" s="194" t="s">
        <v>427</v>
      </c>
      <c r="D64" s="194" t="s">
        <v>426</v>
      </c>
      <c r="E64" s="194" t="s">
        <v>150</v>
      </c>
      <c r="F64" s="194" t="s">
        <v>428</v>
      </c>
      <c r="G64" s="194">
        <v>53.551414999999899</v>
      </c>
      <c r="H64" s="194">
        <v>3.2672669999999999</v>
      </c>
      <c r="I64" s="194">
        <v>30</v>
      </c>
      <c r="J64" s="194" t="s">
        <v>88</v>
      </c>
      <c r="K64" s="194">
        <v>1998</v>
      </c>
      <c r="L64" s="194" t="s">
        <v>152</v>
      </c>
      <c r="M64" s="194" t="s">
        <v>123</v>
      </c>
      <c r="N64" s="194" t="s">
        <v>153</v>
      </c>
      <c r="O64" s="194" t="s">
        <v>154</v>
      </c>
      <c r="P64" s="194">
        <v>800</v>
      </c>
      <c r="Q64" s="194">
        <v>1300</v>
      </c>
      <c r="R64" s="194" t="s">
        <v>0</v>
      </c>
      <c r="S64" s="194"/>
      <c r="T64" s="194"/>
      <c r="U64" s="194"/>
      <c r="V64" s="194"/>
      <c r="W64" s="194"/>
      <c r="X64" s="194"/>
      <c r="Y64" s="194"/>
      <c r="Z64" s="194"/>
      <c r="AA64" s="194"/>
      <c r="AB64" s="194"/>
      <c r="AC64" s="194"/>
      <c r="AD64" s="194"/>
      <c r="AE64" s="194"/>
      <c r="AF64" s="194"/>
      <c r="AG64" s="194"/>
      <c r="AH64" s="194"/>
      <c r="AI64" s="194"/>
      <c r="AJ64" s="194"/>
      <c r="AK64" s="194"/>
      <c r="AL64" s="194"/>
      <c r="AM64" s="194"/>
      <c r="AN64" s="194"/>
      <c r="AO64" s="194"/>
      <c r="AP64" s="194"/>
      <c r="AQ64" s="194"/>
      <c r="AR64" s="194"/>
      <c r="AS64" s="194"/>
      <c r="AT64" s="194"/>
      <c r="AU64" s="194"/>
      <c r="AV64" s="194"/>
      <c r="AW64" s="194"/>
      <c r="AX64" s="194"/>
      <c r="AY64" s="194"/>
      <c r="AZ64" s="194"/>
      <c r="BA64" s="194"/>
      <c r="BB64" s="194"/>
    </row>
    <row r="65" spans="2:54" hidden="1" x14ac:dyDescent="0.25">
      <c r="B65" s="194"/>
      <c r="C65" s="194" t="s">
        <v>253</v>
      </c>
      <c r="D65" s="194" t="s">
        <v>252</v>
      </c>
      <c r="E65" s="194" t="s">
        <v>150</v>
      </c>
      <c r="F65" s="194" t="s">
        <v>254</v>
      </c>
      <c r="G65" s="194">
        <v>53.501244</v>
      </c>
      <c r="H65" s="194">
        <v>3.3703729999999998</v>
      </c>
      <c r="I65" s="194">
        <v>35</v>
      </c>
      <c r="J65" s="194" t="s">
        <v>88</v>
      </c>
      <c r="K65" s="194">
        <v>1977</v>
      </c>
      <c r="L65" s="194" t="s">
        <v>152</v>
      </c>
      <c r="M65" s="194" t="s">
        <v>123</v>
      </c>
      <c r="N65" s="194" t="s">
        <v>153</v>
      </c>
      <c r="O65" s="194" t="s">
        <v>154</v>
      </c>
      <c r="P65" s="194">
        <v>840</v>
      </c>
      <c r="Q65" s="194">
        <v>1580</v>
      </c>
      <c r="R65" s="194" t="s">
        <v>0</v>
      </c>
      <c r="S65" s="194"/>
      <c r="T65" s="194"/>
      <c r="U65" s="194"/>
      <c r="V65" s="194"/>
      <c r="W65" s="194"/>
      <c r="X65" s="194"/>
      <c r="Y65" s="194"/>
      <c r="Z65" s="194"/>
      <c r="AA65" s="194"/>
      <c r="AB65" s="194"/>
      <c r="AC65" s="194"/>
      <c r="AD65" s="194"/>
      <c r="AE65" s="194"/>
      <c r="AF65" s="194"/>
      <c r="AG65" s="194"/>
      <c r="AH65" s="194"/>
      <c r="AI65" s="194"/>
      <c r="AJ65" s="194"/>
      <c r="AK65" s="194"/>
      <c r="AL65" s="194"/>
      <c r="AM65" s="194"/>
      <c r="AN65" s="194"/>
      <c r="AO65" s="194"/>
      <c r="AP65" s="194"/>
      <c r="AQ65" s="194"/>
      <c r="AR65" s="194"/>
      <c r="AS65" s="194"/>
      <c r="AT65" s="194"/>
      <c r="AU65" s="194"/>
      <c r="AV65" s="194"/>
      <c r="AW65" s="194"/>
      <c r="AX65" s="194"/>
      <c r="AY65" s="194"/>
      <c r="AZ65" s="194"/>
      <c r="BA65" s="194"/>
      <c r="BB65" s="194"/>
    </row>
    <row r="66" spans="2:54" hidden="1" x14ac:dyDescent="0.25">
      <c r="B66" s="194"/>
      <c r="C66" s="194" t="s">
        <v>430</v>
      </c>
      <c r="D66" s="194" t="s">
        <v>429</v>
      </c>
      <c r="E66" s="194" t="s">
        <v>150</v>
      </c>
      <c r="F66" s="194" t="s">
        <v>254</v>
      </c>
      <c r="G66" s="194">
        <v>53.501244</v>
      </c>
      <c r="H66" s="194">
        <v>3.3703729999999998</v>
      </c>
      <c r="I66" s="194">
        <v>30</v>
      </c>
      <c r="J66" s="194" t="s">
        <v>88</v>
      </c>
      <c r="K66" s="194">
        <v>2001</v>
      </c>
      <c r="L66" s="194" t="s">
        <v>152</v>
      </c>
      <c r="M66" s="194" t="s">
        <v>123</v>
      </c>
      <c r="N66" s="194" t="s">
        <v>153</v>
      </c>
      <c r="O66" s="194" t="s">
        <v>154</v>
      </c>
      <c r="P66" s="194">
        <v>500</v>
      </c>
      <c r="Q66" s="194">
        <v>600</v>
      </c>
      <c r="R66" s="194" t="s">
        <v>0</v>
      </c>
      <c r="S66" s="194"/>
      <c r="T66" s="194"/>
      <c r="U66" s="194"/>
      <c r="V66" s="194"/>
      <c r="W66" s="194"/>
      <c r="X66" s="194"/>
      <c r="Y66" s="194"/>
      <c r="Z66" s="194"/>
      <c r="AA66" s="194"/>
      <c r="AB66" s="194"/>
      <c r="AC66" s="194"/>
      <c r="AD66" s="194"/>
      <c r="AE66" s="194"/>
      <c r="AF66" s="194"/>
      <c r="AG66" s="194"/>
      <c r="AH66" s="194"/>
      <c r="AI66" s="194"/>
      <c r="AJ66" s="194"/>
      <c r="AK66" s="194"/>
      <c r="AL66" s="194"/>
      <c r="AM66" s="194"/>
      <c r="AN66" s="194"/>
      <c r="AO66" s="194"/>
      <c r="AP66" s="194"/>
      <c r="AQ66" s="194"/>
      <c r="AR66" s="194"/>
      <c r="AS66" s="194"/>
      <c r="AT66" s="194"/>
      <c r="AU66" s="194"/>
      <c r="AV66" s="194"/>
      <c r="AW66" s="194"/>
      <c r="AX66" s="194"/>
      <c r="AY66" s="194"/>
      <c r="AZ66" s="194"/>
      <c r="BA66" s="194"/>
      <c r="BB66" s="194"/>
    </row>
    <row r="67" spans="2:54" hidden="1" x14ac:dyDescent="0.25">
      <c r="B67" s="194"/>
      <c r="C67" s="194" t="s">
        <v>256</v>
      </c>
      <c r="D67" s="194" t="s">
        <v>255</v>
      </c>
      <c r="E67" s="194" t="s">
        <v>150</v>
      </c>
      <c r="F67" s="194" t="s">
        <v>254</v>
      </c>
      <c r="G67" s="194">
        <v>53.516435999999899</v>
      </c>
      <c r="H67" s="194">
        <v>3.4189919999999998</v>
      </c>
      <c r="I67" s="194">
        <v>35</v>
      </c>
      <c r="J67" s="194" t="s">
        <v>88</v>
      </c>
      <c r="K67" s="194">
        <v>1977</v>
      </c>
      <c r="L67" s="194" t="s">
        <v>152</v>
      </c>
      <c r="M67" s="194" t="s">
        <v>123</v>
      </c>
      <c r="N67" s="194" t="s">
        <v>153</v>
      </c>
      <c r="O67" s="194" t="s">
        <v>154</v>
      </c>
      <c r="P67" s="194">
        <v>630</v>
      </c>
      <c r="Q67" s="194">
        <v>820</v>
      </c>
      <c r="R67" s="194" t="s">
        <v>0</v>
      </c>
      <c r="S67" s="194"/>
      <c r="T67" s="194"/>
      <c r="U67" s="194"/>
      <c r="V67" s="194"/>
      <c r="W67" s="194"/>
      <c r="X67" s="194"/>
      <c r="Y67" s="194"/>
      <c r="Z67" s="194"/>
      <c r="AA67" s="194"/>
      <c r="AB67" s="194"/>
      <c r="AC67" s="194"/>
      <c r="AD67" s="194"/>
      <c r="AE67" s="194"/>
      <c r="AF67" s="194"/>
      <c r="AG67" s="194"/>
      <c r="AH67" s="194"/>
      <c r="AI67" s="194"/>
      <c r="AJ67" s="194"/>
      <c r="AK67" s="194"/>
      <c r="AL67" s="194"/>
      <c r="AM67" s="194"/>
      <c r="AN67" s="194"/>
      <c r="AO67" s="194"/>
      <c r="AP67" s="194"/>
      <c r="AQ67" s="194"/>
      <c r="AR67" s="194"/>
      <c r="AS67" s="194"/>
      <c r="AT67" s="194"/>
      <c r="AU67" s="194"/>
      <c r="AV67" s="194"/>
      <c r="AW67" s="194"/>
      <c r="AX67" s="194"/>
      <c r="AY67" s="194"/>
      <c r="AZ67" s="194"/>
      <c r="BA67" s="194"/>
      <c r="BB67" s="194"/>
    </row>
    <row r="68" spans="2:54" hidden="1" x14ac:dyDescent="0.25">
      <c r="B68" s="194"/>
      <c r="C68" s="194" t="s">
        <v>258</v>
      </c>
      <c r="D68" s="194" t="s">
        <v>257</v>
      </c>
      <c r="E68" s="194" t="s">
        <v>150</v>
      </c>
      <c r="F68" s="194" t="s">
        <v>254</v>
      </c>
      <c r="G68" s="194">
        <v>53.543314000000002</v>
      </c>
      <c r="H68" s="194">
        <v>3.4235890000000002</v>
      </c>
      <c r="I68" s="194">
        <v>35</v>
      </c>
      <c r="J68" s="194" t="s">
        <v>88</v>
      </c>
      <c r="K68" s="194">
        <v>1984</v>
      </c>
      <c r="L68" s="194" t="s">
        <v>152</v>
      </c>
      <c r="M68" s="194" t="s">
        <v>123</v>
      </c>
      <c r="N68" s="194" t="s">
        <v>153</v>
      </c>
      <c r="O68" s="194" t="s">
        <v>154</v>
      </c>
      <c r="P68" s="194">
        <v>770</v>
      </c>
      <c r="Q68" s="194">
        <v>1420</v>
      </c>
      <c r="R68" s="194" t="s">
        <v>0</v>
      </c>
      <c r="S68" s="194"/>
      <c r="T68" s="194"/>
      <c r="U68" s="194"/>
      <c r="V68" s="194"/>
      <c r="W68" s="194"/>
      <c r="X68" s="194"/>
      <c r="Y68" s="194"/>
      <c r="Z68" s="194"/>
      <c r="AA68" s="194"/>
      <c r="AB68" s="194"/>
      <c r="AC68" s="194"/>
      <c r="AD68" s="194"/>
      <c r="AE68" s="194"/>
      <c r="AF68" s="194"/>
      <c r="AG68" s="194"/>
      <c r="AH68" s="194"/>
      <c r="AI68" s="194"/>
      <c r="AJ68" s="194"/>
      <c r="AK68" s="194"/>
      <c r="AL68" s="194"/>
      <c r="AM68" s="194"/>
      <c r="AN68" s="194"/>
      <c r="AO68" s="194"/>
      <c r="AP68" s="194"/>
      <c r="AQ68" s="194"/>
      <c r="AR68" s="194"/>
      <c r="AS68" s="194"/>
      <c r="AT68" s="194"/>
      <c r="AU68" s="194"/>
      <c r="AV68" s="194"/>
      <c r="AW68" s="194"/>
      <c r="AX68" s="194"/>
      <c r="AY68" s="194"/>
      <c r="AZ68" s="194"/>
      <c r="BA68" s="194"/>
      <c r="BB68" s="194"/>
    </row>
    <row r="69" spans="2:54" hidden="1" x14ac:dyDescent="0.25">
      <c r="B69" s="194"/>
      <c r="C69" s="194" t="s">
        <v>265</v>
      </c>
      <c r="D69" s="194" t="s">
        <v>264</v>
      </c>
      <c r="E69" s="194" t="s">
        <v>150</v>
      </c>
      <c r="F69" s="194" t="s">
        <v>266</v>
      </c>
      <c r="G69" s="194">
        <v>53.403618000000002</v>
      </c>
      <c r="H69" s="194">
        <v>4.2035239999999998</v>
      </c>
      <c r="I69" s="194">
        <v>27</v>
      </c>
      <c r="J69" s="194" t="s">
        <v>183</v>
      </c>
      <c r="K69" s="194">
        <v>1987</v>
      </c>
      <c r="L69" s="194" t="s">
        <v>152</v>
      </c>
      <c r="M69" s="194" t="s">
        <v>123</v>
      </c>
      <c r="N69" s="194" t="s">
        <v>153</v>
      </c>
      <c r="O69" s="194" t="s">
        <v>154</v>
      </c>
      <c r="P69" s="194">
        <v>585</v>
      </c>
      <c r="Q69" s="194">
        <v>1300</v>
      </c>
      <c r="R69" s="194" t="s">
        <v>18</v>
      </c>
      <c r="S69" s="194"/>
      <c r="T69" s="194"/>
      <c r="U69" s="194"/>
      <c r="V69" s="194"/>
      <c r="W69" s="194"/>
      <c r="X69" s="194"/>
      <c r="Y69" s="194"/>
      <c r="Z69" s="194"/>
      <c r="AA69" s="194"/>
      <c r="AB69" s="194"/>
      <c r="AC69" s="194"/>
      <c r="AD69" s="194"/>
      <c r="AE69" s="194"/>
      <c r="AF69" s="194"/>
      <c r="AG69" s="194"/>
      <c r="AH69" s="194"/>
      <c r="AI69" s="194"/>
      <c r="AJ69" s="194"/>
      <c r="AK69" s="194"/>
      <c r="AL69" s="194"/>
      <c r="AM69" s="194"/>
      <c r="AN69" s="194"/>
      <c r="AO69" s="194"/>
      <c r="AP69" s="194"/>
      <c r="AQ69" s="194"/>
      <c r="AR69" s="194"/>
      <c r="AS69" s="194"/>
      <c r="AT69" s="194"/>
      <c r="AU69" s="194"/>
      <c r="AV69" s="194"/>
      <c r="AW69" s="194"/>
      <c r="AX69" s="194"/>
      <c r="AY69" s="194"/>
      <c r="AZ69" s="194"/>
      <c r="BA69" s="194"/>
      <c r="BB69" s="194"/>
    </row>
    <row r="70" spans="2:54" hidden="1" x14ac:dyDescent="0.25">
      <c r="B70" s="194"/>
      <c r="C70" s="194" t="s">
        <v>268</v>
      </c>
      <c r="D70" s="194" t="s">
        <v>267</v>
      </c>
      <c r="E70" s="194" t="s">
        <v>150</v>
      </c>
      <c r="F70" s="194" t="s">
        <v>266</v>
      </c>
      <c r="G70" s="194">
        <v>53.405394000000001</v>
      </c>
      <c r="H70" s="194">
        <v>4.2022050000000002</v>
      </c>
      <c r="I70" s="194">
        <v>27</v>
      </c>
      <c r="J70" s="194" t="s">
        <v>183</v>
      </c>
      <c r="K70" s="194">
        <v>1971</v>
      </c>
      <c r="L70" s="194" t="s">
        <v>152</v>
      </c>
      <c r="M70" s="194" t="s">
        <v>123</v>
      </c>
      <c r="N70" s="194" t="s">
        <v>153</v>
      </c>
      <c r="O70" s="194" t="s">
        <v>154</v>
      </c>
      <c r="P70" s="194">
        <v>1130</v>
      </c>
      <c r="Q70" s="194">
        <v>3385</v>
      </c>
      <c r="R70" s="194" t="s">
        <v>190</v>
      </c>
      <c r="S70" s="194"/>
      <c r="T70" s="194"/>
      <c r="U70" s="194"/>
      <c r="V70" s="194"/>
      <c r="W70" s="194"/>
      <c r="X70" s="194"/>
      <c r="Y70" s="194"/>
      <c r="Z70" s="194"/>
      <c r="AA70" s="194"/>
      <c r="AB70" s="194"/>
      <c r="AC70" s="194"/>
      <c r="AD70" s="194"/>
      <c r="AE70" s="194"/>
      <c r="AF70" s="194"/>
      <c r="AG70" s="194"/>
      <c r="AH70" s="194"/>
      <c r="AI70" s="194"/>
      <c r="AJ70" s="194"/>
      <c r="AK70" s="194"/>
      <c r="AL70" s="194"/>
      <c r="AM70" s="194"/>
      <c r="AN70" s="194"/>
      <c r="AO70" s="194"/>
      <c r="AP70" s="194"/>
      <c r="AQ70" s="194"/>
      <c r="AR70" s="194"/>
      <c r="AS70" s="194"/>
      <c r="AT70" s="194"/>
      <c r="AU70" s="194"/>
      <c r="AV70" s="194"/>
      <c r="AW70" s="194"/>
      <c r="AX70" s="194"/>
      <c r="AY70" s="194"/>
      <c r="AZ70" s="194"/>
      <c r="BA70" s="194"/>
      <c r="BB70" s="194"/>
    </row>
    <row r="71" spans="2:54" hidden="1" x14ac:dyDescent="0.25">
      <c r="B71" s="194"/>
      <c r="C71" s="194" t="s">
        <v>270</v>
      </c>
      <c r="D71" s="194" t="s">
        <v>269</v>
      </c>
      <c r="E71" s="194" t="s">
        <v>150</v>
      </c>
      <c r="F71" s="194" t="s">
        <v>266</v>
      </c>
      <c r="G71" s="194">
        <v>53.404606000000001</v>
      </c>
      <c r="H71" s="194">
        <v>4.2027850000000004</v>
      </c>
      <c r="I71" s="194">
        <v>27</v>
      </c>
      <c r="J71" s="194" t="s">
        <v>183</v>
      </c>
      <c r="K71" s="194">
        <v>1974</v>
      </c>
      <c r="L71" s="194" t="s">
        <v>152</v>
      </c>
      <c r="M71" s="194" t="s">
        <v>123</v>
      </c>
      <c r="N71" s="194" t="s">
        <v>153</v>
      </c>
      <c r="O71" s="194" t="s">
        <v>154</v>
      </c>
      <c r="P71" s="194">
        <v>860</v>
      </c>
      <c r="Q71" s="194">
        <v>2905</v>
      </c>
      <c r="R71" s="194" t="s">
        <v>0</v>
      </c>
      <c r="S71" s="194"/>
      <c r="T71" s="194"/>
      <c r="U71" s="194"/>
      <c r="V71" s="194"/>
      <c r="W71" s="194"/>
      <c r="X71" s="194"/>
      <c r="Y71" s="194"/>
      <c r="Z71" s="194"/>
      <c r="AA71" s="194"/>
      <c r="AB71" s="194"/>
      <c r="AC71" s="194"/>
      <c r="AD71" s="194"/>
      <c r="AE71" s="194"/>
      <c r="AF71" s="194"/>
      <c r="AG71" s="194"/>
      <c r="AH71" s="194"/>
      <c r="AI71" s="194"/>
      <c r="AJ71" s="194"/>
      <c r="AK71" s="194"/>
      <c r="AL71" s="194"/>
      <c r="AM71" s="194"/>
      <c r="AN71" s="194"/>
      <c r="AO71" s="194"/>
      <c r="AP71" s="194"/>
      <c r="AQ71" s="194"/>
      <c r="AR71" s="194"/>
      <c r="AS71" s="194"/>
      <c r="AT71" s="194"/>
      <c r="AU71" s="194"/>
      <c r="AV71" s="194"/>
      <c r="AW71" s="194"/>
      <c r="AX71" s="194"/>
      <c r="AY71" s="194"/>
      <c r="AZ71" s="194"/>
      <c r="BA71" s="194"/>
      <c r="BB71" s="194"/>
    </row>
    <row r="72" spans="2:54" hidden="1" x14ac:dyDescent="0.25">
      <c r="B72" s="194"/>
      <c r="C72" s="194" t="s">
        <v>272</v>
      </c>
      <c r="D72" s="194" t="s">
        <v>271</v>
      </c>
      <c r="E72" s="194" t="s">
        <v>150</v>
      </c>
      <c r="F72" s="194" t="s">
        <v>266</v>
      </c>
      <c r="G72" s="194">
        <v>53.403962</v>
      </c>
      <c r="H72" s="194">
        <v>4.2033680000000002</v>
      </c>
      <c r="I72" s="194">
        <v>27</v>
      </c>
      <c r="J72" s="194" t="s">
        <v>183</v>
      </c>
      <c r="K72" s="194">
        <v>1974</v>
      </c>
      <c r="L72" s="194" t="s">
        <v>152</v>
      </c>
      <c r="M72" s="194" t="s">
        <v>123</v>
      </c>
      <c r="N72" s="194" t="s">
        <v>153</v>
      </c>
      <c r="O72" s="194" t="s">
        <v>154</v>
      </c>
      <c r="P72" s="194">
        <v>380</v>
      </c>
      <c r="Q72" s="194">
        <v>515</v>
      </c>
      <c r="R72" s="194" t="s">
        <v>0</v>
      </c>
      <c r="S72" s="194"/>
      <c r="T72" s="194"/>
      <c r="U72" s="194"/>
      <c r="V72" s="194"/>
      <c r="W72" s="194"/>
      <c r="X72" s="194"/>
      <c r="Y72" s="194"/>
      <c r="Z72" s="194"/>
      <c r="AA72" s="194"/>
      <c r="AB72" s="194"/>
      <c r="AC72" s="194"/>
      <c r="AD72" s="194"/>
      <c r="AE72" s="194"/>
      <c r="AF72" s="194"/>
      <c r="AG72" s="194"/>
      <c r="AH72" s="194"/>
      <c r="AI72" s="194"/>
      <c r="AJ72" s="194"/>
      <c r="AK72" s="194"/>
      <c r="AL72" s="194"/>
      <c r="AM72" s="194"/>
      <c r="AN72" s="194"/>
      <c r="AO72" s="194"/>
      <c r="AP72" s="194"/>
      <c r="AQ72" s="194"/>
      <c r="AR72" s="194"/>
      <c r="AS72" s="194"/>
      <c r="AT72" s="194"/>
      <c r="AU72" s="194"/>
      <c r="AV72" s="194"/>
      <c r="AW72" s="194"/>
      <c r="AX72" s="194"/>
      <c r="AY72" s="194"/>
      <c r="AZ72" s="194"/>
      <c r="BA72" s="194"/>
      <c r="BB72" s="194"/>
    </row>
    <row r="73" spans="2:54" hidden="1" x14ac:dyDescent="0.25">
      <c r="B73" s="194"/>
      <c r="C73" s="194" t="s">
        <v>274</v>
      </c>
      <c r="D73" s="194" t="s">
        <v>273</v>
      </c>
      <c r="E73" s="194" t="s">
        <v>150</v>
      </c>
      <c r="F73" s="194" t="s">
        <v>266</v>
      </c>
      <c r="G73" s="194">
        <v>53.458761000000003</v>
      </c>
      <c r="H73" s="194">
        <v>4.2333239999999996</v>
      </c>
      <c r="I73" s="194">
        <v>26.5</v>
      </c>
      <c r="J73" s="194" t="s">
        <v>183</v>
      </c>
      <c r="K73" s="194">
        <v>1974</v>
      </c>
      <c r="L73" s="194" t="s">
        <v>152</v>
      </c>
      <c r="M73" s="194" t="s">
        <v>123</v>
      </c>
      <c r="N73" s="194" t="s">
        <v>153</v>
      </c>
      <c r="O73" s="194" t="s">
        <v>154</v>
      </c>
      <c r="P73" s="194">
        <v>496</v>
      </c>
      <c r="Q73" s="194">
        <v>550</v>
      </c>
      <c r="R73" s="194" t="s">
        <v>184</v>
      </c>
      <c r="S73" s="194"/>
      <c r="T73" s="194"/>
      <c r="U73" s="194"/>
      <c r="V73" s="194"/>
      <c r="W73" s="194"/>
      <c r="X73" s="194"/>
      <c r="Y73" s="194"/>
      <c r="Z73" s="194"/>
      <c r="AA73" s="194"/>
      <c r="AB73" s="194"/>
      <c r="AC73" s="194"/>
      <c r="AD73" s="194"/>
      <c r="AE73" s="194"/>
      <c r="AF73" s="194"/>
      <c r="AG73" s="194"/>
      <c r="AH73" s="194"/>
      <c r="AI73" s="194"/>
      <c r="AJ73" s="194"/>
      <c r="AK73" s="194"/>
      <c r="AL73" s="194"/>
      <c r="AM73" s="194"/>
      <c r="AN73" s="194"/>
      <c r="AO73" s="194"/>
      <c r="AP73" s="194"/>
      <c r="AQ73" s="194"/>
      <c r="AR73" s="194"/>
      <c r="AS73" s="194"/>
      <c r="AT73" s="194"/>
      <c r="AU73" s="194"/>
      <c r="AV73" s="194"/>
      <c r="AW73" s="194"/>
      <c r="AX73" s="194"/>
      <c r="AY73" s="194"/>
      <c r="AZ73" s="194"/>
      <c r="BA73" s="194"/>
      <c r="BB73" s="194"/>
    </row>
    <row r="74" spans="2:54" hidden="1" x14ac:dyDescent="0.25">
      <c r="B74" s="194"/>
      <c r="C74" s="194" t="s">
        <v>276</v>
      </c>
      <c r="D74" s="194" t="s">
        <v>275</v>
      </c>
      <c r="E74" s="194" t="s">
        <v>150</v>
      </c>
      <c r="F74" s="194" t="s">
        <v>266</v>
      </c>
      <c r="G74" s="194">
        <v>53.459077999999899</v>
      </c>
      <c r="H74" s="194">
        <v>4.2330920000000001</v>
      </c>
      <c r="I74" s="194">
        <v>26.5</v>
      </c>
      <c r="J74" s="194" t="s">
        <v>183</v>
      </c>
      <c r="K74" s="194">
        <v>1980</v>
      </c>
      <c r="L74" s="194" t="s">
        <v>152</v>
      </c>
      <c r="M74" s="194" t="s">
        <v>123</v>
      </c>
      <c r="N74" s="194" t="s">
        <v>153</v>
      </c>
      <c r="O74" s="194" t="s">
        <v>154</v>
      </c>
      <c r="P74" s="194">
        <v>290</v>
      </c>
      <c r="Q74" s="194">
        <v>195</v>
      </c>
      <c r="R74" s="194" t="s">
        <v>184</v>
      </c>
      <c r="S74" s="194"/>
      <c r="T74" s="194"/>
      <c r="U74" s="194"/>
      <c r="V74" s="194"/>
      <c r="W74" s="194"/>
      <c r="X74" s="194"/>
      <c r="Y74" s="194"/>
      <c r="Z74" s="194"/>
      <c r="AA74" s="194"/>
      <c r="AB74" s="194"/>
      <c r="AC74" s="194"/>
      <c r="AD74" s="194"/>
      <c r="AE74" s="194"/>
      <c r="AF74" s="194"/>
      <c r="AG74" s="194"/>
      <c r="AH74" s="194"/>
      <c r="AI74" s="194"/>
      <c r="AJ74" s="194"/>
      <c r="AK74" s="194"/>
      <c r="AL74" s="194"/>
      <c r="AM74" s="194"/>
      <c r="AN74" s="194"/>
      <c r="AO74" s="194"/>
      <c r="AP74" s="194"/>
      <c r="AQ74" s="194"/>
      <c r="AR74" s="194"/>
      <c r="AS74" s="194"/>
      <c r="AT74" s="194"/>
      <c r="AU74" s="194"/>
      <c r="AV74" s="194"/>
      <c r="AW74" s="194"/>
      <c r="AX74" s="194"/>
      <c r="AY74" s="194"/>
      <c r="AZ74" s="194"/>
      <c r="BA74" s="194"/>
      <c r="BB74" s="194"/>
    </row>
    <row r="75" spans="2:54" hidden="1" x14ac:dyDescent="0.25">
      <c r="B75" s="194"/>
      <c r="C75" s="194" t="s">
        <v>278</v>
      </c>
      <c r="D75" s="194" t="s">
        <v>277</v>
      </c>
      <c r="E75" s="194" t="s">
        <v>150</v>
      </c>
      <c r="F75" s="194" t="s">
        <v>266</v>
      </c>
      <c r="G75" s="194">
        <v>53.395018</v>
      </c>
      <c r="H75" s="194">
        <v>4.2024239999999997</v>
      </c>
      <c r="I75" s="194">
        <v>26.5</v>
      </c>
      <c r="J75" s="194" t="s">
        <v>183</v>
      </c>
      <c r="K75" s="194">
        <v>1974</v>
      </c>
      <c r="L75" s="194" t="s">
        <v>152</v>
      </c>
      <c r="M75" s="194" t="s">
        <v>123</v>
      </c>
      <c r="N75" s="194" t="s">
        <v>153</v>
      </c>
      <c r="O75" s="194" t="s">
        <v>154</v>
      </c>
      <c r="P75" s="194">
        <v>496</v>
      </c>
      <c r="Q75" s="194">
        <v>550</v>
      </c>
      <c r="R75" s="194" t="s">
        <v>184</v>
      </c>
      <c r="S75" s="194"/>
      <c r="T75" s="194"/>
      <c r="U75" s="194"/>
      <c r="V75" s="194"/>
      <c r="W75" s="194"/>
      <c r="X75" s="194"/>
      <c r="Y75" s="194"/>
      <c r="Z75" s="194"/>
      <c r="AA75" s="194"/>
      <c r="AB75" s="194"/>
      <c r="AC75" s="194"/>
      <c r="AD75" s="194"/>
      <c r="AE75" s="194"/>
      <c r="AF75" s="194"/>
      <c r="AG75" s="194"/>
      <c r="AH75" s="194"/>
      <c r="AI75" s="194"/>
      <c r="AJ75" s="194"/>
      <c r="AK75" s="194"/>
      <c r="AL75" s="194"/>
      <c r="AM75" s="194"/>
      <c r="AN75" s="194"/>
      <c r="AO75" s="194"/>
      <c r="AP75" s="194"/>
      <c r="AQ75" s="194"/>
      <c r="AR75" s="194"/>
      <c r="AS75" s="194"/>
      <c r="AT75" s="194"/>
      <c r="AU75" s="194"/>
      <c r="AV75" s="194"/>
      <c r="AW75" s="194"/>
      <c r="AX75" s="194"/>
      <c r="AY75" s="194"/>
      <c r="AZ75" s="194"/>
      <c r="BA75" s="194"/>
      <c r="BB75" s="194"/>
    </row>
    <row r="76" spans="2:54" hidden="1" x14ac:dyDescent="0.25">
      <c r="B76" s="194"/>
      <c r="C76" s="194" t="s">
        <v>280</v>
      </c>
      <c r="D76" s="194" t="s">
        <v>279</v>
      </c>
      <c r="E76" s="194" t="s">
        <v>150</v>
      </c>
      <c r="F76" s="194" t="s">
        <v>266</v>
      </c>
      <c r="G76" s="194">
        <v>53.410305999999899</v>
      </c>
      <c r="H76" s="194">
        <v>4.215071</v>
      </c>
      <c r="I76" s="194">
        <v>26.5</v>
      </c>
      <c r="J76" s="194" t="s">
        <v>183</v>
      </c>
      <c r="K76" s="194">
        <v>1977</v>
      </c>
      <c r="L76" s="194" t="s">
        <v>152</v>
      </c>
      <c r="M76" s="194" t="s">
        <v>123</v>
      </c>
      <c r="N76" s="194" t="s">
        <v>153</v>
      </c>
      <c r="O76" s="194" t="s">
        <v>154</v>
      </c>
      <c r="P76" s="194">
        <v>505</v>
      </c>
      <c r="Q76" s="194">
        <v>550</v>
      </c>
      <c r="R76" s="194" t="s">
        <v>184</v>
      </c>
      <c r="S76" s="194"/>
      <c r="T76" s="194"/>
      <c r="U76" s="194"/>
      <c r="V76" s="194"/>
      <c r="W76" s="194"/>
      <c r="X76" s="194"/>
      <c r="Y76" s="194"/>
      <c r="Z76" s="194"/>
      <c r="AA76" s="194"/>
      <c r="AB76" s="194"/>
      <c r="AC76" s="194"/>
      <c r="AD76" s="194"/>
      <c r="AE76" s="194"/>
      <c r="AF76" s="194"/>
      <c r="AG76" s="194"/>
      <c r="AH76" s="194"/>
      <c r="AI76" s="194"/>
      <c r="AJ76" s="194"/>
      <c r="AK76" s="194"/>
      <c r="AL76" s="194"/>
      <c r="AM76" s="194"/>
      <c r="AN76" s="194"/>
      <c r="AO76" s="194"/>
      <c r="AP76" s="194"/>
      <c r="AQ76" s="194"/>
      <c r="AR76" s="194"/>
      <c r="AS76" s="194"/>
      <c r="AT76" s="194"/>
      <c r="AU76" s="194"/>
      <c r="AV76" s="194"/>
      <c r="AW76" s="194"/>
      <c r="AX76" s="194"/>
      <c r="AY76" s="194"/>
      <c r="AZ76" s="194"/>
      <c r="BA76" s="194"/>
      <c r="BB76" s="194"/>
    </row>
    <row r="77" spans="2:54" hidden="1" x14ac:dyDescent="0.25">
      <c r="B77" s="194"/>
      <c r="C77" s="194" t="s">
        <v>282</v>
      </c>
      <c r="D77" s="194" t="s">
        <v>281</v>
      </c>
      <c r="E77" s="194" t="s">
        <v>150</v>
      </c>
      <c r="F77" s="194" t="s">
        <v>266</v>
      </c>
      <c r="G77" s="194">
        <v>53.433632000000003</v>
      </c>
      <c r="H77" s="194">
        <v>4.2371270000000001</v>
      </c>
      <c r="I77" s="194">
        <v>26.5</v>
      </c>
      <c r="J77" s="194" t="s">
        <v>183</v>
      </c>
      <c r="K77" s="194">
        <v>1977</v>
      </c>
      <c r="L77" s="194" t="s">
        <v>152</v>
      </c>
      <c r="M77" s="194" t="s">
        <v>123</v>
      </c>
      <c r="N77" s="194" t="s">
        <v>153</v>
      </c>
      <c r="O77" s="194" t="s">
        <v>154</v>
      </c>
      <c r="P77" s="194">
        <v>555</v>
      </c>
      <c r="Q77" s="194">
        <v>550</v>
      </c>
      <c r="R77" s="194" t="s">
        <v>184</v>
      </c>
      <c r="S77" s="194"/>
      <c r="T77" s="194"/>
      <c r="U77" s="194"/>
      <c r="V77" s="194"/>
      <c r="W77" s="194"/>
      <c r="X77" s="194"/>
      <c r="Y77" s="194"/>
      <c r="Z77" s="194"/>
      <c r="AA77" s="194"/>
      <c r="AB77" s="194"/>
      <c r="AC77" s="194"/>
      <c r="AD77" s="194"/>
      <c r="AE77" s="194"/>
      <c r="AF77" s="194"/>
      <c r="AG77" s="194"/>
      <c r="AH77" s="194"/>
      <c r="AI77" s="194"/>
      <c r="AJ77" s="194"/>
      <c r="AK77" s="194"/>
      <c r="AL77" s="194"/>
      <c r="AM77" s="194"/>
      <c r="AN77" s="194"/>
      <c r="AO77" s="194"/>
      <c r="AP77" s="194"/>
      <c r="AQ77" s="194"/>
      <c r="AR77" s="194"/>
      <c r="AS77" s="194"/>
      <c r="AT77" s="194"/>
      <c r="AU77" s="194"/>
      <c r="AV77" s="194"/>
      <c r="AW77" s="194"/>
      <c r="AX77" s="194"/>
      <c r="AY77" s="194"/>
      <c r="AZ77" s="194"/>
      <c r="BA77" s="194"/>
      <c r="BB77" s="194"/>
    </row>
    <row r="78" spans="2:54" hidden="1" x14ac:dyDescent="0.25">
      <c r="B78" s="194"/>
      <c r="C78" s="194" t="s">
        <v>284</v>
      </c>
      <c r="D78" s="194" t="s">
        <v>283</v>
      </c>
      <c r="E78" s="194" t="s">
        <v>150</v>
      </c>
      <c r="F78" s="194" t="s">
        <v>266</v>
      </c>
      <c r="G78" s="194">
        <v>53.433841000000001</v>
      </c>
      <c r="H78" s="194">
        <v>4.2369070000000004</v>
      </c>
      <c r="I78" s="194">
        <v>26.5</v>
      </c>
      <c r="J78" s="194" t="s">
        <v>183</v>
      </c>
      <c r="K78" s="194">
        <v>1984</v>
      </c>
      <c r="L78" s="194" t="s">
        <v>152</v>
      </c>
      <c r="M78" s="194" t="s">
        <v>123</v>
      </c>
      <c r="N78" s="194" t="s">
        <v>153</v>
      </c>
      <c r="O78" s="194" t="s">
        <v>154</v>
      </c>
      <c r="P78" s="194">
        <v>335</v>
      </c>
      <c r="Q78" s="194">
        <v>195</v>
      </c>
      <c r="R78" s="194" t="s">
        <v>184</v>
      </c>
      <c r="S78" s="194"/>
      <c r="T78" s="194"/>
      <c r="U78" s="194"/>
      <c r="V78" s="194"/>
      <c r="W78" s="194"/>
      <c r="X78" s="194"/>
      <c r="Y78" s="194"/>
      <c r="Z78" s="194"/>
      <c r="AA78" s="194"/>
      <c r="AB78" s="194"/>
      <c r="AC78" s="194"/>
      <c r="AD78" s="194"/>
      <c r="AE78" s="194"/>
      <c r="AF78" s="194"/>
      <c r="AG78" s="194"/>
      <c r="AH78" s="194"/>
      <c r="AI78" s="194"/>
      <c r="AJ78" s="194"/>
      <c r="AK78" s="194"/>
      <c r="AL78" s="194"/>
      <c r="AM78" s="194"/>
      <c r="AN78" s="194"/>
      <c r="AO78" s="194"/>
      <c r="AP78" s="194"/>
      <c r="AQ78" s="194"/>
      <c r="AR78" s="194"/>
      <c r="AS78" s="194"/>
      <c r="AT78" s="194"/>
      <c r="AU78" s="194"/>
      <c r="AV78" s="194"/>
      <c r="AW78" s="194"/>
      <c r="AX78" s="194"/>
      <c r="AY78" s="194"/>
      <c r="AZ78" s="194"/>
      <c r="BA78" s="194"/>
      <c r="BB78" s="194"/>
    </row>
    <row r="79" spans="2:54" hidden="1" x14ac:dyDescent="0.25">
      <c r="B79" s="194"/>
      <c r="C79" s="194" t="s">
        <v>286</v>
      </c>
      <c r="D79" s="194" t="s">
        <v>285</v>
      </c>
      <c r="E79" s="194" t="s">
        <v>150</v>
      </c>
      <c r="F79" s="194" t="s">
        <v>266</v>
      </c>
      <c r="G79" s="194">
        <v>53.388283999999899</v>
      </c>
      <c r="H79" s="194">
        <v>4.2608639999999998</v>
      </c>
      <c r="I79" s="194">
        <v>26.5</v>
      </c>
      <c r="J79" s="194" t="s">
        <v>183</v>
      </c>
      <c r="K79" s="194">
        <v>1980</v>
      </c>
      <c r="L79" s="194" t="s">
        <v>152</v>
      </c>
      <c r="M79" s="194" t="s">
        <v>123</v>
      </c>
      <c r="N79" s="194" t="s">
        <v>153</v>
      </c>
      <c r="O79" s="194" t="s">
        <v>154</v>
      </c>
      <c r="P79" s="194">
        <v>505</v>
      </c>
      <c r="Q79" s="194">
        <v>550</v>
      </c>
      <c r="R79" s="194" t="s">
        <v>184</v>
      </c>
      <c r="S79" s="194"/>
      <c r="T79" s="194"/>
      <c r="U79" s="194"/>
      <c r="V79" s="194"/>
      <c r="W79" s="194"/>
      <c r="X79" s="194"/>
      <c r="Y79" s="194"/>
      <c r="Z79" s="194"/>
      <c r="AA79" s="194"/>
      <c r="AB79" s="194"/>
      <c r="AC79" s="194"/>
      <c r="AD79" s="194"/>
      <c r="AE79" s="194"/>
      <c r="AF79" s="194"/>
      <c r="AG79" s="194"/>
      <c r="AH79" s="194"/>
      <c r="AI79" s="194"/>
      <c r="AJ79" s="194"/>
      <c r="AK79" s="194"/>
      <c r="AL79" s="194"/>
      <c r="AM79" s="194"/>
      <c r="AN79" s="194"/>
      <c r="AO79" s="194"/>
      <c r="AP79" s="194"/>
      <c r="AQ79" s="194"/>
      <c r="AR79" s="194"/>
      <c r="AS79" s="194"/>
      <c r="AT79" s="194"/>
      <c r="AU79" s="194"/>
      <c r="AV79" s="194"/>
      <c r="AW79" s="194"/>
      <c r="AX79" s="194"/>
      <c r="AY79" s="194"/>
      <c r="AZ79" s="194"/>
      <c r="BA79" s="194"/>
      <c r="BB79" s="194"/>
    </row>
    <row r="80" spans="2:54" hidden="1" x14ac:dyDescent="0.25">
      <c r="B80" s="194"/>
      <c r="C80" s="194" t="s">
        <v>288</v>
      </c>
      <c r="D80" s="194" t="s">
        <v>287</v>
      </c>
      <c r="E80" s="194" t="s">
        <v>150</v>
      </c>
      <c r="F80" s="194" t="s">
        <v>289</v>
      </c>
      <c r="G80" s="194">
        <v>53.492356000000001</v>
      </c>
      <c r="H80" s="194">
        <v>4.1968399999999999</v>
      </c>
      <c r="I80" s="194">
        <v>26.5</v>
      </c>
      <c r="J80" s="194" t="s">
        <v>183</v>
      </c>
      <c r="K80" s="194">
        <v>1984</v>
      </c>
      <c r="L80" s="194" t="s">
        <v>152</v>
      </c>
      <c r="M80" s="194" t="s">
        <v>123</v>
      </c>
      <c r="N80" s="194" t="s">
        <v>153</v>
      </c>
      <c r="O80" s="194" t="s">
        <v>154</v>
      </c>
      <c r="P80" s="194">
        <v>555</v>
      </c>
      <c r="Q80" s="194">
        <v>535</v>
      </c>
      <c r="R80" s="194" t="s">
        <v>184</v>
      </c>
      <c r="S80" s="194"/>
      <c r="T80" s="194"/>
      <c r="U80" s="194"/>
      <c r="V80" s="194"/>
      <c r="W80" s="194"/>
      <c r="X80" s="194"/>
      <c r="Y80" s="194"/>
      <c r="Z80" s="194"/>
      <c r="AA80" s="194"/>
      <c r="AB80" s="194"/>
      <c r="AC80" s="194"/>
      <c r="AD80" s="194"/>
      <c r="AE80" s="194"/>
      <c r="AF80" s="194"/>
      <c r="AG80" s="194"/>
      <c r="AH80" s="194"/>
      <c r="AI80" s="194"/>
      <c r="AJ80" s="194"/>
      <c r="AK80" s="194"/>
      <c r="AL80" s="194"/>
      <c r="AM80" s="194"/>
      <c r="AN80" s="194"/>
      <c r="AO80" s="194"/>
      <c r="AP80" s="194"/>
      <c r="AQ80" s="194"/>
      <c r="AR80" s="194"/>
      <c r="AS80" s="194"/>
      <c r="AT80" s="194"/>
      <c r="AU80" s="194"/>
      <c r="AV80" s="194"/>
      <c r="AW80" s="194"/>
      <c r="AX80" s="194"/>
      <c r="AY80" s="194"/>
      <c r="AZ80" s="194"/>
      <c r="BA80" s="194"/>
      <c r="BB80" s="194"/>
    </row>
    <row r="81" spans="2:54" hidden="1" x14ac:dyDescent="0.25">
      <c r="B81" s="194"/>
      <c r="C81" s="194" t="s">
        <v>291</v>
      </c>
      <c r="D81" s="194" t="s">
        <v>290</v>
      </c>
      <c r="E81" s="194" t="s">
        <v>150</v>
      </c>
      <c r="F81" s="194" t="s">
        <v>266</v>
      </c>
      <c r="G81" s="194">
        <v>53.420389</v>
      </c>
      <c r="H81" s="194">
        <v>4.1849759999999998</v>
      </c>
      <c r="I81" s="194">
        <v>27.1</v>
      </c>
      <c r="J81" s="194" t="s">
        <v>183</v>
      </c>
      <c r="K81" s="194">
        <v>1988</v>
      </c>
      <c r="L81" s="194" t="s">
        <v>152</v>
      </c>
      <c r="M81" s="194" t="s">
        <v>123</v>
      </c>
      <c r="N81" s="194" t="s">
        <v>153</v>
      </c>
      <c r="O81" s="194" t="s">
        <v>154</v>
      </c>
      <c r="P81" s="194">
        <v>620</v>
      </c>
      <c r="Q81" s="194">
        <v>550</v>
      </c>
      <c r="R81" s="194" t="s">
        <v>184</v>
      </c>
      <c r="S81" s="194"/>
      <c r="T81" s="194"/>
      <c r="U81" s="194"/>
      <c r="V81" s="194"/>
      <c r="W81" s="194"/>
      <c r="X81" s="194"/>
      <c r="Y81" s="194"/>
      <c r="Z81" s="194"/>
      <c r="AA81" s="194"/>
      <c r="AB81" s="194"/>
      <c r="AC81" s="194"/>
      <c r="AD81" s="194"/>
      <c r="AE81" s="194"/>
      <c r="AF81" s="194"/>
      <c r="AG81" s="194"/>
      <c r="AH81" s="194"/>
      <c r="AI81" s="194"/>
      <c r="AJ81" s="194"/>
      <c r="AK81" s="194"/>
      <c r="AL81" s="194"/>
      <c r="AM81" s="194"/>
      <c r="AN81" s="194"/>
      <c r="AO81" s="194"/>
      <c r="AP81" s="194"/>
      <c r="AQ81" s="194"/>
      <c r="AR81" s="194"/>
      <c r="AS81" s="194"/>
      <c r="AT81" s="194"/>
      <c r="AU81" s="194"/>
      <c r="AV81" s="194"/>
      <c r="AW81" s="194"/>
      <c r="AX81" s="194"/>
      <c r="AY81" s="194"/>
      <c r="AZ81" s="194"/>
      <c r="BA81" s="194"/>
      <c r="BB81" s="194"/>
    </row>
    <row r="82" spans="2:54" hidden="1" x14ac:dyDescent="0.25">
      <c r="B82" s="194"/>
      <c r="C82" s="194" t="s">
        <v>435</v>
      </c>
      <c r="D82" s="194" t="s">
        <v>434</v>
      </c>
      <c r="E82" s="194" t="s">
        <v>150</v>
      </c>
      <c r="F82" s="194" t="s">
        <v>436</v>
      </c>
      <c r="G82" s="194">
        <v>53.4070719999999</v>
      </c>
      <c r="H82" s="194">
        <v>4.0240770000000001</v>
      </c>
      <c r="I82" s="194">
        <v>26</v>
      </c>
      <c r="J82" s="194" t="s">
        <v>183</v>
      </c>
      <c r="K82" s="194">
        <v>2000</v>
      </c>
      <c r="L82" s="194" t="s">
        <v>152</v>
      </c>
      <c r="M82" s="194" t="s">
        <v>123</v>
      </c>
      <c r="N82" s="194" t="s">
        <v>153</v>
      </c>
      <c r="O82" s="194" t="s">
        <v>154</v>
      </c>
      <c r="P82" s="194">
        <v>565</v>
      </c>
      <c r="Q82" s="194">
        <v>600</v>
      </c>
      <c r="R82" s="194" t="s">
        <v>184</v>
      </c>
      <c r="S82" s="194"/>
      <c r="T82" s="194"/>
      <c r="U82" s="194"/>
      <c r="V82" s="194"/>
      <c r="W82" s="194"/>
      <c r="X82" s="194"/>
      <c r="Y82" s="194"/>
      <c r="Z82" s="194"/>
      <c r="AA82" s="194"/>
      <c r="AB82" s="194"/>
      <c r="AC82" s="194"/>
      <c r="AD82" s="194"/>
      <c r="AE82" s="194"/>
      <c r="AF82" s="194"/>
      <c r="AG82" s="194"/>
      <c r="AH82" s="194"/>
      <c r="AI82" s="194"/>
      <c r="AJ82" s="194"/>
      <c r="AK82" s="194"/>
      <c r="AL82" s="194"/>
      <c r="AM82" s="194"/>
      <c r="AN82" s="194"/>
      <c r="AO82" s="194"/>
      <c r="AP82" s="194"/>
      <c r="AQ82" s="194"/>
      <c r="AR82" s="194"/>
      <c r="AS82" s="194"/>
      <c r="AT82" s="194"/>
      <c r="AU82" s="194"/>
      <c r="AV82" s="194"/>
      <c r="AW82" s="194"/>
      <c r="AX82" s="194"/>
      <c r="AY82" s="194"/>
      <c r="AZ82" s="194"/>
      <c r="BA82" s="194"/>
      <c r="BB82" s="194"/>
    </row>
    <row r="83" spans="2:54" hidden="1" x14ac:dyDescent="0.25">
      <c r="B83" s="194"/>
      <c r="C83" s="194" t="s">
        <v>293</v>
      </c>
      <c r="D83" s="194" t="s">
        <v>292</v>
      </c>
      <c r="E83" s="194" t="s">
        <v>150</v>
      </c>
      <c r="F83" s="194" t="s">
        <v>294</v>
      </c>
      <c r="G83" s="194">
        <v>53.474691</v>
      </c>
      <c r="H83" s="194">
        <v>4.4910540000000001</v>
      </c>
      <c r="I83" s="194">
        <v>26</v>
      </c>
      <c r="J83" s="194" t="s">
        <v>295</v>
      </c>
      <c r="K83" s="194">
        <v>1986</v>
      </c>
      <c r="L83" s="194" t="s">
        <v>152</v>
      </c>
      <c r="M83" s="194" t="s">
        <v>123</v>
      </c>
      <c r="N83" s="194" t="s">
        <v>153</v>
      </c>
      <c r="O83" s="194" t="s">
        <v>154</v>
      </c>
      <c r="P83" s="194">
        <v>500</v>
      </c>
      <c r="Q83" s="194">
        <v>1300</v>
      </c>
      <c r="R83" s="194" t="s">
        <v>0</v>
      </c>
      <c r="S83" s="194"/>
      <c r="T83" s="194"/>
      <c r="U83" s="194"/>
      <c r="V83" s="194"/>
      <c r="W83" s="194"/>
      <c r="X83" s="194"/>
      <c r="Y83" s="194"/>
      <c r="Z83" s="194"/>
      <c r="AA83" s="194"/>
      <c r="AB83" s="194"/>
      <c r="AC83" s="194"/>
      <c r="AD83" s="194"/>
      <c r="AE83" s="194"/>
      <c r="AF83" s="194"/>
      <c r="AG83" s="194"/>
      <c r="AH83" s="194"/>
      <c r="AI83" s="194"/>
      <c r="AJ83" s="194"/>
      <c r="AK83" s="194"/>
      <c r="AL83" s="194"/>
      <c r="AM83" s="194"/>
      <c r="AN83" s="194"/>
      <c r="AO83" s="194"/>
      <c r="AP83" s="194"/>
      <c r="AQ83" s="194"/>
      <c r="AR83" s="194"/>
      <c r="AS83" s="194"/>
      <c r="AT83" s="194"/>
      <c r="AU83" s="194"/>
      <c r="AV83" s="194"/>
      <c r="AW83" s="194"/>
      <c r="AX83" s="194"/>
      <c r="AY83" s="194"/>
      <c r="AZ83" s="194"/>
      <c r="BA83" s="194"/>
      <c r="BB83" s="194"/>
    </row>
    <row r="84" spans="2:54" hidden="1" x14ac:dyDescent="0.25">
      <c r="B84" s="194"/>
      <c r="C84" s="194" t="s">
        <v>297</v>
      </c>
      <c r="D84" s="194" t="s">
        <v>296</v>
      </c>
      <c r="E84" s="194" t="s">
        <v>150</v>
      </c>
      <c r="F84" s="194" t="s">
        <v>298</v>
      </c>
      <c r="G84" s="194">
        <v>53.285263</v>
      </c>
      <c r="H84" s="194">
        <v>4.2097810000000004</v>
      </c>
      <c r="I84" s="194">
        <v>27</v>
      </c>
      <c r="J84" s="194" t="s">
        <v>88</v>
      </c>
      <c r="K84" s="194">
        <v>1986</v>
      </c>
      <c r="L84" s="194" t="s">
        <v>152</v>
      </c>
      <c r="M84" s="194" t="s">
        <v>123</v>
      </c>
      <c r="N84" s="194" t="s">
        <v>153</v>
      </c>
      <c r="O84" s="194" t="s">
        <v>154</v>
      </c>
      <c r="P84" s="194">
        <v>680</v>
      </c>
      <c r="Q84" s="194">
        <v>3340</v>
      </c>
      <c r="R84" s="194" t="s">
        <v>299</v>
      </c>
      <c r="S84" s="194"/>
      <c r="T84" s="194"/>
      <c r="U84" s="194"/>
      <c r="V84" s="194"/>
      <c r="W84" s="194"/>
      <c r="X84" s="194"/>
      <c r="Y84" s="194"/>
      <c r="Z84" s="194"/>
      <c r="AA84" s="194"/>
      <c r="AB84" s="194"/>
      <c r="AC84" s="194"/>
      <c r="AD84" s="194"/>
      <c r="AE84" s="194"/>
      <c r="AF84" s="194"/>
      <c r="AG84" s="194"/>
      <c r="AH84" s="194"/>
      <c r="AI84" s="194"/>
      <c r="AJ84" s="194"/>
      <c r="AK84" s="194"/>
      <c r="AL84" s="194"/>
      <c r="AM84" s="194"/>
      <c r="AN84" s="194"/>
      <c r="AO84" s="194"/>
      <c r="AP84" s="194"/>
      <c r="AQ84" s="194"/>
      <c r="AR84" s="194"/>
      <c r="AS84" s="194"/>
      <c r="AT84" s="194"/>
      <c r="AU84" s="194"/>
      <c r="AV84" s="194"/>
      <c r="AW84" s="194"/>
      <c r="AX84" s="194"/>
      <c r="AY84" s="194"/>
      <c r="AZ84" s="194"/>
      <c r="BA84" s="194"/>
      <c r="BB84" s="194"/>
    </row>
    <row r="85" spans="2:54" hidden="1" x14ac:dyDescent="0.25">
      <c r="B85" s="194"/>
      <c r="C85" s="194" t="s">
        <v>301</v>
      </c>
      <c r="D85" s="194" t="s">
        <v>300</v>
      </c>
      <c r="E85" s="194" t="s">
        <v>150</v>
      </c>
      <c r="F85" s="194" t="s">
        <v>302</v>
      </c>
      <c r="G85" s="194">
        <v>53.263789000000003</v>
      </c>
      <c r="H85" s="194">
        <v>4.2479319999999996</v>
      </c>
      <c r="I85" s="194">
        <v>26</v>
      </c>
      <c r="J85" s="194" t="s">
        <v>88</v>
      </c>
      <c r="K85" s="194">
        <v>1988</v>
      </c>
      <c r="L85" s="194" t="s">
        <v>152</v>
      </c>
      <c r="M85" s="194" t="s">
        <v>123</v>
      </c>
      <c r="N85" s="194" t="s">
        <v>153</v>
      </c>
      <c r="O85" s="194" t="s">
        <v>154</v>
      </c>
      <c r="P85" s="194">
        <v>350</v>
      </c>
      <c r="Q85" s="194">
        <v>450</v>
      </c>
      <c r="R85" s="194" t="s">
        <v>0</v>
      </c>
      <c r="S85" s="194"/>
      <c r="T85" s="194"/>
      <c r="U85" s="194"/>
      <c r="V85" s="194"/>
      <c r="W85" s="194"/>
      <c r="X85" s="194"/>
      <c r="Y85" s="194"/>
      <c r="Z85" s="194"/>
      <c r="AA85" s="194"/>
      <c r="AB85" s="194"/>
      <c r="AC85" s="194"/>
      <c r="AD85" s="194"/>
      <c r="AE85" s="194"/>
      <c r="AF85" s="194"/>
      <c r="AG85" s="194"/>
      <c r="AH85" s="194"/>
      <c r="AI85" s="194"/>
      <c r="AJ85" s="194"/>
      <c r="AK85" s="194"/>
      <c r="AL85" s="194"/>
      <c r="AM85" s="194"/>
      <c r="AN85" s="194"/>
      <c r="AO85" s="194"/>
      <c r="AP85" s="194"/>
      <c r="AQ85" s="194"/>
      <c r="AR85" s="194"/>
      <c r="AS85" s="194"/>
      <c r="AT85" s="194"/>
      <c r="AU85" s="194"/>
      <c r="AV85" s="194"/>
      <c r="AW85" s="194"/>
      <c r="AX85" s="194"/>
      <c r="AY85" s="194"/>
      <c r="AZ85" s="194"/>
      <c r="BA85" s="194"/>
      <c r="BB85" s="194"/>
    </row>
    <row r="86" spans="2:54" hidden="1" x14ac:dyDescent="0.25">
      <c r="B86" s="194"/>
      <c r="C86" s="194" t="s">
        <v>304</v>
      </c>
      <c r="D86" s="194" t="s">
        <v>303</v>
      </c>
      <c r="E86" s="194" t="s">
        <v>150</v>
      </c>
      <c r="F86" s="194" t="s">
        <v>305</v>
      </c>
      <c r="G86" s="194">
        <v>53.315044999999898</v>
      </c>
      <c r="H86" s="194">
        <v>4.2481660000000003</v>
      </c>
      <c r="I86" s="194">
        <v>26</v>
      </c>
      <c r="J86" s="194" t="s">
        <v>88</v>
      </c>
      <c r="K86" s="194">
        <v>1989</v>
      </c>
      <c r="L86" s="194" t="s">
        <v>152</v>
      </c>
      <c r="M86" s="194" t="s">
        <v>123</v>
      </c>
      <c r="N86" s="194" t="s">
        <v>153</v>
      </c>
      <c r="O86" s="194" t="s">
        <v>154</v>
      </c>
      <c r="P86" s="194">
        <v>350</v>
      </c>
      <c r="Q86" s="194">
        <v>450</v>
      </c>
      <c r="R86" s="194" t="s">
        <v>0</v>
      </c>
      <c r="S86" s="194"/>
      <c r="T86" s="194"/>
      <c r="U86" s="194"/>
      <c r="V86" s="194"/>
      <c r="W86" s="194"/>
      <c r="X86" s="194"/>
      <c r="Y86" s="194"/>
      <c r="Z86" s="194"/>
      <c r="AA86" s="194"/>
      <c r="AB86" s="194"/>
      <c r="AC86" s="194"/>
      <c r="AD86" s="194"/>
      <c r="AE86" s="194"/>
      <c r="AF86" s="194"/>
      <c r="AG86" s="194"/>
      <c r="AH86" s="194"/>
      <c r="AI86" s="194"/>
      <c r="AJ86" s="194"/>
      <c r="AK86" s="194"/>
      <c r="AL86" s="194"/>
      <c r="AM86" s="194"/>
      <c r="AN86" s="194"/>
      <c r="AO86" s="194"/>
      <c r="AP86" s="194"/>
      <c r="AQ86" s="194"/>
      <c r="AR86" s="194"/>
      <c r="AS86" s="194"/>
      <c r="AT86" s="194"/>
      <c r="AU86" s="194"/>
      <c r="AV86" s="194"/>
      <c r="AW86" s="194"/>
      <c r="AX86" s="194"/>
      <c r="AY86" s="194"/>
      <c r="AZ86" s="194"/>
      <c r="BA86" s="194"/>
      <c r="BB86" s="194"/>
    </row>
    <row r="87" spans="2:54" hidden="1" x14ac:dyDescent="0.25">
      <c r="B87" s="194"/>
      <c r="C87" s="194" t="s">
        <v>307</v>
      </c>
      <c r="D87" s="194" t="s">
        <v>306</v>
      </c>
      <c r="E87" s="194" t="s">
        <v>150</v>
      </c>
      <c r="F87" s="194" t="s">
        <v>308</v>
      </c>
      <c r="G87" s="194">
        <v>53.3314349999999</v>
      </c>
      <c r="H87" s="194">
        <v>4.8322450000000003</v>
      </c>
      <c r="I87" s="194">
        <v>26</v>
      </c>
      <c r="J87" s="194" t="s">
        <v>88</v>
      </c>
      <c r="K87" s="194">
        <v>1993</v>
      </c>
      <c r="L87" s="194" t="s">
        <v>152</v>
      </c>
      <c r="M87" s="194" t="s">
        <v>123</v>
      </c>
      <c r="N87" s="194" t="s">
        <v>153</v>
      </c>
      <c r="O87" s="194" t="s">
        <v>154</v>
      </c>
      <c r="P87" s="194">
        <v>900</v>
      </c>
      <c r="Q87" s="194">
        <v>2400</v>
      </c>
      <c r="R87" s="194" t="s">
        <v>0</v>
      </c>
      <c r="S87" s="194"/>
      <c r="T87" s="194"/>
      <c r="U87" s="194"/>
      <c r="V87" s="194"/>
      <c r="W87" s="194"/>
      <c r="X87" s="194"/>
      <c r="Y87" s="194"/>
      <c r="Z87" s="194"/>
      <c r="AA87" s="194"/>
      <c r="AB87" s="194"/>
      <c r="AC87" s="194"/>
      <c r="AD87" s="194"/>
      <c r="AE87" s="194"/>
      <c r="AF87" s="194"/>
      <c r="AG87" s="194"/>
      <c r="AH87" s="194"/>
      <c r="AI87" s="194"/>
      <c r="AJ87" s="194"/>
      <c r="AK87" s="194"/>
      <c r="AL87" s="194"/>
      <c r="AM87" s="194"/>
      <c r="AN87" s="194"/>
      <c r="AO87" s="194"/>
      <c r="AP87" s="194"/>
      <c r="AQ87" s="194"/>
      <c r="AR87" s="194"/>
      <c r="AS87" s="194"/>
      <c r="AT87" s="194"/>
      <c r="AU87" s="194"/>
      <c r="AV87" s="194"/>
      <c r="AW87" s="194"/>
      <c r="AX87" s="194"/>
      <c r="AY87" s="194"/>
      <c r="AZ87" s="194"/>
      <c r="BA87" s="194"/>
      <c r="BB87" s="194"/>
    </row>
    <row r="88" spans="2:54" hidden="1" x14ac:dyDescent="0.25">
      <c r="B88" s="194"/>
      <c r="C88" s="194" t="s">
        <v>396</v>
      </c>
      <c r="D88" s="194" t="s">
        <v>395</v>
      </c>
      <c r="E88" s="194" t="s">
        <v>150</v>
      </c>
      <c r="F88" s="194" t="s">
        <v>397</v>
      </c>
      <c r="G88" s="194">
        <v>53.962643</v>
      </c>
      <c r="H88" s="194">
        <v>4.4978220000000002</v>
      </c>
      <c r="I88" s="194">
        <v>40</v>
      </c>
      <c r="J88" s="194" t="s">
        <v>88</v>
      </c>
      <c r="K88" s="194">
        <v>1991</v>
      </c>
      <c r="L88" s="194" t="s">
        <v>152</v>
      </c>
      <c r="M88" s="194" t="s">
        <v>123</v>
      </c>
      <c r="N88" s="194" t="s">
        <v>153</v>
      </c>
      <c r="O88" s="194" t="s">
        <v>154</v>
      </c>
      <c r="P88" s="194">
        <v>1230</v>
      </c>
      <c r="Q88" s="194">
        <v>660</v>
      </c>
      <c r="R88" s="194" t="s">
        <v>0</v>
      </c>
      <c r="S88" s="194"/>
      <c r="T88" s="194"/>
      <c r="U88" s="194"/>
      <c r="V88" s="194"/>
      <c r="W88" s="194"/>
      <c r="X88" s="194"/>
      <c r="Y88" s="194"/>
      <c r="Z88" s="194"/>
      <c r="AA88" s="194"/>
      <c r="AB88" s="194"/>
      <c r="AC88" s="194"/>
      <c r="AD88" s="194"/>
      <c r="AE88" s="194"/>
      <c r="AF88" s="194"/>
      <c r="AG88" s="194"/>
      <c r="AH88" s="194"/>
      <c r="AI88" s="194"/>
      <c r="AJ88" s="194"/>
      <c r="AK88" s="194"/>
      <c r="AL88" s="194"/>
      <c r="AM88" s="194"/>
      <c r="AN88" s="194"/>
      <c r="AO88" s="194"/>
      <c r="AP88" s="194"/>
      <c r="AQ88" s="194"/>
      <c r="AR88" s="194"/>
      <c r="AS88" s="194"/>
      <c r="AT88" s="194"/>
      <c r="AU88" s="194"/>
      <c r="AV88" s="194"/>
      <c r="AW88" s="194"/>
      <c r="AX88" s="194"/>
      <c r="AY88" s="194"/>
      <c r="AZ88" s="194"/>
      <c r="BA88" s="194"/>
      <c r="BB88" s="194"/>
    </row>
    <row r="89" spans="2:54" hidden="1" x14ac:dyDescent="0.25">
      <c r="B89" s="194"/>
      <c r="C89" s="194" t="s">
        <v>310</v>
      </c>
      <c r="D89" s="194" t="s">
        <v>309</v>
      </c>
      <c r="E89" s="194" t="s">
        <v>150</v>
      </c>
      <c r="F89" s="194" t="s">
        <v>311</v>
      </c>
      <c r="G89" s="194">
        <v>53.7265599999999</v>
      </c>
      <c r="H89" s="194">
        <v>4.0990169999999999</v>
      </c>
      <c r="I89" s="194">
        <v>39.5</v>
      </c>
      <c r="J89" s="194" t="s">
        <v>84</v>
      </c>
      <c r="K89" s="194">
        <v>1982</v>
      </c>
      <c r="L89" s="194" t="s">
        <v>152</v>
      </c>
      <c r="M89" s="194" t="s">
        <v>123</v>
      </c>
      <c r="N89" s="194" t="s">
        <v>153</v>
      </c>
      <c r="O89" s="194" t="s">
        <v>154</v>
      </c>
      <c r="P89" s="194">
        <v>1042</v>
      </c>
      <c r="Q89" s="194">
        <v>2050</v>
      </c>
      <c r="R89" s="194" t="s">
        <v>0</v>
      </c>
      <c r="S89" s="194"/>
      <c r="T89" s="194"/>
      <c r="U89" s="194"/>
      <c r="V89" s="194"/>
      <c r="W89" s="194"/>
      <c r="X89" s="194"/>
      <c r="Y89" s="194"/>
      <c r="Z89" s="194"/>
      <c r="AA89" s="194"/>
      <c r="AB89" s="194"/>
      <c r="AC89" s="194"/>
      <c r="AD89" s="194"/>
      <c r="AE89" s="194"/>
      <c r="AF89" s="194"/>
      <c r="AG89" s="194"/>
      <c r="AH89" s="194"/>
      <c r="AI89" s="194"/>
      <c r="AJ89" s="194"/>
      <c r="AK89" s="194"/>
      <c r="AL89" s="194"/>
      <c r="AM89" s="194"/>
      <c r="AN89" s="194"/>
      <c r="AO89" s="194"/>
      <c r="AP89" s="194"/>
      <c r="AQ89" s="194"/>
      <c r="AR89" s="194"/>
      <c r="AS89" s="194"/>
      <c r="AT89" s="194"/>
      <c r="AU89" s="194"/>
      <c r="AV89" s="194"/>
      <c r="AW89" s="194"/>
      <c r="AX89" s="194"/>
      <c r="AY89" s="194"/>
      <c r="AZ89" s="194"/>
      <c r="BA89" s="194"/>
      <c r="BB89" s="194"/>
    </row>
    <row r="90" spans="2:54" hidden="1" x14ac:dyDescent="0.25">
      <c r="B90" s="194"/>
      <c r="C90" s="194" t="s">
        <v>313</v>
      </c>
      <c r="D90" s="194" t="s">
        <v>312</v>
      </c>
      <c r="E90" s="194" t="s">
        <v>150</v>
      </c>
      <c r="F90" s="194" t="s">
        <v>314</v>
      </c>
      <c r="G90" s="194">
        <v>53.678201000000001</v>
      </c>
      <c r="H90" s="194">
        <v>4.0026029999999997</v>
      </c>
      <c r="I90" s="194">
        <v>38.700000000000003</v>
      </c>
      <c r="J90" s="194" t="s">
        <v>84</v>
      </c>
      <c r="K90" s="194">
        <v>1985</v>
      </c>
      <c r="L90" s="194" t="s">
        <v>152</v>
      </c>
      <c r="M90" s="194" t="s">
        <v>123</v>
      </c>
      <c r="N90" s="194" t="s">
        <v>153</v>
      </c>
      <c r="O90" s="194" t="s">
        <v>154</v>
      </c>
      <c r="P90" s="194">
        <v>470</v>
      </c>
      <c r="Q90" s="194">
        <v>375</v>
      </c>
      <c r="R90" s="194" t="s">
        <v>0</v>
      </c>
      <c r="S90" s="194"/>
      <c r="T90" s="194"/>
      <c r="U90" s="194"/>
      <c r="V90" s="194"/>
      <c r="W90" s="194"/>
      <c r="X90" s="194"/>
      <c r="Y90" s="194"/>
      <c r="Z90" s="194"/>
      <c r="AA90" s="194"/>
      <c r="AB90" s="194"/>
      <c r="AC90" s="194"/>
      <c r="AD90" s="194"/>
      <c r="AE90" s="194"/>
      <c r="AF90" s="194"/>
      <c r="AG90" s="194"/>
      <c r="AH90" s="194"/>
      <c r="AI90" s="194"/>
      <c r="AJ90" s="194"/>
      <c r="AK90" s="194"/>
      <c r="AL90" s="194"/>
      <c r="AM90" s="194"/>
      <c r="AN90" s="194"/>
      <c r="AO90" s="194"/>
      <c r="AP90" s="194"/>
      <c r="AQ90" s="194"/>
      <c r="AR90" s="194"/>
      <c r="AS90" s="194"/>
      <c r="AT90" s="194"/>
      <c r="AU90" s="194"/>
      <c r="AV90" s="194"/>
      <c r="AW90" s="194"/>
      <c r="AX90" s="194"/>
      <c r="AY90" s="194"/>
      <c r="AZ90" s="194"/>
      <c r="BA90" s="194"/>
      <c r="BB90" s="194"/>
    </row>
    <row r="91" spans="2:54" hidden="1" x14ac:dyDescent="0.25">
      <c r="B91" s="194"/>
      <c r="C91" s="194" t="s">
        <v>438</v>
      </c>
      <c r="D91" s="194" t="s">
        <v>437</v>
      </c>
      <c r="E91" s="194" t="s">
        <v>150</v>
      </c>
      <c r="F91" s="194" t="s">
        <v>439</v>
      </c>
      <c r="G91" s="194">
        <v>53.825313999999899</v>
      </c>
      <c r="H91" s="194">
        <v>4.051463</v>
      </c>
      <c r="I91" s="194">
        <v>40.6</v>
      </c>
      <c r="J91" s="194" t="s">
        <v>84</v>
      </c>
      <c r="K91" s="194">
        <v>1999</v>
      </c>
      <c r="L91" s="194" t="s">
        <v>152</v>
      </c>
      <c r="M91" s="194" t="s">
        <v>123</v>
      </c>
      <c r="N91" s="194" t="s">
        <v>153</v>
      </c>
      <c r="O91" s="194" t="s">
        <v>154</v>
      </c>
      <c r="P91" s="194">
        <v>550</v>
      </c>
      <c r="Q91" s="194">
        <v>710</v>
      </c>
      <c r="R91" s="194" t="s">
        <v>0</v>
      </c>
      <c r="S91" s="194"/>
      <c r="T91" s="194"/>
      <c r="U91" s="194"/>
      <c r="V91" s="194"/>
      <c r="W91" s="194"/>
      <c r="X91" s="194"/>
      <c r="Y91" s="194"/>
      <c r="Z91" s="194"/>
      <c r="AA91" s="194"/>
      <c r="AB91" s="194"/>
      <c r="AC91" s="194"/>
      <c r="AD91" s="194"/>
      <c r="AE91" s="194"/>
      <c r="AF91" s="194"/>
      <c r="AG91" s="194"/>
      <c r="AH91" s="194"/>
      <c r="AI91" s="194"/>
      <c r="AJ91" s="194"/>
      <c r="AK91" s="194"/>
      <c r="AL91" s="194"/>
      <c r="AM91" s="194"/>
      <c r="AN91" s="194"/>
      <c r="AO91" s="194"/>
      <c r="AP91" s="194"/>
      <c r="AQ91" s="194"/>
      <c r="AR91" s="194"/>
      <c r="AS91" s="194"/>
      <c r="AT91" s="194"/>
      <c r="AU91" s="194"/>
      <c r="AV91" s="194"/>
      <c r="AW91" s="194"/>
      <c r="AX91" s="194"/>
      <c r="AY91" s="194"/>
      <c r="AZ91" s="194"/>
      <c r="BA91" s="194"/>
      <c r="BB91" s="194"/>
    </row>
    <row r="92" spans="2:54" hidden="1" x14ac:dyDescent="0.25">
      <c r="B92" s="194"/>
      <c r="C92" s="194" t="s">
        <v>455</v>
      </c>
      <c r="D92" s="194" t="s">
        <v>454</v>
      </c>
      <c r="E92" s="194" t="s">
        <v>150</v>
      </c>
      <c r="F92" s="194" t="s">
        <v>456</v>
      </c>
      <c r="G92" s="194">
        <v>53.706142999999898</v>
      </c>
      <c r="H92" s="194">
        <v>4.6037359999999996</v>
      </c>
      <c r="I92" s="194">
        <v>35</v>
      </c>
      <c r="J92" s="194" t="s">
        <v>177</v>
      </c>
      <c r="K92" s="194">
        <v>2003</v>
      </c>
      <c r="L92" s="194" t="s">
        <v>152</v>
      </c>
      <c r="M92" s="194" t="s">
        <v>123</v>
      </c>
      <c r="N92" s="194" t="s">
        <v>153</v>
      </c>
      <c r="O92" s="194" t="s">
        <v>154</v>
      </c>
      <c r="P92" s="194">
        <v>776</v>
      </c>
      <c r="Q92" s="194">
        <v>479</v>
      </c>
      <c r="R92" s="194" t="s">
        <v>0</v>
      </c>
      <c r="S92" s="194"/>
      <c r="T92" s="194"/>
      <c r="U92" s="194"/>
      <c r="V92" s="194"/>
      <c r="W92" s="194"/>
      <c r="X92" s="194"/>
      <c r="Y92" s="194"/>
      <c r="Z92" s="194"/>
      <c r="AA92" s="194"/>
      <c r="AB92" s="194"/>
      <c r="AC92" s="194"/>
      <c r="AD92" s="194"/>
      <c r="AE92" s="194"/>
      <c r="AF92" s="194"/>
      <c r="AG92" s="194"/>
      <c r="AH92" s="194"/>
      <c r="AI92" s="194"/>
      <c r="AJ92" s="194"/>
      <c r="AK92" s="194"/>
      <c r="AL92" s="194"/>
      <c r="AM92" s="194"/>
      <c r="AN92" s="194"/>
      <c r="AO92" s="194"/>
      <c r="AP92" s="194"/>
      <c r="AQ92" s="194"/>
      <c r="AR92" s="194"/>
      <c r="AS92" s="194"/>
      <c r="AT92" s="194"/>
      <c r="AU92" s="194"/>
      <c r="AV92" s="194"/>
      <c r="AW92" s="194"/>
      <c r="AX92" s="194"/>
      <c r="AY92" s="194"/>
      <c r="AZ92" s="194"/>
      <c r="BA92" s="194"/>
      <c r="BB92" s="194"/>
    </row>
    <row r="93" spans="2:54" hidden="1" x14ac:dyDescent="0.25">
      <c r="B93" s="194"/>
      <c r="C93" s="194" t="s">
        <v>511</v>
      </c>
      <c r="D93" s="194" t="s">
        <v>510</v>
      </c>
      <c r="E93" s="194" t="s">
        <v>150</v>
      </c>
      <c r="F93" s="194" t="s">
        <v>512</v>
      </c>
      <c r="G93" s="194">
        <v>53.696944000000002</v>
      </c>
      <c r="H93" s="194">
        <v>4.6469440000000004</v>
      </c>
      <c r="I93" s="194">
        <v>35</v>
      </c>
      <c r="J93" s="194" t="s">
        <v>513</v>
      </c>
      <c r="K93" s="194">
        <v>2008</v>
      </c>
      <c r="L93" s="194" t="s">
        <v>152</v>
      </c>
      <c r="M93" s="194" t="s">
        <v>123</v>
      </c>
      <c r="N93" s="194" t="s">
        <v>153</v>
      </c>
      <c r="O93" s="194" t="s">
        <v>502</v>
      </c>
      <c r="P93" s="194">
        <v>510</v>
      </c>
      <c r="Q93" s="194">
        <v>660</v>
      </c>
      <c r="R93" s="194" t="s">
        <v>0</v>
      </c>
      <c r="S93" s="194"/>
      <c r="T93" s="194"/>
      <c r="U93" s="194"/>
      <c r="V93" s="194"/>
      <c r="W93" s="194"/>
      <c r="X93" s="194"/>
      <c r="Y93" s="194"/>
      <c r="Z93" s="194"/>
      <c r="AA93" s="194"/>
      <c r="AB93" s="194"/>
      <c r="AC93" s="194"/>
      <c r="AD93" s="194"/>
      <c r="AE93" s="194"/>
      <c r="AF93" s="194"/>
      <c r="AG93" s="194"/>
      <c r="AH93" s="194"/>
      <c r="AI93" s="194"/>
      <c r="AJ93" s="194"/>
      <c r="AK93" s="194"/>
      <c r="AL93" s="194"/>
      <c r="AM93" s="194"/>
      <c r="AN93" s="194"/>
      <c r="AO93" s="194"/>
      <c r="AP93" s="194"/>
      <c r="AQ93" s="194"/>
      <c r="AR93" s="194"/>
      <c r="AS93" s="194"/>
      <c r="AT93" s="194"/>
      <c r="AU93" s="194"/>
      <c r="AV93" s="194"/>
      <c r="AW93" s="194"/>
      <c r="AX93" s="194"/>
      <c r="AY93" s="194"/>
      <c r="AZ93" s="194"/>
      <c r="BA93" s="194"/>
      <c r="BB93" s="194"/>
    </row>
    <row r="94" spans="2:54" hidden="1" x14ac:dyDescent="0.25">
      <c r="B94" s="194"/>
      <c r="C94" s="194" t="s">
        <v>316</v>
      </c>
      <c r="D94" s="194" t="s">
        <v>315</v>
      </c>
      <c r="E94" s="194" t="s">
        <v>150</v>
      </c>
      <c r="F94" s="194" t="s">
        <v>317</v>
      </c>
      <c r="G94" s="194">
        <v>53.8127029999999</v>
      </c>
      <c r="H94" s="194">
        <v>4.3528529999999996</v>
      </c>
      <c r="I94" s="194">
        <v>36</v>
      </c>
      <c r="J94" s="194" t="s">
        <v>88</v>
      </c>
      <c r="K94" s="194">
        <v>1992</v>
      </c>
      <c r="L94" s="194" t="s">
        <v>152</v>
      </c>
      <c r="M94" s="194" t="s">
        <v>123</v>
      </c>
      <c r="N94" s="194" t="s">
        <v>153</v>
      </c>
      <c r="O94" s="194" t="s">
        <v>154</v>
      </c>
      <c r="P94" s="194">
        <v>1000</v>
      </c>
      <c r="Q94" s="194">
        <v>2400</v>
      </c>
      <c r="R94" s="194" t="s">
        <v>0</v>
      </c>
      <c r="S94" s="194"/>
      <c r="T94" s="194"/>
      <c r="U94" s="194"/>
      <c r="V94" s="194"/>
      <c r="W94" s="194"/>
      <c r="X94" s="194"/>
      <c r="Y94" s="194"/>
      <c r="Z94" s="194"/>
      <c r="AA94" s="194"/>
      <c r="AB94" s="194"/>
      <c r="AC94" s="194"/>
      <c r="AD94" s="194"/>
      <c r="AE94" s="194"/>
      <c r="AF94" s="194"/>
      <c r="AG94" s="194"/>
      <c r="AH94" s="194"/>
      <c r="AI94" s="194"/>
      <c r="AJ94" s="194"/>
      <c r="AK94" s="194"/>
      <c r="AL94" s="194"/>
      <c r="AM94" s="194"/>
      <c r="AN94" s="194"/>
      <c r="AO94" s="194"/>
      <c r="AP94" s="194"/>
      <c r="AQ94" s="194"/>
      <c r="AR94" s="194"/>
      <c r="AS94" s="194"/>
      <c r="AT94" s="194"/>
      <c r="AU94" s="194"/>
      <c r="AV94" s="194"/>
      <c r="AW94" s="194"/>
      <c r="AX94" s="194"/>
      <c r="AY94" s="194"/>
      <c r="AZ94" s="194"/>
      <c r="BA94" s="194"/>
      <c r="BB94" s="194"/>
    </row>
    <row r="95" spans="2:54" hidden="1" x14ac:dyDescent="0.25">
      <c r="B95" s="194"/>
      <c r="C95" s="194" t="s">
        <v>319</v>
      </c>
      <c r="D95" s="194" t="s">
        <v>318</v>
      </c>
      <c r="E95" s="194" t="s">
        <v>150</v>
      </c>
      <c r="F95" s="194" t="s">
        <v>320</v>
      </c>
      <c r="G95" s="194">
        <v>53.601412000000003</v>
      </c>
      <c r="H95" s="194">
        <v>4.0837510000000004</v>
      </c>
      <c r="I95" s="194">
        <v>34.5</v>
      </c>
      <c r="J95" s="194" t="s">
        <v>84</v>
      </c>
      <c r="K95" s="194">
        <v>1985</v>
      </c>
      <c r="L95" s="194" t="s">
        <v>152</v>
      </c>
      <c r="M95" s="194" t="s">
        <v>123</v>
      </c>
      <c r="N95" s="194" t="s">
        <v>153</v>
      </c>
      <c r="O95" s="194" t="s">
        <v>154</v>
      </c>
      <c r="P95" s="194">
        <v>461</v>
      </c>
      <c r="Q95" s="194">
        <v>375</v>
      </c>
      <c r="R95" s="194" t="s">
        <v>0</v>
      </c>
      <c r="S95" s="194"/>
      <c r="T95" s="194"/>
      <c r="U95" s="194"/>
      <c r="V95" s="194"/>
      <c r="W95" s="194"/>
      <c r="X95" s="194"/>
      <c r="Y95" s="194"/>
      <c r="Z95" s="194"/>
      <c r="AA95" s="194"/>
      <c r="AB95" s="194"/>
      <c r="AC95" s="194"/>
      <c r="AD95" s="194"/>
      <c r="AE95" s="194"/>
      <c r="AF95" s="194"/>
      <c r="AG95" s="194"/>
      <c r="AH95" s="194"/>
      <c r="AI95" s="194"/>
      <c r="AJ95" s="194"/>
      <c r="AK95" s="194"/>
      <c r="AL95" s="194"/>
      <c r="AM95" s="194"/>
      <c r="AN95" s="194"/>
      <c r="AO95" s="194"/>
      <c r="AP95" s="194"/>
      <c r="AQ95" s="194"/>
      <c r="AR95" s="194"/>
      <c r="AS95" s="194"/>
      <c r="AT95" s="194"/>
      <c r="AU95" s="194"/>
      <c r="AV95" s="194"/>
      <c r="AW95" s="194"/>
      <c r="AX95" s="194"/>
      <c r="AY95" s="194"/>
      <c r="AZ95" s="194"/>
      <c r="BA95" s="194"/>
      <c r="BB95" s="194"/>
    </row>
    <row r="96" spans="2:54" hidden="1" x14ac:dyDescent="0.25">
      <c r="B96" s="194"/>
      <c r="C96" s="194" t="s">
        <v>322</v>
      </c>
      <c r="D96" s="194" t="s">
        <v>321</v>
      </c>
      <c r="E96" s="194" t="s">
        <v>150</v>
      </c>
      <c r="F96" s="194" t="s">
        <v>323</v>
      </c>
      <c r="G96" s="194">
        <v>53.610112999999899</v>
      </c>
      <c r="H96" s="194">
        <v>4.2068190000000003</v>
      </c>
      <c r="I96" s="194">
        <v>34.700000000000003</v>
      </c>
      <c r="J96" s="194" t="s">
        <v>84</v>
      </c>
      <c r="K96" s="194">
        <v>1977</v>
      </c>
      <c r="L96" s="194" t="s">
        <v>152</v>
      </c>
      <c r="M96" s="194" t="s">
        <v>123</v>
      </c>
      <c r="N96" s="194" t="s">
        <v>153</v>
      </c>
      <c r="O96" s="194" t="s">
        <v>154</v>
      </c>
      <c r="P96" s="194">
        <v>700</v>
      </c>
      <c r="Q96" s="194">
        <v>1300</v>
      </c>
      <c r="R96" s="194" t="s">
        <v>0</v>
      </c>
      <c r="S96" s="194"/>
      <c r="T96" s="194"/>
      <c r="U96" s="194"/>
      <c r="V96" s="194"/>
      <c r="W96" s="194"/>
      <c r="X96" s="194"/>
      <c r="Y96" s="194"/>
      <c r="Z96" s="194"/>
      <c r="AA96" s="194"/>
      <c r="AB96" s="194"/>
      <c r="AC96" s="194"/>
      <c r="AD96" s="194"/>
      <c r="AE96" s="194"/>
      <c r="AF96" s="194"/>
      <c r="AG96" s="194"/>
      <c r="AH96" s="194"/>
      <c r="AI96" s="194"/>
      <c r="AJ96" s="194"/>
      <c r="AK96" s="194"/>
      <c r="AL96" s="194"/>
      <c r="AM96" s="194"/>
      <c r="AN96" s="194"/>
      <c r="AO96" s="194"/>
      <c r="AP96" s="194"/>
      <c r="AQ96" s="194"/>
      <c r="AR96" s="194"/>
      <c r="AS96" s="194"/>
      <c r="AT96" s="194"/>
      <c r="AU96" s="194"/>
      <c r="AV96" s="194"/>
      <c r="AW96" s="194"/>
      <c r="AX96" s="194"/>
      <c r="AY96" s="194"/>
      <c r="AZ96" s="194"/>
      <c r="BA96" s="194"/>
      <c r="BB96" s="194"/>
    </row>
    <row r="97" spans="2:54" hidden="1" x14ac:dyDescent="0.25">
      <c r="B97" s="194"/>
      <c r="C97" s="194" t="s">
        <v>325</v>
      </c>
      <c r="D97" s="194" t="s">
        <v>324</v>
      </c>
      <c r="E97" s="194" t="s">
        <v>150</v>
      </c>
      <c r="F97" s="194" t="s">
        <v>323</v>
      </c>
      <c r="G97" s="194">
        <v>53.608944000000001</v>
      </c>
      <c r="H97" s="194">
        <v>4.2067220000000001</v>
      </c>
      <c r="I97" s="194">
        <v>35</v>
      </c>
      <c r="J97" s="194" t="s">
        <v>84</v>
      </c>
      <c r="K97" s="194">
        <v>1977</v>
      </c>
      <c r="L97" s="194" t="s">
        <v>152</v>
      </c>
      <c r="M97" s="194" t="s">
        <v>123</v>
      </c>
      <c r="N97" s="194" t="s">
        <v>153</v>
      </c>
      <c r="O97" s="194" t="s">
        <v>154</v>
      </c>
      <c r="P97" s="194">
        <v>1070</v>
      </c>
      <c r="Q97" s="194">
        <v>1400</v>
      </c>
      <c r="R97" s="194" t="s">
        <v>0</v>
      </c>
      <c r="S97" s="194"/>
      <c r="T97" s="194"/>
      <c r="U97" s="194"/>
      <c r="V97" s="194"/>
      <c r="W97" s="194"/>
      <c r="X97" s="194"/>
      <c r="Y97" s="194"/>
      <c r="Z97" s="194"/>
      <c r="AA97" s="194"/>
      <c r="AB97" s="194"/>
      <c r="AC97" s="194"/>
      <c r="AD97" s="194"/>
      <c r="AE97" s="194"/>
      <c r="AF97" s="194"/>
      <c r="AG97" s="194"/>
      <c r="AH97" s="194"/>
      <c r="AI97" s="194"/>
      <c r="AJ97" s="194"/>
      <c r="AK97" s="194"/>
      <c r="AL97" s="194"/>
      <c r="AM97" s="194"/>
      <c r="AN97" s="194"/>
      <c r="AO97" s="194"/>
      <c r="AP97" s="194"/>
      <c r="AQ97" s="194"/>
      <c r="AR97" s="194"/>
      <c r="AS97" s="194"/>
      <c r="AT97" s="194"/>
      <c r="AU97" s="194"/>
      <c r="AV97" s="194"/>
      <c r="AW97" s="194"/>
      <c r="AX97" s="194"/>
      <c r="AY97" s="194"/>
      <c r="AZ97" s="194"/>
      <c r="BA97" s="194"/>
      <c r="BB97" s="194"/>
    </row>
    <row r="98" spans="2:54" hidden="1" x14ac:dyDescent="0.25">
      <c r="B98" s="194"/>
      <c r="C98" s="194" t="s">
        <v>327</v>
      </c>
      <c r="D98" s="194" t="s">
        <v>326</v>
      </c>
      <c r="E98" s="194" t="s">
        <v>150</v>
      </c>
      <c r="F98" s="194" t="s">
        <v>328</v>
      </c>
      <c r="G98" s="194">
        <v>53.539293000000001</v>
      </c>
      <c r="H98" s="194">
        <v>4.2035660000000004</v>
      </c>
      <c r="I98" s="194">
        <v>27.5</v>
      </c>
      <c r="J98" s="194" t="s">
        <v>84</v>
      </c>
      <c r="K98" s="194">
        <v>1977</v>
      </c>
      <c r="L98" s="194" t="s">
        <v>152</v>
      </c>
      <c r="M98" s="194" t="s">
        <v>123</v>
      </c>
      <c r="N98" s="194" t="s">
        <v>153</v>
      </c>
      <c r="O98" s="194" t="s">
        <v>154</v>
      </c>
      <c r="P98" s="194">
        <v>660</v>
      </c>
      <c r="Q98" s="194">
        <v>725</v>
      </c>
      <c r="R98" s="194" t="s">
        <v>0</v>
      </c>
      <c r="S98" s="194"/>
      <c r="T98" s="194"/>
      <c r="U98" s="194"/>
      <c r="V98" s="194"/>
      <c r="W98" s="194"/>
      <c r="X98" s="194"/>
      <c r="Y98" s="194"/>
      <c r="Z98" s="194"/>
      <c r="AA98" s="194"/>
      <c r="AB98" s="194"/>
      <c r="AC98" s="194"/>
      <c r="AD98" s="194"/>
      <c r="AE98" s="194"/>
      <c r="AF98" s="194"/>
      <c r="AG98" s="194"/>
      <c r="AH98" s="194"/>
      <c r="AI98" s="194"/>
      <c r="AJ98" s="194"/>
      <c r="AK98" s="194"/>
      <c r="AL98" s="194"/>
      <c r="AM98" s="194"/>
      <c r="AN98" s="194"/>
      <c r="AO98" s="194"/>
      <c r="AP98" s="194"/>
      <c r="AQ98" s="194"/>
      <c r="AR98" s="194"/>
      <c r="AS98" s="194"/>
      <c r="AT98" s="194"/>
      <c r="AU98" s="194"/>
      <c r="AV98" s="194"/>
      <c r="AW98" s="194"/>
      <c r="AX98" s="194"/>
      <c r="AY98" s="194"/>
      <c r="AZ98" s="194"/>
      <c r="BA98" s="194"/>
      <c r="BB98" s="194"/>
    </row>
    <row r="99" spans="2:54" hidden="1" x14ac:dyDescent="0.25">
      <c r="B99" s="194"/>
      <c r="C99" s="194" t="s">
        <v>335</v>
      </c>
      <c r="D99" s="194" t="s">
        <v>334</v>
      </c>
      <c r="E99" s="194" t="s">
        <v>150</v>
      </c>
      <c r="F99" s="194" t="s">
        <v>336</v>
      </c>
      <c r="G99" s="194">
        <v>53.626389000000003</v>
      </c>
      <c r="H99" s="194">
        <v>4.1449670000000003</v>
      </c>
      <c r="I99" s="194">
        <v>36</v>
      </c>
      <c r="J99" s="194" t="s">
        <v>84</v>
      </c>
      <c r="K99" s="194">
        <v>1989</v>
      </c>
      <c r="L99" s="194" t="s">
        <v>152</v>
      </c>
      <c r="M99" s="194" t="s">
        <v>123</v>
      </c>
      <c r="N99" s="194" t="s">
        <v>153</v>
      </c>
      <c r="O99" s="194" t="s">
        <v>154</v>
      </c>
      <c r="P99" s="194">
        <v>374</v>
      </c>
      <c r="Q99" s="194">
        <v>523</v>
      </c>
      <c r="R99" s="194" t="s">
        <v>0</v>
      </c>
      <c r="S99" s="194"/>
      <c r="T99" s="194"/>
      <c r="U99" s="194"/>
      <c r="V99" s="194"/>
      <c r="W99" s="194"/>
      <c r="X99" s="194"/>
      <c r="Y99" s="194"/>
      <c r="Z99" s="194"/>
      <c r="AA99" s="194"/>
      <c r="AB99" s="194"/>
      <c r="AC99" s="194"/>
      <c r="AD99" s="194"/>
      <c r="AE99" s="194"/>
      <c r="AF99" s="194"/>
      <c r="AG99" s="194"/>
      <c r="AH99" s="194"/>
      <c r="AI99" s="194"/>
      <c r="AJ99" s="194"/>
      <c r="AK99" s="194"/>
      <c r="AL99" s="194"/>
      <c r="AM99" s="194"/>
      <c r="AN99" s="194"/>
      <c r="AO99" s="194"/>
      <c r="AP99" s="194"/>
      <c r="AQ99" s="194"/>
      <c r="AR99" s="194"/>
      <c r="AS99" s="194"/>
      <c r="AT99" s="194"/>
      <c r="AU99" s="194"/>
      <c r="AV99" s="194"/>
      <c r="AW99" s="194"/>
      <c r="AX99" s="194"/>
      <c r="AY99" s="194"/>
      <c r="AZ99" s="194"/>
      <c r="BA99" s="194"/>
      <c r="BB99" s="194"/>
    </row>
    <row r="100" spans="2:54" hidden="1" x14ac:dyDescent="0.25">
      <c r="B100" s="194"/>
      <c r="C100" s="194" t="s">
        <v>338</v>
      </c>
      <c r="D100" s="194" t="s">
        <v>337</v>
      </c>
      <c r="E100" s="194" t="s">
        <v>150</v>
      </c>
      <c r="F100" s="194" t="s">
        <v>339</v>
      </c>
      <c r="G100" s="194">
        <v>53.573943999999898</v>
      </c>
      <c r="H100" s="194">
        <v>4.1767760000000003</v>
      </c>
      <c r="I100" s="194">
        <v>32</v>
      </c>
      <c r="J100" s="194" t="s">
        <v>84</v>
      </c>
      <c r="K100" s="194">
        <v>1988</v>
      </c>
      <c r="L100" s="194" t="s">
        <v>152</v>
      </c>
      <c r="M100" s="194" t="s">
        <v>123</v>
      </c>
      <c r="N100" s="194" t="s">
        <v>153</v>
      </c>
      <c r="O100" s="194" t="s">
        <v>154</v>
      </c>
      <c r="P100" s="194">
        <v>382</v>
      </c>
      <c r="Q100" s="194">
        <v>513</v>
      </c>
      <c r="R100" s="194" t="s">
        <v>0</v>
      </c>
      <c r="S100" s="194"/>
      <c r="T100" s="194"/>
      <c r="U100" s="194"/>
      <c r="V100" s="194"/>
      <c r="W100" s="194"/>
      <c r="X100" s="194"/>
      <c r="Y100" s="194"/>
      <c r="Z100" s="194"/>
      <c r="AA100" s="194"/>
      <c r="AB100" s="194"/>
      <c r="AC100" s="194"/>
      <c r="AD100" s="194"/>
      <c r="AE100" s="194"/>
      <c r="AF100" s="194"/>
      <c r="AG100" s="194"/>
      <c r="AH100" s="194"/>
      <c r="AI100" s="194"/>
      <c r="AJ100" s="194"/>
      <c r="AK100" s="194"/>
      <c r="AL100" s="194"/>
      <c r="AM100" s="194"/>
      <c r="AN100" s="194"/>
      <c r="AO100" s="194"/>
      <c r="AP100" s="194"/>
      <c r="AQ100" s="194"/>
      <c r="AR100" s="194"/>
      <c r="AS100" s="194"/>
      <c r="AT100" s="194"/>
      <c r="AU100" s="194"/>
      <c r="AV100" s="194"/>
      <c r="AW100" s="194"/>
      <c r="AX100" s="194"/>
      <c r="AY100" s="194"/>
      <c r="AZ100" s="194"/>
      <c r="BA100" s="194"/>
      <c r="BB100" s="194"/>
    </row>
    <row r="101" spans="2:54" hidden="1" x14ac:dyDescent="0.25">
      <c r="B101" s="194"/>
      <c r="C101" s="194" t="s">
        <v>399</v>
      </c>
      <c r="D101" s="194" t="s">
        <v>398</v>
      </c>
      <c r="E101" s="194" t="s">
        <v>150</v>
      </c>
      <c r="F101" s="194" t="s">
        <v>328</v>
      </c>
      <c r="G101" s="194">
        <v>53.538167000000001</v>
      </c>
      <c r="H101" s="194">
        <v>4.2034719999999997</v>
      </c>
      <c r="I101" s="194">
        <v>27.5</v>
      </c>
      <c r="J101" s="194" t="s">
        <v>84</v>
      </c>
      <c r="K101" s="194">
        <v>1977</v>
      </c>
      <c r="L101" s="194" t="s">
        <v>152</v>
      </c>
      <c r="M101" s="194" t="s">
        <v>123</v>
      </c>
      <c r="N101" s="194" t="s">
        <v>153</v>
      </c>
      <c r="O101" s="194" t="s">
        <v>154</v>
      </c>
      <c r="P101" s="194">
        <v>914</v>
      </c>
      <c r="Q101" s="194">
        <v>4285</v>
      </c>
      <c r="R101" s="194" t="s">
        <v>400</v>
      </c>
      <c r="S101" s="194"/>
      <c r="T101" s="194"/>
      <c r="U101" s="194"/>
      <c r="V101" s="194"/>
      <c r="W101" s="194"/>
      <c r="X101" s="194"/>
      <c r="Y101" s="194"/>
      <c r="Z101" s="194"/>
      <c r="AA101" s="194"/>
      <c r="AB101" s="194"/>
      <c r="AC101" s="194"/>
      <c r="AD101" s="194"/>
      <c r="AE101" s="194"/>
      <c r="AF101" s="194"/>
      <c r="AG101" s="194"/>
      <c r="AH101" s="194"/>
      <c r="AI101" s="194"/>
      <c r="AJ101" s="194"/>
      <c r="AK101" s="194"/>
      <c r="AL101" s="194"/>
      <c r="AM101" s="194"/>
      <c r="AN101" s="194"/>
      <c r="AO101" s="194"/>
      <c r="AP101" s="194"/>
      <c r="AQ101" s="194"/>
      <c r="AR101" s="194"/>
      <c r="AS101" s="194"/>
      <c r="AT101" s="194"/>
      <c r="AU101" s="194"/>
      <c r="AV101" s="194"/>
      <c r="AW101" s="194"/>
      <c r="AX101" s="194"/>
      <c r="AY101" s="194"/>
      <c r="AZ101" s="194"/>
      <c r="BA101" s="194"/>
      <c r="BB101" s="194"/>
    </row>
    <row r="102" spans="2:54" hidden="1" x14ac:dyDescent="0.25">
      <c r="B102" s="194"/>
      <c r="C102" s="194" t="s">
        <v>330</v>
      </c>
      <c r="D102" s="194" t="s">
        <v>329</v>
      </c>
      <c r="E102" s="194" t="s">
        <v>150</v>
      </c>
      <c r="F102" s="194" t="s">
        <v>328</v>
      </c>
      <c r="G102" s="194">
        <v>53.538167000000001</v>
      </c>
      <c r="H102" s="194">
        <v>4.2034719999999997</v>
      </c>
      <c r="I102" s="194">
        <v>27.5</v>
      </c>
      <c r="J102" s="194" t="s">
        <v>84</v>
      </c>
      <c r="K102" s="194">
        <v>1982</v>
      </c>
      <c r="L102" s="194" t="s">
        <v>152</v>
      </c>
      <c r="M102" s="194" t="s">
        <v>123</v>
      </c>
      <c r="N102" s="194" t="s">
        <v>153</v>
      </c>
      <c r="O102" s="194" t="s">
        <v>154</v>
      </c>
      <c r="P102" s="194">
        <v>320</v>
      </c>
      <c r="Q102" s="194">
        <v>810</v>
      </c>
      <c r="R102" s="194" t="s">
        <v>18</v>
      </c>
      <c r="S102" s="194"/>
      <c r="T102" s="194"/>
      <c r="U102" s="194"/>
      <c r="V102" s="194"/>
      <c r="W102" s="194"/>
      <c r="X102" s="194"/>
      <c r="Y102" s="194"/>
      <c r="Z102" s="194"/>
      <c r="AA102" s="194"/>
      <c r="AB102" s="194"/>
      <c r="AC102" s="194"/>
      <c r="AD102" s="194"/>
      <c r="AE102" s="194"/>
      <c r="AF102" s="194"/>
      <c r="AG102" s="194"/>
      <c r="AH102" s="194"/>
      <c r="AI102" s="194"/>
      <c r="AJ102" s="194"/>
      <c r="AK102" s="194"/>
      <c r="AL102" s="194"/>
      <c r="AM102" s="194"/>
      <c r="AN102" s="194"/>
      <c r="AO102" s="194"/>
      <c r="AP102" s="194"/>
      <c r="AQ102" s="194"/>
      <c r="AR102" s="194"/>
      <c r="AS102" s="194"/>
      <c r="AT102" s="194"/>
      <c r="AU102" s="194"/>
      <c r="AV102" s="194"/>
      <c r="AW102" s="194"/>
      <c r="AX102" s="194"/>
      <c r="AY102" s="194"/>
      <c r="AZ102" s="194"/>
      <c r="BA102" s="194"/>
      <c r="BB102" s="194"/>
    </row>
    <row r="103" spans="2:54" hidden="1" x14ac:dyDescent="0.25">
      <c r="B103" s="194"/>
      <c r="C103" s="194" t="s">
        <v>332</v>
      </c>
      <c r="D103" s="194" t="s">
        <v>331</v>
      </c>
      <c r="E103" s="194" t="s">
        <v>150</v>
      </c>
      <c r="F103" s="194" t="s">
        <v>328</v>
      </c>
      <c r="G103" s="194">
        <v>53.538167000000001</v>
      </c>
      <c r="H103" s="194">
        <v>4.2034719999999997</v>
      </c>
      <c r="I103" s="194">
        <v>27.5</v>
      </c>
      <c r="J103" s="194" t="s">
        <v>84</v>
      </c>
      <c r="K103" s="194">
        <v>1977</v>
      </c>
      <c r="L103" s="194" t="s">
        <v>152</v>
      </c>
      <c r="M103" s="194" t="s">
        <v>123</v>
      </c>
      <c r="N103" s="194" t="s">
        <v>153</v>
      </c>
      <c r="O103" s="194" t="s">
        <v>154</v>
      </c>
      <c r="P103" s="194">
        <v>455</v>
      </c>
      <c r="Q103" s="194">
        <v>1600</v>
      </c>
      <c r="R103" s="194" t="s">
        <v>333</v>
      </c>
      <c r="S103" s="194"/>
      <c r="T103" s="194"/>
      <c r="U103" s="194"/>
      <c r="V103" s="194"/>
      <c r="W103" s="194"/>
      <c r="X103" s="194"/>
      <c r="Y103" s="194"/>
      <c r="Z103" s="194"/>
      <c r="AA103" s="194"/>
      <c r="AB103" s="194"/>
      <c r="AC103" s="194"/>
      <c r="AD103" s="194"/>
      <c r="AE103" s="194"/>
      <c r="AF103" s="194"/>
      <c r="AG103" s="194"/>
      <c r="AH103" s="194"/>
      <c r="AI103" s="194"/>
      <c r="AJ103" s="194"/>
      <c r="AK103" s="194"/>
      <c r="AL103" s="194"/>
      <c r="AM103" s="194"/>
      <c r="AN103" s="194"/>
      <c r="AO103" s="194"/>
      <c r="AP103" s="194"/>
      <c r="AQ103" s="194"/>
      <c r="AR103" s="194"/>
      <c r="AS103" s="194"/>
      <c r="AT103" s="194"/>
      <c r="AU103" s="194"/>
      <c r="AV103" s="194"/>
      <c r="AW103" s="194"/>
      <c r="AX103" s="194"/>
      <c r="AY103" s="194"/>
      <c r="AZ103" s="194"/>
      <c r="BA103" s="194"/>
      <c r="BB103" s="194"/>
    </row>
    <row r="104" spans="2:54" hidden="1" x14ac:dyDescent="0.25">
      <c r="B104" s="194"/>
      <c r="C104" s="194" t="s">
        <v>341</v>
      </c>
      <c r="D104" s="194" t="s">
        <v>340</v>
      </c>
      <c r="E104" s="194" t="s">
        <v>150</v>
      </c>
      <c r="F104" s="194" t="s">
        <v>342</v>
      </c>
      <c r="G104" s="194">
        <v>53.585521</v>
      </c>
      <c r="H104" s="194">
        <v>4.4723819999999996</v>
      </c>
      <c r="I104" s="194">
        <v>26.5</v>
      </c>
      <c r="J104" s="194" t="s">
        <v>177</v>
      </c>
      <c r="K104" s="194">
        <v>1989</v>
      </c>
      <c r="L104" s="194" t="s">
        <v>152</v>
      </c>
      <c r="M104" s="194" t="s">
        <v>123</v>
      </c>
      <c r="N104" s="194" t="s">
        <v>153</v>
      </c>
      <c r="O104" s="194" t="s">
        <v>154</v>
      </c>
      <c r="P104" s="194">
        <v>380</v>
      </c>
      <c r="Q104" s="194">
        <v>660</v>
      </c>
      <c r="R104" s="194" t="s">
        <v>0</v>
      </c>
      <c r="S104" s="194"/>
      <c r="T104" s="194"/>
      <c r="U104" s="194"/>
      <c r="V104" s="194"/>
      <c r="W104" s="194"/>
      <c r="X104" s="194"/>
      <c r="Y104" s="194"/>
      <c r="Z104" s="194"/>
      <c r="AA104" s="194"/>
      <c r="AB104" s="194"/>
      <c r="AC104" s="194"/>
      <c r="AD104" s="194"/>
      <c r="AE104" s="194"/>
      <c r="AF104" s="194"/>
      <c r="AG104" s="194"/>
      <c r="AH104" s="194"/>
      <c r="AI104" s="194"/>
      <c r="AJ104" s="194"/>
      <c r="AK104" s="194"/>
      <c r="AL104" s="194"/>
      <c r="AM104" s="194"/>
      <c r="AN104" s="194"/>
      <c r="AO104" s="194"/>
      <c r="AP104" s="194"/>
      <c r="AQ104" s="194"/>
      <c r="AR104" s="194"/>
      <c r="AS104" s="194"/>
      <c r="AT104" s="194"/>
      <c r="AU104" s="194"/>
      <c r="AV104" s="194"/>
      <c r="AW104" s="194"/>
      <c r="AX104" s="194"/>
      <c r="AY104" s="194"/>
      <c r="AZ104" s="194"/>
      <c r="BA104" s="194"/>
      <c r="BB104" s="194"/>
    </row>
    <row r="105" spans="2:54" hidden="1" x14ac:dyDescent="0.25">
      <c r="B105" s="194"/>
      <c r="C105" s="194" t="s">
        <v>344</v>
      </c>
      <c r="D105" s="194" t="s">
        <v>343</v>
      </c>
      <c r="E105" s="194" t="s">
        <v>150</v>
      </c>
      <c r="F105" s="194" t="s">
        <v>345</v>
      </c>
      <c r="G105" s="194">
        <v>53.583108000000003</v>
      </c>
      <c r="H105" s="194">
        <v>4.6054490000000001</v>
      </c>
      <c r="I105" s="194">
        <v>26.5</v>
      </c>
      <c r="J105" s="194" t="s">
        <v>177</v>
      </c>
      <c r="K105" s="194">
        <v>1988</v>
      </c>
      <c r="L105" s="194" t="s">
        <v>152</v>
      </c>
      <c r="M105" s="194" t="s">
        <v>123</v>
      </c>
      <c r="N105" s="194" t="s">
        <v>153</v>
      </c>
      <c r="O105" s="194" t="s">
        <v>154</v>
      </c>
      <c r="P105" s="194">
        <v>690</v>
      </c>
      <c r="Q105" s="194">
        <v>2640</v>
      </c>
      <c r="R105" s="194" t="s">
        <v>346</v>
      </c>
      <c r="S105" s="194"/>
      <c r="T105" s="194"/>
      <c r="U105" s="194"/>
      <c r="V105" s="194"/>
      <c r="W105" s="194"/>
      <c r="X105" s="194"/>
      <c r="Y105" s="194"/>
      <c r="Z105" s="194"/>
      <c r="AA105" s="194"/>
      <c r="AB105" s="194"/>
      <c r="AC105" s="194"/>
      <c r="AD105" s="194"/>
      <c r="AE105" s="194"/>
      <c r="AF105" s="194"/>
      <c r="AG105" s="194"/>
      <c r="AH105" s="194"/>
      <c r="AI105" s="194"/>
      <c r="AJ105" s="194"/>
      <c r="AK105" s="194"/>
      <c r="AL105" s="194"/>
      <c r="AM105" s="194"/>
      <c r="AN105" s="194"/>
      <c r="AO105" s="194"/>
      <c r="AP105" s="194"/>
      <c r="AQ105" s="194"/>
      <c r="AR105" s="194"/>
      <c r="AS105" s="194"/>
      <c r="AT105" s="194"/>
      <c r="AU105" s="194"/>
      <c r="AV105" s="194"/>
      <c r="AW105" s="194"/>
      <c r="AX105" s="194"/>
      <c r="AY105" s="194"/>
      <c r="AZ105" s="194"/>
      <c r="BA105" s="194"/>
      <c r="BB105" s="194"/>
    </row>
    <row r="106" spans="2:54" hidden="1" x14ac:dyDescent="0.25">
      <c r="B106" s="194"/>
      <c r="C106" s="194" t="s">
        <v>348</v>
      </c>
      <c r="D106" s="194" t="s">
        <v>347</v>
      </c>
      <c r="E106" s="194" t="s">
        <v>150</v>
      </c>
      <c r="F106" s="194" t="s">
        <v>349</v>
      </c>
      <c r="G106" s="194">
        <v>53.565803000000002</v>
      </c>
      <c r="H106" s="194">
        <v>4.5681589999999996</v>
      </c>
      <c r="I106" s="194">
        <v>26.5</v>
      </c>
      <c r="J106" s="194" t="s">
        <v>177</v>
      </c>
      <c r="K106" s="194">
        <v>1988</v>
      </c>
      <c r="L106" s="194" t="s">
        <v>152</v>
      </c>
      <c r="M106" s="194" t="s">
        <v>123</v>
      </c>
      <c r="N106" s="194" t="s">
        <v>153</v>
      </c>
      <c r="O106" s="194" t="s">
        <v>154</v>
      </c>
      <c r="P106" s="194">
        <v>380</v>
      </c>
      <c r="Q106" s="194">
        <v>660</v>
      </c>
      <c r="R106" s="194" t="s">
        <v>0</v>
      </c>
      <c r="S106" s="194"/>
      <c r="T106" s="194"/>
      <c r="U106" s="194"/>
      <c r="V106" s="194"/>
      <c r="W106" s="194"/>
      <c r="X106" s="194"/>
      <c r="Y106" s="194"/>
      <c r="Z106" s="194"/>
      <c r="AA106" s="194"/>
      <c r="AB106" s="194"/>
      <c r="AC106" s="194"/>
      <c r="AD106" s="194"/>
      <c r="AE106" s="194"/>
      <c r="AF106" s="194"/>
      <c r="AG106" s="194"/>
      <c r="AH106" s="194"/>
      <c r="AI106" s="194"/>
      <c r="AJ106" s="194"/>
      <c r="AK106" s="194"/>
      <c r="AL106" s="194"/>
      <c r="AM106" s="194"/>
      <c r="AN106" s="194"/>
      <c r="AO106" s="194"/>
      <c r="AP106" s="194"/>
      <c r="AQ106" s="194"/>
      <c r="AR106" s="194"/>
      <c r="AS106" s="194"/>
      <c r="AT106" s="194"/>
      <c r="AU106" s="194"/>
      <c r="AV106" s="194"/>
      <c r="AW106" s="194"/>
      <c r="AX106" s="194"/>
      <c r="AY106" s="194"/>
      <c r="AZ106" s="194"/>
      <c r="BA106" s="194"/>
      <c r="BB106" s="194"/>
    </row>
    <row r="107" spans="2:54" hidden="1" x14ac:dyDescent="0.25">
      <c r="B107" s="194"/>
      <c r="C107" s="194" t="s">
        <v>351</v>
      </c>
      <c r="D107" s="194" t="s">
        <v>350</v>
      </c>
      <c r="E107" s="194" t="s">
        <v>150</v>
      </c>
      <c r="F107" s="194" t="s">
        <v>352</v>
      </c>
      <c r="G107" s="194">
        <v>53.641987999999898</v>
      </c>
      <c r="H107" s="194">
        <v>4.5640859999999996</v>
      </c>
      <c r="I107" s="194">
        <v>32.399999999999899</v>
      </c>
      <c r="J107" s="194" t="s">
        <v>177</v>
      </c>
      <c r="K107" s="194">
        <v>1994</v>
      </c>
      <c r="L107" s="194" t="s">
        <v>152</v>
      </c>
      <c r="M107" s="194" t="s">
        <v>123</v>
      </c>
      <c r="N107" s="194" t="s">
        <v>153</v>
      </c>
      <c r="O107" s="194" t="s">
        <v>154</v>
      </c>
      <c r="P107" s="194">
        <v>570</v>
      </c>
      <c r="Q107" s="194">
        <v>853</v>
      </c>
      <c r="R107" s="194" t="s">
        <v>0</v>
      </c>
      <c r="S107" s="194"/>
      <c r="T107" s="194"/>
      <c r="U107" s="194"/>
      <c r="V107" s="194"/>
      <c r="W107" s="194"/>
      <c r="X107" s="194"/>
      <c r="Y107" s="194"/>
      <c r="Z107" s="194"/>
      <c r="AA107" s="194"/>
      <c r="AB107" s="194"/>
      <c r="AC107" s="194"/>
      <c r="AD107" s="194"/>
      <c r="AE107" s="194"/>
      <c r="AF107" s="194"/>
      <c r="AG107" s="194"/>
      <c r="AH107" s="194"/>
      <c r="AI107" s="194"/>
      <c r="AJ107" s="194"/>
      <c r="AK107" s="194"/>
      <c r="AL107" s="194"/>
      <c r="AM107" s="194"/>
      <c r="AN107" s="194"/>
      <c r="AO107" s="194"/>
      <c r="AP107" s="194"/>
      <c r="AQ107" s="194"/>
      <c r="AR107" s="194"/>
      <c r="AS107" s="194"/>
      <c r="AT107" s="194"/>
      <c r="AU107" s="194"/>
      <c r="AV107" s="194"/>
      <c r="AW107" s="194"/>
      <c r="AX107" s="194"/>
      <c r="AY107" s="194"/>
      <c r="AZ107" s="194"/>
      <c r="BA107" s="194"/>
      <c r="BB107" s="194"/>
    </row>
    <row r="108" spans="2:54" hidden="1" x14ac:dyDescent="0.25">
      <c r="B108" s="194"/>
      <c r="C108" s="194" t="s">
        <v>441</v>
      </c>
      <c r="D108" s="194" t="s">
        <v>440</v>
      </c>
      <c r="E108" s="194" t="s">
        <v>150</v>
      </c>
      <c r="F108" s="194" t="s">
        <v>352</v>
      </c>
      <c r="G108" s="194">
        <v>53.662523999999898</v>
      </c>
      <c r="H108" s="194">
        <v>4.5409480000000002</v>
      </c>
      <c r="I108" s="194">
        <v>35.399999999999899</v>
      </c>
      <c r="J108" s="194" t="s">
        <v>177</v>
      </c>
      <c r="K108" s="194">
        <v>2001</v>
      </c>
      <c r="L108" s="194" t="s">
        <v>152</v>
      </c>
      <c r="M108" s="194" t="s">
        <v>123</v>
      </c>
      <c r="N108" s="194" t="s">
        <v>153</v>
      </c>
      <c r="O108" s="194" t="s">
        <v>154</v>
      </c>
      <c r="P108" s="194">
        <v>2397</v>
      </c>
      <c r="Q108" s="194">
        <v>3275</v>
      </c>
      <c r="R108" s="194" t="s">
        <v>346</v>
      </c>
      <c r="S108" s="194"/>
      <c r="T108" s="194"/>
      <c r="U108" s="194"/>
      <c r="V108" s="194"/>
      <c r="W108" s="194"/>
      <c r="X108" s="194"/>
      <c r="Y108" s="194"/>
      <c r="Z108" s="194"/>
      <c r="AA108" s="194"/>
      <c r="AB108" s="194"/>
      <c r="AC108" s="194"/>
      <c r="AD108" s="194"/>
      <c r="AE108" s="194"/>
      <c r="AF108" s="194"/>
      <c r="AG108" s="194"/>
      <c r="AH108" s="194"/>
      <c r="AI108" s="194"/>
      <c r="AJ108" s="194"/>
      <c r="AK108" s="194"/>
      <c r="AL108" s="194"/>
      <c r="AM108" s="194"/>
      <c r="AN108" s="194"/>
      <c r="AO108" s="194"/>
      <c r="AP108" s="194"/>
      <c r="AQ108" s="194"/>
      <c r="AR108" s="194"/>
      <c r="AS108" s="194"/>
      <c r="AT108" s="194"/>
      <c r="AU108" s="194"/>
      <c r="AV108" s="194"/>
      <c r="AW108" s="194"/>
      <c r="AX108" s="194"/>
      <c r="AY108" s="194"/>
      <c r="AZ108" s="194"/>
      <c r="BA108" s="194"/>
      <c r="BB108" s="194"/>
    </row>
    <row r="109" spans="2:54" hidden="1" x14ac:dyDescent="0.25">
      <c r="B109" s="194"/>
      <c r="C109" s="194" t="s">
        <v>515</v>
      </c>
      <c r="D109" s="194" t="s">
        <v>514</v>
      </c>
      <c r="E109" s="194" t="s">
        <v>150</v>
      </c>
      <c r="F109" s="194" t="s">
        <v>516</v>
      </c>
      <c r="G109" s="194">
        <v>53.55001</v>
      </c>
      <c r="H109" s="194">
        <v>4.729552</v>
      </c>
      <c r="I109" s="194">
        <v>43.1</v>
      </c>
      <c r="J109" s="194" t="s">
        <v>509</v>
      </c>
      <c r="K109" s="194">
        <v>2008</v>
      </c>
      <c r="L109" s="194" t="s">
        <v>152</v>
      </c>
      <c r="M109" s="194" t="s">
        <v>123</v>
      </c>
      <c r="N109" s="194" t="s">
        <v>153</v>
      </c>
      <c r="O109" s="194" t="s">
        <v>502</v>
      </c>
      <c r="P109" s="194">
        <v>10755</v>
      </c>
      <c r="Q109" s="194">
        <v>44292</v>
      </c>
      <c r="R109" s="194" t="s">
        <v>0</v>
      </c>
      <c r="S109" s="194"/>
      <c r="T109" s="194"/>
      <c r="U109" s="194"/>
      <c r="V109" s="194"/>
      <c r="W109" s="194"/>
      <c r="X109" s="194"/>
      <c r="Y109" s="194"/>
      <c r="Z109" s="194"/>
      <c r="AA109" s="194"/>
      <c r="AB109" s="194"/>
      <c r="AC109" s="194"/>
      <c r="AD109" s="194"/>
      <c r="AE109" s="194"/>
      <c r="AF109" s="194"/>
      <c r="AG109" s="194"/>
      <c r="AH109" s="194"/>
      <c r="AI109" s="194"/>
      <c r="AJ109" s="194"/>
      <c r="AK109" s="194"/>
      <c r="AL109" s="194"/>
      <c r="AM109" s="194"/>
      <c r="AN109" s="194"/>
      <c r="AO109" s="194"/>
      <c r="AP109" s="194"/>
      <c r="AQ109" s="194"/>
      <c r="AR109" s="194"/>
      <c r="AS109" s="194"/>
      <c r="AT109" s="194"/>
      <c r="AU109" s="194"/>
      <c r="AV109" s="194"/>
      <c r="AW109" s="194"/>
      <c r="AX109" s="194"/>
      <c r="AY109" s="194"/>
      <c r="AZ109" s="194"/>
      <c r="BA109" s="194"/>
      <c r="BB109" s="194"/>
    </row>
    <row r="110" spans="2:54" hidden="1" x14ac:dyDescent="0.25">
      <c r="B110" s="194"/>
      <c r="C110" s="194" t="s">
        <v>518</v>
      </c>
      <c r="D110" s="194" t="s">
        <v>517</v>
      </c>
      <c r="E110" s="194" t="s">
        <v>150</v>
      </c>
      <c r="F110" s="194" t="s">
        <v>519</v>
      </c>
      <c r="G110" s="194">
        <v>53.566425000000002</v>
      </c>
      <c r="H110" s="194">
        <v>4.8703219999999998</v>
      </c>
      <c r="I110" s="194">
        <v>24</v>
      </c>
      <c r="J110" s="194" t="s">
        <v>509</v>
      </c>
      <c r="K110" s="194">
        <v>2008</v>
      </c>
      <c r="L110" s="194" t="s">
        <v>152</v>
      </c>
      <c r="M110" s="194" t="s">
        <v>123</v>
      </c>
      <c r="N110" s="194" t="s">
        <v>153</v>
      </c>
      <c r="O110" s="194" t="s">
        <v>502</v>
      </c>
      <c r="P110" s="194">
        <v>9000</v>
      </c>
      <c r="Q110" s="194">
        <v>5000</v>
      </c>
      <c r="R110" s="194" t="s">
        <v>0</v>
      </c>
      <c r="S110" s="194"/>
      <c r="T110" s="194"/>
      <c r="U110" s="194"/>
      <c r="V110" s="194"/>
      <c r="W110" s="194"/>
      <c r="X110" s="194"/>
      <c r="Y110" s="194"/>
      <c r="Z110" s="194"/>
      <c r="AA110" s="194"/>
      <c r="AB110" s="194"/>
      <c r="AC110" s="194"/>
      <c r="AD110" s="194"/>
      <c r="AE110" s="194"/>
      <c r="AF110" s="194"/>
      <c r="AG110" s="194"/>
      <c r="AH110" s="194"/>
      <c r="AI110" s="194"/>
      <c r="AJ110" s="194"/>
      <c r="AK110" s="194"/>
      <c r="AL110" s="194"/>
      <c r="AM110" s="194"/>
      <c r="AN110" s="194"/>
      <c r="AO110" s="194"/>
      <c r="AP110" s="194"/>
      <c r="AQ110" s="194"/>
      <c r="AR110" s="194"/>
      <c r="AS110" s="194"/>
      <c r="AT110" s="194"/>
      <c r="AU110" s="194"/>
      <c r="AV110" s="194"/>
      <c r="AW110" s="194"/>
      <c r="AX110" s="194"/>
      <c r="AY110" s="194"/>
      <c r="AZ110" s="194"/>
      <c r="BA110" s="194"/>
      <c r="BB110" s="194"/>
    </row>
    <row r="111" spans="2:54" hidden="1" x14ac:dyDescent="0.25">
      <c r="B111" s="194"/>
      <c r="C111" s="194" t="s">
        <v>521</v>
      </c>
      <c r="D111" s="194" t="s">
        <v>520</v>
      </c>
      <c r="E111" s="194" t="s">
        <v>150</v>
      </c>
      <c r="F111" s="194" t="s">
        <v>444</v>
      </c>
      <c r="G111" s="194">
        <v>53.615448999999899</v>
      </c>
      <c r="H111" s="194">
        <v>4.9616920000000002</v>
      </c>
      <c r="I111" s="194">
        <v>24.399999999999899</v>
      </c>
      <c r="J111" s="194" t="s">
        <v>509</v>
      </c>
      <c r="K111" s="194">
        <v>1997</v>
      </c>
      <c r="L111" s="194" t="s">
        <v>152</v>
      </c>
      <c r="M111" s="194" t="s">
        <v>123</v>
      </c>
      <c r="N111" s="194" t="s">
        <v>153</v>
      </c>
      <c r="O111" s="194" t="s">
        <v>502</v>
      </c>
      <c r="P111" s="194">
        <v>22209</v>
      </c>
      <c r="Q111" s="194">
        <v>106800</v>
      </c>
      <c r="R111" s="194" t="s">
        <v>0</v>
      </c>
      <c r="S111" s="194"/>
      <c r="T111" s="194"/>
      <c r="U111" s="194"/>
      <c r="V111" s="19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row>
    <row r="112" spans="2:54" hidden="1" x14ac:dyDescent="0.25">
      <c r="B112" s="194"/>
      <c r="C112" s="194" t="s">
        <v>443</v>
      </c>
      <c r="D112" s="194" t="s">
        <v>442</v>
      </c>
      <c r="E112" s="194" t="s">
        <v>150</v>
      </c>
      <c r="F112" s="194" t="s">
        <v>444</v>
      </c>
      <c r="G112" s="194">
        <v>53.615443999999897</v>
      </c>
      <c r="H112" s="194">
        <v>4.9616939999999996</v>
      </c>
      <c r="I112" s="194">
        <v>24</v>
      </c>
      <c r="J112" s="194" t="s">
        <v>88</v>
      </c>
      <c r="K112" s="194">
        <v>1998</v>
      </c>
      <c r="L112" s="194" t="s">
        <v>152</v>
      </c>
      <c r="M112" s="194" t="s">
        <v>123</v>
      </c>
      <c r="N112" s="194" t="s">
        <v>153</v>
      </c>
      <c r="O112" s="194" t="s">
        <v>154</v>
      </c>
      <c r="P112" s="194">
        <v>1000</v>
      </c>
      <c r="Q112" s="194">
        <v>1000</v>
      </c>
      <c r="R112" s="194" t="s">
        <v>0</v>
      </c>
      <c r="S112" s="194"/>
      <c r="T112" s="194"/>
      <c r="U112" s="194"/>
      <c r="V112" s="194"/>
      <c r="W112" s="194"/>
      <c r="X112" s="194"/>
      <c r="Y112" s="194"/>
      <c r="Z112" s="194"/>
      <c r="AA112" s="194"/>
      <c r="AB112" s="194"/>
      <c r="AC112" s="194"/>
      <c r="AD112" s="194"/>
      <c r="AE112" s="194"/>
      <c r="AF112" s="194"/>
      <c r="AG112" s="194"/>
      <c r="AH112" s="194"/>
      <c r="AI112" s="194"/>
      <c r="AJ112" s="194"/>
      <c r="AK112" s="194"/>
      <c r="AL112" s="194"/>
      <c r="AM112" s="194"/>
      <c r="AN112" s="194"/>
      <c r="AO112" s="194"/>
      <c r="AP112" s="194"/>
      <c r="AQ112" s="194"/>
      <c r="AR112" s="194"/>
      <c r="AS112" s="194"/>
      <c r="AT112" s="194"/>
      <c r="AU112" s="194"/>
      <c r="AV112" s="194"/>
      <c r="AW112" s="194"/>
      <c r="AX112" s="194"/>
      <c r="AY112" s="194"/>
      <c r="AZ112" s="194"/>
      <c r="BA112" s="194"/>
      <c r="BB112" s="194"/>
    </row>
    <row r="113" spans="2:54" hidden="1" x14ac:dyDescent="0.25">
      <c r="B113" s="194"/>
      <c r="C113" s="194" t="s">
        <v>446</v>
      </c>
      <c r="D113" s="194" t="s">
        <v>445</v>
      </c>
      <c r="E113" s="194" t="s">
        <v>150</v>
      </c>
      <c r="F113" s="194" t="s">
        <v>444</v>
      </c>
      <c r="G113" s="194">
        <v>53.616585000000001</v>
      </c>
      <c r="H113" s="194">
        <v>4.9618399999999996</v>
      </c>
      <c r="I113" s="194">
        <v>24</v>
      </c>
      <c r="J113" s="194" t="s">
        <v>88</v>
      </c>
      <c r="K113" s="194">
        <v>1998</v>
      </c>
      <c r="L113" s="194" t="s">
        <v>152</v>
      </c>
      <c r="M113" s="194" t="s">
        <v>123</v>
      </c>
      <c r="N113" s="194" t="s">
        <v>153</v>
      </c>
      <c r="O113" s="194" t="s">
        <v>154</v>
      </c>
      <c r="P113" s="194">
        <v>270</v>
      </c>
      <c r="Q113" s="194">
        <v>500</v>
      </c>
      <c r="R113" s="194" t="s">
        <v>0</v>
      </c>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row>
    <row r="114" spans="2:54" hidden="1" x14ac:dyDescent="0.25">
      <c r="B114" s="194"/>
      <c r="C114" s="194" t="s">
        <v>523</v>
      </c>
      <c r="D114" s="194" t="s">
        <v>522</v>
      </c>
      <c r="E114" s="194" t="s">
        <v>150</v>
      </c>
      <c r="F114" s="194" t="s">
        <v>524</v>
      </c>
      <c r="G114" s="194">
        <v>53.509059000000001</v>
      </c>
      <c r="H114" s="194">
        <v>6.0187379999999999</v>
      </c>
      <c r="I114" s="194">
        <v>0</v>
      </c>
      <c r="J114" s="194" t="s">
        <v>509</v>
      </c>
      <c r="K114" s="194">
        <v>2006</v>
      </c>
      <c r="L114" s="194" t="s">
        <v>525</v>
      </c>
      <c r="M114" s="194" t="s">
        <v>123</v>
      </c>
      <c r="N114" s="194" t="s">
        <v>0</v>
      </c>
      <c r="O114" s="194" t="s">
        <v>502</v>
      </c>
      <c r="P114" s="194">
        <v>0</v>
      </c>
      <c r="Q114" s="194">
        <v>0</v>
      </c>
      <c r="R114" s="194" t="s">
        <v>0</v>
      </c>
      <c r="S114" s="194"/>
      <c r="T114" s="194"/>
      <c r="U114" s="194"/>
      <c r="V114" s="194"/>
      <c r="W114" s="194"/>
      <c r="X114" s="194"/>
      <c r="Y114" s="194"/>
      <c r="Z114" s="194"/>
      <c r="AA114" s="194"/>
      <c r="AB114" s="194"/>
      <c r="AC114" s="194"/>
      <c r="AD114" s="194"/>
      <c r="AE114" s="194"/>
      <c r="AF114" s="194"/>
      <c r="AG114" s="194"/>
      <c r="AH114" s="194"/>
      <c r="AI114" s="194"/>
      <c r="AJ114" s="194"/>
      <c r="AK114" s="194"/>
      <c r="AL114" s="194"/>
      <c r="AM114" s="194"/>
      <c r="AN114" s="194"/>
      <c r="AO114" s="194"/>
      <c r="AP114" s="194"/>
      <c r="AQ114" s="194"/>
      <c r="AR114" s="194"/>
      <c r="AS114" s="194"/>
      <c r="AT114" s="194"/>
      <c r="AU114" s="194"/>
      <c r="AV114" s="194"/>
      <c r="AW114" s="194"/>
      <c r="AX114" s="194"/>
      <c r="AY114" s="194"/>
      <c r="AZ114" s="194"/>
      <c r="BA114" s="194"/>
      <c r="BB114" s="194"/>
    </row>
    <row r="115" spans="2:54" hidden="1" x14ac:dyDescent="0.25">
      <c r="B115" s="194"/>
      <c r="C115" s="194" t="s">
        <v>527</v>
      </c>
      <c r="D115" s="194" t="s">
        <v>526</v>
      </c>
      <c r="E115" s="194" t="s">
        <v>150</v>
      </c>
      <c r="F115" s="194" t="s">
        <v>524</v>
      </c>
      <c r="G115" s="194">
        <v>53.509175999999897</v>
      </c>
      <c r="H115" s="194">
        <v>6.0187400000000002</v>
      </c>
      <c r="I115" s="194">
        <v>0</v>
      </c>
      <c r="J115" s="194" t="s">
        <v>509</v>
      </c>
      <c r="K115" s="194">
        <v>1998</v>
      </c>
      <c r="L115" s="194" t="s">
        <v>525</v>
      </c>
      <c r="M115" s="194" t="s">
        <v>123</v>
      </c>
      <c r="N115" s="194" t="s">
        <v>0</v>
      </c>
      <c r="O115" s="194" t="s">
        <v>502</v>
      </c>
      <c r="P115" s="194">
        <v>0</v>
      </c>
      <c r="Q115" s="194">
        <v>0</v>
      </c>
      <c r="R115" s="194" t="s">
        <v>0</v>
      </c>
      <c r="S115" s="194"/>
      <c r="T115" s="194"/>
      <c r="U115" s="194"/>
      <c r="V115" s="194"/>
      <c r="W115" s="194"/>
      <c r="X115" s="194"/>
      <c r="Y115" s="194"/>
      <c r="Z115" s="194"/>
      <c r="AA115" s="194"/>
      <c r="AB115" s="194"/>
      <c r="AC115" s="194"/>
      <c r="AD115" s="194"/>
      <c r="AE115" s="194"/>
      <c r="AF115" s="194"/>
      <c r="AG115" s="194"/>
      <c r="AH115" s="194"/>
      <c r="AI115" s="194"/>
      <c r="AJ115" s="194"/>
      <c r="AK115" s="194"/>
      <c r="AL115" s="194"/>
      <c r="AM115" s="194"/>
      <c r="AN115" s="194"/>
      <c r="AO115" s="194"/>
      <c r="AP115" s="194"/>
      <c r="AQ115" s="194"/>
      <c r="AR115" s="194"/>
      <c r="AS115" s="194"/>
      <c r="AT115" s="194"/>
      <c r="AU115" s="194"/>
      <c r="AV115" s="194"/>
      <c r="AW115" s="194"/>
      <c r="AX115" s="194"/>
      <c r="AY115" s="194"/>
      <c r="AZ115" s="194"/>
      <c r="BA115" s="194"/>
      <c r="BB115" s="194"/>
    </row>
    <row r="116" spans="2:54" hidden="1" x14ac:dyDescent="0.25">
      <c r="B116" s="194"/>
      <c r="C116" s="194" t="s">
        <v>354</v>
      </c>
      <c r="D116" s="194" t="s">
        <v>353</v>
      </c>
      <c r="E116" s="194" t="s">
        <v>150</v>
      </c>
      <c r="F116" s="194" t="s">
        <v>355</v>
      </c>
      <c r="G116" s="194">
        <v>52.408320000000003</v>
      </c>
      <c r="H116" s="194">
        <v>3.7599710000000002</v>
      </c>
      <c r="I116" s="194">
        <v>28.1</v>
      </c>
      <c r="J116" s="194" t="s">
        <v>177</v>
      </c>
      <c r="K116" s="194">
        <v>1990</v>
      </c>
      <c r="L116" s="194" t="s">
        <v>152</v>
      </c>
      <c r="M116" s="194" t="s">
        <v>123</v>
      </c>
      <c r="N116" s="194" t="s">
        <v>153</v>
      </c>
      <c r="O116" s="194" t="s">
        <v>154</v>
      </c>
      <c r="P116" s="194">
        <v>565</v>
      </c>
      <c r="Q116" s="194">
        <v>500</v>
      </c>
      <c r="R116" s="194" t="s">
        <v>0</v>
      </c>
      <c r="S116" s="194"/>
      <c r="T116" s="194"/>
      <c r="U116" s="194"/>
      <c r="V116" s="194"/>
      <c r="W116" s="194"/>
      <c r="X116" s="194"/>
      <c r="Y116" s="194"/>
      <c r="Z116" s="194"/>
      <c r="AA116" s="194"/>
      <c r="AB116" s="194"/>
      <c r="AC116" s="194"/>
      <c r="AD116" s="194"/>
      <c r="AE116" s="194"/>
      <c r="AF116" s="194"/>
      <c r="AG116" s="194"/>
      <c r="AH116" s="194"/>
      <c r="AI116" s="194"/>
      <c r="AJ116" s="194"/>
      <c r="AK116" s="194"/>
      <c r="AL116" s="194"/>
      <c r="AM116" s="194"/>
      <c r="AN116" s="194"/>
      <c r="AO116" s="194"/>
      <c r="AP116" s="194"/>
      <c r="AQ116" s="194"/>
      <c r="AR116" s="194"/>
      <c r="AS116" s="194"/>
      <c r="AT116" s="194"/>
      <c r="AU116" s="194"/>
      <c r="AV116" s="194"/>
      <c r="AW116" s="194"/>
      <c r="AX116" s="194"/>
      <c r="AY116" s="194"/>
      <c r="AZ116" s="194"/>
      <c r="BA116" s="194"/>
      <c r="BB116" s="194"/>
    </row>
    <row r="117" spans="2:54" hidden="1" x14ac:dyDescent="0.25">
      <c r="B117" s="194"/>
      <c r="C117" s="194" t="s">
        <v>357</v>
      </c>
      <c r="D117" s="194" t="s">
        <v>356</v>
      </c>
      <c r="E117" s="194" t="s">
        <v>150</v>
      </c>
      <c r="F117" s="194" t="s">
        <v>358</v>
      </c>
      <c r="G117" s="194">
        <v>52.326242000000001</v>
      </c>
      <c r="H117" s="194">
        <v>3.6423619999999999</v>
      </c>
      <c r="I117" s="194">
        <v>27.6</v>
      </c>
      <c r="J117" s="194" t="s">
        <v>177</v>
      </c>
      <c r="K117" s="194">
        <v>1993</v>
      </c>
      <c r="L117" s="194" t="s">
        <v>152</v>
      </c>
      <c r="M117" s="194" t="s">
        <v>123</v>
      </c>
      <c r="N117" s="194" t="s">
        <v>153</v>
      </c>
      <c r="O117" s="194" t="s">
        <v>154</v>
      </c>
      <c r="P117" s="194">
        <v>655</v>
      </c>
      <c r="Q117" s="194">
        <v>770</v>
      </c>
      <c r="R117" s="194" t="s">
        <v>0</v>
      </c>
      <c r="S117" s="194"/>
      <c r="T117" s="194"/>
      <c r="U117" s="194"/>
      <c r="V117" s="194"/>
      <c r="W117" s="194"/>
      <c r="X117" s="194"/>
      <c r="Y117" s="194"/>
      <c r="Z117" s="194"/>
      <c r="AA117" s="194"/>
      <c r="AB117" s="194"/>
      <c r="AC117" s="194"/>
      <c r="AD117" s="194"/>
      <c r="AE117" s="194"/>
      <c r="AF117" s="194"/>
      <c r="AG117" s="194"/>
      <c r="AH117" s="194"/>
      <c r="AI117" s="194"/>
      <c r="AJ117" s="194"/>
      <c r="AK117" s="194"/>
      <c r="AL117" s="194"/>
      <c r="AM117" s="194"/>
      <c r="AN117" s="194"/>
      <c r="AO117" s="194"/>
      <c r="AP117" s="194"/>
      <c r="AQ117" s="194"/>
      <c r="AR117" s="194"/>
      <c r="AS117" s="194"/>
      <c r="AT117" s="194"/>
      <c r="AU117" s="194"/>
      <c r="AV117" s="194"/>
      <c r="AW117" s="194"/>
      <c r="AX117" s="194"/>
      <c r="AY117" s="194"/>
      <c r="AZ117" s="194"/>
      <c r="BA117" s="194"/>
      <c r="BB117" s="194"/>
    </row>
    <row r="118" spans="2:54" s="1049" customFormat="1" x14ac:dyDescent="0.25">
      <c r="C118" s="1049" t="s">
        <v>373</v>
      </c>
      <c r="D118" s="1049" t="s">
        <v>372</v>
      </c>
      <c r="E118" s="1049" t="s">
        <v>150</v>
      </c>
      <c r="F118" s="1049" t="s">
        <v>361</v>
      </c>
      <c r="G118" s="1049">
        <v>52.292198999999897</v>
      </c>
      <c r="H118" s="1049">
        <v>3.8175560000000002</v>
      </c>
      <c r="I118" s="1049">
        <v>25</v>
      </c>
      <c r="J118" s="1049" t="s">
        <v>362</v>
      </c>
      <c r="K118" s="1049">
        <v>1985</v>
      </c>
      <c r="L118" s="1049" t="s">
        <v>152</v>
      </c>
      <c r="M118" s="1049" t="s">
        <v>123</v>
      </c>
      <c r="N118" s="1049" t="s">
        <v>153</v>
      </c>
      <c r="O118" s="1049" t="s">
        <v>154</v>
      </c>
      <c r="P118" s="1049">
        <v>535</v>
      </c>
      <c r="Q118" s="1049">
        <v>594</v>
      </c>
      <c r="R118" s="1049" t="s">
        <v>0</v>
      </c>
      <c r="S118" s="1052" t="e">
        <f t="shared" ref="S118" si="4">Q118*$E$4</f>
        <v>#REF!</v>
      </c>
      <c r="T118" s="1052"/>
    </row>
    <row r="119" spans="2:54" s="1049" customFormat="1" x14ac:dyDescent="0.25">
      <c r="C119" s="1049" t="s">
        <v>375</v>
      </c>
      <c r="D119" s="1049" t="s">
        <v>374</v>
      </c>
      <c r="E119" s="1049" t="s">
        <v>150</v>
      </c>
      <c r="F119" s="1049" t="s">
        <v>361</v>
      </c>
      <c r="G119" s="1049">
        <v>52.292198999999897</v>
      </c>
      <c r="H119" s="1049">
        <v>3.8175560000000002</v>
      </c>
      <c r="I119" s="1049">
        <v>25</v>
      </c>
      <c r="J119" s="1049" t="s">
        <v>362</v>
      </c>
      <c r="K119" s="1049">
        <v>1985</v>
      </c>
      <c r="L119" s="1049" t="s">
        <v>152</v>
      </c>
      <c r="M119" s="1049" t="s">
        <v>123</v>
      </c>
      <c r="N119" s="1049" t="s">
        <v>153</v>
      </c>
      <c r="O119" s="1049" t="s">
        <v>154</v>
      </c>
      <c r="P119" s="1049">
        <v>831</v>
      </c>
      <c r="Q119" s="1049">
        <v>3982</v>
      </c>
      <c r="R119" s="1049" t="s">
        <v>376</v>
      </c>
      <c r="S119" s="1052" t="e">
        <f t="shared" ref="S119:S120" si="5">Q119*$E$3</f>
        <v>#REF!</v>
      </c>
      <c r="T119" s="1052"/>
    </row>
    <row r="120" spans="2:54" s="1049" customFormat="1" x14ac:dyDescent="0.25">
      <c r="C120" s="1049" t="s">
        <v>360</v>
      </c>
      <c r="D120" s="1049" t="s">
        <v>359</v>
      </c>
      <c r="E120" s="1049" t="s">
        <v>150</v>
      </c>
      <c r="F120" s="1049" t="s">
        <v>361</v>
      </c>
      <c r="G120" s="1049">
        <v>52.292198999999897</v>
      </c>
      <c r="H120" s="1049">
        <v>3.8175560000000002</v>
      </c>
      <c r="I120" s="1049">
        <v>25</v>
      </c>
      <c r="J120" s="1049" t="s">
        <v>362</v>
      </c>
      <c r="K120" s="1049">
        <v>1993</v>
      </c>
      <c r="L120" s="1049" t="s">
        <v>152</v>
      </c>
      <c r="M120" s="1049" t="s">
        <v>123</v>
      </c>
      <c r="N120" s="1049" t="s">
        <v>153</v>
      </c>
      <c r="O120" s="1049" t="s">
        <v>154</v>
      </c>
      <c r="P120" s="1049">
        <v>1015</v>
      </c>
      <c r="Q120" s="1049">
        <v>6962</v>
      </c>
      <c r="R120" s="1049" t="s">
        <v>0</v>
      </c>
      <c r="S120" s="1052" t="e">
        <f t="shared" si="5"/>
        <v>#REF!</v>
      </c>
      <c r="T120" s="1052"/>
    </row>
    <row r="121" spans="2:54" s="1049" customFormat="1" x14ac:dyDescent="0.25">
      <c r="C121" s="1049" t="s">
        <v>364</v>
      </c>
      <c r="D121" s="1049" t="s">
        <v>363</v>
      </c>
      <c r="E121" s="1049" t="s">
        <v>150</v>
      </c>
      <c r="F121" s="1049" t="s">
        <v>365</v>
      </c>
      <c r="G121" s="1049">
        <v>52.173645999999898</v>
      </c>
      <c r="H121" s="1049">
        <v>3.8691949999999999</v>
      </c>
      <c r="I121" s="1049">
        <v>22</v>
      </c>
      <c r="J121" s="1049" t="s">
        <v>362</v>
      </c>
      <c r="K121" s="1049">
        <v>1993</v>
      </c>
      <c r="L121" s="1049" t="s">
        <v>152</v>
      </c>
      <c r="M121" s="1049" t="s">
        <v>123</v>
      </c>
      <c r="N121" s="1049" t="s">
        <v>153</v>
      </c>
      <c r="O121" s="1049" t="s">
        <v>154</v>
      </c>
      <c r="P121" s="1049">
        <v>282</v>
      </c>
      <c r="Q121" s="1049">
        <v>876</v>
      </c>
      <c r="R121" s="1049" t="s">
        <v>0</v>
      </c>
      <c r="S121" s="1052" t="e">
        <f t="shared" ref="S121:S124" si="6">Q121*$E$4</f>
        <v>#REF!</v>
      </c>
      <c r="T121" s="1052"/>
    </row>
    <row r="122" spans="2:54" s="1049" customFormat="1" x14ac:dyDescent="0.25">
      <c r="C122" s="1049" t="s">
        <v>367</v>
      </c>
      <c r="D122" s="1049" t="s">
        <v>366</v>
      </c>
      <c r="E122" s="1049" t="s">
        <v>150</v>
      </c>
      <c r="F122" s="1049" t="s">
        <v>368</v>
      </c>
      <c r="G122" s="1049">
        <v>52.307861000000003</v>
      </c>
      <c r="H122" s="1049">
        <v>3.6862750000000002</v>
      </c>
      <c r="I122" s="1049">
        <v>27</v>
      </c>
      <c r="J122" s="1049" t="s">
        <v>362</v>
      </c>
      <c r="K122" s="1049">
        <v>1993</v>
      </c>
      <c r="L122" s="1049" t="s">
        <v>152</v>
      </c>
      <c r="M122" s="1049" t="s">
        <v>123</v>
      </c>
      <c r="N122" s="1049" t="s">
        <v>153</v>
      </c>
      <c r="O122" s="1049" t="s">
        <v>154</v>
      </c>
      <c r="P122" s="1049">
        <v>310</v>
      </c>
      <c r="Q122" s="1049">
        <v>873</v>
      </c>
      <c r="R122" s="1049" t="s">
        <v>0</v>
      </c>
      <c r="S122" s="1052" t="e">
        <f t="shared" si="6"/>
        <v>#REF!</v>
      </c>
      <c r="T122" s="1052"/>
    </row>
    <row r="123" spans="2:54" s="1049" customFormat="1" x14ac:dyDescent="0.25">
      <c r="C123" s="1049" t="s">
        <v>370</v>
      </c>
      <c r="D123" s="1049" t="s">
        <v>369</v>
      </c>
      <c r="E123" s="1049" t="s">
        <v>150</v>
      </c>
      <c r="F123" s="1049" t="s">
        <v>371</v>
      </c>
      <c r="G123" s="1049">
        <v>52.2244379999999</v>
      </c>
      <c r="H123" s="1049">
        <v>3.7409129999999999</v>
      </c>
      <c r="I123" s="1049">
        <v>25</v>
      </c>
      <c r="J123" s="1049" t="s">
        <v>362</v>
      </c>
      <c r="K123" s="1049">
        <v>1993</v>
      </c>
      <c r="L123" s="1049" t="s">
        <v>152</v>
      </c>
      <c r="M123" s="1049" t="s">
        <v>123</v>
      </c>
      <c r="N123" s="1049" t="s">
        <v>153</v>
      </c>
      <c r="O123" s="1049" t="s">
        <v>154</v>
      </c>
      <c r="P123" s="1049">
        <v>307</v>
      </c>
      <c r="Q123" s="1049">
        <v>927</v>
      </c>
      <c r="R123" s="1049" t="s">
        <v>0</v>
      </c>
      <c r="S123" s="1052" t="e">
        <f t="shared" si="6"/>
        <v>#REF!</v>
      </c>
      <c r="T123" s="1052"/>
    </row>
    <row r="124" spans="2:54" s="1049" customFormat="1" x14ac:dyDescent="0.25">
      <c r="C124" s="1049" t="s">
        <v>378</v>
      </c>
      <c r="D124" s="1049" t="s">
        <v>377</v>
      </c>
      <c r="E124" s="1049" t="s">
        <v>150</v>
      </c>
      <c r="F124" s="1049" t="s">
        <v>379</v>
      </c>
      <c r="G124" s="1049">
        <v>52.128917000000001</v>
      </c>
      <c r="H124" s="1049">
        <v>3.9393829999999999</v>
      </c>
      <c r="I124" s="1049">
        <v>26</v>
      </c>
      <c r="J124" s="1049" t="s">
        <v>362</v>
      </c>
      <c r="K124" s="1049">
        <v>1993</v>
      </c>
      <c r="L124" s="1049" t="s">
        <v>152</v>
      </c>
      <c r="M124" s="1049" t="s">
        <v>123</v>
      </c>
      <c r="N124" s="1049" t="s">
        <v>153</v>
      </c>
      <c r="O124" s="1049" t="s">
        <v>154</v>
      </c>
      <c r="P124" s="1049">
        <v>510</v>
      </c>
      <c r="Q124" s="1049">
        <v>850</v>
      </c>
      <c r="R124" s="1049" t="s">
        <v>0</v>
      </c>
      <c r="S124" s="1052" t="e">
        <f t="shared" si="6"/>
        <v>#REF!</v>
      </c>
      <c r="T124" s="1052"/>
    </row>
    <row r="125" spans="2:54" hidden="1" x14ac:dyDescent="0.25">
      <c r="B125" s="194"/>
      <c r="C125" s="194" t="s">
        <v>381</v>
      </c>
      <c r="D125" s="194" t="s">
        <v>380</v>
      </c>
      <c r="E125" s="194" t="s">
        <v>150</v>
      </c>
      <c r="F125" s="194" t="s">
        <v>382</v>
      </c>
      <c r="G125" s="194">
        <v>52.757148999999899</v>
      </c>
      <c r="H125" s="194">
        <v>3.7575669999999999</v>
      </c>
      <c r="I125" s="194">
        <v>27</v>
      </c>
      <c r="J125" s="194" t="s">
        <v>177</v>
      </c>
      <c r="K125" s="194">
        <v>1983</v>
      </c>
      <c r="L125" s="194" t="s">
        <v>152</v>
      </c>
      <c r="M125" s="194" t="s">
        <v>123</v>
      </c>
      <c r="N125" s="194" t="s">
        <v>153</v>
      </c>
      <c r="O125" s="194" t="s">
        <v>154</v>
      </c>
      <c r="P125" s="194">
        <v>1780</v>
      </c>
      <c r="Q125" s="194">
        <v>4730</v>
      </c>
      <c r="R125" s="194" t="s">
        <v>346</v>
      </c>
      <c r="S125" s="194"/>
      <c r="T125" s="194"/>
      <c r="U125" s="194"/>
      <c r="V125" s="194"/>
      <c r="W125" s="194"/>
      <c r="X125" s="194"/>
      <c r="Y125" s="194"/>
      <c r="Z125" s="194"/>
      <c r="AA125" s="194"/>
      <c r="AB125" s="194"/>
      <c r="AC125" s="194"/>
      <c r="AD125" s="194"/>
      <c r="AE125" s="194"/>
      <c r="AF125" s="194"/>
      <c r="AG125" s="194"/>
      <c r="AH125" s="194"/>
      <c r="AI125" s="194"/>
      <c r="AJ125" s="194"/>
      <c r="AK125" s="194"/>
      <c r="AL125" s="194"/>
      <c r="AM125" s="194"/>
      <c r="AN125" s="194"/>
      <c r="AO125" s="194"/>
      <c r="AP125" s="194"/>
      <c r="AQ125" s="194"/>
      <c r="AR125" s="194"/>
      <c r="AS125" s="194"/>
      <c r="AT125" s="194"/>
      <c r="AU125" s="194"/>
      <c r="AV125" s="194"/>
      <c r="AW125" s="194"/>
      <c r="AX125" s="194"/>
      <c r="AY125" s="194"/>
      <c r="AZ125" s="194"/>
      <c r="BA125" s="194"/>
      <c r="BB125" s="194"/>
    </row>
    <row r="126" spans="2:54" hidden="1" x14ac:dyDescent="0.25">
      <c r="B126" s="194"/>
      <c r="C126" s="194" t="s">
        <v>384</v>
      </c>
      <c r="D126" s="194" t="s">
        <v>383</v>
      </c>
      <c r="E126" s="194" t="s">
        <v>150</v>
      </c>
      <c r="F126" s="194" t="s">
        <v>382</v>
      </c>
      <c r="G126" s="194">
        <v>52.739269</v>
      </c>
      <c r="H126" s="194">
        <v>3.8051149999999998</v>
      </c>
      <c r="I126" s="194">
        <v>29.3</v>
      </c>
      <c r="J126" s="194" t="s">
        <v>177</v>
      </c>
      <c r="K126" s="194">
        <v>1985</v>
      </c>
      <c r="L126" s="194" t="s">
        <v>152</v>
      </c>
      <c r="M126" s="194" t="s">
        <v>123</v>
      </c>
      <c r="N126" s="194" t="s">
        <v>153</v>
      </c>
      <c r="O126" s="194" t="s">
        <v>154</v>
      </c>
      <c r="P126" s="194">
        <v>555</v>
      </c>
      <c r="Q126" s="194">
        <v>400</v>
      </c>
      <c r="R126" s="194" t="s">
        <v>0</v>
      </c>
      <c r="S126" s="194"/>
      <c r="T126" s="194"/>
      <c r="U126" s="194"/>
      <c r="V126" s="194"/>
      <c r="W126" s="194"/>
      <c r="X126" s="194"/>
      <c r="Y126" s="194"/>
      <c r="Z126" s="194"/>
      <c r="AA126" s="194"/>
      <c r="AB126" s="194"/>
      <c r="AC126" s="194"/>
      <c r="AD126" s="194"/>
      <c r="AE126" s="194"/>
      <c r="AF126" s="194"/>
      <c r="AG126" s="194"/>
      <c r="AH126" s="194"/>
      <c r="AI126" s="194"/>
      <c r="AJ126" s="194"/>
      <c r="AK126" s="194"/>
      <c r="AL126" s="194"/>
      <c r="AM126" s="194"/>
      <c r="AN126" s="194"/>
      <c r="AO126" s="194"/>
      <c r="AP126" s="194"/>
      <c r="AQ126" s="194"/>
      <c r="AR126" s="194"/>
      <c r="AS126" s="194"/>
      <c r="AT126" s="194"/>
      <c r="AU126" s="194"/>
      <c r="AV126" s="194"/>
      <c r="AW126" s="194"/>
      <c r="AX126" s="194"/>
      <c r="AY126" s="194"/>
      <c r="AZ126" s="194"/>
      <c r="BA126" s="194"/>
      <c r="BB126" s="194"/>
    </row>
    <row r="127" spans="2:54" hidden="1" x14ac:dyDescent="0.25">
      <c r="B127" s="194"/>
      <c r="C127" s="194" t="s">
        <v>448</v>
      </c>
      <c r="D127" s="194" t="s">
        <v>447</v>
      </c>
      <c r="E127" s="194" t="s">
        <v>150</v>
      </c>
      <c r="F127" s="194" t="s">
        <v>387</v>
      </c>
      <c r="G127" s="194">
        <v>52.702303000000001</v>
      </c>
      <c r="H127" s="194">
        <v>3.7270180000000002</v>
      </c>
      <c r="I127" s="194">
        <v>24.5</v>
      </c>
      <c r="J127" s="194" t="s">
        <v>177</v>
      </c>
      <c r="K127" s="194">
        <v>2001</v>
      </c>
      <c r="L127" s="194" t="s">
        <v>152</v>
      </c>
      <c r="M127" s="194" t="s">
        <v>123</v>
      </c>
      <c r="N127" s="194" t="s">
        <v>153</v>
      </c>
      <c r="O127" s="194" t="s">
        <v>154</v>
      </c>
      <c r="P127" s="194">
        <v>1004</v>
      </c>
      <c r="Q127" s="194">
        <v>1254</v>
      </c>
      <c r="R127" s="194" t="s">
        <v>449</v>
      </c>
      <c r="S127" s="194"/>
      <c r="T127" s="194"/>
      <c r="U127" s="194"/>
      <c r="V127" s="194"/>
      <c r="W127" s="194"/>
      <c r="X127" s="194"/>
      <c r="Y127" s="194"/>
      <c r="Z127" s="194"/>
      <c r="AA127" s="194"/>
      <c r="AB127" s="194"/>
      <c r="AC127" s="194"/>
      <c r="AD127" s="194"/>
      <c r="AE127" s="194"/>
      <c r="AF127" s="194"/>
      <c r="AG127" s="194"/>
      <c r="AH127" s="194"/>
      <c r="AI127" s="194"/>
      <c r="AJ127" s="194"/>
      <c r="AK127" s="194"/>
      <c r="AL127" s="194"/>
      <c r="AM127" s="194"/>
      <c r="AN127" s="194"/>
      <c r="AO127" s="194"/>
      <c r="AP127" s="194"/>
      <c r="AQ127" s="194"/>
      <c r="AR127" s="194"/>
      <c r="AS127" s="194"/>
      <c r="AT127" s="194"/>
      <c r="AU127" s="194"/>
      <c r="AV127" s="194"/>
      <c r="AW127" s="194"/>
      <c r="AX127" s="194"/>
      <c r="AY127" s="194"/>
      <c r="AZ127" s="194"/>
      <c r="BA127" s="194"/>
      <c r="BB127" s="194"/>
    </row>
    <row r="128" spans="2:54" hidden="1" x14ac:dyDescent="0.25">
      <c r="B128" s="194"/>
      <c r="C128" s="194" t="s">
        <v>386</v>
      </c>
      <c r="D128" s="194" t="s">
        <v>385</v>
      </c>
      <c r="E128" s="194" t="s">
        <v>150</v>
      </c>
      <c r="F128" s="194" t="s">
        <v>387</v>
      </c>
      <c r="G128" s="194">
        <v>52.702303000000001</v>
      </c>
      <c r="H128" s="194">
        <v>3.7270180000000002</v>
      </c>
      <c r="I128" s="194">
        <v>24.5</v>
      </c>
      <c r="J128" s="194" t="s">
        <v>177</v>
      </c>
      <c r="K128" s="194">
        <v>1997</v>
      </c>
      <c r="L128" s="194" t="s">
        <v>152</v>
      </c>
      <c r="M128" s="194" t="s">
        <v>123</v>
      </c>
      <c r="N128" s="194" t="s">
        <v>153</v>
      </c>
      <c r="O128" s="194" t="s">
        <v>154</v>
      </c>
      <c r="P128" s="194">
        <v>1004</v>
      </c>
      <c r="Q128" s="194">
        <v>1330</v>
      </c>
      <c r="R128" s="194" t="s">
        <v>0</v>
      </c>
      <c r="S128" s="194"/>
      <c r="T128" s="194"/>
      <c r="U128" s="194"/>
      <c r="V128" s="194"/>
      <c r="W128" s="194"/>
      <c r="X128" s="194"/>
      <c r="Y128" s="194"/>
      <c r="Z128" s="194"/>
      <c r="AA128" s="194"/>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row>
    <row r="129" spans="2:54" hidden="1" x14ac:dyDescent="0.25">
      <c r="B129" s="194"/>
      <c r="C129" s="194" t="s">
        <v>529</v>
      </c>
      <c r="D129" s="194" t="s">
        <v>528</v>
      </c>
      <c r="E129" s="194" t="s">
        <v>150</v>
      </c>
      <c r="F129" s="194" t="s">
        <v>459</v>
      </c>
      <c r="G129" s="194">
        <v>52.872219000000001</v>
      </c>
      <c r="H129" s="194">
        <v>4.2080630000000001</v>
      </c>
      <c r="I129" s="194">
        <v>0</v>
      </c>
      <c r="J129" s="194" t="s">
        <v>530</v>
      </c>
      <c r="K129" s="194">
        <v>2002</v>
      </c>
      <c r="L129" s="194" t="s">
        <v>525</v>
      </c>
      <c r="M129" s="194" t="s">
        <v>123</v>
      </c>
      <c r="N129" s="194" t="s">
        <v>0</v>
      </c>
      <c r="O129" s="194" t="s">
        <v>0</v>
      </c>
      <c r="P129" s="194">
        <v>0</v>
      </c>
      <c r="Q129" s="194">
        <v>0</v>
      </c>
      <c r="R129" s="194" t="s">
        <v>0</v>
      </c>
      <c r="S129" s="194"/>
      <c r="T129" s="194"/>
      <c r="U129" s="194"/>
      <c r="V129" s="194"/>
      <c r="W129" s="194"/>
      <c r="X129" s="194"/>
      <c r="Y129" s="194"/>
      <c r="Z129" s="194"/>
      <c r="AA129" s="194"/>
      <c r="AB129" s="194"/>
      <c r="AC129" s="194"/>
      <c r="AD129" s="194"/>
      <c r="AE129" s="194"/>
      <c r="AF129" s="194"/>
      <c r="AG129" s="194"/>
      <c r="AH129" s="194"/>
      <c r="AI129" s="194"/>
      <c r="AJ129" s="194"/>
      <c r="AK129" s="194"/>
      <c r="AL129" s="194"/>
      <c r="AM129" s="194"/>
      <c r="AN129" s="194"/>
      <c r="AO129" s="194"/>
      <c r="AP129" s="194"/>
      <c r="AQ129" s="194"/>
      <c r="AR129" s="194"/>
      <c r="AS129" s="194"/>
      <c r="AT129" s="194"/>
      <c r="AU129" s="194"/>
      <c r="AV129" s="194"/>
      <c r="AW129" s="194"/>
      <c r="AX129" s="194"/>
      <c r="AY129" s="194"/>
      <c r="AZ129" s="194"/>
      <c r="BA129" s="194"/>
      <c r="BB129" s="194"/>
    </row>
    <row r="130" spans="2:54" hidden="1" x14ac:dyDescent="0.25">
      <c r="B130" s="194"/>
      <c r="C130" s="194" t="s">
        <v>451</v>
      </c>
      <c r="D130" s="194" t="s">
        <v>450</v>
      </c>
      <c r="E130" s="194" t="s">
        <v>150</v>
      </c>
      <c r="F130" s="194" t="s">
        <v>390</v>
      </c>
      <c r="G130" s="194">
        <v>52.780830000000002</v>
      </c>
      <c r="H130" s="194">
        <v>4.2681430000000002</v>
      </c>
      <c r="I130" s="194">
        <v>23</v>
      </c>
      <c r="J130" s="194" t="s">
        <v>177</v>
      </c>
      <c r="K130" s="194">
        <v>2000</v>
      </c>
      <c r="L130" s="194" t="s">
        <v>152</v>
      </c>
      <c r="M130" s="194" t="s">
        <v>123</v>
      </c>
      <c r="N130" s="194" t="s">
        <v>153</v>
      </c>
      <c r="O130" s="194" t="s">
        <v>154</v>
      </c>
      <c r="P130" s="194">
        <v>616</v>
      </c>
      <c r="Q130" s="194">
        <v>1081</v>
      </c>
      <c r="R130" s="194" t="s">
        <v>0</v>
      </c>
      <c r="S130" s="194"/>
      <c r="T130" s="194"/>
      <c r="U130" s="194"/>
      <c r="V130" s="194"/>
      <c r="W130" s="194"/>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row>
    <row r="131" spans="2:54" hidden="1" x14ac:dyDescent="0.25">
      <c r="B131" s="194"/>
      <c r="C131" s="194" t="s">
        <v>453</v>
      </c>
      <c r="D131" s="194" t="s">
        <v>452</v>
      </c>
      <c r="E131" s="194" t="s">
        <v>150</v>
      </c>
      <c r="F131" s="194" t="s">
        <v>393</v>
      </c>
      <c r="G131" s="194">
        <v>52.718541000000002</v>
      </c>
      <c r="H131" s="194">
        <v>4.3013389999999996</v>
      </c>
      <c r="I131" s="194">
        <v>23</v>
      </c>
      <c r="J131" s="194" t="s">
        <v>177</v>
      </c>
      <c r="K131" s="194">
        <v>2002</v>
      </c>
      <c r="L131" s="194" t="s">
        <v>152</v>
      </c>
      <c r="M131" s="194" t="s">
        <v>123</v>
      </c>
      <c r="N131" s="194" t="s">
        <v>153</v>
      </c>
      <c r="O131" s="194" t="s">
        <v>154</v>
      </c>
      <c r="P131" s="194">
        <v>1004</v>
      </c>
      <c r="Q131" s="194">
        <v>1254</v>
      </c>
      <c r="R131" s="194" t="s">
        <v>0</v>
      </c>
      <c r="S131" s="194"/>
      <c r="T131" s="194"/>
      <c r="U131" s="194"/>
      <c r="V131" s="194"/>
      <c r="W131" s="194"/>
      <c r="X131" s="194"/>
      <c r="Y131" s="194"/>
      <c r="Z131" s="194"/>
      <c r="AA131" s="194"/>
      <c r="AB131" s="194"/>
      <c r="AC131" s="194"/>
      <c r="AD131" s="194"/>
      <c r="AE131" s="194"/>
      <c r="AF131" s="194"/>
      <c r="AG131" s="194"/>
      <c r="AH131" s="194"/>
      <c r="AI131" s="194"/>
      <c r="AJ131" s="194"/>
      <c r="AK131" s="194"/>
      <c r="AL131" s="194"/>
      <c r="AM131" s="194"/>
      <c r="AN131" s="194"/>
      <c r="AO131" s="194"/>
      <c r="AP131" s="194"/>
      <c r="AQ131" s="194"/>
      <c r="AR131" s="194"/>
      <c r="AS131" s="194"/>
      <c r="AT131" s="194"/>
      <c r="AU131" s="194"/>
      <c r="AV131" s="194"/>
      <c r="AW131" s="194"/>
      <c r="AX131" s="194"/>
      <c r="AY131" s="194"/>
      <c r="AZ131" s="194"/>
      <c r="BA131" s="194"/>
      <c r="BB131" s="194"/>
    </row>
    <row r="132" spans="2:54" hidden="1" x14ac:dyDescent="0.25">
      <c r="B132" s="194"/>
      <c r="C132" s="194" t="s">
        <v>458</v>
      </c>
      <c r="D132" s="194" t="s">
        <v>457</v>
      </c>
      <c r="E132" s="194" t="s">
        <v>150</v>
      </c>
      <c r="F132" s="194" t="s">
        <v>459</v>
      </c>
      <c r="G132" s="194">
        <v>52.827775000000003</v>
      </c>
      <c r="H132" s="194">
        <v>4.285094</v>
      </c>
      <c r="I132" s="194">
        <v>23</v>
      </c>
      <c r="J132" s="194" t="s">
        <v>177</v>
      </c>
      <c r="K132" s="194">
        <v>2003</v>
      </c>
      <c r="L132" s="194" t="s">
        <v>152</v>
      </c>
      <c r="M132" s="194" t="s">
        <v>123</v>
      </c>
      <c r="N132" s="194" t="s">
        <v>153</v>
      </c>
      <c r="O132" s="194" t="s">
        <v>154</v>
      </c>
      <c r="P132" s="194">
        <v>1137</v>
      </c>
      <c r="Q132" s="194">
        <v>2226</v>
      </c>
      <c r="R132" s="194" t="s">
        <v>0</v>
      </c>
      <c r="S132" s="194"/>
      <c r="T132" s="194"/>
      <c r="U132" s="194"/>
      <c r="V132" s="194"/>
      <c r="W132" s="194"/>
      <c r="X132" s="194"/>
      <c r="Y132" s="194"/>
      <c r="Z132" s="194"/>
      <c r="AA132" s="194"/>
      <c r="AB132" s="194"/>
      <c r="AC132" s="194"/>
      <c r="AD132" s="194"/>
      <c r="AE132" s="194"/>
      <c r="AF132" s="194"/>
      <c r="AG132" s="194"/>
      <c r="AH132" s="194"/>
      <c r="AI132" s="194"/>
      <c r="AJ132" s="194"/>
      <c r="AK132" s="194"/>
      <c r="AL132" s="194"/>
      <c r="AM132" s="194"/>
      <c r="AN132" s="194"/>
      <c r="AO132" s="194"/>
      <c r="AP132" s="194"/>
      <c r="AQ132" s="194"/>
      <c r="AR132" s="194"/>
      <c r="AS132" s="194"/>
      <c r="AT132" s="194"/>
      <c r="AU132" s="194"/>
      <c r="AV132" s="194"/>
      <c r="AW132" s="194"/>
      <c r="AX132" s="194"/>
      <c r="AY132" s="194"/>
      <c r="AZ132" s="194"/>
      <c r="BA132" s="194"/>
      <c r="BB132" s="194"/>
    </row>
    <row r="133" spans="2:54" hidden="1" x14ac:dyDescent="0.25">
      <c r="B133" s="194"/>
      <c r="C133" s="194" t="s">
        <v>389</v>
      </c>
      <c r="D133" s="194" t="s">
        <v>388</v>
      </c>
      <c r="E133" s="194" t="s">
        <v>150</v>
      </c>
      <c r="F133" s="194" t="s">
        <v>390</v>
      </c>
      <c r="G133" s="194">
        <v>52.780830000000002</v>
      </c>
      <c r="H133" s="194">
        <v>4.2681430000000002</v>
      </c>
      <c r="I133" s="194">
        <v>14</v>
      </c>
      <c r="J133" s="194" t="s">
        <v>177</v>
      </c>
      <c r="K133" s="194">
        <v>1986</v>
      </c>
      <c r="L133" s="194" t="s">
        <v>152</v>
      </c>
      <c r="M133" s="194" t="s">
        <v>123</v>
      </c>
      <c r="N133" s="194" t="s">
        <v>153</v>
      </c>
      <c r="O133" s="194" t="s">
        <v>154</v>
      </c>
      <c r="P133" s="194">
        <v>120</v>
      </c>
      <c r="Q133" s="194">
        <v>290</v>
      </c>
      <c r="R133" s="194" t="s">
        <v>0</v>
      </c>
      <c r="S133" s="194"/>
      <c r="T133" s="194"/>
      <c r="U133" s="194"/>
      <c r="V133" s="194"/>
      <c r="W133" s="194"/>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row>
    <row r="134" spans="2:54" hidden="1" x14ac:dyDescent="0.25">
      <c r="B134" s="194"/>
      <c r="C134" s="194" t="s">
        <v>392</v>
      </c>
      <c r="D134" s="194" t="s">
        <v>391</v>
      </c>
      <c r="E134" s="194" t="s">
        <v>150</v>
      </c>
      <c r="F134" s="194" t="s">
        <v>393</v>
      </c>
      <c r="G134" s="194">
        <v>52.718541000000002</v>
      </c>
      <c r="H134" s="194">
        <v>4.3013389999999996</v>
      </c>
      <c r="I134" s="194">
        <v>16.899999999999899</v>
      </c>
      <c r="J134" s="194" t="s">
        <v>177</v>
      </c>
      <c r="K134" s="194">
        <v>1994</v>
      </c>
      <c r="L134" s="194" t="s">
        <v>178</v>
      </c>
      <c r="M134" s="194" t="s">
        <v>123</v>
      </c>
      <c r="N134" s="194" t="s">
        <v>153</v>
      </c>
      <c r="O134" s="194" t="s">
        <v>154</v>
      </c>
      <c r="P134" s="194">
        <v>140</v>
      </c>
      <c r="Q134" s="194">
        <v>240</v>
      </c>
      <c r="R134" s="194" t="s">
        <v>394</v>
      </c>
      <c r="S134" s="194"/>
      <c r="T134" s="194"/>
      <c r="U134" s="194"/>
      <c r="V134" s="194"/>
      <c r="W134" s="194"/>
      <c r="X134" s="194"/>
      <c r="Y134" s="194"/>
      <c r="Z134" s="194"/>
      <c r="AA134" s="194"/>
      <c r="AB134" s="194"/>
      <c r="AC134" s="194"/>
      <c r="AD134" s="194"/>
      <c r="AE134" s="194"/>
      <c r="AF134" s="194"/>
      <c r="AG134" s="194"/>
      <c r="AH134" s="194"/>
      <c r="AI134" s="194"/>
      <c r="AJ134" s="194"/>
      <c r="AK134" s="194"/>
      <c r="AL134" s="194"/>
      <c r="AM134" s="194"/>
      <c r="AN134" s="194"/>
      <c r="AO134" s="194"/>
      <c r="AP134" s="194"/>
      <c r="AQ134" s="194"/>
      <c r="AR134" s="194"/>
      <c r="AS134" s="194"/>
      <c r="AT134" s="194"/>
      <c r="AU134" s="194"/>
      <c r="AV134" s="194"/>
      <c r="AW134" s="194"/>
      <c r="AX134" s="194"/>
      <c r="AY134" s="194"/>
      <c r="AZ134" s="194"/>
      <c r="BA134" s="194"/>
      <c r="BB134" s="194"/>
    </row>
    <row r="135" spans="2:54" hidden="1" x14ac:dyDescent="0.25">
      <c r="B135" s="194"/>
      <c r="C135" s="194" t="s">
        <v>532</v>
      </c>
      <c r="D135" s="194" t="s">
        <v>531</v>
      </c>
      <c r="E135" s="194" t="s">
        <v>150</v>
      </c>
      <c r="F135" s="194" t="s">
        <v>533</v>
      </c>
      <c r="G135" s="194">
        <v>53.187221999999899</v>
      </c>
      <c r="H135" s="194">
        <v>5.1669460000000003</v>
      </c>
      <c r="I135" s="194">
        <v>0</v>
      </c>
      <c r="J135" s="194" t="s">
        <v>534</v>
      </c>
      <c r="K135" s="194">
        <v>1994</v>
      </c>
      <c r="L135" s="194" t="s">
        <v>525</v>
      </c>
      <c r="M135" s="194" t="s">
        <v>123</v>
      </c>
      <c r="N135" s="194" t="s">
        <v>0</v>
      </c>
      <c r="O135" s="194" t="s">
        <v>502</v>
      </c>
      <c r="P135" s="194">
        <v>0</v>
      </c>
      <c r="Q135" s="194">
        <v>0</v>
      </c>
      <c r="R135" s="194" t="s">
        <v>0</v>
      </c>
      <c r="S135" s="194"/>
      <c r="T135" s="194"/>
      <c r="U135" s="194"/>
      <c r="V135" s="194"/>
      <c r="W135" s="194"/>
      <c r="X135" s="194"/>
      <c r="Y135" s="194"/>
      <c r="Z135" s="194"/>
      <c r="AA135" s="194"/>
      <c r="AB135" s="194"/>
      <c r="AC135" s="194"/>
      <c r="AD135" s="194"/>
      <c r="AE135" s="194"/>
      <c r="AF135" s="194"/>
      <c r="AG135" s="194"/>
      <c r="AH135" s="194"/>
      <c r="AI135" s="194"/>
      <c r="AJ135" s="194"/>
      <c r="AK135" s="194"/>
      <c r="AL135" s="194"/>
      <c r="AM135" s="194"/>
      <c r="AN135" s="194"/>
      <c r="AO135" s="194"/>
      <c r="AP135" s="194"/>
      <c r="AQ135" s="194"/>
      <c r="AR135" s="194"/>
      <c r="AS135" s="194"/>
      <c r="AT135" s="194"/>
      <c r="AU135" s="194"/>
      <c r="AV135" s="194"/>
      <c r="AW135" s="194"/>
      <c r="AX135" s="194"/>
      <c r="AY135" s="194"/>
      <c r="AZ135" s="194"/>
      <c r="BA135" s="194"/>
      <c r="BB135" s="194"/>
    </row>
    <row r="136" spans="2:54" x14ac:dyDescent="0.25">
      <c r="B136" s="194"/>
      <c r="C136" s="194" t="s">
        <v>1505</v>
      </c>
      <c r="D136" s="194"/>
      <c r="E136" s="194"/>
      <c r="F136" s="194"/>
      <c r="G136" s="194"/>
      <c r="H136" s="194"/>
      <c r="I136" s="194"/>
      <c r="J136" s="194"/>
      <c r="K136" s="194"/>
      <c r="L136" s="194"/>
      <c r="M136" s="194"/>
      <c r="N136" s="194"/>
      <c r="O136" s="194"/>
      <c r="P136" s="194"/>
      <c r="Q136" s="194"/>
      <c r="R136" s="194"/>
      <c r="S136" s="1053" t="e">
        <f>SUM(S36:S39)</f>
        <v>#REF!</v>
      </c>
      <c r="T136" s="1053"/>
      <c r="U136" s="194"/>
      <c r="V136" s="194"/>
      <c r="W136" s="194"/>
      <c r="X136" s="194"/>
      <c r="Y136" s="194"/>
      <c r="Z136" s="194"/>
      <c r="AA136" s="194"/>
      <c r="AB136" s="194"/>
      <c r="AC136" s="194"/>
      <c r="AD136" s="194"/>
      <c r="AE136" s="194"/>
      <c r="AF136" s="194"/>
      <c r="AG136" s="194"/>
      <c r="AH136" s="194"/>
      <c r="AI136" s="194"/>
      <c r="AJ136" s="194"/>
      <c r="AK136" s="194"/>
      <c r="AL136" s="194"/>
      <c r="AM136" s="194"/>
      <c r="AN136" s="194"/>
      <c r="AO136" s="194"/>
      <c r="AP136" s="194"/>
      <c r="AQ136" s="194"/>
      <c r="AR136" s="194"/>
      <c r="AS136" s="194"/>
      <c r="AT136" s="194"/>
      <c r="AU136" s="194"/>
      <c r="AV136" s="194"/>
      <c r="AW136" s="194"/>
      <c r="AX136" s="194"/>
      <c r="AY136" s="194"/>
      <c r="AZ136" s="194"/>
      <c r="BA136" s="194"/>
      <c r="BB136" s="194"/>
    </row>
    <row r="137" spans="2:54" x14ac:dyDescent="0.25">
      <c r="B137" s="194"/>
      <c r="C137" s="194" t="s">
        <v>1506</v>
      </c>
      <c r="D137" s="194"/>
      <c r="E137" s="194"/>
      <c r="F137" s="194"/>
      <c r="G137" s="194"/>
      <c r="H137" s="194"/>
      <c r="I137" s="194"/>
      <c r="J137" s="194"/>
      <c r="K137" s="194"/>
      <c r="L137" s="194"/>
      <c r="M137" s="194"/>
      <c r="N137" s="194"/>
      <c r="O137" s="194"/>
      <c r="P137" s="194"/>
      <c r="Q137" s="194"/>
      <c r="R137" s="194"/>
      <c r="S137" s="1053" t="e">
        <f>SUM(S50:S55)</f>
        <v>#REF!</v>
      </c>
      <c r="T137" s="1053"/>
      <c r="U137" s="194"/>
      <c r="V137" s="194"/>
      <c r="W137" s="194"/>
      <c r="X137" s="194"/>
      <c r="Y137" s="194"/>
      <c r="Z137" s="194"/>
      <c r="AA137" s="194"/>
      <c r="AB137" s="194"/>
      <c r="AC137" s="194"/>
      <c r="AD137" s="194"/>
      <c r="AE137" s="194"/>
      <c r="AF137" s="194"/>
      <c r="AG137" s="194"/>
      <c r="AH137" s="194"/>
      <c r="AI137" s="194"/>
      <c r="AJ137" s="194"/>
      <c r="AK137" s="194"/>
      <c r="AL137" s="194"/>
      <c r="AM137" s="194"/>
      <c r="AN137" s="194"/>
      <c r="AO137" s="194"/>
      <c r="AP137" s="194"/>
      <c r="AQ137" s="194"/>
      <c r="AR137" s="194"/>
      <c r="AS137" s="194"/>
      <c r="AT137" s="194"/>
      <c r="AU137" s="194"/>
      <c r="AV137" s="194"/>
      <c r="AW137" s="194"/>
      <c r="AX137" s="194"/>
      <c r="AY137" s="194"/>
      <c r="AZ137" s="194"/>
      <c r="BA137" s="194"/>
      <c r="BB137" s="194"/>
    </row>
    <row r="138" spans="2:54" x14ac:dyDescent="0.25">
      <c r="B138" s="194"/>
      <c r="C138" s="194" t="s">
        <v>1507</v>
      </c>
      <c r="D138" s="194"/>
      <c r="E138" s="194"/>
      <c r="F138" s="194"/>
      <c r="G138" s="194"/>
      <c r="H138" s="194"/>
      <c r="I138" s="194"/>
      <c r="J138" s="194"/>
      <c r="K138" s="194"/>
      <c r="L138" s="194"/>
      <c r="M138" s="194"/>
      <c r="N138" s="194"/>
      <c r="O138" s="194"/>
      <c r="P138" s="194"/>
      <c r="Q138" s="194"/>
      <c r="R138" s="194"/>
      <c r="S138" s="1053" t="e">
        <f>SUM(S118:S124)</f>
        <v>#REF!</v>
      </c>
      <c r="T138" s="1053"/>
      <c r="U138" s="194"/>
      <c r="V138" s="194"/>
      <c r="W138" s="194"/>
      <c r="X138" s="194"/>
      <c r="Y138" s="194"/>
      <c r="Z138" s="194"/>
      <c r="AA138" s="194"/>
      <c r="AB138" s="194"/>
      <c r="AC138" s="194"/>
      <c r="AD138" s="194"/>
      <c r="AE138" s="194"/>
      <c r="AF138" s="194"/>
      <c r="AG138" s="194"/>
      <c r="AH138" s="194"/>
      <c r="AI138" s="194"/>
      <c r="AJ138" s="194"/>
      <c r="AK138" s="194"/>
      <c r="AL138" s="194"/>
      <c r="AM138" s="194"/>
      <c r="AN138" s="194"/>
      <c r="AO138" s="194"/>
      <c r="AP138" s="194"/>
      <c r="AQ138" s="194"/>
      <c r="AR138" s="194"/>
      <c r="AS138" s="194"/>
      <c r="AT138" s="194"/>
      <c r="AU138" s="194"/>
      <c r="AV138" s="194"/>
      <c r="AW138" s="194"/>
      <c r="AX138" s="194"/>
      <c r="AY138" s="194"/>
      <c r="AZ138" s="194"/>
      <c r="BA138" s="194"/>
      <c r="BB138" s="194"/>
    </row>
    <row r="139" spans="2:54" x14ac:dyDescent="0.25">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c r="AC139" s="194"/>
      <c r="AD139" s="194"/>
      <c r="AE139" s="194"/>
      <c r="AF139" s="194"/>
      <c r="AG139" s="194"/>
      <c r="AH139" s="194"/>
      <c r="AI139" s="194"/>
      <c r="AJ139" s="194"/>
      <c r="AK139" s="194"/>
      <c r="AL139" s="194"/>
      <c r="AM139" s="194"/>
      <c r="AN139" s="194"/>
      <c r="AO139" s="194"/>
      <c r="AP139" s="194"/>
      <c r="AQ139" s="194"/>
      <c r="AR139" s="194"/>
      <c r="AS139" s="194"/>
      <c r="AT139" s="194"/>
      <c r="AU139" s="194"/>
      <c r="AV139" s="194"/>
      <c r="AW139" s="194"/>
      <c r="AX139" s="194"/>
      <c r="AY139" s="194"/>
      <c r="AZ139" s="194"/>
      <c r="BA139" s="194"/>
      <c r="BB139" s="194"/>
    </row>
    <row r="140" spans="2:54" x14ac:dyDescent="0.25">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94"/>
      <c r="AE140" s="194"/>
      <c r="AF140" s="194"/>
      <c r="AG140" s="194"/>
      <c r="AH140" s="194"/>
      <c r="AI140" s="194"/>
      <c r="AJ140" s="194"/>
      <c r="AK140" s="194"/>
      <c r="AL140" s="194"/>
      <c r="AM140" s="194"/>
      <c r="AN140" s="194"/>
      <c r="AO140" s="194"/>
      <c r="AP140" s="194"/>
      <c r="AQ140" s="194"/>
      <c r="AR140" s="194"/>
      <c r="AS140" s="194"/>
      <c r="AT140" s="194"/>
      <c r="AU140" s="194"/>
      <c r="AV140" s="194"/>
      <c r="AW140" s="194"/>
      <c r="AX140" s="194"/>
      <c r="AY140" s="194"/>
      <c r="AZ140" s="194"/>
      <c r="BA140" s="194"/>
      <c r="BB140" s="194"/>
    </row>
    <row r="141" spans="2:54" x14ac:dyDescent="0.25">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c r="AC141" s="194"/>
      <c r="AD141" s="194"/>
      <c r="AE141" s="194"/>
      <c r="AF141" s="194"/>
      <c r="AG141" s="194"/>
      <c r="AH141" s="194"/>
      <c r="AI141" s="194"/>
      <c r="AJ141" s="194"/>
      <c r="AK141" s="194"/>
      <c r="AL141" s="194"/>
      <c r="AM141" s="194"/>
      <c r="AN141" s="194"/>
      <c r="AO141" s="194"/>
      <c r="AP141" s="194"/>
      <c r="AQ141" s="194"/>
      <c r="AR141" s="194"/>
      <c r="AS141" s="194"/>
      <c r="AT141" s="194"/>
      <c r="AU141" s="194"/>
      <c r="AV141" s="194"/>
      <c r="AW141" s="194"/>
      <c r="AX141" s="194"/>
      <c r="AY141" s="194"/>
      <c r="AZ141" s="194"/>
      <c r="BA141" s="194"/>
      <c r="BB141" s="194"/>
    </row>
    <row r="142" spans="2:54" x14ac:dyDescent="0.25">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94"/>
      <c r="AE142" s="194"/>
      <c r="AF142" s="194"/>
      <c r="AG142" s="194"/>
      <c r="AH142" s="194"/>
      <c r="AI142" s="194"/>
      <c r="AJ142" s="194"/>
      <c r="AK142" s="194"/>
      <c r="AL142" s="194"/>
      <c r="AM142" s="194"/>
      <c r="AN142" s="194"/>
      <c r="AO142" s="194"/>
      <c r="AP142" s="194"/>
      <c r="AQ142" s="194"/>
      <c r="AR142" s="194"/>
      <c r="AS142" s="194"/>
      <c r="AT142" s="194"/>
      <c r="AU142" s="194"/>
      <c r="AV142" s="194"/>
      <c r="AW142" s="194"/>
      <c r="AX142" s="194"/>
      <c r="AY142" s="194"/>
      <c r="AZ142" s="194"/>
      <c r="BA142" s="194"/>
      <c r="BB142" s="194"/>
    </row>
    <row r="143" spans="2:54" x14ac:dyDescent="0.25">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c r="AC143" s="194"/>
      <c r="AD143" s="194"/>
      <c r="AE143" s="194"/>
      <c r="AF143" s="194"/>
      <c r="AG143" s="194"/>
      <c r="AH143" s="194"/>
      <c r="AI143" s="194"/>
      <c r="AJ143" s="194"/>
      <c r="AK143" s="194"/>
      <c r="AL143" s="194"/>
      <c r="AM143" s="194"/>
      <c r="AN143" s="194"/>
      <c r="AO143" s="194"/>
      <c r="AP143" s="194"/>
      <c r="AQ143" s="194"/>
      <c r="AR143" s="194"/>
      <c r="AS143" s="194"/>
      <c r="AT143" s="194"/>
      <c r="AU143" s="194"/>
      <c r="AV143" s="194"/>
      <c r="AW143" s="194"/>
      <c r="AX143" s="194"/>
      <c r="AY143" s="194"/>
      <c r="AZ143" s="194"/>
      <c r="BA143" s="194"/>
      <c r="BB143" s="194"/>
    </row>
    <row r="144" spans="2:54" x14ac:dyDescent="0.25">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94"/>
      <c r="AE144" s="194"/>
      <c r="AF144" s="194"/>
      <c r="AG144" s="194"/>
      <c r="AH144" s="194"/>
      <c r="AI144" s="194"/>
      <c r="AJ144" s="194"/>
      <c r="AK144" s="194"/>
      <c r="AL144" s="194"/>
      <c r="AM144" s="194"/>
      <c r="AN144" s="194"/>
      <c r="AO144" s="194"/>
      <c r="AP144" s="194"/>
      <c r="AQ144" s="194"/>
      <c r="AR144" s="194"/>
      <c r="AS144" s="194"/>
      <c r="AT144" s="194"/>
      <c r="AU144" s="194"/>
      <c r="AV144" s="194"/>
      <c r="AW144" s="194"/>
      <c r="AX144" s="194"/>
      <c r="AY144" s="194"/>
      <c r="AZ144" s="194"/>
      <c r="BA144" s="194"/>
      <c r="BB144" s="194"/>
    </row>
    <row r="145" spans="2:54" x14ac:dyDescent="0.25">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c r="AC145" s="194"/>
      <c r="AD145" s="194"/>
      <c r="AE145" s="194"/>
      <c r="AF145" s="194"/>
      <c r="AG145" s="194"/>
      <c r="AH145" s="194"/>
      <c r="AI145" s="194"/>
      <c r="AJ145" s="194"/>
      <c r="AK145" s="194"/>
      <c r="AL145" s="194"/>
      <c r="AM145" s="194"/>
      <c r="AN145" s="194"/>
      <c r="AO145" s="194"/>
      <c r="AP145" s="194"/>
      <c r="AQ145" s="194"/>
      <c r="AR145" s="194"/>
      <c r="AS145" s="194"/>
      <c r="AT145" s="194"/>
      <c r="AU145" s="194"/>
      <c r="AV145" s="194"/>
      <c r="AW145" s="194"/>
      <c r="AX145" s="194"/>
      <c r="AY145" s="194"/>
      <c r="AZ145" s="194"/>
      <c r="BA145" s="194"/>
      <c r="BB145" s="194"/>
    </row>
    <row r="146" spans="2:54" x14ac:dyDescent="0.25">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194"/>
      <c r="AI146" s="194"/>
      <c r="AJ146" s="194"/>
      <c r="AK146" s="194"/>
      <c r="AL146" s="194"/>
      <c r="AM146" s="194"/>
      <c r="AN146" s="194"/>
      <c r="AO146" s="194"/>
      <c r="AP146" s="194"/>
      <c r="AQ146" s="194"/>
      <c r="AR146" s="194"/>
      <c r="AS146" s="194"/>
      <c r="AT146" s="194"/>
      <c r="AU146" s="194"/>
      <c r="AV146" s="194"/>
      <c r="AW146" s="194"/>
      <c r="AX146" s="194"/>
      <c r="AY146" s="194"/>
      <c r="AZ146" s="194"/>
      <c r="BA146" s="194"/>
      <c r="BB146" s="194"/>
    </row>
    <row r="147" spans="2:54" x14ac:dyDescent="0.25">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c r="AC147" s="194"/>
      <c r="AD147" s="194"/>
      <c r="AE147" s="194"/>
      <c r="AF147" s="194"/>
      <c r="AG147" s="194"/>
      <c r="AH147" s="194"/>
      <c r="AI147" s="194"/>
      <c r="AJ147" s="194"/>
      <c r="AK147" s="194"/>
      <c r="AL147" s="194"/>
      <c r="AM147" s="194"/>
      <c r="AN147" s="194"/>
      <c r="AO147" s="194"/>
      <c r="AP147" s="194"/>
      <c r="AQ147" s="194"/>
      <c r="AR147" s="194"/>
      <c r="AS147" s="194"/>
      <c r="AT147" s="194"/>
      <c r="AU147" s="194"/>
      <c r="AV147" s="194"/>
      <c r="AW147" s="194"/>
      <c r="AX147" s="194"/>
      <c r="AY147" s="194"/>
      <c r="AZ147" s="194"/>
      <c r="BA147" s="194"/>
      <c r="BB147" s="194"/>
    </row>
    <row r="148" spans="2:54" x14ac:dyDescent="0.25">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94"/>
      <c r="AE148" s="194"/>
      <c r="AF148" s="194"/>
      <c r="AG148" s="194"/>
      <c r="AH148" s="194"/>
      <c r="AI148" s="194"/>
      <c r="AJ148" s="194"/>
      <c r="AK148" s="194"/>
      <c r="AL148" s="194"/>
      <c r="AM148" s="194"/>
      <c r="AN148" s="194"/>
      <c r="AO148" s="194"/>
      <c r="AP148" s="194"/>
      <c r="AQ148" s="194"/>
      <c r="AR148" s="194"/>
      <c r="AS148" s="194"/>
      <c r="AT148" s="194"/>
      <c r="AU148" s="194"/>
      <c r="AV148" s="194"/>
      <c r="AW148" s="194"/>
      <c r="AX148" s="194"/>
      <c r="AY148" s="194"/>
      <c r="AZ148" s="194"/>
      <c r="BA148" s="194"/>
      <c r="BB148" s="194"/>
    </row>
    <row r="149" spans="2:54" x14ac:dyDescent="0.25">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c r="AC149" s="194"/>
      <c r="AD149" s="194"/>
      <c r="AE149" s="194"/>
      <c r="AF149" s="194"/>
      <c r="AG149" s="194"/>
      <c r="AH149" s="194"/>
      <c r="AI149" s="194"/>
      <c r="AJ149" s="194"/>
      <c r="AK149" s="194"/>
      <c r="AL149" s="194"/>
      <c r="AM149" s="194"/>
      <c r="AN149" s="194"/>
      <c r="AO149" s="194"/>
      <c r="AP149" s="194"/>
      <c r="AQ149" s="194"/>
      <c r="AR149" s="194"/>
      <c r="AS149" s="194"/>
      <c r="AT149" s="194"/>
      <c r="AU149" s="194"/>
      <c r="AV149" s="194"/>
      <c r="AW149" s="194"/>
      <c r="AX149" s="194"/>
      <c r="AY149" s="194"/>
      <c r="AZ149" s="194"/>
      <c r="BA149" s="194"/>
      <c r="BB149" s="194"/>
    </row>
    <row r="150" spans="2:54" x14ac:dyDescent="0.25">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94"/>
      <c r="AE150" s="194"/>
      <c r="AF150" s="194"/>
      <c r="AG150" s="194"/>
      <c r="AH150" s="194"/>
      <c r="AI150" s="194"/>
      <c r="AJ150" s="194"/>
      <c r="AK150" s="194"/>
      <c r="AL150" s="194"/>
      <c r="AM150" s="194"/>
      <c r="AN150" s="194"/>
      <c r="AO150" s="194"/>
      <c r="AP150" s="194"/>
      <c r="AQ150" s="194"/>
      <c r="AR150" s="194"/>
      <c r="AS150" s="194"/>
      <c r="AT150" s="194"/>
      <c r="AU150" s="194"/>
      <c r="AV150" s="194"/>
      <c r="AW150" s="194"/>
      <c r="AX150" s="194"/>
      <c r="AY150" s="194"/>
      <c r="AZ150" s="194"/>
      <c r="BA150" s="194"/>
      <c r="BB150" s="194"/>
    </row>
    <row r="151" spans="2:54" x14ac:dyDescent="0.25">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c r="AC151" s="194"/>
      <c r="AD151" s="194"/>
      <c r="AE151" s="194"/>
      <c r="AF151" s="194"/>
      <c r="AG151" s="194"/>
      <c r="AH151" s="194"/>
      <c r="AI151" s="194"/>
      <c r="AJ151" s="194"/>
      <c r="AK151" s="194"/>
      <c r="AL151" s="194"/>
      <c r="AM151" s="194"/>
      <c r="AN151" s="194"/>
      <c r="AO151" s="194"/>
      <c r="AP151" s="194"/>
      <c r="AQ151" s="194"/>
      <c r="AR151" s="194"/>
      <c r="AS151" s="194"/>
      <c r="AT151" s="194"/>
      <c r="AU151" s="194"/>
      <c r="AV151" s="194"/>
      <c r="AW151" s="194"/>
      <c r="AX151" s="194"/>
      <c r="AY151" s="194"/>
      <c r="AZ151" s="194"/>
      <c r="BA151" s="194"/>
      <c r="BB151" s="194"/>
    </row>
    <row r="152" spans="2:54" x14ac:dyDescent="0.25">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94"/>
      <c r="AE152" s="194"/>
      <c r="AF152" s="194"/>
      <c r="AG152" s="194"/>
      <c r="AH152" s="194"/>
      <c r="AI152" s="194"/>
      <c r="AJ152" s="194"/>
      <c r="AK152" s="194"/>
      <c r="AL152" s="194"/>
      <c r="AM152" s="194"/>
      <c r="AN152" s="194"/>
      <c r="AO152" s="194"/>
      <c r="AP152" s="194"/>
      <c r="AQ152" s="194"/>
      <c r="AR152" s="194"/>
      <c r="AS152" s="194"/>
      <c r="AT152" s="194"/>
      <c r="AU152" s="194"/>
      <c r="AV152" s="194"/>
      <c r="AW152" s="194"/>
      <c r="AX152" s="194"/>
      <c r="AY152" s="194"/>
      <c r="AZ152" s="194"/>
      <c r="BA152" s="194"/>
      <c r="BB152" s="194"/>
    </row>
    <row r="153" spans="2:54" x14ac:dyDescent="0.25">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c r="AC153" s="194"/>
      <c r="AD153" s="194"/>
      <c r="AE153" s="194"/>
      <c r="AF153" s="194"/>
      <c r="AG153" s="194"/>
      <c r="AH153" s="194"/>
      <c r="AI153" s="194"/>
      <c r="AJ153" s="194"/>
      <c r="AK153" s="194"/>
      <c r="AL153" s="194"/>
      <c r="AM153" s="194"/>
      <c r="AN153" s="194"/>
      <c r="AO153" s="194"/>
      <c r="AP153" s="194"/>
      <c r="AQ153" s="194"/>
      <c r="AR153" s="194"/>
      <c r="AS153" s="194"/>
      <c r="AT153" s="194"/>
      <c r="AU153" s="194"/>
      <c r="AV153" s="194"/>
      <c r="AW153" s="194"/>
      <c r="AX153" s="194"/>
      <c r="AY153" s="194"/>
      <c r="AZ153" s="194"/>
      <c r="BA153" s="194"/>
      <c r="BB153" s="194"/>
    </row>
    <row r="154" spans="2:54" x14ac:dyDescent="0.25">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94"/>
      <c r="AE154" s="194"/>
      <c r="AF154" s="194"/>
      <c r="AG154" s="194"/>
      <c r="AH154" s="194"/>
      <c r="AI154" s="194"/>
      <c r="AJ154" s="194"/>
      <c r="AK154" s="194"/>
      <c r="AL154" s="194"/>
      <c r="AM154" s="194"/>
      <c r="AN154" s="194"/>
      <c r="AO154" s="194"/>
      <c r="AP154" s="194"/>
      <c r="AQ154" s="194"/>
      <c r="AR154" s="194"/>
      <c r="AS154" s="194"/>
      <c r="AT154" s="194"/>
      <c r="AU154" s="194"/>
      <c r="AV154" s="194"/>
      <c r="AW154" s="194"/>
      <c r="AX154" s="194"/>
      <c r="AY154" s="194"/>
      <c r="AZ154" s="194"/>
      <c r="BA154" s="194"/>
      <c r="BB154" s="194"/>
    </row>
    <row r="155" spans="2:54" x14ac:dyDescent="0.25">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c r="AC155" s="194"/>
      <c r="AD155" s="194"/>
      <c r="AE155" s="194"/>
      <c r="AF155" s="194"/>
      <c r="AG155" s="194"/>
      <c r="AH155" s="194"/>
      <c r="AI155" s="194"/>
      <c r="AJ155" s="194"/>
      <c r="AK155" s="194"/>
      <c r="AL155" s="194"/>
      <c r="AM155" s="194"/>
      <c r="AN155" s="194"/>
      <c r="AO155" s="194"/>
      <c r="AP155" s="194"/>
      <c r="AQ155" s="194"/>
      <c r="AR155" s="194"/>
      <c r="AS155" s="194"/>
      <c r="AT155" s="194"/>
      <c r="AU155" s="194"/>
      <c r="AV155" s="194"/>
      <c r="AW155" s="194"/>
      <c r="AX155" s="194"/>
      <c r="AY155" s="194"/>
      <c r="AZ155" s="194"/>
      <c r="BA155" s="194"/>
      <c r="BB155" s="194"/>
    </row>
    <row r="156" spans="2:54" x14ac:dyDescent="0.25">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94"/>
      <c r="AE156" s="194"/>
      <c r="AF156" s="194"/>
      <c r="AG156" s="194"/>
      <c r="AH156" s="194"/>
      <c r="AI156" s="194"/>
      <c r="AJ156" s="194"/>
      <c r="AK156" s="194"/>
      <c r="AL156" s="194"/>
      <c r="AM156" s="194"/>
      <c r="AN156" s="194"/>
      <c r="AO156" s="194"/>
      <c r="AP156" s="194"/>
      <c r="AQ156" s="194"/>
      <c r="AR156" s="194"/>
      <c r="AS156" s="194"/>
      <c r="AT156" s="194"/>
      <c r="AU156" s="194"/>
      <c r="AV156" s="194"/>
      <c r="AW156" s="194"/>
      <c r="AX156" s="194"/>
      <c r="AY156" s="194"/>
      <c r="AZ156" s="194"/>
      <c r="BA156" s="194"/>
      <c r="BB156" s="194"/>
    </row>
    <row r="157" spans="2:54" x14ac:dyDescent="0.25">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c r="AC157" s="194"/>
      <c r="AD157" s="194"/>
      <c r="AE157" s="194"/>
      <c r="AF157" s="194"/>
      <c r="AG157" s="194"/>
      <c r="AH157" s="194"/>
      <c r="AI157" s="194"/>
      <c r="AJ157" s="194"/>
      <c r="AK157" s="194"/>
      <c r="AL157" s="194"/>
      <c r="AM157" s="194"/>
      <c r="AN157" s="194"/>
      <c r="AO157" s="194"/>
      <c r="AP157" s="194"/>
      <c r="AQ157" s="194"/>
      <c r="AR157" s="194"/>
      <c r="AS157" s="194"/>
      <c r="AT157" s="194"/>
      <c r="AU157" s="194"/>
      <c r="AV157" s="194"/>
      <c r="AW157" s="194"/>
      <c r="AX157" s="194"/>
      <c r="AY157" s="194"/>
      <c r="AZ157" s="194"/>
      <c r="BA157" s="194"/>
      <c r="BB157" s="194"/>
    </row>
    <row r="158" spans="2:54" x14ac:dyDescent="0.25">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94"/>
      <c r="AE158" s="194"/>
      <c r="AF158" s="194"/>
      <c r="AG158" s="194"/>
      <c r="AH158" s="194"/>
      <c r="AI158" s="194"/>
      <c r="AJ158" s="194"/>
      <c r="AK158" s="194"/>
      <c r="AL158" s="194"/>
      <c r="AM158" s="194"/>
      <c r="AN158" s="194"/>
      <c r="AO158" s="194"/>
      <c r="AP158" s="194"/>
      <c r="AQ158" s="194"/>
      <c r="AR158" s="194"/>
      <c r="AS158" s="194"/>
      <c r="AT158" s="194"/>
      <c r="AU158" s="194"/>
      <c r="AV158" s="194"/>
      <c r="AW158" s="194"/>
      <c r="AX158" s="194"/>
      <c r="AY158" s="194"/>
      <c r="AZ158" s="194"/>
      <c r="BA158" s="194"/>
      <c r="BB158" s="194"/>
    </row>
    <row r="159" spans="2:54" x14ac:dyDescent="0.25">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c r="AC159" s="194"/>
      <c r="AD159" s="194"/>
      <c r="AE159" s="194"/>
      <c r="AF159" s="194"/>
      <c r="AG159" s="194"/>
      <c r="AH159" s="194"/>
      <c r="AI159" s="194"/>
      <c r="AJ159" s="194"/>
      <c r="AK159" s="194"/>
      <c r="AL159" s="194"/>
      <c r="AM159" s="194"/>
      <c r="AN159" s="194"/>
      <c r="AO159" s="194"/>
      <c r="AP159" s="194"/>
      <c r="AQ159" s="194"/>
      <c r="AR159" s="194"/>
      <c r="AS159" s="194"/>
      <c r="AT159" s="194"/>
      <c r="AU159" s="194"/>
      <c r="AV159" s="194"/>
      <c r="AW159" s="194"/>
      <c r="AX159" s="194"/>
      <c r="AY159" s="194"/>
      <c r="AZ159" s="194"/>
      <c r="BA159" s="194"/>
      <c r="BB159" s="194"/>
    </row>
    <row r="160" spans="2:54" x14ac:dyDescent="0.25">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94"/>
      <c r="AE160" s="194"/>
      <c r="AF160" s="194"/>
      <c r="AG160" s="194"/>
      <c r="AH160" s="194"/>
      <c r="AI160" s="194"/>
      <c r="AJ160" s="194"/>
      <c r="AK160" s="194"/>
      <c r="AL160" s="194"/>
      <c r="AM160" s="194"/>
      <c r="AN160" s="194"/>
      <c r="AO160" s="194"/>
      <c r="AP160" s="194"/>
      <c r="AQ160" s="194"/>
      <c r="AR160" s="194"/>
      <c r="AS160" s="194"/>
      <c r="AT160" s="194"/>
      <c r="AU160" s="194"/>
      <c r="AV160" s="194"/>
      <c r="AW160" s="194"/>
      <c r="AX160" s="194"/>
      <c r="AY160" s="194"/>
      <c r="AZ160" s="194"/>
      <c r="BA160" s="194"/>
      <c r="BB160" s="194"/>
    </row>
    <row r="161" spans="2:54" x14ac:dyDescent="0.25">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c r="AC161" s="194"/>
      <c r="AD161" s="194"/>
      <c r="AE161" s="194"/>
      <c r="AF161" s="194"/>
      <c r="AG161" s="194"/>
      <c r="AH161" s="194"/>
      <c r="AI161" s="194"/>
      <c r="AJ161" s="194"/>
      <c r="AK161" s="194"/>
      <c r="AL161" s="194"/>
      <c r="AM161" s="194"/>
      <c r="AN161" s="194"/>
      <c r="AO161" s="194"/>
      <c r="AP161" s="194"/>
      <c r="AQ161" s="194"/>
      <c r="AR161" s="194"/>
      <c r="AS161" s="194"/>
      <c r="AT161" s="194"/>
      <c r="AU161" s="194"/>
      <c r="AV161" s="194"/>
      <c r="AW161" s="194"/>
      <c r="AX161" s="194"/>
      <c r="AY161" s="194"/>
      <c r="AZ161" s="194"/>
      <c r="BA161" s="194"/>
      <c r="BB161" s="194"/>
    </row>
    <row r="162" spans="2:54" x14ac:dyDescent="0.25">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94"/>
      <c r="AE162" s="194"/>
      <c r="AF162" s="194"/>
      <c r="AG162" s="194"/>
      <c r="AH162" s="194"/>
      <c r="AI162" s="194"/>
      <c r="AJ162" s="194"/>
      <c r="AK162" s="194"/>
      <c r="AL162" s="194"/>
      <c r="AM162" s="194"/>
      <c r="AN162" s="194"/>
      <c r="AO162" s="194"/>
      <c r="AP162" s="194"/>
      <c r="AQ162" s="194"/>
      <c r="AR162" s="194"/>
      <c r="AS162" s="194"/>
      <c r="AT162" s="194"/>
      <c r="AU162" s="194"/>
      <c r="AV162" s="194"/>
      <c r="AW162" s="194"/>
      <c r="AX162" s="194"/>
      <c r="AY162" s="194"/>
      <c r="AZ162" s="194"/>
      <c r="BA162" s="194"/>
      <c r="BB162" s="194"/>
    </row>
    <row r="163" spans="2:54" x14ac:dyDescent="0.25">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c r="AC163" s="194"/>
      <c r="AD163" s="194"/>
      <c r="AE163" s="194"/>
      <c r="AF163" s="194"/>
      <c r="AG163" s="194"/>
      <c r="AH163" s="194"/>
      <c r="AI163" s="194"/>
      <c r="AJ163" s="194"/>
      <c r="AK163" s="194"/>
      <c r="AL163" s="194"/>
      <c r="AM163" s="194"/>
      <c r="AN163" s="194"/>
      <c r="AO163" s="194"/>
      <c r="AP163" s="194"/>
      <c r="AQ163" s="194"/>
      <c r="AR163" s="194"/>
      <c r="AS163" s="194"/>
      <c r="AT163" s="194"/>
      <c r="AU163" s="194"/>
      <c r="AV163" s="194"/>
      <c r="AW163" s="194"/>
      <c r="AX163" s="194"/>
      <c r="AY163" s="194"/>
      <c r="AZ163" s="194"/>
      <c r="BA163" s="194"/>
      <c r="BB163" s="194"/>
    </row>
    <row r="164" spans="2:54" x14ac:dyDescent="0.25">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c r="AC164" s="194"/>
      <c r="AD164" s="194"/>
      <c r="AE164" s="194"/>
      <c r="AF164" s="194"/>
      <c r="AG164" s="194"/>
      <c r="AH164" s="194"/>
      <c r="AI164" s="194"/>
      <c r="AJ164" s="194"/>
      <c r="AK164" s="194"/>
      <c r="AL164" s="194"/>
      <c r="AM164" s="194"/>
      <c r="AN164" s="194"/>
      <c r="AO164" s="194"/>
      <c r="AP164" s="194"/>
      <c r="AQ164" s="194"/>
      <c r="AR164" s="194"/>
      <c r="AS164" s="194"/>
      <c r="AT164" s="194"/>
      <c r="AU164" s="194"/>
      <c r="AV164" s="194"/>
      <c r="AW164" s="194"/>
      <c r="AX164" s="194"/>
      <c r="AY164" s="194"/>
      <c r="AZ164" s="194"/>
      <c r="BA164" s="194"/>
      <c r="BB164" s="194"/>
    </row>
    <row r="165" spans="2:54" x14ac:dyDescent="0.25">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c r="AC165" s="194"/>
      <c r="AD165" s="194"/>
      <c r="AE165" s="194"/>
      <c r="AF165" s="194"/>
      <c r="AG165" s="194"/>
      <c r="AH165" s="194"/>
      <c r="AI165" s="194"/>
      <c r="AJ165" s="194"/>
      <c r="AK165" s="194"/>
      <c r="AL165" s="194"/>
      <c r="AM165" s="194"/>
      <c r="AN165" s="194"/>
      <c r="AO165" s="194"/>
      <c r="AP165" s="194"/>
      <c r="AQ165" s="194"/>
      <c r="AR165" s="194"/>
      <c r="AS165" s="194"/>
      <c r="AT165" s="194"/>
      <c r="AU165" s="194"/>
      <c r="AV165" s="194"/>
      <c r="AW165" s="194"/>
      <c r="AX165" s="194"/>
      <c r="AY165" s="194"/>
      <c r="AZ165" s="194"/>
      <c r="BA165" s="194"/>
      <c r="BB165" s="194"/>
    </row>
    <row r="166" spans="2:54" x14ac:dyDescent="0.25">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94"/>
      <c r="AE166" s="194"/>
      <c r="AF166" s="194"/>
      <c r="AG166" s="194"/>
      <c r="AH166" s="194"/>
      <c r="AI166" s="194"/>
      <c r="AJ166" s="194"/>
      <c r="AK166" s="194"/>
      <c r="AL166" s="194"/>
      <c r="AM166" s="194"/>
      <c r="AN166" s="194"/>
      <c r="AO166" s="194"/>
      <c r="AP166" s="194"/>
      <c r="AQ166" s="194"/>
      <c r="AR166" s="194"/>
      <c r="AS166" s="194"/>
      <c r="AT166" s="194"/>
      <c r="AU166" s="194"/>
      <c r="AV166" s="194"/>
      <c r="AW166" s="194"/>
      <c r="AX166" s="194"/>
      <c r="AY166" s="194"/>
      <c r="AZ166" s="194"/>
      <c r="BA166" s="194"/>
      <c r="BB166" s="194"/>
    </row>
    <row r="167" spans="2:54" x14ac:dyDescent="0.25">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c r="AC167" s="194"/>
      <c r="AD167" s="194"/>
      <c r="AE167" s="194"/>
      <c r="AF167" s="194"/>
      <c r="AG167" s="194"/>
      <c r="AH167" s="194"/>
      <c r="AI167" s="194"/>
      <c r="AJ167" s="194"/>
      <c r="AK167" s="194"/>
      <c r="AL167" s="194"/>
      <c r="AM167" s="194"/>
      <c r="AN167" s="194"/>
      <c r="AO167" s="194"/>
      <c r="AP167" s="194"/>
      <c r="AQ167" s="194"/>
      <c r="AR167" s="194"/>
      <c r="AS167" s="194"/>
      <c r="AT167" s="194"/>
      <c r="AU167" s="194"/>
      <c r="AV167" s="194"/>
      <c r="AW167" s="194"/>
      <c r="AX167" s="194"/>
      <c r="AY167" s="194"/>
      <c r="AZ167" s="194"/>
      <c r="BA167" s="194"/>
      <c r="BB167" s="194"/>
    </row>
    <row r="168" spans="2:54" x14ac:dyDescent="0.25">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c r="AC168" s="194"/>
      <c r="AD168" s="194"/>
      <c r="AE168" s="194"/>
      <c r="AF168" s="194"/>
      <c r="AG168" s="194"/>
      <c r="AH168" s="194"/>
      <c r="AI168" s="194"/>
      <c r="AJ168" s="194"/>
      <c r="AK168" s="194"/>
      <c r="AL168" s="194"/>
      <c r="AM168" s="194"/>
      <c r="AN168" s="194"/>
      <c r="AO168" s="194"/>
      <c r="AP168" s="194"/>
      <c r="AQ168" s="194"/>
      <c r="AR168" s="194"/>
      <c r="AS168" s="194"/>
      <c r="AT168" s="194"/>
      <c r="AU168" s="194"/>
      <c r="AV168" s="194"/>
      <c r="AW168" s="194"/>
      <c r="AX168" s="194"/>
      <c r="AY168" s="194"/>
      <c r="AZ168" s="194"/>
      <c r="BA168" s="194"/>
      <c r="BB168" s="194"/>
    </row>
    <row r="169" spans="2:54" x14ac:dyDescent="0.25">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c r="AC169" s="194"/>
      <c r="AD169" s="194"/>
      <c r="AE169" s="194"/>
      <c r="AF169" s="194"/>
      <c r="AG169" s="194"/>
      <c r="AH169" s="194"/>
      <c r="AI169" s="194"/>
      <c r="AJ169" s="194"/>
      <c r="AK169" s="194"/>
      <c r="AL169" s="194"/>
      <c r="AM169" s="194"/>
      <c r="AN169" s="194"/>
      <c r="AO169" s="194"/>
      <c r="AP169" s="194"/>
      <c r="AQ169" s="194"/>
      <c r="AR169" s="194"/>
      <c r="AS169" s="194"/>
      <c r="AT169" s="194"/>
      <c r="AU169" s="194"/>
      <c r="AV169" s="194"/>
      <c r="AW169" s="194"/>
      <c r="AX169" s="194"/>
      <c r="AY169" s="194"/>
      <c r="AZ169" s="194"/>
      <c r="BA169" s="194"/>
      <c r="BB169" s="194"/>
    </row>
    <row r="170" spans="2:54" x14ac:dyDescent="0.25">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c r="AC170" s="194"/>
      <c r="AD170" s="194"/>
      <c r="AE170" s="194"/>
      <c r="AF170" s="194"/>
      <c r="AG170" s="194"/>
      <c r="AH170" s="194"/>
      <c r="AI170" s="194"/>
      <c r="AJ170" s="194"/>
      <c r="AK170" s="194"/>
      <c r="AL170" s="194"/>
      <c r="AM170" s="194"/>
      <c r="AN170" s="194"/>
      <c r="AO170" s="194"/>
      <c r="AP170" s="194"/>
      <c r="AQ170" s="194"/>
      <c r="AR170" s="194"/>
      <c r="AS170" s="194"/>
      <c r="AT170" s="194"/>
      <c r="AU170" s="194"/>
      <c r="AV170" s="194"/>
      <c r="AW170" s="194"/>
      <c r="AX170" s="194"/>
      <c r="AY170" s="194"/>
      <c r="AZ170" s="194"/>
      <c r="BA170" s="194"/>
      <c r="BB170" s="194"/>
    </row>
    <row r="171" spans="2:54" x14ac:dyDescent="0.25">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c r="AC171" s="194"/>
      <c r="AD171" s="194"/>
      <c r="AE171" s="194"/>
      <c r="AF171" s="194"/>
      <c r="AG171" s="194"/>
      <c r="AH171" s="194"/>
      <c r="AI171" s="194"/>
      <c r="AJ171" s="194"/>
      <c r="AK171" s="194"/>
      <c r="AL171" s="194"/>
      <c r="AM171" s="194"/>
      <c r="AN171" s="194"/>
      <c r="AO171" s="194"/>
      <c r="AP171" s="194"/>
      <c r="AQ171" s="194"/>
      <c r="AR171" s="194"/>
      <c r="AS171" s="194"/>
      <c r="AT171" s="194"/>
      <c r="AU171" s="194"/>
      <c r="AV171" s="194"/>
      <c r="AW171" s="194"/>
      <c r="AX171" s="194"/>
      <c r="AY171" s="194"/>
      <c r="AZ171" s="194"/>
      <c r="BA171" s="194"/>
      <c r="BB171" s="194"/>
    </row>
    <row r="172" spans="2:54" x14ac:dyDescent="0.25">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c r="AC172" s="194"/>
      <c r="AD172" s="194"/>
      <c r="AE172" s="194"/>
      <c r="AF172" s="194"/>
      <c r="AG172" s="194"/>
      <c r="AH172" s="194"/>
      <c r="AI172" s="194"/>
      <c r="AJ172" s="194"/>
      <c r="AK172" s="194"/>
      <c r="AL172" s="194"/>
      <c r="AM172" s="194"/>
      <c r="AN172" s="194"/>
      <c r="AO172" s="194"/>
      <c r="AP172" s="194"/>
      <c r="AQ172" s="194"/>
      <c r="AR172" s="194"/>
      <c r="AS172" s="194"/>
      <c r="AT172" s="194"/>
      <c r="AU172" s="194"/>
      <c r="AV172" s="194"/>
      <c r="AW172" s="194"/>
      <c r="AX172" s="194"/>
      <c r="AY172" s="194"/>
      <c r="AZ172" s="194"/>
      <c r="BA172" s="194"/>
      <c r="BB172" s="194"/>
    </row>
    <row r="173" spans="2:54" x14ac:dyDescent="0.25">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c r="AC173" s="194"/>
      <c r="AD173" s="194"/>
      <c r="AE173" s="194"/>
      <c r="AF173" s="194"/>
      <c r="AG173" s="194"/>
      <c r="AH173" s="194"/>
      <c r="AI173" s="194"/>
      <c r="AJ173" s="194"/>
      <c r="AK173" s="194"/>
      <c r="AL173" s="194"/>
      <c r="AM173" s="194"/>
      <c r="AN173" s="194"/>
      <c r="AO173" s="194"/>
      <c r="AP173" s="194"/>
      <c r="AQ173" s="194"/>
      <c r="AR173" s="194"/>
      <c r="AS173" s="194"/>
      <c r="AT173" s="194"/>
      <c r="AU173" s="194"/>
      <c r="AV173" s="194"/>
      <c r="AW173" s="194"/>
      <c r="AX173" s="194"/>
      <c r="AY173" s="194"/>
      <c r="AZ173" s="194"/>
      <c r="BA173" s="194"/>
      <c r="BB173" s="194"/>
    </row>
    <row r="174" spans="2:54" x14ac:dyDescent="0.25">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c r="AC174" s="194"/>
      <c r="AD174" s="194"/>
      <c r="AE174" s="194"/>
      <c r="AF174" s="194"/>
      <c r="AG174" s="194"/>
      <c r="AH174" s="194"/>
      <c r="AI174" s="194"/>
      <c r="AJ174" s="194"/>
      <c r="AK174" s="194"/>
      <c r="AL174" s="194"/>
      <c r="AM174" s="194"/>
      <c r="AN174" s="194"/>
      <c r="AO174" s="194"/>
      <c r="AP174" s="194"/>
      <c r="AQ174" s="194"/>
      <c r="AR174" s="194"/>
      <c r="AS174" s="194"/>
      <c r="AT174" s="194"/>
      <c r="AU174" s="194"/>
      <c r="AV174" s="194"/>
      <c r="AW174" s="194"/>
      <c r="AX174" s="194"/>
      <c r="AY174" s="194"/>
      <c r="AZ174" s="194"/>
      <c r="BA174" s="194"/>
      <c r="BB174" s="194"/>
    </row>
    <row r="175" spans="2:54" x14ac:dyDescent="0.25">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c r="AC175" s="194"/>
      <c r="AD175" s="194"/>
      <c r="AE175" s="194"/>
      <c r="AF175" s="194"/>
      <c r="AG175" s="194"/>
      <c r="AH175" s="194"/>
      <c r="AI175" s="194"/>
      <c r="AJ175" s="194"/>
      <c r="AK175" s="194"/>
      <c r="AL175" s="194"/>
      <c r="AM175" s="194"/>
      <c r="AN175" s="194"/>
      <c r="AO175" s="194"/>
      <c r="AP175" s="194"/>
      <c r="AQ175" s="194"/>
      <c r="AR175" s="194"/>
      <c r="AS175" s="194"/>
      <c r="AT175" s="194"/>
      <c r="AU175" s="194"/>
      <c r="AV175" s="194"/>
      <c r="AW175" s="194"/>
      <c r="AX175" s="194"/>
      <c r="AY175" s="194"/>
      <c r="AZ175" s="194"/>
      <c r="BA175" s="194"/>
      <c r="BB175" s="194"/>
    </row>
    <row r="176" spans="2:54" x14ac:dyDescent="0.25">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c r="AC176" s="194"/>
      <c r="AD176" s="194"/>
      <c r="AE176" s="194"/>
      <c r="AF176" s="194"/>
      <c r="AG176" s="194"/>
      <c r="AH176" s="194"/>
      <c r="AI176" s="194"/>
      <c r="AJ176" s="194"/>
      <c r="AK176" s="194"/>
      <c r="AL176" s="194"/>
      <c r="AM176" s="194"/>
      <c r="AN176" s="194"/>
      <c r="AO176" s="194"/>
      <c r="AP176" s="194"/>
      <c r="AQ176" s="194"/>
      <c r="AR176" s="194"/>
      <c r="AS176" s="194"/>
      <c r="AT176" s="194"/>
      <c r="AU176" s="194"/>
      <c r="AV176" s="194"/>
      <c r="AW176" s="194"/>
      <c r="AX176" s="194"/>
      <c r="AY176" s="194"/>
      <c r="AZ176" s="194"/>
      <c r="BA176" s="194"/>
      <c r="BB176" s="194"/>
    </row>
    <row r="177" spans="2:54" x14ac:dyDescent="0.25">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c r="AC177" s="194"/>
      <c r="AD177" s="194"/>
      <c r="AE177" s="194"/>
      <c r="AF177" s="194"/>
      <c r="AG177" s="194"/>
      <c r="AH177" s="194"/>
      <c r="AI177" s="194"/>
      <c r="AJ177" s="194"/>
      <c r="AK177" s="194"/>
      <c r="AL177" s="194"/>
      <c r="AM177" s="194"/>
      <c r="AN177" s="194"/>
      <c r="AO177" s="194"/>
      <c r="AP177" s="194"/>
      <c r="AQ177" s="194"/>
      <c r="AR177" s="194"/>
      <c r="AS177" s="194"/>
      <c r="AT177" s="194"/>
      <c r="AU177" s="194"/>
      <c r="AV177" s="194"/>
      <c r="AW177" s="194"/>
      <c r="AX177" s="194"/>
      <c r="AY177" s="194"/>
      <c r="AZ177" s="194"/>
      <c r="BA177" s="194"/>
      <c r="BB177" s="194"/>
    </row>
    <row r="178" spans="2:54" x14ac:dyDescent="0.25">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c r="AC178" s="194"/>
      <c r="AD178" s="194"/>
      <c r="AE178" s="194"/>
      <c r="AF178" s="194"/>
      <c r="AG178" s="194"/>
      <c r="AH178" s="194"/>
      <c r="AI178" s="194"/>
      <c r="AJ178" s="194"/>
      <c r="AK178" s="194"/>
      <c r="AL178" s="194"/>
      <c r="AM178" s="194"/>
      <c r="AN178" s="194"/>
      <c r="AO178" s="194"/>
      <c r="AP178" s="194"/>
      <c r="AQ178" s="194"/>
      <c r="AR178" s="194"/>
      <c r="AS178" s="194"/>
      <c r="AT178" s="194"/>
      <c r="AU178" s="194"/>
      <c r="AV178" s="194"/>
      <c r="AW178" s="194"/>
      <c r="AX178" s="194"/>
      <c r="AY178" s="194"/>
      <c r="AZ178" s="194"/>
      <c r="BA178" s="194"/>
      <c r="BB178" s="194"/>
    </row>
    <row r="179" spans="2:54" x14ac:dyDescent="0.25">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94"/>
      <c r="AE179" s="194"/>
      <c r="AF179" s="194"/>
      <c r="AG179" s="194"/>
      <c r="AH179" s="194"/>
      <c r="AI179" s="194"/>
      <c r="AJ179" s="194"/>
      <c r="AK179" s="194"/>
      <c r="AL179" s="194"/>
      <c r="AM179" s="194"/>
      <c r="AN179" s="194"/>
      <c r="AO179" s="194"/>
      <c r="AP179" s="194"/>
      <c r="AQ179" s="194"/>
      <c r="AR179" s="194"/>
      <c r="AS179" s="194"/>
      <c r="AT179" s="194"/>
      <c r="AU179" s="194"/>
      <c r="AV179" s="194"/>
      <c r="AW179" s="194"/>
      <c r="AX179" s="194"/>
      <c r="AY179" s="194"/>
      <c r="AZ179" s="194"/>
      <c r="BA179" s="194"/>
      <c r="BB179" s="194"/>
    </row>
    <row r="180" spans="2:54" x14ac:dyDescent="0.25">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c r="AC180" s="194"/>
      <c r="AD180" s="194"/>
      <c r="AE180" s="194"/>
      <c r="AF180" s="194"/>
      <c r="AG180" s="194"/>
      <c r="AH180" s="194"/>
      <c r="AI180" s="194"/>
      <c r="AJ180" s="194"/>
      <c r="AK180" s="194"/>
      <c r="AL180" s="194"/>
      <c r="AM180" s="194"/>
      <c r="AN180" s="194"/>
      <c r="AO180" s="194"/>
      <c r="AP180" s="194"/>
      <c r="AQ180" s="194"/>
      <c r="AR180" s="194"/>
      <c r="AS180" s="194"/>
      <c r="AT180" s="194"/>
      <c r="AU180" s="194"/>
      <c r="AV180" s="194"/>
      <c r="AW180" s="194"/>
      <c r="AX180" s="194"/>
      <c r="AY180" s="194"/>
      <c r="AZ180" s="194"/>
      <c r="BA180" s="194"/>
      <c r="BB180" s="194"/>
    </row>
    <row r="181" spans="2:54" x14ac:dyDescent="0.25">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c r="AC181" s="194"/>
      <c r="AD181" s="194"/>
      <c r="AE181" s="194"/>
      <c r="AF181" s="194"/>
      <c r="AG181" s="194"/>
      <c r="AH181" s="194"/>
      <c r="AI181" s="194"/>
      <c r="AJ181" s="194"/>
      <c r="AK181" s="194"/>
      <c r="AL181" s="194"/>
      <c r="AM181" s="194"/>
      <c r="AN181" s="194"/>
      <c r="AO181" s="194"/>
      <c r="AP181" s="194"/>
      <c r="AQ181" s="194"/>
      <c r="AR181" s="194"/>
      <c r="AS181" s="194"/>
      <c r="AT181" s="194"/>
      <c r="AU181" s="194"/>
      <c r="AV181" s="194"/>
      <c r="AW181" s="194"/>
      <c r="AX181" s="194"/>
      <c r="AY181" s="194"/>
      <c r="AZ181" s="194"/>
      <c r="BA181" s="194"/>
      <c r="BB181" s="194"/>
    </row>
    <row r="182" spans="2:54" x14ac:dyDescent="0.25">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c r="AC182" s="194"/>
      <c r="AD182" s="194"/>
      <c r="AE182" s="194"/>
      <c r="AF182" s="194"/>
      <c r="AG182" s="194"/>
      <c r="AH182" s="194"/>
      <c r="AI182" s="194"/>
      <c r="AJ182" s="194"/>
      <c r="AK182" s="194"/>
      <c r="AL182" s="194"/>
      <c r="AM182" s="194"/>
      <c r="AN182" s="194"/>
      <c r="AO182" s="194"/>
      <c r="AP182" s="194"/>
      <c r="AQ182" s="194"/>
      <c r="AR182" s="194"/>
      <c r="AS182" s="194"/>
      <c r="AT182" s="194"/>
      <c r="AU182" s="194"/>
      <c r="AV182" s="194"/>
      <c r="AW182" s="194"/>
      <c r="AX182" s="194"/>
      <c r="AY182" s="194"/>
      <c r="AZ182" s="194"/>
      <c r="BA182" s="194"/>
      <c r="BB182" s="194"/>
    </row>
    <row r="183" spans="2:54" x14ac:dyDescent="0.25">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c r="AC183" s="194"/>
      <c r="AD183" s="194"/>
      <c r="AE183" s="194"/>
      <c r="AF183" s="194"/>
      <c r="AG183" s="194"/>
      <c r="AH183" s="194"/>
      <c r="AI183" s="194"/>
      <c r="AJ183" s="194"/>
      <c r="AK183" s="194"/>
      <c r="AL183" s="194"/>
      <c r="AM183" s="194"/>
      <c r="AN183" s="194"/>
      <c r="AO183" s="194"/>
      <c r="AP183" s="194"/>
      <c r="AQ183" s="194"/>
      <c r="AR183" s="194"/>
      <c r="AS183" s="194"/>
      <c r="AT183" s="194"/>
      <c r="AU183" s="194"/>
      <c r="AV183" s="194"/>
      <c r="AW183" s="194"/>
      <c r="AX183" s="194"/>
      <c r="AY183" s="194"/>
      <c r="AZ183" s="194"/>
      <c r="BA183" s="194"/>
      <c r="BB183" s="194"/>
    </row>
    <row r="184" spans="2:54" x14ac:dyDescent="0.25">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c r="AC184" s="194"/>
      <c r="AD184" s="194"/>
      <c r="AE184" s="194"/>
      <c r="AF184" s="194"/>
      <c r="AG184" s="194"/>
      <c r="AH184" s="194"/>
      <c r="AI184" s="194"/>
      <c r="AJ184" s="194"/>
      <c r="AK184" s="194"/>
      <c r="AL184" s="194"/>
      <c r="AM184" s="194"/>
      <c r="AN184" s="194"/>
      <c r="AO184" s="194"/>
      <c r="AP184" s="194"/>
      <c r="AQ184" s="194"/>
      <c r="AR184" s="194"/>
      <c r="AS184" s="194"/>
      <c r="AT184" s="194"/>
      <c r="AU184" s="194"/>
      <c r="AV184" s="194"/>
      <c r="AW184" s="194"/>
      <c r="AX184" s="194"/>
      <c r="AY184" s="194"/>
      <c r="AZ184" s="194"/>
      <c r="BA184" s="194"/>
      <c r="BB184" s="194"/>
    </row>
    <row r="185" spans="2:54" x14ac:dyDescent="0.25">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c r="AC185" s="194"/>
      <c r="AD185" s="194"/>
      <c r="AE185" s="194"/>
      <c r="AF185" s="194"/>
      <c r="AG185" s="194"/>
      <c r="AH185" s="194"/>
      <c r="AI185" s="194"/>
      <c r="AJ185" s="194"/>
      <c r="AK185" s="194"/>
      <c r="AL185" s="194"/>
      <c r="AM185" s="194"/>
      <c r="AN185" s="194"/>
      <c r="AO185" s="194"/>
      <c r="AP185" s="194"/>
      <c r="AQ185" s="194"/>
      <c r="AR185" s="194"/>
      <c r="AS185" s="194"/>
      <c r="AT185" s="194"/>
      <c r="AU185" s="194"/>
      <c r="AV185" s="194"/>
      <c r="AW185" s="194"/>
      <c r="AX185" s="194"/>
      <c r="AY185" s="194"/>
      <c r="AZ185" s="194"/>
      <c r="BA185" s="194"/>
      <c r="BB185" s="194"/>
    </row>
    <row r="186" spans="2:54" x14ac:dyDescent="0.25">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c r="AC186" s="194"/>
      <c r="AD186" s="194"/>
      <c r="AE186" s="194"/>
      <c r="AF186" s="194"/>
      <c r="AG186" s="194"/>
      <c r="AH186" s="194"/>
      <c r="AI186" s="194"/>
      <c r="AJ186" s="194"/>
      <c r="AK186" s="194"/>
      <c r="AL186" s="194"/>
      <c r="AM186" s="194"/>
      <c r="AN186" s="194"/>
      <c r="AO186" s="194"/>
      <c r="AP186" s="194"/>
      <c r="AQ186" s="194"/>
      <c r="AR186" s="194"/>
      <c r="AS186" s="194"/>
      <c r="AT186" s="194"/>
      <c r="AU186" s="194"/>
      <c r="AV186" s="194"/>
      <c r="AW186" s="194"/>
      <c r="AX186" s="194"/>
      <c r="AY186" s="194"/>
      <c r="AZ186" s="194"/>
      <c r="BA186" s="194"/>
      <c r="BB186" s="194"/>
    </row>
    <row r="187" spans="2:54" x14ac:dyDescent="0.25">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c r="AC187" s="194"/>
      <c r="AD187" s="194"/>
      <c r="AE187" s="194"/>
      <c r="AF187" s="194"/>
      <c r="AG187" s="194"/>
      <c r="AH187" s="194"/>
      <c r="AI187" s="194"/>
      <c r="AJ187" s="194"/>
      <c r="AK187" s="194"/>
      <c r="AL187" s="194"/>
      <c r="AM187" s="194"/>
      <c r="AN187" s="194"/>
      <c r="AO187" s="194"/>
      <c r="AP187" s="194"/>
      <c r="AQ187" s="194"/>
      <c r="AR187" s="194"/>
      <c r="AS187" s="194"/>
      <c r="AT187" s="194"/>
      <c r="AU187" s="194"/>
      <c r="AV187" s="194"/>
      <c r="AW187" s="194"/>
      <c r="AX187" s="194"/>
      <c r="AY187" s="194"/>
      <c r="AZ187" s="194"/>
      <c r="BA187" s="194"/>
      <c r="BB187" s="194"/>
    </row>
    <row r="188" spans="2:54" x14ac:dyDescent="0.25">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c r="AC188" s="194"/>
      <c r="AD188" s="194"/>
      <c r="AE188" s="194"/>
      <c r="AF188" s="194"/>
      <c r="AG188" s="194"/>
      <c r="AH188" s="194"/>
      <c r="AI188" s="194"/>
      <c r="AJ188" s="194"/>
      <c r="AK188" s="194"/>
      <c r="AL188" s="194"/>
      <c r="AM188" s="194"/>
      <c r="AN188" s="194"/>
      <c r="AO188" s="194"/>
      <c r="AP188" s="194"/>
      <c r="AQ188" s="194"/>
      <c r="AR188" s="194"/>
      <c r="AS188" s="194"/>
      <c r="AT188" s="194"/>
      <c r="AU188" s="194"/>
      <c r="AV188" s="194"/>
      <c r="AW188" s="194"/>
      <c r="AX188" s="194"/>
      <c r="AY188" s="194"/>
      <c r="AZ188" s="194"/>
      <c r="BA188" s="194"/>
      <c r="BB188" s="194"/>
    </row>
    <row r="189" spans="2:54" x14ac:dyDescent="0.25">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c r="AC189" s="194"/>
      <c r="AD189" s="194"/>
      <c r="AE189" s="194"/>
      <c r="AF189" s="194"/>
      <c r="AG189" s="194"/>
      <c r="AH189" s="194"/>
      <c r="AI189" s="194"/>
      <c r="AJ189" s="194"/>
      <c r="AK189" s="194"/>
      <c r="AL189" s="194"/>
      <c r="AM189" s="194"/>
      <c r="AN189" s="194"/>
      <c r="AO189" s="194"/>
      <c r="AP189" s="194"/>
      <c r="AQ189" s="194"/>
      <c r="AR189" s="194"/>
      <c r="AS189" s="194"/>
      <c r="AT189" s="194"/>
      <c r="AU189" s="194"/>
      <c r="AV189" s="194"/>
      <c r="AW189" s="194"/>
      <c r="AX189" s="194"/>
      <c r="AY189" s="194"/>
      <c r="AZ189" s="194"/>
      <c r="BA189" s="194"/>
      <c r="BB189" s="194"/>
    </row>
    <row r="190" spans="2:54" x14ac:dyDescent="0.25">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c r="AC190" s="194"/>
      <c r="AD190" s="194"/>
      <c r="AE190" s="194"/>
      <c r="AF190" s="194"/>
      <c r="AG190" s="194"/>
      <c r="AH190" s="194"/>
      <c r="AI190" s="194"/>
      <c r="AJ190" s="194"/>
      <c r="AK190" s="194"/>
      <c r="AL190" s="194"/>
      <c r="AM190" s="194"/>
      <c r="AN190" s="194"/>
      <c r="AO190" s="194"/>
      <c r="AP190" s="194"/>
      <c r="AQ190" s="194"/>
      <c r="AR190" s="194"/>
      <c r="AS190" s="194"/>
      <c r="AT190" s="194"/>
      <c r="AU190" s="194"/>
      <c r="AV190" s="194"/>
      <c r="AW190" s="194"/>
      <c r="AX190" s="194"/>
      <c r="AY190" s="194"/>
      <c r="AZ190" s="194"/>
      <c r="BA190" s="194"/>
      <c r="BB190" s="194"/>
    </row>
    <row r="191" spans="2:54" x14ac:dyDescent="0.25">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c r="AC191" s="194"/>
      <c r="AD191" s="194"/>
      <c r="AE191" s="194"/>
      <c r="AF191" s="194"/>
      <c r="AG191" s="194"/>
      <c r="AH191" s="194"/>
      <c r="AI191" s="194"/>
      <c r="AJ191" s="194"/>
      <c r="AK191" s="194"/>
      <c r="AL191" s="194"/>
      <c r="AM191" s="194"/>
      <c r="AN191" s="194"/>
      <c r="AO191" s="194"/>
      <c r="AP191" s="194"/>
      <c r="AQ191" s="194"/>
      <c r="AR191" s="194"/>
      <c r="AS191" s="194"/>
      <c r="AT191" s="194"/>
      <c r="AU191" s="194"/>
      <c r="AV191" s="194"/>
      <c r="AW191" s="194"/>
      <c r="AX191" s="194"/>
      <c r="AY191" s="194"/>
      <c r="AZ191" s="194"/>
      <c r="BA191" s="194"/>
      <c r="BB191" s="194"/>
    </row>
    <row r="192" spans="2:54" x14ac:dyDescent="0.25">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c r="AC192" s="194"/>
      <c r="AD192" s="194"/>
      <c r="AE192" s="194"/>
      <c r="AF192" s="194"/>
      <c r="AG192" s="194"/>
      <c r="AH192" s="194"/>
      <c r="AI192" s="194"/>
      <c r="AJ192" s="194"/>
      <c r="AK192" s="194"/>
      <c r="AL192" s="194"/>
      <c r="AM192" s="194"/>
      <c r="AN192" s="194"/>
      <c r="AO192" s="194"/>
      <c r="AP192" s="194"/>
      <c r="AQ192" s="194"/>
      <c r="AR192" s="194"/>
      <c r="AS192" s="194"/>
      <c r="AT192" s="194"/>
      <c r="AU192" s="194"/>
      <c r="AV192" s="194"/>
      <c r="AW192" s="194"/>
      <c r="AX192" s="194"/>
      <c r="AY192" s="194"/>
      <c r="AZ192" s="194"/>
      <c r="BA192" s="194"/>
      <c r="BB192" s="194"/>
    </row>
    <row r="193" spans="2:54" x14ac:dyDescent="0.25">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c r="AC193" s="194"/>
      <c r="AD193" s="194"/>
      <c r="AE193" s="194"/>
      <c r="AF193" s="194"/>
      <c r="AG193" s="194"/>
      <c r="AH193" s="194"/>
      <c r="AI193" s="194"/>
      <c r="AJ193" s="194"/>
      <c r="AK193" s="194"/>
      <c r="AL193" s="194"/>
      <c r="AM193" s="194"/>
      <c r="AN193" s="194"/>
      <c r="AO193" s="194"/>
      <c r="AP193" s="194"/>
      <c r="AQ193" s="194"/>
      <c r="AR193" s="194"/>
      <c r="AS193" s="194"/>
      <c r="AT193" s="194"/>
      <c r="AU193" s="194"/>
      <c r="AV193" s="194"/>
      <c r="AW193" s="194"/>
      <c r="AX193" s="194"/>
      <c r="AY193" s="194"/>
      <c r="AZ193" s="194"/>
      <c r="BA193" s="194"/>
      <c r="BB193" s="194"/>
    </row>
    <row r="194" spans="2:54" x14ac:dyDescent="0.25">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c r="AC194" s="194"/>
      <c r="AD194" s="194"/>
      <c r="AE194" s="194"/>
      <c r="AF194" s="194"/>
      <c r="AG194" s="194"/>
      <c r="AH194" s="194"/>
      <c r="AI194" s="194"/>
      <c r="AJ194" s="194"/>
      <c r="AK194" s="194"/>
      <c r="AL194" s="194"/>
      <c r="AM194" s="194"/>
      <c r="AN194" s="194"/>
      <c r="AO194" s="194"/>
      <c r="AP194" s="194"/>
      <c r="AQ194" s="194"/>
      <c r="AR194" s="194"/>
      <c r="AS194" s="194"/>
      <c r="AT194" s="194"/>
      <c r="AU194" s="194"/>
      <c r="AV194" s="194"/>
      <c r="AW194" s="194"/>
      <c r="AX194" s="194"/>
      <c r="AY194" s="194"/>
      <c r="AZ194" s="194"/>
      <c r="BA194" s="194"/>
      <c r="BB194" s="194"/>
    </row>
    <row r="195" spans="2:54" x14ac:dyDescent="0.25">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c r="AC195" s="194"/>
      <c r="AD195" s="194"/>
      <c r="AE195" s="194"/>
      <c r="AF195" s="194"/>
      <c r="AG195" s="194"/>
      <c r="AH195" s="194"/>
      <c r="AI195" s="194"/>
      <c r="AJ195" s="194"/>
      <c r="AK195" s="194"/>
      <c r="AL195" s="194"/>
      <c r="AM195" s="194"/>
      <c r="AN195" s="194"/>
      <c r="AO195" s="194"/>
      <c r="AP195" s="194"/>
      <c r="AQ195" s="194"/>
      <c r="AR195" s="194"/>
      <c r="AS195" s="194"/>
      <c r="AT195" s="194"/>
      <c r="AU195" s="194"/>
      <c r="AV195" s="194"/>
      <c r="AW195" s="194"/>
      <c r="AX195" s="194"/>
      <c r="AY195" s="194"/>
      <c r="AZ195" s="194"/>
      <c r="BA195" s="194"/>
      <c r="BB195" s="194"/>
    </row>
    <row r="196" spans="2:54" x14ac:dyDescent="0.25">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c r="AC196" s="194"/>
      <c r="AD196" s="194"/>
      <c r="AE196" s="194"/>
      <c r="AF196" s="194"/>
      <c r="AG196" s="194"/>
      <c r="AH196" s="194"/>
      <c r="AI196" s="194"/>
      <c r="AJ196" s="194"/>
      <c r="AK196" s="194"/>
      <c r="AL196" s="194"/>
      <c r="AM196" s="194"/>
      <c r="AN196" s="194"/>
      <c r="AO196" s="194"/>
      <c r="AP196" s="194"/>
      <c r="AQ196" s="194"/>
      <c r="AR196" s="194"/>
      <c r="AS196" s="194"/>
      <c r="AT196" s="194"/>
      <c r="AU196" s="194"/>
      <c r="AV196" s="194"/>
      <c r="AW196" s="194"/>
      <c r="AX196" s="194"/>
      <c r="AY196" s="194"/>
      <c r="AZ196" s="194"/>
      <c r="BA196" s="194"/>
      <c r="BB196" s="194"/>
    </row>
    <row r="197" spans="2:54" x14ac:dyDescent="0.25">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c r="AC197" s="194"/>
      <c r="AD197" s="194"/>
      <c r="AE197" s="194"/>
      <c r="AF197" s="194"/>
      <c r="AG197" s="194"/>
      <c r="AH197" s="194"/>
      <c r="AI197" s="194"/>
      <c r="AJ197" s="194"/>
      <c r="AK197" s="194"/>
      <c r="AL197" s="194"/>
      <c r="AM197" s="194"/>
      <c r="AN197" s="194"/>
      <c r="AO197" s="194"/>
      <c r="AP197" s="194"/>
      <c r="AQ197" s="194"/>
      <c r="AR197" s="194"/>
      <c r="AS197" s="194"/>
      <c r="AT197" s="194"/>
      <c r="AU197" s="194"/>
      <c r="AV197" s="194"/>
      <c r="AW197" s="194"/>
      <c r="AX197" s="194"/>
      <c r="AY197" s="194"/>
      <c r="AZ197" s="194"/>
      <c r="BA197" s="194"/>
      <c r="BB197" s="194"/>
    </row>
    <row r="198" spans="2:54" x14ac:dyDescent="0.25">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c r="AC198" s="194"/>
      <c r="AD198" s="194"/>
      <c r="AE198" s="194"/>
      <c r="AF198" s="194"/>
      <c r="AG198" s="194"/>
      <c r="AH198" s="194"/>
      <c r="AI198" s="194"/>
      <c r="AJ198" s="194"/>
      <c r="AK198" s="194"/>
      <c r="AL198" s="194"/>
      <c r="AM198" s="194"/>
      <c r="AN198" s="194"/>
      <c r="AO198" s="194"/>
      <c r="AP198" s="194"/>
      <c r="AQ198" s="194"/>
      <c r="AR198" s="194"/>
      <c r="AS198" s="194"/>
      <c r="AT198" s="194"/>
      <c r="AU198" s="194"/>
      <c r="AV198" s="194"/>
      <c r="AW198" s="194"/>
      <c r="AX198" s="194"/>
      <c r="AY198" s="194"/>
      <c r="AZ198" s="194"/>
      <c r="BA198" s="194"/>
      <c r="BB198" s="194"/>
    </row>
    <row r="199" spans="2:54" x14ac:dyDescent="0.25">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c r="AC199" s="194"/>
      <c r="AD199" s="194"/>
      <c r="AE199" s="194"/>
      <c r="AF199" s="194"/>
      <c r="AG199" s="194"/>
      <c r="AH199" s="194"/>
      <c r="AI199" s="194"/>
      <c r="AJ199" s="194"/>
      <c r="AK199" s="194"/>
      <c r="AL199" s="194"/>
      <c r="AM199" s="194"/>
      <c r="AN199" s="194"/>
      <c r="AO199" s="194"/>
      <c r="AP199" s="194"/>
      <c r="AQ199" s="194"/>
      <c r="AR199" s="194"/>
      <c r="AS199" s="194"/>
      <c r="AT199" s="194"/>
      <c r="AU199" s="194"/>
      <c r="AV199" s="194"/>
      <c r="AW199" s="194"/>
      <c r="AX199" s="194"/>
      <c r="AY199" s="194"/>
      <c r="AZ199" s="194"/>
      <c r="BA199" s="194"/>
      <c r="BB199" s="194"/>
    </row>
    <row r="200" spans="2:54" x14ac:dyDescent="0.25">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c r="AC200" s="194"/>
      <c r="AD200" s="194"/>
      <c r="AE200" s="194"/>
      <c r="AF200" s="194"/>
      <c r="AG200" s="194"/>
      <c r="AH200" s="194"/>
      <c r="AI200" s="194"/>
      <c r="AJ200" s="194"/>
      <c r="AK200" s="194"/>
      <c r="AL200" s="194"/>
      <c r="AM200" s="194"/>
      <c r="AN200" s="194"/>
      <c r="AO200" s="194"/>
      <c r="AP200" s="194"/>
      <c r="AQ200" s="194"/>
      <c r="AR200" s="194"/>
      <c r="AS200" s="194"/>
      <c r="AT200" s="194"/>
      <c r="AU200" s="194"/>
      <c r="AV200" s="194"/>
      <c r="AW200" s="194"/>
      <c r="AX200" s="194"/>
      <c r="AY200" s="194"/>
      <c r="AZ200" s="194"/>
      <c r="BA200" s="194"/>
      <c r="BB200" s="194"/>
    </row>
    <row r="201" spans="2:54" x14ac:dyDescent="0.25">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c r="AC201" s="194"/>
      <c r="AD201" s="194"/>
      <c r="AE201" s="194"/>
      <c r="AF201" s="194"/>
      <c r="AG201" s="194"/>
      <c r="AH201" s="194"/>
      <c r="AI201" s="194"/>
      <c r="AJ201" s="194"/>
      <c r="AK201" s="194"/>
      <c r="AL201" s="194"/>
      <c r="AM201" s="194"/>
      <c r="AN201" s="194"/>
      <c r="AO201" s="194"/>
      <c r="AP201" s="194"/>
      <c r="AQ201" s="194"/>
      <c r="AR201" s="194"/>
      <c r="AS201" s="194"/>
      <c r="AT201" s="194"/>
      <c r="AU201" s="194"/>
      <c r="AV201" s="194"/>
      <c r="AW201" s="194"/>
      <c r="AX201" s="194"/>
      <c r="AY201" s="194"/>
      <c r="AZ201" s="194"/>
      <c r="BA201" s="194"/>
      <c r="BB201" s="194"/>
    </row>
    <row r="202" spans="2:54" x14ac:dyDescent="0.25">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c r="AC202" s="194"/>
      <c r="AD202" s="194"/>
      <c r="AE202" s="194"/>
      <c r="AF202" s="194"/>
      <c r="AG202" s="194"/>
      <c r="AH202" s="194"/>
      <c r="AI202" s="194"/>
      <c r="AJ202" s="194"/>
      <c r="AK202" s="194"/>
      <c r="AL202" s="194"/>
      <c r="AM202" s="194"/>
      <c r="AN202" s="194"/>
      <c r="AO202" s="194"/>
      <c r="AP202" s="194"/>
      <c r="AQ202" s="194"/>
      <c r="AR202" s="194"/>
      <c r="AS202" s="194"/>
      <c r="AT202" s="194"/>
      <c r="AU202" s="194"/>
      <c r="AV202" s="194"/>
      <c r="AW202" s="194"/>
      <c r="AX202" s="194"/>
      <c r="AY202" s="194"/>
      <c r="AZ202" s="194"/>
      <c r="BA202" s="194"/>
      <c r="BB202" s="194"/>
    </row>
    <row r="203" spans="2:54" x14ac:dyDescent="0.25">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c r="AC203" s="194"/>
      <c r="AD203" s="194"/>
      <c r="AE203" s="194"/>
      <c r="AF203" s="194"/>
      <c r="AG203" s="194"/>
      <c r="AH203" s="194"/>
      <c r="AI203" s="194"/>
      <c r="AJ203" s="194"/>
      <c r="AK203" s="194"/>
      <c r="AL203" s="194"/>
      <c r="AM203" s="194"/>
      <c r="AN203" s="194"/>
      <c r="AO203" s="194"/>
      <c r="AP203" s="194"/>
      <c r="AQ203" s="194"/>
      <c r="AR203" s="194"/>
      <c r="AS203" s="194"/>
      <c r="AT203" s="194"/>
      <c r="AU203" s="194"/>
      <c r="AV203" s="194"/>
      <c r="AW203" s="194"/>
      <c r="AX203" s="194"/>
      <c r="AY203" s="194"/>
      <c r="AZ203" s="194"/>
      <c r="BA203" s="194"/>
      <c r="BB203" s="194"/>
    </row>
    <row r="204" spans="2:54" x14ac:dyDescent="0.25">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c r="AC204" s="194"/>
      <c r="AD204" s="194"/>
      <c r="AE204" s="194"/>
      <c r="AF204" s="194"/>
      <c r="AG204" s="194"/>
      <c r="AH204" s="194"/>
      <c r="AI204" s="194"/>
      <c r="AJ204" s="194"/>
      <c r="AK204" s="194"/>
      <c r="AL204" s="194"/>
      <c r="AM204" s="194"/>
      <c r="AN204" s="194"/>
      <c r="AO204" s="194"/>
      <c r="AP204" s="194"/>
      <c r="AQ204" s="194"/>
      <c r="AR204" s="194"/>
      <c r="AS204" s="194"/>
      <c r="AT204" s="194"/>
      <c r="AU204" s="194"/>
      <c r="AV204" s="194"/>
      <c r="AW204" s="194"/>
      <c r="AX204" s="194"/>
      <c r="AY204" s="194"/>
      <c r="AZ204" s="194"/>
      <c r="BA204" s="194"/>
      <c r="BB204" s="194"/>
    </row>
    <row r="205" spans="2:54" x14ac:dyDescent="0.25">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c r="AC205" s="194"/>
      <c r="AD205" s="194"/>
      <c r="AE205" s="194"/>
      <c r="AF205" s="194"/>
      <c r="AG205" s="194"/>
      <c r="AH205" s="194"/>
      <c r="AI205" s="194"/>
      <c r="AJ205" s="194"/>
      <c r="AK205" s="194"/>
      <c r="AL205" s="194"/>
      <c r="AM205" s="194"/>
      <c r="AN205" s="194"/>
      <c r="AO205" s="194"/>
      <c r="AP205" s="194"/>
      <c r="AQ205" s="194"/>
      <c r="AR205" s="194"/>
      <c r="AS205" s="194"/>
      <c r="AT205" s="194"/>
      <c r="AU205" s="194"/>
      <c r="AV205" s="194"/>
      <c r="AW205" s="194"/>
      <c r="AX205" s="194"/>
      <c r="AY205" s="194"/>
      <c r="AZ205" s="194"/>
      <c r="BA205" s="194"/>
      <c r="BB205" s="194"/>
    </row>
    <row r="206" spans="2:54" x14ac:dyDescent="0.25">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c r="AC206" s="194"/>
      <c r="AD206" s="194"/>
      <c r="AE206" s="194"/>
      <c r="AF206" s="194"/>
      <c r="AG206" s="194"/>
      <c r="AH206" s="194"/>
      <c r="AI206" s="194"/>
      <c r="AJ206" s="194"/>
      <c r="AK206" s="194"/>
      <c r="AL206" s="194"/>
      <c r="AM206" s="194"/>
      <c r="AN206" s="194"/>
      <c r="AO206" s="194"/>
      <c r="AP206" s="194"/>
      <c r="AQ206" s="194"/>
      <c r="AR206" s="194"/>
      <c r="AS206" s="194"/>
      <c r="AT206" s="194"/>
      <c r="AU206" s="194"/>
      <c r="AV206" s="194"/>
      <c r="AW206" s="194"/>
      <c r="AX206" s="194"/>
      <c r="AY206" s="194"/>
      <c r="AZ206" s="194"/>
      <c r="BA206" s="194"/>
      <c r="BB206" s="194"/>
    </row>
    <row r="207" spans="2:54" x14ac:dyDescent="0.25">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c r="AC207" s="194"/>
      <c r="AD207" s="194"/>
      <c r="AE207" s="194"/>
      <c r="AF207" s="194"/>
      <c r="AG207" s="194"/>
      <c r="AH207" s="194"/>
      <c r="AI207" s="194"/>
      <c r="AJ207" s="194"/>
      <c r="AK207" s="194"/>
      <c r="AL207" s="194"/>
      <c r="AM207" s="194"/>
      <c r="AN207" s="194"/>
      <c r="AO207" s="194"/>
      <c r="AP207" s="194"/>
      <c r="AQ207" s="194"/>
      <c r="AR207" s="194"/>
      <c r="AS207" s="194"/>
      <c r="AT207" s="194"/>
      <c r="AU207" s="194"/>
      <c r="AV207" s="194"/>
      <c r="AW207" s="194"/>
      <c r="AX207" s="194"/>
      <c r="AY207" s="194"/>
      <c r="AZ207" s="194"/>
      <c r="BA207" s="194"/>
      <c r="BB207" s="194"/>
    </row>
    <row r="208" spans="2:54" x14ac:dyDescent="0.25">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c r="AC208" s="194"/>
      <c r="AD208" s="194"/>
      <c r="AE208" s="194"/>
      <c r="AF208" s="194"/>
      <c r="AG208" s="194"/>
      <c r="AH208" s="194"/>
      <c r="AI208" s="194"/>
      <c r="AJ208" s="194"/>
      <c r="AK208" s="194"/>
      <c r="AL208" s="194"/>
      <c r="AM208" s="194"/>
      <c r="AN208" s="194"/>
      <c r="AO208" s="194"/>
      <c r="AP208" s="194"/>
      <c r="AQ208" s="194"/>
      <c r="AR208" s="194"/>
      <c r="AS208" s="194"/>
      <c r="AT208" s="194"/>
      <c r="AU208" s="194"/>
      <c r="AV208" s="194"/>
      <c r="AW208" s="194"/>
      <c r="AX208" s="194"/>
      <c r="AY208" s="194"/>
      <c r="AZ208" s="194"/>
      <c r="BA208" s="194"/>
      <c r="BB208" s="194"/>
    </row>
    <row r="209" spans="2:54" x14ac:dyDescent="0.25">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c r="AC209" s="194"/>
      <c r="AD209" s="194"/>
      <c r="AE209" s="194"/>
      <c r="AF209" s="194"/>
      <c r="AG209" s="194"/>
      <c r="AH209" s="194"/>
      <c r="AI209" s="194"/>
      <c r="AJ209" s="194"/>
      <c r="AK209" s="194"/>
      <c r="AL209" s="194"/>
      <c r="AM209" s="194"/>
      <c r="AN209" s="194"/>
      <c r="AO209" s="194"/>
      <c r="AP209" s="194"/>
      <c r="AQ209" s="194"/>
      <c r="AR209" s="194"/>
      <c r="AS209" s="194"/>
      <c r="AT209" s="194"/>
      <c r="AU209" s="194"/>
      <c r="AV209" s="194"/>
      <c r="AW209" s="194"/>
      <c r="AX209" s="194"/>
      <c r="AY209" s="194"/>
      <c r="AZ209" s="194"/>
      <c r="BA209" s="194"/>
      <c r="BB209" s="194"/>
    </row>
    <row r="210" spans="2:54" x14ac:dyDescent="0.25">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c r="AC210" s="194"/>
      <c r="AD210" s="194"/>
      <c r="AE210" s="194"/>
      <c r="AF210" s="194"/>
      <c r="AG210" s="194"/>
      <c r="AH210" s="194"/>
      <c r="AI210" s="194"/>
      <c r="AJ210" s="194"/>
      <c r="AK210" s="194"/>
      <c r="AL210" s="194"/>
      <c r="AM210" s="194"/>
      <c r="AN210" s="194"/>
      <c r="AO210" s="194"/>
      <c r="AP210" s="194"/>
      <c r="AQ210" s="194"/>
      <c r="AR210" s="194"/>
      <c r="AS210" s="194"/>
      <c r="AT210" s="194"/>
      <c r="AU210" s="194"/>
      <c r="AV210" s="194"/>
      <c r="AW210" s="194"/>
      <c r="AX210" s="194"/>
      <c r="AY210" s="194"/>
      <c r="AZ210" s="194"/>
      <c r="BA210" s="194"/>
      <c r="BB210" s="194"/>
    </row>
    <row r="211" spans="2:54" x14ac:dyDescent="0.25">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c r="AC211" s="194"/>
      <c r="AD211" s="194"/>
      <c r="AE211" s="194"/>
      <c r="AF211" s="194"/>
      <c r="AG211" s="194"/>
      <c r="AH211" s="194"/>
      <c r="AI211" s="194"/>
      <c r="AJ211" s="194"/>
      <c r="AK211" s="194"/>
      <c r="AL211" s="194"/>
      <c r="AM211" s="194"/>
      <c r="AN211" s="194"/>
      <c r="AO211" s="194"/>
      <c r="AP211" s="194"/>
      <c r="AQ211" s="194"/>
      <c r="AR211" s="194"/>
      <c r="AS211" s="194"/>
      <c r="AT211" s="194"/>
      <c r="AU211" s="194"/>
      <c r="AV211" s="194"/>
      <c r="AW211" s="194"/>
      <c r="AX211" s="194"/>
      <c r="AY211" s="194"/>
      <c r="AZ211" s="194"/>
      <c r="BA211" s="194"/>
      <c r="BB211" s="194"/>
    </row>
    <row r="212" spans="2:54" x14ac:dyDescent="0.25">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c r="AC212" s="194"/>
      <c r="AD212" s="194"/>
      <c r="AE212" s="194"/>
      <c r="AF212" s="194"/>
      <c r="AG212" s="194"/>
      <c r="AH212" s="194"/>
      <c r="AI212" s="194"/>
      <c r="AJ212" s="194"/>
      <c r="AK212" s="194"/>
      <c r="AL212" s="194"/>
      <c r="AM212" s="194"/>
      <c r="AN212" s="194"/>
      <c r="AO212" s="194"/>
      <c r="AP212" s="194"/>
      <c r="AQ212" s="194"/>
      <c r="AR212" s="194"/>
      <c r="AS212" s="194"/>
      <c r="AT212" s="194"/>
      <c r="AU212" s="194"/>
      <c r="AV212" s="194"/>
      <c r="AW212" s="194"/>
      <c r="AX212" s="194"/>
      <c r="AY212" s="194"/>
      <c r="AZ212" s="194"/>
      <c r="BA212" s="194"/>
      <c r="BB212" s="194"/>
    </row>
    <row r="213" spans="2:54" x14ac:dyDescent="0.25">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c r="AC213" s="194"/>
      <c r="AD213" s="194"/>
      <c r="AE213" s="194"/>
      <c r="AF213" s="194"/>
      <c r="AG213" s="194"/>
      <c r="AH213" s="194"/>
      <c r="AI213" s="194"/>
      <c r="AJ213" s="194"/>
      <c r="AK213" s="194"/>
      <c r="AL213" s="194"/>
      <c r="AM213" s="194"/>
      <c r="AN213" s="194"/>
      <c r="AO213" s="194"/>
      <c r="AP213" s="194"/>
      <c r="AQ213" s="194"/>
      <c r="AR213" s="194"/>
      <c r="AS213" s="194"/>
      <c r="AT213" s="194"/>
      <c r="AU213" s="194"/>
      <c r="AV213" s="194"/>
      <c r="AW213" s="194"/>
      <c r="AX213" s="194"/>
      <c r="AY213" s="194"/>
      <c r="AZ213" s="194"/>
      <c r="BA213" s="194"/>
      <c r="BB213" s="194"/>
    </row>
    <row r="214" spans="2:54" x14ac:dyDescent="0.25">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c r="AC214" s="194"/>
      <c r="AD214" s="194"/>
      <c r="AE214" s="194"/>
      <c r="AF214" s="194"/>
      <c r="AG214" s="194"/>
      <c r="AH214" s="194"/>
      <c r="AI214" s="194"/>
      <c r="AJ214" s="194"/>
      <c r="AK214" s="194"/>
      <c r="AL214" s="194"/>
      <c r="AM214" s="194"/>
      <c r="AN214" s="194"/>
      <c r="AO214" s="194"/>
      <c r="AP214" s="194"/>
      <c r="AQ214" s="194"/>
      <c r="AR214" s="194"/>
      <c r="AS214" s="194"/>
      <c r="AT214" s="194"/>
      <c r="AU214" s="194"/>
      <c r="AV214" s="194"/>
      <c r="AW214" s="194"/>
      <c r="AX214" s="194"/>
      <c r="AY214" s="194"/>
      <c r="AZ214" s="194"/>
      <c r="BA214" s="194"/>
      <c r="BB214" s="194"/>
    </row>
    <row r="215" spans="2:54" x14ac:dyDescent="0.25">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c r="AC215" s="194"/>
      <c r="AD215" s="194"/>
      <c r="AE215" s="194"/>
      <c r="AF215" s="194"/>
      <c r="AG215" s="194"/>
      <c r="AH215" s="194"/>
      <c r="AI215" s="194"/>
      <c r="AJ215" s="194"/>
      <c r="AK215" s="194"/>
      <c r="AL215" s="194"/>
      <c r="AM215" s="194"/>
      <c r="AN215" s="194"/>
      <c r="AO215" s="194"/>
      <c r="AP215" s="194"/>
      <c r="AQ215" s="194"/>
      <c r="AR215" s="194"/>
      <c r="AS215" s="194"/>
      <c r="AT215" s="194"/>
      <c r="AU215" s="194"/>
      <c r="AV215" s="194"/>
      <c r="AW215" s="194"/>
      <c r="AX215" s="194"/>
      <c r="AY215" s="194"/>
      <c r="AZ215" s="194"/>
      <c r="BA215" s="194"/>
      <c r="BB215" s="194"/>
    </row>
    <row r="216" spans="2:54" x14ac:dyDescent="0.25">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c r="AC216" s="194"/>
      <c r="AD216" s="194"/>
      <c r="AE216" s="194"/>
      <c r="AF216" s="194"/>
      <c r="AG216" s="194"/>
      <c r="AH216" s="194"/>
      <c r="AI216" s="194"/>
      <c r="AJ216" s="194"/>
      <c r="AK216" s="194"/>
      <c r="AL216" s="194"/>
      <c r="AM216" s="194"/>
      <c r="AN216" s="194"/>
      <c r="AO216" s="194"/>
      <c r="AP216" s="194"/>
      <c r="AQ216" s="194"/>
      <c r="AR216" s="194"/>
      <c r="AS216" s="194"/>
      <c r="AT216" s="194"/>
      <c r="AU216" s="194"/>
      <c r="AV216" s="194"/>
      <c r="AW216" s="194"/>
      <c r="AX216" s="194"/>
      <c r="AY216" s="194"/>
      <c r="AZ216" s="194"/>
      <c r="BA216" s="194"/>
      <c r="BB216" s="194"/>
    </row>
    <row r="217" spans="2:54" x14ac:dyDescent="0.25">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c r="AC217" s="194"/>
      <c r="AD217" s="194"/>
      <c r="AE217" s="194"/>
      <c r="AF217" s="194"/>
      <c r="AG217" s="194"/>
      <c r="AH217" s="194"/>
      <c r="AI217" s="194"/>
      <c r="AJ217" s="194"/>
      <c r="AK217" s="194"/>
      <c r="AL217" s="194"/>
      <c r="AM217" s="194"/>
      <c r="AN217" s="194"/>
      <c r="AO217" s="194"/>
      <c r="AP217" s="194"/>
      <c r="AQ217" s="194"/>
      <c r="AR217" s="194"/>
      <c r="AS217" s="194"/>
      <c r="AT217" s="194"/>
      <c r="AU217" s="194"/>
      <c r="AV217" s="194"/>
      <c r="AW217" s="194"/>
      <c r="AX217" s="194"/>
      <c r="AY217" s="194"/>
      <c r="AZ217" s="194"/>
      <c r="BA217" s="194"/>
      <c r="BB217" s="194"/>
    </row>
    <row r="218" spans="2:54" x14ac:dyDescent="0.25">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c r="AC218" s="194"/>
      <c r="AD218" s="194"/>
      <c r="AE218" s="194"/>
      <c r="AF218" s="194"/>
      <c r="AG218" s="194"/>
      <c r="AH218" s="194"/>
      <c r="AI218" s="194"/>
      <c r="AJ218" s="194"/>
      <c r="AK218" s="194"/>
      <c r="AL218" s="194"/>
      <c r="AM218" s="194"/>
      <c r="AN218" s="194"/>
      <c r="AO218" s="194"/>
      <c r="AP218" s="194"/>
      <c r="AQ218" s="194"/>
      <c r="AR218" s="194"/>
      <c r="AS218" s="194"/>
      <c r="AT218" s="194"/>
      <c r="AU218" s="194"/>
      <c r="AV218" s="194"/>
      <c r="AW218" s="194"/>
      <c r="AX218" s="194"/>
      <c r="AY218" s="194"/>
      <c r="AZ218" s="194"/>
      <c r="BA218" s="194"/>
      <c r="BB218" s="194"/>
    </row>
    <row r="219" spans="2:54" x14ac:dyDescent="0.25">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c r="AC219" s="194"/>
      <c r="AD219" s="194"/>
      <c r="AE219" s="194"/>
      <c r="AF219" s="194"/>
      <c r="AG219" s="194"/>
      <c r="AH219" s="194"/>
      <c r="AI219" s="194"/>
      <c r="AJ219" s="194"/>
      <c r="AK219" s="194"/>
      <c r="AL219" s="194"/>
      <c r="AM219" s="194"/>
      <c r="AN219" s="194"/>
      <c r="AO219" s="194"/>
      <c r="AP219" s="194"/>
      <c r="AQ219" s="194"/>
      <c r="AR219" s="194"/>
      <c r="AS219" s="194"/>
      <c r="AT219" s="194"/>
      <c r="AU219" s="194"/>
      <c r="AV219" s="194"/>
      <c r="AW219" s="194"/>
      <c r="AX219" s="194"/>
      <c r="AY219" s="194"/>
      <c r="AZ219" s="194"/>
      <c r="BA219" s="194"/>
      <c r="BB219" s="194"/>
    </row>
    <row r="220" spans="2:54" x14ac:dyDescent="0.25">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c r="AC220" s="194"/>
      <c r="AD220" s="194"/>
      <c r="AE220" s="194"/>
      <c r="AF220" s="194"/>
      <c r="AG220" s="194"/>
      <c r="AH220" s="194"/>
      <c r="AI220" s="194"/>
      <c r="AJ220" s="194"/>
      <c r="AK220" s="194"/>
      <c r="AL220" s="194"/>
      <c r="AM220" s="194"/>
      <c r="AN220" s="194"/>
      <c r="AO220" s="194"/>
      <c r="AP220" s="194"/>
      <c r="AQ220" s="194"/>
      <c r="AR220" s="194"/>
      <c r="AS220" s="194"/>
      <c r="AT220" s="194"/>
      <c r="AU220" s="194"/>
      <c r="AV220" s="194"/>
      <c r="AW220" s="194"/>
      <c r="AX220" s="194"/>
      <c r="AY220" s="194"/>
      <c r="AZ220" s="194"/>
      <c r="BA220" s="194"/>
      <c r="BB220" s="194"/>
    </row>
    <row r="221" spans="2:54" x14ac:dyDescent="0.25">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c r="AC221" s="194"/>
      <c r="AD221" s="194"/>
      <c r="AE221" s="194"/>
      <c r="AF221" s="194"/>
      <c r="AG221" s="194"/>
      <c r="AH221" s="194"/>
      <c r="AI221" s="194"/>
      <c r="AJ221" s="194"/>
      <c r="AK221" s="194"/>
      <c r="AL221" s="194"/>
      <c r="AM221" s="194"/>
      <c r="AN221" s="194"/>
      <c r="AO221" s="194"/>
      <c r="AP221" s="194"/>
      <c r="AQ221" s="194"/>
      <c r="AR221" s="194"/>
      <c r="AS221" s="194"/>
      <c r="AT221" s="194"/>
      <c r="AU221" s="194"/>
      <c r="AV221" s="194"/>
      <c r="AW221" s="194"/>
      <c r="AX221" s="194"/>
      <c r="AY221" s="194"/>
      <c r="AZ221" s="194"/>
      <c r="BA221" s="194"/>
      <c r="BB221" s="194"/>
    </row>
    <row r="222" spans="2:54" x14ac:dyDescent="0.25">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c r="AC222" s="194"/>
      <c r="AD222" s="194"/>
      <c r="AE222" s="194"/>
      <c r="AF222" s="194"/>
      <c r="AG222" s="194"/>
      <c r="AH222" s="194"/>
      <c r="AI222" s="194"/>
      <c r="AJ222" s="194"/>
      <c r="AK222" s="194"/>
      <c r="AL222" s="194"/>
      <c r="AM222" s="194"/>
      <c r="AN222" s="194"/>
      <c r="AO222" s="194"/>
      <c r="AP222" s="194"/>
      <c r="AQ222" s="194"/>
      <c r="AR222" s="194"/>
      <c r="AS222" s="194"/>
      <c r="AT222" s="194"/>
      <c r="AU222" s="194"/>
      <c r="AV222" s="194"/>
      <c r="AW222" s="194"/>
      <c r="AX222" s="194"/>
      <c r="AY222" s="194"/>
      <c r="AZ222" s="194"/>
      <c r="BA222" s="194"/>
      <c r="BB222" s="194"/>
    </row>
    <row r="223" spans="2:54" x14ac:dyDescent="0.25">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c r="AC223" s="194"/>
      <c r="AD223" s="194"/>
      <c r="AE223" s="194"/>
      <c r="AF223" s="194"/>
      <c r="AG223" s="194"/>
      <c r="AH223" s="194"/>
      <c r="AI223" s="194"/>
      <c r="AJ223" s="194"/>
      <c r="AK223" s="194"/>
      <c r="AL223" s="194"/>
      <c r="AM223" s="194"/>
      <c r="AN223" s="194"/>
      <c r="AO223" s="194"/>
      <c r="AP223" s="194"/>
      <c r="AQ223" s="194"/>
      <c r="AR223" s="194"/>
      <c r="AS223" s="194"/>
      <c r="AT223" s="194"/>
      <c r="AU223" s="194"/>
      <c r="AV223" s="194"/>
      <c r="AW223" s="194"/>
      <c r="AX223" s="194"/>
      <c r="AY223" s="194"/>
      <c r="AZ223" s="194"/>
      <c r="BA223" s="194"/>
      <c r="BB223" s="194"/>
    </row>
    <row r="224" spans="2:54" x14ac:dyDescent="0.25">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c r="AC224" s="194"/>
      <c r="AD224" s="194"/>
      <c r="AE224" s="194"/>
      <c r="AF224" s="194"/>
      <c r="AG224" s="194"/>
      <c r="AH224" s="194"/>
      <c r="AI224" s="194"/>
      <c r="AJ224" s="194"/>
      <c r="AK224" s="194"/>
      <c r="AL224" s="194"/>
      <c r="AM224" s="194"/>
      <c r="AN224" s="194"/>
      <c r="AO224" s="194"/>
      <c r="AP224" s="194"/>
      <c r="AQ224" s="194"/>
      <c r="AR224" s="194"/>
      <c r="AS224" s="194"/>
      <c r="AT224" s="194"/>
      <c r="AU224" s="194"/>
      <c r="AV224" s="194"/>
      <c r="AW224" s="194"/>
      <c r="AX224" s="194"/>
      <c r="AY224" s="194"/>
      <c r="AZ224" s="194"/>
      <c r="BA224" s="194"/>
      <c r="BB224" s="194"/>
    </row>
    <row r="225" spans="2:54" x14ac:dyDescent="0.25">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c r="AC225" s="194"/>
      <c r="AD225" s="194"/>
      <c r="AE225" s="194"/>
      <c r="AF225" s="194"/>
      <c r="AG225" s="194"/>
      <c r="AH225" s="194"/>
      <c r="AI225" s="194"/>
      <c r="AJ225" s="194"/>
      <c r="AK225" s="194"/>
      <c r="AL225" s="194"/>
      <c r="AM225" s="194"/>
      <c r="AN225" s="194"/>
      <c r="AO225" s="194"/>
      <c r="AP225" s="194"/>
      <c r="AQ225" s="194"/>
      <c r="AR225" s="194"/>
      <c r="AS225" s="194"/>
      <c r="AT225" s="194"/>
      <c r="AU225" s="194"/>
      <c r="AV225" s="194"/>
      <c r="AW225" s="194"/>
      <c r="AX225" s="194"/>
      <c r="AY225" s="194"/>
      <c r="AZ225" s="194"/>
      <c r="BA225" s="194"/>
      <c r="BB225" s="194"/>
    </row>
    <row r="226" spans="2:54" x14ac:dyDescent="0.25">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c r="AC226" s="194"/>
      <c r="AD226" s="194"/>
      <c r="AE226" s="194"/>
      <c r="AF226" s="194"/>
      <c r="AG226" s="194"/>
      <c r="AH226" s="194"/>
      <c r="AI226" s="194"/>
      <c r="AJ226" s="194"/>
      <c r="AK226" s="194"/>
      <c r="AL226" s="194"/>
      <c r="AM226" s="194"/>
      <c r="AN226" s="194"/>
      <c r="AO226" s="194"/>
      <c r="AP226" s="194"/>
      <c r="AQ226" s="194"/>
      <c r="AR226" s="194"/>
      <c r="AS226" s="194"/>
      <c r="AT226" s="194"/>
      <c r="AU226" s="194"/>
      <c r="AV226" s="194"/>
      <c r="AW226" s="194"/>
      <c r="AX226" s="194"/>
      <c r="AY226" s="194"/>
      <c r="AZ226" s="194"/>
      <c r="BA226" s="194"/>
      <c r="BB226" s="194"/>
    </row>
    <row r="227" spans="2:54" x14ac:dyDescent="0.25">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c r="AC227" s="194"/>
      <c r="AD227" s="194"/>
      <c r="AE227" s="194"/>
      <c r="AF227" s="194"/>
      <c r="AG227" s="194"/>
      <c r="AH227" s="194"/>
      <c r="AI227" s="194"/>
      <c r="AJ227" s="194"/>
      <c r="AK227" s="194"/>
      <c r="AL227" s="194"/>
      <c r="AM227" s="194"/>
      <c r="AN227" s="194"/>
      <c r="AO227" s="194"/>
      <c r="AP227" s="194"/>
      <c r="AQ227" s="194"/>
      <c r="AR227" s="194"/>
      <c r="AS227" s="194"/>
      <c r="AT227" s="194"/>
      <c r="AU227" s="194"/>
      <c r="AV227" s="194"/>
      <c r="AW227" s="194"/>
      <c r="AX227" s="194"/>
      <c r="AY227" s="194"/>
      <c r="AZ227" s="194"/>
      <c r="BA227" s="194"/>
      <c r="BB227" s="194"/>
    </row>
    <row r="228" spans="2:54" x14ac:dyDescent="0.25">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c r="AC228" s="194"/>
      <c r="AD228" s="194"/>
      <c r="AE228" s="194"/>
      <c r="AF228" s="194"/>
      <c r="AG228" s="194"/>
      <c r="AH228" s="194"/>
      <c r="AI228" s="194"/>
      <c r="AJ228" s="194"/>
      <c r="AK228" s="194"/>
      <c r="AL228" s="194"/>
      <c r="AM228" s="194"/>
      <c r="AN228" s="194"/>
      <c r="AO228" s="194"/>
      <c r="AP228" s="194"/>
      <c r="AQ228" s="194"/>
      <c r="AR228" s="194"/>
      <c r="AS228" s="194"/>
      <c r="AT228" s="194"/>
      <c r="AU228" s="194"/>
      <c r="AV228" s="194"/>
      <c r="AW228" s="194"/>
      <c r="AX228" s="194"/>
      <c r="AY228" s="194"/>
      <c r="AZ228" s="194"/>
      <c r="BA228" s="194"/>
      <c r="BB228" s="194"/>
    </row>
    <row r="229" spans="2:54" x14ac:dyDescent="0.25">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c r="AC229" s="194"/>
      <c r="AD229" s="194"/>
      <c r="AE229" s="194"/>
      <c r="AF229" s="194"/>
      <c r="AG229" s="194"/>
      <c r="AH229" s="194"/>
      <c r="AI229" s="194"/>
      <c r="AJ229" s="194"/>
      <c r="AK229" s="194"/>
      <c r="AL229" s="194"/>
      <c r="AM229" s="194"/>
      <c r="AN229" s="194"/>
      <c r="AO229" s="194"/>
      <c r="AP229" s="194"/>
      <c r="AQ229" s="194"/>
      <c r="AR229" s="194"/>
      <c r="AS229" s="194"/>
      <c r="AT229" s="194"/>
      <c r="AU229" s="194"/>
      <c r="AV229" s="194"/>
      <c r="AW229" s="194"/>
      <c r="AX229" s="194"/>
      <c r="AY229" s="194"/>
      <c r="AZ229" s="194"/>
      <c r="BA229" s="194"/>
      <c r="BB229" s="194"/>
    </row>
    <row r="230" spans="2:54" x14ac:dyDescent="0.25">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c r="AC230" s="194"/>
      <c r="AD230" s="194"/>
      <c r="AE230" s="194"/>
      <c r="AF230" s="194"/>
      <c r="AG230" s="194"/>
      <c r="AH230" s="194"/>
      <c r="AI230" s="194"/>
      <c r="AJ230" s="194"/>
      <c r="AK230" s="194"/>
      <c r="AL230" s="194"/>
      <c r="AM230" s="194"/>
      <c r="AN230" s="194"/>
      <c r="AO230" s="194"/>
      <c r="AP230" s="194"/>
      <c r="AQ230" s="194"/>
      <c r="AR230" s="194"/>
      <c r="AS230" s="194"/>
      <c r="AT230" s="194"/>
      <c r="AU230" s="194"/>
      <c r="AV230" s="194"/>
      <c r="AW230" s="194"/>
      <c r="AX230" s="194"/>
      <c r="AY230" s="194"/>
      <c r="AZ230" s="194"/>
      <c r="BA230" s="194"/>
      <c r="BB230" s="194"/>
    </row>
    <row r="231" spans="2:54" x14ac:dyDescent="0.25">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c r="AC231" s="194"/>
      <c r="AD231" s="194"/>
      <c r="AE231" s="194"/>
      <c r="AF231" s="194"/>
      <c r="AG231" s="194"/>
      <c r="AH231" s="194"/>
      <c r="AI231" s="194"/>
      <c r="AJ231" s="194"/>
      <c r="AK231" s="194"/>
      <c r="AL231" s="194"/>
      <c r="AM231" s="194"/>
      <c r="AN231" s="194"/>
      <c r="AO231" s="194"/>
      <c r="AP231" s="194"/>
      <c r="AQ231" s="194"/>
      <c r="AR231" s="194"/>
      <c r="AS231" s="194"/>
      <c r="AT231" s="194"/>
      <c r="AU231" s="194"/>
      <c r="AV231" s="194"/>
      <c r="AW231" s="194"/>
      <c r="AX231" s="194"/>
      <c r="AY231" s="194"/>
      <c r="AZ231" s="194"/>
      <c r="BA231" s="194"/>
      <c r="BB231" s="194"/>
    </row>
    <row r="232" spans="2:54" x14ac:dyDescent="0.25">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c r="AC232" s="194"/>
      <c r="AD232" s="194"/>
      <c r="AE232" s="194"/>
      <c r="AF232" s="194"/>
      <c r="AG232" s="194"/>
      <c r="AH232" s="194"/>
      <c r="AI232" s="194"/>
      <c r="AJ232" s="194"/>
      <c r="AK232" s="194"/>
      <c r="AL232" s="194"/>
      <c r="AM232" s="194"/>
      <c r="AN232" s="194"/>
      <c r="AO232" s="194"/>
      <c r="AP232" s="194"/>
      <c r="AQ232" s="194"/>
      <c r="AR232" s="194"/>
      <c r="AS232" s="194"/>
      <c r="AT232" s="194"/>
      <c r="AU232" s="194"/>
      <c r="AV232" s="194"/>
      <c r="AW232" s="194"/>
      <c r="AX232" s="194"/>
      <c r="AY232" s="194"/>
      <c r="AZ232" s="194"/>
      <c r="BA232" s="194"/>
      <c r="BB232" s="194"/>
    </row>
    <row r="233" spans="2:54" x14ac:dyDescent="0.25">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c r="AC233" s="194"/>
      <c r="AD233" s="194"/>
      <c r="AE233" s="194"/>
      <c r="AF233" s="194"/>
      <c r="AG233" s="194"/>
      <c r="AH233" s="194"/>
      <c r="AI233" s="194"/>
      <c r="AJ233" s="194"/>
      <c r="AK233" s="194"/>
      <c r="AL233" s="194"/>
      <c r="AM233" s="194"/>
      <c r="AN233" s="194"/>
      <c r="AO233" s="194"/>
      <c r="AP233" s="194"/>
      <c r="AQ233" s="194"/>
      <c r="AR233" s="194"/>
      <c r="AS233" s="194"/>
      <c r="AT233" s="194"/>
      <c r="AU233" s="194"/>
      <c r="AV233" s="194"/>
      <c r="AW233" s="194"/>
      <c r="AX233" s="194"/>
      <c r="AY233" s="194"/>
      <c r="AZ233" s="194"/>
      <c r="BA233" s="194"/>
      <c r="BB233" s="194"/>
    </row>
    <row r="234" spans="2:54" x14ac:dyDescent="0.25">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c r="AC234" s="194"/>
      <c r="AD234" s="194"/>
      <c r="AE234" s="194"/>
      <c r="AF234" s="194"/>
      <c r="AG234" s="194"/>
      <c r="AH234" s="194"/>
      <c r="AI234" s="194"/>
      <c r="AJ234" s="194"/>
      <c r="AK234" s="194"/>
      <c r="AL234" s="194"/>
      <c r="AM234" s="194"/>
      <c r="AN234" s="194"/>
      <c r="AO234" s="194"/>
      <c r="AP234" s="194"/>
      <c r="AQ234" s="194"/>
      <c r="AR234" s="194"/>
      <c r="AS234" s="194"/>
      <c r="AT234" s="194"/>
      <c r="AU234" s="194"/>
      <c r="AV234" s="194"/>
      <c r="AW234" s="194"/>
      <c r="AX234" s="194"/>
      <c r="AY234" s="194"/>
      <c r="AZ234" s="194"/>
      <c r="BA234" s="194"/>
      <c r="BB234" s="194"/>
    </row>
    <row r="235" spans="2:54" x14ac:dyDescent="0.25">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c r="AC235" s="194"/>
      <c r="AD235" s="194"/>
      <c r="AE235" s="194"/>
      <c r="AF235" s="194"/>
      <c r="AG235" s="194"/>
      <c r="AH235" s="194"/>
      <c r="AI235" s="194"/>
      <c r="AJ235" s="194"/>
      <c r="AK235" s="194"/>
      <c r="AL235" s="194"/>
      <c r="AM235" s="194"/>
      <c r="AN235" s="194"/>
      <c r="AO235" s="194"/>
      <c r="AP235" s="194"/>
      <c r="AQ235" s="194"/>
      <c r="AR235" s="194"/>
      <c r="AS235" s="194"/>
      <c r="AT235" s="194"/>
      <c r="AU235" s="194"/>
      <c r="AV235" s="194"/>
      <c r="AW235" s="194"/>
      <c r="AX235" s="194"/>
      <c r="AY235" s="194"/>
      <c r="AZ235" s="194"/>
      <c r="BA235" s="194"/>
      <c r="BB235" s="194"/>
    </row>
    <row r="236" spans="2:54" x14ac:dyDescent="0.25">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c r="AC236" s="194"/>
      <c r="AD236" s="194"/>
      <c r="AE236" s="194"/>
      <c r="AF236" s="194"/>
      <c r="AG236" s="194"/>
      <c r="AH236" s="194"/>
      <c r="AI236" s="194"/>
      <c r="AJ236" s="194"/>
      <c r="AK236" s="194"/>
      <c r="AL236" s="194"/>
      <c r="AM236" s="194"/>
      <c r="AN236" s="194"/>
      <c r="AO236" s="194"/>
      <c r="AP236" s="194"/>
      <c r="AQ236" s="194"/>
      <c r="AR236" s="194"/>
      <c r="AS236" s="194"/>
      <c r="AT236" s="194"/>
      <c r="AU236" s="194"/>
      <c r="AV236" s="194"/>
      <c r="AW236" s="194"/>
      <c r="AX236" s="194"/>
      <c r="AY236" s="194"/>
      <c r="AZ236" s="194"/>
      <c r="BA236" s="194"/>
      <c r="BB236" s="194"/>
    </row>
    <row r="237" spans="2:54" x14ac:dyDescent="0.25">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c r="AC237" s="194"/>
      <c r="AD237" s="194"/>
      <c r="AE237" s="194"/>
      <c r="AF237" s="194"/>
      <c r="AG237" s="194"/>
      <c r="AH237" s="194"/>
      <c r="AI237" s="194"/>
      <c r="AJ237" s="194"/>
      <c r="AK237" s="194"/>
      <c r="AL237" s="194"/>
      <c r="AM237" s="194"/>
      <c r="AN237" s="194"/>
      <c r="AO237" s="194"/>
      <c r="AP237" s="194"/>
      <c r="AQ237" s="194"/>
      <c r="AR237" s="194"/>
      <c r="AS237" s="194"/>
      <c r="AT237" s="194"/>
      <c r="AU237" s="194"/>
      <c r="AV237" s="194"/>
      <c r="AW237" s="194"/>
      <c r="AX237" s="194"/>
      <c r="AY237" s="194"/>
      <c r="AZ237" s="194"/>
      <c r="BA237" s="194"/>
      <c r="BB237" s="194"/>
    </row>
    <row r="238" spans="2:54" x14ac:dyDescent="0.25">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c r="AC238" s="194"/>
      <c r="AD238" s="194"/>
      <c r="AE238" s="194"/>
      <c r="AF238" s="194"/>
      <c r="AG238" s="194"/>
      <c r="AH238" s="194"/>
      <c r="AI238" s="194"/>
      <c r="AJ238" s="194"/>
      <c r="AK238" s="194"/>
      <c r="AL238" s="194"/>
      <c r="AM238" s="194"/>
      <c r="AN238" s="194"/>
      <c r="AO238" s="194"/>
      <c r="AP238" s="194"/>
      <c r="AQ238" s="194"/>
      <c r="AR238" s="194"/>
      <c r="AS238" s="194"/>
      <c r="AT238" s="194"/>
      <c r="AU238" s="194"/>
      <c r="AV238" s="194"/>
      <c r="AW238" s="194"/>
      <c r="AX238" s="194"/>
      <c r="AY238" s="194"/>
      <c r="AZ238" s="194"/>
      <c r="BA238" s="194"/>
      <c r="BB238" s="194"/>
    </row>
    <row r="239" spans="2:54" x14ac:dyDescent="0.25">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c r="AC239" s="194"/>
      <c r="AD239" s="194"/>
      <c r="AE239" s="194"/>
      <c r="AF239" s="194"/>
      <c r="AG239" s="194"/>
      <c r="AH239" s="194"/>
      <c r="AI239" s="194"/>
      <c r="AJ239" s="194"/>
      <c r="AK239" s="194"/>
      <c r="AL239" s="194"/>
      <c r="AM239" s="194"/>
      <c r="AN239" s="194"/>
      <c r="AO239" s="194"/>
      <c r="AP239" s="194"/>
      <c r="AQ239" s="194"/>
      <c r="AR239" s="194"/>
      <c r="AS239" s="194"/>
      <c r="AT239" s="194"/>
      <c r="AU239" s="194"/>
      <c r="AV239" s="194"/>
      <c r="AW239" s="194"/>
      <c r="AX239" s="194"/>
      <c r="AY239" s="194"/>
      <c r="AZ239" s="194"/>
      <c r="BA239" s="194"/>
      <c r="BB239" s="194"/>
    </row>
    <row r="240" spans="2:54" x14ac:dyDescent="0.25">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c r="AC240" s="194"/>
      <c r="AD240" s="194"/>
      <c r="AE240" s="194"/>
      <c r="AF240" s="194"/>
      <c r="AG240" s="194"/>
      <c r="AH240" s="194"/>
      <c r="AI240" s="194"/>
      <c r="AJ240" s="194"/>
      <c r="AK240" s="194"/>
      <c r="AL240" s="194"/>
      <c r="AM240" s="194"/>
      <c r="AN240" s="194"/>
      <c r="AO240" s="194"/>
      <c r="AP240" s="194"/>
      <c r="AQ240" s="194"/>
      <c r="AR240" s="194"/>
      <c r="AS240" s="194"/>
      <c r="AT240" s="194"/>
      <c r="AU240" s="194"/>
      <c r="AV240" s="194"/>
      <c r="AW240" s="194"/>
      <c r="AX240" s="194"/>
      <c r="AY240" s="194"/>
      <c r="AZ240" s="194"/>
      <c r="BA240" s="194"/>
      <c r="BB240" s="194"/>
    </row>
    <row r="241" spans="2:54" x14ac:dyDescent="0.25">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c r="AC241" s="194"/>
      <c r="AD241" s="194"/>
      <c r="AE241" s="194"/>
      <c r="AF241" s="194"/>
      <c r="AG241" s="194"/>
      <c r="AH241" s="194"/>
      <c r="AI241" s="194"/>
      <c r="AJ241" s="194"/>
      <c r="AK241" s="194"/>
      <c r="AL241" s="194"/>
      <c r="AM241" s="194"/>
      <c r="AN241" s="194"/>
      <c r="AO241" s="194"/>
      <c r="AP241" s="194"/>
      <c r="AQ241" s="194"/>
      <c r="AR241" s="194"/>
      <c r="AS241" s="194"/>
      <c r="AT241" s="194"/>
      <c r="AU241" s="194"/>
      <c r="AV241" s="194"/>
      <c r="AW241" s="194"/>
      <c r="AX241" s="194"/>
      <c r="AY241" s="194"/>
      <c r="AZ241" s="194"/>
      <c r="BA241" s="194"/>
      <c r="BB241" s="194"/>
    </row>
    <row r="242" spans="2:54" x14ac:dyDescent="0.25">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c r="AC242" s="194"/>
      <c r="AD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94"/>
      <c r="AY242" s="194"/>
      <c r="AZ242" s="194"/>
      <c r="BA242" s="194"/>
      <c r="BB242" s="194"/>
    </row>
    <row r="243" spans="2:54" x14ac:dyDescent="0.25">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c r="AC243" s="194"/>
      <c r="AD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94"/>
      <c r="AY243" s="194"/>
      <c r="AZ243" s="194"/>
      <c r="BA243" s="194"/>
      <c r="BB243" s="194"/>
    </row>
    <row r="244" spans="2:54" x14ac:dyDescent="0.25">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c r="AC244" s="194"/>
      <c r="AD244" s="194"/>
      <c r="AE244" s="194"/>
      <c r="AF244" s="194"/>
      <c r="AG244" s="194"/>
      <c r="AH244" s="194"/>
      <c r="AI244" s="194"/>
      <c r="AJ244" s="194"/>
      <c r="AK244" s="194"/>
      <c r="AL244" s="194"/>
      <c r="AM244" s="194"/>
      <c r="AN244" s="194"/>
      <c r="AO244" s="194"/>
      <c r="AP244" s="194"/>
      <c r="AQ244" s="194"/>
      <c r="AR244" s="194"/>
      <c r="AS244" s="194"/>
      <c r="AT244" s="194"/>
      <c r="AU244" s="194"/>
      <c r="AV244" s="194"/>
      <c r="AW244" s="194"/>
      <c r="AX244" s="194"/>
      <c r="AY244" s="194"/>
      <c r="AZ244" s="194"/>
      <c r="BA244" s="194"/>
      <c r="BB244" s="194"/>
    </row>
    <row r="245" spans="2:54" x14ac:dyDescent="0.25">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c r="AC245" s="194"/>
      <c r="AD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94"/>
      <c r="AY245" s="194"/>
      <c r="AZ245" s="194"/>
      <c r="BA245" s="194"/>
      <c r="BB245" s="194"/>
    </row>
    <row r="246" spans="2:54" ht="15.75" customHeight="1" x14ac:dyDescent="0.25">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c r="AC246" s="194"/>
      <c r="AD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94"/>
      <c r="AY246" s="194"/>
      <c r="AZ246" s="194"/>
      <c r="BA246" s="194"/>
      <c r="BB246" s="194"/>
    </row>
    <row r="247" spans="2:54" x14ac:dyDescent="0.25">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c r="AC247" s="194"/>
      <c r="AD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94"/>
      <c r="AY247" s="194"/>
      <c r="AZ247" s="194"/>
      <c r="BA247" s="194"/>
      <c r="BB247" s="194"/>
    </row>
    <row r="248" spans="2:54" x14ac:dyDescent="0.25">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c r="AC248" s="194"/>
      <c r="AD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94"/>
      <c r="AY248" s="194"/>
      <c r="AZ248" s="194"/>
      <c r="BA248" s="194"/>
      <c r="BB248" s="194"/>
    </row>
    <row r="249" spans="2:54" x14ac:dyDescent="0.25">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c r="AC249" s="194"/>
      <c r="AD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94"/>
      <c r="AY249" s="194"/>
      <c r="AZ249" s="194"/>
      <c r="BA249" s="194"/>
      <c r="BB249" s="194"/>
    </row>
    <row r="250" spans="2:54" x14ac:dyDescent="0.25">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c r="AC250" s="194"/>
      <c r="AD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94"/>
      <c r="AY250" s="194"/>
      <c r="AZ250" s="194"/>
      <c r="BA250" s="194"/>
      <c r="BB250" s="194"/>
    </row>
    <row r="251" spans="2:54" x14ac:dyDescent="0.25">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c r="AC251" s="194"/>
      <c r="AD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94"/>
      <c r="AY251" s="194"/>
      <c r="AZ251" s="194"/>
      <c r="BA251" s="194"/>
      <c r="BB251" s="194"/>
    </row>
    <row r="252" spans="2:54" x14ac:dyDescent="0.25">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c r="AC252" s="194"/>
      <c r="AD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94"/>
      <c r="AY252" s="194"/>
      <c r="AZ252" s="194"/>
      <c r="BA252" s="194"/>
      <c r="BB252" s="194"/>
    </row>
    <row r="253" spans="2:54" x14ac:dyDescent="0.25">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c r="AC253" s="194"/>
      <c r="AD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94"/>
      <c r="AY253" s="194"/>
      <c r="AZ253" s="194"/>
      <c r="BA253" s="194"/>
      <c r="BB253" s="194"/>
    </row>
    <row r="254" spans="2:54" x14ac:dyDescent="0.25">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c r="AC254" s="194"/>
      <c r="AD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94"/>
      <c r="AY254" s="194"/>
      <c r="AZ254" s="194"/>
      <c r="BA254" s="194"/>
      <c r="BB254" s="194"/>
    </row>
    <row r="255" spans="2:54" x14ac:dyDescent="0.25">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c r="AC255" s="194"/>
      <c r="AD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94"/>
      <c r="AY255" s="194"/>
      <c r="AZ255" s="194"/>
      <c r="BA255" s="194"/>
      <c r="BB255" s="194"/>
    </row>
    <row r="256" spans="2:54" x14ac:dyDescent="0.25">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c r="AC256" s="194"/>
      <c r="AD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94"/>
      <c r="AY256" s="194"/>
      <c r="AZ256" s="194"/>
      <c r="BA256" s="194"/>
      <c r="BB256" s="194"/>
    </row>
    <row r="257" spans="2:54" x14ac:dyDescent="0.25">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c r="AC257" s="194"/>
      <c r="AD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94"/>
      <c r="AY257" s="194"/>
      <c r="AZ257" s="194"/>
      <c r="BA257" s="194"/>
      <c r="BB257" s="194"/>
    </row>
  </sheetData>
  <autoFilter ref="C7:R135" xr:uid="{00000000-0009-0000-0000-000027000000}">
    <filterColumn colId="0">
      <filters>
        <filter val="K14-FA-1"/>
        <filter val="K14-FA-1C"/>
        <filter val="K14-FA-1P"/>
        <filter val="K14-FB-1"/>
        <filter val="K5-A"/>
        <filter val="K5-B"/>
        <filter val="K5-D"/>
        <filter val="K5EN/C"/>
        <filter val="K5-P"/>
        <filter val="P15-A"/>
        <filter val="P15-C"/>
        <filter val="P15-D"/>
        <filter val="P15-E"/>
        <filter val="P15-F"/>
        <filter val="P15-G"/>
        <filter val="P18-A"/>
      </filters>
    </filterColumn>
    <sortState ref="C4:R131">
      <sortCondition ref="C3"/>
    </sortState>
  </autoFilter>
  <pageMargins left="0.7" right="0.7" top="0.75" bottom="0.75" header="0.3" footer="0.3"/>
  <pageSetup paperSize="9" orientation="portrait" horizontalDpi="4294967295" verticalDpi="4294967295"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0"/>
  <dimension ref="B1:AR2615"/>
  <sheetViews>
    <sheetView zoomScale="85" zoomScaleNormal="85" workbookViewId="0">
      <pane xSplit="2" topLeftCell="AB1" activePane="topRight" state="frozen"/>
      <selection pane="topRight" activeCell="A2" sqref="A2"/>
    </sheetView>
  </sheetViews>
  <sheetFormatPr defaultColWidth="9.140625" defaultRowHeight="15" x14ac:dyDescent="0.25"/>
  <cols>
    <col min="1" max="1" width="9.140625" style="171"/>
    <col min="2" max="2" width="10.85546875" style="171" bestFit="1" customWidth="1"/>
    <col min="3" max="31" width="9.140625" style="171"/>
    <col min="32" max="32" width="10.5703125" style="171" bestFit="1" customWidth="1"/>
    <col min="33" max="33" width="28.28515625" style="171" customWidth="1"/>
    <col min="34" max="34" width="27.140625" style="171" customWidth="1"/>
    <col min="35" max="35" width="8.85546875" style="171" customWidth="1"/>
    <col min="36" max="36" width="9.140625" style="171"/>
    <col min="37" max="37" width="13.85546875" style="171" bestFit="1" customWidth="1"/>
    <col min="38" max="38" width="9" style="171" customWidth="1"/>
    <col min="39" max="39" width="9.140625" style="171"/>
    <col min="40" max="40" width="6.7109375" style="171" customWidth="1"/>
    <col min="41" max="41" width="9.140625" style="171"/>
    <col min="42" max="42" width="9" style="171" customWidth="1"/>
    <col min="43" max="16384" width="9.140625" style="171"/>
  </cols>
  <sheetData>
    <row r="1" spans="2:44" ht="54" customHeight="1" x14ac:dyDescent="0.25">
      <c r="B1" s="171" t="s">
        <v>1274</v>
      </c>
      <c r="C1" s="581" t="s">
        <v>1275</v>
      </c>
      <c r="D1" s="171" t="s">
        <v>1276</v>
      </c>
      <c r="E1" s="171" t="s">
        <v>1277</v>
      </c>
      <c r="F1" s="171" t="s">
        <v>1278</v>
      </c>
      <c r="G1" s="171" t="s">
        <v>1279</v>
      </c>
      <c r="H1" s="171" t="s">
        <v>1280</v>
      </c>
      <c r="I1" s="171" t="s">
        <v>1281</v>
      </c>
      <c r="J1" s="171" t="s">
        <v>1282</v>
      </c>
      <c r="K1" s="171" t="s">
        <v>1283</v>
      </c>
      <c r="L1" s="171" t="s">
        <v>1284</v>
      </c>
      <c r="M1" s="171" t="s">
        <v>1285</v>
      </c>
      <c r="N1" s="171" t="s">
        <v>1286</v>
      </c>
      <c r="O1" s="171" t="s">
        <v>1287</v>
      </c>
      <c r="P1" s="171" t="s">
        <v>1288</v>
      </c>
      <c r="Q1" s="171" t="s">
        <v>1289</v>
      </c>
      <c r="R1" s="171" t="s">
        <v>1290</v>
      </c>
      <c r="S1" s="171" t="s">
        <v>1291</v>
      </c>
      <c r="T1" s="171" t="s">
        <v>1292</v>
      </c>
      <c r="U1" s="171" t="s">
        <v>1293</v>
      </c>
      <c r="V1" s="171" t="s">
        <v>1294</v>
      </c>
      <c r="W1" s="171" t="s">
        <v>1295</v>
      </c>
      <c r="X1" s="171" t="s">
        <v>1296</v>
      </c>
      <c r="Y1" s="171" t="s">
        <v>1297</v>
      </c>
      <c r="Z1" s="171" t="s">
        <v>1298</v>
      </c>
      <c r="AA1" s="171" t="s">
        <v>1299</v>
      </c>
      <c r="AB1" s="171" t="s">
        <v>1300</v>
      </c>
      <c r="AC1" s="171" t="s">
        <v>1301</v>
      </c>
      <c r="AD1" s="171" t="s">
        <v>1302</v>
      </c>
      <c r="AG1" s="906" t="str">
        <f>ELECTROLYSIS!D7</f>
        <v>Electricity benchmark price</v>
      </c>
      <c r="AH1" s="906">
        <f>ELECTROLYSIS!E7</f>
        <v>42.553191489361701</v>
      </c>
      <c r="AI1" s="906" t="str">
        <f>ELECTROLYSIS!F7</f>
        <v>€/MWh</v>
      </c>
      <c r="AK1" s="1338" t="s">
        <v>1306</v>
      </c>
      <c r="AL1" s="1338"/>
      <c r="AM1" s="1338"/>
      <c r="AO1" s="1338" t="s">
        <v>1307</v>
      </c>
      <c r="AP1" s="1338"/>
      <c r="AQ1" s="1338"/>
    </row>
    <row r="2" spans="2:44" ht="30" x14ac:dyDescent="0.25">
      <c r="C2" s="581"/>
      <c r="D2" s="171">
        <v>1</v>
      </c>
      <c r="E2" s="171">
        <v>2</v>
      </c>
      <c r="F2" s="171">
        <v>3</v>
      </c>
      <c r="G2" s="171">
        <v>4</v>
      </c>
      <c r="H2" s="171">
        <v>5</v>
      </c>
      <c r="I2" s="171">
        <v>6</v>
      </c>
      <c r="J2" s="171">
        <v>7</v>
      </c>
      <c r="K2" s="171">
        <v>8</v>
      </c>
      <c r="L2" s="171">
        <v>9</v>
      </c>
      <c r="M2" s="171">
        <v>10</v>
      </c>
      <c r="N2" s="171">
        <v>11</v>
      </c>
      <c r="O2" s="171">
        <v>12</v>
      </c>
      <c r="P2" s="171">
        <v>13</v>
      </c>
      <c r="Q2" s="171">
        <v>14</v>
      </c>
      <c r="R2" s="171">
        <v>15</v>
      </c>
      <c r="S2" s="171">
        <v>16</v>
      </c>
      <c r="T2" s="171">
        <v>17</v>
      </c>
      <c r="U2" s="171">
        <v>18</v>
      </c>
      <c r="V2" s="171">
        <v>19</v>
      </c>
      <c r="W2" s="171">
        <v>20</v>
      </c>
      <c r="X2" s="171">
        <v>21</v>
      </c>
      <c r="Y2" s="171">
        <v>22</v>
      </c>
      <c r="Z2" s="171">
        <v>23</v>
      </c>
      <c r="AA2" s="171">
        <v>24</v>
      </c>
      <c r="AB2" s="171">
        <v>25</v>
      </c>
      <c r="AC2" s="171">
        <v>26</v>
      </c>
      <c r="AD2" s="171">
        <v>27</v>
      </c>
      <c r="AG2" s="141" t="str">
        <f>"Count hours when price &lt;= "&amp;AG1&amp;" "</f>
        <v xml:space="preserve">Count hours when price &lt;= Electricity benchmark price </v>
      </c>
      <c r="AH2" s="141" t="str">
        <f>"Avg price when &lt;= "&amp;AG1</f>
        <v>Avg price when &lt;= Electricity benchmark price</v>
      </c>
      <c r="AI2" s="141"/>
      <c r="AK2" s="141" t="s">
        <v>1308</v>
      </c>
      <c r="AL2" s="141" t="s">
        <v>1305</v>
      </c>
      <c r="AM2" s="171" t="s">
        <v>1304</v>
      </c>
      <c r="AO2" s="171" t="s">
        <v>1303</v>
      </c>
      <c r="AP2" s="171" t="s">
        <v>1304</v>
      </c>
    </row>
    <row r="3" spans="2:44" x14ac:dyDescent="0.25">
      <c r="B3" s="910">
        <v>38831</v>
      </c>
      <c r="C3" s="581">
        <f>MONTH(B3)</f>
        <v>4</v>
      </c>
      <c r="D3" s="171">
        <v>36.58</v>
      </c>
      <c r="E3" s="171">
        <v>24.400000000000002</v>
      </c>
      <c r="F3" s="171">
        <v>12.030000000000001</v>
      </c>
      <c r="G3" s="171">
        <v>14.120000000000001</v>
      </c>
      <c r="H3" s="171">
        <v>24</v>
      </c>
      <c r="I3" s="171">
        <v>28.400000000000002</v>
      </c>
      <c r="J3" s="171">
        <v>46</v>
      </c>
      <c r="K3" s="171">
        <v>60</v>
      </c>
      <c r="L3" s="171">
        <v>70</v>
      </c>
      <c r="M3" s="171">
        <v>80.12</v>
      </c>
      <c r="N3" s="171">
        <v>85</v>
      </c>
      <c r="O3" s="171">
        <v>95</v>
      </c>
      <c r="P3" s="171">
        <v>81.23</v>
      </c>
      <c r="Q3" s="171">
        <v>85</v>
      </c>
      <c r="R3" s="171">
        <v>77.210000000000008</v>
      </c>
      <c r="S3" s="171">
        <v>68.099999999999994</v>
      </c>
      <c r="T3" s="171">
        <v>60.370000000000005</v>
      </c>
      <c r="U3" s="171">
        <v>57</v>
      </c>
      <c r="V3" s="171">
        <v>52.88</v>
      </c>
      <c r="W3" s="171">
        <v>48.9</v>
      </c>
      <c r="X3" s="171">
        <v>54</v>
      </c>
      <c r="Y3" s="171">
        <v>53.5</v>
      </c>
      <c r="Z3" s="171">
        <v>45.57</v>
      </c>
      <c r="AA3" s="171">
        <v>43.51</v>
      </c>
      <c r="AB3" s="171">
        <v>95</v>
      </c>
      <c r="AC3" s="171">
        <v>45.57</v>
      </c>
      <c r="AD3" s="171">
        <v>28.63</v>
      </c>
      <c r="AF3" s="171">
        <f>YEAR(B3)</f>
        <v>2006</v>
      </c>
      <c r="AG3" s="913">
        <f>COUNTIF(D3:AA3,"&lt;="&amp;$AH$1)</f>
        <v>6</v>
      </c>
      <c r="AH3" s="700">
        <f>SUMIF(D3:$AA$3,"&lt;="&amp;$AH$1)/COUNTIF(D3:$AA$3,"&lt;="&amp;$AH$1)</f>
        <v>23.254999999999999</v>
      </c>
      <c r="AJ3" s="171">
        <v>2006</v>
      </c>
      <c r="AK3" s="700">
        <f>AVERAGE($AG$3:$AG$182)</f>
        <v>8.8388888888888886</v>
      </c>
      <c r="AL3" s="911">
        <f>AK3/24</f>
        <v>0.36828703703703702</v>
      </c>
      <c r="AM3" s="700">
        <f>_xlfn.STDEV.P($AG$3:$AG$182)</f>
        <v>3.1378759427515237</v>
      </c>
      <c r="AN3" s="912"/>
      <c r="AO3" s="700">
        <f>AVERAGE($AH$3:$AH$182)</f>
        <v>29.183169041002728</v>
      </c>
      <c r="AP3" s="700">
        <f>_xlfn.STDEV.P($AH$3:$AH$182)</f>
        <v>1.0631689703809006</v>
      </c>
      <c r="AR3" s="914"/>
    </row>
    <row r="4" spans="2:44" x14ac:dyDescent="0.25">
      <c r="B4" s="910">
        <v>38832</v>
      </c>
      <c r="C4" s="581">
        <f t="shared" ref="C4:C67" si="0">MONTH(B4)</f>
        <v>4</v>
      </c>
      <c r="D4" s="171">
        <v>39.36</v>
      </c>
      <c r="E4" s="171">
        <v>31.86</v>
      </c>
      <c r="F4" s="171">
        <v>27</v>
      </c>
      <c r="G4" s="171">
        <v>25.42</v>
      </c>
      <c r="H4" s="171">
        <v>29.3</v>
      </c>
      <c r="I4" s="171">
        <v>39.369999999999997</v>
      </c>
      <c r="J4" s="171">
        <v>49.5</v>
      </c>
      <c r="K4" s="171">
        <v>63.190000000000005</v>
      </c>
      <c r="L4" s="171">
        <v>70.39</v>
      </c>
      <c r="M4" s="171">
        <v>101.25</v>
      </c>
      <c r="N4" s="171">
        <v>101.25</v>
      </c>
      <c r="O4" s="171">
        <v>101.25</v>
      </c>
      <c r="P4" s="171">
        <v>75.83</v>
      </c>
      <c r="Q4" s="171">
        <v>74</v>
      </c>
      <c r="R4" s="171">
        <v>70.73</v>
      </c>
      <c r="S4" s="171">
        <v>59.81</v>
      </c>
      <c r="T4" s="171">
        <v>57.120000000000005</v>
      </c>
      <c r="U4" s="171">
        <v>57.86</v>
      </c>
      <c r="V4" s="171">
        <v>53.86</v>
      </c>
      <c r="W4" s="171">
        <v>52.79</v>
      </c>
      <c r="X4" s="171">
        <v>56.69</v>
      </c>
      <c r="Y4" s="171">
        <v>56</v>
      </c>
      <c r="Z4" s="171">
        <v>54.63</v>
      </c>
      <c r="AA4" s="171">
        <v>48.03</v>
      </c>
      <c r="AB4" s="171">
        <v>101.25</v>
      </c>
      <c r="AC4" s="171">
        <v>52.79</v>
      </c>
      <c r="AD4" s="171">
        <v>36.230000000000004</v>
      </c>
      <c r="AF4" s="171">
        <f t="shared" ref="AF4:AF67" si="1">YEAR(B4)</f>
        <v>2006</v>
      </c>
      <c r="AG4" s="171">
        <f t="shared" ref="AG4:AG67" si="2">COUNTIF(D4:AA4,"&lt;="&amp;$AH$1)</f>
        <v>6</v>
      </c>
      <c r="AH4" s="700">
        <f>SUMIF(D$3:$AA4,"&lt;="&amp;$AH$1)/COUNTIF(D$3:$AA4,"&lt;="&amp;$AH$1)</f>
        <v>27.653333333333336</v>
      </c>
      <c r="AJ4" s="171">
        <v>2007</v>
      </c>
      <c r="AK4" s="700">
        <f>AVERAGE($AG$183:$AG$443)</f>
        <v>14.452107279693486</v>
      </c>
      <c r="AL4" s="911">
        <f t="shared" ref="AL4:AL14" si="3">AK4/24</f>
        <v>0.60217113665389521</v>
      </c>
      <c r="AM4" s="700">
        <f>_xlfn.STDEV.P($AG$183:$AG$443)</f>
        <v>6.2307639123160339</v>
      </c>
      <c r="AN4" s="700"/>
      <c r="AO4" s="700">
        <f>AVERAGE($AH$183:$AH$443)</f>
        <v>28.516129193869382</v>
      </c>
      <c r="AP4" s="700">
        <f>_xlfn.STDEV.P($AH$183:$AH$443)</f>
        <v>0.27971701583250663</v>
      </c>
      <c r="AR4" s="700"/>
    </row>
    <row r="5" spans="2:44" x14ac:dyDescent="0.25">
      <c r="B5" s="910">
        <v>38833</v>
      </c>
      <c r="C5" s="581">
        <f t="shared" si="0"/>
        <v>4</v>
      </c>
      <c r="D5" s="171">
        <v>36.980000000000004</v>
      </c>
      <c r="E5" s="171">
        <v>26.7</v>
      </c>
      <c r="F5" s="171">
        <v>21.88</v>
      </c>
      <c r="G5" s="171">
        <v>18.5</v>
      </c>
      <c r="H5" s="171">
        <v>20.7</v>
      </c>
      <c r="I5" s="171">
        <v>31.48</v>
      </c>
      <c r="J5" s="171">
        <v>44.14</v>
      </c>
      <c r="K5" s="171">
        <v>59.51</v>
      </c>
      <c r="L5" s="171">
        <v>64.42</v>
      </c>
      <c r="M5" s="171">
        <v>80.12</v>
      </c>
      <c r="N5" s="171">
        <v>100</v>
      </c>
      <c r="O5" s="171">
        <v>125</v>
      </c>
      <c r="P5" s="171">
        <v>71.81</v>
      </c>
      <c r="Q5" s="171">
        <v>92.86</v>
      </c>
      <c r="R5" s="171">
        <v>65</v>
      </c>
      <c r="S5" s="171">
        <v>59.61</v>
      </c>
      <c r="T5" s="171">
        <v>55</v>
      </c>
      <c r="U5" s="171">
        <v>52.82</v>
      </c>
      <c r="V5" s="171">
        <v>51.410000000000004</v>
      </c>
      <c r="W5" s="171">
        <v>49.120000000000005</v>
      </c>
      <c r="X5" s="171">
        <v>53.17</v>
      </c>
      <c r="Y5" s="171">
        <v>52.94</v>
      </c>
      <c r="Z5" s="171">
        <v>50</v>
      </c>
      <c r="AA5" s="171">
        <v>44.72</v>
      </c>
      <c r="AB5" s="171">
        <v>125</v>
      </c>
      <c r="AC5" s="171">
        <v>49.120000000000005</v>
      </c>
      <c r="AD5" s="171">
        <v>30.64</v>
      </c>
      <c r="AF5" s="171">
        <f t="shared" si="1"/>
        <v>2006</v>
      </c>
      <c r="AG5" s="171">
        <f t="shared" si="2"/>
        <v>6</v>
      </c>
      <c r="AH5" s="700">
        <f>SUMIF(D$3:$AA5,"&lt;="&amp;$AH$1)/COUNTIF(D$3:$AA5,"&lt;="&amp;$AH$1)</f>
        <v>27.115555555555559</v>
      </c>
      <c r="AJ5" s="171">
        <v>2008</v>
      </c>
      <c r="AK5" s="700">
        <f>AVERAGE($AG$444:$AG$705)</f>
        <v>2.5687022900763359</v>
      </c>
      <c r="AL5" s="911">
        <f t="shared" si="3"/>
        <v>0.10702926208651399</v>
      </c>
      <c r="AM5" s="700">
        <f>_xlfn.STDEV.P($AG$444:$AG$705)</f>
        <v>2.6488247132927616</v>
      </c>
      <c r="AN5" s="700"/>
      <c r="AO5" s="700">
        <f>AVERAGE($AH$444:$AH$705)</f>
        <v>28.505703168108919</v>
      </c>
      <c r="AP5" s="700">
        <f>_xlfn.STDEV.P($AH$444:$AH$705)</f>
        <v>0.10022208861506865</v>
      </c>
    </row>
    <row r="6" spans="2:44" x14ac:dyDescent="0.25">
      <c r="B6" s="910">
        <v>38834</v>
      </c>
      <c r="C6" s="581">
        <f t="shared" si="0"/>
        <v>4</v>
      </c>
      <c r="D6" s="171">
        <v>37</v>
      </c>
      <c r="E6" s="171">
        <v>27</v>
      </c>
      <c r="F6" s="171">
        <v>21.7</v>
      </c>
      <c r="G6" s="171">
        <v>17.95</v>
      </c>
      <c r="H6" s="171">
        <v>23.82</v>
      </c>
      <c r="I6" s="171">
        <v>35.53</v>
      </c>
      <c r="J6" s="171">
        <v>51.1</v>
      </c>
      <c r="K6" s="171">
        <v>62.96</v>
      </c>
      <c r="L6" s="171">
        <v>64.010000000000005</v>
      </c>
      <c r="M6" s="171">
        <v>105.48</v>
      </c>
      <c r="N6" s="171">
        <v>80.12</v>
      </c>
      <c r="O6" s="171">
        <v>100.01</v>
      </c>
      <c r="P6" s="171">
        <v>67.320000000000007</v>
      </c>
      <c r="Q6" s="171">
        <v>68.72</v>
      </c>
      <c r="R6" s="171">
        <v>65.61</v>
      </c>
      <c r="S6" s="171">
        <v>66.36</v>
      </c>
      <c r="T6" s="171">
        <v>69.84</v>
      </c>
      <c r="U6" s="171">
        <v>53.620000000000005</v>
      </c>
      <c r="V6" s="171">
        <v>51</v>
      </c>
      <c r="W6" s="171">
        <v>48.65</v>
      </c>
      <c r="X6" s="171">
        <v>55.59</v>
      </c>
      <c r="Y6" s="171">
        <v>55.19</v>
      </c>
      <c r="Z6" s="171">
        <v>60</v>
      </c>
      <c r="AA6" s="171">
        <v>46</v>
      </c>
      <c r="AB6" s="171">
        <v>105.48</v>
      </c>
      <c r="AC6" s="171">
        <v>48.65</v>
      </c>
      <c r="AD6" s="171">
        <v>32.51</v>
      </c>
      <c r="AF6" s="171">
        <f t="shared" si="1"/>
        <v>2006</v>
      </c>
      <c r="AG6" s="171">
        <f t="shared" si="2"/>
        <v>6</v>
      </c>
      <c r="AH6" s="700">
        <f>SUMIF(D$3:$AA6,"&lt;="&amp;$AH$1)/COUNTIF(D$3:$AA6,"&lt;="&amp;$AH$1)</f>
        <v>27.128333333333341</v>
      </c>
      <c r="AJ6" s="171">
        <v>2009</v>
      </c>
      <c r="AK6" s="700">
        <f>AVERAGE($AG$706:$AG$966)</f>
        <v>14.045977011494253</v>
      </c>
      <c r="AL6" s="911">
        <f t="shared" si="3"/>
        <v>0.58524904214559392</v>
      </c>
      <c r="AM6" s="700">
        <f>_xlfn.STDEV.P($AG$706:$AG$966)</f>
        <v>5.6647895051274908</v>
      </c>
      <c r="AN6" s="700"/>
      <c r="AO6" s="700">
        <f>AVERAGE($AH$706:$AH$966)</f>
        <v>29.296312863424351</v>
      </c>
      <c r="AP6" s="700">
        <f>_xlfn.STDEV.P($AH$706:$AH$966)</f>
        <v>0.2764519966462326</v>
      </c>
    </row>
    <row r="7" spans="2:44" x14ac:dyDescent="0.25">
      <c r="B7" s="910">
        <v>38835</v>
      </c>
      <c r="C7" s="581">
        <f t="shared" si="0"/>
        <v>4</v>
      </c>
      <c r="D7" s="171">
        <v>36.79</v>
      </c>
      <c r="E7" s="171">
        <v>28.11</v>
      </c>
      <c r="F7" s="171">
        <v>24.7</v>
      </c>
      <c r="G7" s="171">
        <v>18.39</v>
      </c>
      <c r="H7" s="171">
        <v>22.5</v>
      </c>
      <c r="I7" s="171">
        <v>34</v>
      </c>
      <c r="J7" s="171">
        <v>42.9</v>
      </c>
      <c r="K7" s="171">
        <v>52.5</v>
      </c>
      <c r="L7" s="171">
        <v>69.28</v>
      </c>
      <c r="M7" s="171">
        <v>100</v>
      </c>
      <c r="N7" s="171">
        <v>145</v>
      </c>
      <c r="O7" s="171">
        <v>145</v>
      </c>
      <c r="P7" s="171">
        <v>66.2</v>
      </c>
      <c r="Q7" s="171">
        <v>64.400000000000006</v>
      </c>
      <c r="R7" s="171">
        <v>55.09</v>
      </c>
      <c r="S7" s="171">
        <v>50.7</v>
      </c>
      <c r="T7" s="171">
        <v>47.61</v>
      </c>
      <c r="U7" s="171">
        <v>46.59</v>
      </c>
      <c r="V7" s="171">
        <v>45.2</v>
      </c>
      <c r="W7" s="171">
        <v>44.49</v>
      </c>
      <c r="X7" s="171">
        <v>47.34</v>
      </c>
      <c r="Y7" s="171">
        <v>47.730000000000004</v>
      </c>
      <c r="Z7" s="171">
        <v>45.15</v>
      </c>
      <c r="AA7" s="171">
        <v>40.43</v>
      </c>
      <c r="AB7" s="171">
        <v>145</v>
      </c>
      <c r="AC7" s="171">
        <v>44.49</v>
      </c>
      <c r="AD7" s="171">
        <v>30.98</v>
      </c>
      <c r="AF7" s="171">
        <f t="shared" si="1"/>
        <v>2006</v>
      </c>
      <c r="AG7" s="171">
        <f t="shared" si="2"/>
        <v>7</v>
      </c>
      <c r="AH7" s="700">
        <f>SUMIF(D$3:$AA7,"&lt;="&amp;$AH$1)/COUNTIF(D$3:$AA7,"&lt;="&amp;$AH$1)</f>
        <v>27.612903225806456</v>
      </c>
      <c r="AJ7" s="171">
        <v>2010</v>
      </c>
      <c r="AK7" s="700">
        <f>AVERAGE($AG$967:$AG$1227)</f>
        <v>8.0344827586206904</v>
      </c>
      <c r="AL7" s="911">
        <f t="shared" si="3"/>
        <v>0.33477011494252878</v>
      </c>
      <c r="AM7" s="700">
        <f>_xlfn.STDEV.P($AG$967:$AG$1227)</f>
        <v>4.2600746738424933</v>
      </c>
      <c r="AN7" s="700"/>
      <c r="AO7" s="700">
        <f>AVERAGE($AH$967:$AH$1227)</f>
        <v>29.959298083663146</v>
      </c>
      <c r="AP7" s="700">
        <f>_xlfn.STDEV.P($AH$967:$AH$1227)</f>
        <v>0.17707784275515312</v>
      </c>
    </row>
    <row r="8" spans="2:44" x14ac:dyDescent="0.25">
      <c r="B8" s="910">
        <v>38838</v>
      </c>
      <c r="C8" s="581">
        <f t="shared" si="0"/>
        <v>5</v>
      </c>
      <c r="D8" s="171">
        <v>20.6</v>
      </c>
      <c r="E8" s="171">
        <v>11.15</v>
      </c>
      <c r="F8" s="171">
        <v>7.1400000000000006</v>
      </c>
      <c r="G8" s="171">
        <v>6.86</v>
      </c>
      <c r="H8" s="171">
        <v>3</v>
      </c>
      <c r="I8" s="171">
        <v>1.59</v>
      </c>
      <c r="J8" s="171">
        <v>2.36</v>
      </c>
      <c r="K8" s="171">
        <v>39.9</v>
      </c>
      <c r="L8" s="171">
        <v>68.89</v>
      </c>
      <c r="M8" s="171">
        <v>64.03</v>
      </c>
      <c r="N8" s="171">
        <v>80</v>
      </c>
      <c r="O8" s="171">
        <v>75</v>
      </c>
      <c r="P8" s="171">
        <v>68.89</v>
      </c>
      <c r="Q8" s="171">
        <v>130</v>
      </c>
      <c r="R8" s="171">
        <v>75</v>
      </c>
      <c r="S8" s="171">
        <v>65</v>
      </c>
      <c r="T8" s="171">
        <v>54</v>
      </c>
      <c r="U8" s="171">
        <v>50</v>
      </c>
      <c r="V8" s="171">
        <v>35.69</v>
      </c>
      <c r="W8" s="171">
        <v>27</v>
      </c>
      <c r="X8" s="171">
        <v>39.67</v>
      </c>
      <c r="Y8" s="171">
        <v>53.46</v>
      </c>
      <c r="Z8" s="171">
        <v>45</v>
      </c>
      <c r="AA8" s="171">
        <v>70.12</v>
      </c>
      <c r="AB8" s="171">
        <v>130</v>
      </c>
      <c r="AC8" s="171">
        <v>27</v>
      </c>
      <c r="AD8" s="171">
        <v>15.35</v>
      </c>
      <c r="AF8" s="171">
        <f t="shared" si="1"/>
        <v>2006</v>
      </c>
      <c r="AG8" s="171">
        <f t="shared" si="2"/>
        <v>11</v>
      </c>
      <c r="AH8" s="700">
        <f>SUMIF(D$3:$AA8,"&lt;="&amp;$AH$1)/COUNTIF(D$3:$AA8,"&lt;="&amp;$AH$1)</f>
        <v>25.022857142857148</v>
      </c>
      <c r="AJ8" s="171">
        <v>2011</v>
      </c>
      <c r="AK8" s="700">
        <f>AVERAGE($AG$1228:$AG$1487)</f>
        <v>3.6346153846153846</v>
      </c>
      <c r="AL8" s="911">
        <f t="shared" si="3"/>
        <v>0.15144230769230768</v>
      </c>
      <c r="AM8" s="700">
        <f>_xlfn.STDEV.P($AG$1228:$AG$1487)</f>
        <v>2.94454414751866</v>
      </c>
      <c r="AN8" s="700"/>
      <c r="AO8" s="700">
        <f>AVERAGE($AH$1228:$AH$1487)</f>
        <v>30.381548541945126</v>
      </c>
      <c r="AP8" s="700">
        <f>_xlfn.STDEV.P($AH$1228:$AH$1487)</f>
        <v>0.11640472925821228</v>
      </c>
    </row>
    <row r="9" spans="2:44" x14ac:dyDescent="0.25">
      <c r="B9" s="910">
        <v>38839</v>
      </c>
      <c r="C9" s="581">
        <f t="shared" si="0"/>
        <v>5</v>
      </c>
      <c r="D9" s="171">
        <v>23.27</v>
      </c>
      <c r="E9" s="171">
        <v>15.52</v>
      </c>
      <c r="F9" s="171">
        <v>11.01</v>
      </c>
      <c r="G9" s="171">
        <v>3.27</v>
      </c>
      <c r="H9" s="171">
        <v>3.85</v>
      </c>
      <c r="I9" s="171">
        <v>11.73</v>
      </c>
      <c r="J9" s="171">
        <v>37.050000000000004</v>
      </c>
      <c r="K9" s="171">
        <v>54.17</v>
      </c>
      <c r="L9" s="171">
        <v>54.51</v>
      </c>
      <c r="M9" s="171">
        <v>62.45</v>
      </c>
      <c r="N9" s="171">
        <v>59.38</v>
      </c>
      <c r="O9" s="171">
        <v>64.489999999999995</v>
      </c>
      <c r="P9" s="171">
        <v>64.349999999999994</v>
      </c>
      <c r="Q9" s="171">
        <v>59</v>
      </c>
      <c r="R9" s="171">
        <v>61.120000000000005</v>
      </c>
      <c r="S9" s="171">
        <v>51.38</v>
      </c>
      <c r="T9" s="171">
        <v>46.46</v>
      </c>
      <c r="U9" s="171">
        <v>44</v>
      </c>
      <c r="V9" s="171">
        <v>41.08</v>
      </c>
      <c r="W9" s="171">
        <v>38.58</v>
      </c>
      <c r="X9" s="171">
        <v>41.01</v>
      </c>
      <c r="Y9" s="171">
        <v>44.38</v>
      </c>
      <c r="Z9" s="171">
        <v>40.5</v>
      </c>
      <c r="AA9" s="171">
        <v>39</v>
      </c>
      <c r="AB9" s="171">
        <v>64.489999999999995</v>
      </c>
      <c r="AC9" s="171">
        <v>38.58</v>
      </c>
      <c r="AD9" s="171">
        <v>18.09</v>
      </c>
      <c r="AF9" s="171">
        <f t="shared" si="1"/>
        <v>2006</v>
      </c>
      <c r="AG9" s="171">
        <f t="shared" si="2"/>
        <v>12</v>
      </c>
      <c r="AH9" s="700">
        <f>SUMIF(D$3:$AA9,"&lt;="&amp;$AH$1)/COUNTIF(D$3:$AA9,"&lt;="&amp;$AH$1)</f>
        <v>25.126481481481481</v>
      </c>
      <c r="AJ9" s="171">
        <v>2012</v>
      </c>
      <c r="AK9" s="700">
        <f>AVERAGE($AG$1488:$AG$1748)</f>
        <v>6.578544061302682</v>
      </c>
      <c r="AL9" s="911">
        <f t="shared" si="3"/>
        <v>0.27410600255427842</v>
      </c>
      <c r="AM9" s="700">
        <f>_xlfn.STDEV.P($AG$1488:$AG$1748)</f>
        <v>2.91622482482087</v>
      </c>
      <c r="AN9" s="700"/>
      <c r="AO9" s="700">
        <f>AVERAGE($AH$1488:$AH$1748)</f>
        <v>30.868374449969306</v>
      </c>
      <c r="AP9" s="700">
        <f>_xlfn.STDEV.P($AH$1488:$AH$1748)</f>
        <v>0.1039687507265422</v>
      </c>
    </row>
    <row r="10" spans="2:44" x14ac:dyDescent="0.25">
      <c r="B10" s="910">
        <v>38840</v>
      </c>
      <c r="C10" s="581">
        <f t="shared" si="0"/>
        <v>5</v>
      </c>
      <c r="D10" s="171">
        <v>26.23</v>
      </c>
      <c r="E10" s="171">
        <v>20.16</v>
      </c>
      <c r="F10" s="171">
        <v>16.3</v>
      </c>
      <c r="G10" s="171">
        <v>10.23</v>
      </c>
      <c r="H10" s="171">
        <v>12.83</v>
      </c>
      <c r="I10" s="171">
        <v>22.86</v>
      </c>
      <c r="J10" s="171">
        <v>33.910000000000004</v>
      </c>
      <c r="K10" s="171">
        <v>44.32</v>
      </c>
      <c r="L10" s="171">
        <v>57.25</v>
      </c>
      <c r="M10" s="171">
        <v>62</v>
      </c>
      <c r="N10" s="171">
        <v>63</v>
      </c>
      <c r="O10" s="171">
        <v>72.350000000000009</v>
      </c>
      <c r="P10" s="171">
        <v>65</v>
      </c>
      <c r="Q10" s="171">
        <v>70</v>
      </c>
      <c r="R10" s="171">
        <v>60</v>
      </c>
      <c r="S10" s="171">
        <v>50.67</v>
      </c>
      <c r="T10" s="171">
        <v>47.1</v>
      </c>
      <c r="U10" s="171">
        <v>45</v>
      </c>
      <c r="V10" s="171">
        <v>43.09</v>
      </c>
      <c r="W10" s="171">
        <v>40.61</v>
      </c>
      <c r="X10" s="171">
        <v>42.14</v>
      </c>
      <c r="Y10" s="171">
        <v>44.85</v>
      </c>
      <c r="Z10" s="171">
        <v>39.76</v>
      </c>
      <c r="AA10" s="171">
        <v>34.82</v>
      </c>
      <c r="AB10" s="171">
        <v>72.350000000000009</v>
      </c>
      <c r="AC10" s="171">
        <v>39.76</v>
      </c>
      <c r="AD10" s="171">
        <v>22.17</v>
      </c>
      <c r="AF10" s="171">
        <f t="shared" si="1"/>
        <v>2006</v>
      </c>
      <c r="AG10" s="171">
        <f t="shared" si="2"/>
        <v>11</v>
      </c>
      <c r="AH10" s="700">
        <f>SUMIF(D$3:$AA10,"&lt;="&amp;$AH$1)/COUNTIF(D$3:$AA10,"&lt;="&amp;$AH$1)</f>
        <v>25.487384615384613</v>
      </c>
      <c r="AJ10" s="171">
        <v>2013</v>
      </c>
      <c r="AK10" s="700">
        <f>AVERAGE($AG$1749:$AG$2009)</f>
        <v>4.6781609195402298</v>
      </c>
      <c r="AL10" s="911">
        <f t="shared" si="3"/>
        <v>0.19492337164750959</v>
      </c>
      <c r="AM10" s="700">
        <f>_xlfn.STDEV.P($AG$1749:$AG$2009)</f>
        <v>3.1906025309498154</v>
      </c>
      <c r="AN10" s="700"/>
      <c r="AO10" s="700">
        <f>AVERAGE($AH$1749:$AH$2009)</f>
        <v>31.198020917494176</v>
      </c>
      <c r="AP10" s="700">
        <f>_xlfn.STDEV.P($AH$1749:$AH$2009)</f>
        <v>8.5473943364545002E-2</v>
      </c>
    </row>
    <row r="11" spans="2:44" x14ac:dyDescent="0.25">
      <c r="B11" s="910">
        <v>38841</v>
      </c>
      <c r="C11" s="581">
        <f t="shared" si="0"/>
        <v>5</v>
      </c>
      <c r="D11" s="171">
        <v>30</v>
      </c>
      <c r="E11" s="171">
        <v>24.1</v>
      </c>
      <c r="F11" s="171">
        <v>21.7</v>
      </c>
      <c r="G11" s="171">
        <v>18.100000000000001</v>
      </c>
      <c r="H11" s="171">
        <v>23</v>
      </c>
      <c r="I11" s="171">
        <v>24.63</v>
      </c>
      <c r="J11" s="171">
        <v>37.47</v>
      </c>
      <c r="K11" s="171">
        <v>52.43</v>
      </c>
      <c r="L11" s="171">
        <v>56.25</v>
      </c>
      <c r="M11" s="171">
        <v>59.25</v>
      </c>
      <c r="N11" s="171">
        <v>70</v>
      </c>
      <c r="O11" s="171">
        <v>135</v>
      </c>
      <c r="P11" s="171">
        <v>80</v>
      </c>
      <c r="Q11" s="171">
        <v>70</v>
      </c>
      <c r="R11" s="171">
        <v>95</v>
      </c>
      <c r="S11" s="171">
        <v>50.01</v>
      </c>
      <c r="T11" s="171">
        <v>48.75</v>
      </c>
      <c r="U11" s="171">
        <v>42</v>
      </c>
      <c r="V11" s="171">
        <v>39.119999999999997</v>
      </c>
      <c r="W11" s="171">
        <v>38.1</v>
      </c>
      <c r="X11" s="171">
        <v>45.25</v>
      </c>
      <c r="Y11" s="171">
        <v>59.99</v>
      </c>
      <c r="Z11" s="171">
        <v>60.02</v>
      </c>
      <c r="AA11" s="171">
        <v>37.380000000000003</v>
      </c>
      <c r="AB11" s="171">
        <v>135</v>
      </c>
      <c r="AC11" s="171">
        <v>38.1</v>
      </c>
      <c r="AD11" s="171">
        <v>27.05</v>
      </c>
      <c r="AF11" s="171">
        <f t="shared" si="1"/>
        <v>2006</v>
      </c>
      <c r="AG11" s="171">
        <f t="shared" si="2"/>
        <v>11</v>
      </c>
      <c r="AH11" s="700">
        <f>SUMIF(D$3:$AA11,"&lt;="&amp;$AH$1)/COUNTIF(D$3:$AA11,"&lt;="&amp;$AH$1)</f>
        <v>26.214210526315785</v>
      </c>
      <c r="AJ11" s="171">
        <v>2014</v>
      </c>
      <c r="AK11" s="700">
        <f>AVERAGE($AG$2010:$AG$2091)</f>
        <v>10</v>
      </c>
      <c r="AL11" s="911">
        <f t="shared" si="3"/>
        <v>0.41666666666666669</v>
      </c>
      <c r="AM11" s="700">
        <f>_xlfn.STDEV.P($AG$2010:$AG$2091)</f>
        <v>3.7644032338894133</v>
      </c>
      <c r="AN11" s="700"/>
      <c r="AO11" s="700">
        <f>AVERAGE($AH$2010:$AH$2091)</f>
        <v>31.338966268257735</v>
      </c>
      <c r="AP11" s="700">
        <f>_xlfn.STDEV.P($AH$2010:$AH$2091)</f>
        <v>4.1240460910242853E-2</v>
      </c>
    </row>
    <row r="12" spans="2:44" x14ac:dyDescent="0.25">
      <c r="B12" s="910">
        <v>38842</v>
      </c>
      <c r="C12" s="581">
        <f t="shared" si="0"/>
        <v>5</v>
      </c>
      <c r="D12" s="171">
        <v>20.85</v>
      </c>
      <c r="E12" s="171">
        <v>16.34</v>
      </c>
      <c r="F12" s="171">
        <v>14</v>
      </c>
      <c r="G12" s="171">
        <v>8.09</v>
      </c>
      <c r="H12" s="171">
        <v>10.71</v>
      </c>
      <c r="I12" s="171">
        <v>18.59</v>
      </c>
      <c r="J12" s="171">
        <v>31</v>
      </c>
      <c r="K12" s="171">
        <v>47.89</v>
      </c>
      <c r="L12" s="171">
        <v>57.56</v>
      </c>
      <c r="M12" s="171">
        <v>80</v>
      </c>
      <c r="N12" s="171">
        <v>80</v>
      </c>
      <c r="O12" s="171">
        <v>105.64</v>
      </c>
      <c r="P12" s="171">
        <v>75.12</v>
      </c>
      <c r="Q12" s="171">
        <v>99</v>
      </c>
      <c r="R12" s="171">
        <v>80</v>
      </c>
      <c r="S12" s="171">
        <v>52.93</v>
      </c>
      <c r="T12" s="171">
        <v>38.880000000000003</v>
      </c>
      <c r="U12" s="171">
        <v>38.25</v>
      </c>
      <c r="V12" s="171">
        <v>36.43</v>
      </c>
      <c r="W12" s="171">
        <v>35</v>
      </c>
      <c r="X12" s="171">
        <v>36.4</v>
      </c>
      <c r="Y12" s="171">
        <v>38.5</v>
      </c>
      <c r="Z12" s="171">
        <v>39</v>
      </c>
      <c r="AA12" s="171">
        <v>35.21</v>
      </c>
      <c r="AB12" s="171">
        <v>105.64</v>
      </c>
      <c r="AC12" s="171">
        <v>35</v>
      </c>
      <c r="AD12" s="171">
        <v>19.350000000000001</v>
      </c>
      <c r="AF12" s="171">
        <f t="shared" si="1"/>
        <v>2006</v>
      </c>
      <c r="AG12" s="171">
        <f t="shared" si="2"/>
        <v>15</v>
      </c>
      <c r="AH12" s="700">
        <f>SUMIF(D$3:$AA12,"&lt;="&amp;$AH$1)/COUNTIF(D$3:$AA12,"&lt;="&amp;$AH$1)</f>
        <v>26.478351648351644</v>
      </c>
      <c r="AJ12" s="171">
        <v>2015</v>
      </c>
      <c r="AK12" s="700">
        <f>AVERAGE($AG$2092:$AG$2245)</f>
        <v>14.487012987012987</v>
      </c>
      <c r="AL12" s="911">
        <f t="shared" si="3"/>
        <v>0.60362554112554112</v>
      </c>
      <c r="AM12" s="700">
        <f>_xlfn.STDEV.P($AG$2092:$AG$2245)</f>
        <v>5.0378270581039013</v>
      </c>
      <c r="AN12" s="700"/>
      <c r="AO12" s="700">
        <f>AVERAGE($AH$2092:$AH$2245)</f>
        <v>31.553831414346039</v>
      </c>
      <c r="AP12" s="700">
        <f>_xlfn.STDEV.P($AH$2092:$AH$2245)</f>
        <v>9.5738946403649161E-2</v>
      </c>
    </row>
    <row r="13" spans="2:44" x14ac:dyDescent="0.25">
      <c r="B13" s="910">
        <v>38845</v>
      </c>
      <c r="C13" s="581">
        <f t="shared" si="0"/>
        <v>5</v>
      </c>
      <c r="D13" s="171">
        <v>15.790000000000001</v>
      </c>
      <c r="E13" s="171">
        <v>5.8500000000000005</v>
      </c>
      <c r="F13" s="171">
        <v>5.1000000000000005</v>
      </c>
      <c r="G13" s="171">
        <v>5.05</v>
      </c>
      <c r="H13" s="171">
        <v>5.05</v>
      </c>
      <c r="I13" s="171">
        <v>6.12</v>
      </c>
      <c r="J13" s="171">
        <v>26</v>
      </c>
      <c r="K13" s="171">
        <v>39.5</v>
      </c>
      <c r="L13" s="171">
        <v>40.800000000000004</v>
      </c>
      <c r="M13" s="171">
        <v>61.4</v>
      </c>
      <c r="N13" s="171">
        <v>66</v>
      </c>
      <c r="O13" s="171">
        <v>78.150000000000006</v>
      </c>
      <c r="P13" s="171">
        <v>63.6</v>
      </c>
      <c r="Q13" s="171">
        <v>70.3</v>
      </c>
      <c r="R13" s="171">
        <v>75</v>
      </c>
      <c r="S13" s="171">
        <v>63.550000000000004</v>
      </c>
      <c r="T13" s="171">
        <v>50.120000000000005</v>
      </c>
      <c r="U13" s="171">
        <v>39.340000000000003</v>
      </c>
      <c r="V13" s="171">
        <v>35.6</v>
      </c>
      <c r="W13" s="171">
        <v>34.46</v>
      </c>
      <c r="X13" s="171">
        <v>35.5</v>
      </c>
      <c r="Y13" s="171">
        <v>37</v>
      </c>
      <c r="Z13" s="171">
        <v>36.200000000000003</v>
      </c>
      <c r="AA13" s="171">
        <v>30.07</v>
      </c>
      <c r="AB13" s="171">
        <v>78.150000000000006</v>
      </c>
      <c r="AC13" s="171">
        <v>34.46</v>
      </c>
      <c r="AD13" s="171">
        <v>12.38</v>
      </c>
      <c r="AF13" s="171">
        <f t="shared" si="1"/>
        <v>2006</v>
      </c>
      <c r="AG13" s="171">
        <f t="shared" si="2"/>
        <v>16</v>
      </c>
      <c r="AH13" s="700">
        <f>SUMIF(D$3:$AA13,"&lt;="&amp;$AH$1)/COUNTIF(D$3:$AA13,"&lt;="&amp;$AH$1)</f>
        <v>26.233271028037382</v>
      </c>
      <c r="AJ13" s="171">
        <v>2016</v>
      </c>
      <c r="AK13" s="700">
        <f>AVERAGE($AG$2246:$AG$2506)</f>
        <v>19.685823754789272</v>
      </c>
      <c r="AL13" s="911">
        <f t="shared" si="3"/>
        <v>0.82024265644955296</v>
      </c>
      <c r="AM13" s="700">
        <f>_xlfn.STDEV.P($AG$2246:$AG$2506)</f>
        <v>5.4288280975730787</v>
      </c>
      <c r="AN13" s="700"/>
      <c r="AO13" s="700">
        <f>AVERAGE($AH$2246:$AH$2506)</f>
        <v>31.301167385675086</v>
      </c>
      <c r="AP13" s="700">
        <f>_xlfn.STDEV.P($AH$2246:$AH$2506)</f>
        <v>0.15231797683406414</v>
      </c>
    </row>
    <row r="14" spans="2:44" x14ac:dyDescent="0.25">
      <c r="B14" s="910">
        <v>38846</v>
      </c>
      <c r="C14" s="581">
        <f t="shared" si="0"/>
        <v>5</v>
      </c>
      <c r="D14" s="171">
        <v>28.7</v>
      </c>
      <c r="E14" s="171">
        <v>24.52</v>
      </c>
      <c r="F14" s="171">
        <v>19.5</v>
      </c>
      <c r="G14" s="171">
        <v>15</v>
      </c>
      <c r="H14" s="171">
        <v>18.03</v>
      </c>
      <c r="I14" s="171">
        <v>25.98</v>
      </c>
      <c r="J14" s="171">
        <v>38</v>
      </c>
      <c r="K14" s="171">
        <v>51.01</v>
      </c>
      <c r="L14" s="171">
        <v>52.79</v>
      </c>
      <c r="M14" s="171">
        <v>61</v>
      </c>
      <c r="N14" s="171">
        <v>67.03</v>
      </c>
      <c r="O14" s="171">
        <v>80</v>
      </c>
      <c r="P14" s="171">
        <v>75</v>
      </c>
      <c r="Q14" s="171">
        <v>135</v>
      </c>
      <c r="R14" s="171">
        <v>55</v>
      </c>
      <c r="S14" s="171">
        <v>64</v>
      </c>
      <c r="T14" s="171">
        <v>46.72</v>
      </c>
      <c r="U14" s="171">
        <v>43.33</v>
      </c>
      <c r="V14" s="171">
        <v>40.869999999999997</v>
      </c>
      <c r="W14" s="171">
        <v>39</v>
      </c>
      <c r="X14" s="171">
        <v>41.84</v>
      </c>
      <c r="Y14" s="171">
        <v>42.85</v>
      </c>
      <c r="Z14" s="171">
        <v>39</v>
      </c>
      <c r="AA14" s="171">
        <v>37.83</v>
      </c>
      <c r="AB14" s="171">
        <v>135</v>
      </c>
      <c r="AC14" s="171">
        <v>39</v>
      </c>
      <c r="AD14" s="171">
        <v>25.94</v>
      </c>
      <c r="AF14" s="171">
        <f t="shared" si="1"/>
        <v>2006</v>
      </c>
      <c r="AG14" s="171">
        <f t="shared" si="2"/>
        <v>12</v>
      </c>
      <c r="AH14" s="700">
        <f>SUMIF(D$3:$AA14,"&lt;="&amp;$AH$1)/COUNTIF(D$3:$AA14,"&lt;="&amp;$AH$1)</f>
        <v>26.682605042016807</v>
      </c>
      <c r="AJ14" s="171">
        <v>2017</v>
      </c>
      <c r="AK14" s="700">
        <f>AVERAGE($AG$2507:$AG$2615)</f>
        <v>16.532110091743121</v>
      </c>
      <c r="AL14" s="911">
        <f t="shared" si="3"/>
        <v>0.68883792048929671</v>
      </c>
      <c r="AM14" s="700">
        <f>_xlfn.STDEV.P($AG$2507:$AG$2615)</f>
        <v>5.6674975584499174</v>
      </c>
      <c r="AN14" s="700"/>
      <c r="AO14" s="700">
        <f>AVERAGE($AH$2507:$AH$2615)</f>
        <v>31.397738827409356</v>
      </c>
      <c r="AP14" s="700">
        <f>_xlfn.STDEV.P($AH$2507:$AH$2615)</f>
        <v>6.4083605898520246E-2</v>
      </c>
    </row>
    <row r="15" spans="2:44" x14ac:dyDescent="0.25">
      <c r="B15" s="910">
        <v>38847</v>
      </c>
      <c r="C15" s="581">
        <f t="shared" si="0"/>
        <v>5</v>
      </c>
      <c r="D15" s="171">
        <v>27.5</v>
      </c>
      <c r="E15" s="171">
        <v>22.2</v>
      </c>
      <c r="F15" s="171">
        <v>20.900000000000002</v>
      </c>
      <c r="G15" s="171">
        <v>14.4</v>
      </c>
      <c r="H15" s="171">
        <v>18.46</v>
      </c>
      <c r="I15" s="171">
        <v>25</v>
      </c>
      <c r="J15" s="171">
        <v>36</v>
      </c>
      <c r="K15" s="171">
        <v>49</v>
      </c>
      <c r="L15" s="171">
        <v>54.89</v>
      </c>
      <c r="M15" s="171">
        <v>66.5</v>
      </c>
      <c r="N15" s="171">
        <v>80</v>
      </c>
      <c r="O15" s="171">
        <v>75.31</v>
      </c>
      <c r="P15" s="171">
        <v>80</v>
      </c>
      <c r="Q15" s="171">
        <v>61.24</v>
      </c>
      <c r="R15" s="171">
        <v>135</v>
      </c>
      <c r="S15" s="171">
        <v>54.02</v>
      </c>
      <c r="T15" s="171">
        <v>49.52</v>
      </c>
      <c r="U15" s="171">
        <v>44.59</v>
      </c>
      <c r="V15" s="171">
        <v>42</v>
      </c>
      <c r="W15" s="171">
        <v>39.1</v>
      </c>
      <c r="X15" s="171">
        <v>38.69</v>
      </c>
      <c r="Y15" s="171">
        <v>42.5</v>
      </c>
      <c r="Z15" s="171">
        <v>38.78</v>
      </c>
      <c r="AA15" s="171">
        <v>35.25</v>
      </c>
      <c r="AB15" s="171">
        <v>135</v>
      </c>
      <c r="AC15" s="171">
        <v>38.69</v>
      </c>
      <c r="AD15" s="171">
        <v>24.96</v>
      </c>
      <c r="AF15" s="171">
        <f t="shared" si="1"/>
        <v>2006</v>
      </c>
      <c r="AG15" s="171">
        <f t="shared" si="2"/>
        <v>13</v>
      </c>
      <c r="AH15" s="700">
        <f>SUMIF(D$3:$AA15,"&lt;="&amp;$AH$1)/COUNTIF(D$3:$AA15,"&lt;="&amp;$AH$1)</f>
        <v>27.090984848484851</v>
      </c>
      <c r="AL15" s="915">
        <f>AVERAGE(AL3:AL14)</f>
        <v>0.42894592162422679</v>
      </c>
      <c r="AO15" s="906">
        <f>IFERROR(AVERAGE(AO3:AO14),0)</f>
        <v>30.291688346263779</v>
      </c>
    </row>
    <row r="16" spans="2:44" x14ac:dyDescent="0.25">
      <c r="B16" s="910">
        <v>38848</v>
      </c>
      <c r="C16" s="581">
        <f t="shared" si="0"/>
        <v>5</v>
      </c>
      <c r="D16" s="171">
        <v>30.43</v>
      </c>
      <c r="E16" s="171">
        <v>26.57</v>
      </c>
      <c r="F16" s="171">
        <v>23</v>
      </c>
      <c r="G16" s="171">
        <v>19.87</v>
      </c>
      <c r="H16" s="171">
        <v>20.260000000000002</v>
      </c>
      <c r="I16" s="171">
        <v>27.38</v>
      </c>
      <c r="J16" s="171">
        <v>36.82</v>
      </c>
      <c r="K16" s="171">
        <v>50.870000000000005</v>
      </c>
      <c r="L16" s="171">
        <v>59.65</v>
      </c>
      <c r="M16" s="171">
        <v>68.02</v>
      </c>
      <c r="N16" s="171">
        <v>66.16</v>
      </c>
      <c r="O16" s="171">
        <v>75</v>
      </c>
      <c r="P16" s="171">
        <v>99</v>
      </c>
      <c r="Q16" s="171">
        <v>105.48</v>
      </c>
      <c r="R16" s="171">
        <v>66.98</v>
      </c>
      <c r="S16" s="171">
        <v>54.96</v>
      </c>
      <c r="T16" s="171">
        <v>50.96</v>
      </c>
      <c r="U16" s="171">
        <v>47.44</v>
      </c>
      <c r="V16" s="171">
        <v>42</v>
      </c>
      <c r="W16" s="171">
        <v>39.5</v>
      </c>
      <c r="X16" s="171">
        <v>41.86</v>
      </c>
      <c r="Y16" s="171">
        <v>41.5</v>
      </c>
      <c r="Z16" s="171">
        <v>39</v>
      </c>
      <c r="AA16" s="171">
        <v>33.950000000000003</v>
      </c>
      <c r="AB16" s="171">
        <v>105.48</v>
      </c>
      <c r="AC16" s="171">
        <v>39</v>
      </c>
      <c r="AD16" s="171">
        <v>27.28</v>
      </c>
      <c r="AF16" s="171">
        <f t="shared" si="1"/>
        <v>2006</v>
      </c>
      <c r="AG16" s="171">
        <f t="shared" si="2"/>
        <v>13</v>
      </c>
      <c r="AH16" s="700">
        <f>SUMIF(D$3:$AA16,"&lt;="&amp;$AH$1)/COUNTIF(D$3:$AA16,"&lt;="&amp;$AH$1)</f>
        <v>27.573448275862074</v>
      </c>
    </row>
    <row r="17" spans="2:34" x14ac:dyDescent="0.25">
      <c r="B17" s="910">
        <v>38849</v>
      </c>
      <c r="C17" s="581">
        <f t="shared" si="0"/>
        <v>5</v>
      </c>
      <c r="D17" s="171">
        <v>29.86</v>
      </c>
      <c r="E17" s="171">
        <v>28.46</v>
      </c>
      <c r="F17" s="171">
        <v>22.75</v>
      </c>
      <c r="G17" s="171">
        <v>21.44</v>
      </c>
      <c r="H17" s="171">
        <v>22.3</v>
      </c>
      <c r="I17" s="171">
        <v>28.5</v>
      </c>
      <c r="J17" s="171">
        <v>36</v>
      </c>
      <c r="K17" s="171">
        <v>49.5</v>
      </c>
      <c r="L17" s="171">
        <v>54.79</v>
      </c>
      <c r="M17" s="171">
        <v>69.5</v>
      </c>
      <c r="N17" s="171">
        <v>80</v>
      </c>
      <c r="O17" s="171">
        <v>89</v>
      </c>
      <c r="P17" s="171">
        <v>73.11</v>
      </c>
      <c r="Q17" s="171">
        <v>78</v>
      </c>
      <c r="R17" s="171">
        <v>70.25</v>
      </c>
      <c r="S17" s="171">
        <v>51.56</v>
      </c>
      <c r="T17" s="171">
        <v>46.11</v>
      </c>
      <c r="U17" s="171">
        <v>47.6</v>
      </c>
      <c r="V17" s="171">
        <v>43.5</v>
      </c>
      <c r="W17" s="171">
        <v>38.51</v>
      </c>
      <c r="X17" s="171">
        <v>40.380000000000003</v>
      </c>
      <c r="Y17" s="171">
        <v>38.15</v>
      </c>
      <c r="Z17" s="171">
        <v>39</v>
      </c>
      <c r="AA17" s="171">
        <v>41</v>
      </c>
      <c r="AB17" s="171">
        <v>89</v>
      </c>
      <c r="AC17" s="171">
        <v>38.15</v>
      </c>
      <c r="AD17" s="171">
        <v>28.79</v>
      </c>
      <c r="AF17" s="171">
        <f t="shared" si="1"/>
        <v>2006</v>
      </c>
      <c r="AG17" s="171">
        <f t="shared" si="2"/>
        <v>12</v>
      </c>
      <c r="AH17" s="700">
        <f>SUMIF(D$3:$AA17,"&lt;="&amp;$AH$1)/COUNTIF(D$3:$AA17,"&lt;="&amp;$AH$1)</f>
        <v>27.926751592356695</v>
      </c>
    </row>
    <row r="18" spans="2:34" x14ac:dyDescent="0.25">
      <c r="B18" s="910">
        <v>38852</v>
      </c>
      <c r="C18" s="581">
        <f t="shared" si="0"/>
        <v>5</v>
      </c>
      <c r="D18" s="171">
        <v>27.98</v>
      </c>
      <c r="E18" s="171">
        <v>21.89</v>
      </c>
      <c r="F18" s="171">
        <v>20.6</v>
      </c>
      <c r="G18" s="171">
        <v>15.64</v>
      </c>
      <c r="H18" s="171">
        <v>13.99</v>
      </c>
      <c r="I18" s="171">
        <v>24.48</v>
      </c>
      <c r="J18" s="171">
        <v>35.270000000000003</v>
      </c>
      <c r="K18" s="171">
        <v>53.76</v>
      </c>
      <c r="L18" s="171">
        <v>60.550000000000004</v>
      </c>
      <c r="M18" s="171">
        <v>60.56</v>
      </c>
      <c r="N18" s="171">
        <v>70.25</v>
      </c>
      <c r="O18" s="171">
        <v>111.31</v>
      </c>
      <c r="P18" s="171">
        <v>75.44</v>
      </c>
      <c r="Q18" s="171">
        <v>75.44</v>
      </c>
      <c r="R18" s="171">
        <v>74.25</v>
      </c>
      <c r="S18" s="171">
        <v>70.45</v>
      </c>
      <c r="T18" s="171">
        <v>60</v>
      </c>
      <c r="U18" s="171">
        <v>66</v>
      </c>
      <c r="V18" s="171">
        <v>48</v>
      </c>
      <c r="W18" s="171">
        <v>42</v>
      </c>
      <c r="X18" s="171">
        <v>42.47</v>
      </c>
      <c r="Y18" s="171">
        <v>43.24</v>
      </c>
      <c r="Z18" s="171">
        <v>43</v>
      </c>
      <c r="AA18" s="171">
        <v>37.410000000000004</v>
      </c>
      <c r="AB18" s="171">
        <v>111.31</v>
      </c>
      <c r="AC18" s="171">
        <v>42</v>
      </c>
      <c r="AD18" s="171">
        <v>24.66</v>
      </c>
      <c r="AF18" s="171">
        <f t="shared" si="1"/>
        <v>2006</v>
      </c>
      <c r="AG18" s="171">
        <f t="shared" si="2"/>
        <v>10</v>
      </c>
      <c r="AH18" s="700">
        <f>SUMIF(D$3:$AA18,"&lt;="&amp;$AH$1)/COUNTIF(D$3:$AA18,"&lt;="&amp;$AH$1)</f>
        <v>27.941497005988033</v>
      </c>
    </row>
    <row r="19" spans="2:34" x14ac:dyDescent="0.25">
      <c r="B19" s="910">
        <v>38853</v>
      </c>
      <c r="C19" s="581">
        <f t="shared" si="0"/>
        <v>5</v>
      </c>
      <c r="D19" s="171">
        <v>28.38</v>
      </c>
      <c r="E19" s="171">
        <v>24.8</v>
      </c>
      <c r="F19" s="171">
        <v>22.69</v>
      </c>
      <c r="G19" s="171">
        <v>17.900000000000002</v>
      </c>
      <c r="H19" s="171">
        <v>22</v>
      </c>
      <c r="I19" s="171">
        <v>28.77</v>
      </c>
      <c r="J19" s="171">
        <v>36.910000000000004</v>
      </c>
      <c r="K19" s="171">
        <v>55</v>
      </c>
      <c r="L19" s="171">
        <v>56.910000000000004</v>
      </c>
      <c r="M19" s="171">
        <v>66</v>
      </c>
      <c r="N19" s="171">
        <v>80</v>
      </c>
      <c r="O19" s="171">
        <v>125</v>
      </c>
      <c r="P19" s="171">
        <v>99</v>
      </c>
      <c r="Q19" s="171">
        <v>90</v>
      </c>
      <c r="R19" s="171">
        <v>99</v>
      </c>
      <c r="S19" s="171">
        <v>125</v>
      </c>
      <c r="T19" s="171">
        <v>57.77</v>
      </c>
      <c r="U19" s="171">
        <v>54.88</v>
      </c>
      <c r="V19" s="171">
        <v>41.5</v>
      </c>
      <c r="W19" s="171">
        <v>41</v>
      </c>
      <c r="X19" s="171">
        <v>44.300000000000004</v>
      </c>
      <c r="Y19" s="171">
        <v>48.67</v>
      </c>
      <c r="Z19" s="171">
        <v>52.93</v>
      </c>
      <c r="AA19" s="171">
        <v>60</v>
      </c>
      <c r="AB19" s="171">
        <v>125</v>
      </c>
      <c r="AC19" s="171">
        <v>41</v>
      </c>
      <c r="AD19" s="171">
        <v>30.18</v>
      </c>
      <c r="AF19" s="171">
        <f t="shared" si="1"/>
        <v>2006</v>
      </c>
      <c r="AG19" s="171">
        <f t="shared" si="2"/>
        <v>9</v>
      </c>
      <c r="AH19" s="700">
        <f>SUMIF(D$3:$AA19,"&lt;="&amp;$AH$1)/COUNTIF(D$3:$AA19,"&lt;="&amp;$AH$1)</f>
        <v>28.01238636363637</v>
      </c>
    </row>
    <row r="20" spans="2:34" x14ac:dyDescent="0.25">
      <c r="B20" s="910">
        <v>38854</v>
      </c>
      <c r="C20" s="581">
        <f t="shared" si="0"/>
        <v>5</v>
      </c>
      <c r="D20" s="171">
        <v>33</v>
      </c>
      <c r="E20" s="171">
        <v>26.77</v>
      </c>
      <c r="F20" s="171">
        <v>24.67</v>
      </c>
      <c r="G20" s="171">
        <v>19.37</v>
      </c>
      <c r="H20" s="171">
        <v>21.5</v>
      </c>
      <c r="I20" s="171">
        <v>26</v>
      </c>
      <c r="J20" s="171">
        <v>36.270000000000003</v>
      </c>
      <c r="K20" s="171">
        <v>51.19</v>
      </c>
      <c r="L20" s="171">
        <v>55.81</v>
      </c>
      <c r="M20" s="171">
        <v>59.6</v>
      </c>
      <c r="N20" s="171">
        <v>70</v>
      </c>
      <c r="O20" s="171">
        <v>102</v>
      </c>
      <c r="P20" s="171">
        <v>70</v>
      </c>
      <c r="Q20" s="171">
        <v>81</v>
      </c>
      <c r="R20" s="171">
        <v>70.489999999999995</v>
      </c>
      <c r="S20" s="171">
        <v>65</v>
      </c>
      <c r="T20" s="171">
        <v>57.54</v>
      </c>
      <c r="U20" s="171">
        <v>53.6</v>
      </c>
      <c r="V20" s="171">
        <v>45.1</v>
      </c>
      <c r="W20" s="171">
        <v>41.03</v>
      </c>
      <c r="X20" s="171">
        <v>43.29</v>
      </c>
      <c r="Y20" s="171">
        <v>43.4</v>
      </c>
      <c r="Z20" s="171">
        <v>46.18</v>
      </c>
      <c r="AA20" s="171">
        <v>37.24</v>
      </c>
      <c r="AB20" s="171">
        <v>102</v>
      </c>
      <c r="AC20" s="171">
        <v>41.03</v>
      </c>
      <c r="AD20" s="171">
        <v>28.1</v>
      </c>
      <c r="AF20" s="171">
        <f t="shared" si="1"/>
        <v>2006</v>
      </c>
      <c r="AG20" s="171">
        <f t="shared" si="2"/>
        <v>9</v>
      </c>
      <c r="AH20" s="700">
        <f>SUMIF(D$3:$AA20,"&lt;="&amp;$AH$1)/COUNTIF(D$3:$AA20,"&lt;="&amp;$AH$1)</f>
        <v>28.086648648648659</v>
      </c>
    </row>
    <row r="21" spans="2:34" x14ac:dyDescent="0.25">
      <c r="B21" s="910">
        <v>38855</v>
      </c>
      <c r="C21" s="581">
        <f t="shared" si="0"/>
        <v>5</v>
      </c>
      <c r="D21" s="171">
        <v>24.96</v>
      </c>
      <c r="E21" s="171">
        <v>20.900000000000002</v>
      </c>
      <c r="F21" s="171">
        <v>17.940000000000001</v>
      </c>
      <c r="G21" s="171">
        <v>11.97</v>
      </c>
      <c r="H21" s="171">
        <v>14</v>
      </c>
      <c r="I21" s="171">
        <v>21</v>
      </c>
      <c r="J21" s="171">
        <v>31</v>
      </c>
      <c r="K21" s="171">
        <v>47.800000000000004</v>
      </c>
      <c r="L21" s="171">
        <v>51.13</v>
      </c>
      <c r="M21" s="171">
        <v>75</v>
      </c>
      <c r="N21" s="171">
        <v>125</v>
      </c>
      <c r="O21" s="171">
        <v>140</v>
      </c>
      <c r="P21" s="171">
        <v>80</v>
      </c>
      <c r="Q21" s="171">
        <v>81</v>
      </c>
      <c r="R21" s="171">
        <v>75</v>
      </c>
      <c r="S21" s="171">
        <v>60</v>
      </c>
      <c r="T21" s="171">
        <v>55.13</v>
      </c>
      <c r="U21" s="171">
        <v>48.13</v>
      </c>
      <c r="V21" s="171">
        <v>37.75</v>
      </c>
      <c r="W21" s="171">
        <v>35.450000000000003</v>
      </c>
      <c r="X21" s="171">
        <v>39.24</v>
      </c>
      <c r="Y21" s="171">
        <v>37.71</v>
      </c>
      <c r="Z21" s="171">
        <v>38.36</v>
      </c>
      <c r="AA21" s="171">
        <v>39</v>
      </c>
      <c r="AB21" s="171">
        <v>140</v>
      </c>
      <c r="AC21" s="171">
        <v>35.450000000000003</v>
      </c>
      <c r="AD21" s="171">
        <v>22.6</v>
      </c>
      <c r="AF21" s="171">
        <f t="shared" si="1"/>
        <v>2006</v>
      </c>
      <c r="AG21" s="171">
        <f t="shared" si="2"/>
        <v>13</v>
      </c>
      <c r="AH21" s="700">
        <f>SUMIF(D$3:$AA21,"&lt;="&amp;$AH$1)/COUNTIF(D$3:$AA21,"&lt;="&amp;$AH$1)</f>
        <v>28.107626262626265</v>
      </c>
    </row>
    <row r="22" spans="2:34" x14ac:dyDescent="0.25">
      <c r="B22" s="910">
        <v>38856</v>
      </c>
      <c r="C22" s="581">
        <f t="shared" si="0"/>
        <v>5</v>
      </c>
      <c r="D22" s="171">
        <v>41.2</v>
      </c>
      <c r="E22" s="171">
        <v>28.76</v>
      </c>
      <c r="F22" s="171">
        <v>22.75</v>
      </c>
      <c r="G22" s="171">
        <v>11.53</v>
      </c>
      <c r="H22" s="171">
        <v>15.63</v>
      </c>
      <c r="I22" s="171">
        <v>20.82</v>
      </c>
      <c r="J22" s="171">
        <v>33.700000000000003</v>
      </c>
      <c r="K22" s="171">
        <v>49.5</v>
      </c>
      <c r="L22" s="171">
        <v>53.75</v>
      </c>
      <c r="M22" s="171">
        <v>80</v>
      </c>
      <c r="N22" s="171">
        <v>68</v>
      </c>
      <c r="O22" s="171">
        <v>135</v>
      </c>
      <c r="P22" s="171">
        <v>82.8</v>
      </c>
      <c r="Q22" s="171">
        <v>81</v>
      </c>
      <c r="R22" s="171">
        <v>60</v>
      </c>
      <c r="S22" s="171">
        <v>50</v>
      </c>
      <c r="T22" s="171">
        <v>46.62</v>
      </c>
      <c r="U22" s="171">
        <v>43.11</v>
      </c>
      <c r="V22" s="171">
        <v>37.56</v>
      </c>
      <c r="W22" s="171">
        <v>37.020000000000003</v>
      </c>
      <c r="X22" s="171">
        <v>36.410000000000004</v>
      </c>
      <c r="Y22" s="171">
        <v>37.69</v>
      </c>
      <c r="Z22" s="171">
        <v>39.31</v>
      </c>
      <c r="AA22" s="171">
        <v>49.61</v>
      </c>
      <c r="AB22" s="171">
        <v>135</v>
      </c>
      <c r="AC22" s="171">
        <v>36.410000000000004</v>
      </c>
      <c r="AD22" s="171">
        <v>28</v>
      </c>
      <c r="AF22" s="171">
        <f t="shared" si="1"/>
        <v>2006</v>
      </c>
      <c r="AG22" s="171">
        <f t="shared" si="2"/>
        <v>12</v>
      </c>
      <c r="AH22" s="700">
        <f>SUMIF(D$3:$AA22,"&lt;="&amp;$AH$1)/COUNTIF(D$3:$AA22,"&lt;="&amp;$AH$1)</f>
        <v>28.227095238095242</v>
      </c>
    </row>
    <row r="23" spans="2:34" x14ac:dyDescent="0.25">
      <c r="B23" s="910">
        <v>38859</v>
      </c>
      <c r="C23" s="581">
        <f t="shared" si="0"/>
        <v>5</v>
      </c>
      <c r="D23" s="171">
        <v>10.41</v>
      </c>
      <c r="E23" s="171">
        <v>5.29</v>
      </c>
      <c r="F23" s="171">
        <v>7</v>
      </c>
      <c r="G23" s="171">
        <v>2.02</v>
      </c>
      <c r="H23" s="171">
        <v>3</v>
      </c>
      <c r="I23" s="171">
        <v>10</v>
      </c>
      <c r="J23" s="171">
        <v>20.29</v>
      </c>
      <c r="K23" s="171">
        <v>40.64</v>
      </c>
      <c r="L23" s="171">
        <v>45</v>
      </c>
      <c r="M23" s="171">
        <v>49.5</v>
      </c>
      <c r="N23" s="171">
        <v>60</v>
      </c>
      <c r="O23" s="171">
        <v>125</v>
      </c>
      <c r="P23" s="171">
        <v>76.98</v>
      </c>
      <c r="Q23" s="171">
        <v>75</v>
      </c>
      <c r="R23" s="171">
        <v>99</v>
      </c>
      <c r="S23" s="171">
        <v>60</v>
      </c>
      <c r="T23" s="171">
        <v>42</v>
      </c>
      <c r="U23" s="171">
        <v>40</v>
      </c>
      <c r="V23" s="171">
        <v>38</v>
      </c>
      <c r="W23" s="171">
        <v>39.42</v>
      </c>
      <c r="X23" s="171">
        <v>38</v>
      </c>
      <c r="Y23" s="171">
        <v>38</v>
      </c>
      <c r="Z23" s="171">
        <v>36</v>
      </c>
      <c r="AA23" s="171">
        <v>28</v>
      </c>
      <c r="AB23" s="171">
        <v>125</v>
      </c>
      <c r="AC23" s="171">
        <v>36</v>
      </c>
      <c r="AD23" s="171">
        <v>10.75</v>
      </c>
      <c r="AF23" s="171">
        <f t="shared" si="1"/>
        <v>2006</v>
      </c>
      <c r="AG23" s="171">
        <f t="shared" si="2"/>
        <v>16</v>
      </c>
      <c r="AH23" s="700">
        <f>SUMIF(D$3:$AA23,"&lt;="&amp;$AH$1)/COUNTIF(D$3:$AA23,"&lt;="&amp;$AH$1)</f>
        <v>27.990088495575225</v>
      </c>
    </row>
    <row r="24" spans="2:34" x14ac:dyDescent="0.25">
      <c r="B24" s="910">
        <v>38860</v>
      </c>
      <c r="C24" s="581">
        <f t="shared" si="0"/>
        <v>5</v>
      </c>
      <c r="D24" s="171">
        <v>21.3</v>
      </c>
      <c r="E24" s="171">
        <v>14.620000000000001</v>
      </c>
      <c r="F24" s="171">
        <v>13</v>
      </c>
      <c r="G24" s="171">
        <v>7.99</v>
      </c>
      <c r="H24" s="171">
        <v>10</v>
      </c>
      <c r="I24" s="171">
        <v>14.5</v>
      </c>
      <c r="J24" s="171">
        <v>27.17</v>
      </c>
      <c r="K24" s="171">
        <v>40.64</v>
      </c>
      <c r="L24" s="171">
        <v>45.69</v>
      </c>
      <c r="M24" s="171">
        <v>53.59</v>
      </c>
      <c r="N24" s="171">
        <v>71.150000000000006</v>
      </c>
      <c r="O24" s="171">
        <v>88.39</v>
      </c>
      <c r="P24" s="171">
        <v>68.39</v>
      </c>
      <c r="Q24" s="171">
        <v>70</v>
      </c>
      <c r="R24" s="171">
        <v>75</v>
      </c>
      <c r="S24" s="171">
        <v>65</v>
      </c>
      <c r="T24" s="171">
        <v>46.980000000000004</v>
      </c>
      <c r="U24" s="171">
        <v>40.6</v>
      </c>
      <c r="V24" s="171">
        <v>39.61</v>
      </c>
      <c r="W24" s="171">
        <v>40.25</v>
      </c>
      <c r="X24" s="171">
        <v>45</v>
      </c>
      <c r="Y24" s="171">
        <v>42.53</v>
      </c>
      <c r="Z24" s="171">
        <v>41.35</v>
      </c>
      <c r="AA24" s="171">
        <v>35.68</v>
      </c>
      <c r="AB24" s="171">
        <v>88.39</v>
      </c>
      <c r="AC24" s="171">
        <v>39.61</v>
      </c>
      <c r="AD24" s="171">
        <v>18.03</v>
      </c>
      <c r="AF24" s="171">
        <f t="shared" si="1"/>
        <v>2006</v>
      </c>
      <c r="AG24" s="171">
        <f t="shared" si="2"/>
        <v>14</v>
      </c>
      <c r="AH24" s="700">
        <f>SUMIF(D$3:$AA24,"&lt;="&amp;$AH$1)/COUNTIF(D$3:$AA24,"&lt;="&amp;$AH$1)</f>
        <v>27.979166666666675</v>
      </c>
    </row>
    <row r="25" spans="2:34" x14ac:dyDescent="0.25">
      <c r="B25" s="910">
        <v>38861</v>
      </c>
      <c r="C25" s="581">
        <f t="shared" si="0"/>
        <v>5</v>
      </c>
      <c r="D25" s="171">
        <v>28.6</v>
      </c>
      <c r="E25" s="171">
        <v>24.400000000000002</v>
      </c>
      <c r="F25" s="171">
        <v>19.91</v>
      </c>
      <c r="G25" s="171">
        <v>13.11</v>
      </c>
      <c r="H25" s="171">
        <v>15.74</v>
      </c>
      <c r="I25" s="171">
        <v>24.7</v>
      </c>
      <c r="J25" s="171">
        <v>32.58</v>
      </c>
      <c r="K25" s="171">
        <v>46</v>
      </c>
      <c r="L25" s="171">
        <v>50</v>
      </c>
      <c r="M25" s="171">
        <v>60</v>
      </c>
      <c r="N25" s="171">
        <v>70.25</v>
      </c>
      <c r="O25" s="171">
        <v>85.25</v>
      </c>
      <c r="P25" s="171">
        <v>66.78</v>
      </c>
      <c r="Q25" s="171">
        <v>68.25</v>
      </c>
      <c r="R25" s="171">
        <v>68.25</v>
      </c>
      <c r="S25" s="171">
        <v>51</v>
      </c>
      <c r="T25" s="171">
        <v>46.51</v>
      </c>
      <c r="U25" s="171">
        <v>44.76</v>
      </c>
      <c r="V25" s="171">
        <v>43.76</v>
      </c>
      <c r="W25" s="171">
        <v>41.28</v>
      </c>
      <c r="X25" s="171">
        <v>42.58</v>
      </c>
      <c r="Y25" s="171">
        <v>44.49</v>
      </c>
      <c r="Z25" s="171">
        <v>41.83</v>
      </c>
      <c r="AA25" s="171">
        <v>34.730000000000004</v>
      </c>
      <c r="AB25" s="171">
        <v>85.25</v>
      </c>
      <c r="AC25" s="171">
        <v>41.28</v>
      </c>
      <c r="AD25" s="171">
        <v>24.22</v>
      </c>
      <c r="AF25" s="171">
        <f t="shared" si="1"/>
        <v>2006</v>
      </c>
      <c r="AG25" s="171">
        <f t="shared" si="2"/>
        <v>10</v>
      </c>
      <c r="AH25" s="700">
        <f>SUMIF(D$3:$AA25,"&lt;="&amp;$AH$1)/COUNTIF(D$3:$AA25,"&lt;="&amp;$AH$1)</f>
        <v>27.96752</v>
      </c>
    </row>
    <row r="26" spans="2:34" x14ac:dyDescent="0.25">
      <c r="B26" s="910">
        <v>38862</v>
      </c>
      <c r="C26" s="581">
        <f t="shared" si="0"/>
        <v>5</v>
      </c>
      <c r="D26" s="171">
        <v>24.1</v>
      </c>
      <c r="E26" s="171">
        <v>14.43</v>
      </c>
      <c r="F26" s="171">
        <v>10.63</v>
      </c>
      <c r="G26" s="171">
        <v>9.8000000000000007</v>
      </c>
      <c r="H26" s="171">
        <v>7.36</v>
      </c>
      <c r="I26" s="171">
        <v>6.36</v>
      </c>
      <c r="J26" s="171">
        <v>4.32</v>
      </c>
      <c r="K26" s="171">
        <v>6.76</v>
      </c>
      <c r="L26" s="171">
        <v>15.36</v>
      </c>
      <c r="M26" s="171">
        <v>23.22</v>
      </c>
      <c r="N26" s="171">
        <v>34.99</v>
      </c>
      <c r="O26" s="171">
        <v>38.99</v>
      </c>
      <c r="P26" s="171">
        <v>38.619999999999997</v>
      </c>
      <c r="Q26" s="171">
        <v>37.75</v>
      </c>
      <c r="R26" s="171">
        <v>24.22</v>
      </c>
      <c r="S26" s="171">
        <v>20.8</v>
      </c>
      <c r="T26" s="171">
        <v>23.81</v>
      </c>
      <c r="U26" s="171">
        <v>27.310000000000002</v>
      </c>
      <c r="V26" s="171">
        <v>38.11</v>
      </c>
      <c r="W26" s="171">
        <v>38.800000000000004</v>
      </c>
      <c r="X26" s="171">
        <v>41.730000000000004</v>
      </c>
      <c r="Y26" s="171">
        <v>58.21</v>
      </c>
      <c r="Z26" s="171">
        <v>61.2</v>
      </c>
      <c r="AA26" s="171">
        <v>35.910000000000004</v>
      </c>
      <c r="AB26" s="171">
        <v>61.2</v>
      </c>
      <c r="AC26" s="171">
        <v>6.76</v>
      </c>
      <c r="AD26" s="171">
        <v>14.11</v>
      </c>
      <c r="AF26" s="171">
        <f t="shared" si="1"/>
        <v>2006</v>
      </c>
      <c r="AG26" s="171">
        <f t="shared" si="2"/>
        <v>22</v>
      </c>
      <c r="AH26" s="700">
        <f>SUMIF(D$3:$AA26,"&lt;="&amp;$AH$1)/COUNTIF(D$3:$AA26,"&lt;="&amp;$AH$1)</f>
        <v>27.629632352941176</v>
      </c>
    </row>
    <row r="27" spans="2:34" x14ac:dyDescent="0.25">
      <c r="B27" s="910">
        <v>38863</v>
      </c>
      <c r="C27" s="581">
        <f t="shared" si="0"/>
        <v>5</v>
      </c>
      <c r="D27" s="171">
        <v>36.57</v>
      </c>
      <c r="E27" s="171">
        <v>20.7</v>
      </c>
      <c r="F27" s="171">
        <v>15.81</v>
      </c>
      <c r="G27" s="171">
        <v>8.9600000000000009</v>
      </c>
      <c r="H27" s="171">
        <v>14</v>
      </c>
      <c r="I27" s="171">
        <v>16.48</v>
      </c>
      <c r="J27" s="171">
        <v>26</v>
      </c>
      <c r="K27" s="171">
        <v>35.410000000000004</v>
      </c>
      <c r="L27" s="171">
        <v>38</v>
      </c>
      <c r="M27" s="171">
        <v>43.4</v>
      </c>
      <c r="N27" s="171">
        <v>70.95</v>
      </c>
      <c r="O27" s="171">
        <v>64.44</v>
      </c>
      <c r="P27" s="171">
        <v>57.72</v>
      </c>
      <c r="Q27" s="171">
        <v>46</v>
      </c>
      <c r="R27" s="171">
        <v>41.5</v>
      </c>
      <c r="S27" s="171">
        <v>39.730000000000004</v>
      </c>
      <c r="T27" s="171">
        <v>37.800000000000004</v>
      </c>
      <c r="U27" s="171">
        <v>38.51</v>
      </c>
      <c r="V27" s="171">
        <v>38.04</v>
      </c>
      <c r="W27" s="171">
        <v>36.800000000000004</v>
      </c>
      <c r="X27" s="171">
        <v>37.44</v>
      </c>
      <c r="Y27" s="171">
        <v>38.17</v>
      </c>
      <c r="Z27" s="171">
        <v>36.4</v>
      </c>
      <c r="AA27" s="171">
        <v>34.07</v>
      </c>
      <c r="AB27" s="171">
        <v>70.95</v>
      </c>
      <c r="AC27" s="171">
        <v>35.410000000000004</v>
      </c>
      <c r="AD27" s="171">
        <v>21.57</v>
      </c>
      <c r="AF27" s="171">
        <f t="shared" si="1"/>
        <v>2006</v>
      </c>
      <c r="AG27" s="171">
        <f t="shared" si="2"/>
        <v>19</v>
      </c>
      <c r="AH27" s="700">
        <f>SUMIF(D$3:$AA27,"&lt;="&amp;$AH$1)/COUNTIF(D$3:$AA27,"&lt;="&amp;$AH$1)</f>
        <v>27.854467353951886</v>
      </c>
    </row>
    <row r="28" spans="2:34" x14ac:dyDescent="0.25">
      <c r="B28" s="910">
        <v>38866</v>
      </c>
      <c r="C28" s="581">
        <f t="shared" si="0"/>
        <v>5</v>
      </c>
      <c r="D28" s="171">
        <v>23.01</v>
      </c>
      <c r="E28" s="171">
        <v>15.06</v>
      </c>
      <c r="F28" s="171">
        <v>12.540000000000001</v>
      </c>
      <c r="G28" s="171">
        <v>8</v>
      </c>
      <c r="H28" s="171">
        <v>10</v>
      </c>
      <c r="I28" s="171">
        <v>12.38</v>
      </c>
      <c r="J28" s="171">
        <v>32.06</v>
      </c>
      <c r="K28" s="171">
        <v>42</v>
      </c>
      <c r="L28" s="171">
        <v>45.92</v>
      </c>
      <c r="M28" s="171">
        <v>49.5</v>
      </c>
      <c r="N28" s="171">
        <v>54.4</v>
      </c>
      <c r="O28" s="171">
        <v>125.01</v>
      </c>
      <c r="P28" s="171">
        <v>65</v>
      </c>
      <c r="Q28" s="171">
        <v>125</v>
      </c>
      <c r="R28" s="171">
        <v>70.010000000000005</v>
      </c>
      <c r="S28" s="171">
        <v>60</v>
      </c>
      <c r="T28" s="171">
        <v>50.31</v>
      </c>
      <c r="U28" s="171">
        <v>44.4</v>
      </c>
      <c r="V28" s="171">
        <v>41.82</v>
      </c>
      <c r="W28" s="171">
        <v>39.5</v>
      </c>
      <c r="X28" s="171">
        <v>42.4</v>
      </c>
      <c r="Y28" s="171">
        <v>43.19</v>
      </c>
      <c r="Z28" s="171">
        <v>41.94</v>
      </c>
      <c r="AA28" s="171">
        <v>37</v>
      </c>
      <c r="AB28" s="171">
        <v>125.01</v>
      </c>
      <c r="AC28" s="171">
        <v>39.5</v>
      </c>
      <c r="AD28" s="171">
        <v>18.760000000000002</v>
      </c>
      <c r="AF28" s="171">
        <f t="shared" si="1"/>
        <v>2006</v>
      </c>
      <c r="AG28" s="171">
        <f t="shared" si="2"/>
        <v>13</v>
      </c>
      <c r="AH28" s="700">
        <f>SUMIF(D$3:$AA28,"&lt;="&amp;$AH$1)/COUNTIF(D$3:$AA28,"&lt;="&amp;$AH$1)</f>
        <v>27.839999999999996</v>
      </c>
    </row>
    <row r="29" spans="2:34" x14ac:dyDescent="0.25">
      <c r="B29" s="910">
        <v>38867</v>
      </c>
      <c r="C29" s="581">
        <f t="shared" si="0"/>
        <v>5</v>
      </c>
      <c r="D29" s="171">
        <v>32.549999999999997</v>
      </c>
      <c r="E29" s="171">
        <v>26.26</v>
      </c>
      <c r="F29" s="171">
        <v>23</v>
      </c>
      <c r="G29" s="171">
        <v>18.5</v>
      </c>
      <c r="H29" s="171">
        <v>21.81</v>
      </c>
      <c r="I29" s="171">
        <v>28.76</v>
      </c>
      <c r="J29" s="171">
        <v>36.410000000000004</v>
      </c>
      <c r="K29" s="171">
        <v>48.5</v>
      </c>
      <c r="L29" s="171">
        <v>57.46</v>
      </c>
      <c r="M29" s="171">
        <v>62.04</v>
      </c>
      <c r="N29" s="171">
        <v>69.44</v>
      </c>
      <c r="O29" s="171">
        <v>89.51</v>
      </c>
      <c r="P29" s="171">
        <v>67.84</v>
      </c>
      <c r="Q29" s="171">
        <v>68.33</v>
      </c>
      <c r="R29" s="171">
        <v>75.92</v>
      </c>
      <c r="S29" s="171">
        <v>55</v>
      </c>
      <c r="T29" s="171">
        <v>49.39</v>
      </c>
      <c r="U29" s="171">
        <v>48.07</v>
      </c>
      <c r="V29" s="171">
        <v>45.63</v>
      </c>
      <c r="W29" s="171">
        <v>42.25</v>
      </c>
      <c r="X29" s="171">
        <v>42.88</v>
      </c>
      <c r="Y29" s="171">
        <v>43.69</v>
      </c>
      <c r="Z29" s="171">
        <v>44.57</v>
      </c>
      <c r="AA29" s="171">
        <v>41</v>
      </c>
      <c r="AB29" s="171">
        <v>89.51</v>
      </c>
      <c r="AC29" s="171">
        <v>42.25</v>
      </c>
      <c r="AD29" s="171">
        <v>28.54</v>
      </c>
      <c r="AF29" s="171">
        <f t="shared" si="1"/>
        <v>2006</v>
      </c>
      <c r="AG29" s="171">
        <f t="shared" si="2"/>
        <v>9</v>
      </c>
      <c r="AH29" s="700">
        <f>SUMIF(D$3:$AA29,"&lt;="&amp;$AH$1)/COUNTIF(D$3:$AA29,"&lt;="&amp;$AH$1)</f>
        <v>27.90383386581469</v>
      </c>
    </row>
    <row r="30" spans="2:34" x14ac:dyDescent="0.25">
      <c r="B30" s="910">
        <v>38868</v>
      </c>
      <c r="C30" s="581">
        <f t="shared" si="0"/>
        <v>5</v>
      </c>
      <c r="D30" s="171">
        <v>33.9</v>
      </c>
      <c r="E30" s="171">
        <v>28.36</v>
      </c>
      <c r="F30" s="171">
        <v>22.73</v>
      </c>
      <c r="G30" s="171">
        <v>19</v>
      </c>
      <c r="H30" s="171">
        <v>20.8</v>
      </c>
      <c r="I30" s="171">
        <v>27.02</v>
      </c>
      <c r="J30" s="171">
        <v>36.4</v>
      </c>
      <c r="K30" s="171">
        <v>48.800000000000004</v>
      </c>
      <c r="L30" s="171">
        <v>54.22</v>
      </c>
      <c r="M30" s="171">
        <v>60.25</v>
      </c>
      <c r="N30" s="171">
        <v>81.55</v>
      </c>
      <c r="O30" s="171">
        <v>150</v>
      </c>
      <c r="P30" s="171">
        <v>72.900000000000006</v>
      </c>
      <c r="Q30" s="171">
        <v>74.400000000000006</v>
      </c>
      <c r="R30" s="171">
        <v>65</v>
      </c>
      <c r="S30" s="171">
        <v>56.1</v>
      </c>
      <c r="T30" s="171">
        <v>48.25</v>
      </c>
      <c r="U30" s="171">
        <v>49.99</v>
      </c>
      <c r="V30" s="171">
        <v>45.57</v>
      </c>
      <c r="W30" s="171">
        <v>42.37</v>
      </c>
      <c r="X30" s="171">
        <v>43.46</v>
      </c>
      <c r="Y30" s="171">
        <v>43.01</v>
      </c>
      <c r="Z30" s="171">
        <v>43.34</v>
      </c>
      <c r="AA30" s="171">
        <v>43.4</v>
      </c>
      <c r="AB30" s="171">
        <v>150</v>
      </c>
      <c r="AC30" s="171">
        <v>42.37</v>
      </c>
      <c r="AD30" s="171">
        <v>28.95</v>
      </c>
      <c r="AF30" s="171">
        <f t="shared" si="1"/>
        <v>2006</v>
      </c>
      <c r="AG30" s="171">
        <f t="shared" si="2"/>
        <v>8</v>
      </c>
      <c r="AH30" s="700">
        <f>SUMIF(D$3:$AA30,"&lt;="&amp;$AH$1)/COUNTIF(D$3:$AA30,"&lt;="&amp;$AH$1)</f>
        <v>27.926728971962611</v>
      </c>
    </row>
    <row r="31" spans="2:34" x14ac:dyDescent="0.25">
      <c r="B31" s="910">
        <v>38869</v>
      </c>
      <c r="C31" s="581">
        <f t="shared" si="0"/>
        <v>6</v>
      </c>
      <c r="D31" s="171">
        <v>35.619999999999997</v>
      </c>
      <c r="E31" s="171">
        <v>30.5</v>
      </c>
      <c r="F31" s="171">
        <v>24.77</v>
      </c>
      <c r="G31" s="171">
        <v>20</v>
      </c>
      <c r="H31" s="171">
        <v>20.22</v>
      </c>
      <c r="I31" s="171">
        <v>24.3</v>
      </c>
      <c r="J31" s="171">
        <v>32.68</v>
      </c>
      <c r="K31" s="171">
        <v>43.74</v>
      </c>
      <c r="L31" s="171">
        <v>52.02</v>
      </c>
      <c r="M31" s="171">
        <v>70</v>
      </c>
      <c r="N31" s="171">
        <v>81</v>
      </c>
      <c r="O31" s="171">
        <v>99</v>
      </c>
      <c r="P31" s="171">
        <v>75</v>
      </c>
      <c r="Q31" s="171">
        <v>75</v>
      </c>
      <c r="R31" s="171">
        <v>75</v>
      </c>
      <c r="S31" s="171">
        <v>62.440000000000005</v>
      </c>
      <c r="T31" s="171">
        <v>56.230000000000004</v>
      </c>
      <c r="U31" s="171">
        <v>47.46</v>
      </c>
      <c r="V31" s="171">
        <v>42.800000000000004</v>
      </c>
      <c r="W31" s="171">
        <v>41</v>
      </c>
      <c r="X31" s="171">
        <v>40.71</v>
      </c>
      <c r="Y31" s="171">
        <v>41.160000000000004</v>
      </c>
      <c r="Z31" s="171">
        <v>44.4</v>
      </c>
      <c r="AA31" s="171">
        <v>40.68</v>
      </c>
      <c r="AB31" s="171">
        <v>99</v>
      </c>
      <c r="AC31" s="171">
        <v>40.71</v>
      </c>
      <c r="AD31" s="171">
        <v>28.6</v>
      </c>
      <c r="AF31" s="171">
        <f t="shared" si="1"/>
        <v>2006</v>
      </c>
      <c r="AG31" s="171">
        <f t="shared" si="2"/>
        <v>11</v>
      </c>
      <c r="AH31" s="700">
        <f>SUMIF(D$3:$AA31,"&lt;="&amp;$AH$1)/COUNTIF(D$3:$AA31,"&lt;="&amp;$AH$1)</f>
        <v>28.060602409638545</v>
      </c>
    </row>
    <row r="32" spans="2:34" x14ac:dyDescent="0.25">
      <c r="B32" s="910">
        <v>38870</v>
      </c>
      <c r="C32" s="581">
        <f t="shared" si="0"/>
        <v>6</v>
      </c>
      <c r="D32" s="171">
        <v>35.700000000000003</v>
      </c>
      <c r="E32" s="171">
        <v>31.7</v>
      </c>
      <c r="F32" s="171">
        <v>29.5</v>
      </c>
      <c r="G32" s="171">
        <v>25.8</v>
      </c>
      <c r="H32" s="171">
        <v>26.98</v>
      </c>
      <c r="I32" s="171">
        <v>29.25</v>
      </c>
      <c r="J32" s="171">
        <v>39.08</v>
      </c>
      <c r="K32" s="171">
        <v>52.25</v>
      </c>
      <c r="L32" s="171">
        <v>70</v>
      </c>
      <c r="M32" s="171">
        <v>99</v>
      </c>
      <c r="N32" s="171">
        <v>105</v>
      </c>
      <c r="O32" s="171">
        <v>135</v>
      </c>
      <c r="P32" s="171">
        <v>99</v>
      </c>
      <c r="Q32" s="171">
        <v>99</v>
      </c>
      <c r="R32" s="171">
        <v>75</v>
      </c>
      <c r="S32" s="171">
        <v>61</v>
      </c>
      <c r="T32" s="171">
        <v>52.5</v>
      </c>
      <c r="U32" s="171">
        <v>47.5</v>
      </c>
      <c r="V32" s="171">
        <v>42.21</v>
      </c>
      <c r="W32" s="171">
        <v>41.29</v>
      </c>
      <c r="X32" s="171">
        <v>40</v>
      </c>
      <c r="Y32" s="171">
        <v>40</v>
      </c>
      <c r="Z32" s="171">
        <v>41.28</v>
      </c>
      <c r="AA32" s="171">
        <v>40</v>
      </c>
      <c r="AB32" s="171">
        <v>135</v>
      </c>
      <c r="AC32" s="171">
        <v>40</v>
      </c>
      <c r="AD32" s="171">
        <v>32.25</v>
      </c>
      <c r="AF32" s="171">
        <f t="shared" si="1"/>
        <v>2006</v>
      </c>
      <c r="AG32" s="171">
        <f t="shared" si="2"/>
        <v>13</v>
      </c>
      <c r="AH32" s="700">
        <f>SUMIF(D$3:$AA32,"&lt;="&amp;$AH$1)/COUNTIF(D$3:$AA32,"&lt;="&amp;$AH$1)</f>
        <v>28.344666666666662</v>
      </c>
    </row>
    <row r="33" spans="2:34" x14ac:dyDescent="0.25">
      <c r="B33" s="910">
        <v>38873</v>
      </c>
      <c r="C33" s="581">
        <f t="shared" si="0"/>
        <v>6</v>
      </c>
      <c r="D33" s="171">
        <v>34.99</v>
      </c>
      <c r="E33" s="171">
        <v>12.07</v>
      </c>
      <c r="F33" s="171">
        <v>9.7100000000000009</v>
      </c>
      <c r="G33" s="171">
        <v>4.83</v>
      </c>
      <c r="H33" s="171">
        <v>4.8</v>
      </c>
      <c r="I33" s="171">
        <v>8.8000000000000007</v>
      </c>
      <c r="J33" s="171">
        <v>7.9</v>
      </c>
      <c r="K33" s="171">
        <v>7.41</v>
      </c>
      <c r="L33" s="171">
        <v>18.2</v>
      </c>
      <c r="M33" s="171">
        <v>25.5</v>
      </c>
      <c r="N33" s="171">
        <v>34.04</v>
      </c>
      <c r="O33" s="171">
        <v>40.160000000000004</v>
      </c>
      <c r="P33" s="171">
        <v>39</v>
      </c>
      <c r="Q33" s="171">
        <v>31</v>
      </c>
      <c r="R33" s="171">
        <v>25</v>
      </c>
      <c r="S33" s="171">
        <v>21</v>
      </c>
      <c r="T33" s="171">
        <v>25</v>
      </c>
      <c r="U33" s="171">
        <v>26.55</v>
      </c>
      <c r="V33" s="171">
        <v>40.79</v>
      </c>
      <c r="W33" s="171">
        <v>36</v>
      </c>
      <c r="X33" s="171">
        <v>41.57</v>
      </c>
      <c r="Y33" s="171">
        <v>46.71</v>
      </c>
      <c r="Z33" s="171">
        <v>60.120000000000005</v>
      </c>
      <c r="AA33" s="171">
        <v>36.800000000000004</v>
      </c>
      <c r="AB33" s="171">
        <v>60.120000000000005</v>
      </c>
      <c r="AC33" s="171">
        <v>7.41</v>
      </c>
      <c r="AD33" s="171">
        <v>14.99</v>
      </c>
      <c r="AF33" s="171">
        <f t="shared" si="1"/>
        <v>2006</v>
      </c>
      <c r="AG33" s="171">
        <f t="shared" si="2"/>
        <v>22</v>
      </c>
      <c r="AH33" s="700">
        <f>SUMIF(D$3:$AA33,"&lt;="&amp;$AH$1)/COUNTIF(D$3:$AA33,"&lt;="&amp;$AH$1)</f>
        <v>28.092724795640315</v>
      </c>
    </row>
    <row r="34" spans="2:34" x14ac:dyDescent="0.25">
      <c r="B34" s="910">
        <v>38874</v>
      </c>
      <c r="C34" s="581">
        <f t="shared" si="0"/>
        <v>6</v>
      </c>
      <c r="D34" s="171">
        <v>36.08</v>
      </c>
      <c r="E34" s="171">
        <v>32</v>
      </c>
      <c r="F34" s="171">
        <v>24.38</v>
      </c>
      <c r="G34" s="171">
        <v>16.52</v>
      </c>
      <c r="H34" s="171">
        <v>18.059999999999999</v>
      </c>
      <c r="I34" s="171">
        <v>24.560000000000002</v>
      </c>
      <c r="J34" s="171">
        <v>35.29</v>
      </c>
      <c r="K34" s="171">
        <v>46.5</v>
      </c>
      <c r="L34" s="171">
        <v>51.77</v>
      </c>
      <c r="M34" s="171">
        <v>68.27</v>
      </c>
      <c r="N34" s="171">
        <v>70.45</v>
      </c>
      <c r="O34" s="171">
        <v>175</v>
      </c>
      <c r="P34" s="171">
        <v>72.03</v>
      </c>
      <c r="Q34" s="171">
        <v>145</v>
      </c>
      <c r="R34" s="171">
        <v>102</v>
      </c>
      <c r="S34" s="171">
        <v>56.96</v>
      </c>
      <c r="T34" s="171">
        <v>61</v>
      </c>
      <c r="U34" s="171">
        <v>45.92</v>
      </c>
      <c r="V34" s="171">
        <v>44.96</v>
      </c>
      <c r="W34" s="171">
        <v>41.89</v>
      </c>
      <c r="X34" s="171">
        <v>43.38</v>
      </c>
      <c r="Y34" s="171">
        <v>44.32</v>
      </c>
      <c r="Z34" s="171">
        <v>42.54</v>
      </c>
      <c r="AA34" s="171">
        <v>34.22</v>
      </c>
      <c r="AB34" s="171">
        <v>175</v>
      </c>
      <c r="AC34" s="171">
        <v>41.89</v>
      </c>
      <c r="AD34" s="171">
        <v>27.64</v>
      </c>
      <c r="AF34" s="171">
        <f t="shared" si="1"/>
        <v>2006</v>
      </c>
      <c r="AG34" s="171">
        <f t="shared" si="2"/>
        <v>10</v>
      </c>
      <c r="AH34" s="700">
        <f>SUMIF(D$3:$AA34,"&lt;="&amp;$AH$1)/COUNTIF(D$3:$AA34,"&lt;="&amp;$AH$1)</f>
        <v>28.158010610079561</v>
      </c>
    </row>
    <row r="35" spans="2:34" x14ac:dyDescent="0.25">
      <c r="B35" s="910">
        <v>38875</v>
      </c>
      <c r="C35" s="581">
        <f t="shared" si="0"/>
        <v>6</v>
      </c>
      <c r="D35" s="171">
        <v>38.92</v>
      </c>
      <c r="E35" s="171">
        <v>33.799999999999997</v>
      </c>
      <c r="F35" s="171">
        <v>29.5</v>
      </c>
      <c r="G35" s="171">
        <v>28</v>
      </c>
      <c r="H35" s="171">
        <v>29</v>
      </c>
      <c r="I35" s="171">
        <v>34.380000000000003</v>
      </c>
      <c r="J35" s="171">
        <v>41.57</v>
      </c>
      <c r="K35" s="171">
        <v>53.75</v>
      </c>
      <c r="L35" s="171">
        <v>63.39</v>
      </c>
      <c r="M35" s="171">
        <v>67.36</v>
      </c>
      <c r="N35" s="171">
        <v>70.56</v>
      </c>
      <c r="O35" s="171">
        <v>135</v>
      </c>
      <c r="P35" s="171">
        <v>99</v>
      </c>
      <c r="Q35" s="171">
        <v>145</v>
      </c>
      <c r="R35" s="171">
        <v>98</v>
      </c>
      <c r="S35" s="171">
        <v>57.47</v>
      </c>
      <c r="T35" s="171">
        <v>51.52</v>
      </c>
      <c r="U35" s="171">
        <v>47.9</v>
      </c>
      <c r="V35" s="171">
        <v>46.46</v>
      </c>
      <c r="W35" s="171">
        <v>42.25</v>
      </c>
      <c r="X35" s="171">
        <v>41.59</v>
      </c>
      <c r="Y35" s="171">
        <v>40.31</v>
      </c>
      <c r="Z35" s="171">
        <v>40.93</v>
      </c>
      <c r="AA35" s="171">
        <v>37.49</v>
      </c>
      <c r="AB35" s="171">
        <v>145</v>
      </c>
      <c r="AC35" s="171">
        <v>40.31</v>
      </c>
      <c r="AD35" s="171">
        <v>34.08</v>
      </c>
      <c r="AF35" s="171">
        <f t="shared" si="1"/>
        <v>2006</v>
      </c>
      <c r="AG35" s="171">
        <f t="shared" si="2"/>
        <v>12</v>
      </c>
      <c r="AH35" s="700">
        <f>SUMIF(D$3:$AA35,"&lt;="&amp;$AH$1)/COUNTIF(D$3:$AA35,"&lt;="&amp;$AH$1)</f>
        <v>28.414678663239055</v>
      </c>
    </row>
    <row r="36" spans="2:34" x14ac:dyDescent="0.25">
      <c r="B36" s="910">
        <v>38876</v>
      </c>
      <c r="C36" s="581">
        <f t="shared" si="0"/>
        <v>6</v>
      </c>
      <c r="D36" s="171">
        <v>35.51</v>
      </c>
      <c r="E36" s="171">
        <v>32.619999999999997</v>
      </c>
      <c r="F36" s="171">
        <v>27.02</v>
      </c>
      <c r="G36" s="171">
        <v>26</v>
      </c>
      <c r="H36" s="171">
        <v>25.76</v>
      </c>
      <c r="I36" s="171">
        <v>32</v>
      </c>
      <c r="J36" s="171">
        <v>37.5</v>
      </c>
      <c r="K36" s="171">
        <v>50.300000000000004</v>
      </c>
      <c r="L36" s="171">
        <v>56.86</v>
      </c>
      <c r="M36" s="171">
        <v>62.6</v>
      </c>
      <c r="N36" s="171">
        <v>70</v>
      </c>
      <c r="O36" s="171">
        <v>135</v>
      </c>
      <c r="P36" s="171">
        <v>70</v>
      </c>
      <c r="Q36" s="171">
        <v>109.75</v>
      </c>
      <c r="R36" s="171">
        <v>99</v>
      </c>
      <c r="S36" s="171">
        <v>74.8</v>
      </c>
      <c r="T36" s="171">
        <v>55.120000000000005</v>
      </c>
      <c r="U36" s="171">
        <v>46</v>
      </c>
      <c r="V36" s="171">
        <v>42.99</v>
      </c>
      <c r="W36" s="171">
        <v>41.26</v>
      </c>
      <c r="X36" s="171">
        <v>42</v>
      </c>
      <c r="Y36" s="171">
        <v>41.36</v>
      </c>
      <c r="Z36" s="171">
        <v>41.87</v>
      </c>
      <c r="AA36" s="171">
        <v>41.76</v>
      </c>
      <c r="AB36" s="171">
        <v>135</v>
      </c>
      <c r="AC36" s="171">
        <v>41.26</v>
      </c>
      <c r="AD36" s="171">
        <v>32.270000000000003</v>
      </c>
      <c r="AF36" s="171">
        <f t="shared" si="1"/>
        <v>2006</v>
      </c>
      <c r="AG36" s="171">
        <f t="shared" si="2"/>
        <v>12</v>
      </c>
      <c r="AH36" s="700">
        <f>SUMIF(D$3:$AA36,"&lt;="&amp;$AH$1)/COUNTIF(D$3:$AA36,"&lt;="&amp;$AH$1)</f>
        <v>28.623366583541138</v>
      </c>
    </row>
    <row r="37" spans="2:34" x14ac:dyDescent="0.25">
      <c r="B37" s="910">
        <v>38877</v>
      </c>
      <c r="C37" s="581">
        <f t="shared" si="0"/>
        <v>6</v>
      </c>
      <c r="D37" s="171">
        <v>39.51</v>
      </c>
      <c r="E37" s="171">
        <v>30</v>
      </c>
      <c r="F37" s="171">
        <v>27.6</v>
      </c>
      <c r="G37" s="171">
        <v>27.27</v>
      </c>
      <c r="H37" s="171">
        <v>28.1</v>
      </c>
      <c r="I37" s="171">
        <v>33.82</v>
      </c>
      <c r="J37" s="171">
        <v>38.22</v>
      </c>
      <c r="K37" s="171">
        <v>46.03</v>
      </c>
      <c r="L37" s="171">
        <v>56.4</v>
      </c>
      <c r="M37" s="171">
        <v>98</v>
      </c>
      <c r="N37" s="171">
        <v>89.75</v>
      </c>
      <c r="O37" s="171">
        <v>150</v>
      </c>
      <c r="P37" s="171">
        <v>99</v>
      </c>
      <c r="Q37" s="171">
        <v>80</v>
      </c>
      <c r="R37" s="171">
        <v>96</v>
      </c>
      <c r="S37" s="171">
        <v>60</v>
      </c>
      <c r="T37" s="171">
        <v>46.76</v>
      </c>
      <c r="U37" s="171">
        <v>51.74</v>
      </c>
      <c r="V37" s="171">
        <v>39.6</v>
      </c>
      <c r="W37" s="171">
        <v>38.44</v>
      </c>
      <c r="X37" s="171">
        <v>38.86</v>
      </c>
      <c r="Y37" s="171">
        <v>39.270000000000003</v>
      </c>
      <c r="Z37" s="171">
        <v>41.85</v>
      </c>
      <c r="AA37" s="171">
        <v>55.120000000000005</v>
      </c>
      <c r="AB37" s="171">
        <v>150</v>
      </c>
      <c r="AC37" s="171">
        <v>38.44</v>
      </c>
      <c r="AD37" s="171">
        <v>34.950000000000003</v>
      </c>
      <c r="AF37" s="171">
        <f t="shared" si="1"/>
        <v>2006</v>
      </c>
      <c r="AG37" s="171">
        <f t="shared" si="2"/>
        <v>12</v>
      </c>
      <c r="AH37" s="700">
        <f>SUMIF(D$3:$AA37,"&lt;="&amp;$AH$1)/COUNTIF(D$3:$AA37,"&lt;="&amp;$AH$1)</f>
        <v>28.814794188861981</v>
      </c>
    </row>
    <row r="38" spans="2:34" x14ac:dyDescent="0.25">
      <c r="B38" s="910">
        <v>38880</v>
      </c>
      <c r="C38" s="581">
        <f t="shared" si="0"/>
        <v>6</v>
      </c>
      <c r="D38" s="171">
        <v>36</v>
      </c>
      <c r="E38" s="171">
        <v>27.25</v>
      </c>
      <c r="F38" s="171">
        <v>18.52</v>
      </c>
      <c r="G38" s="171">
        <v>10.700000000000001</v>
      </c>
      <c r="H38" s="171">
        <v>11.9</v>
      </c>
      <c r="I38" s="171">
        <v>19.14</v>
      </c>
      <c r="J38" s="171">
        <v>30.76</v>
      </c>
      <c r="K38" s="171">
        <v>55.01</v>
      </c>
      <c r="L38" s="171">
        <v>70</v>
      </c>
      <c r="M38" s="171">
        <v>70.010000000000005</v>
      </c>
      <c r="N38" s="171">
        <v>84.99</v>
      </c>
      <c r="O38" s="171">
        <v>100</v>
      </c>
      <c r="P38" s="171">
        <v>99</v>
      </c>
      <c r="Q38" s="171">
        <v>120</v>
      </c>
      <c r="R38" s="171">
        <v>100</v>
      </c>
      <c r="S38" s="171">
        <v>140</v>
      </c>
      <c r="T38" s="171">
        <v>150.01</v>
      </c>
      <c r="U38" s="171">
        <v>87.2</v>
      </c>
      <c r="V38" s="171">
        <v>55.01</v>
      </c>
      <c r="W38" s="171">
        <v>45.28</v>
      </c>
      <c r="X38" s="171">
        <v>44.7</v>
      </c>
      <c r="Y38" s="171">
        <v>40.99</v>
      </c>
      <c r="Z38" s="171">
        <v>45.01</v>
      </c>
      <c r="AA38" s="171">
        <v>36</v>
      </c>
      <c r="AB38" s="171">
        <v>150.01</v>
      </c>
      <c r="AC38" s="171">
        <v>40.99</v>
      </c>
      <c r="AD38" s="171">
        <v>23.78</v>
      </c>
      <c r="AF38" s="171">
        <f t="shared" si="1"/>
        <v>2006</v>
      </c>
      <c r="AG38" s="171">
        <f t="shared" si="2"/>
        <v>9</v>
      </c>
      <c r="AH38" s="700">
        <f>SUMIF(D$3:$AA38,"&lt;="&amp;$AH$1)/COUNTIF(D$3:$AA38,"&lt;="&amp;$AH$1)</f>
        <v>28.748270142180093</v>
      </c>
    </row>
    <row r="39" spans="2:34" x14ac:dyDescent="0.25">
      <c r="B39" s="910">
        <v>38881</v>
      </c>
      <c r="C39" s="581">
        <f t="shared" si="0"/>
        <v>6</v>
      </c>
      <c r="D39" s="171">
        <v>38.78</v>
      </c>
      <c r="E39" s="171">
        <v>35.1</v>
      </c>
      <c r="F39" s="171">
        <v>31</v>
      </c>
      <c r="G39" s="171">
        <v>30.35</v>
      </c>
      <c r="H39" s="171">
        <v>31</v>
      </c>
      <c r="I39" s="171">
        <v>35</v>
      </c>
      <c r="J39" s="171">
        <v>45.36</v>
      </c>
      <c r="K39" s="171">
        <v>62.58</v>
      </c>
      <c r="L39" s="171">
        <v>90</v>
      </c>
      <c r="M39" s="171">
        <v>150.01</v>
      </c>
      <c r="N39" s="171">
        <v>155</v>
      </c>
      <c r="O39" s="171">
        <v>250</v>
      </c>
      <c r="P39" s="171">
        <v>250</v>
      </c>
      <c r="Q39" s="171">
        <v>400</v>
      </c>
      <c r="R39" s="171">
        <v>478</v>
      </c>
      <c r="S39" s="171">
        <v>500</v>
      </c>
      <c r="T39" s="171">
        <v>300</v>
      </c>
      <c r="U39" s="171">
        <v>155</v>
      </c>
      <c r="V39" s="171">
        <v>56.33</v>
      </c>
      <c r="W39" s="171">
        <v>50.6</v>
      </c>
      <c r="X39" s="171">
        <v>48.6</v>
      </c>
      <c r="Y39" s="171">
        <v>46.2</v>
      </c>
      <c r="Z39" s="171">
        <v>55.01</v>
      </c>
      <c r="AA39" s="171">
        <v>101</v>
      </c>
      <c r="AB39" s="171">
        <v>500</v>
      </c>
      <c r="AC39" s="171">
        <v>46.2</v>
      </c>
      <c r="AD39" s="171">
        <v>43.45</v>
      </c>
      <c r="AF39" s="171">
        <f t="shared" si="1"/>
        <v>2006</v>
      </c>
      <c r="AG39" s="171">
        <f t="shared" si="2"/>
        <v>6</v>
      </c>
      <c r="AH39" s="700">
        <f>SUMIF(D$3:$AA39,"&lt;="&amp;$AH$1)/COUNTIF(D$3:$AA39,"&lt;="&amp;$AH$1)</f>
        <v>28.815420560747665</v>
      </c>
    </row>
    <row r="40" spans="2:34" x14ac:dyDescent="0.25">
      <c r="B40" s="910">
        <v>38882</v>
      </c>
      <c r="C40" s="581">
        <f t="shared" si="0"/>
        <v>6</v>
      </c>
      <c r="D40" s="171">
        <v>35.85</v>
      </c>
      <c r="E40" s="171">
        <v>31.5</v>
      </c>
      <c r="F40" s="171">
        <v>28.5</v>
      </c>
      <c r="G40" s="171">
        <v>25.62</v>
      </c>
      <c r="H40" s="171">
        <v>28.72</v>
      </c>
      <c r="I40" s="171">
        <v>32.950000000000003</v>
      </c>
      <c r="J40" s="171">
        <v>36.730000000000004</v>
      </c>
      <c r="K40" s="171">
        <v>55.1</v>
      </c>
      <c r="L40" s="171">
        <v>65</v>
      </c>
      <c r="M40" s="171">
        <v>80</v>
      </c>
      <c r="N40" s="171">
        <v>111</v>
      </c>
      <c r="O40" s="171">
        <v>99.01</v>
      </c>
      <c r="P40" s="171">
        <v>80.58</v>
      </c>
      <c r="Q40" s="171">
        <v>77.510000000000005</v>
      </c>
      <c r="R40" s="171">
        <v>74.930000000000007</v>
      </c>
      <c r="S40" s="171">
        <v>67.22</v>
      </c>
      <c r="T40" s="171">
        <v>65</v>
      </c>
      <c r="U40" s="171">
        <v>66.77</v>
      </c>
      <c r="V40" s="171">
        <v>50.24</v>
      </c>
      <c r="W40" s="171">
        <v>45.59</v>
      </c>
      <c r="X40" s="171">
        <v>41.5</v>
      </c>
      <c r="Y40" s="171">
        <v>40.4</v>
      </c>
      <c r="Z40" s="171">
        <v>45.58</v>
      </c>
      <c r="AA40" s="171">
        <v>40.46</v>
      </c>
      <c r="AB40" s="171">
        <v>111</v>
      </c>
      <c r="AC40" s="171">
        <v>40.4</v>
      </c>
      <c r="AD40" s="171">
        <v>32.54</v>
      </c>
      <c r="AF40" s="171">
        <f t="shared" si="1"/>
        <v>2006</v>
      </c>
      <c r="AG40" s="171">
        <f t="shared" si="2"/>
        <v>10</v>
      </c>
      <c r="AH40" s="700">
        <f>SUMIF(D$3:$AA40,"&lt;="&amp;$AH$1)/COUNTIF(D$3:$AA40,"&lt;="&amp;$AH$1)</f>
        <v>28.938881278538812</v>
      </c>
    </row>
    <row r="41" spans="2:34" x14ac:dyDescent="0.25">
      <c r="B41" s="910">
        <v>38883</v>
      </c>
      <c r="C41" s="581">
        <f t="shared" si="0"/>
        <v>6</v>
      </c>
      <c r="D41" s="171">
        <v>33.160000000000004</v>
      </c>
      <c r="E41" s="171">
        <v>31.39</v>
      </c>
      <c r="F41" s="171">
        <v>26.5</v>
      </c>
      <c r="G41" s="171">
        <v>22.17</v>
      </c>
      <c r="H41" s="171">
        <v>25.32</v>
      </c>
      <c r="I41" s="171">
        <v>28.76</v>
      </c>
      <c r="J41" s="171">
        <v>35.4</v>
      </c>
      <c r="K41" s="171">
        <v>47.44</v>
      </c>
      <c r="L41" s="171">
        <v>56.69</v>
      </c>
      <c r="M41" s="171">
        <v>80.260000000000005</v>
      </c>
      <c r="N41" s="171">
        <v>100.12</v>
      </c>
      <c r="O41" s="171">
        <v>187.86</v>
      </c>
      <c r="P41" s="171">
        <v>100.12</v>
      </c>
      <c r="Q41" s="171">
        <v>100.12</v>
      </c>
      <c r="R41" s="171">
        <v>100.12</v>
      </c>
      <c r="S41" s="171">
        <v>79.94</v>
      </c>
      <c r="T41" s="171">
        <v>57.36</v>
      </c>
      <c r="U41" s="171">
        <v>45</v>
      </c>
      <c r="V41" s="171">
        <v>41.04</v>
      </c>
      <c r="W41" s="171">
        <v>38.49</v>
      </c>
      <c r="X41" s="171">
        <v>39.96</v>
      </c>
      <c r="Y41" s="171">
        <v>40.01</v>
      </c>
      <c r="Z41" s="171">
        <v>42.82</v>
      </c>
      <c r="AA41" s="171">
        <v>55</v>
      </c>
      <c r="AB41" s="171">
        <v>187.86</v>
      </c>
      <c r="AC41" s="171">
        <v>38.49</v>
      </c>
      <c r="AD41" s="171">
        <v>32.21</v>
      </c>
      <c r="AF41" s="171">
        <f t="shared" si="1"/>
        <v>2006</v>
      </c>
      <c r="AG41" s="171">
        <f t="shared" si="2"/>
        <v>11</v>
      </c>
      <c r="AH41" s="700">
        <f>SUMIF(D$3:$AA41,"&lt;="&amp;$AH$1)/COUNTIF(D$3:$AA41,"&lt;="&amp;$AH$1)</f>
        <v>29.036592427616924</v>
      </c>
    </row>
    <row r="42" spans="2:34" x14ac:dyDescent="0.25">
      <c r="B42" s="910">
        <v>38884</v>
      </c>
      <c r="C42" s="581">
        <f t="shared" si="0"/>
        <v>6</v>
      </c>
      <c r="D42" s="171">
        <v>39.869999999999997</v>
      </c>
      <c r="E42" s="171">
        <v>34.94</v>
      </c>
      <c r="F42" s="171">
        <v>30.96</v>
      </c>
      <c r="G42" s="171">
        <v>30.51</v>
      </c>
      <c r="H42" s="171">
        <v>30.52</v>
      </c>
      <c r="I42" s="171">
        <v>31.900000000000002</v>
      </c>
      <c r="J42" s="171">
        <v>36.4</v>
      </c>
      <c r="K42" s="171">
        <v>51</v>
      </c>
      <c r="L42" s="171">
        <v>60</v>
      </c>
      <c r="M42" s="171">
        <v>70</v>
      </c>
      <c r="N42" s="171">
        <v>135</v>
      </c>
      <c r="O42" s="171">
        <v>150</v>
      </c>
      <c r="P42" s="171">
        <v>75</v>
      </c>
      <c r="Q42" s="171">
        <v>80</v>
      </c>
      <c r="R42" s="171">
        <v>70</v>
      </c>
      <c r="S42" s="171">
        <v>52.99</v>
      </c>
      <c r="T42" s="171">
        <v>53</v>
      </c>
      <c r="U42" s="171">
        <v>48.22</v>
      </c>
      <c r="V42" s="171">
        <v>46.28</v>
      </c>
      <c r="W42" s="171">
        <v>45.9</v>
      </c>
      <c r="X42" s="171">
        <v>43.27</v>
      </c>
      <c r="Y42" s="171">
        <v>40</v>
      </c>
      <c r="Z42" s="171">
        <v>46.77</v>
      </c>
      <c r="AA42" s="171">
        <v>55.02</v>
      </c>
      <c r="AB42" s="171">
        <v>150</v>
      </c>
      <c r="AC42" s="171">
        <v>40</v>
      </c>
      <c r="AD42" s="171">
        <v>36.26</v>
      </c>
      <c r="AF42" s="171">
        <f t="shared" si="1"/>
        <v>2006</v>
      </c>
      <c r="AG42" s="171">
        <f t="shared" si="2"/>
        <v>8</v>
      </c>
      <c r="AH42" s="700">
        <f>SUMIF(D$3:$AA42,"&lt;="&amp;$AH$1)/COUNTIF(D$3:$AA42,"&lt;="&amp;$AH$1)</f>
        <v>29.13026258205689</v>
      </c>
    </row>
    <row r="43" spans="2:34" x14ac:dyDescent="0.25">
      <c r="B43" s="910">
        <v>38887</v>
      </c>
      <c r="C43" s="581">
        <f t="shared" si="0"/>
        <v>6</v>
      </c>
      <c r="D43" s="171">
        <v>32.660000000000004</v>
      </c>
      <c r="E43" s="171">
        <v>24.57</v>
      </c>
      <c r="F43" s="171">
        <v>23.080000000000002</v>
      </c>
      <c r="G43" s="171">
        <v>19.66</v>
      </c>
      <c r="H43" s="171">
        <v>13.9</v>
      </c>
      <c r="I43" s="171">
        <v>15</v>
      </c>
      <c r="J43" s="171">
        <v>32.44</v>
      </c>
      <c r="K43" s="171">
        <v>51.39</v>
      </c>
      <c r="L43" s="171">
        <v>59.04</v>
      </c>
      <c r="M43" s="171">
        <v>80</v>
      </c>
      <c r="N43" s="171">
        <v>76.430000000000007</v>
      </c>
      <c r="O43" s="171">
        <v>99</v>
      </c>
      <c r="P43" s="171">
        <v>85.88</v>
      </c>
      <c r="Q43" s="171">
        <v>145</v>
      </c>
      <c r="R43" s="171">
        <v>99.5</v>
      </c>
      <c r="S43" s="171">
        <v>80</v>
      </c>
      <c r="T43" s="171">
        <v>70</v>
      </c>
      <c r="U43" s="171">
        <v>58.4</v>
      </c>
      <c r="V43" s="171">
        <v>51.32</v>
      </c>
      <c r="W43" s="171">
        <v>47.43</v>
      </c>
      <c r="X43" s="171">
        <v>45.24</v>
      </c>
      <c r="Y43" s="171">
        <v>43.26</v>
      </c>
      <c r="Z43" s="171">
        <v>45.56</v>
      </c>
      <c r="AA43" s="171">
        <v>43.43</v>
      </c>
      <c r="AB43" s="171">
        <v>145</v>
      </c>
      <c r="AC43" s="171">
        <v>43.26</v>
      </c>
      <c r="AD43" s="171">
        <v>25.59</v>
      </c>
      <c r="AF43" s="171">
        <f t="shared" si="1"/>
        <v>2006</v>
      </c>
      <c r="AG43" s="171">
        <f t="shared" si="2"/>
        <v>7</v>
      </c>
      <c r="AH43" s="700">
        <f>SUMIF(D$3:$AA43,"&lt;="&amp;$AH$1)/COUNTIF(D$3:$AA43,"&lt;="&amp;$AH$1)</f>
        <v>29.038448275862066</v>
      </c>
    </row>
    <row r="44" spans="2:34" x14ac:dyDescent="0.25">
      <c r="B44" s="910">
        <v>38888</v>
      </c>
      <c r="C44" s="581">
        <f t="shared" si="0"/>
        <v>6</v>
      </c>
      <c r="D44" s="171">
        <v>35.15</v>
      </c>
      <c r="E44" s="171">
        <v>31.53</v>
      </c>
      <c r="F44" s="171">
        <v>28.6</v>
      </c>
      <c r="G44" s="171">
        <v>22.55</v>
      </c>
      <c r="H44" s="171">
        <v>23.93</v>
      </c>
      <c r="I44" s="171">
        <v>31.73</v>
      </c>
      <c r="J44" s="171">
        <v>34.42</v>
      </c>
      <c r="K44" s="171">
        <v>50</v>
      </c>
      <c r="L44" s="171">
        <v>56.83</v>
      </c>
      <c r="M44" s="171">
        <v>64.44</v>
      </c>
      <c r="N44" s="171">
        <v>81</v>
      </c>
      <c r="O44" s="171">
        <v>155</v>
      </c>
      <c r="P44" s="171">
        <v>80</v>
      </c>
      <c r="Q44" s="171">
        <v>100</v>
      </c>
      <c r="R44" s="171">
        <v>100</v>
      </c>
      <c r="S44" s="171">
        <v>97.9</v>
      </c>
      <c r="T44" s="171">
        <v>62.09</v>
      </c>
      <c r="U44" s="171">
        <v>55.42</v>
      </c>
      <c r="V44" s="171">
        <v>48.660000000000004</v>
      </c>
      <c r="W44" s="171">
        <v>44.300000000000004</v>
      </c>
      <c r="X44" s="171">
        <v>43</v>
      </c>
      <c r="Y44" s="171">
        <v>40.64</v>
      </c>
      <c r="Z44" s="171">
        <v>41.38</v>
      </c>
      <c r="AA44" s="171">
        <v>36.94</v>
      </c>
      <c r="AB44" s="171">
        <v>155</v>
      </c>
      <c r="AC44" s="171">
        <v>40.64</v>
      </c>
      <c r="AD44" s="171">
        <v>30.61</v>
      </c>
      <c r="AF44" s="171">
        <f t="shared" si="1"/>
        <v>2006</v>
      </c>
      <c r="AG44" s="171">
        <f t="shared" si="2"/>
        <v>10</v>
      </c>
      <c r="AH44" s="700">
        <f>SUMIF(D$3:$AA44,"&lt;="&amp;$AH$1)/COUNTIF(D$3:$AA44,"&lt;="&amp;$AH$1)</f>
        <v>29.115421940928265</v>
      </c>
    </row>
    <row r="45" spans="2:34" x14ac:dyDescent="0.25">
      <c r="B45" s="910">
        <v>38889</v>
      </c>
      <c r="C45" s="581">
        <f t="shared" si="0"/>
        <v>6</v>
      </c>
      <c r="D45" s="171">
        <v>37.56</v>
      </c>
      <c r="E45" s="171">
        <v>32.24</v>
      </c>
      <c r="F45" s="171">
        <v>28.61</v>
      </c>
      <c r="G45" s="171">
        <v>22.77</v>
      </c>
      <c r="H45" s="171">
        <v>24.5</v>
      </c>
      <c r="I45" s="171">
        <v>30.490000000000002</v>
      </c>
      <c r="J45" s="171">
        <v>37.79</v>
      </c>
      <c r="K45" s="171">
        <v>49.120000000000005</v>
      </c>
      <c r="L45" s="171">
        <v>54.79</v>
      </c>
      <c r="M45" s="171">
        <v>64.58</v>
      </c>
      <c r="N45" s="171">
        <v>69.08</v>
      </c>
      <c r="O45" s="171">
        <v>81</v>
      </c>
      <c r="P45" s="171">
        <v>72.02</v>
      </c>
      <c r="Q45" s="171">
        <v>70</v>
      </c>
      <c r="R45" s="171">
        <v>75</v>
      </c>
      <c r="S45" s="171">
        <v>57.9</v>
      </c>
      <c r="T45" s="171">
        <v>56.02</v>
      </c>
      <c r="U45" s="171">
        <v>53.96</v>
      </c>
      <c r="V45" s="171">
        <v>48.11</v>
      </c>
      <c r="W45" s="171">
        <v>43</v>
      </c>
      <c r="X45" s="171">
        <v>42.52</v>
      </c>
      <c r="Y45" s="171">
        <v>41</v>
      </c>
      <c r="Z45" s="171">
        <v>42.6</v>
      </c>
      <c r="AA45" s="171">
        <v>37.76</v>
      </c>
      <c r="AB45" s="171">
        <v>81</v>
      </c>
      <c r="AC45" s="171">
        <v>41</v>
      </c>
      <c r="AD45" s="171">
        <v>31.46</v>
      </c>
      <c r="AF45" s="171">
        <f t="shared" si="1"/>
        <v>2006</v>
      </c>
      <c r="AG45" s="171">
        <f t="shared" si="2"/>
        <v>10</v>
      </c>
      <c r="AH45" s="700">
        <f>SUMIF(D$3:$AA45,"&lt;="&amp;$AH$1)/COUNTIF(D$3:$AA45,"&lt;="&amp;$AH$1)</f>
        <v>29.206508264462808</v>
      </c>
    </row>
    <row r="46" spans="2:34" x14ac:dyDescent="0.25">
      <c r="B46" s="910">
        <v>38890</v>
      </c>
      <c r="C46" s="581">
        <f t="shared" si="0"/>
        <v>6</v>
      </c>
      <c r="D46" s="171">
        <v>36.340000000000003</v>
      </c>
      <c r="E46" s="171">
        <v>31.2</v>
      </c>
      <c r="F46" s="171">
        <v>28.29</v>
      </c>
      <c r="G46" s="171">
        <v>21.990000000000002</v>
      </c>
      <c r="H46" s="171">
        <v>22.07</v>
      </c>
      <c r="I46" s="171">
        <v>26.8</v>
      </c>
      <c r="J46" s="171">
        <v>33.660000000000004</v>
      </c>
      <c r="K46" s="171">
        <v>48.56</v>
      </c>
      <c r="L46" s="171">
        <v>53.44</v>
      </c>
      <c r="M46" s="171">
        <v>58.97</v>
      </c>
      <c r="N46" s="171">
        <v>62.550000000000004</v>
      </c>
      <c r="O46" s="171">
        <v>100</v>
      </c>
      <c r="P46" s="171">
        <v>63.86</v>
      </c>
      <c r="Q46" s="171">
        <v>62.1</v>
      </c>
      <c r="R46" s="171">
        <v>59.39</v>
      </c>
      <c r="S46" s="171">
        <v>57.910000000000004</v>
      </c>
      <c r="T46" s="171">
        <v>53.72</v>
      </c>
      <c r="U46" s="171">
        <v>49.18</v>
      </c>
      <c r="V46" s="171">
        <v>48.15</v>
      </c>
      <c r="W46" s="171">
        <v>45.32</v>
      </c>
      <c r="X46" s="171">
        <v>42.29</v>
      </c>
      <c r="Y46" s="171">
        <v>41.93</v>
      </c>
      <c r="Z46" s="171">
        <v>43.24</v>
      </c>
      <c r="AA46" s="171">
        <v>42</v>
      </c>
      <c r="AB46" s="171">
        <v>100</v>
      </c>
      <c r="AC46" s="171">
        <v>41.93</v>
      </c>
      <c r="AD46" s="171">
        <v>30.29</v>
      </c>
      <c r="AF46" s="171">
        <f t="shared" si="1"/>
        <v>2006</v>
      </c>
      <c r="AG46" s="171">
        <f t="shared" si="2"/>
        <v>10</v>
      </c>
      <c r="AH46" s="700">
        <f>SUMIF(D$3:$AA46,"&lt;="&amp;$AH$1)/COUNTIF(D$3:$AA46,"&lt;="&amp;$AH$1)</f>
        <v>29.276356275303645</v>
      </c>
    </row>
    <row r="47" spans="2:34" x14ac:dyDescent="0.25">
      <c r="B47" s="910">
        <v>38891</v>
      </c>
      <c r="C47" s="581">
        <f t="shared" si="0"/>
        <v>6</v>
      </c>
      <c r="D47" s="171">
        <v>37.68</v>
      </c>
      <c r="E47" s="171">
        <v>33.5</v>
      </c>
      <c r="F47" s="171">
        <v>28.740000000000002</v>
      </c>
      <c r="G47" s="171">
        <v>21.01</v>
      </c>
      <c r="H47" s="171">
        <v>21.25</v>
      </c>
      <c r="I47" s="171">
        <v>27.68</v>
      </c>
      <c r="J47" s="171">
        <v>34.25</v>
      </c>
      <c r="K47" s="171">
        <v>50</v>
      </c>
      <c r="L47" s="171">
        <v>57.33</v>
      </c>
      <c r="M47" s="171">
        <v>66.59</v>
      </c>
      <c r="N47" s="171">
        <v>70</v>
      </c>
      <c r="O47" s="171">
        <v>101</v>
      </c>
      <c r="P47" s="171">
        <v>70</v>
      </c>
      <c r="Q47" s="171">
        <v>67.19</v>
      </c>
      <c r="R47" s="171">
        <v>61.92</v>
      </c>
      <c r="S47" s="171">
        <v>57.15</v>
      </c>
      <c r="T47" s="171">
        <v>55.35</v>
      </c>
      <c r="U47" s="171">
        <v>50.31</v>
      </c>
      <c r="V47" s="171">
        <v>48.26</v>
      </c>
      <c r="W47" s="171">
        <v>44.25</v>
      </c>
      <c r="X47" s="171">
        <v>41</v>
      </c>
      <c r="Y47" s="171">
        <v>40</v>
      </c>
      <c r="Z47" s="171">
        <v>41.6</v>
      </c>
      <c r="AA47" s="171">
        <v>37.33</v>
      </c>
      <c r="AB47" s="171">
        <v>101</v>
      </c>
      <c r="AC47" s="171">
        <v>40</v>
      </c>
      <c r="AD47" s="171">
        <v>30.18</v>
      </c>
      <c r="AF47" s="171">
        <f t="shared" si="1"/>
        <v>2006</v>
      </c>
      <c r="AG47" s="171">
        <f t="shared" si="2"/>
        <v>11</v>
      </c>
      <c r="AH47" s="700">
        <f>SUMIF(D$3:$AA47,"&lt;="&amp;$AH$1)/COUNTIF(D$3:$AA47,"&lt;="&amp;$AH$1)</f>
        <v>29.359524752475249</v>
      </c>
    </row>
    <row r="48" spans="2:34" x14ac:dyDescent="0.25">
      <c r="B48" s="910">
        <v>38894</v>
      </c>
      <c r="C48" s="581">
        <f t="shared" si="0"/>
        <v>6</v>
      </c>
      <c r="D48" s="171">
        <v>24.14</v>
      </c>
      <c r="E48" s="171">
        <v>17.91</v>
      </c>
      <c r="F48" s="171">
        <v>11.74</v>
      </c>
      <c r="G48" s="171">
        <v>8.42</v>
      </c>
      <c r="H48" s="171">
        <v>8.65</v>
      </c>
      <c r="I48" s="171">
        <v>9</v>
      </c>
      <c r="J48" s="171">
        <v>28.13</v>
      </c>
      <c r="K48" s="171">
        <v>50.14</v>
      </c>
      <c r="L48" s="171">
        <v>57</v>
      </c>
      <c r="M48" s="171">
        <v>65.44</v>
      </c>
      <c r="N48" s="171">
        <v>81</v>
      </c>
      <c r="O48" s="171">
        <v>81</v>
      </c>
      <c r="P48" s="171">
        <v>73.98</v>
      </c>
      <c r="Q48" s="171">
        <v>81</v>
      </c>
      <c r="R48" s="171">
        <v>81</v>
      </c>
      <c r="S48" s="171">
        <v>70</v>
      </c>
      <c r="T48" s="171">
        <v>54.99</v>
      </c>
      <c r="U48" s="171">
        <v>50.42</v>
      </c>
      <c r="V48" s="171">
        <v>48.17</v>
      </c>
      <c r="W48" s="171">
        <v>45</v>
      </c>
      <c r="X48" s="171">
        <v>45.03</v>
      </c>
      <c r="Y48" s="171">
        <v>41.79</v>
      </c>
      <c r="Z48" s="171">
        <v>43.29</v>
      </c>
      <c r="AA48" s="171">
        <v>39.130000000000003</v>
      </c>
      <c r="AB48" s="171">
        <v>81</v>
      </c>
      <c r="AC48" s="171">
        <v>41.79</v>
      </c>
      <c r="AD48" s="171">
        <v>18.39</v>
      </c>
      <c r="AF48" s="171">
        <f t="shared" si="1"/>
        <v>2006</v>
      </c>
      <c r="AG48" s="171">
        <f t="shared" si="2"/>
        <v>9</v>
      </c>
      <c r="AH48" s="700">
        <f>SUMIF(D$3:$AA48,"&lt;="&amp;$AH$1)/COUNTIF(D$3:$AA48,"&lt;="&amp;$AH$1)</f>
        <v>29.212976653696497</v>
      </c>
    </row>
    <row r="49" spans="2:34" x14ac:dyDescent="0.25">
      <c r="B49" s="910">
        <v>38895</v>
      </c>
      <c r="C49" s="581">
        <f t="shared" si="0"/>
        <v>6</v>
      </c>
      <c r="D49" s="171">
        <v>34.130000000000003</v>
      </c>
      <c r="E49" s="171">
        <v>30.86</v>
      </c>
      <c r="F49" s="171">
        <v>26.64</v>
      </c>
      <c r="G49" s="171">
        <v>21.02</v>
      </c>
      <c r="H49" s="171">
        <v>21.2</v>
      </c>
      <c r="I49" s="171">
        <v>27.11</v>
      </c>
      <c r="J49" s="171">
        <v>35.94</v>
      </c>
      <c r="K49" s="171">
        <v>49.25</v>
      </c>
      <c r="L49" s="171">
        <v>56.61</v>
      </c>
      <c r="M49" s="171">
        <v>71.66</v>
      </c>
      <c r="N49" s="171">
        <v>77.820000000000007</v>
      </c>
      <c r="O49" s="171">
        <v>90</v>
      </c>
      <c r="P49" s="171">
        <v>76.239999999999995</v>
      </c>
      <c r="Q49" s="171">
        <v>76.09</v>
      </c>
      <c r="R49" s="171">
        <v>85</v>
      </c>
      <c r="S49" s="171">
        <v>62.18</v>
      </c>
      <c r="T49" s="171">
        <v>57.82</v>
      </c>
      <c r="U49" s="171">
        <v>53</v>
      </c>
      <c r="V49" s="171">
        <v>51.11</v>
      </c>
      <c r="W49" s="171">
        <v>46.67</v>
      </c>
      <c r="X49" s="171">
        <v>43.910000000000004</v>
      </c>
      <c r="Y49" s="171">
        <v>41.49</v>
      </c>
      <c r="Z49" s="171">
        <v>44.42</v>
      </c>
      <c r="AA49" s="171">
        <v>39.06</v>
      </c>
      <c r="AB49" s="171">
        <v>90</v>
      </c>
      <c r="AC49" s="171">
        <v>41.49</v>
      </c>
      <c r="AD49" s="171">
        <v>29.490000000000002</v>
      </c>
      <c r="AF49" s="171">
        <f t="shared" si="1"/>
        <v>2006</v>
      </c>
      <c r="AG49" s="171">
        <f t="shared" si="2"/>
        <v>9</v>
      </c>
      <c r="AH49" s="700">
        <f>SUMIF(D$3:$AA49,"&lt;="&amp;$AH$1)/COUNTIF(D$3:$AA49,"&lt;="&amp;$AH$1)</f>
        <v>29.24076481835564</v>
      </c>
    </row>
    <row r="50" spans="2:34" x14ac:dyDescent="0.25">
      <c r="B50" s="910">
        <v>38896</v>
      </c>
      <c r="C50" s="581">
        <f t="shared" si="0"/>
        <v>6</v>
      </c>
      <c r="D50" s="171">
        <v>35.51</v>
      </c>
      <c r="E50" s="171">
        <v>31.42</v>
      </c>
      <c r="F50" s="171">
        <v>28.5</v>
      </c>
      <c r="G50" s="171">
        <v>22.18</v>
      </c>
      <c r="H50" s="171">
        <v>22</v>
      </c>
      <c r="I50" s="171">
        <v>28.25</v>
      </c>
      <c r="J50" s="171">
        <v>33.85</v>
      </c>
      <c r="K50" s="171">
        <v>48.49</v>
      </c>
      <c r="L50" s="171">
        <v>60</v>
      </c>
      <c r="M50" s="171">
        <v>66.400000000000006</v>
      </c>
      <c r="N50" s="171">
        <v>70.78</v>
      </c>
      <c r="O50" s="171">
        <v>83.53</v>
      </c>
      <c r="P50" s="171">
        <v>70</v>
      </c>
      <c r="Q50" s="171">
        <v>71.510000000000005</v>
      </c>
      <c r="R50" s="171">
        <v>72.59</v>
      </c>
      <c r="S50" s="171">
        <v>68</v>
      </c>
      <c r="T50" s="171">
        <v>65.12</v>
      </c>
      <c r="U50" s="171">
        <v>56.06</v>
      </c>
      <c r="V50" s="171">
        <v>50</v>
      </c>
      <c r="W50" s="171">
        <v>46.58</v>
      </c>
      <c r="X50" s="171">
        <v>45.25</v>
      </c>
      <c r="Y50" s="171">
        <v>42.480000000000004</v>
      </c>
      <c r="Z50" s="171">
        <v>44.71</v>
      </c>
      <c r="AA50" s="171">
        <v>38</v>
      </c>
      <c r="AB50" s="171">
        <v>83.53</v>
      </c>
      <c r="AC50" s="171">
        <v>42.480000000000004</v>
      </c>
      <c r="AD50" s="171">
        <v>29.96</v>
      </c>
      <c r="AF50" s="171">
        <f t="shared" si="1"/>
        <v>2006</v>
      </c>
      <c r="AG50" s="171">
        <f t="shared" si="2"/>
        <v>9</v>
      </c>
      <c r="AH50" s="700">
        <f>SUMIF(D$3:$AA50,"&lt;="&amp;$AH$1)/COUNTIF(D$3:$AA50,"&lt;="&amp;$AH$1)</f>
        <v>29.276522556390979</v>
      </c>
    </row>
    <row r="51" spans="2:34" x14ac:dyDescent="0.25">
      <c r="B51" s="910">
        <v>38897</v>
      </c>
      <c r="C51" s="581">
        <f t="shared" si="0"/>
        <v>6</v>
      </c>
      <c r="D51" s="171">
        <v>35.880000000000003</v>
      </c>
      <c r="E51" s="171">
        <v>31.5</v>
      </c>
      <c r="F51" s="171">
        <v>28.29</v>
      </c>
      <c r="G51" s="171">
        <v>24.5</v>
      </c>
      <c r="H51" s="171">
        <v>22.7</v>
      </c>
      <c r="I51" s="171">
        <v>28.990000000000002</v>
      </c>
      <c r="J51" s="171">
        <v>37.4</v>
      </c>
      <c r="K51" s="171">
        <v>50.59</v>
      </c>
      <c r="L51" s="171">
        <v>61</v>
      </c>
      <c r="M51" s="171">
        <v>66.02</v>
      </c>
      <c r="N51" s="171">
        <v>74.22</v>
      </c>
      <c r="O51" s="171">
        <v>81.56</v>
      </c>
      <c r="P51" s="171">
        <v>74.710000000000008</v>
      </c>
      <c r="Q51" s="171">
        <v>75.2</v>
      </c>
      <c r="R51" s="171">
        <v>74.31</v>
      </c>
      <c r="S51" s="171">
        <v>68.510000000000005</v>
      </c>
      <c r="T51" s="171">
        <v>61.49</v>
      </c>
      <c r="U51" s="171">
        <v>57.77</v>
      </c>
      <c r="V51" s="171">
        <v>53.06</v>
      </c>
      <c r="W51" s="171">
        <v>48</v>
      </c>
      <c r="X51" s="171">
        <v>45.36</v>
      </c>
      <c r="Y51" s="171">
        <v>43.03</v>
      </c>
      <c r="Z51" s="171">
        <v>44.71</v>
      </c>
      <c r="AA51" s="171">
        <v>39</v>
      </c>
      <c r="AB51" s="171">
        <v>81.56</v>
      </c>
      <c r="AC51" s="171">
        <v>43.03</v>
      </c>
      <c r="AD51" s="171">
        <v>31.03</v>
      </c>
      <c r="AF51" s="171">
        <f t="shared" si="1"/>
        <v>2006</v>
      </c>
      <c r="AG51" s="171">
        <f t="shared" si="2"/>
        <v>8</v>
      </c>
      <c r="AH51" s="700">
        <f>SUMIF(D$3:$AA51,"&lt;="&amp;$AH$1)/COUNTIF(D$3:$AA51,"&lt;="&amp;$AH$1)</f>
        <v>29.302537037037037</v>
      </c>
    </row>
    <row r="52" spans="2:34" x14ac:dyDescent="0.25">
      <c r="B52" s="910">
        <v>38898</v>
      </c>
      <c r="C52" s="581">
        <f t="shared" si="0"/>
        <v>6</v>
      </c>
      <c r="D52" s="171">
        <v>36.270000000000003</v>
      </c>
      <c r="E52" s="171">
        <v>30.400000000000002</v>
      </c>
      <c r="F52" s="171">
        <v>26.2</v>
      </c>
      <c r="G52" s="171">
        <v>20.5</v>
      </c>
      <c r="H52" s="171">
        <v>20</v>
      </c>
      <c r="I52" s="171">
        <v>28.5</v>
      </c>
      <c r="J52" s="171">
        <v>34.200000000000003</v>
      </c>
      <c r="K52" s="171">
        <v>46.84</v>
      </c>
      <c r="L52" s="171">
        <v>58.620000000000005</v>
      </c>
      <c r="M52" s="171">
        <v>96.69</v>
      </c>
      <c r="N52" s="171">
        <v>99</v>
      </c>
      <c r="O52" s="171">
        <v>100</v>
      </c>
      <c r="P52" s="171">
        <v>99</v>
      </c>
      <c r="Q52" s="171">
        <v>99</v>
      </c>
      <c r="R52" s="171">
        <v>95.09</v>
      </c>
      <c r="S52" s="171">
        <v>65.44</v>
      </c>
      <c r="T52" s="171">
        <v>61</v>
      </c>
      <c r="U52" s="171">
        <v>54.72</v>
      </c>
      <c r="V52" s="171">
        <v>50.83</v>
      </c>
      <c r="W52" s="171">
        <v>45.5</v>
      </c>
      <c r="X52" s="171">
        <v>43.300000000000004</v>
      </c>
      <c r="Y52" s="171">
        <v>40.5</v>
      </c>
      <c r="Z52" s="171">
        <v>42.44</v>
      </c>
      <c r="AA52" s="171">
        <v>40.42</v>
      </c>
      <c r="AB52" s="171">
        <v>100</v>
      </c>
      <c r="AC52" s="171">
        <v>40.5</v>
      </c>
      <c r="AD52" s="171">
        <v>29.560000000000002</v>
      </c>
      <c r="AF52" s="171">
        <f t="shared" si="1"/>
        <v>2006</v>
      </c>
      <c r="AG52" s="171">
        <f t="shared" si="2"/>
        <v>10</v>
      </c>
      <c r="AH52" s="700">
        <f>SUMIF(D$3:$AA52,"&lt;="&amp;$AH$1)/COUNTIF(D$3:$AA52,"&lt;="&amp;$AH$1)</f>
        <v>29.350545454545461</v>
      </c>
    </row>
    <row r="53" spans="2:34" x14ac:dyDescent="0.25">
      <c r="B53" s="910">
        <v>38901</v>
      </c>
      <c r="C53" s="581">
        <f t="shared" si="0"/>
        <v>7</v>
      </c>
      <c r="D53" s="171">
        <v>31</v>
      </c>
      <c r="E53" s="171">
        <v>24.400000000000002</v>
      </c>
      <c r="F53" s="171">
        <v>15.65</v>
      </c>
      <c r="G53" s="171">
        <v>10.64</v>
      </c>
      <c r="H53" s="171">
        <v>10.35</v>
      </c>
      <c r="I53" s="171">
        <v>18.100000000000001</v>
      </c>
      <c r="J53" s="171">
        <v>34.1</v>
      </c>
      <c r="K53" s="171">
        <v>50.04</v>
      </c>
      <c r="L53" s="171">
        <v>60.93</v>
      </c>
      <c r="M53" s="171">
        <v>66</v>
      </c>
      <c r="N53" s="171">
        <v>89.01</v>
      </c>
      <c r="O53" s="171">
        <v>149.99</v>
      </c>
      <c r="P53" s="171">
        <v>110</v>
      </c>
      <c r="Q53" s="171">
        <v>155</v>
      </c>
      <c r="R53" s="171">
        <v>250</v>
      </c>
      <c r="S53" s="171">
        <v>155</v>
      </c>
      <c r="T53" s="171">
        <v>125</v>
      </c>
      <c r="U53" s="171">
        <v>129.74</v>
      </c>
      <c r="V53" s="171">
        <v>55.9</v>
      </c>
      <c r="W53" s="171">
        <v>50</v>
      </c>
      <c r="X53" s="171">
        <v>49.27</v>
      </c>
      <c r="Y53" s="171">
        <v>44.75</v>
      </c>
      <c r="Z53" s="171">
        <v>47</v>
      </c>
      <c r="AA53" s="171">
        <v>38.06</v>
      </c>
      <c r="AB53" s="171">
        <v>250</v>
      </c>
      <c r="AC53" s="171">
        <v>44.75</v>
      </c>
      <c r="AD53" s="171">
        <v>22.79</v>
      </c>
      <c r="AF53" s="171">
        <f t="shared" si="1"/>
        <v>2006</v>
      </c>
      <c r="AG53" s="171">
        <f t="shared" si="2"/>
        <v>8</v>
      </c>
      <c r="AH53" s="700">
        <f>SUMIF(D$3:$AA53,"&lt;="&amp;$AH$1)/COUNTIF(D$3:$AA53,"&lt;="&amp;$AH$1)</f>
        <v>29.256451612903231</v>
      </c>
    </row>
    <row r="54" spans="2:34" x14ac:dyDescent="0.25">
      <c r="B54" s="910">
        <v>38902</v>
      </c>
      <c r="C54" s="581">
        <f t="shared" si="0"/>
        <v>7</v>
      </c>
      <c r="D54" s="171">
        <v>40.26</v>
      </c>
      <c r="E54" s="171">
        <v>35</v>
      </c>
      <c r="F54" s="171">
        <v>30.19</v>
      </c>
      <c r="G54" s="171">
        <v>28</v>
      </c>
      <c r="H54" s="171">
        <v>25.1</v>
      </c>
      <c r="I54" s="171">
        <v>31.21</v>
      </c>
      <c r="J54" s="171">
        <v>39.200000000000003</v>
      </c>
      <c r="K54" s="171">
        <v>56</v>
      </c>
      <c r="L54" s="171">
        <v>78</v>
      </c>
      <c r="M54" s="171">
        <v>200</v>
      </c>
      <c r="N54" s="171">
        <v>352</v>
      </c>
      <c r="O54" s="171">
        <v>589.26</v>
      </c>
      <c r="P54" s="171">
        <v>440</v>
      </c>
      <c r="Q54" s="171">
        <v>500</v>
      </c>
      <c r="R54" s="171">
        <v>597</v>
      </c>
      <c r="S54" s="171">
        <v>440</v>
      </c>
      <c r="T54" s="171">
        <v>350</v>
      </c>
      <c r="U54" s="171">
        <v>100.12</v>
      </c>
      <c r="V54" s="171">
        <v>60</v>
      </c>
      <c r="W54" s="171">
        <v>53.050000000000004</v>
      </c>
      <c r="X54" s="171">
        <v>46.85</v>
      </c>
      <c r="Y54" s="171">
        <v>43</v>
      </c>
      <c r="Z54" s="171">
        <v>47.6</v>
      </c>
      <c r="AA54" s="171">
        <v>44</v>
      </c>
      <c r="AB54" s="171">
        <v>597</v>
      </c>
      <c r="AC54" s="171">
        <v>43</v>
      </c>
      <c r="AD54" s="171">
        <v>34.119999999999997</v>
      </c>
      <c r="AF54" s="171">
        <f t="shared" si="1"/>
        <v>2006</v>
      </c>
      <c r="AG54" s="171">
        <f t="shared" si="2"/>
        <v>7</v>
      </c>
      <c r="AH54" s="700">
        <f>SUMIF(D$3:$AA54,"&lt;="&amp;$AH$1)/COUNTIF(D$3:$AA54,"&lt;="&amp;$AH$1)</f>
        <v>29.299221238938049</v>
      </c>
    </row>
    <row r="55" spans="2:34" x14ac:dyDescent="0.25">
      <c r="B55" s="910">
        <v>38903</v>
      </c>
      <c r="C55" s="581">
        <f t="shared" si="0"/>
        <v>7</v>
      </c>
      <c r="D55" s="171">
        <v>39</v>
      </c>
      <c r="E55" s="171">
        <v>34</v>
      </c>
      <c r="F55" s="171">
        <v>29.080000000000002</v>
      </c>
      <c r="G55" s="171">
        <v>24.3</v>
      </c>
      <c r="H55" s="171">
        <v>23.5</v>
      </c>
      <c r="I55" s="171">
        <v>30.35</v>
      </c>
      <c r="J55" s="171">
        <v>38.15</v>
      </c>
      <c r="K55" s="171">
        <v>52</v>
      </c>
      <c r="L55" s="171">
        <v>78.63</v>
      </c>
      <c r="M55" s="171">
        <v>150.01</v>
      </c>
      <c r="N55" s="171">
        <v>400</v>
      </c>
      <c r="O55" s="171">
        <v>500</v>
      </c>
      <c r="P55" s="171">
        <v>499</v>
      </c>
      <c r="Q55" s="171">
        <v>417</v>
      </c>
      <c r="R55" s="171">
        <v>400</v>
      </c>
      <c r="S55" s="171">
        <v>200</v>
      </c>
      <c r="T55" s="171">
        <v>155</v>
      </c>
      <c r="U55" s="171">
        <v>80</v>
      </c>
      <c r="V55" s="171">
        <v>58.84</v>
      </c>
      <c r="W55" s="171">
        <v>49.08</v>
      </c>
      <c r="X55" s="171">
        <v>46.7</v>
      </c>
      <c r="Y55" s="171">
        <v>44</v>
      </c>
      <c r="Z55" s="171">
        <v>46.27</v>
      </c>
      <c r="AA55" s="171">
        <v>42.1</v>
      </c>
      <c r="AB55" s="171">
        <v>500</v>
      </c>
      <c r="AC55" s="171">
        <v>44</v>
      </c>
      <c r="AD55" s="171">
        <v>32.56</v>
      </c>
      <c r="AF55" s="171">
        <f t="shared" si="1"/>
        <v>2006</v>
      </c>
      <c r="AG55" s="171">
        <f t="shared" si="2"/>
        <v>8</v>
      </c>
      <c r="AH55" s="700">
        <f>SUMIF(D$3:$AA55,"&lt;="&amp;$AH$1)/COUNTIF(D$3:$AA55,"&lt;="&amp;$AH$1)</f>
        <v>29.344746945898773</v>
      </c>
    </row>
    <row r="56" spans="2:34" x14ac:dyDescent="0.25">
      <c r="B56" s="910">
        <v>38904</v>
      </c>
      <c r="C56" s="581">
        <f t="shared" si="0"/>
        <v>7</v>
      </c>
      <c r="D56" s="171">
        <v>36.5</v>
      </c>
      <c r="E56" s="171">
        <v>32.69</v>
      </c>
      <c r="F56" s="171">
        <v>28.36</v>
      </c>
      <c r="G56" s="171">
        <v>27.6</v>
      </c>
      <c r="H56" s="171">
        <v>26.6</v>
      </c>
      <c r="I56" s="171">
        <v>30.13</v>
      </c>
      <c r="J56" s="171">
        <v>36</v>
      </c>
      <c r="K56" s="171">
        <v>47.910000000000004</v>
      </c>
      <c r="L56" s="171">
        <v>72</v>
      </c>
      <c r="M56" s="171">
        <v>83.55</v>
      </c>
      <c r="N56" s="171">
        <v>99</v>
      </c>
      <c r="O56" s="171">
        <v>114.99000000000001</v>
      </c>
      <c r="P56" s="171">
        <v>99.990000000000009</v>
      </c>
      <c r="Q56" s="171">
        <v>100</v>
      </c>
      <c r="R56" s="171">
        <v>99</v>
      </c>
      <c r="S56" s="171">
        <v>82.3</v>
      </c>
      <c r="T56" s="171">
        <v>70</v>
      </c>
      <c r="U56" s="171">
        <v>59.910000000000004</v>
      </c>
      <c r="V56" s="171">
        <v>57</v>
      </c>
      <c r="W56" s="171">
        <v>51</v>
      </c>
      <c r="X56" s="171">
        <v>45.910000000000004</v>
      </c>
      <c r="Y56" s="171">
        <v>42.550000000000004</v>
      </c>
      <c r="Z56" s="171">
        <v>44.82</v>
      </c>
      <c r="AA56" s="171">
        <v>39</v>
      </c>
      <c r="AB56" s="171">
        <v>114.99000000000001</v>
      </c>
      <c r="AC56" s="171">
        <v>42.550000000000004</v>
      </c>
      <c r="AD56" s="171">
        <v>32.11</v>
      </c>
      <c r="AF56" s="171">
        <f t="shared" si="1"/>
        <v>2006</v>
      </c>
      <c r="AG56" s="171">
        <f t="shared" si="2"/>
        <v>9</v>
      </c>
      <c r="AH56" s="700">
        <f>SUMIF(D$3:$AA56,"&lt;="&amp;$AH$1)/COUNTIF(D$3:$AA56,"&lt;="&amp;$AH$1)</f>
        <v>29.405446735395177</v>
      </c>
    </row>
    <row r="57" spans="2:34" x14ac:dyDescent="0.25">
      <c r="B57" s="910">
        <v>38905</v>
      </c>
      <c r="C57" s="581">
        <f t="shared" si="0"/>
        <v>7</v>
      </c>
      <c r="D57" s="171">
        <v>41</v>
      </c>
      <c r="E57" s="171">
        <v>34</v>
      </c>
      <c r="F57" s="171">
        <v>30</v>
      </c>
      <c r="G57" s="171">
        <v>24.89</v>
      </c>
      <c r="H57" s="171">
        <v>25.25</v>
      </c>
      <c r="I57" s="171">
        <v>31</v>
      </c>
      <c r="J57" s="171">
        <v>38.58</v>
      </c>
      <c r="K57" s="171">
        <v>53.96</v>
      </c>
      <c r="L57" s="171">
        <v>61.97</v>
      </c>
      <c r="M57" s="171">
        <v>97.990000000000009</v>
      </c>
      <c r="N57" s="171">
        <v>99</v>
      </c>
      <c r="O57" s="171">
        <v>155</v>
      </c>
      <c r="P57" s="171">
        <v>95.76</v>
      </c>
      <c r="Q57" s="171">
        <v>250</v>
      </c>
      <c r="R57" s="171">
        <v>82.72</v>
      </c>
      <c r="S57" s="171">
        <v>75</v>
      </c>
      <c r="T57" s="171">
        <v>63.45</v>
      </c>
      <c r="U57" s="171">
        <v>59</v>
      </c>
      <c r="V57" s="171">
        <v>55.09</v>
      </c>
      <c r="W57" s="171">
        <v>46.01</v>
      </c>
      <c r="X57" s="171">
        <v>44.62</v>
      </c>
      <c r="Y57" s="171">
        <v>40.980000000000004</v>
      </c>
      <c r="Z57" s="171">
        <v>43.01</v>
      </c>
      <c r="AA57" s="171">
        <v>41.69</v>
      </c>
      <c r="AB57" s="171">
        <v>250</v>
      </c>
      <c r="AC57" s="171">
        <v>40.980000000000004</v>
      </c>
      <c r="AD57" s="171">
        <v>33.299999999999997</v>
      </c>
      <c r="AF57" s="171">
        <f t="shared" si="1"/>
        <v>2006</v>
      </c>
      <c r="AG57" s="171">
        <f t="shared" si="2"/>
        <v>9</v>
      </c>
      <c r="AH57" s="700">
        <f>SUMIF(D$3:$AA57,"&lt;="&amp;$AH$1)/COUNTIF(D$3:$AA57,"&lt;="&amp;$AH$1)</f>
        <v>29.477766497461918</v>
      </c>
    </row>
    <row r="58" spans="2:34" x14ac:dyDescent="0.25">
      <c r="B58" s="910">
        <v>38908</v>
      </c>
      <c r="C58" s="581">
        <f t="shared" si="0"/>
        <v>7</v>
      </c>
      <c r="D58" s="171">
        <v>25.5</v>
      </c>
      <c r="E58" s="171">
        <v>18.809999999999999</v>
      </c>
      <c r="F58" s="171">
        <v>16.2</v>
      </c>
      <c r="G58" s="171">
        <v>12.200000000000001</v>
      </c>
      <c r="H58" s="171">
        <v>12</v>
      </c>
      <c r="I58" s="171">
        <v>17.8</v>
      </c>
      <c r="J58" s="171">
        <v>34.840000000000003</v>
      </c>
      <c r="K58" s="171">
        <v>51.59</v>
      </c>
      <c r="L58" s="171">
        <v>61.31</v>
      </c>
      <c r="M58" s="171">
        <v>67.87</v>
      </c>
      <c r="N58" s="171">
        <v>75.650000000000006</v>
      </c>
      <c r="O58" s="171">
        <v>93.3</v>
      </c>
      <c r="P58" s="171">
        <v>86.100000000000009</v>
      </c>
      <c r="Q58" s="171">
        <v>86</v>
      </c>
      <c r="R58" s="171">
        <v>83</v>
      </c>
      <c r="S58" s="171">
        <v>75.8</v>
      </c>
      <c r="T58" s="171">
        <v>71.900000000000006</v>
      </c>
      <c r="U58" s="171">
        <v>63.9</v>
      </c>
      <c r="V58" s="171">
        <v>61</v>
      </c>
      <c r="W58" s="171">
        <v>53.160000000000004</v>
      </c>
      <c r="X58" s="171">
        <v>50.6</v>
      </c>
      <c r="Y58" s="171">
        <v>48.46</v>
      </c>
      <c r="Z58" s="171">
        <v>49.29</v>
      </c>
      <c r="AA58" s="171">
        <v>45</v>
      </c>
      <c r="AB58" s="171">
        <v>93.3</v>
      </c>
      <c r="AC58" s="171">
        <v>48.46</v>
      </c>
      <c r="AD58" s="171">
        <v>22.79</v>
      </c>
      <c r="AF58" s="171">
        <f t="shared" si="1"/>
        <v>2006</v>
      </c>
      <c r="AG58" s="171">
        <f t="shared" si="2"/>
        <v>7</v>
      </c>
      <c r="AH58" s="700">
        <f>SUMIF(D$3:$AA58,"&lt;="&amp;$AH$1)/COUNTIF(D$3:$AA58,"&lt;="&amp;$AH$1)</f>
        <v>29.362391304347817</v>
      </c>
    </row>
    <row r="59" spans="2:34" x14ac:dyDescent="0.25">
      <c r="B59" s="910">
        <v>38909</v>
      </c>
      <c r="C59" s="581">
        <f t="shared" si="0"/>
        <v>7</v>
      </c>
      <c r="D59" s="171">
        <v>39.090000000000003</v>
      </c>
      <c r="E59" s="171">
        <v>33.700000000000003</v>
      </c>
      <c r="F59" s="171">
        <v>29.84</v>
      </c>
      <c r="G59" s="171">
        <v>23.69</v>
      </c>
      <c r="H59" s="171">
        <v>23.990000000000002</v>
      </c>
      <c r="I59" s="171">
        <v>30</v>
      </c>
      <c r="J59" s="171">
        <v>38.590000000000003</v>
      </c>
      <c r="K59" s="171">
        <v>54.230000000000004</v>
      </c>
      <c r="L59" s="171">
        <v>65.75</v>
      </c>
      <c r="M59" s="171">
        <v>76</v>
      </c>
      <c r="N59" s="171">
        <v>92</v>
      </c>
      <c r="O59" s="171">
        <v>100</v>
      </c>
      <c r="P59" s="171">
        <v>88.48</v>
      </c>
      <c r="Q59" s="171">
        <v>85.17</v>
      </c>
      <c r="R59" s="171">
        <v>81.89</v>
      </c>
      <c r="S59" s="171">
        <v>77.69</v>
      </c>
      <c r="T59" s="171">
        <v>69.210000000000008</v>
      </c>
      <c r="U59" s="171">
        <v>63.24</v>
      </c>
      <c r="V59" s="171">
        <v>57.4</v>
      </c>
      <c r="W59" s="171">
        <v>49.43</v>
      </c>
      <c r="X59" s="171">
        <v>46.31</v>
      </c>
      <c r="Y59" s="171">
        <v>42.99</v>
      </c>
      <c r="Z59" s="171">
        <v>49.57</v>
      </c>
      <c r="AA59" s="171">
        <v>45.22</v>
      </c>
      <c r="AB59" s="171">
        <v>100</v>
      </c>
      <c r="AC59" s="171">
        <v>42.99</v>
      </c>
      <c r="AD59" s="171">
        <v>33.01</v>
      </c>
      <c r="AF59" s="171">
        <f t="shared" si="1"/>
        <v>2006</v>
      </c>
      <c r="AG59" s="171">
        <f t="shared" si="2"/>
        <v>7</v>
      </c>
      <c r="AH59" s="700">
        <f>SUMIF(D$3:$AA59,"&lt;="&amp;$AH$1)/COUNTIF(D$3:$AA59,"&lt;="&amp;$AH$1)</f>
        <v>29.384479338842969</v>
      </c>
    </row>
    <row r="60" spans="2:34" x14ac:dyDescent="0.25">
      <c r="B60" s="910">
        <v>38910</v>
      </c>
      <c r="C60" s="581">
        <f t="shared" si="0"/>
        <v>7</v>
      </c>
      <c r="D60" s="171">
        <v>39.76</v>
      </c>
      <c r="E60" s="171">
        <v>34.85</v>
      </c>
      <c r="F60" s="171">
        <v>30.61</v>
      </c>
      <c r="G60" s="171">
        <v>28.25</v>
      </c>
      <c r="H60" s="171">
        <v>28.25</v>
      </c>
      <c r="I60" s="171">
        <v>32.6</v>
      </c>
      <c r="J60" s="171">
        <v>38</v>
      </c>
      <c r="K60" s="171">
        <v>58.38</v>
      </c>
      <c r="L60" s="171">
        <v>64.41</v>
      </c>
      <c r="M60" s="171">
        <v>77.3</v>
      </c>
      <c r="N60" s="171">
        <v>87.09</v>
      </c>
      <c r="O60" s="171">
        <v>98</v>
      </c>
      <c r="P60" s="171">
        <v>84.56</v>
      </c>
      <c r="Q60" s="171">
        <v>86.25</v>
      </c>
      <c r="R60" s="171">
        <v>83</v>
      </c>
      <c r="S60" s="171">
        <v>78.77</v>
      </c>
      <c r="T60" s="171">
        <v>72.350000000000009</v>
      </c>
      <c r="U60" s="171">
        <v>64.02</v>
      </c>
      <c r="V60" s="171">
        <v>59.43</v>
      </c>
      <c r="W60" s="171">
        <v>52.15</v>
      </c>
      <c r="X60" s="171">
        <v>52.300000000000004</v>
      </c>
      <c r="Y60" s="171">
        <v>47</v>
      </c>
      <c r="Z60" s="171">
        <v>49.5</v>
      </c>
      <c r="AA60" s="171">
        <v>45.1</v>
      </c>
      <c r="AB60" s="171">
        <v>98</v>
      </c>
      <c r="AC60" s="171">
        <v>47</v>
      </c>
      <c r="AD60" s="171">
        <v>34.68</v>
      </c>
      <c r="AF60" s="171">
        <f t="shared" si="1"/>
        <v>2006</v>
      </c>
      <c r="AG60" s="171">
        <f t="shared" si="2"/>
        <v>7</v>
      </c>
      <c r="AH60" s="700">
        <f>SUMIF(D$3:$AA60,"&lt;="&amp;$AH$1)/COUNTIF(D$3:$AA60,"&lt;="&amp;$AH$1)</f>
        <v>29.427990196078419</v>
      </c>
    </row>
    <row r="61" spans="2:34" x14ac:dyDescent="0.25">
      <c r="B61" s="910">
        <v>38911</v>
      </c>
      <c r="C61" s="581">
        <f t="shared" si="0"/>
        <v>7</v>
      </c>
      <c r="D61" s="171">
        <v>39.56</v>
      </c>
      <c r="E61" s="171">
        <v>36.58</v>
      </c>
      <c r="F61" s="171">
        <v>33</v>
      </c>
      <c r="G61" s="171">
        <v>26.22</v>
      </c>
      <c r="H61" s="171">
        <v>28</v>
      </c>
      <c r="I61" s="171">
        <v>32.880000000000003</v>
      </c>
      <c r="J61" s="171">
        <v>39.06</v>
      </c>
      <c r="K61" s="171">
        <v>61.5</v>
      </c>
      <c r="L61" s="171">
        <v>69.400000000000006</v>
      </c>
      <c r="M61" s="171">
        <v>83.66</v>
      </c>
      <c r="N61" s="171">
        <v>90.16</v>
      </c>
      <c r="O61" s="171">
        <v>107.93</v>
      </c>
      <c r="P61" s="171">
        <v>95.04</v>
      </c>
      <c r="Q61" s="171">
        <v>101.31</v>
      </c>
      <c r="R61" s="171">
        <v>89.72</v>
      </c>
      <c r="S61" s="171">
        <v>88.56</v>
      </c>
      <c r="T61" s="171">
        <v>79.59</v>
      </c>
      <c r="U61" s="171">
        <v>75</v>
      </c>
      <c r="V61" s="171">
        <v>70</v>
      </c>
      <c r="W61" s="171">
        <v>58</v>
      </c>
      <c r="X61" s="171">
        <v>53</v>
      </c>
      <c r="Y61" s="171">
        <v>50.01</v>
      </c>
      <c r="Z61" s="171">
        <v>53.7</v>
      </c>
      <c r="AA61" s="171">
        <v>45.07</v>
      </c>
      <c r="AB61" s="171">
        <v>107.93</v>
      </c>
      <c r="AC61" s="171">
        <v>50.01</v>
      </c>
      <c r="AD61" s="171">
        <v>35.050000000000004</v>
      </c>
      <c r="AF61" s="171">
        <f t="shared" si="1"/>
        <v>2006</v>
      </c>
      <c r="AG61" s="171">
        <f t="shared" si="2"/>
        <v>7</v>
      </c>
      <c r="AH61" s="700">
        <f>SUMIF(D$3:$AA61,"&lt;="&amp;$AH$1)/COUNTIF(D$3:$AA61,"&lt;="&amp;$AH$1)</f>
        <v>29.475331179321486</v>
      </c>
    </row>
    <row r="62" spans="2:34" x14ac:dyDescent="0.25">
      <c r="B62" s="910">
        <v>38912</v>
      </c>
      <c r="C62" s="581">
        <f t="shared" si="0"/>
        <v>7</v>
      </c>
      <c r="D62" s="171">
        <v>40</v>
      </c>
      <c r="E62" s="171">
        <v>34.42</v>
      </c>
      <c r="F62" s="171">
        <v>30.310000000000002</v>
      </c>
      <c r="G62" s="171">
        <v>27.01</v>
      </c>
      <c r="H62" s="171">
        <v>28.25</v>
      </c>
      <c r="I62" s="171">
        <v>30.740000000000002</v>
      </c>
      <c r="J62" s="171">
        <v>39.800000000000004</v>
      </c>
      <c r="K62" s="171">
        <v>57.550000000000004</v>
      </c>
      <c r="L62" s="171">
        <v>58.43</v>
      </c>
      <c r="M62" s="171">
        <v>100</v>
      </c>
      <c r="N62" s="171">
        <v>200</v>
      </c>
      <c r="O62" s="171">
        <v>200</v>
      </c>
      <c r="P62" s="171">
        <v>155</v>
      </c>
      <c r="Q62" s="171">
        <v>155</v>
      </c>
      <c r="R62" s="171">
        <v>124</v>
      </c>
      <c r="S62" s="171">
        <v>65.8</v>
      </c>
      <c r="T62" s="171">
        <v>57.03</v>
      </c>
      <c r="U62" s="171">
        <v>51</v>
      </c>
      <c r="V62" s="171">
        <v>51.44</v>
      </c>
      <c r="W62" s="171">
        <v>46.6</v>
      </c>
      <c r="X62" s="171">
        <v>50.06</v>
      </c>
      <c r="Y62" s="171">
        <v>48.15</v>
      </c>
      <c r="Z62" s="171">
        <v>70</v>
      </c>
      <c r="AA62" s="171">
        <v>58.6</v>
      </c>
      <c r="AB62" s="171">
        <v>200</v>
      </c>
      <c r="AC62" s="171">
        <v>46.6</v>
      </c>
      <c r="AD62" s="171">
        <v>36.14</v>
      </c>
      <c r="AF62" s="171">
        <f t="shared" si="1"/>
        <v>2006</v>
      </c>
      <c r="AG62" s="171">
        <f t="shared" si="2"/>
        <v>7</v>
      </c>
      <c r="AH62" s="700">
        <f>SUMIF(D$3:$AA62,"&lt;="&amp;$AH$1)/COUNTIF(D$3:$AA62,"&lt;="&amp;$AH$1)</f>
        <v>29.51399361022364</v>
      </c>
    </row>
    <row r="63" spans="2:34" x14ac:dyDescent="0.25">
      <c r="B63" s="910">
        <v>38915</v>
      </c>
      <c r="C63" s="581">
        <f t="shared" si="0"/>
        <v>7</v>
      </c>
      <c r="D63" s="171">
        <v>44</v>
      </c>
      <c r="E63" s="171">
        <v>39.5</v>
      </c>
      <c r="F63" s="171">
        <v>29.2</v>
      </c>
      <c r="G63" s="171">
        <v>21.72</v>
      </c>
      <c r="H63" s="171">
        <v>23</v>
      </c>
      <c r="I63" s="171">
        <v>34.800000000000004</v>
      </c>
      <c r="J63" s="171">
        <v>45.42</v>
      </c>
      <c r="K63" s="171">
        <v>62.89</v>
      </c>
      <c r="L63" s="171">
        <v>75.5</v>
      </c>
      <c r="M63" s="171">
        <v>90.28</v>
      </c>
      <c r="N63" s="171">
        <v>100</v>
      </c>
      <c r="O63" s="171">
        <v>180.63</v>
      </c>
      <c r="P63" s="171">
        <v>125.17</v>
      </c>
      <c r="Q63" s="171">
        <v>143.97</v>
      </c>
      <c r="R63" s="171">
        <v>125.10000000000001</v>
      </c>
      <c r="S63" s="171">
        <v>109.98</v>
      </c>
      <c r="T63" s="171">
        <v>100</v>
      </c>
      <c r="U63" s="171">
        <v>95.210000000000008</v>
      </c>
      <c r="V63" s="171">
        <v>79.040000000000006</v>
      </c>
      <c r="W63" s="171">
        <v>59</v>
      </c>
      <c r="X63" s="171">
        <v>57.64</v>
      </c>
      <c r="Y63" s="171">
        <v>56.75</v>
      </c>
      <c r="Z63" s="171">
        <v>75</v>
      </c>
      <c r="AA63" s="171">
        <v>65</v>
      </c>
      <c r="AB63" s="171">
        <v>180.63</v>
      </c>
      <c r="AC63" s="171">
        <v>56.75</v>
      </c>
      <c r="AD63" s="171">
        <v>37.83</v>
      </c>
      <c r="AF63" s="171">
        <f t="shared" si="1"/>
        <v>2006</v>
      </c>
      <c r="AG63" s="171">
        <f t="shared" si="2"/>
        <v>5</v>
      </c>
      <c r="AH63" s="700">
        <f>SUMIF(D$3:$AA63,"&lt;="&amp;$AH$1)/COUNTIF(D$3:$AA63,"&lt;="&amp;$AH$1)</f>
        <v>29.515023771790808</v>
      </c>
    </row>
    <row r="64" spans="2:34" x14ac:dyDescent="0.25">
      <c r="B64" s="910">
        <v>38916</v>
      </c>
      <c r="C64" s="581">
        <f t="shared" si="0"/>
        <v>7</v>
      </c>
      <c r="D64" s="171">
        <v>45</v>
      </c>
      <c r="E64" s="171">
        <v>42.26</v>
      </c>
      <c r="F64" s="171">
        <v>36.26</v>
      </c>
      <c r="G64" s="171">
        <v>30.28</v>
      </c>
      <c r="H64" s="171">
        <v>31.400000000000002</v>
      </c>
      <c r="I64" s="171">
        <v>39.590000000000003</v>
      </c>
      <c r="J64" s="171">
        <v>52.5</v>
      </c>
      <c r="K64" s="171">
        <v>81.8</v>
      </c>
      <c r="L64" s="171">
        <v>112.94</v>
      </c>
      <c r="M64" s="171">
        <v>136.1</v>
      </c>
      <c r="N64" s="171">
        <v>156.6</v>
      </c>
      <c r="O64" s="171">
        <v>231</v>
      </c>
      <c r="P64" s="171">
        <v>155</v>
      </c>
      <c r="Q64" s="171">
        <v>155.89000000000001</v>
      </c>
      <c r="R64" s="171">
        <v>146.04</v>
      </c>
      <c r="S64" s="171">
        <v>144.97999999999999</v>
      </c>
      <c r="T64" s="171">
        <v>108.21000000000001</v>
      </c>
      <c r="U64" s="171">
        <v>96.53</v>
      </c>
      <c r="V64" s="171">
        <v>90.460000000000008</v>
      </c>
      <c r="W64" s="171">
        <v>74</v>
      </c>
      <c r="X64" s="171">
        <v>65.08</v>
      </c>
      <c r="Y64" s="171">
        <v>59.980000000000004</v>
      </c>
      <c r="Z64" s="171">
        <v>62.42</v>
      </c>
      <c r="AA64" s="171">
        <v>57.08</v>
      </c>
      <c r="AB64" s="171">
        <v>231</v>
      </c>
      <c r="AC64" s="171">
        <v>59.980000000000004</v>
      </c>
      <c r="AD64" s="171">
        <v>41.800000000000004</v>
      </c>
      <c r="AF64" s="171">
        <f t="shared" si="1"/>
        <v>2006</v>
      </c>
      <c r="AG64" s="171">
        <f t="shared" si="2"/>
        <v>5</v>
      </c>
      <c r="AH64" s="700">
        <f>SUMIF(D$3:$AA64,"&lt;="&amp;$AH$1)/COUNTIF(D$3:$AA64,"&lt;="&amp;$AH$1)</f>
        <v>29.565676100628927</v>
      </c>
    </row>
    <row r="65" spans="2:34" x14ac:dyDescent="0.25">
      <c r="B65" s="910">
        <v>38917</v>
      </c>
      <c r="C65" s="581">
        <f t="shared" si="0"/>
        <v>7</v>
      </c>
      <c r="D65" s="171">
        <v>48</v>
      </c>
      <c r="E65" s="171">
        <v>42.82</v>
      </c>
      <c r="F65" s="171">
        <v>38.72</v>
      </c>
      <c r="G65" s="171">
        <v>35</v>
      </c>
      <c r="H65" s="171">
        <v>34.36</v>
      </c>
      <c r="I65" s="171">
        <v>39.980000000000004</v>
      </c>
      <c r="J65" s="171">
        <v>48.5</v>
      </c>
      <c r="K65" s="171">
        <v>73.510000000000005</v>
      </c>
      <c r="L65" s="171">
        <v>94.23</v>
      </c>
      <c r="M65" s="171">
        <v>165</v>
      </c>
      <c r="N65" s="171">
        <v>218.61</v>
      </c>
      <c r="O65" s="171">
        <v>249.05</v>
      </c>
      <c r="P65" s="171">
        <v>188</v>
      </c>
      <c r="Q65" s="171">
        <v>201</v>
      </c>
      <c r="R65" s="171">
        <v>245.55</v>
      </c>
      <c r="S65" s="171">
        <v>226.18</v>
      </c>
      <c r="T65" s="171">
        <v>135.55000000000001</v>
      </c>
      <c r="U65" s="171">
        <v>102.81</v>
      </c>
      <c r="V65" s="171">
        <v>91.11</v>
      </c>
      <c r="W65" s="171">
        <v>81.84</v>
      </c>
      <c r="X65" s="171">
        <v>74.13</v>
      </c>
      <c r="Y65" s="171">
        <v>70</v>
      </c>
      <c r="Z65" s="171">
        <v>71.8</v>
      </c>
      <c r="AA65" s="171">
        <v>57.7</v>
      </c>
      <c r="AB65" s="171">
        <v>249.05</v>
      </c>
      <c r="AC65" s="171">
        <v>70</v>
      </c>
      <c r="AD65" s="171">
        <v>43.13</v>
      </c>
      <c r="AF65" s="171">
        <f t="shared" si="1"/>
        <v>2006</v>
      </c>
      <c r="AG65" s="171">
        <f t="shared" si="2"/>
        <v>4</v>
      </c>
      <c r="AH65" s="700">
        <f>SUMIF(D$3:$AA65,"&lt;="&amp;$AH$1)/COUNTIF(D$3:$AA65,"&lt;="&amp;$AH$1)</f>
        <v>29.612234374999996</v>
      </c>
    </row>
    <row r="66" spans="2:34" x14ac:dyDescent="0.25">
      <c r="B66" s="910">
        <v>38918</v>
      </c>
      <c r="C66" s="581">
        <f t="shared" si="0"/>
        <v>7</v>
      </c>
      <c r="D66" s="171">
        <v>46.74</v>
      </c>
      <c r="E66" s="171">
        <v>40.9</v>
      </c>
      <c r="F66" s="171">
        <v>35.81</v>
      </c>
      <c r="G66" s="171">
        <v>31.240000000000002</v>
      </c>
      <c r="H66" s="171">
        <v>33.4</v>
      </c>
      <c r="I66" s="171">
        <v>36.99</v>
      </c>
      <c r="J66" s="171">
        <v>48</v>
      </c>
      <c r="K66" s="171">
        <v>69.27</v>
      </c>
      <c r="L66" s="171">
        <v>82.4</v>
      </c>
      <c r="M66" s="171">
        <v>128.52000000000001</v>
      </c>
      <c r="N66" s="171">
        <v>165.02</v>
      </c>
      <c r="O66" s="171">
        <v>203</v>
      </c>
      <c r="P66" s="171">
        <v>153.45000000000002</v>
      </c>
      <c r="Q66" s="171">
        <v>156.44</v>
      </c>
      <c r="R66" s="171">
        <v>144.31</v>
      </c>
      <c r="S66" s="171">
        <v>138.33000000000001</v>
      </c>
      <c r="T66" s="171">
        <v>120.79</v>
      </c>
      <c r="U66" s="171">
        <v>85.93</v>
      </c>
      <c r="V66" s="171">
        <v>73.2</v>
      </c>
      <c r="W66" s="171">
        <v>63.75</v>
      </c>
      <c r="X66" s="171">
        <v>60.800000000000004</v>
      </c>
      <c r="Y66" s="171">
        <v>58.120000000000005</v>
      </c>
      <c r="Z66" s="171">
        <v>61.230000000000004</v>
      </c>
      <c r="AA66" s="171">
        <v>57</v>
      </c>
      <c r="AB66" s="171">
        <v>203</v>
      </c>
      <c r="AC66" s="171">
        <v>58.120000000000005</v>
      </c>
      <c r="AD66" s="171">
        <v>41.26</v>
      </c>
      <c r="AF66" s="171">
        <f t="shared" si="1"/>
        <v>2006</v>
      </c>
      <c r="AG66" s="171">
        <f t="shared" si="2"/>
        <v>5</v>
      </c>
      <c r="AH66" s="700">
        <f>SUMIF(D$3:$AA66,"&lt;="&amp;$AH$1)/COUNTIF(D$3:$AA66,"&lt;="&amp;$AH$1)</f>
        <v>29.659178294573653</v>
      </c>
    </row>
    <row r="67" spans="2:34" x14ac:dyDescent="0.25">
      <c r="B67" s="910">
        <v>38919</v>
      </c>
      <c r="C67" s="581">
        <f t="shared" si="0"/>
        <v>7</v>
      </c>
      <c r="D67" s="171">
        <v>48.36</v>
      </c>
      <c r="E67" s="171">
        <v>42</v>
      </c>
      <c r="F67" s="171">
        <v>37</v>
      </c>
      <c r="G67" s="171">
        <v>32.64</v>
      </c>
      <c r="H67" s="171">
        <v>34.5</v>
      </c>
      <c r="I67" s="171">
        <v>38.300000000000004</v>
      </c>
      <c r="J67" s="171">
        <v>48</v>
      </c>
      <c r="K67" s="171">
        <v>70</v>
      </c>
      <c r="L67" s="171">
        <v>93.11</v>
      </c>
      <c r="M67" s="171">
        <v>117.18</v>
      </c>
      <c r="N67" s="171">
        <v>137</v>
      </c>
      <c r="O67" s="171">
        <v>159.35</v>
      </c>
      <c r="P67" s="171">
        <v>130.4</v>
      </c>
      <c r="Q67" s="171">
        <v>124.91</v>
      </c>
      <c r="R67" s="171">
        <v>112.11</v>
      </c>
      <c r="S67" s="171">
        <v>95.850000000000009</v>
      </c>
      <c r="T67" s="171">
        <v>78.2</v>
      </c>
      <c r="U67" s="171">
        <v>74.900000000000006</v>
      </c>
      <c r="V67" s="171">
        <v>74.61</v>
      </c>
      <c r="W67" s="171">
        <v>66.94</v>
      </c>
      <c r="X67" s="171">
        <v>61.35</v>
      </c>
      <c r="Y67" s="171">
        <v>58.79</v>
      </c>
      <c r="Z67" s="171">
        <v>62</v>
      </c>
      <c r="AA67" s="171">
        <v>54.75</v>
      </c>
      <c r="AB67" s="171">
        <v>159.35</v>
      </c>
      <c r="AC67" s="171">
        <v>58.79</v>
      </c>
      <c r="AD67" s="171">
        <v>41.94</v>
      </c>
      <c r="AF67" s="171">
        <f t="shared" si="1"/>
        <v>2006</v>
      </c>
      <c r="AG67" s="171">
        <f t="shared" si="2"/>
        <v>5</v>
      </c>
      <c r="AH67" s="700">
        <f>SUMIF(D$3:$AA67,"&lt;="&amp;$AH$1)/COUNTIF(D$3:$AA67,"&lt;="&amp;$AH$1)</f>
        <v>29.714784615384623</v>
      </c>
    </row>
    <row r="68" spans="2:34" x14ac:dyDescent="0.25">
      <c r="B68" s="910">
        <v>38922</v>
      </c>
      <c r="C68" s="581">
        <f t="shared" ref="C68:C131" si="4">MONTH(B68)</f>
        <v>7</v>
      </c>
      <c r="D68" s="171">
        <v>45.1</v>
      </c>
      <c r="E68" s="171">
        <v>36.730000000000004</v>
      </c>
      <c r="F68" s="171">
        <v>31.5</v>
      </c>
      <c r="G68" s="171">
        <v>33.840000000000003</v>
      </c>
      <c r="H68" s="171">
        <v>34.44</v>
      </c>
      <c r="I68" s="171">
        <v>38.119999999999997</v>
      </c>
      <c r="J68" s="171">
        <v>53</v>
      </c>
      <c r="K68" s="171">
        <v>74.88</v>
      </c>
      <c r="L68" s="171">
        <v>94</v>
      </c>
      <c r="M68" s="171">
        <v>140</v>
      </c>
      <c r="N68" s="171">
        <v>221.08</v>
      </c>
      <c r="O68" s="171">
        <v>399.88</v>
      </c>
      <c r="P68" s="171">
        <v>236.5</v>
      </c>
      <c r="Q68" s="171">
        <v>196.38</v>
      </c>
      <c r="R68" s="171">
        <v>226.5</v>
      </c>
      <c r="S68" s="171">
        <v>201.20000000000002</v>
      </c>
      <c r="T68" s="171">
        <v>154.96</v>
      </c>
      <c r="U68" s="171">
        <v>93.9</v>
      </c>
      <c r="V68" s="171">
        <v>75</v>
      </c>
      <c r="W68" s="171">
        <v>74.2</v>
      </c>
      <c r="X68" s="171">
        <v>78.03</v>
      </c>
      <c r="Y68" s="171">
        <v>72</v>
      </c>
      <c r="Z68" s="171">
        <v>76.73</v>
      </c>
      <c r="AA68" s="171">
        <v>58.03</v>
      </c>
      <c r="AB68" s="171">
        <v>399.88</v>
      </c>
      <c r="AC68" s="171">
        <v>72</v>
      </c>
      <c r="AD68" s="171">
        <v>41.34</v>
      </c>
      <c r="AF68" s="171">
        <f t="shared" ref="AF68:AF131" si="5">YEAR(B68)</f>
        <v>2006</v>
      </c>
      <c r="AG68" s="171">
        <f t="shared" ref="AG68:AG131" si="6">COUNTIF(D68:AA68,"&lt;="&amp;$AH$1)</f>
        <v>5</v>
      </c>
      <c r="AH68" s="700">
        <f>SUMIF(D$3:$AA68,"&lt;="&amp;$AH$1)/COUNTIF(D$3:$AA68,"&lt;="&amp;$AH$1)</f>
        <v>29.754564885496187</v>
      </c>
    </row>
    <row r="69" spans="2:34" x14ac:dyDescent="0.25">
      <c r="B69" s="910">
        <v>38923</v>
      </c>
      <c r="C69" s="581">
        <f t="shared" si="4"/>
        <v>7</v>
      </c>
      <c r="D69" s="171">
        <v>47.61</v>
      </c>
      <c r="E69" s="171">
        <v>41</v>
      </c>
      <c r="F69" s="171">
        <v>38.1</v>
      </c>
      <c r="G69" s="171">
        <v>37.54</v>
      </c>
      <c r="H69" s="171">
        <v>37.47</v>
      </c>
      <c r="I69" s="171">
        <v>40</v>
      </c>
      <c r="J69" s="171">
        <v>51.1</v>
      </c>
      <c r="K69" s="171">
        <v>75.820000000000007</v>
      </c>
      <c r="L69" s="171">
        <v>113.13</v>
      </c>
      <c r="M69" s="171">
        <v>159.47</v>
      </c>
      <c r="N69" s="171">
        <v>223</v>
      </c>
      <c r="O69" s="171">
        <v>359.92</v>
      </c>
      <c r="P69" s="171">
        <v>226.33</v>
      </c>
      <c r="Q69" s="171">
        <v>202.34</v>
      </c>
      <c r="R69" s="171">
        <v>206.48000000000002</v>
      </c>
      <c r="S69" s="171">
        <v>201</v>
      </c>
      <c r="T69" s="171">
        <v>149.17000000000002</v>
      </c>
      <c r="U69" s="171">
        <v>104</v>
      </c>
      <c r="V69" s="171">
        <v>86</v>
      </c>
      <c r="W69" s="171">
        <v>77.8</v>
      </c>
      <c r="X69" s="171">
        <v>74.33</v>
      </c>
      <c r="Y69" s="171">
        <v>71.94</v>
      </c>
      <c r="Z69" s="171">
        <v>74.320000000000007</v>
      </c>
      <c r="AA69" s="171">
        <v>62</v>
      </c>
      <c r="AB69" s="171">
        <v>359.92</v>
      </c>
      <c r="AC69" s="171">
        <v>71.94</v>
      </c>
      <c r="AD69" s="171">
        <v>44.35</v>
      </c>
      <c r="AF69" s="171">
        <f t="shared" si="5"/>
        <v>2006</v>
      </c>
      <c r="AG69" s="171">
        <f t="shared" si="6"/>
        <v>5</v>
      </c>
      <c r="AH69" s="700">
        <f>SUMIF(D$3:$AA69,"&lt;="&amp;$AH$1)/COUNTIF(D$3:$AA69,"&lt;="&amp;$AH$1)</f>
        <v>29.82325757575758</v>
      </c>
    </row>
    <row r="70" spans="2:34" x14ac:dyDescent="0.25">
      <c r="B70" s="910">
        <v>38924</v>
      </c>
      <c r="C70" s="581">
        <f t="shared" si="4"/>
        <v>7</v>
      </c>
      <c r="D70" s="171">
        <v>50.08</v>
      </c>
      <c r="E70" s="171">
        <v>43</v>
      </c>
      <c r="F70" s="171">
        <v>39.69</v>
      </c>
      <c r="G70" s="171">
        <v>37.160000000000004</v>
      </c>
      <c r="H70" s="171">
        <v>37.9</v>
      </c>
      <c r="I70" s="171">
        <v>42</v>
      </c>
      <c r="J70" s="171">
        <v>54.44</v>
      </c>
      <c r="K70" s="171">
        <v>76</v>
      </c>
      <c r="L70" s="171">
        <v>127.16</v>
      </c>
      <c r="M70" s="171">
        <v>253.26000000000002</v>
      </c>
      <c r="N70" s="171">
        <v>298.34000000000003</v>
      </c>
      <c r="O70" s="171">
        <v>900</v>
      </c>
      <c r="P70" s="171">
        <v>493.7</v>
      </c>
      <c r="Q70" s="171">
        <v>500</v>
      </c>
      <c r="R70" s="171">
        <v>378.74</v>
      </c>
      <c r="S70" s="171">
        <v>335.52</v>
      </c>
      <c r="T70" s="171">
        <v>190.05</v>
      </c>
      <c r="U70" s="171">
        <v>127.81</v>
      </c>
      <c r="V70" s="171">
        <v>90</v>
      </c>
      <c r="W70" s="171">
        <v>84.91</v>
      </c>
      <c r="X70" s="171">
        <v>82</v>
      </c>
      <c r="Y70" s="171">
        <v>80</v>
      </c>
      <c r="Z70" s="171">
        <v>86.11</v>
      </c>
      <c r="AA70" s="171">
        <v>77.210000000000008</v>
      </c>
      <c r="AB70" s="171">
        <v>900</v>
      </c>
      <c r="AC70" s="171">
        <v>76</v>
      </c>
      <c r="AD70" s="171">
        <v>47.68</v>
      </c>
      <c r="AF70" s="171">
        <f t="shared" si="5"/>
        <v>2006</v>
      </c>
      <c r="AG70" s="171">
        <f t="shared" si="6"/>
        <v>4</v>
      </c>
      <c r="AH70" s="700">
        <f>SUMIF(D$3:$AA70,"&lt;="&amp;$AH$1)/COUNTIF(D$3:$AA70,"&lt;="&amp;$AH$1)</f>
        <v>29.879668674698799</v>
      </c>
    </row>
    <row r="71" spans="2:34" x14ac:dyDescent="0.25">
      <c r="B71" s="910">
        <v>38925</v>
      </c>
      <c r="C71" s="581">
        <f t="shared" si="4"/>
        <v>7</v>
      </c>
      <c r="D71" s="171">
        <v>55.06</v>
      </c>
      <c r="E71" s="171">
        <v>45.5</v>
      </c>
      <c r="F71" s="171">
        <v>40</v>
      </c>
      <c r="G71" s="171">
        <v>36.24</v>
      </c>
      <c r="H71" s="171">
        <v>37</v>
      </c>
      <c r="I71" s="171">
        <v>42.85</v>
      </c>
      <c r="J71" s="171">
        <v>53.58</v>
      </c>
      <c r="K71" s="171">
        <v>72.11</v>
      </c>
      <c r="L71" s="171">
        <v>100.54</v>
      </c>
      <c r="M71" s="171">
        <v>198.01</v>
      </c>
      <c r="N71" s="171">
        <v>451.46000000000004</v>
      </c>
      <c r="O71" s="171">
        <v>889.97</v>
      </c>
      <c r="P71" s="171">
        <v>468.89</v>
      </c>
      <c r="Q71" s="171">
        <v>500</v>
      </c>
      <c r="R71" s="171">
        <v>370</v>
      </c>
      <c r="S71" s="171">
        <v>375.89</v>
      </c>
      <c r="T71" s="171">
        <v>250</v>
      </c>
      <c r="U71" s="171">
        <v>120.95</v>
      </c>
      <c r="V71" s="171">
        <v>94.75</v>
      </c>
      <c r="W71" s="171">
        <v>88.24</v>
      </c>
      <c r="X71" s="171">
        <v>82.78</v>
      </c>
      <c r="Y71" s="171">
        <v>77</v>
      </c>
      <c r="Z71" s="171">
        <v>77.59</v>
      </c>
      <c r="AA71" s="171">
        <v>75</v>
      </c>
      <c r="AB71" s="171">
        <v>889.97</v>
      </c>
      <c r="AC71" s="171">
        <v>72.11</v>
      </c>
      <c r="AD71" s="171">
        <v>48.15</v>
      </c>
      <c r="AF71" s="171">
        <f t="shared" si="5"/>
        <v>2006</v>
      </c>
      <c r="AG71" s="171">
        <f t="shared" si="6"/>
        <v>3</v>
      </c>
      <c r="AH71" s="700">
        <f>SUMIF(D$3:$AA71,"&lt;="&amp;$AH$1)/COUNTIF(D$3:$AA71,"&lt;="&amp;$AH$1)</f>
        <v>29.915052473763126</v>
      </c>
    </row>
    <row r="72" spans="2:34" x14ac:dyDescent="0.25">
      <c r="B72" s="910">
        <v>38926</v>
      </c>
      <c r="C72" s="581">
        <f t="shared" si="4"/>
        <v>7</v>
      </c>
      <c r="D72" s="171">
        <v>47.12</v>
      </c>
      <c r="E72" s="171">
        <v>42.24</v>
      </c>
      <c r="F72" s="171">
        <v>38.53</v>
      </c>
      <c r="G72" s="171">
        <v>36.5</v>
      </c>
      <c r="H72" s="171">
        <v>37.24</v>
      </c>
      <c r="I72" s="171">
        <v>41.75</v>
      </c>
      <c r="J72" s="171">
        <v>48</v>
      </c>
      <c r="K72" s="171">
        <v>73.62</v>
      </c>
      <c r="L72" s="171">
        <v>117.84</v>
      </c>
      <c r="M72" s="171">
        <v>234.73000000000002</v>
      </c>
      <c r="N72" s="171">
        <v>400</v>
      </c>
      <c r="O72" s="171">
        <v>808.46</v>
      </c>
      <c r="P72" s="171">
        <v>401.98</v>
      </c>
      <c r="Q72" s="171">
        <v>314.20999999999998</v>
      </c>
      <c r="R72" s="171">
        <v>300.97000000000003</v>
      </c>
      <c r="S72" s="171">
        <v>241.99</v>
      </c>
      <c r="T72" s="171">
        <v>136.26</v>
      </c>
      <c r="U72" s="171">
        <v>94</v>
      </c>
      <c r="V72" s="171">
        <v>86</v>
      </c>
      <c r="W72" s="171">
        <v>78.22</v>
      </c>
      <c r="X72" s="171">
        <v>73.63</v>
      </c>
      <c r="Y72" s="171">
        <v>71.850000000000009</v>
      </c>
      <c r="Z72" s="171">
        <v>75</v>
      </c>
      <c r="AA72" s="171">
        <v>59.02</v>
      </c>
      <c r="AB72" s="171">
        <v>808.46</v>
      </c>
      <c r="AC72" s="171">
        <v>71.850000000000009</v>
      </c>
      <c r="AD72" s="171">
        <v>43.800000000000004</v>
      </c>
      <c r="AF72" s="171">
        <f t="shared" si="5"/>
        <v>2006</v>
      </c>
      <c r="AG72" s="171">
        <f t="shared" si="6"/>
        <v>5</v>
      </c>
      <c r="AH72" s="700">
        <f>SUMIF(D$3:$AA72,"&lt;="&amp;$AH$1)/COUNTIF(D$3:$AA72,"&lt;="&amp;$AH$1)</f>
        <v>29.984523809523818</v>
      </c>
    </row>
    <row r="73" spans="2:34" x14ac:dyDescent="0.25">
      <c r="B73" s="910">
        <v>38929</v>
      </c>
      <c r="C73" s="581">
        <f t="shared" si="4"/>
        <v>7</v>
      </c>
      <c r="D73" s="171">
        <v>42.12</v>
      </c>
      <c r="E73" s="171">
        <v>35.43</v>
      </c>
      <c r="F73" s="171">
        <v>32.4</v>
      </c>
      <c r="G73" s="171">
        <v>32.299999999999997</v>
      </c>
      <c r="H73" s="171">
        <v>31.5</v>
      </c>
      <c r="I73" s="171">
        <v>31.35</v>
      </c>
      <c r="J73" s="171">
        <v>39.42</v>
      </c>
      <c r="K73" s="171">
        <v>55.2</v>
      </c>
      <c r="L73" s="171">
        <v>57.09</v>
      </c>
      <c r="M73" s="171">
        <v>72.100000000000009</v>
      </c>
      <c r="N73" s="171">
        <v>82.87</v>
      </c>
      <c r="O73" s="171">
        <v>149.9</v>
      </c>
      <c r="P73" s="171">
        <v>100.2</v>
      </c>
      <c r="Q73" s="171">
        <v>93.05</v>
      </c>
      <c r="R73" s="171">
        <v>88.61</v>
      </c>
      <c r="S73" s="171">
        <v>86.3</v>
      </c>
      <c r="T73" s="171">
        <v>69.100000000000009</v>
      </c>
      <c r="U73" s="171">
        <v>67</v>
      </c>
      <c r="V73" s="171">
        <v>63.57</v>
      </c>
      <c r="W73" s="171">
        <v>53.4</v>
      </c>
      <c r="X73" s="171">
        <v>53.800000000000004</v>
      </c>
      <c r="Y73" s="171">
        <v>53.800000000000004</v>
      </c>
      <c r="Z73" s="171">
        <v>57.2</v>
      </c>
      <c r="AA73" s="171">
        <v>51</v>
      </c>
      <c r="AB73" s="171">
        <v>149.9</v>
      </c>
      <c r="AC73" s="171">
        <v>53.4</v>
      </c>
      <c r="AD73" s="171">
        <v>36.94</v>
      </c>
      <c r="AF73" s="171">
        <f t="shared" si="5"/>
        <v>2006</v>
      </c>
      <c r="AG73" s="171">
        <f t="shared" si="6"/>
        <v>7</v>
      </c>
      <c r="AH73" s="700">
        <f>SUMIF(D$3:$AA73,"&lt;="&amp;$AH$1)/COUNTIF(D$3:$AA73,"&lt;="&amp;$AH$1)</f>
        <v>30.035522827687782</v>
      </c>
    </row>
    <row r="74" spans="2:34" x14ac:dyDescent="0.25">
      <c r="B74" s="910">
        <v>38930</v>
      </c>
      <c r="C74" s="581">
        <f t="shared" si="4"/>
        <v>8</v>
      </c>
      <c r="D74" s="171">
        <v>40.32</v>
      </c>
      <c r="E74" s="171">
        <v>37.4</v>
      </c>
      <c r="F74" s="171">
        <v>33</v>
      </c>
      <c r="G74" s="171">
        <v>30.5</v>
      </c>
      <c r="H74" s="171">
        <v>30.35</v>
      </c>
      <c r="I74" s="171">
        <v>33.5</v>
      </c>
      <c r="J74" s="171">
        <v>44.7</v>
      </c>
      <c r="K74" s="171">
        <v>59</v>
      </c>
      <c r="L74" s="171">
        <v>62.660000000000004</v>
      </c>
      <c r="M74" s="171">
        <v>75</v>
      </c>
      <c r="N74" s="171">
        <v>81.84</v>
      </c>
      <c r="O74" s="171">
        <v>90</v>
      </c>
      <c r="P74" s="171">
        <v>82.350000000000009</v>
      </c>
      <c r="Q74" s="171">
        <v>79.59</v>
      </c>
      <c r="R74" s="171">
        <v>75</v>
      </c>
      <c r="S74" s="171">
        <v>72.350000000000009</v>
      </c>
      <c r="T74" s="171">
        <v>64.83</v>
      </c>
      <c r="U74" s="171">
        <v>60.050000000000004</v>
      </c>
      <c r="V74" s="171">
        <v>55.17</v>
      </c>
      <c r="W74" s="171">
        <v>47.03</v>
      </c>
      <c r="X74" s="171">
        <v>55.1</v>
      </c>
      <c r="Y74" s="171">
        <v>56.33</v>
      </c>
      <c r="Z74" s="171">
        <v>55.22</v>
      </c>
      <c r="AA74" s="171">
        <v>49.5</v>
      </c>
      <c r="AB74" s="171">
        <v>90</v>
      </c>
      <c r="AC74" s="171">
        <v>47.03</v>
      </c>
      <c r="AD74" s="171">
        <v>37.410000000000004</v>
      </c>
      <c r="AF74" s="171">
        <f t="shared" si="5"/>
        <v>2006</v>
      </c>
      <c r="AG74" s="171">
        <f t="shared" si="6"/>
        <v>6</v>
      </c>
      <c r="AH74" s="700">
        <f>SUMIF(D$3:$AA74,"&lt;="&amp;$AH$1)/COUNTIF(D$3:$AA74,"&lt;="&amp;$AH$1)</f>
        <v>30.071810218978104</v>
      </c>
    </row>
    <row r="75" spans="2:34" x14ac:dyDescent="0.25">
      <c r="B75" s="910">
        <v>38931</v>
      </c>
      <c r="C75" s="581">
        <f t="shared" si="4"/>
        <v>8</v>
      </c>
      <c r="D75" s="171">
        <v>38.28</v>
      </c>
      <c r="E75" s="171">
        <v>30</v>
      </c>
      <c r="F75" s="171">
        <v>28.18</v>
      </c>
      <c r="G75" s="171">
        <v>23.32</v>
      </c>
      <c r="H75" s="171">
        <v>24.07</v>
      </c>
      <c r="I75" s="171">
        <v>30.580000000000002</v>
      </c>
      <c r="J75" s="171">
        <v>35.19</v>
      </c>
      <c r="K75" s="171">
        <v>48.53</v>
      </c>
      <c r="L75" s="171">
        <v>59.88</v>
      </c>
      <c r="M75" s="171">
        <v>61.19</v>
      </c>
      <c r="N75" s="171">
        <v>68.040000000000006</v>
      </c>
      <c r="O75" s="171">
        <v>79</v>
      </c>
      <c r="P75" s="171">
        <v>70.13</v>
      </c>
      <c r="Q75" s="171">
        <v>64.19</v>
      </c>
      <c r="R75" s="171">
        <v>59.04</v>
      </c>
      <c r="S75" s="171">
        <v>60</v>
      </c>
      <c r="T75" s="171">
        <v>59.6</v>
      </c>
      <c r="U75" s="171">
        <v>57.53</v>
      </c>
      <c r="V75" s="171">
        <v>51</v>
      </c>
      <c r="W75" s="171">
        <v>49.46</v>
      </c>
      <c r="X75" s="171">
        <v>51.54</v>
      </c>
      <c r="Y75" s="171">
        <v>50.980000000000004</v>
      </c>
      <c r="Z75" s="171">
        <v>51.01</v>
      </c>
      <c r="AA75" s="171">
        <v>45.4</v>
      </c>
      <c r="AB75" s="171">
        <v>79</v>
      </c>
      <c r="AC75" s="171">
        <v>48.53</v>
      </c>
      <c r="AD75" s="171">
        <v>31.88</v>
      </c>
      <c r="AF75" s="171">
        <f t="shared" si="5"/>
        <v>2006</v>
      </c>
      <c r="AG75" s="171">
        <f t="shared" si="6"/>
        <v>7</v>
      </c>
      <c r="AH75" s="700">
        <f>SUMIF(D$3:$AA75,"&lt;="&amp;$AH$1)/COUNTIF(D$3:$AA75,"&lt;="&amp;$AH$1)</f>
        <v>30.070534682080925</v>
      </c>
    </row>
    <row r="76" spans="2:34" x14ac:dyDescent="0.25">
      <c r="B76" s="910">
        <v>38932</v>
      </c>
      <c r="C76" s="581">
        <f t="shared" si="4"/>
        <v>8</v>
      </c>
      <c r="D76" s="171">
        <v>46</v>
      </c>
      <c r="E76" s="171">
        <v>37.5</v>
      </c>
      <c r="F76" s="171">
        <v>34.25</v>
      </c>
      <c r="G76" s="171">
        <v>31</v>
      </c>
      <c r="H76" s="171">
        <v>32.5</v>
      </c>
      <c r="I76" s="171">
        <v>37</v>
      </c>
      <c r="J76" s="171">
        <v>40.770000000000003</v>
      </c>
      <c r="K76" s="171">
        <v>53</v>
      </c>
      <c r="L76" s="171">
        <v>60</v>
      </c>
      <c r="M76" s="171">
        <v>67.320000000000007</v>
      </c>
      <c r="N76" s="171">
        <v>70.25</v>
      </c>
      <c r="O76" s="171">
        <v>85.12</v>
      </c>
      <c r="P76" s="171">
        <v>73.39</v>
      </c>
      <c r="Q76" s="171">
        <v>68.98</v>
      </c>
      <c r="R76" s="171">
        <v>66.5</v>
      </c>
      <c r="S76" s="171">
        <v>66.14</v>
      </c>
      <c r="T76" s="171">
        <v>62.190000000000005</v>
      </c>
      <c r="U76" s="171">
        <v>63.9</v>
      </c>
      <c r="V76" s="171">
        <v>60.660000000000004</v>
      </c>
      <c r="W76" s="171">
        <v>54.5</v>
      </c>
      <c r="X76" s="171">
        <v>55.71</v>
      </c>
      <c r="Y76" s="171">
        <v>52.36</v>
      </c>
      <c r="Z76" s="171">
        <v>54.61</v>
      </c>
      <c r="AA76" s="171">
        <v>46.19</v>
      </c>
      <c r="AB76" s="171">
        <v>85.12</v>
      </c>
      <c r="AC76" s="171">
        <v>52.36</v>
      </c>
      <c r="AD76" s="171">
        <v>38.15</v>
      </c>
      <c r="AF76" s="171">
        <f t="shared" si="5"/>
        <v>2006</v>
      </c>
      <c r="AG76" s="171">
        <f t="shared" si="6"/>
        <v>6</v>
      </c>
      <c r="AH76" s="700">
        <f>SUMIF(D$3:$AA76,"&lt;="&amp;$AH$1)/COUNTIF(D$3:$AA76,"&lt;="&amp;$AH$1)</f>
        <v>30.117234957020059</v>
      </c>
    </row>
    <row r="77" spans="2:34" x14ac:dyDescent="0.25">
      <c r="B77" s="910">
        <v>38933</v>
      </c>
      <c r="C77" s="581">
        <f t="shared" si="4"/>
        <v>8</v>
      </c>
      <c r="D77" s="171">
        <v>28.42</v>
      </c>
      <c r="E77" s="171">
        <v>29.36</v>
      </c>
      <c r="F77" s="171">
        <v>26.5</v>
      </c>
      <c r="G77" s="171">
        <v>22.92</v>
      </c>
      <c r="H77" s="171">
        <v>25.5</v>
      </c>
      <c r="I77" s="171">
        <v>30.36</v>
      </c>
      <c r="J77" s="171">
        <v>37</v>
      </c>
      <c r="K77" s="171">
        <v>52.120000000000005</v>
      </c>
      <c r="L77" s="171">
        <v>59.800000000000004</v>
      </c>
      <c r="M77" s="171">
        <v>70.36</v>
      </c>
      <c r="N77" s="171">
        <v>73.510000000000005</v>
      </c>
      <c r="O77" s="171">
        <v>77.97</v>
      </c>
      <c r="P77" s="171">
        <v>71.11</v>
      </c>
      <c r="Q77" s="171">
        <v>65.86</v>
      </c>
      <c r="R77" s="171">
        <v>62.550000000000004</v>
      </c>
      <c r="S77" s="171">
        <v>58.03</v>
      </c>
      <c r="T77" s="171">
        <v>51.68</v>
      </c>
      <c r="U77" s="171">
        <v>50.79</v>
      </c>
      <c r="V77" s="171">
        <v>44</v>
      </c>
      <c r="W77" s="171">
        <v>44.13</v>
      </c>
      <c r="X77" s="171">
        <v>42.11</v>
      </c>
      <c r="Y77" s="171">
        <v>42.77</v>
      </c>
      <c r="Z77" s="171">
        <v>44.63</v>
      </c>
      <c r="AA77" s="171">
        <v>38.81</v>
      </c>
      <c r="AB77" s="171">
        <v>77.97</v>
      </c>
      <c r="AC77" s="171">
        <v>42.11</v>
      </c>
      <c r="AD77" s="171">
        <v>29.86</v>
      </c>
      <c r="AF77" s="171">
        <f t="shared" si="5"/>
        <v>2006</v>
      </c>
      <c r="AG77" s="171">
        <f t="shared" si="6"/>
        <v>9</v>
      </c>
      <c r="AH77" s="700">
        <f>SUMIF(D$3:$AA77,"&lt;="&amp;$AH$1)/COUNTIF(D$3:$AA77,"&lt;="&amp;$AH$1)</f>
        <v>30.131272984441303</v>
      </c>
    </row>
    <row r="78" spans="2:34" x14ac:dyDescent="0.25">
      <c r="B78" s="910">
        <v>38936</v>
      </c>
      <c r="C78" s="581">
        <f t="shared" si="4"/>
        <v>8</v>
      </c>
      <c r="D78" s="171">
        <v>26.87</v>
      </c>
      <c r="E78" s="171">
        <v>19.03</v>
      </c>
      <c r="F78" s="171">
        <v>10.76</v>
      </c>
      <c r="G78" s="171">
        <v>7.9</v>
      </c>
      <c r="H78" s="171">
        <v>7.9</v>
      </c>
      <c r="I78" s="171">
        <v>20.38</v>
      </c>
      <c r="J78" s="171">
        <v>29</v>
      </c>
      <c r="K78" s="171">
        <v>35.4</v>
      </c>
      <c r="L78" s="171">
        <v>37.5</v>
      </c>
      <c r="M78" s="171">
        <v>53.6</v>
      </c>
      <c r="N78" s="171">
        <v>55.77</v>
      </c>
      <c r="O78" s="171">
        <v>61.910000000000004</v>
      </c>
      <c r="P78" s="171">
        <v>55.69</v>
      </c>
      <c r="Q78" s="171">
        <v>64.05</v>
      </c>
      <c r="R78" s="171">
        <v>60</v>
      </c>
      <c r="S78" s="171">
        <v>58.910000000000004</v>
      </c>
      <c r="T78" s="171">
        <v>51.42</v>
      </c>
      <c r="U78" s="171">
        <v>46.93</v>
      </c>
      <c r="V78" s="171">
        <v>38.19</v>
      </c>
      <c r="W78" s="171">
        <v>36.82</v>
      </c>
      <c r="X78" s="171">
        <v>35</v>
      </c>
      <c r="Y78" s="171">
        <v>35</v>
      </c>
      <c r="Z78" s="171">
        <v>36.83</v>
      </c>
      <c r="AA78" s="171">
        <v>46</v>
      </c>
      <c r="AB78" s="171">
        <v>64.05</v>
      </c>
      <c r="AC78" s="171">
        <v>35</v>
      </c>
      <c r="AD78" s="171">
        <v>20.98</v>
      </c>
      <c r="AF78" s="171">
        <f t="shared" si="5"/>
        <v>2006</v>
      </c>
      <c r="AG78" s="171">
        <f t="shared" si="6"/>
        <v>14</v>
      </c>
      <c r="AH78" s="700">
        <f>SUMIF(D$3:$AA78,"&lt;="&amp;$AH$1)/COUNTIF(D$3:$AA78,"&lt;="&amp;$AH$1)</f>
        <v>30.068502080443832</v>
      </c>
    </row>
    <row r="79" spans="2:34" x14ac:dyDescent="0.25">
      <c r="B79" s="910">
        <v>38937</v>
      </c>
      <c r="C79" s="581">
        <f t="shared" si="4"/>
        <v>8</v>
      </c>
      <c r="D79" s="171">
        <v>28.51</v>
      </c>
      <c r="E79" s="171">
        <v>24.88</v>
      </c>
      <c r="F79" s="171">
        <v>22.650000000000002</v>
      </c>
      <c r="G79" s="171">
        <v>20.420000000000002</v>
      </c>
      <c r="H79" s="171">
        <v>21</v>
      </c>
      <c r="I79" s="171">
        <v>26</v>
      </c>
      <c r="J79" s="171">
        <v>32.380000000000003</v>
      </c>
      <c r="K79" s="171">
        <v>46.11</v>
      </c>
      <c r="L79" s="171">
        <v>55.4</v>
      </c>
      <c r="M79" s="171">
        <v>61.4</v>
      </c>
      <c r="N79" s="171">
        <v>65</v>
      </c>
      <c r="O79" s="171">
        <v>85.7</v>
      </c>
      <c r="P79" s="171">
        <v>65</v>
      </c>
      <c r="Q79" s="171">
        <v>65.2</v>
      </c>
      <c r="R79" s="171">
        <v>75</v>
      </c>
      <c r="S79" s="171">
        <v>59</v>
      </c>
      <c r="T79" s="171">
        <v>60</v>
      </c>
      <c r="U79" s="171">
        <v>50.5</v>
      </c>
      <c r="V79" s="171">
        <v>46</v>
      </c>
      <c r="W79" s="171">
        <v>41.12</v>
      </c>
      <c r="X79" s="171">
        <v>41.76</v>
      </c>
      <c r="Y79" s="171">
        <v>42</v>
      </c>
      <c r="Z79" s="171">
        <v>42.76</v>
      </c>
      <c r="AA79" s="171">
        <v>46</v>
      </c>
      <c r="AB79" s="171">
        <v>85.7</v>
      </c>
      <c r="AC79" s="171">
        <v>41.12</v>
      </c>
      <c r="AD79" s="171">
        <v>27.73</v>
      </c>
      <c r="AF79" s="171">
        <f t="shared" si="5"/>
        <v>2006</v>
      </c>
      <c r="AG79" s="171">
        <f t="shared" si="6"/>
        <v>10</v>
      </c>
      <c r="AH79" s="700">
        <f>SUMIF(D$3:$AA79,"&lt;="&amp;$AH$1)/COUNTIF(D$3:$AA79,"&lt;="&amp;$AH$1)</f>
        <v>30.068549931600547</v>
      </c>
    </row>
    <row r="80" spans="2:34" x14ac:dyDescent="0.25">
      <c r="B80" s="910">
        <v>38938</v>
      </c>
      <c r="C80" s="581">
        <f t="shared" si="4"/>
        <v>8</v>
      </c>
      <c r="D80" s="171">
        <v>32.840000000000003</v>
      </c>
      <c r="E80" s="171">
        <v>26.62</v>
      </c>
      <c r="F80" s="171">
        <v>23.71</v>
      </c>
      <c r="G80" s="171">
        <v>20.7</v>
      </c>
      <c r="H80" s="171">
        <v>23.71</v>
      </c>
      <c r="I80" s="171">
        <v>30</v>
      </c>
      <c r="J80" s="171">
        <v>37.520000000000003</v>
      </c>
      <c r="K80" s="171">
        <v>56.2</v>
      </c>
      <c r="L80" s="171">
        <v>62.2</v>
      </c>
      <c r="M80" s="171">
        <v>67</v>
      </c>
      <c r="N80" s="171">
        <v>71</v>
      </c>
      <c r="O80" s="171">
        <v>77.3</v>
      </c>
      <c r="P80" s="171">
        <v>70</v>
      </c>
      <c r="Q80" s="171">
        <v>70</v>
      </c>
      <c r="R80" s="171">
        <v>67.349999999999994</v>
      </c>
      <c r="S80" s="171">
        <v>63.9</v>
      </c>
      <c r="T80" s="171">
        <v>63.71</v>
      </c>
      <c r="U80" s="171">
        <v>59.68</v>
      </c>
      <c r="V80" s="171">
        <v>53.14</v>
      </c>
      <c r="W80" s="171">
        <v>47.81</v>
      </c>
      <c r="X80" s="171">
        <v>44.800000000000004</v>
      </c>
      <c r="Y80" s="171">
        <v>43.58</v>
      </c>
      <c r="Z80" s="171">
        <v>43.42</v>
      </c>
      <c r="AA80" s="171">
        <v>51</v>
      </c>
      <c r="AB80" s="171">
        <v>77.3</v>
      </c>
      <c r="AC80" s="171">
        <v>43.42</v>
      </c>
      <c r="AD80" s="171">
        <v>30.76</v>
      </c>
      <c r="AF80" s="171">
        <f t="shared" si="5"/>
        <v>2006</v>
      </c>
      <c r="AG80" s="171">
        <f t="shared" si="6"/>
        <v>7</v>
      </c>
      <c r="AH80" s="700">
        <f>SUMIF(D$3:$AA80,"&lt;="&amp;$AH$1)/COUNTIF(D$3:$AA80,"&lt;="&amp;$AH$1)</f>
        <v>30.047710027100269</v>
      </c>
    </row>
    <row r="81" spans="2:34" x14ac:dyDescent="0.25">
      <c r="B81" s="910">
        <v>38939</v>
      </c>
      <c r="C81" s="581">
        <f t="shared" si="4"/>
        <v>8</v>
      </c>
      <c r="D81" s="171">
        <v>33.450000000000003</v>
      </c>
      <c r="E81" s="171">
        <v>28.5</v>
      </c>
      <c r="F81" s="171">
        <v>26</v>
      </c>
      <c r="G81" s="171">
        <v>23</v>
      </c>
      <c r="H81" s="171">
        <v>24.85</v>
      </c>
      <c r="I81" s="171">
        <v>31.060000000000002</v>
      </c>
      <c r="J81" s="171">
        <v>37</v>
      </c>
      <c r="K81" s="171">
        <v>50</v>
      </c>
      <c r="L81" s="171">
        <v>55.7</v>
      </c>
      <c r="M81" s="171">
        <v>60.2</v>
      </c>
      <c r="N81" s="171">
        <v>97.9</v>
      </c>
      <c r="O81" s="171">
        <v>72</v>
      </c>
      <c r="P81" s="171">
        <v>63.89</v>
      </c>
      <c r="Q81" s="171">
        <v>65.69</v>
      </c>
      <c r="R81" s="171">
        <v>62.58</v>
      </c>
      <c r="S81" s="171">
        <v>66.59</v>
      </c>
      <c r="T81" s="171">
        <v>56.68</v>
      </c>
      <c r="U81" s="171">
        <v>53.68</v>
      </c>
      <c r="V81" s="171">
        <v>48.58</v>
      </c>
      <c r="W81" s="171">
        <v>43.89</v>
      </c>
      <c r="X81" s="171">
        <v>45.28</v>
      </c>
      <c r="Y81" s="171">
        <v>44.47</v>
      </c>
      <c r="Z81" s="171">
        <v>42.7</v>
      </c>
      <c r="AA81" s="171">
        <v>46</v>
      </c>
      <c r="AB81" s="171">
        <v>97.9</v>
      </c>
      <c r="AC81" s="171">
        <v>42.7</v>
      </c>
      <c r="AD81" s="171">
        <v>31.23</v>
      </c>
      <c r="AF81" s="171">
        <f t="shared" si="5"/>
        <v>2006</v>
      </c>
      <c r="AG81" s="171">
        <f t="shared" si="6"/>
        <v>7</v>
      </c>
      <c r="AH81" s="700">
        <f>SUMIF(D$3:$AA81,"&lt;="&amp;$AH$1)/COUNTIF(D$3:$AA81,"&lt;="&amp;$AH$1)</f>
        <v>30.039020134228188</v>
      </c>
    </row>
    <row r="82" spans="2:34" x14ac:dyDescent="0.25">
      <c r="B82" s="910">
        <v>38940</v>
      </c>
      <c r="C82" s="581">
        <f t="shared" si="4"/>
        <v>8</v>
      </c>
      <c r="D82" s="171">
        <v>33.869999999999997</v>
      </c>
      <c r="E82" s="171">
        <v>29.080000000000002</v>
      </c>
      <c r="F82" s="171">
        <v>26.3</v>
      </c>
      <c r="G82" s="171">
        <v>23.06</v>
      </c>
      <c r="H82" s="171">
        <v>24.3</v>
      </c>
      <c r="I82" s="171">
        <v>29.98</v>
      </c>
      <c r="J82" s="171">
        <v>35</v>
      </c>
      <c r="K82" s="171">
        <v>49.7</v>
      </c>
      <c r="L82" s="171">
        <v>52.800000000000004</v>
      </c>
      <c r="M82" s="171">
        <v>67.12</v>
      </c>
      <c r="N82" s="171">
        <v>79.16</v>
      </c>
      <c r="O82" s="171">
        <v>90</v>
      </c>
      <c r="P82" s="171">
        <v>67.12</v>
      </c>
      <c r="Q82" s="171">
        <v>63.5</v>
      </c>
      <c r="R82" s="171">
        <v>67.12</v>
      </c>
      <c r="S82" s="171">
        <v>51.980000000000004</v>
      </c>
      <c r="T82" s="171">
        <v>46.4</v>
      </c>
      <c r="U82" s="171">
        <v>43.39</v>
      </c>
      <c r="V82" s="171">
        <v>41</v>
      </c>
      <c r="W82" s="171">
        <v>38.200000000000003</v>
      </c>
      <c r="X82" s="171">
        <v>39.550000000000004</v>
      </c>
      <c r="Y82" s="171">
        <v>39.42</v>
      </c>
      <c r="Z82" s="171">
        <v>37.76</v>
      </c>
      <c r="AA82" s="171">
        <v>38.97</v>
      </c>
      <c r="AB82" s="171">
        <v>90</v>
      </c>
      <c r="AC82" s="171">
        <v>37.76</v>
      </c>
      <c r="AD82" s="171">
        <v>30.07</v>
      </c>
      <c r="AF82" s="171">
        <f t="shared" si="5"/>
        <v>2006</v>
      </c>
      <c r="AG82" s="171">
        <f t="shared" si="6"/>
        <v>13</v>
      </c>
      <c r="AH82" s="700">
        <f>SUMIF(D$3:$AA82,"&lt;="&amp;$AH$1)/COUNTIF(D$3:$AA82,"&lt;="&amp;$AH$1)</f>
        <v>30.099683377308704</v>
      </c>
    </row>
    <row r="83" spans="2:34" x14ac:dyDescent="0.25">
      <c r="B83" s="910">
        <v>38943</v>
      </c>
      <c r="C83" s="581">
        <f t="shared" si="4"/>
        <v>8</v>
      </c>
      <c r="D83" s="171">
        <v>44</v>
      </c>
      <c r="E83" s="171">
        <v>33.04</v>
      </c>
      <c r="F83" s="171">
        <v>21.79</v>
      </c>
      <c r="G83" s="171">
        <v>18.78</v>
      </c>
      <c r="H83" s="171">
        <v>23.37</v>
      </c>
      <c r="I83" s="171">
        <v>29.1</v>
      </c>
      <c r="J83" s="171">
        <v>31</v>
      </c>
      <c r="K83" s="171">
        <v>36.480000000000004</v>
      </c>
      <c r="L83" s="171">
        <v>48.06</v>
      </c>
      <c r="M83" s="171">
        <v>59.9</v>
      </c>
      <c r="N83" s="171">
        <v>64.8</v>
      </c>
      <c r="O83" s="171">
        <v>80</v>
      </c>
      <c r="P83" s="171">
        <v>67.8</v>
      </c>
      <c r="Q83" s="171">
        <v>85</v>
      </c>
      <c r="R83" s="171">
        <v>75</v>
      </c>
      <c r="S83" s="171">
        <v>80</v>
      </c>
      <c r="T83" s="171">
        <v>55</v>
      </c>
      <c r="U83" s="171">
        <v>54.800000000000004</v>
      </c>
      <c r="V83" s="171">
        <v>37</v>
      </c>
      <c r="W83" s="171">
        <v>38.25</v>
      </c>
      <c r="X83" s="171">
        <v>40</v>
      </c>
      <c r="Y83" s="171">
        <v>41</v>
      </c>
      <c r="Z83" s="171">
        <v>56</v>
      </c>
      <c r="AA83" s="171">
        <v>46</v>
      </c>
      <c r="AB83" s="171">
        <v>85</v>
      </c>
      <c r="AC83" s="171">
        <v>36.480000000000004</v>
      </c>
      <c r="AD83" s="171">
        <v>30.88</v>
      </c>
      <c r="AF83" s="171">
        <f t="shared" si="5"/>
        <v>2006</v>
      </c>
      <c r="AG83" s="171">
        <f t="shared" si="6"/>
        <v>11</v>
      </c>
      <c r="AH83" s="700">
        <f>SUMIF(D$3:$AA83,"&lt;="&amp;$AH$1)/COUNTIF(D$3:$AA83,"&lt;="&amp;$AH$1)</f>
        <v>30.124018205461631</v>
      </c>
    </row>
    <row r="84" spans="2:34" x14ac:dyDescent="0.25">
      <c r="B84" s="910">
        <v>38944</v>
      </c>
      <c r="C84" s="581">
        <f t="shared" si="4"/>
        <v>8</v>
      </c>
      <c r="D84" s="171">
        <v>25.400000000000002</v>
      </c>
      <c r="E84" s="171">
        <v>20.48</v>
      </c>
      <c r="F84" s="171">
        <v>17.190000000000001</v>
      </c>
      <c r="G84" s="171">
        <v>12.94</v>
      </c>
      <c r="H84" s="171">
        <v>12.8</v>
      </c>
      <c r="I84" s="171">
        <v>14.6</v>
      </c>
      <c r="J84" s="171">
        <v>20.87</v>
      </c>
      <c r="K84" s="171">
        <v>29</v>
      </c>
      <c r="L84" s="171">
        <v>37</v>
      </c>
      <c r="M84" s="171">
        <v>45</v>
      </c>
      <c r="N84" s="171">
        <v>65</v>
      </c>
      <c r="O84" s="171">
        <v>98.320000000000007</v>
      </c>
      <c r="P84" s="171">
        <v>60.120000000000005</v>
      </c>
      <c r="Q84" s="171">
        <v>65.930000000000007</v>
      </c>
      <c r="R84" s="171">
        <v>60</v>
      </c>
      <c r="S84" s="171">
        <v>55.93</v>
      </c>
      <c r="T84" s="171">
        <v>71</v>
      </c>
      <c r="U84" s="171">
        <v>55</v>
      </c>
      <c r="V84" s="171">
        <v>42.87</v>
      </c>
      <c r="W84" s="171">
        <v>40.5</v>
      </c>
      <c r="X84" s="171">
        <v>38</v>
      </c>
      <c r="Y84" s="171">
        <v>54</v>
      </c>
      <c r="Z84" s="171">
        <v>75</v>
      </c>
      <c r="AA84" s="171">
        <v>58</v>
      </c>
      <c r="AB84" s="171">
        <v>98.320000000000007</v>
      </c>
      <c r="AC84" s="171">
        <v>29</v>
      </c>
      <c r="AD84" s="171">
        <v>22.78</v>
      </c>
      <c r="AF84" s="171">
        <f t="shared" si="5"/>
        <v>2006</v>
      </c>
      <c r="AG84" s="171">
        <f t="shared" si="6"/>
        <v>11</v>
      </c>
      <c r="AH84" s="700">
        <f>SUMIF(D$3:$AA84,"&lt;="&amp;$AH$1)/COUNTIF(D$3:$AA84,"&lt;="&amp;$AH$1)</f>
        <v>30.04378205128204</v>
      </c>
    </row>
    <row r="85" spans="2:34" x14ac:dyDescent="0.25">
      <c r="B85" s="910">
        <v>38945</v>
      </c>
      <c r="C85" s="581">
        <f t="shared" si="4"/>
        <v>8</v>
      </c>
      <c r="D85" s="171">
        <v>32.74</v>
      </c>
      <c r="E85" s="171">
        <v>28.150000000000002</v>
      </c>
      <c r="F85" s="171">
        <v>24.8</v>
      </c>
      <c r="G85" s="171">
        <v>21.67</v>
      </c>
      <c r="H85" s="171">
        <v>25</v>
      </c>
      <c r="I85" s="171">
        <v>32</v>
      </c>
      <c r="J85" s="171">
        <v>34.76</v>
      </c>
      <c r="K85" s="171">
        <v>48.31</v>
      </c>
      <c r="L85" s="171">
        <v>58.43</v>
      </c>
      <c r="M85" s="171">
        <v>61.26</v>
      </c>
      <c r="N85" s="171">
        <v>66.900000000000006</v>
      </c>
      <c r="O85" s="171">
        <v>75.5</v>
      </c>
      <c r="P85" s="171">
        <v>68.53</v>
      </c>
      <c r="Q85" s="171">
        <v>66.739999999999995</v>
      </c>
      <c r="R85" s="171">
        <v>65.930000000000007</v>
      </c>
      <c r="S85" s="171">
        <v>63.02</v>
      </c>
      <c r="T85" s="171">
        <v>55.83</v>
      </c>
      <c r="U85" s="171">
        <v>52.09</v>
      </c>
      <c r="V85" s="171">
        <v>49.65</v>
      </c>
      <c r="W85" s="171">
        <v>45</v>
      </c>
      <c r="X85" s="171">
        <v>45</v>
      </c>
      <c r="Y85" s="171">
        <v>46.480000000000004</v>
      </c>
      <c r="Z85" s="171">
        <v>46.29</v>
      </c>
      <c r="AA85" s="171">
        <v>46</v>
      </c>
      <c r="AB85" s="171">
        <v>75.5</v>
      </c>
      <c r="AC85" s="171">
        <v>45</v>
      </c>
      <c r="AD85" s="171">
        <v>30.64</v>
      </c>
      <c r="AF85" s="171">
        <f t="shared" si="5"/>
        <v>2006</v>
      </c>
      <c r="AG85" s="171">
        <f t="shared" si="6"/>
        <v>7</v>
      </c>
      <c r="AH85" s="700">
        <f>SUMIF(D$3:$AA85,"&lt;="&amp;$AH$1)/COUNTIF(D$3:$AA85,"&lt;="&amp;$AH$1)</f>
        <v>30.029567979669618</v>
      </c>
    </row>
    <row r="86" spans="2:34" x14ac:dyDescent="0.25">
      <c r="B86" s="910">
        <v>38946</v>
      </c>
      <c r="C86" s="581">
        <f t="shared" si="4"/>
        <v>8</v>
      </c>
      <c r="D86" s="171">
        <v>37</v>
      </c>
      <c r="E86" s="171">
        <v>31.09</v>
      </c>
      <c r="F86" s="171">
        <v>28.54</v>
      </c>
      <c r="G86" s="171">
        <v>25.6</v>
      </c>
      <c r="H86" s="171">
        <v>28</v>
      </c>
      <c r="I86" s="171">
        <v>35.980000000000004</v>
      </c>
      <c r="J86" s="171">
        <v>44.7</v>
      </c>
      <c r="K86" s="171">
        <v>57.1</v>
      </c>
      <c r="L86" s="171">
        <v>63.1</v>
      </c>
      <c r="M86" s="171">
        <v>67.61</v>
      </c>
      <c r="N86" s="171">
        <v>71.03</v>
      </c>
      <c r="O86" s="171">
        <v>78.790000000000006</v>
      </c>
      <c r="P86" s="171">
        <v>71.77</v>
      </c>
      <c r="Q86" s="171">
        <v>71.5</v>
      </c>
      <c r="R86" s="171">
        <v>71</v>
      </c>
      <c r="S86" s="171">
        <v>66.67</v>
      </c>
      <c r="T86" s="171">
        <v>63.46</v>
      </c>
      <c r="U86" s="171">
        <v>61.06</v>
      </c>
      <c r="V86" s="171">
        <v>54.76</v>
      </c>
      <c r="W86" s="171">
        <v>47.49</v>
      </c>
      <c r="X86" s="171">
        <v>50.45</v>
      </c>
      <c r="Y86" s="171">
        <v>50.22</v>
      </c>
      <c r="Z86" s="171">
        <v>46.29</v>
      </c>
      <c r="AA86" s="171">
        <v>40.130000000000003</v>
      </c>
      <c r="AB86" s="171">
        <v>78.790000000000006</v>
      </c>
      <c r="AC86" s="171">
        <v>46.29</v>
      </c>
      <c r="AD86" s="171">
        <v>33.880000000000003</v>
      </c>
      <c r="AF86" s="171">
        <f t="shared" si="5"/>
        <v>2006</v>
      </c>
      <c r="AG86" s="171">
        <f t="shared" si="6"/>
        <v>7</v>
      </c>
      <c r="AH86" s="700">
        <f>SUMIF(D$3:$AA86,"&lt;="&amp;$AH$1)/COUNTIF(D$3:$AA86,"&lt;="&amp;$AH$1)</f>
        <v>30.049886649874043</v>
      </c>
    </row>
    <row r="87" spans="2:34" x14ac:dyDescent="0.25">
      <c r="B87" s="910">
        <v>38947</v>
      </c>
      <c r="C87" s="581">
        <f t="shared" si="4"/>
        <v>8</v>
      </c>
      <c r="D87" s="171">
        <v>36</v>
      </c>
      <c r="E87" s="171">
        <v>31.87</v>
      </c>
      <c r="F87" s="171">
        <v>26.03</v>
      </c>
      <c r="G87" s="171">
        <v>23.650000000000002</v>
      </c>
      <c r="H87" s="171">
        <v>25.86</v>
      </c>
      <c r="I87" s="171">
        <v>34.31</v>
      </c>
      <c r="J87" s="171">
        <v>42.85</v>
      </c>
      <c r="K87" s="171">
        <v>56.29</v>
      </c>
      <c r="L87" s="171">
        <v>55.410000000000004</v>
      </c>
      <c r="M87" s="171">
        <v>67.69</v>
      </c>
      <c r="N87" s="171">
        <v>69.900000000000006</v>
      </c>
      <c r="O87" s="171">
        <v>80</v>
      </c>
      <c r="P87" s="171">
        <v>66</v>
      </c>
      <c r="Q87" s="171">
        <v>62.35</v>
      </c>
      <c r="R87" s="171">
        <v>59.01</v>
      </c>
      <c r="S87" s="171">
        <v>53</v>
      </c>
      <c r="T87" s="171">
        <v>50</v>
      </c>
      <c r="U87" s="171">
        <v>46.7</v>
      </c>
      <c r="V87" s="171">
        <v>42.6</v>
      </c>
      <c r="W87" s="171">
        <v>40.9</v>
      </c>
      <c r="X87" s="171">
        <v>39.9</v>
      </c>
      <c r="Y87" s="171">
        <v>45</v>
      </c>
      <c r="Z87" s="171">
        <v>44.25</v>
      </c>
      <c r="AA87" s="171">
        <v>40</v>
      </c>
      <c r="AB87" s="171">
        <v>80</v>
      </c>
      <c r="AC87" s="171">
        <v>39.9</v>
      </c>
      <c r="AD87" s="171">
        <v>32.57</v>
      </c>
      <c r="AF87" s="171">
        <f t="shared" si="5"/>
        <v>2006</v>
      </c>
      <c r="AG87" s="171">
        <f t="shared" si="6"/>
        <v>9</v>
      </c>
      <c r="AH87" s="700">
        <f>SUMIF(D$3:$AA87,"&lt;="&amp;$AH$1)/COUNTIF(D$3:$AA87,"&lt;="&amp;$AH$1)</f>
        <v>30.084844333748435</v>
      </c>
    </row>
    <row r="88" spans="2:34" x14ac:dyDescent="0.25">
      <c r="B88" s="910">
        <v>38950</v>
      </c>
      <c r="C88" s="581">
        <f t="shared" si="4"/>
        <v>8</v>
      </c>
      <c r="D88" s="171">
        <v>24.39</v>
      </c>
      <c r="E88" s="171">
        <v>15.1</v>
      </c>
      <c r="F88" s="171">
        <v>13</v>
      </c>
      <c r="G88" s="171">
        <v>13</v>
      </c>
      <c r="H88" s="171">
        <v>18</v>
      </c>
      <c r="I88" s="171">
        <v>27</v>
      </c>
      <c r="J88" s="171">
        <v>34.17</v>
      </c>
      <c r="K88" s="171">
        <v>53.03</v>
      </c>
      <c r="L88" s="171">
        <v>59.38</v>
      </c>
      <c r="M88" s="171">
        <v>57</v>
      </c>
      <c r="N88" s="171">
        <v>70.8</v>
      </c>
      <c r="O88" s="171">
        <v>74</v>
      </c>
      <c r="P88" s="171">
        <v>64</v>
      </c>
      <c r="Q88" s="171">
        <v>66.960000000000008</v>
      </c>
      <c r="R88" s="171">
        <v>62</v>
      </c>
      <c r="S88" s="171">
        <v>59.78</v>
      </c>
      <c r="T88" s="171">
        <v>62.78</v>
      </c>
      <c r="U88" s="171">
        <v>56.71</v>
      </c>
      <c r="V88" s="171">
        <v>55.120000000000005</v>
      </c>
      <c r="W88" s="171">
        <v>47.08</v>
      </c>
      <c r="X88" s="171">
        <v>48</v>
      </c>
      <c r="Y88" s="171">
        <v>65</v>
      </c>
      <c r="Z88" s="171">
        <v>38.69</v>
      </c>
      <c r="AA88" s="171">
        <v>35</v>
      </c>
      <c r="AB88" s="171">
        <v>74</v>
      </c>
      <c r="AC88" s="171">
        <v>38.69</v>
      </c>
      <c r="AD88" s="171">
        <v>22.46</v>
      </c>
      <c r="AF88" s="171">
        <f t="shared" si="5"/>
        <v>2006</v>
      </c>
      <c r="AG88" s="171">
        <f t="shared" si="6"/>
        <v>9</v>
      </c>
      <c r="AH88" s="700">
        <f>SUMIF(D$3:$AA88,"&lt;="&amp;$AH$1)/COUNTIF(D$3:$AA88,"&lt;="&amp;$AH$1)</f>
        <v>30.020295566502448</v>
      </c>
    </row>
    <row r="89" spans="2:34" x14ac:dyDescent="0.25">
      <c r="B89" s="910">
        <v>38951</v>
      </c>
      <c r="C89" s="581">
        <f t="shared" si="4"/>
        <v>8</v>
      </c>
      <c r="D89" s="171">
        <v>36.770000000000003</v>
      </c>
      <c r="E89" s="171">
        <v>31.810000000000002</v>
      </c>
      <c r="F89" s="171">
        <v>27.71</v>
      </c>
      <c r="G89" s="171">
        <v>25.1</v>
      </c>
      <c r="H89" s="171">
        <v>27.02</v>
      </c>
      <c r="I89" s="171">
        <v>33.61</v>
      </c>
      <c r="J89" s="171">
        <v>42.01</v>
      </c>
      <c r="K89" s="171">
        <v>56.83</v>
      </c>
      <c r="L89" s="171">
        <v>62.06</v>
      </c>
      <c r="M89" s="171">
        <v>68.39</v>
      </c>
      <c r="N89" s="171">
        <v>70.25</v>
      </c>
      <c r="O89" s="171">
        <v>75.62</v>
      </c>
      <c r="P89" s="171">
        <v>68.53</v>
      </c>
      <c r="Q89" s="171">
        <v>69.19</v>
      </c>
      <c r="R89" s="171">
        <v>68.64</v>
      </c>
      <c r="S89" s="171">
        <v>63.79</v>
      </c>
      <c r="T89" s="171">
        <v>59.26</v>
      </c>
      <c r="U89" s="171">
        <v>58.29</v>
      </c>
      <c r="V89" s="171">
        <v>55.5</v>
      </c>
      <c r="W89" s="171">
        <v>50.910000000000004</v>
      </c>
      <c r="X89" s="171">
        <v>51.88</v>
      </c>
      <c r="Y89" s="171">
        <v>56</v>
      </c>
      <c r="Z89" s="171">
        <v>44.56</v>
      </c>
      <c r="AA89" s="171">
        <v>46</v>
      </c>
      <c r="AB89" s="171">
        <v>75.62</v>
      </c>
      <c r="AC89" s="171">
        <v>44.56</v>
      </c>
      <c r="AD89" s="171">
        <v>33.75</v>
      </c>
      <c r="AF89" s="171">
        <f t="shared" si="5"/>
        <v>2006</v>
      </c>
      <c r="AG89" s="171">
        <f t="shared" si="6"/>
        <v>7</v>
      </c>
      <c r="AH89" s="700">
        <f>SUMIF(D$3:$AA89,"&lt;="&amp;$AH$1)/COUNTIF(D$3:$AA89,"&lt;="&amp;$AH$1)</f>
        <v>30.037252747252733</v>
      </c>
    </row>
    <row r="90" spans="2:34" x14ac:dyDescent="0.25">
      <c r="B90" s="910">
        <v>38952</v>
      </c>
      <c r="C90" s="581">
        <f t="shared" si="4"/>
        <v>8</v>
      </c>
      <c r="D90" s="171">
        <v>38.6</v>
      </c>
      <c r="E90" s="171">
        <v>33.049999999999997</v>
      </c>
      <c r="F90" s="171">
        <v>27.5</v>
      </c>
      <c r="G90" s="171">
        <v>25.27</v>
      </c>
      <c r="H90" s="171">
        <v>26.47</v>
      </c>
      <c r="I90" s="171">
        <v>33.950000000000003</v>
      </c>
      <c r="J90" s="171">
        <v>43.5</v>
      </c>
      <c r="K90" s="171">
        <v>61.97</v>
      </c>
      <c r="L90" s="171">
        <v>64.460000000000008</v>
      </c>
      <c r="M90" s="171">
        <v>65</v>
      </c>
      <c r="N90" s="171">
        <v>71</v>
      </c>
      <c r="O90" s="171">
        <v>77.84</v>
      </c>
      <c r="P90" s="171">
        <v>70.100000000000009</v>
      </c>
      <c r="Q90" s="171">
        <v>69</v>
      </c>
      <c r="R90" s="171">
        <v>67.55</v>
      </c>
      <c r="S90" s="171">
        <v>63.440000000000005</v>
      </c>
      <c r="T90" s="171">
        <v>56.300000000000004</v>
      </c>
      <c r="U90" s="171">
        <v>54.57</v>
      </c>
      <c r="V90" s="171">
        <v>52.050000000000004</v>
      </c>
      <c r="W90" s="171">
        <v>48.9</v>
      </c>
      <c r="X90" s="171">
        <v>55.980000000000004</v>
      </c>
      <c r="Y90" s="171">
        <v>55.44</v>
      </c>
      <c r="Z90" s="171">
        <v>46</v>
      </c>
      <c r="AA90" s="171">
        <v>39.480000000000004</v>
      </c>
      <c r="AB90" s="171">
        <v>77.84</v>
      </c>
      <c r="AC90" s="171">
        <v>46</v>
      </c>
      <c r="AD90" s="171">
        <v>33.480000000000004</v>
      </c>
      <c r="AF90" s="171">
        <f t="shared" si="5"/>
        <v>2006</v>
      </c>
      <c r="AG90" s="171">
        <f t="shared" si="6"/>
        <v>7</v>
      </c>
      <c r="AH90" s="700">
        <f>SUMIF(D$3:$AA90,"&lt;="&amp;$AH$1)/COUNTIF(D$3:$AA90,"&lt;="&amp;$AH$1)</f>
        <v>30.054273607748168</v>
      </c>
    </row>
    <row r="91" spans="2:34" x14ac:dyDescent="0.25">
      <c r="B91" s="910">
        <v>38953</v>
      </c>
      <c r="C91" s="581">
        <f t="shared" si="4"/>
        <v>8</v>
      </c>
      <c r="D91" s="171">
        <v>39.800000000000004</v>
      </c>
      <c r="E91" s="171">
        <v>35.57</v>
      </c>
      <c r="F91" s="171">
        <v>30.900000000000002</v>
      </c>
      <c r="G91" s="171">
        <v>28.5</v>
      </c>
      <c r="H91" s="171">
        <v>30.490000000000002</v>
      </c>
      <c r="I91" s="171">
        <v>38.5</v>
      </c>
      <c r="J91" s="171">
        <v>47</v>
      </c>
      <c r="K91" s="171">
        <v>67.900000000000006</v>
      </c>
      <c r="L91" s="171">
        <v>67.34</v>
      </c>
      <c r="M91" s="171">
        <v>72.5</v>
      </c>
      <c r="N91" s="171">
        <v>75.31</v>
      </c>
      <c r="O91" s="171">
        <v>86.47</v>
      </c>
      <c r="P91" s="171">
        <v>76.150000000000006</v>
      </c>
      <c r="Q91" s="171">
        <v>77.37</v>
      </c>
      <c r="R91" s="171">
        <v>79.95</v>
      </c>
      <c r="S91" s="171">
        <v>72.88</v>
      </c>
      <c r="T91" s="171">
        <v>67.849999999999994</v>
      </c>
      <c r="U91" s="171">
        <v>64.45</v>
      </c>
      <c r="V91" s="171">
        <v>60.84</v>
      </c>
      <c r="W91" s="171">
        <v>56</v>
      </c>
      <c r="X91" s="171">
        <v>60.25</v>
      </c>
      <c r="Y91" s="171">
        <v>60.800000000000004</v>
      </c>
      <c r="Z91" s="171">
        <v>50.74</v>
      </c>
      <c r="AA91" s="171">
        <v>41.1</v>
      </c>
      <c r="AB91" s="171">
        <v>86.47</v>
      </c>
      <c r="AC91" s="171">
        <v>50.74</v>
      </c>
      <c r="AD91" s="171">
        <v>36.480000000000004</v>
      </c>
      <c r="AF91" s="171">
        <f t="shared" si="5"/>
        <v>2006</v>
      </c>
      <c r="AG91" s="171">
        <f t="shared" si="6"/>
        <v>7</v>
      </c>
      <c r="AH91" s="700">
        <f>SUMIF(D$3:$AA91,"&lt;="&amp;$AH$1)/COUNTIF(D$3:$AA91,"&lt;="&amp;$AH$1)</f>
        <v>30.095666266506587</v>
      </c>
    </row>
    <row r="92" spans="2:34" x14ac:dyDescent="0.25">
      <c r="B92" s="910">
        <v>38954</v>
      </c>
      <c r="C92" s="581">
        <f t="shared" si="4"/>
        <v>8</v>
      </c>
      <c r="D92" s="171">
        <v>40.5</v>
      </c>
      <c r="E92" s="171">
        <v>36.96</v>
      </c>
      <c r="F92" s="171">
        <v>33.85</v>
      </c>
      <c r="G92" s="171">
        <v>31.04</v>
      </c>
      <c r="H92" s="171">
        <v>31.46</v>
      </c>
      <c r="I92" s="171">
        <v>37.68</v>
      </c>
      <c r="J92" s="171">
        <v>46.51</v>
      </c>
      <c r="K92" s="171">
        <v>60.04</v>
      </c>
      <c r="L92" s="171">
        <v>60.550000000000004</v>
      </c>
      <c r="M92" s="171">
        <v>68.010000000000005</v>
      </c>
      <c r="N92" s="171">
        <v>69.350000000000009</v>
      </c>
      <c r="O92" s="171">
        <v>80</v>
      </c>
      <c r="P92" s="171">
        <v>70</v>
      </c>
      <c r="Q92" s="171">
        <v>67.14</v>
      </c>
      <c r="R92" s="171">
        <v>65</v>
      </c>
      <c r="S92" s="171">
        <v>53</v>
      </c>
      <c r="T92" s="171">
        <v>50.09</v>
      </c>
      <c r="U92" s="171">
        <v>48.84</v>
      </c>
      <c r="V92" s="171">
        <v>46.56</v>
      </c>
      <c r="W92" s="171">
        <v>44.480000000000004</v>
      </c>
      <c r="X92" s="171">
        <v>50.7</v>
      </c>
      <c r="Y92" s="171">
        <v>49.620000000000005</v>
      </c>
      <c r="Z92" s="171">
        <v>42.9</v>
      </c>
      <c r="AA92" s="171">
        <v>38</v>
      </c>
      <c r="AB92" s="171">
        <v>80</v>
      </c>
      <c r="AC92" s="171">
        <v>42.9</v>
      </c>
      <c r="AD92" s="171">
        <v>37</v>
      </c>
      <c r="AF92" s="171">
        <f t="shared" si="5"/>
        <v>2006</v>
      </c>
      <c r="AG92" s="171">
        <f t="shared" si="6"/>
        <v>7</v>
      </c>
      <c r="AH92" s="700">
        <f>SUMIF(D$3:$AA92,"&lt;="&amp;$AH$1)/COUNTIF(D$3:$AA92,"&lt;="&amp;$AH$1)</f>
        <v>30.141880952380934</v>
      </c>
    </row>
    <row r="93" spans="2:34" x14ac:dyDescent="0.25">
      <c r="B93" s="910">
        <v>38957</v>
      </c>
      <c r="C93" s="581">
        <f t="shared" si="4"/>
        <v>8</v>
      </c>
      <c r="D93" s="171">
        <v>34.4</v>
      </c>
      <c r="E93" s="171">
        <v>27.6</v>
      </c>
      <c r="F93" s="171">
        <v>24.7</v>
      </c>
      <c r="G93" s="171">
        <v>20.990000000000002</v>
      </c>
      <c r="H93" s="171">
        <v>22.990000000000002</v>
      </c>
      <c r="I93" s="171">
        <v>28</v>
      </c>
      <c r="J93" s="171">
        <v>45</v>
      </c>
      <c r="K93" s="171">
        <v>57.7</v>
      </c>
      <c r="L93" s="171">
        <v>63.45</v>
      </c>
      <c r="M93" s="171">
        <v>62.52</v>
      </c>
      <c r="N93" s="171">
        <v>64.8</v>
      </c>
      <c r="O93" s="171">
        <v>74.210000000000008</v>
      </c>
      <c r="P93" s="171">
        <v>68.930000000000007</v>
      </c>
      <c r="Q93" s="171">
        <v>65.510000000000005</v>
      </c>
      <c r="R93" s="171">
        <v>68</v>
      </c>
      <c r="S93" s="171">
        <v>65.5</v>
      </c>
      <c r="T93" s="171">
        <v>62.9</v>
      </c>
      <c r="U93" s="171">
        <v>61.9</v>
      </c>
      <c r="V93" s="171">
        <v>53.800000000000004</v>
      </c>
      <c r="W93" s="171">
        <v>49.4</v>
      </c>
      <c r="X93" s="171">
        <v>55.02</v>
      </c>
      <c r="Y93" s="171">
        <v>58.980000000000004</v>
      </c>
      <c r="Z93" s="171">
        <v>47.4</v>
      </c>
      <c r="AA93" s="171">
        <v>43</v>
      </c>
      <c r="AB93" s="171">
        <v>74.210000000000008</v>
      </c>
      <c r="AC93" s="171">
        <v>47.4</v>
      </c>
      <c r="AD93" s="171">
        <v>30.830000000000002</v>
      </c>
      <c r="AF93" s="171">
        <f t="shared" si="5"/>
        <v>2006</v>
      </c>
      <c r="AG93" s="171">
        <f t="shared" si="6"/>
        <v>6</v>
      </c>
      <c r="AH93" s="700">
        <f>SUMIF(D$3:$AA93,"&lt;="&amp;$AH$1)/COUNTIF(D$3:$AA93,"&lt;="&amp;$AH$1)</f>
        <v>30.115673758865235</v>
      </c>
    </row>
    <row r="94" spans="2:34" x14ac:dyDescent="0.25">
      <c r="B94" s="910">
        <v>38958</v>
      </c>
      <c r="C94" s="581">
        <f t="shared" si="4"/>
        <v>8</v>
      </c>
      <c r="D94" s="171">
        <v>38.4</v>
      </c>
      <c r="E94" s="171">
        <v>32.76</v>
      </c>
      <c r="F94" s="171">
        <v>30</v>
      </c>
      <c r="G94" s="171">
        <v>26.89</v>
      </c>
      <c r="H94" s="171">
        <v>28.51</v>
      </c>
      <c r="I94" s="171">
        <v>36.36</v>
      </c>
      <c r="J94" s="171">
        <v>47.11</v>
      </c>
      <c r="K94" s="171">
        <v>64.599999999999994</v>
      </c>
      <c r="L94" s="171">
        <v>61.800000000000004</v>
      </c>
      <c r="M94" s="171">
        <v>64.2</v>
      </c>
      <c r="N94" s="171">
        <v>67.3</v>
      </c>
      <c r="O94" s="171">
        <v>76.400000000000006</v>
      </c>
      <c r="P94" s="171">
        <v>70.47</v>
      </c>
      <c r="Q94" s="171">
        <v>66.7</v>
      </c>
      <c r="R94" s="171">
        <v>65.8</v>
      </c>
      <c r="S94" s="171">
        <v>61.88</v>
      </c>
      <c r="T94" s="171">
        <v>55.800000000000004</v>
      </c>
      <c r="U94" s="171">
        <v>54.7</v>
      </c>
      <c r="V94" s="171">
        <v>50.52</v>
      </c>
      <c r="W94" s="171">
        <v>49.7</v>
      </c>
      <c r="X94" s="171">
        <v>60.300000000000004</v>
      </c>
      <c r="Y94" s="171">
        <v>61.11</v>
      </c>
      <c r="Z94" s="171">
        <v>51.11</v>
      </c>
      <c r="AA94" s="171">
        <v>46.32</v>
      </c>
      <c r="AB94" s="171">
        <v>76.400000000000006</v>
      </c>
      <c r="AC94" s="171">
        <v>49.7</v>
      </c>
      <c r="AD94" s="171">
        <v>35.79</v>
      </c>
      <c r="AF94" s="171">
        <f t="shared" si="5"/>
        <v>2006</v>
      </c>
      <c r="AG94" s="171">
        <f t="shared" si="6"/>
        <v>6</v>
      </c>
      <c r="AH94" s="700">
        <f>SUMIF(D$3:$AA94,"&lt;="&amp;$AH$1)/COUNTIF(D$3:$AA94,"&lt;="&amp;$AH$1)</f>
        <v>30.13002347417839</v>
      </c>
    </row>
    <row r="95" spans="2:34" x14ac:dyDescent="0.25">
      <c r="B95" s="910">
        <v>38959</v>
      </c>
      <c r="C95" s="581">
        <f t="shared" si="4"/>
        <v>8</v>
      </c>
      <c r="D95" s="171">
        <v>35.24</v>
      </c>
      <c r="E95" s="171">
        <v>31.69</v>
      </c>
      <c r="F95" s="171">
        <v>25.43</v>
      </c>
      <c r="G95" s="171">
        <v>22.79</v>
      </c>
      <c r="H95" s="171">
        <v>23.96</v>
      </c>
      <c r="I95" s="171">
        <v>33.299999999999997</v>
      </c>
      <c r="J95" s="171">
        <v>40.050000000000004</v>
      </c>
      <c r="K95" s="171">
        <v>55</v>
      </c>
      <c r="L95" s="171">
        <v>58.27</v>
      </c>
      <c r="M95" s="171">
        <v>61.82</v>
      </c>
      <c r="N95" s="171">
        <v>65</v>
      </c>
      <c r="O95" s="171">
        <v>75</v>
      </c>
      <c r="P95" s="171">
        <v>68.58</v>
      </c>
      <c r="Q95" s="171">
        <v>68.14</v>
      </c>
      <c r="R95" s="171">
        <v>68.72</v>
      </c>
      <c r="S95" s="171">
        <v>63.21</v>
      </c>
      <c r="T95" s="171">
        <v>59.84</v>
      </c>
      <c r="U95" s="171">
        <v>55.38</v>
      </c>
      <c r="V95" s="171">
        <v>52.89</v>
      </c>
      <c r="W95" s="171">
        <v>51.64</v>
      </c>
      <c r="X95" s="171">
        <v>55.33</v>
      </c>
      <c r="Y95" s="171">
        <v>53.980000000000004</v>
      </c>
      <c r="Z95" s="171">
        <v>45.96</v>
      </c>
      <c r="AA95" s="171">
        <v>37.46</v>
      </c>
      <c r="AB95" s="171">
        <v>75</v>
      </c>
      <c r="AC95" s="171">
        <v>45.96</v>
      </c>
      <c r="AD95" s="171">
        <v>31.240000000000002</v>
      </c>
      <c r="AF95" s="171">
        <f t="shared" si="5"/>
        <v>2006</v>
      </c>
      <c r="AG95" s="171">
        <f t="shared" si="6"/>
        <v>8</v>
      </c>
      <c r="AH95" s="700">
        <f>SUMIF(D$3:$AA95,"&lt;="&amp;$AH$1)/COUNTIF(D$3:$AA95,"&lt;="&amp;$AH$1)</f>
        <v>30.140348837209284</v>
      </c>
    </row>
    <row r="96" spans="2:34" x14ac:dyDescent="0.25">
      <c r="B96" s="910">
        <v>38960</v>
      </c>
      <c r="C96" s="581">
        <f t="shared" si="4"/>
        <v>8</v>
      </c>
      <c r="D96" s="171">
        <v>36</v>
      </c>
      <c r="E96" s="171">
        <v>31.57</v>
      </c>
      <c r="F96" s="171">
        <v>26</v>
      </c>
      <c r="G96" s="171">
        <v>23.900000000000002</v>
      </c>
      <c r="H96" s="171">
        <v>25</v>
      </c>
      <c r="I96" s="171">
        <v>31.07</v>
      </c>
      <c r="J96" s="171">
        <v>42</v>
      </c>
      <c r="K96" s="171">
        <v>59.120000000000005</v>
      </c>
      <c r="L96" s="171">
        <v>67.540000000000006</v>
      </c>
      <c r="M96" s="171">
        <v>70.820000000000007</v>
      </c>
      <c r="N96" s="171">
        <v>72.239999999999995</v>
      </c>
      <c r="O96" s="171">
        <v>82.01</v>
      </c>
      <c r="P96" s="171">
        <v>73.78</v>
      </c>
      <c r="Q96" s="171">
        <v>72.52</v>
      </c>
      <c r="R96" s="171">
        <v>68.8</v>
      </c>
      <c r="S96" s="171">
        <v>62.84</v>
      </c>
      <c r="T96" s="171">
        <v>58.79</v>
      </c>
      <c r="U96" s="171">
        <v>57.7</v>
      </c>
      <c r="V96" s="171">
        <v>55</v>
      </c>
      <c r="W96" s="171">
        <v>53.480000000000004</v>
      </c>
      <c r="X96" s="171">
        <v>56.11</v>
      </c>
      <c r="Y96" s="171">
        <v>55.11</v>
      </c>
      <c r="Z96" s="171">
        <v>43.34</v>
      </c>
      <c r="AA96" s="171">
        <v>43</v>
      </c>
      <c r="AB96" s="171">
        <v>82.01</v>
      </c>
      <c r="AC96" s="171">
        <v>43.34</v>
      </c>
      <c r="AD96" s="171">
        <v>32.32</v>
      </c>
      <c r="AF96" s="171">
        <f t="shared" si="5"/>
        <v>2006</v>
      </c>
      <c r="AG96" s="171">
        <f t="shared" si="6"/>
        <v>7</v>
      </c>
      <c r="AH96" s="700">
        <f>SUMIF(D$3:$AA96,"&lt;="&amp;$AH$1)/COUNTIF(D$3:$AA96,"&lt;="&amp;$AH$1)</f>
        <v>30.145605536332166</v>
      </c>
    </row>
    <row r="97" spans="2:34" x14ac:dyDescent="0.25">
      <c r="B97" s="910">
        <v>38961</v>
      </c>
      <c r="C97" s="581">
        <f t="shared" si="4"/>
        <v>9</v>
      </c>
      <c r="D97" s="171">
        <v>32.65</v>
      </c>
      <c r="E97" s="171">
        <v>27.67</v>
      </c>
      <c r="F97" s="171">
        <v>24</v>
      </c>
      <c r="G97" s="171">
        <v>21.85</v>
      </c>
      <c r="H97" s="171">
        <v>22.69</v>
      </c>
      <c r="I97" s="171">
        <v>31.400000000000002</v>
      </c>
      <c r="J97" s="171">
        <v>39.85</v>
      </c>
      <c r="K97" s="171">
        <v>58</v>
      </c>
      <c r="L97" s="171">
        <v>59.08</v>
      </c>
      <c r="M97" s="171">
        <v>69.34</v>
      </c>
      <c r="N97" s="171">
        <v>80</v>
      </c>
      <c r="O97" s="171">
        <v>97.8</v>
      </c>
      <c r="P97" s="171">
        <v>69.19</v>
      </c>
      <c r="Q97" s="171">
        <v>97.5</v>
      </c>
      <c r="R97" s="171">
        <v>76</v>
      </c>
      <c r="S97" s="171">
        <v>62.25</v>
      </c>
      <c r="T97" s="171">
        <v>53.78</v>
      </c>
      <c r="U97" s="171">
        <v>53.31</v>
      </c>
      <c r="V97" s="171">
        <v>49.9</v>
      </c>
      <c r="W97" s="171">
        <v>45.76</v>
      </c>
      <c r="X97" s="171">
        <v>50.88</v>
      </c>
      <c r="Y97" s="171">
        <v>65</v>
      </c>
      <c r="Z97" s="171">
        <v>50</v>
      </c>
      <c r="AA97" s="171">
        <v>56</v>
      </c>
      <c r="AB97" s="171">
        <v>97.8</v>
      </c>
      <c r="AC97" s="171">
        <v>45.76</v>
      </c>
      <c r="AD97" s="171">
        <v>32.01</v>
      </c>
      <c r="AF97" s="171">
        <f t="shared" si="5"/>
        <v>2006</v>
      </c>
      <c r="AG97" s="171">
        <f t="shared" si="6"/>
        <v>7</v>
      </c>
      <c r="AH97" s="700">
        <f>SUMIF(D$3:$AA97,"&lt;="&amp;$AH$1)/COUNTIF(D$3:$AA97,"&lt;="&amp;$AH$1)</f>
        <v>30.133123569794034</v>
      </c>
    </row>
    <row r="98" spans="2:34" x14ac:dyDescent="0.25">
      <c r="B98" s="910">
        <v>38964</v>
      </c>
      <c r="C98" s="581">
        <f t="shared" si="4"/>
        <v>9</v>
      </c>
      <c r="D98" s="171">
        <v>6.25</v>
      </c>
      <c r="E98" s="171">
        <v>3.11</v>
      </c>
      <c r="F98" s="171">
        <v>3.11</v>
      </c>
      <c r="G98" s="171">
        <v>3.11</v>
      </c>
      <c r="H98" s="171">
        <v>3.11</v>
      </c>
      <c r="I98" s="171">
        <v>1.94</v>
      </c>
      <c r="J98" s="171">
        <v>27.6</v>
      </c>
      <c r="K98" s="171">
        <v>44.74</v>
      </c>
      <c r="L98" s="171">
        <v>50</v>
      </c>
      <c r="M98" s="171">
        <v>57.5</v>
      </c>
      <c r="N98" s="171">
        <v>50.11</v>
      </c>
      <c r="O98" s="171">
        <v>65</v>
      </c>
      <c r="P98" s="171">
        <v>56</v>
      </c>
      <c r="Q98" s="171">
        <v>61.03</v>
      </c>
      <c r="R98" s="171">
        <v>65.11</v>
      </c>
      <c r="S98" s="171">
        <v>65.11</v>
      </c>
      <c r="T98" s="171">
        <v>64.760000000000005</v>
      </c>
      <c r="U98" s="171">
        <v>56</v>
      </c>
      <c r="V98" s="171">
        <v>49.7</v>
      </c>
      <c r="W98" s="171">
        <v>49.7</v>
      </c>
      <c r="X98" s="171">
        <v>61</v>
      </c>
      <c r="Y98" s="171">
        <v>68.98</v>
      </c>
      <c r="Z98" s="171">
        <v>43.42</v>
      </c>
      <c r="AA98" s="171">
        <v>35.33</v>
      </c>
      <c r="AB98" s="171">
        <v>68.98</v>
      </c>
      <c r="AC98" s="171">
        <v>43.42</v>
      </c>
      <c r="AD98" s="171">
        <v>10.44</v>
      </c>
      <c r="AF98" s="171">
        <f t="shared" si="5"/>
        <v>2006</v>
      </c>
      <c r="AG98" s="171">
        <f t="shared" si="6"/>
        <v>8</v>
      </c>
      <c r="AH98" s="700">
        <f>SUMIF(D$3:$AA98,"&lt;="&amp;$AH$1)/COUNTIF(D$3:$AA98,"&lt;="&amp;$AH$1)</f>
        <v>29.954546485260753</v>
      </c>
    </row>
    <row r="99" spans="2:34" x14ac:dyDescent="0.25">
      <c r="B99" s="910">
        <v>38965</v>
      </c>
      <c r="C99" s="581">
        <f t="shared" si="4"/>
        <v>9</v>
      </c>
      <c r="D99" s="171">
        <v>34.83</v>
      </c>
      <c r="E99" s="171">
        <v>30.400000000000002</v>
      </c>
      <c r="F99" s="171">
        <v>25.44</v>
      </c>
      <c r="G99" s="171">
        <v>23.88</v>
      </c>
      <c r="H99" s="171">
        <v>24.27</v>
      </c>
      <c r="I99" s="171">
        <v>32.340000000000003</v>
      </c>
      <c r="J99" s="171">
        <v>42</v>
      </c>
      <c r="K99" s="171">
        <v>59.870000000000005</v>
      </c>
      <c r="L99" s="171">
        <v>67.41</v>
      </c>
      <c r="M99" s="171">
        <v>70</v>
      </c>
      <c r="N99" s="171">
        <v>71.320000000000007</v>
      </c>
      <c r="O99" s="171">
        <v>85</v>
      </c>
      <c r="P99" s="171">
        <v>73.760000000000005</v>
      </c>
      <c r="Q99" s="171">
        <v>73.5</v>
      </c>
      <c r="R99" s="171">
        <v>71.31</v>
      </c>
      <c r="S99" s="171">
        <v>67.81</v>
      </c>
      <c r="T99" s="171">
        <v>62.79</v>
      </c>
      <c r="U99" s="171">
        <v>60.56</v>
      </c>
      <c r="V99" s="171">
        <v>57</v>
      </c>
      <c r="W99" s="171">
        <v>56</v>
      </c>
      <c r="X99" s="171">
        <v>62.5</v>
      </c>
      <c r="Y99" s="171">
        <v>59.800000000000004</v>
      </c>
      <c r="Z99" s="171">
        <v>51.63</v>
      </c>
      <c r="AA99" s="171">
        <v>43.59</v>
      </c>
      <c r="AB99" s="171">
        <v>85</v>
      </c>
      <c r="AC99" s="171">
        <v>51.63</v>
      </c>
      <c r="AD99" s="171">
        <v>32.090000000000003</v>
      </c>
      <c r="AF99" s="171">
        <f t="shared" si="5"/>
        <v>2006</v>
      </c>
      <c r="AG99" s="171">
        <f t="shared" si="6"/>
        <v>7</v>
      </c>
      <c r="AH99" s="700">
        <f>SUMIF(D$3:$AA99,"&lt;="&amp;$AH$1)/COUNTIF(D$3:$AA99,"&lt;="&amp;$AH$1)</f>
        <v>29.958458942632159</v>
      </c>
    </row>
    <row r="100" spans="2:34" x14ac:dyDescent="0.25">
      <c r="B100" s="910">
        <v>38966</v>
      </c>
      <c r="C100" s="581">
        <f t="shared" si="4"/>
        <v>9</v>
      </c>
      <c r="D100" s="171">
        <v>37.94</v>
      </c>
      <c r="E100" s="171">
        <v>32.83</v>
      </c>
      <c r="F100" s="171">
        <v>26.560000000000002</v>
      </c>
      <c r="G100" s="171">
        <v>25</v>
      </c>
      <c r="H100" s="171">
        <v>26.13</v>
      </c>
      <c r="I100" s="171">
        <v>36.85</v>
      </c>
      <c r="J100" s="171">
        <v>45.550000000000004</v>
      </c>
      <c r="K100" s="171">
        <v>67</v>
      </c>
      <c r="L100" s="171">
        <v>70</v>
      </c>
      <c r="M100" s="171">
        <v>73.5</v>
      </c>
      <c r="N100" s="171">
        <v>76.11</v>
      </c>
      <c r="O100" s="171">
        <v>82.76</v>
      </c>
      <c r="P100" s="171">
        <v>75.5</v>
      </c>
      <c r="Q100" s="171">
        <v>75.5</v>
      </c>
      <c r="R100" s="171">
        <v>74</v>
      </c>
      <c r="S100" s="171">
        <v>72.31</v>
      </c>
      <c r="T100" s="171">
        <v>69.13</v>
      </c>
      <c r="U100" s="171">
        <v>67.31</v>
      </c>
      <c r="V100" s="171">
        <v>66.400000000000006</v>
      </c>
      <c r="W100" s="171">
        <v>66.03</v>
      </c>
      <c r="X100" s="171">
        <v>72.400000000000006</v>
      </c>
      <c r="Y100" s="171">
        <v>64</v>
      </c>
      <c r="Z100" s="171">
        <v>57.11</v>
      </c>
      <c r="AA100" s="171">
        <v>41</v>
      </c>
      <c r="AB100" s="171">
        <v>82.76</v>
      </c>
      <c r="AC100" s="171">
        <v>57.11</v>
      </c>
      <c r="AD100" s="171">
        <v>33.980000000000004</v>
      </c>
      <c r="AF100" s="171">
        <f t="shared" si="5"/>
        <v>2006</v>
      </c>
      <c r="AG100" s="171">
        <f t="shared" si="6"/>
        <v>7</v>
      </c>
      <c r="AH100" s="700">
        <f>SUMIF(D$3:$AA100,"&lt;="&amp;$AH$1)/COUNTIF(D$3:$AA100,"&lt;="&amp;$AH$1)</f>
        <v>29.976986607142845</v>
      </c>
    </row>
    <row r="101" spans="2:34" x14ac:dyDescent="0.25">
      <c r="B101" s="910">
        <v>38967</v>
      </c>
      <c r="C101" s="581">
        <f t="shared" si="4"/>
        <v>9</v>
      </c>
      <c r="D101" s="171">
        <v>38.630000000000003</v>
      </c>
      <c r="E101" s="171">
        <v>33.81</v>
      </c>
      <c r="F101" s="171">
        <v>29.3</v>
      </c>
      <c r="G101" s="171">
        <v>25</v>
      </c>
      <c r="H101" s="171">
        <v>29.6</v>
      </c>
      <c r="I101" s="171">
        <v>37.950000000000003</v>
      </c>
      <c r="J101" s="171">
        <v>50</v>
      </c>
      <c r="K101" s="171">
        <v>66.75</v>
      </c>
      <c r="L101" s="171">
        <v>70.06</v>
      </c>
      <c r="M101" s="171">
        <v>74.11</v>
      </c>
      <c r="N101" s="171">
        <v>74.87</v>
      </c>
      <c r="O101" s="171">
        <v>78.62</v>
      </c>
      <c r="P101" s="171">
        <v>73.820000000000007</v>
      </c>
      <c r="Q101" s="171">
        <v>73.710000000000008</v>
      </c>
      <c r="R101" s="171">
        <v>73</v>
      </c>
      <c r="S101" s="171">
        <v>67.680000000000007</v>
      </c>
      <c r="T101" s="171">
        <v>63.5</v>
      </c>
      <c r="U101" s="171">
        <v>61.75</v>
      </c>
      <c r="V101" s="171">
        <v>59.1</v>
      </c>
      <c r="W101" s="171">
        <v>60</v>
      </c>
      <c r="X101" s="171">
        <v>63.4</v>
      </c>
      <c r="Y101" s="171">
        <v>60.27</v>
      </c>
      <c r="Z101" s="171">
        <v>46.53</v>
      </c>
      <c r="AA101" s="171">
        <v>37.49</v>
      </c>
      <c r="AB101" s="171">
        <v>78.62</v>
      </c>
      <c r="AC101" s="171">
        <v>46.53</v>
      </c>
      <c r="AD101" s="171">
        <v>35.22</v>
      </c>
      <c r="AF101" s="171">
        <f t="shared" si="5"/>
        <v>2006</v>
      </c>
      <c r="AG101" s="171">
        <f t="shared" si="6"/>
        <v>7</v>
      </c>
      <c r="AH101" s="700">
        <f>SUMIF(D$3:$AA101,"&lt;="&amp;$AH$1)/COUNTIF(D$3:$AA101,"&lt;="&amp;$AH$1)</f>
        <v>30.001284606865994</v>
      </c>
    </row>
    <row r="102" spans="2:34" x14ac:dyDescent="0.25">
      <c r="B102" s="910">
        <v>38968</v>
      </c>
      <c r="C102" s="581">
        <f t="shared" si="4"/>
        <v>9</v>
      </c>
      <c r="D102" s="171">
        <v>30</v>
      </c>
      <c r="E102" s="171">
        <v>26</v>
      </c>
      <c r="F102" s="171">
        <v>22.990000000000002</v>
      </c>
      <c r="G102" s="171">
        <v>20.8</v>
      </c>
      <c r="H102" s="171">
        <v>21.6</v>
      </c>
      <c r="I102" s="171">
        <v>30.5</v>
      </c>
      <c r="J102" s="171">
        <v>42</v>
      </c>
      <c r="K102" s="171">
        <v>60</v>
      </c>
      <c r="L102" s="171">
        <v>66.16</v>
      </c>
      <c r="M102" s="171">
        <v>70</v>
      </c>
      <c r="N102" s="171">
        <v>75</v>
      </c>
      <c r="O102" s="171">
        <v>89.99</v>
      </c>
      <c r="P102" s="171">
        <v>69.53</v>
      </c>
      <c r="Q102" s="171">
        <v>75.91</v>
      </c>
      <c r="R102" s="171">
        <v>72.09</v>
      </c>
      <c r="S102" s="171">
        <v>66</v>
      </c>
      <c r="T102" s="171">
        <v>63.5</v>
      </c>
      <c r="U102" s="171">
        <v>63.5</v>
      </c>
      <c r="V102" s="171">
        <v>56.75</v>
      </c>
      <c r="W102" s="171">
        <v>54.67</v>
      </c>
      <c r="X102" s="171">
        <v>75</v>
      </c>
      <c r="Y102" s="171">
        <v>59.42</v>
      </c>
      <c r="Z102" s="171">
        <v>46.03</v>
      </c>
      <c r="AA102" s="171">
        <v>44</v>
      </c>
      <c r="AB102" s="171">
        <v>89.99</v>
      </c>
      <c r="AC102" s="171">
        <v>46.03</v>
      </c>
      <c r="AD102" s="171">
        <v>29.740000000000002</v>
      </c>
      <c r="AF102" s="171">
        <f t="shared" si="5"/>
        <v>2006</v>
      </c>
      <c r="AG102" s="171">
        <f t="shared" si="6"/>
        <v>7</v>
      </c>
      <c r="AH102" s="700">
        <f>SUMIF(D$3:$AA102,"&lt;="&amp;$AH$1)/COUNTIF(D$3:$AA102,"&lt;="&amp;$AH$1)</f>
        <v>29.98357142857142</v>
      </c>
    </row>
    <row r="103" spans="2:34" x14ac:dyDescent="0.25">
      <c r="B103" s="910">
        <v>38971</v>
      </c>
      <c r="C103" s="581">
        <f t="shared" si="4"/>
        <v>9</v>
      </c>
      <c r="D103" s="171">
        <v>22.5</v>
      </c>
      <c r="E103" s="171">
        <v>17.420000000000002</v>
      </c>
      <c r="F103" s="171">
        <v>14.26</v>
      </c>
      <c r="G103" s="171">
        <v>7.86</v>
      </c>
      <c r="H103" s="171">
        <v>12.01</v>
      </c>
      <c r="I103" s="171">
        <v>17.510000000000002</v>
      </c>
      <c r="J103" s="171">
        <v>40.44</v>
      </c>
      <c r="K103" s="171">
        <v>61.7</v>
      </c>
      <c r="L103" s="171">
        <v>67.61</v>
      </c>
      <c r="M103" s="171">
        <v>68.180000000000007</v>
      </c>
      <c r="N103" s="171">
        <v>70.84</v>
      </c>
      <c r="O103" s="171">
        <v>77.27</v>
      </c>
      <c r="P103" s="171">
        <v>72.900000000000006</v>
      </c>
      <c r="Q103" s="171">
        <v>72.12</v>
      </c>
      <c r="R103" s="171">
        <v>71.930000000000007</v>
      </c>
      <c r="S103" s="171">
        <v>66.61</v>
      </c>
      <c r="T103" s="171">
        <v>69.47</v>
      </c>
      <c r="U103" s="171">
        <v>68.48</v>
      </c>
      <c r="V103" s="171">
        <v>63.08</v>
      </c>
      <c r="W103" s="171">
        <v>60.300000000000004</v>
      </c>
      <c r="X103" s="171">
        <v>66</v>
      </c>
      <c r="Y103" s="171">
        <v>60.59</v>
      </c>
      <c r="Z103" s="171">
        <v>45.9</v>
      </c>
      <c r="AA103" s="171">
        <v>39.300000000000004</v>
      </c>
      <c r="AB103" s="171">
        <v>77.27</v>
      </c>
      <c r="AC103" s="171">
        <v>45.9</v>
      </c>
      <c r="AD103" s="171">
        <v>21.41</v>
      </c>
      <c r="AF103" s="171">
        <f t="shared" si="5"/>
        <v>2006</v>
      </c>
      <c r="AG103" s="171">
        <f t="shared" si="6"/>
        <v>8</v>
      </c>
      <c r="AH103" s="700">
        <f>SUMIF(D$3:$AA103,"&lt;="&amp;$AH$1)/COUNTIF(D$3:$AA103,"&lt;="&amp;$AH$1)</f>
        <v>29.908877995642683</v>
      </c>
    </row>
    <row r="104" spans="2:34" x14ac:dyDescent="0.25">
      <c r="B104" s="910">
        <v>38972</v>
      </c>
      <c r="C104" s="581">
        <f t="shared" si="4"/>
        <v>9</v>
      </c>
      <c r="D104" s="171">
        <v>35.230000000000004</v>
      </c>
      <c r="E104" s="171">
        <v>31.7</v>
      </c>
      <c r="F104" s="171">
        <v>27.1</v>
      </c>
      <c r="G104" s="171">
        <v>23.240000000000002</v>
      </c>
      <c r="H104" s="171">
        <v>25</v>
      </c>
      <c r="I104" s="171">
        <v>35</v>
      </c>
      <c r="J104" s="171">
        <v>46.75</v>
      </c>
      <c r="K104" s="171">
        <v>65.3</v>
      </c>
      <c r="L104" s="171">
        <v>71.760000000000005</v>
      </c>
      <c r="M104" s="171">
        <v>73.510000000000005</v>
      </c>
      <c r="N104" s="171">
        <v>79.070000000000007</v>
      </c>
      <c r="O104" s="171">
        <v>85</v>
      </c>
      <c r="P104" s="171">
        <v>80</v>
      </c>
      <c r="Q104" s="171">
        <v>88.58</v>
      </c>
      <c r="R104" s="171">
        <v>94</v>
      </c>
      <c r="S104" s="171">
        <v>74.94</v>
      </c>
      <c r="T104" s="171">
        <v>68.8</v>
      </c>
      <c r="U104" s="171">
        <v>66.349999999999994</v>
      </c>
      <c r="V104" s="171">
        <v>63.5</v>
      </c>
      <c r="W104" s="171">
        <v>63.410000000000004</v>
      </c>
      <c r="X104" s="171">
        <v>70.11</v>
      </c>
      <c r="Y104" s="171">
        <v>62.84</v>
      </c>
      <c r="Z104" s="171">
        <v>49.5</v>
      </c>
      <c r="AA104" s="171">
        <v>40.81</v>
      </c>
      <c r="AB104" s="171">
        <v>94</v>
      </c>
      <c r="AC104" s="171">
        <v>49.5</v>
      </c>
      <c r="AD104" s="171">
        <v>33.1</v>
      </c>
      <c r="AF104" s="171">
        <f t="shared" si="5"/>
        <v>2006</v>
      </c>
      <c r="AG104" s="171">
        <f t="shared" si="6"/>
        <v>7</v>
      </c>
      <c r="AH104" s="700">
        <f>SUMIF(D$3:$AA104,"&lt;="&amp;$AH$1)/COUNTIF(D$3:$AA104,"&lt;="&amp;$AH$1)</f>
        <v>29.918302702702686</v>
      </c>
    </row>
    <row r="105" spans="2:34" x14ac:dyDescent="0.25">
      <c r="B105" s="910">
        <v>38973</v>
      </c>
      <c r="C105" s="581">
        <f t="shared" si="4"/>
        <v>9</v>
      </c>
      <c r="D105" s="171">
        <v>36.950000000000003</v>
      </c>
      <c r="E105" s="171">
        <v>33.480000000000004</v>
      </c>
      <c r="F105" s="171">
        <v>31.21</v>
      </c>
      <c r="G105" s="171">
        <v>24.12</v>
      </c>
      <c r="H105" s="171">
        <v>27.97</v>
      </c>
      <c r="I105" s="171">
        <v>36.53</v>
      </c>
      <c r="J105" s="171">
        <v>46.44</v>
      </c>
      <c r="K105" s="171">
        <v>65</v>
      </c>
      <c r="L105" s="171">
        <v>69.680000000000007</v>
      </c>
      <c r="M105" s="171">
        <v>71.58</v>
      </c>
      <c r="N105" s="171">
        <v>72.97</v>
      </c>
      <c r="O105" s="171">
        <v>81.290000000000006</v>
      </c>
      <c r="P105" s="171">
        <v>74.900000000000006</v>
      </c>
      <c r="Q105" s="171">
        <v>77.260000000000005</v>
      </c>
      <c r="R105" s="171">
        <v>73.59</v>
      </c>
      <c r="S105" s="171">
        <v>69.989999999999995</v>
      </c>
      <c r="T105" s="171">
        <v>66.45</v>
      </c>
      <c r="U105" s="171">
        <v>64.88</v>
      </c>
      <c r="V105" s="171">
        <v>62.99</v>
      </c>
      <c r="W105" s="171">
        <v>62.78</v>
      </c>
      <c r="X105" s="171">
        <v>68.5</v>
      </c>
      <c r="Y105" s="171">
        <v>62.76</v>
      </c>
      <c r="Z105" s="171">
        <v>47.22</v>
      </c>
      <c r="AA105" s="171">
        <v>37.82</v>
      </c>
      <c r="AB105" s="171">
        <v>81.290000000000006</v>
      </c>
      <c r="AC105" s="171">
        <v>47.22</v>
      </c>
      <c r="AD105" s="171">
        <v>34.31</v>
      </c>
      <c r="AF105" s="171">
        <f t="shared" si="5"/>
        <v>2006</v>
      </c>
      <c r="AG105" s="171">
        <f t="shared" si="6"/>
        <v>7</v>
      </c>
      <c r="AH105" s="700">
        <f>SUMIF(D$3:$AA105,"&lt;="&amp;$AH$1)/COUNTIF(D$3:$AA105,"&lt;="&amp;$AH$1)</f>
        <v>29.93831545064376</v>
      </c>
    </row>
    <row r="106" spans="2:34" x14ac:dyDescent="0.25">
      <c r="B106" s="910">
        <v>38974</v>
      </c>
      <c r="C106" s="581">
        <f t="shared" si="4"/>
        <v>9</v>
      </c>
      <c r="D106" s="171">
        <v>35.119999999999997</v>
      </c>
      <c r="E106" s="171">
        <v>31</v>
      </c>
      <c r="F106" s="171">
        <v>26.78</v>
      </c>
      <c r="G106" s="171">
        <v>23.39</v>
      </c>
      <c r="H106" s="171">
        <v>26.6</v>
      </c>
      <c r="I106" s="171">
        <v>35.4</v>
      </c>
      <c r="J106" s="171">
        <v>42.89</v>
      </c>
      <c r="K106" s="171">
        <v>65.91</v>
      </c>
      <c r="L106" s="171">
        <v>68.12</v>
      </c>
      <c r="M106" s="171">
        <v>69.55</v>
      </c>
      <c r="N106" s="171">
        <v>75.010000000000005</v>
      </c>
      <c r="O106" s="171">
        <v>90.01</v>
      </c>
      <c r="P106" s="171">
        <v>76.600000000000009</v>
      </c>
      <c r="Q106" s="171">
        <v>77.42</v>
      </c>
      <c r="R106" s="171">
        <v>78</v>
      </c>
      <c r="S106" s="171">
        <v>68.8</v>
      </c>
      <c r="T106" s="171">
        <v>67.400000000000006</v>
      </c>
      <c r="U106" s="171">
        <v>66.06</v>
      </c>
      <c r="V106" s="171">
        <v>63.56</v>
      </c>
      <c r="W106" s="171">
        <v>62.5</v>
      </c>
      <c r="X106" s="171">
        <v>70</v>
      </c>
      <c r="Y106" s="171">
        <v>78</v>
      </c>
      <c r="Z106" s="171">
        <v>84.99</v>
      </c>
      <c r="AA106" s="171">
        <v>36.869999999999997</v>
      </c>
      <c r="AB106" s="171">
        <v>90.01</v>
      </c>
      <c r="AC106" s="171">
        <v>62.5</v>
      </c>
      <c r="AD106" s="171">
        <v>32.26</v>
      </c>
      <c r="AF106" s="171">
        <f t="shared" si="5"/>
        <v>2006</v>
      </c>
      <c r="AG106" s="171">
        <f t="shared" si="6"/>
        <v>7</v>
      </c>
      <c r="AH106" s="700">
        <f>SUMIF(D$3:$AA106,"&lt;="&amp;$AH$1)/COUNTIF(D$3:$AA106,"&lt;="&amp;$AH$1)</f>
        <v>29.944270500532461</v>
      </c>
    </row>
    <row r="107" spans="2:34" x14ac:dyDescent="0.25">
      <c r="B107" s="910">
        <v>38975</v>
      </c>
      <c r="C107" s="581">
        <f t="shared" si="4"/>
        <v>9</v>
      </c>
      <c r="D107" s="171">
        <v>35</v>
      </c>
      <c r="E107" s="171">
        <v>30.91</v>
      </c>
      <c r="F107" s="171">
        <v>26.07</v>
      </c>
      <c r="G107" s="171">
        <v>22.07</v>
      </c>
      <c r="H107" s="171">
        <v>25.1</v>
      </c>
      <c r="I107" s="171">
        <v>33.9</v>
      </c>
      <c r="J107" s="171">
        <v>42</v>
      </c>
      <c r="K107" s="171">
        <v>60.22</v>
      </c>
      <c r="L107" s="171">
        <v>68.900000000000006</v>
      </c>
      <c r="M107" s="171">
        <v>70</v>
      </c>
      <c r="N107" s="171">
        <v>73.05</v>
      </c>
      <c r="O107" s="171">
        <v>130</v>
      </c>
      <c r="P107" s="171">
        <v>85</v>
      </c>
      <c r="Q107" s="171">
        <v>98</v>
      </c>
      <c r="R107" s="171">
        <v>65.62</v>
      </c>
      <c r="S107" s="171">
        <v>62</v>
      </c>
      <c r="T107" s="171">
        <v>58.82</v>
      </c>
      <c r="U107" s="171">
        <v>58.5</v>
      </c>
      <c r="V107" s="171">
        <v>54.800000000000004</v>
      </c>
      <c r="W107" s="171">
        <v>54.800000000000004</v>
      </c>
      <c r="X107" s="171">
        <v>60.9</v>
      </c>
      <c r="Y107" s="171">
        <v>54.800000000000004</v>
      </c>
      <c r="Z107" s="171">
        <v>42.42</v>
      </c>
      <c r="AA107" s="171">
        <v>34.130000000000003</v>
      </c>
      <c r="AB107" s="171">
        <v>130</v>
      </c>
      <c r="AC107" s="171">
        <v>42.42</v>
      </c>
      <c r="AD107" s="171">
        <v>31.150000000000002</v>
      </c>
      <c r="AF107" s="171">
        <f t="shared" si="5"/>
        <v>2006</v>
      </c>
      <c r="AG107" s="171">
        <f t="shared" si="6"/>
        <v>9</v>
      </c>
      <c r="AH107" s="700">
        <f>SUMIF(D$3:$AA107,"&lt;="&amp;$AH$1)/COUNTIF(D$3:$AA107,"&lt;="&amp;$AH$1)</f>
        <v>29.967584388185632</v>
      </c>
    </row>
    <row r="108" spans="2:34" x14ac:dyDescent="0.25">
      <c r="B108" s="910">
        <v>38978</v>
      </c>
      <c r="C108" s="581">
        <f t="shared" si="4"/>
        <v>9</v>
      </c>
      <c r="D108" s="171">
        <v>26.21</v>
      </c>
      <c r="E108" s="171">
        <v>21.57</v>
      </c>
      <c r="F108" s="171">
        <v>18.07</v>
      </c>
      <c r="G108" s="171">
        <v>13.99</v>
      </c>
      <c r="H108" s="171">
        <v>11.33</v>
      </c>
      <c r="I108" s="171">
        <v>24.560000000000002</v>
      </c>
      <c r="J108" s="171">
        <v>41.6</v>
      </c>
      <c r="K108" s="171">
        <v>65.7</v>
      </c>
      <c r="L108" s="171">
        <v>71.78</v>
      </c>
      <c r="M108" s="171">
        <v>72.010000000000005</v>
      </c>
      <c r="N108" s="171">
        <v>77.5</v>
      </c>
      <c r="O108" s="171">
        <v>83.25</v>
      </c>
      <c r="P108" s="171">
        <v>77.25</v>
      </c>
      <c r="Q108" s="171">
        <v>80</v>
      </c>
      <c r="R108" s="171">
        <v>74</v>
      </c>
      <c r="S108" s="171">
        <v>69.760000000000005</v>
      </c>
      <c r="T108" s="171">
        <v>69.5</v>
      </c>
      <c r="U108" s="171">
        <v>67.540000000000006</v>
      </c>
      <c r="V108" s="171">
        <v>65</v>
      </c>
      <c r="W108" s="171">
        <v>68</v>
      </c>
      <c r="X108" s="171">
        <v>78.33</v>
      </c>
      <c r="Y108" s="171">
        <v>61.75</v>
      </c>
      <c r="Z108" s="171">
        <v>47.03</v>
      </c>
      <c r="AA108" s="171">
        <v>37.630000000000003</v>
      </c>
      <c r="AB108" s="171">
        <v>83.25</v>
      </c>
      <c r="AC108" s="171">
        <v>47.03</v>
      </c>
      <c r="AD108" s="171">
        <v>24.37</v>
      </c>
      <c r="AF108" s="171">
        <f t="shared" si="5"/>
        <v>2006</v>
      </c>
      <c r="AG108" s="171">
        <f t="shared" si="6"/>
        <v>8</v>
      </c>
      <c r="AH108" s="700">
        <f>SUMIF(D$3:$AA108,"&lt;="&amp;$AH$1)/COUNTIF(D$3:$AA108,"&lt;="&amp;$AH$1)</f>
        <v>29.920742677824247</v>
      </c>
    </row>
    <row r="109" spans="2:34" x14ac:dyDescent="0.25">
      <c r="B109" s="910">
        <v>38979</v>
      </c>
      <c r="C109" s="581">
        <f t="shared" si="4"/>
        <v>9</v>
      </c>
      <c r="D109" s="171">
        <v>34.19</v>
      </c>
      <c r="E109" s="171">
        <v>30.28</v>
      </c>
      <c r="F109" s="171">
        <v>26.37</v>
      </c>
      <c r="G109" s="171">
        <v>21.97</v>
      </c>
      <c r="H109" s="171">
        <v>25.580000000000002</v>
      </c>
      <c r="I109" s="171">
        <v>32.9</v>
      </c>
      <c r="J109" s="171">
        <v>40.700000000000003</v>
      </c>
      <c r="K109" s="171">
        <v>61.21</v>
      </c>
      <c r="L109" s="171">
        <v>69.239999999999995</v>
      </c>
      <c r="M109" s="171">
        <v>70.210000000000008</v>
      </c>
      <c r="N109" s="171">
        <v>75</v>
      </c>
      <c r="O109" s="171">
        <v>77.2</v>
      </c>
      <c r="P109" s="171">
        <v>68.88</v>
      </c>
      <c r="Q109" s="171">
        <v>68</v>
      </c>
      <c r="R109" s="171">
        <v>67.19</v>
      </c>
      <c r="S109" s="171">
        <v>64.83</v>
      </c>
      <c r="T109" s="171">
        <v>64.41</v>
      </c>
      <c r="U109" s="171">
        <v>63.550000000000004</v>
      </c>
      <c r="V109" s="171">
        <v>60.39</v>
      </c>
      <c r="W109" s="171">
        <v>61.870000000000005</v>
      </c>
      <c r="X109" s="171">
        <v>70.260000000000005</v>
      </c>
      <c r="Y109" s="171">
        <v>59.27</v>
      </c>
      <c r="Z109" s="171">
        <v>46.17</v>
      </c>
      <c r="AA109" s="171">
        <v>37.76</v>
      </c>
      <c r="AB109" s="171">
        <v>77.2</v>
      </c>
      <c r="AC109" s="171">
        <v>46.17</v>
      </c>
      <c r="AD109" s="171">
        <v>31.220000000000002</v>
      </c>
      <c r="AF109" s="171">
        <f t="shared" si="5"/>
        <v>2006</v>
      </c>
      <c r="AG109" s="171">
        <f t="shared" si="6"/>
        <v>8</v>
      </c>
      <c r="AH109" s="700">
        <f>SUMIF(D$3:$AA109,"&lt;="&amp;$AH$1)/COUNTIF(D$3:$AA109,"&lt;="&amp;$AH$1)</f>
        <v>29.931514522821558</v>
      </c>
    </row>
    <row r="110" spans="2:34" x14ac:dyDescent="0.25">
      <c r="B110" s="910">
        <v>38980</v>
      </c>
      <c r="C110" s="581">
        <f t="shared" si="4"/>
        <v>9</v>
      </c>
      <c r="D110" s="171">
        <v>36.4</v>
      </c>
      <c r="E110" s="171">
        <v>32.14</v>
      </c>
      <c r="F110" s="171">
        <v>27.72</v>
      </c>
      <c r="G110" s="171">
        <v>23.45</v>
      </c>
      <c r="H110" s="171">
        <v>26.79</v>
      </c>
      <c r="I110" s="171">
        <v>35.31</v>
      </c>
      <c r="J110" s="171">
        <v>44.6</v>
      </c>
      <c r="K110" s="171">
        <v>67.64</v>
      </c>
      <c r="L110" s="171">
        <v>70.14</v>
      </c>
      <c r="M110" s="171">
        <v>70.36</v>
      </c>
      <c r="N110" s="171">
        <v>72</v>
      </c>
      <c r="O110" s="171">
        <v>76.23</v>
      </c>
      <c r="P110" s="171">
        <v>70.680000000000007</v>
      </c>
      <c r="Q110" s="171">
        <v>70.55</v>
      </c>
      <c r="R110" s="171">
        <v>67.03</v>
      </c>
      <c r="S110" s="171">
        <v>65.98</v>
      </c>
      <c r="T110" s="171">
        <v>63.76</v>
      </c>
      <c r="U110" s="171">
        <v>61.44</v>
      </c>
      <c r="V110" s="171">
        <v>60.2</v>
      </c>
      <c r="W110" s="171">
        <v>62.410000000000004</v>
      </c>
      <c r="X110" s="171">
        <v>70.55</v>
      </c>
      <c r="Y110" s="171">
        <v>59.410000000000004</v>
      </c>
      <c r="Z110" s="171">
        <v>47.06</v>
      </c>
      <c r="AA110" s="171">
        <v>38</v>
      </c>
      <c r="AB110" s="171">
        <v>76.23</v>
      </c>
      <c r="AC110" s="171">
        <v>47.06</v>
      </c>
      <c r="AD110" s="171">
        <v>33.049999999999997</v>
      </c>
      <c r="AF110" s="171">
        <f t="shared" si="5"/>
        <v>2006</v>
      </c>
      <c r="AG110" s="171">
        <f t="shared" si="6"/>
        <v>7</v>
      </c>
      <c r="AH110" s="700">
        <f>SUMIF(D$3:$AA110,"&lt;="&amp;$AH$1)/COUNTIF(D$3:$AA110,"&lt;="&amp;$AH$1)</f>
        <v>29.942111225540664</v>
      </c>
    </row>
    <row r="111" spans="2:34" x14ac:dyDescent="0.25">
      <c r="B111" s="910">
        <v>38981</v>
      </c>
      <c r="C111" s="581">
        <f t="shared" si="4"/>
        <v>9</v>
      </c>
      <c r="D111" s="171">
        <v>39.1</v>
      </c>
      <c r="E111" s="171">
        <v>33.299999999999997</v>
      </c>
      <c r="F111" s="171">
        <v>27.05</v>
      </c>
      <c r="G111" s="171">
        <v>25.5</v>
      </c>
      <c r="H111" s="171">
        <v>26.3</v>
      </c>
      <c r="I111" s="171">
        <v>34.5</v>
      </c>
      <c r="J111" s="171">
        <v>45.4</v>
      </c>
      <c r="K111" s="171">
        <v>71</v>
      </c>
      <c r="L111" s="171">
        <v>73.31</v>
      </c>
      <c r="M111" s="171">
        <v>80.3</v>
      </c>
      <c r="N111" s="171">
        <v>77.8</v>
      </c>
      <c r="O111" s="171">
        <v>150.01</v>
      </c>
      <c r="P111" s="171">
        <v>75.010000000000005</v>
      </c>
      <c r="Q111" s="171">
        <v>72.55</v>
      </c>
      <c r="R111" s="171">
        <v>155.01</v>
      </c>
      <c r="S111" s="171">
        <v>85.01</v>
      </c>
      <c r="T111" s="171">
        <v>75</v>
      </c>
      <c r="U111" s="171">
        <v>64.010000000000005</v>
      </c>
      <c r="V111" s="171">
        <v>62.17</v>
      </c>
      <c r="W111" s="171">
        <v>65.41</v>
      </c>
      <c r="X111" s="171">
        <v>85.01</v>
      </c>
      <c r="Y111" s="171">
        <v>62.92</v>
      </c>
      <c r="Z111" s="171">
        <v>50</v>
      </c>
      <c r="AA111" s="171">
        <v>40.01</v>
      </c>
      <c r="AB111" s="171">
        <v>155.01</v>
      </c>
      <c r="AC111" s="171">
        <v>50</v>
      </c>
      <c r="AD111" s="171">
        <v>33.89</v>
      </c>
      <c r="AF111" s="171">
        <f t="shared" si="5"/>
        <v>2006</v>
      </c>
      <c r="AG111" s="171">
        <f t="shared" si="6"/>
        <v>7</v>
      </c>
      <c r="AH111" s="700">
        <f>SUMIF(D$3:$AA111,"&lt;="&amp;$AH$1)/COUNTIF(D$3:$AA111,"&lt;="&amp;$AH$1)</f>
        <v>29.958640081799572</v>
      </c>
    </row>
    <row r="112" spans="2:34" x14ac:dyDescent="0.25">
      <c r="B112" s="910">
        <v>38982</v>
      </c>
      <c r="C112" s="581">
        <f t="shared" si="4"/>
        <v>9</v>
      </c>
      <c r="D112" s="171">
        <v>32.31</v>
      </c>
      <c r="E112" s="171">
        <v>28.41</v>
      </c>
      <c r="F112" s="171">
        <v>23</v>
      </c>
      <c r="G112" s="171">
        <v>21.42</v>
      </c>
      <c r="H112" s="171">
        <v>22.28</v>
      </c>
      <c r="I112" s="171">
        <v>30.98</v>
      </c>
      <c r="J112" s="171">
        <v>41.42</v>
      </c>
      <c r="K112" s="171">
        <v>65.599999999999994</v>
      </c>
      <c r="L112" s="171">
        <v>64.58</v>
      </c>
      <c r="M112" s="171">
        <v>75</v>
      </c>
      <c r="N112" s="171">
        <v>190.12</v>
      </c>
      <c r="O112" s="171">
        <v>155.01</v>
      </c>
      <c r="P112" s="171">
        <v>85.01</v>
      </c>
      <c r="Q112" s="171">
        <v>83.04</v>
      </c>
      <c r="R112" s="171">
        <v>71.010000000000005</v>
      </c>
      <c r="S112" s="171">
        <v>70</v>
      </c>
      <c r="T112" s="171">
        <v>62.83</v>
      </c>
      <c r="U112" s="171">
        <v>73.010000000000005</v>
      </c>
      <c r="V112" s="171">
        <v>58.11</v>
      </c>
      <c r="W112" s="171">
        <v>60</v>
      </c>
      <c r="X112" s="171">
        <v>85.01</v>
      </c>
      <c r="Y112" s="171">
        <v>55</v>
      </c>
      <c r="Z112" s="171">
        <v>45.12</v>
      </c>
      <c r="AA112" s="171">
        <v>38.36</v>
      </c>
      <c r="AB112" s="171">
        <v>190.12</v>
      </c>
      <c r="AC112" s="171">
        <v>45.12</v>
      </c>
      <c r="AD112" s="171">
        <v>29.77</v>
      </c>
      <c r="AF112" s="171">
        <f t="shared" si="5"/>
        <v>2006</v>
      </c>
      <c r="AG112" s="171">
        <f t="shared" si="6"/>
        <v>8</v>
      </c>
      <c r="AH112" s="700">
        <f>SUMIF(D$3:$AA112,"&lt;="&amp;$AH$1)/COUNTIF(D$3:$AA112,"&lt;="&amp;$AH$1)</f>
        <v>29.957129817444198</v>
      </c>
    </row>
    <row r="113" spans="2:34" x14ac:dyDescent="0.25">
      <c r="B113" s="910">
        <v>38985</v>
      </c>
      <c r="C113" s="581">
        <f t="shared" si="4"/>
        <v>9</v>
      </c>
      <c r="D113" s="171">
        <v>19</v>
      </c>
      <c r="E113" s="171">
        <v>7.9</v>
      </c>
      <c r="F113" s="171">
        <v>7.9</v>
      </c>
      <c r="G113" s="171">
        <v>7.9</v>
      </c>
      <c r="H113" s="171">
        <v>7.9</v>
      </c>
      <c r="I113" s="171">
        <v>23</v>
      </c>
      <c r="J113" s="171">
        <v>37</v>
      </c>
      <c r="K113" s="171">
        <v>62.02</v>
      </c>
      <c r="L113" s="171">
        <v>58.2</v>
      </c>
      <c r="M113" s="171">
        <v>65</v>
      </c>
      <c r="N113" s="171">
        <v>65.56</v>
      </c>
      <c r="O113" s="171">
        <v>69.03</v>
      </c>
      <c r="P113" s="171">
        <v>66.260000000000005</v>
      </c>
      <c r="Q113" s="171">
        <v>67.05</v>
      </c>
      <c r="R113" s="171">
        <v>65</v>
      </c>
      <c r="S113" s="171">
        <v>64.67</v>
      </c>
      <c r="T113" s="171">
        <v>63.11</v>
      </c>
      <c r="U113" s="171">
        <v>61.92</v>
      </c>
      <c r="V113" s="171">
        <v>52</v>
      </c>
      <c r="W113" s="171">
        <v>63.7</v>
      </c>
      <c r="X113" s="171">
        <v>66.55</v>
      </c>
      <c r="Y113" s="171">
        <v>50.45</v>
      </c>
      <c r="Z113" s="171">
        <v>39.119999999999997</v>
      </c>
      <c r="AA113" s="171">
        <v>33.119999999999997</v>
      </c>
      <c r="AB113" s="171">
        <v>69.03</v>
      </c>
      <c r="AC113" s="171">
        <v>39.119999999999997</v>
      </c>
      <c r="AD113" s="171">
        <v>17.96</v>
      </c>
      <c r="AF113" s="171">
        <f t="shared" si="5"/>
        <v>2006</v>
      </c>
      <c r="AG113" s="171">
        <f t="shared" si="6"/>
        <v>9</v>
      </c>
      <c r="AH113" s="700">
        <f>SUMIF(D$3:$AA113,"&lt;="&amp;$AH$1)/COUNTIF(D$3:$AA113,"&lt;="&amp;$AH$1)</f>
        <v>29.869919597989931</v>
      </c>
    </row>
    <row r="114" spans="2:34" x14ac:dyDescent="0.25">
      <c r="B114" s="910">
        <v>38986</v>
      </c>
      <c r="C114" s="581">
        <f t="shared" si="4"/>
        <v>9</v>
      </c>
      <c r="D114" s="171">
        <v>36</v>
      </c>
      <c r="E114" s="171">
        <v>32</v>
      </c>
      <c r="F114" s="171">
        <v>28.11</v>
      </c>
      <c r="G114" s="171">
        <v>24.1</v>
      </c>
      <c r="H114" s="171">
        <v>25.88</v>
      </c>
      <c r="I114" s="171">
        <v>34.04</v>
      </c>
      <c r="J114" s="171">
        <v>44.76</v>
      </c>
      <c r="K114" s="171">
        <v>65.239999999999995</v>
      </c>
      <c r="L114" s="171">
        <v>67.760000000000005</v>
      </c>
      <c r="M114" s="171">
        <v>67.930000000000007</v>
      </c>
      <c r="N114" s="171">
        <v>71</v>
      </c>
      <c r="O114" s="171">
        <v>73.989999999999995</v>
      </c>
      <c r="P114" s="171">
        <v>69.5</v>
      </c>
      <c r="Q114" s="171">
        <v>69.239999999999995</v>
      </c>
      <c r="R114" s="171">
        <v>68.290000000000006</v>
      </c>
      <c r="S114" s="171">
        <v>65.099999999999994</v>
      </c>
      <c r="T114" s="171">
        <v>61.11</v>
      </c>
      <c r="U114" s="171">
        <v>60.94</v>
      </c>
      <c r="V114" s="171">
        <v>60.24</v>
      </c>
      <c r="W114" s="171">
        <v>63.77</v>
      </c>
      <c r="X114" s="171">
        <v>68.600000000000009</v>
      </c>
      <c r="Y114" s="171">
        <v>58.730000000000004</v>
      </c>
      <c r="Z114" s="171">
        <v>48.7</v>
      </c>
      <c r="AA114" s="171">
        <v>38</v>
      </c>
      <c r="AB114" s="171">
        <v>73.989999999999995</v>
      </c>
      <c r="AC114" s="171">
        <v>48.7</v>
      </c>
      <c r="AD114" s="171">
        <v>32.86</v>
      </c>
      <c r="AF114" s="171">
        <f t="shared" si="5"/>
        <v>2006</v>
      </c>
      <c r="AG114" s="171">
        <f t="shared" si="6"/>
        <v>7</v>
      </c>
      <c r="AH114" s="700">
        <f>SUMIF(D$3:$AA114,"&lt;="&amp;$AH$1)/COUNTIF(D$3:$AA114,"&lt;="&amp;$AH$1)</f>
        <v>29.878942115768446</v>
      </c>
    </row>
    <row r="115" spans="2:34" x14ac:dyDescent="0.25">
      <c r="B115" s="910">
        <v>38987</v>
      </c>
      <c r="C115" s="581">
        <f t="shared" si="4"/>
        <v>9</v>
      </c>
      <c r="D115" s="171">
        <v>36.480000000000004</v>
      </c>
      <c r="E115" s="171">
        <v>32.200000000000003</v>
      </c>
      <c r="F115" s="171">
        <v>28.2</v>
      </c>
      <c r="G115" s="171">
        <v>24.76</v>
      </c>
      <c r="H115" s="171">
        <v>27.57</v>
      </c>
      <c r="I115" s="171">
        <v>35.21</v>
      </c>
      <c r="J115" s="171">
        <v>48.06</v>
      </c>
      <c r="K115" s="171">
        <v>68.23</v>
      </c>
      <c r="L115" s="171">
        <v>65.989999999999995</v>
      </c>
      <c r="M115" s="171">
        <v>66.900000000000006</v>
      </c>
      <c r="N115" s="171">
        <v>68.12</v>
      </c>
      <c r="O115" s="171">
        <v>72</v>
      </c>
      <c r="P115" s="171">
        <v>67.25</v>
      </c>
      <c r="Q115" s="171">
        <v>67.83</v>
      </c>
      <c r="R115" s="171">
        <v>65.44</v>
      </c>
      <c r="S115" s="171">
        <v>63</v>
      </c>
      <c r="T115" s="171">
        <v>62</v>
      </c>
      <c r="U115" s="171">
        <v>60</v>
      </c>
      <c r="V115" s="171">
        <v>60</v>
      </c>
      <c r="W115" s="171">
        <v>65.09</v>
      </c>
      <c r="X115" s="171">
        <v>68.25</v>
      </c>
      <c r="Y115" s="171">
        <v>58</v>
      </c>
      <c r="Z115" s="171">
        <v>45.550000000000004</v>
      </c>
      <c r="AA115" s="171">
        <v>36</v>
      </c>
      <c r="AB115" s="171">
        <v>72</v>
      </c>
      <c r="AC115" s="171">
        <v>45.550000000000004</v>
      </c>
      <c r="AD115" s="171">
        <v>33.56</v>
      </c>
      <c r="AF115" s="171">
        <f t="shared" si="5"/>
        <v>2006</v>
      </c>
      <c r="AG115" s="171">
        <f t="shared" si="6"/>
        <v>7</v>
      </c>
      <c r="AH115" s="700">
        <f>SUMIF(D$3:$AA115,"&lt;="&amp;$AH$1)/COUNTIF(D$3:$AA115,"&lt;="&amp;$AH$1)</f>
        <v>29.890109018830508</v>
      </c>
    </row>
    <row r="116" spans="2:34" x14ac:dyDescent="0.25">
      <c r="B116" s="910">
        <v>38988</v>
      </c>
      <c r="C116" s="581">
        <f t="shared" si="4"/>
        <v>9</v>
      </c>
      <c r="D116" s="171">
        <v>36.1</v>
      </c>
      <c r="E116" s="171">
        <v>32.049999999999997</v>
      </c>
      <c r="F116" s="171">
        <v>27.7</v>
      </c>
      <c r="G116" s="171">
        <v>26.3</v>
      </c>
      <c r="H116" s="171">
        <v>28.01</v>
      </c>
      <c r="I116" s="171">
        <v>35.18</v>
      </c>
      <c r="J116" s="171">
        <v>52.95</v>
      </c>
      <c r="K116" s="171">
        <v>69.8</v>
      </c>
      <c r="L116" s="171">
        <v>66.900000000000006</v>
      </c>
      <c r="M116" s="171">
        <v>67</v>
      </c>
      <c r="N116" s="171">
        <v>68.099999999999994</v>
      </c>
      <c r="O116" s="171">
        <v>73</v>
      </c>
      <c r="P116" s="171">
        <v>66.430000000000007</v>
      </c>
      <c r="Q116" s="171">
        <v>67.989999999999995</v>
      </c>
      <c r="R116" s="171">
        <v>66.11</v>
      </c>
      <c r="S116" s="171">
        <v>65</v>
      </c>
      <c r="T116" s="171">
        <v>61.92</v>
      </c>
      <c r="U116" s="171">
        <v>60.49</v>
      </c>
      <c r="V116" s="171">
        <v>61.18</v>
      </c>
      <c r="W116" s="171">
        <v>68.570000000000007</v>
      </c>
      <c r="X116" s="171">
        <v>70.97</v>
      </c>
      <c r="Y116" s="171">
        <v>59.4</v>
      </c>
      <c r="Z116" s="171">
        <v>47.1</v>
      </c>
      <c r="AA116" s="171">
        <v>38.46</v>
      </c>
      <c r="AB116" s="171">
        <v>73</v>
      </c>
      <c r="AC116" s="171">
        <v>47.1</v>
      </c>
      <c r="AD116" s="171">
        <v>34.590000000000003</v>
      </c>
      <c r="AF116" s="171">
        <f t="shared" si="5"/>
        <v>2006</v>
      </c>
      <c r="AG116" s="171">
        <f t="shared" si="6"/>
        <v>7</v>
      </c>
      <c r="AH116" s="700">
        <f>SUMIF(D$3:$AA116,"&lt;="&amp;$AH$1)/COUNTIF(D$3:$AA116,"&lt;="&amp;$AH$1)</f>
        <v>29.904448818897613</v>
      </c>
    </row>
    <row r="117" spans="2:34" x14ac:dyDescent="0.25">
      <c r="B117" s="910">
        <v>38989</v>
      </c>
      <c r="C117" s="581">
        <f t="shared" si="4"/>
        <v>9</v>
      </c>
      <c r="D117" s="171">
        <v>39</v>
      </c>
      <c r="E117" s="171">
        <v>31.96</v>
      </c>
      <c r="F117" s="171">
        <v>28.32</v>
      </c>
      <c r="G117" s="171">
        <v>25</v>
      </c>
      <c r="H117" s="171">
        <v>27</v>
      </c>
      <c r="I117" s="171">
        <v>35.76</v>
      </c>
      <c r="J117" s="171">
        <v>46.5</v>
      </c>
      <c r="K117" s="171">
        <v>71.680000000000007</v>
      </c>
      <c r="L117" s="171">
        <v>68.83</v>
      </c>
      <c r="M117" s="171">
        <v>70.010000000000005</v>
      </c>
      <c r="N117" s="171">
        <v>70.350000000000009</v>
      </c>
      <c r="O117" s="171">
        <v>73.17</v>
      </c>
      <c r="P117" s="171">
        <v>69.64</v>
      </c>
      <c r="Q117" s="171">
        <v>65.900000000000006</v>
      </c>
      <c r="R117" s="171">
        <v>63.620000000000005</v>
      </c>
      <c r="S117" s="171">
        <v>56.34</v>
      </c>
      <c r="T117" s="171">
        <v>55.96</v>
      </c>
      <c r="U117" s="171">
        <v>55</v>
      </c>
      <c r="V117" s="171">
        <v>57.410000000000004</v>
      </c>
      <c r="W117" s="171">
        <v>63.03</v>
      </c>
      <c r="X117" s="171">
        <v>62.480000000000004</v>
      </c>
      <c r="Y117" s="171">
        <v>52</v>
      </c>
      <c r="Z117" s="171">
        <v>45.93</v>
      </c>
      <c r="AA117" s="171">
        <v>35.4</v>
      </c>
      <c r="AB117" s="171">
        <v>73.17</v>
      </c>
      <c r="AC117" s="171">
        <v>45.93</v>
      </c>
      <c r="AD117" s="171">
        <v>33.619999999999997</v>
      </c>
      <c r="AF117" s="171">
        <f t="shared" si="5"/>
        <v>2006</v>
      </c>
      <c r="AG117" s="171">
        <f t="shared" si="6"/>
        <v>7</v>
      </c>
      <c r="AH117" s="700">
        <f>SUMIF(D$3:$AA117,"&lt;="&amp;$AH$1)/COUNTIF(D$3:$AA117,"&lt;="&amp;$AH$1)</f>
        <v>29.917262952101638</v>
      </c>
    </row>
    <row r="118" spans="2:34" x14ac:dyDescent="0.25">
      <c r="B118" s="910">
        <v>38992</v>
      </c>
      <c r="C118" s="581">
        <f t="shared" si="4"/>
        <v>10</v>
      </c>
      <c r="D118" s="171">
        <v>21.2</v>
      </c>
      <c r="E118" s="171">
        <v>10.029999999999999</v>
      </c>
      <c r="F118" s="171">
        <v>10</v>
      </c>
      <c r="G118" s="171">
        <v>4</v>
      </c>
      <c r="H118" s="171">
        <v>4</v>
      </c>
      <c r="I118" s="171">
        <v>3.7</v>
      </c>
      <c r="J118" s="171">
        <v>24.5</v>
      </c>
      <c r="K118" s="171">
        <v>40.800000000000004</v>
      </c>
      <c r="L118" s="171">
        <v>49.56</v>
      </c>
      <c r="M118" s="171">
        <v>51.99</v>
      </c>
      <c r="N118" s="171">
        <v>52.300000000000004</v>
      </c>
      <c r="O118" s="171">
        <v>52.61</v>
      </c>
      <c r="P118" s="171">
        <v>50</v>
      </c>
      <c r="Q118" s="171">
        <v>51.32</v>
      </c>
      <c r="R118" s="171">
        <v>48.6</v>
      </c>
      <c r="S118" s="171">
        <v>44.77</v>
      </c>
      <c r="T118" s="171">
        <v>45.6</v>
      </c>
      <c r="U118" s="171">
        <v>43.82</v>
      </c>
      <c r="V118" s="171">
        <v>41.160000000000004</v>
      </c>
      <c r="W118" s="171">
        <v>51.52</v>
      </c>
      <c r="X118" s="171">
        <v>57.04</v>
      </c>
      <c r="Y118" s="171">
        <v>43.03</v>
      </c>
      <c r="Z118" s="171">
        <v>34.4</v>
      </c>
      <c r="AA118" s="171">
        <v>29.1</v>
      </c>
      <c r="AB118" s="171">
        <v>57.04</v>
      </c>
      <c r="AC118" s="171">
        <v>34.4</v>
      </c>
      <c r="AD118" s="171">
        <v>13.32</v>
      </c>
      <c r="AF118" s="171">
        <f t="shared" si="5"/>
        <v>2006</v>
      </c>
      <c r="AG118" s="171">
        <f t="shared" si="6"/>
        <v>11</v>
      </c>
      <c r="AH118" s="700">
        <f>SUMIF(D$3:$AA118,"&lt;="&amp;$AH$1)/COUNTIF(D$3:$AA118,"&lt;="&amp;$AH$1)</f>
        <v>29.814555125725313</v>
      </c>
    </row>
    <row r="119" spans="2:34" x14ac:dyDescent="0.25">
      <c r="B119" s="910">
        <v>38993</v>
      </c>
      <c r="C119" s="581">
        <f t="shared" si="4"/>
        <v>10</v>
      </c>
      <c r="D119" s="171">
        <v>23.31</v>
      </c>
      <c r="E119" s="171">
        <v>18.53</v>
      </c>
      <c r="F119" s="171">
        <v>13.870000000000001</v>
      </c>
      <c r="G119" s="171">
        <v>10.75</v>
      </c>
      <c r="H119" s="171">
        <v>12.44</v>
      </c>
      <c r="I119" s="171">
        <v>19.72</v>
      </c>
      <c r="J119" s="171">
        <v>31.63</v>
      </c>
      <c r="K119" s="171">
        <v>49.01</v>
      </c>
      <c r="L119" s="171">
        <v>50</v>
      </c>
      <c r="M119" s="171">
        <v>71.010000000000005</v>
      </c>
      <c r="N119" s="171">
        <v>200</v>
      </c>
      <c r="O119" s="171">
        <v>150</v>
      </c>
      <c r="P119" s="171">
        <v>69.3</v>
      </c>
      <c r="Q119" s="171">
        <v>69.010000000000005</v>
      </c>
      <c r="R119" s="171">
        <v>65</v>
      </c>
      <c r="S119" s="171">
        <v>59.65</v>
      </c>
      <c r="T119" s="171">
        <v>52.01</v>
      </c>
      <c r="U119" s="171">
        <v>47.6</v>
      </c>
      <c r="V119" s="171">
        <v>45.47</v>
      </c>
      <c r="W119" s="171">
        <v>60</v>
      </c>
      <c r="X119" s="171">
        <v>70.010000000000005</v>
      </c>
      <c r="Y119" s="171">
        <v>70.010000000000005</v>
      </c>
      <c r="Z119" s="171">
        <v>46.18</v>
      </c>
      <c r="AA119" s="171">
        <v>42</v>
      </c>
      <c r="AB119" s="171">
        <v>200</v>
      </c>
      <c r="AC119" s="171">
        <v>45.47</v>
      </c>
      <c r="AD119" s="171">
        <v>21.53</v>
      </c>
      <c r="AF119" s="171">
        <f t="shared" si="5"/>
        <v>2006</v>
      </c>
      <c r="AG119" s="171">
        <f t="shared" si="6"/>
        <v>8</v>
      </c>
      <c r="AH119" s="700">
        <f>SUMIF(D$3:$AA119,"&lt;="&amp;$AH$1)/COUNTIF(D$3:$AA119,"&lt;="&amp;$AH$1)</f>
        <v>29.750959692898249</v>
      </c>
    </row>
    <row r="120" spans="2:34" x14ac:dyDescent="0.25">
      <c r="B120" s="910">
        <v>38994</v>
      </c>
      <c r="C120" s="581">
        <f t="shared" si="4"/>
        <v>10</v>
      </c>
      <c r="D120" s="171">
        <v>29</v>
      </c>
      <c r="E120" s="171">
        <v>24.96</v>
      </c>
      <c r="F120" s="171">
        <v>17.900000000000002</v>
      </c>
      <c r="G120" s="171">
        <v>12.11</v>
      </c>
      <c r="H120" s="171">
        <v>14</v>
      </c>
      <c r="I120" s="171">
        <v>26.8</v>
      </c>
      <c r="J120" s="171">
        <v>33</v>
      </c>
      <c r="K120" s="171">
        <v>57.07</v>
      </c>
      <c r="L120" s="171">
        <v>60</v>
      </c>
      <c r="M120" s="171">
        <v>58.99</v>
      </c>
      <c r="N120" s="171">
        <v>61.99</v>
      </c>
      <c r="O120" s="171">
        <v>64</v>
      </c>
      <c r="P120" s="171">
        <v>63</v>
      </c>
      <c r="Q120" s="171">
        <v>67.430000000000007</v>
      </c>
      <c r="R120" s="171">
        <v>64.989999999999995</v>
      </c>
      <c r="S120" s="171">
        <v>62.800000000000004</v>
      </c>
      <c r="T120" s="171">
        <v>61.99</v>
      </c>
      <c r="U120" s="171">
        <v>59.75</v>
      </c>
      <c r="V120" s="171">
        <v>59.43</v>
      </c>
      <c r="W120" s="171">
        <v>64.989999999999995</v>
      </c>
      <c r="X120" s="171">
        <v>61</v>
      </c>
      <c r="Y120" s="171">
        <v>51.25</v>
      </c>
      <c r="Z120" s="171">
        <v>42.5</v>
      </c>
      <c r="AA120" s="171">
        <v>32.340000000000003</v>
      </c>
      <c r="AB120" s="171">
        <v>67.430000000000007</v>
      </c>
      <c r="AC120" s="171">
        <v>42.5</v>
      </c>
      <c r="AD120" s="171">
        <v>23.76</v>
      </c>
      <c r="AF120" s="171">
        <f t="shared" si="5"/>
        <v>2006</v>
      </c>
      <c r="AG120" s="171">
        <f t="shared" si="6"/>
        <v>9</v>
      </c>
      <c r="AH120" s="700">
        <f>SUMIF(D$3:$AA120,"&lt;="&amp;$AH$1)/COUNTIF(D$3:$AA120,"&lt;="&amp;$AH$1)</f>
        <v>29.717516650808729</v>
      </c>
    </row>
    <row r="121" spans="2:34" x14ac:dyDescent="0.25">
      <c r="B121" s="910">
        <v>38995</v>
      </c>
      <c r="C121" s="581">
        <f t="shared" si="4"/>
        <v>10</v>
      </c>
      <c r="D121" s="171">
        <v>32.14</v>
      </c>
      <c r="E121" s="171">
        <v>25.61</v>
      </c>
      <c r="F121" s="171">
        <v>20.5</v>
      </c>
      <c r="G121" s="171">
        <v>20.22</v>
      </c>
      <c r="H121" s="171">
        <v>23.8</v>
      </c>
      <c r="I121" s="171">
        <v>30</v>
      </c>
      <c r="J121" s="171">
        <v>38</v>
      </c>
      <c r="K121" s="171">
        <v>59.79</v>
      </c>
      <c r="L121" s="171">
        <v>66.3</v>
      </c>
      <c r="M121" s="171">
        <v>64</v>
      </c>
      <c r="N121" s="171">
        <v>63.6</v>
      </c>
      <c r="O121" s="171">
        <v>66.400000000000006</v>
      </c>
      <c r="P121" s="171">
        <v>64.09</v>
      </c>
      <c r="Q121" s="171">
        <v>66.5</v>
      </c>
      <c r="R121" s="171">
        <v>64.2</v>
      </c>
      <c r="S121" s="171">
        <v>62</v>
      </c>
      <c r="T121" s="171">
        <v>60.82</v>
      </c>
      <c r="U121" s="171">
        <v>59.13</v>
      </c>
      <c r="V121" s="171">
        <v>59.81</v>
      </c>
      <c r="W121" s="171">
        <v>66.55</v>
      </c>
      <c r="X121" s="171">
        <v>59.730000000000004</v>
      </c>
      <c r="Y121" s="171">
        <v>50</v>
      </c>
      <c r="Z121" s="171">
        <v>40</v>
      </c>
      <c r="AA121" s="171">
        <v>31.8</v>
      </c>
      <c r="AB121" s="171">
        <v>66.55</v>
      </c>
      <c r="AC121" s="171">
        <v>40</v>
      </c>
      <c r="AD121" s="171">
        <v>27.76</v>
      </c>
      <c r="AF121" s="171">
        <f t="shared" si="5"/>
        <v>2006</v>
      </c>
      <c r="AG121" s="171">
        <f t="shared" si="6"/>
        <v>9</v>
      </c>
      <c r="AH121" s="700">
        <f>SUMIF(D$3:$AA121,"&lt;="&amp;$AH$1)/COUNTIF(D$3:$AA121,"&lt;="&amp;$AH$1)</f>
        <v>29.712433962264129</v>
      </c>
    </row>
    <row r="122" spans="2:34" x14ac:dyDescent="0.25">
      <c r="B122" s="910">
        <v>38996</v>
      </c>
      <c r="C122" s="581">
        <f t="shared" si="4"/>
        <v>10</v>
      </c>
      <c r="D122" s="171">
        <v>24.8</v>
      </c>
      <c r="E122" s="171">
        <v>17.91</v>
      </c>
      <c r="F122" s="171">
        <v>14.200000000000001</v>
      </c>
      <c r="G122" s="171">
        <v>11.59</v>
      </c>
      <c r="H122" s="171">
        <v>13.26</v>
      </c>
      <c r="I122" s="171">
        <v>20.6</v>
      </c>
      <c r="J122" s="171">
        <v>32.119999999999997</v>
      </c>
      <c r="K122" s="171">
        <v>50</v>
      </c>
      <c r="L122" s="171">
        <v>54.1</v>
      </c>
      <c r="M122" s="171">
        <v>52.81</v>
      </c>
      <c r="N122" s="171">
        <v>53.6</v>
      </c>
      <c r="O122" s="171">
        <v>55.69</v>
      </c>
      <c r="P122" s="171">
        <v>51.51</v>
      </c>
      <c r="Q122" s="171">
        <v>50.01</v>
      </c>
      <c r="R122" s="171">
        <v>48.120000000000005</v>
      </c>
      <c r="S122" s="171">
        <v>42.79</v>
      </c>
      <c r="T122" s="171">
        <v>40</v>
      </c>
      <c r="U122" s="171">
        <v>39.450000000000003</v>
      </c>
      <c r="V122" s="171">
        <v>41</v>
      </c>
      <c r="W122" s="171">
        <v>47.34</v>
      </c>
      <c r="X122" s="171">
        <v>47.21</v>
      </c>
      <c r="Y122" s="171">
        <v>37.020000000000003</v>
      </c>
      <c r="Z122" s="171">
        <v>32.46</v>
      </c>
      <c r="AA122" s="171">
        <v>28.150000000000002</v>
      </c>
      <c r="AB122" s="171">
        <v>55.69</v>
      </c>
      <c r="AC122" s="171">
        <v>32.46</v>
      </c>
      <c r="AD122" s="171">
        <v>20.330000000000002</v>
      </c>
      <c r="AF122" s="171">
        <f t="shared" si="5"/>
        <v>2006</v>
      </c>
      <c r="AG122" s="171">
        <f t="shared" si="6"/>
        <v>13</v>
      </c>
      <c r="AH122" s="700">
        <f>SUMIF(D$3:$AA122,"&lt;="&amp;$AH$1)/COUNTIF(D$3:$AA122,"&lt;="&amp;$AH$1)</f>
        <v>29.681025163094102</v>
      </c>
    </row>
    <row r="123" spans="2:34" x14ac:dyDescent="0.25">
      <c r="B123" s="910">
        <v>38999</v>
      </c>
      <c r="C123" s="581">
        <f t="shared" si="4"/>
        <v>10</v>
      </c>
      <c r="D123" s="171">
        <v>20.39</v>
      </c>
      <c r="E123" s="171">
        <v>11.07</v>
      </c>
      <c r="F123" s="171">
        <v>10.02</v>
      </c>
      <c r="G123" s="171">
        <v>7.6000000000000005</v>
      </c>
      <c r="H123" s="171">
        <v>7.8500000000000005</v>
      </c>
      <c r="I123" s="171">
        <v>19.400000000000002</v>
      </c>
      <c r="J123" s="171">
        <v>33</v>
      </c>
      <c r="K123" s="171">
        <v>56.93</v>
      </c>
      <c r="L123" s="171">
        <v>53.45</v>
      </c>
      <c r="M123" s="171">
        <v>51.25</v>
      </c>
      <c r="N123" s="171">
        <v>53.61</v>
      </c>
      <c r="O123" s="171">
        <v>56</v>
      </c>
      <c r="P123" s="171">
        <v>53.800000000000004</v>
      </c>
      <c r="Q123" s="171">
        <v>53.06</v>
      </c>
      <c r="R123" s="171">
        <v>49.95</v>
      </c>
      <c r="S123" s="171">
        <v>48</v>
      </c>
      <c r="T123" s="171">
        <v>46.1</v>
      </c>
      <c r="U123" s="171">
        <v>43.62</v>
      </c>
      <c r="V123" s="171">
        <v>47.86</v>
      </c>
      <c r="W123" s="171">
        <v>54.38</v>
      </c>
      <c r="X123" s="171">
        <v>58</v>
      </c>
      <c r="Y123" s="171">
        <v>48.56</v>
      </c>
      <c r="Z123" s="171">
        <v>39.42</v>
      </c>
      <c r="AA123" s="171">
        <v>33.03</v>
      </c>
      <c r="AB123" s="171">
        <v>58</v>
      </c>
      <c r="AC123" s="171">
        <v>39.42</v>
      </c>
      <c r="AD123" s="171">
        <v>17.79</v>
      </c>
      <c r="AF123" s="171">
        <f t="shared" si="5"/>
        <v>2006</v>
      </c>
      <c r="AG123" s="171">
        <f t="shared" si="6"/>
        <v>9</v>
      </c>
      <c r="AH123" s="700">
        <f>SUMIF(D$3:$AA123,"&lt;="&amp;$AH$1)/COUNTIF(D$3:$AA123,"&lt;="&amp;$AH$1)</f>
        <v>29.602144177449137</v>
      </c>
    </row>
    <row r="124" spans="2:34" x14ac:dyDescent="0.25">
      <c r="B124" s="910">
        <v>39000</v>
      </c>
      <c r="C124" s="581">
        <f t="shared" si="4"/>
        <v>10</v>
      </c>
      <c r="D124" s="171">
        <v>34.119999999999997</v>
      </c>
      <c r="E124" s="171">
        <v>28.72</v>
      </c>
      <c r="F124" s="171">
        <v>24.44</v>
      </c>
      <c r="G124" s="171">
        <v>24</v>
      </c>
      <c r="H124" s="171">
        <v>26.37</v>
      </c>
      <c r="I124" s="171">
        <v>31.900000000000002</v>
      </c>
      <c r="J124" s="171">
        <v>42.39</v>
      </c>
      <c r="K124" s="171">
        <v>65.8</v>
      </c>
      <c r="L124" s="171">
        <v>66.070000000000007</v>
      </c>
      <c r="M124" s="171">
        <v>66.25</v>
      </c>
      <c r="N124" s="171">
        <v>67</v>
      </c>
      <c r="O124" s="171">
        <v>70.77</v>
      </c>
      <c r="P124" s="171">
        <v>66.650000000000006</v>
      </c>
      <c r="Q124" s="171">
        <v>67</v>
      </c>
      <c r="R124" s="171">
        <v>64.290000000000006</v>
      </c>
      <c r="S124" s="171">
        <v>60.88</v>
      </c>
      <c r="T124" s="171">
        <v>58.730000000000004</v>
      </c>
      <c r="U124" s="171">
        <v>57.480000000000004</v>
      </c>
      <c r="V124" s="171">
        <v>58.01</v>
      </c>
      <c r="W124" s="171">
        <v>68.14</v>
      </c>
      <c r="X124" s="171">
        <v>62.95</v>
      </c>
      <c r="Y124" s="171">
        <v>54.160000000000004</v>
      </c>
      <c r="Z124" s="171">
        <v>45.800000000000004</v>
      </c>
      <c r="AA124" s="171">
        <v>36.4</v>
      </c>
      <c r="AB124" s="171">
        <v>70.77</v>
      </c>
      <c r="AC124" s="171">
        <v>45.800000000000004</v>
      </c>
      <c r="AD124" s="171">
        <v>31.04</v>
      </c>
      <c r="AF124" s="171">
        <f t="shared" si="5"/>
        <v>2006</v>
      </c>
      <c r="AG124" s="171">
        <f t="shared" si="6"/>
        <v>8</v>
      </c>
      <c r="AH124" s="700">
        <f>SUMIF(D$3:$AA124,"&lt;="&amp;$AH$1)/COUNTIF(D$3:$AA124,"&lt;="&amp;$AH$1)</f>
        <v>29.612715596330247</v>
      </c>
    </row>
    <row r="125" spans="2:34" x14ac:dyDescent="0.25">
      <c r="B125" s="910">
        <v>39001</v>
      </c>
      <c r="C125" s="581">
        <f t="shared" si="4"/>
        <v>10</v>
      </c>
      <c r="D125" s="171">
        <v>34.5</v>
      </c>
      <c r="E125" s="171">
        <v>28.86</v>
      </c>
      <c r="F125" s="171">
        <v>24.51</v>
      </c>
      <c r="G125" s="171">
        <v>24.11</v>
      </c>
      <c r="H125" s="171">
        <v>28.21</v>
      </c>
      <c r="I125" s="171">
        <v>34.480000000000004</v>
      </c>
      <c r="J125" s="171">
        <v>50</v>
      </c>
      <c r="K125" s="171">
        <v>68</v>
      </c>
      <c r="L125" s="171">
        <v>64.2</v>
      </c>
      <c r="M125" s="171">
        <v>64</v>
      </c>
      <c r="N125" s="171">
        <v>64.599999999999994</v>
      </c>
      <c r="O125" s="171">
        <v>69.48</v>
      </c>
      <c r="P125" s="171">
        <v>62.35</v>
      </c>
      <c r="Q125" s="171">
        <v>64.48</v>
      </c>
      <c r="R125" s="171">
        <v>63.660000000000004</v>
      </c>
      <c r="S125" s="171">
        <v>61</v>
      </c>
      <c r="T125" s="171">
        <v>56.57</v>
      </c>
      <c r="U125" s="171">
        <v>56.06</v>
      </c>
      <c r="V125" s="171">
        <v>58.15</v>
      </c>
      <c r="W125" s="171">
        <v>64.48</v>
      </c>
      <c r="X125" s="171">
        <v>59.5</v>
      </c>
      <c r="Y125" s="171">
        <v>51</v>
      </c>
      <c r="Z125" s="171">
        <v>39.450000000000003</v>
      </c>
      <c r="AA125" s="171">
        <v>34.9</v>
      </c>
      <c r="AB125" s="171">
        <v>69.48</v>
      </c>
      <c r="AC125" s="171">
        <v>39.450000000000003</v>
      </c>
      <c r="AD125" s="171">
        <v>32.450000000000003</v>
      </c>
      <c r="AF125" s="171">
        <f t="shared" si="5"/>
        <v>2006</v>
      </c>
      <c r="AG125" s="171">
        <f t="shared" si="6"/>
        <v>8</v>
      </c>
      <c r="AH125" s="700">
        <f>SUMIF(D$3:$AA125,"&lt;="&amp;$AH$1)/COUNTIF(D$3:$AA125,"&lt;="&amp;$AH$1)</f>
        <v>29.623752276867002</v>
      </c>
    </row>
    <row r="126" spans="2:34" x14ac:dyDescent="0.25">
      <c r="B126" s="910">
        <v>39002</v>
      </c>
      <c r="C126" s="581">
        <f t="shared" si="4"/>
        <v>10</v>
      </c>
      <c r="D126" s="171">
        <v>34.5</v>
      </c>
      <c r="E126" s="171">
        <v>28.88</v>
      </c>
      <c r="F126" s="171">
        <v>25.51</v>
      </c>
      <c r="G126" s="171">
        <v>23.01</v>
      </c>
      <c r="H126" s="171">
        <v>26.54</v>
      </c>
      <c r="I126" s="171">
        <v>30.3</v>
      </c>
      <c r="J126" s="171">
        <v>47.6</v>
      </c>
      <c r="K126" s="171">
        <v>69.210000000000008</v>
      </c>
      <c r="L126" s="171">
        <v>65</v>
      </c>
      <c r="M126" s="171">
        <v>65</v>
      </c>
      <c r="N126" s="171">
        <v>67.45</v>
      </c>
      <c r="O126" s="171">
        <v>80.2</v>
      </c>
      <c r="P126" s="171">
        <v>65</v>
      </c>
      <c r="Q126" s="171">
        <v>68.7</v>
      </c>
      <c r="R126" s="171">
        <v>63.7</v>
      </c>
      <c r="S126" s="171">
        <v>60.74</v>
      </c>
      <c r="T126" s="171">
        <v>58.04</v>
      </c>
      <c r="U126" s="171">
        <v>56.32</v>
      </c>
      <c r="V126" s="171">
        <v>58.7</v>
      </c>
      <c r="W126" s="171">
        <v>70</v>
      </c>
      <c r="X126" s="171">
        <v>61</v>
      </c>
      <c r="Y126" s="171">
        <v>49.6</v>
      </c>
      <c r="Z126" s="171">
        <v>37.9</v>
      </c>
      <c r="AA126" s="171">
        <v>33</v>
      </c>
      <c r="AB126" s="171">
        <v>80.2</v>
      </c>
      <c r="AC126" s="171">
        <v>37.9</v>
      </c>
      <c r="AD126" s="171">
        <v>31.17</v>
      </c>
      <c r="AF126" s="171">
        <f t="shared" si="5"/>
        <v>2006</v>
      </c>
      <c r="AG126" s="171">
        <f t="shared" si="6"/>
        <v>8</v>
      </c>
      <c r="AH126" s="700">
        <f>SUMIF(D$3:$AA126,"&lt;="&amp;$AH$1)/COUNTIF(D$3:$AA126,"&lt;="&amp;$AH$1)</f>
        <v>29.626148282097621</v>
      </c>
    </row>
    <row r="127" spans="2:34" x14ac:dyDescent="0.25">
      <c r="B127" s="910">
        <v>39003</v>
      </c>
      <c r="C127" s="581">
        <f t="shared" si="4"/>
        <v>10</v>
      </c>
      <c r="D127" s="171">
        <v>36.700000000000003</v>
      </c>
      <c r="E127" s="171">
        <v>28.09</v>
      </c>
      <c r="F127" s="171">
        <v>25</v>
      </c>
      <c r="G127" s="171">
        <v>22.28</v>
      </c>
      <c r="H127" s="171">
        <v>26.43</v>
      </c>
      <c r="I127" s="171">
        <v>32.1</v>
      </c>
      <c r="J127" s="171">
        <v>50</v>
      </c>
      <c r="K127" s="171">
        <v>66.81</v>
      </c>
      <c r="L127" s="171">
        <v>65.5</v>
      </c>
      <c r="M127" s="171">
        <v>67.5</v>
      </c>
      <c r="N127" s="171">
        <v>67.849999999999994</v>
      </c>
      <c r="O127" s="171">
        <v>69.2</v>
      </c>
      <c r="P127" s="171">
        <v>64</v>
      </c>
      <c r="Q127" s="171">
        <v>62.06</v>
      </c>
      <c r="R127" s="171">
        <v>62.43</v>
      </c>
      <c r="S127" s="171">
        <v>58.99</v>
      </c>
      <c r="T127" s="171">
        <v>54.21</v>
      </c>
      <c r="U127" s="171">
        <v>54.22</v>
      </c>
      <c r="V127" s="171">
        <v>55.72</v>
      </c>
      <c r="W127" s="171">
        <v>72.59</v>
      </c>
      <c r="X127" s="171">
        <v>61</v>
      </c>
      <c r="Y127" s="171">
        <v>50.86</v>
      </c>
      <c r="Z127" s="171">
        <v>40.590000000000003</v>
      </c>
      <c r="AA127" s="171">
        <v>35.5</v>
      </c>
      <c r="AB127" s="171">
        <v>72.59</v>
      </c>
      <c r="AC127" s="171">
        <v>40.590000000000003</v>
      </c>
      <c r="AD127" s="171">
        <v>32.01</v>
      </c>
      <c r="AF127" s="171">
        <f t="shared" si="5"/>
        <v>2006</v>
      </c>
      <c r="AG127" s="171">
        <f t="shared" si="6"/>
        <v>8</v>
      </c>
      <c r="AH127" s="700">
        <f>SUMIF(D$3:$AA127,"&lt;="&amp;$AH$1)/COUNTIF(D$3:$AA127,"&lt;="&amp;$AH$1)</f>
        <v>29.63483842010768</v>
      </c>
    </row>
    <row r="128" spans="2:34" x14ac:dyDescent="0.25">
      <c r="B128" s="910">
        <v>39006</v>
      </c>
      <c r="C128" s="581">
        <f t="shared" si="4"/>
        <v>10</v>
      </c>
      <c r="D128" s="171">
        <v>34.1</v>
      </c>
      <c r="E128" s="171">
        <v>28</v>
      </c>
      <c r="F128" s="171">
        <v>22.3</v>
      </c>
      <c r="G128" s="171">
        <v>23</v>
      </c>
      <c r="H128" s="171">
        <v>27</v>
      </c>
      <c r="I128" s="171">
        <v>30.25</v>
      </c>
      <c r="J128" s="171">
        <v>52.56</v>
      </c>
      <c r="K128" s="171">
        <v>75</v>
      </c>
      <c r="L128" s="171">
        <v>66.8</v>
      </c>
      <c r="M128" s="171">
        <v>67.599999999999994</v>
      </c>
      <c r="N128" s="171">
        <v>70.3</v>
      </c>
      <c r="O128" s="171">
        <v>75.3</v>
      </c>
      <c r="P128" s="171">
        <v>71.8</v>
      </c>
      <c r="Q128" s="171">
        <v>72.100000000000009</v>
      </c>
      <c r="R128" s="171">
        <v>68.52</v>
      </c>
      <c r="S128" s="171">
        <v>65.099999999999994</v>
      </c>
      <c r="T128" s="171">
        <v>62.800000000000004</v>
      </c>
      <c r="U128" s="171">
        <v>62.5</v>
      </c>
      <c r="V128" s="171">
        <v>68.2</v>
      </c>
      <c r="W128" s="171">
        <v>95.3</v>
      </c>
      <c r="X128" s="171">
        <v>70.010000000000005</v>
      </c>
      <c r="Y128" s="171">
        <v>60.13</v>
      </c>
      <c r="Z128" s="171">
        <v>50</v>
      </c>
      <c r="AA128" s="171">
        <v>42</v>
      </c>
      <c r="AB128" s="171">
        <v>95.3</v>
      </c>
      <c r="AC128" s="171">
        <v>50</v>
      </c>
      <c r="AD128" s="171">
        <v>32.4</v>
      </c>
      <c r="AF128" s="171">
        <f t="shared" si="5"/>
        <v>2006</v>
      </c>
      <c r="AG128" s="171">
        <f t="shared" si="6"/>
        <v>7</v>
      </c>
      <c r="AH128" s="700">
        <f>SUMIF(D$3:$AA128,"&lt;="&amp;$AH$1)/COUNTIF(D$3:$AA128,"&lt;="&amp;$AH$1)</f>
        <v>29.63413024085634</v>
      </c>
    </row>
    <row r="129" spans="2:34" x14ac:dyDescent="0.25">
      <c r="B129" s="910">
        <v>39007</v>
      </c>
      <c r="C129" s="581">
        <f t="shared" si="4"/>
        <v>10</v>
      </c>
      <c r="D129" s="171">
        <v>37.81</v>
      </c>
      <c r="E129" s="171">
        <v>31.6</v>
      </c>
      <c r="F129" s="171">
        <v>27.64</v>
      </c>
      <c r="G129" s="171">
        <v>26.2</v>
      </c>
      <c r="H129" s="171">
        <v>30.5</v>
      </c>
      <c r="I129" s="171">
        <v>37.9</v>
      </c>
      <c r="J129" s="171">
        <v>55.01</v>
      </c>
      <c r="K129" s="171">
        <v>97.11</v>
      </c>
      <c r="L129" s="171">
        <v>75.400000000000006</v>
      </c>
      <c r="M129" s="171">
        <v>76.510000000000005</v>
      </c>
      <c r="N129" s="171">
        <v>75.73</v>
      </c>
      <c r="O129" s="171">
        <v>79.2</v>
      </c>
      <c r="P129" s="171">
        <v>73.350000000000009</v>
      </c>
      <c r="Q129" s="171">
        <v>74.77</v>
      </c>
      <c r="R129" s="171">
        <v>73</v>
      </c>
      <c r="S129" s="171">
        <v>70.42</v>
      </c>
      <c r="T129" s="171">
        <v>66.48</v>
      </c>
      <c r="U129" s="171">
        <v>65</v>
      </c>
      <c r="V129" s="171">
        <v>69.460000000000008</v>
      </c>
      <c r="W129" s="171">
        <v>85.45</v>
      </c>
      <c r="X129" s="171">
        <v>78.290000000000006</v>
      </c>
      <c r="Y129" s="171">
        <v>60.22</v>
      </c>
      <c r="Z129" s="171">
        <v>53.730000000000004</v>
      </c>
      <c r="AA129" s="171">
        <v>40.15</v>
      </c>
      <c r="AB129" s="171">
        <v>97.11</v>
      </c>
      <c r="AC129" s="171">
        <v>53.730000000000004</v>
      </c>
      <c r="AD129" s="171">
        <v>35.85</v>
      </c>
      <c r="AF129" s="171">
        <f t="shared" si="5"/>
        <v>2006</v>
      </c>
      <c r="AG129" s="171">
        <f t="shared" si="6"/>
        <v>7</v>
      </c>
      <c r="AH129" s="700">
        <f>SUMIF(D$3:$AA129,"&lt;="&amp;$AH$1)/COUNTIF(D$3:$AA129,"&lt;="&amp;$AH$1)</f>
        <v>29.655726950354566</v>
      </c>
    </row>
    <row r="130" spans="2:34" x14ac:dyDescent="0.25">
      <c r="B130" s="910">
        <v>39008</v>
      </c>
      <c r="C130" s="581">
        <f t="shared" si="4"/>
        <v>10</v>
      </c>
      <c r="D130" s="171">
        <v>39.910000000000004</v>
      </c>
      <c r="E130" s="171">
        <v>31.69</v>
      </c>
      <c r="F130" s="171">
        <v>29.18</v>
      </c>
      <c r="G130" s="171">
        <v>28.3</v>
      </c>
      <c r="H130" s="171">
        <v>30.61</v>
      </c>
      <c r="I130" s="171">
        <v>36.800000000000004</v>
      </c>
      <c r="J130" s="171">
        <v>55.46</v>
      </c>
      <c r="K130" s="171">
        <v>74.7</v>
      </c>
      <c r="L130" s="171">
        <v>76.47</v>
      </c>
      <c r="M130" s="171">
        <v>77.100000000000009</v>
      </c>
      <c r="N130" s="171">
        <v>80.350000000000009</v>
      </c>
      <c r="O130" s="171">
        <v>86.820000000000007</v>
      </c>
      <c r="P130" s="171">
        <v>77.100000000000009</v>
      </c>
      <c r="Q130" s="171">
        <v>78.820000000000007</v>
      </c>
      <c r="R130" s="171">
        <v>73.56</v>
      </c>
      <c r="S130" s="171">
        <v>69.77</v>
      </c>
      <c r="T130" s="171">
        <v>64.989999999999995</v>
      </c>
      <c r="U130" s="171">
        <v>64.39</v>
      </c>
      <c r="V130" s="171">
        <v>73.81</v>
      </c>
      <c r="W130" s="171">
        <v>87.08</v>
      </c>
      <c r="X130" s="171">
        <v>74.239999999999995</v>
      </c>
      <c r="Y130" s="171">
        <v>62.9</v>
      </c>
      <c r="Z130" s="171">
        <v>50</v>
      </c>
      <c r="AA130" s="171">
        <v>41.7</v>
      </c>
      <c r="AB130" s="171">
        <v>87.08</v>
      </c>
      <c r="AC130" s="171">
        <v>50</v>
      </c>
      <c r="AD130" s="171">
        <v>36.71</v>
      </c>
      <c r="AF130" s="171">
        <f t="shared" si="5"/>
        <v>2006</v>
      </c>
      <c r="AG130" s="171">
        <f t="shared" si="6"/>
        <v>7</v>
      </c>
      <c r="AH130" s="700">
        <f>SUMIF(D$3:$AA130,"&lt;="&amp;$AH$1)/COUNTIF(D$3:$AA130,"&lt;="&amp;$AH$1)</f>
        <v>29.682687224669571</v>
      </c>
    </row>
    <row r="131" spans="2:34" x14ac:dyDescent="0.25">
      <c r="B131" s="910">
        <v>39009</v>
      </c>
      <c r="C131" s="581">
        <f t="shared" si="4"/>
        <v>10</v>
      </c>
      <c r="D131" s="171">
        <v>33.86</v>
      </c>
      <c r="E131" s="171">
        <v>28</v>
      </c>
      <c r="F131" s="171">
        <v>27</v>
      </c>
      <c r="G131" s="171">
        <v>25</v>
      </c>
      <c r="H131" s="171">
        <v>27</v>
      </c>
      <c r="I131" s="171">
        <v>31</v>
      </c>
      <c r="J131" s="171">
        <v>49</v>
      </c>
      <c r="K131" s="171">
        <v>71</v>
      </c>
      <c r="L131" s="171">
        <v>67.650000000000006</v>
      </c>
      <c r="M131" s="171">
        <v>70</v>
      </c>
      <c r="N131" s="171">
        <v>68</v>
      </c>
      <c r="O131" s="171">
        <v>73.070000000000007</v>
      </c>
      <c r="P131" s="171">
        <v>66.849999999999994</v>
      </c>
      <c r="Q131" s="171">
        <v>68.45</v>
      </c>
      <c r="R131" s="171">
        <v>65.61</v>
      </c>
      <c r="S131" s="171">
        <v>60.800000000000004</v>
      </c>
      <c r="T131" s="171">
        <v>57.08</v>
      </c>
      <c r="U131" s="171">
        <v>56.6</v>
      </c>
      <c r="V131" s="171">
        <v>64.489999999999995</v>
      </c>
      <c r="W131" s="171">
        <v>74.83</v>
      </c>
      <c r="X131" s="171">
        <v>62.74</v>
      </c>
      <c r="Y131" s="171">
        <v>50.78</v>
      </c>
      <c r="Z131" s="171">
        <v>44.54</v>
      </c>
      <c r="AA131" s="171">
        <v>34.67</v>
      </c>
      <c r="AB131" s="171">
        <v>74.83</v>
      </c>
      <c r="AC131" s="171">
        <v>44.54</v>
      </c>
      <c r="AD131" s="171">
        <v>31.94</v>
      </c>
      <c r="AF131" s="171">
        <f t="shared" si="5"/>
        <v>2006</v>
      </c>
      <c r="AG131" s="171">
        <f t="shared" si="6"/>
        <v>7</v>
      </c>
      <c r="AH131" s="700">
        <f>SUMIF(D$3:$AA131,"&lt;="&amp;$AH$1)/COUNTIF(D$3:$AA131,"&lt;="&amp;$AH$1)</f>
        <v>29.68159369527142</v>
      </c>
    </row>
    <row r="132" spans="2:34" x14ac:dyDescent="0.25">
      <c r="B132" s="910">
        <v>39010</v>
      </c>
      <c r="C132" s="581">
        <f t="shared" ref="C132:C195" si="7">MONTH(B132)</f>
        <v>10</v>
      </c>
      <c r="D132" s="171">
        <v>36.840000000000003</v>
      </c>
      <c r="E132" s="171">
        <v>30.53</v>
      </c>
      <c r="F132" s="171">
        <v>28.84</v>
      </c>
      <c r="G132" s="171">
        <v>23.91</v>
      </c>
      <c r="H132" s="171">
        <v>26.060000000000002</v>
      </c>
      <c r="I132" s="171">
        <v>30</v>
      </c>
      <c r="J132" s="171">
        <v>51.35</v>
      </c>
      <c r="K132" s="171">
        <v>70</v>
      </c>
      <c r="L132" s="171">
        <v>70.570000000000007</v>
      </c>
      <c r="M132" s="171">
        <v>71.58</v>
      </c>
      <c r="N132" s="171">
        <v>71.89</v>
      </c>
      <c r="O132" s="171">
        <v>75.010000000000005</v>
      </c>
      <c r="P132" s="171">
        <v>70.16</v>
      </c>
      <c r="Q132" s="171">
        <v>64.48</v>
      </c>
      <c r="R132" s="171">
        <v>60.01</v>
      </c>
      <c r="S132" s="171">
        <v>57.34</v>
      </c>
      <c r="T132" s="171">
        <v>55.24</v>
      </c>
      <c r="U132" s="171">
        <v>55.620000000000005</v>
      </c>
      <c r="V132" s="171">
        <v>64.27</v>
      </c>
      <c r="W132" s="171">
        <v>70.5</v>
      </c>
      <c r="X132" s="171">
        <v>56.800000000000004</v>
      </c>
      <c r="Y132" s="171">
        <v>46.67</v>
      </c>
      <c r="Z132" s="171">
        <v>41.84</v>
      </c>
      <c r="AA132" s="171">
        <v>36.99</v>
      </c>
      <c r="AB132" s="171">
        <v>75.010000000000005</v>
      </c>
      <c r="AC132" s="171">
        <v>41.84</v>
      </c>
      <c r="AD132" s="171">
        <v>33.06</v>
      </c>
      <c r="AF132" s="171">
        <f t="shared" ref="AF132:AF195" si="8">YEAR(B132)</f>
        <v>2006</v>
      </c>
      <c r="AG132" s="171">
        <f t="shared" ref="AG132:AG195" si="9">COUNTIF(D132:AA132,"&lt;="&amp;$AH$1)</f>
        <v>8</v>
      </c>
      <c r="AH132" s="700">
        <f>SUMIF(D$3:$AA132,"&lt;="&amp;$AH$1)/COUNTIF(D$3:$AA132,"&lt;="&amp;$AH$1)</f>
        <v>29.696860869565171</v>
      </c>
    </row>
    <row r="133" spans="2:34" x14ac:dyDescent="0.25">
      <c r="B133" s="910">
        <v>39013</v>
      </c>
      <c r="C133" s="581">
        <f t="shared" si="7"/>
        <v>10</v>
      </c>
      <c r="D133" s="171">
        <v>15.88</v>
      </c>
      <c r="E133" s="171">
        <v>1</v>
      </c>
      <c r="F133" s="171">
        <v>1</v>
      </c>
      <c r="G133" s="171">
        <v>1</v>
      </c>
      <c r="H133" s="171">
        <v>0.88</v>
      </c>
      <c r="I133" s="171">
        <v>18.48</v>
      </c>
      <c r="J133" s="171">
        <v>32</v>
      </c>
      <c r="K133" s="171">
        <v>54</v>
      </c>
      <c r="L133" s="171">
        <v>60.01</v>
      </c>
      <c r="M133" s="171">
        <v>62.03</v>
      </c>
      <c r="N133" s="171">
        <v>62.370000000000005</v>
      </c>
      <c r="O133" s="171">
        <v>61.92</v>
      </c>
      <c r="P133" s="171">
        <v>65.010000000000005</v>
      </c>
      <c r="Q133" s="171">
        <v>65</v>
      </c>
      <c r="R133" s="171">
        <v>65</v>
      </c>
      <c r="S133" s="171">
        <v>65.010000000000005</v>
      </c>
      <c r="T133" s="171">
        <v>62.81</v>
      </c>
      <c r="U133" s="171">
        <v>65.010000000000005</v>
      </c>
      <c r="V133" s="171">
        <v>89.210000000000008</v>
      </c>
      <c r="W133" s="171">
        <v>88.4</v>
      </c>
      <c r="X133" s="171">
        <v>84.100000000000009</v>
      </c>
      <c r="Y133" s="171">
        <v>65.010000000000005</v>
      </c>
      <c r="Z133" s="171">
        <v>54.99</v>
      </c>
      <c r="AA133" s="171">
        <v>50</v>
      </c>
      <c r="AB133" s="171">
        <v>89.210000000000008</v>
      </c>
      <c r="AC133" s="171">
        <v>54</v>
      </c>
      <c r="AD133" s="171">
        <v>15.030000000000001</v>
      </c>
      <c r="AF133" s="171">
        <f t="shared" si="8"/>
        <v>2006</v>
      </c>
      <c r="AG133" s="171">
        <f t="shared" si="9"/>
        <v>7</v>
      </c>
      <c r="AH133" s="700">
        <f>SUMIF(D$3:$AA133,"&lt;="&amp;$AH$1)/COUNTIF(D$3:$AA133,"&lt;="&amp;$AH$1)</f>
        <v>29.577899740708684</v>
      </c>
    </row>
    <row r="134" spans="2:34" x14ac:dyDescent="0.25">
      <c r="B134" s="910">
        <v>39014</v>
      </c>
      <c r="C134" s="581">
        <f t="shared" si="7"/>
        <v>10</v>
      </c>
      <c r="D134" s="171">
        <v>36</v>
      </c>
      <c r="E134" s="171">
        <v>28.22</v>
      </c>
      <c r="F134" s="171">
        <v>22.150000000000002</v>
      </c>
      <c r="G134" s="171">
        <v>20.53</v>
      </c>
      <c r="H134" s="171">
        <v>22.78</v>
      </c>
      <c r="I134" s="171">
        <v>27.25</v>
      </c>
      <c r="J134" s="171">
        <v>43.25</v>
      </c>
      <c r="K134" s="171">
        <v>64.489999999999995</v>
      </c>
      <c r="L134" s="171">
        <v>70.23</v>
      </c>
      <c r="M134" s="171">
        <v>150</v>
      </c>
      <c r="N134" s="171">
        <v>150</v>
      </c>
      <c r="O134" s="171">
        <v>150</v>
      </c>
      <c r="P134" s="171">
        <v>109</v>
      </c>
      <c r="Q134" s="171">
        <v>125</v>
      </c>
      <c r="R134" s="171">
        <v>125</v>
      </c>
      <c r="S134" s="171">
        <v>97.75</v>
      </c>
      <c r="T134" s="171">
        <v>97.55</v>
      </c>
      <c r="U134" s="171">
        <v>95.51</v>
      </c>
      <c r="V134" s="171">
        <v>97.850000000000009</v>
      </c>
      <c r="W134" s="171">
        <v>150</v>
      </c>
      <c r="X134" s="171">
        <v>99.02</v>
      </c>
      <c r="Y134" s="171">
        <v>97.65</v>
      </c>
      <c r="Z134" s="171">
        <v>65</v>
      </c>
      <c r="AA134" s="171">
        <v>56</v>
      </c>
      <c r="AB134" s="171">
        <v>150</v>
      </c>
      <c r="AC134" s="171">
        <v>64.489999999999995</v>
      </c>
      <c r="AD134" s="171">
        <v>32.020000000000003</v>
      </c>
      <c r="AF134" s="171">
        <f t="shared" si="8"/>
        <v>2006</v>
      </c>
      <c r="AG134" s="171">
        <f t="shared" si="9"/>
        <v>6</v>
      </c>
      <c r="AH134" s="700">
        <f>SUMIF(D$3:$AA134,"&lt;="&amp;$AH$1)/COUNTIF(D$3:$AA134,"&lt;="&amp;$AH$1)</f>
        <v>29.560240756663756</v>
      </c>
    </row>
    <row r="135" spans="2:34" x14ac:dyDescent="0.25">
      <c r="B135" s="910">
        <v>39015</v>
      </c>
      <c r="C135" s="581">
        <f t="shared" si="7"/>
        <v>10</v>
      </c>
      <c r="D135" s="171">
        <v>33</v>
      </c>
      <c r="E135" s="171">
        <v>30</v>
      </c>
      <c r="F135" s="171">
        <v>33</v>
      </c>
      <c r="G135" s="171">
        <v>17.400000000000002</v>
      </c>
      <c r="H135" s="171">
        <v>21.5</v>
      </c>
      <c r="I135" s="171">
        <v>28.3</v>
      </c>
      <c r="J135" s="171">
        <v>52.5</v>
      </c>
      <c r="K135" s="171">
        <v>90</v>
      </c>
      <c r="L135" s="171">
        <v>150</v>
      </c>
      <c r="M135" s="171">
        <v>250.01000000000002</v>
      </c>
      <c r="N135" s="171">
        <v>250</v>
      </c>
      <c r="O135" s="171">
        <v>199.02</v>
      </c>
      <c r="P135" s="171">
        <v>150</v>
      </c>
      <c r="Q135" s="171">
        <v>150</v>
      </c>
      <c r="R135" s="171">
        <v>150</v>
      </c>
      <c r="S135" s="171">
        <v>94</v>
      </c>
      <c r="T135" s="171">
        <v>70.010000000000005</v>
      </c>
      <c r="U135" s="171">
        <v>64.5</v>
      </c>
      <c r="V135" s="171">
        <v>73.680000000000007</v>
      </c>
      <c r="W135" s="171">
        <v>80</v>
      </c>
      <c r="X135" s="171">
        <v>72.23</v>
      </c>
      <c r="Y135" s="171">
        <v>59</v>
      </c>
      <c r="Z135" s="171">
        <v>51</v>
      </c>
      <c r="AA135" s="171">
        <v>49</v>
      </c>
      <c r="AB135" s="171">
        <v>250.01000000000002</v>
      </c>
      <c r="AC135" s="171">
        <v>51</v>
      </c>
      <c r="AD135" s="171">
        <v>33.090000000000003</v>
      </c>
      <c r="AF135" s="171">
        <f t="shared" si="8"/>
        <v>2006</v>
      </c>
      <c r="AG135" s="171">
        <f t="shared" si="9"/>
        <v>6</v>
      </c>
      <c r="AH135" s="700">
        <f>SUMIF(D$3:$AA135,"&lt;="&amp;$AH$1)/COUNTIF(D$3:$AA135,"&lt;="&amp;$AH$1)</f>
        <v>29.548126603934946</v>
      </c>
    </row>
    <row r="136" spans="2:34" x14ac:dyDescent="0.25">
      <c r="B136" s="910">
        <v>39016</v>
      </c>
      <c r="C136" s="581">
        <f t="shared" si="7"/>
        <v>10</v>
      </c>
      <c r="D136" s="171">
        <v>35.35</v>
      </c>
      <c r="E136" s="171">
        <v>31.970000000000002</v>
      </c>
      <c r="F136" s="171">
        <v>27.1</v>
      </c>
      <c r="G136" s="171">
        <v>25</v>
      </c>
      <c r="H136" s="171">
        <v>25.5</v>
      </c>
      <c r="I136" s="171">
        <v>31</v>
      </c>
      <c r="J136" s="171">
        <v>48.76</v>
      </c>
      <c r="K136" s="171">
        <v>71</v>
      </c>
      <c r="L136" s="171">
        <v>70</v>
      </c>
      <c r="M136" s="171">
        <v>68.989999999999995</v>
      </c>
      <c r="N136" s="171">
        <v>68.37</v>
      </c>
      <c r="O136" s="171">
        <v>69.5</v>
      </c>
      <c r="P136" s="171">
        <v>65.63</v>
      </c>
      <c r="Q136" s="171">
        <v>65</v>
      </c>
      <c r="R136" s="171">
        <v>60.01</v>
      </c>
      <c r="S136" s="171">
        <v>80.010000000000005</v>
      </c>
      <c r="T136" s="171">
        <v>80.010000000000005</v>
      </c>
      <c r="U136" s="171">
        <v>60.01</v>
      </c>
      <c r="V136" s="171">
        <v>150</v>
      </c>
      <c r="W136" s="171">
        <v>187.86</v>
      </c>
      <c r="X136" s="171">
        <v>80.010000000000005</v>
      </c>
      <c r="Y136" s="171">
        <v>60.01</v>
      </c>
      <c r="Z136" s="171">
        <v>50</v>
      </c>
      <c r="AA136" s="171">
        <v>34.25</v>
      </c>
      <c r="AB136" s="171">
        <v>187.86</v>
      </c>
      <c r="AC136" s="171">
        <v>50</v>
      </c>
      <c r="AD136" s="171">
        <v>32.369999999999997</v>
      </c>
      <c r="AF136" s="171">
        <f t="shared" si="8"/>
        <v>2006</v>
      </c>
      <c r="AG136" s="171">
        <f t="shared" si="9"/>
        <v>7</v>
      </c>
      <c r="AH136" s="700">
        <f>SUMIF(D$3:$AA136,"&lt;="&amp;$AH$1)/COUNTIF(D$3:$AA136,"&lt;="&amp;$AH$1)</f>
        <v>29.550960884353699</v>
      </c>
    </row>
    <row r="137" spans="2:34" x14ac:dyDescent="0.25">
      <c r="B137" s="910">
        <v>39017</v>
      </c>
      <c r="C137" s="581">
        <f t="shared" si="7"/>
        <v>10</v>
      </c>
      <c r="D137" s="171">
        <v>33</v>
      </c>
      <c r="E137" s="171">
        <v>30</v>
      </c>
      <c r="F137" s="171">
        <v>19.8</v>
      </c>
      <c r="G137" s="171">
        <v>14</v>
      </c>
      <c r="H137" s="171">
        <v>15</v>
      </c>
      <c r="I137" s="171">
        <v>21.51</v>
      </c>
      <c r="J137" s="171">
        <v>37.200000000000003</v>
      </c>
      <c r="K137" s="171">
        <v>60</v>
      </c>
      <c r="L137" s="171">
        <v>65</v>
      </c>
      <c r="M137" s="171">
        <v>160</v>
      </c>
      <c r="N137" s="171">
        <v>160</v>
      </c>
      <c r="O137" s="171">
        <v>160</v>
      </c>
      <c r="P137" s="171">
        <v>60.01</v>
      </c>
      <c r="Q137" s="171">
        <v>57.050000000000004</v>
      </c>
      <c r="R137" s="171">
        <v>54.6</v>
      </c>
      <c r="S137" s="171">
        <v>50.01</v>
      </c>
      <c r="T137" s="171">
        <v>45.81</v>
      </c>
      <c r="U137" s="171">
        <v>46.19</v>
      </c>
      <c r="V137" s="171">
        <v>57.9</v>
      </c>
      <c r="W137" s="171">
        <v>67.3</v>
      </c>
      <c r="X137" s="171">
        <v>62</v>
      </c>
      <c r="Y137" s="171">
        <v>44.03</v>
      </c>
      <c r="Z137" s="171">
        <v>42.5</v>
      </c>
      <c r="AA137" s="171">
        <v>42</v>
      </c>
      <c r="AB137" s="171">
        <v>160</v>
      </c>
      <c r="AC137" s="171">
        <v>42.5</v>
      </c>
      <c r="AD137" s="171">
        <v>26.560000000000002</v>
      </c>
      <c r="AF137" s="171">
        <f t="shared" si="8"/>
        <v>2006</v>
      </c>
      <c r="AG137" s="171">
        <f t="shared" si="9"/>
        <v>9</v>
      </c>
      <c r="AH137" s="700">
        <f>SUMIF(D$3:$AA137,"&lt;="&amp;$AH$1)/COUNTIF(D$3:$AA137,"&lt;="&amp;$AH$1)</f>
        <v>29.541721518987302</v>
      </c>
    </row>
    <row r="138" spans="2:34" x14ac:dyDescent="0.25">
      <c r="B138" s="910">
        <v>39020</v>
      </c>
      <c r="C138" s="581">
        <f t="shared" si="7"/>
        <v>10</v>
      </c>
      <c r="D138" s="171">
        <v>31.84</v>
      </c>
      <c r="E138" s="171">
        <v>27.93</v>
      </c>
      <c r="F138" s="171">
        <v>27.740000000000002</v>
      </c>
      <c r="G138" s="171">
        <v>27.8</v>
      </c>
      <c r="H138" s="171">
        <v>28.53</v>
      </c>
      <c r="I138" s="171">
        <v>33.840000000000003</v>
      </c>
      <c r="J138" s="171">
        <v>48.84</v>
      </c>
      <c r="K138" s="171">
        <v>78</v>
      </c>
      <c r="L138" s="171">
        <v>80.010000000000005</v>
      </c>
      <c r="M138" s="171">
        <v>87.38</v>
      </c>
      <c r="N138" s="171">
        <v>88.91</v>
      </c>
      <c r="O138" s="171">
        <v>105.59</v>
      </c>
      <c r="P138" s="171">
        <v>90.61</v>
      </c>
      <c r="Q138" s="171">
        <v>95.62</v>
      </c>
      <c r="R138" s="171">
        <v>85.62</v>
      </c>
      <c r="S138" s="171">
        <v>85.92</v>
      </c>
      <c r="T138" s="171">
        <v>92.02</v>
      </c>
      <c r="U138" s="171">
        <v>400</v>
      </c>
      <c r="V138" s="171">
        <v>325</v>
      </c>
      <c r="W138" s="171">
        <v>160</v>
      </c>
      <c r="X138" s="171">
        <v>75.010000000000005</v>
      </c>
      <c r="Y138" s="171">
        <v>50</v>
      </c>
      <c r="Z138" s="171">
        <v>41.9</v>
      </c>
      <c r="AA138" s="171">
        <v>36</v>
      </c>
      <c r="AB138" s="171">
        <v>400</v>
      </c>
      <c r="AC138" s="171">
        <v>41.9</v>
      </c>
      <c r="AD138" s="171">
        <v>32.81</v>
      </c>
      <c r="AF138" s="171">
        <f t="shared" si="8"/>
        <v>2006</v>
      </c>
      <c r="AG138" s="171">
        <f t="shared" si="9"/>
        <v>8</v>
      </c>
      <c r="AH138" s="700">
        <f>SUMIF(D$3:$AA138,"&lt;="&amp;$AH$1)/COUNTIF(D$3:$AA138,"&lt;="&amp;$AH$1)</f>
        <v>29.557854149203642</v>
      </c>
    </row>
    <row r="139" spans="2:34" x14ac:dyDescent="0.25">
      <c r="B139" s="910">
        <v>39021</v>
      </c>
      <c r="C139" s="581">
        <f t="shared" si="7"/>
        <v>10</v>
      </c>
      <c r="D139" s="171">
        <v>33.07</v>
      </c>
      <c r="E139" s="171">
        <v>29.2</v>
      </c>
      <c r="F139" s="171">
        <v>24.830000000000002</v>
      </c>
      <c r="G139" s="171">
        <v>22.88</v>
      </c>
      <c r="H139" s="171">
        <v>22</v>
      </c>
      <c r="I139" s="171">
        <v>28.900000000000002</v>
      </c>
      <c r="J139" s="171">
        <v>43.21</v>
      </c>
      <c r="K139" s="171">
        <v>60.6</v>
      </c>
      <c r="L139" s="171">
        <v>60</v>
      </c>
      <c r="M139" s="171">
        <v>60</v>
      </c>
      <c r="N139" s="171">
        <v>60</v>
      </c>
      <c r="O139" s="171">
        <v>62</v>
      </c>
      <c r="P139" s="171">
        <v>69</v>
      </c>
      <c r="Q139" s="171">
        <v>70</v>
      </c>
      <c r="R139" s="171">
        <v>64.02</v>
      </c>
      <c r="S139" s="171">
        <v>60.01</v>
      </c>
      <c r="T139" s="171">
        <v>60</v>
      </c>
      <c r="U139" s="171">
        <v>160</v>
      </c>
      <c r="V139" s="171">
        <v>160</v>
      </c>
      <c r="W139" s="171">
        <v>98</v>
      </c>
      <c r="X139" s="171">
        <v>58.67</v>
      </c>
      <c r="Y139" s="171">
        <v>55</v>
      </c>
      <c r="Z139" s="171">
        <v>41.730000000000004</v>
      </c>
      <c r="AA139" s="171">
        <v>36.67</v>
      </c>
      <c r="AB139" s="171">
        <v>160</v>
      </c>
      <c r="AC139" s="171">
        <v>41.730000000000004</v>
      </c>
      <c r="AD139" s="171">
        <v>30.09</v>
      </c>
      <c r="AF139" s="171">
        <f t="shared" si="8"/>
        <v>2006</v>
      </c>
      <c r="AG139" s="171">
        <f t="shared" si="9"/>
        <v>8</v>
      </c>
      <c r="AH139" s="700">
        <f>SUMIF(D$3:$AA139,"&lt;="&amp;$AH$1)/COUNTIF(D$3:$AA139,"&lt;="&amp;$AH$1)</f>
        <v>29.560199833472062</v>
      </c>
    </row>
    <row r="140" spans="2:34" x14ac:dyDescent="0.25">
      <c r="B140" s="910">
        <v>39022</v>
      </c>
      <c r="C140" s="581">
        <f t="shared" si="7"/>
        <v>11</v>
      </c>
      <c r="D140" s="171">
        <v>20.7</v>
      </c>
      <c r="E140" s="171">
        <v>11.75</v>
      </c>
      <c r="F140" s="171">
        <v>9.74</v>
      </c>
      <c r="G140" s="171">
        <v>5.14</v>
      </c>
      <c r="H140" s="171">
        <v>6.3900000000000006</v>
      </c>
      <c r="I140" s="171">
        <v>5.96</v>
      </c>
      <c r="J140" s="171">
        <v>11.700000000000001</v>
      </c>
      <c r="K140" s="171">
        <v>50</v>
      </c>
      <c r="L140" s="171">
        <v>52.1</v>
      </c>
      <c r="M140" s="171">
        <v>52.1</v>
      </c>
      <c r="N140" s="171">
        <v>52.1</v>
      </c>
      <c r="O140" s="171">
        <v>52.1</v>
      </c>
      <c r="P140" s="171">
        <v>50</v>
      </c>
      <c r="Q140" s="171">
        <v>50</v>
      </c>
      <c r="R140" s="171">
        <v>50</v>
      </c>
      <c r="S140" s="171">
        <v>49.1</v>
      </c>
      <c r="T140" s="171">
        <v>50</v>
      </c>
      <c r="U140" s="171">
        <v>90.12</v>
      </c>
      <c r="V140" s="171">
        <v>70.010000000000005</v>
      </c>
      <c r="W140" s="171">
        <v>150</v>
      </c>
      <c r="X140" s="171">
        <v>140</v>
      </c>
      <c r="Y140" s="171">
        <v>43.52</v>
      </c>
      <c r="Z140" s="171">
        <v>44.6</v>
      </c>
      <c r="AA140" s="171">
        <v>40.4</v>
      </c>
      <c r="AB140" s="171">
        <v>150</v>
      </c>
      <c r="AC140" s="171">
        <v>43.52</v>
      </c>
      <c r="AD140" s="171">
        <v>13.97</v>
      </c>
      <c r="AF140" s="171">
        <f t="shared" si="8"/>
        <v>2006</v>
      </c>
      <c r="AG140" s="171">
        <f t="shared" si="9"/>
        <v>8</v>
      </c>
      <c r="AH140" s="700">
        <f>SUMIF(D$3:$AA140,"&lt;="&amp;$AH$1)/COUNTIF(D$3:$AA140,"&lt;="&amp;$AH$1)</f>
        <v>29.457055417700527</v>
      </c>
    </row>
    <row r="141" spans="2:34" x14ac:dyDescent="0.25">
      <c r="B141" s="910">
        <v>39023</v>
      </c>
      <c r="C141" s="581">
        <f t="shared" si="7"/>
        <v>11</v>
      </c>
      <c r="D141" s="171">
        <v>40.300000000000004</v>
      </c>
      <c r="E141" s="171">
        <v>33</v>
      </c>
      <c r="F141" s="171">
        <v>29</v>
      </c>
      <c r="G141" s="171">
        <v>28</v>
      </c>
      <c r="H141" s="171">
        <v>27.5</v>
      </c>
      <c r="I141" s="171">
        <v>34.980000000000004</v>
      </c>
      <c r="J141" s="171">
        <v>53</v>
      </c>
      <c r="K141" s="171">
        <v>82.43</v>
      </c>
      <c r="L141" s="171">
        <v>77.900000000000006</v>
      </c>
      <c r="M141" s="171">
        <v>80</v>
      </c>
      <c r="N141" s="171">
        <v>84.8</v>
      </c>
      <c r="O141" s="171">
        <v>110</v>
      </c>
      <c r="P141" s="171">
        <v>83.100000000000009</v>
      </c>
      <c r="Q141" s="171">
        <v>81.900000000000006</v>
      </c>
      <c r="R141" s="171">
        <v>80.010000000000005</v>
      </c>
      <c r="S141" s="171">
        <v>75.92</v>
      </c>
      <c r="T141" s="171">
        <v>88.74</v>
      </c>
      <c r="U141" s="171">
        <v>150</v>
      </c>
      <c r="V141" s="171">
        <v>150</v>
      </c>
      <c r="W141" s="171">
        <v>118.39</v>
      </c>
      <c r="X141" s="171">
        <v>80.010000000000005</v>
      </c>
      <c r="Y141" s="171">
        <v>65.400000000000006</v>
      </c>
      <c r="Z141" s="171">
        <v>62</v>
      </c>
      <c r="AA141" s="171">
        <v>48.6</v>
      </c>
      <c r="AB141" s="171">
        <v>150</v>
      </c>
      <c r="AC141" s="171">
        <v>62</v>
      </c>
      <c r="AD141" s="171">
        <v>36.800000000000004</v>
      </c>
      <c r="AF141" s="171">
        <f t="shared" si="8"/>
        <v>2006</v>
      </c>
      <c r="AG141" s="171">
        <f t="shared" si="9"/>
        <v>6</v>
      </c>
      <c r="AH141" s="700">
        <f>SUMIF(D$3:$AA141,"&lt;="&amp;$AH$1)/COUNTIF(D$3:$AA141,"&lt;="&amp;$AH$1)</f>
        <v>29.470255144032873</v>
      </c>
    </row>
    <row r="142" spans="2:34" x14ac:dyDescent="0.25">
      <c r="B142" s="910">
        <v>39024</v>
      </c>
      <c r="C142" s="581">
        <f t="shared" si="7"/>
        <v>11</v>
      </c>
      <c r="D142" s="171">
        <v>41.86</v>
      </c>
      <c r="E142" s="171">
        <v>36.75</v>
      </c>
      <c r="F142" s="171">
        <v>30.51</v>
      </c>
      <c r="G142" s="171">
        <v>28.48</v>
      </c>
      <c r="H142" s="171">
        <v>28.7</v>
      </c>
      <c r="I142" s="171">
        <v>40.33</v>
      </c>
      <c r="J142" s="171">
        <v>47.04</v>
      </c>
      <c r="K142" s="171">
        <v>82.76</v>
      </c>
      <c r="L142" s="171">
        <v>85.87</v>
      </c>
      <c r="M142" s="171">
        <v>143.56</v>
      </c>
      <c r="N142" s="171">
        <v>143.56</v>
      </c>
      <c r="O142" s="171">
        <v>93.26</v>
      </c>
      <c r="P142" s="171">
        <v>85.37</v>
      </c>
      <c r="Q142" s="171">
        <v>84.37</v>
      </c>
      <c r="R142" s="171">
        <v>75.05</v>
      </c>
      <c r="S142" s="171">
        <v>70.010000000000005</v>
      </c>
      <c r="T142" s="171">
        <v>73.62</v>
      </c>
      <c r="U142" s="171">
        <v>150</v>
      </c>
      <c r="V142" s="171">
        <v>150</v>
      </c>
      <c r="W142" s="171">
        <v>104.99000000000001</v>
      </c>
      <c r="X142" s="171">
        <v>74</v>
      </c>
      <c r="Y142" s="171">
        <v>64.099999999999994</v>
      </c>
      <c r="Z142" s="171">
        <v>49.300000000000004</v>
      </c>
      <c r="AA142" s="171">
        <v>60</v>
      </c>
      <c r="AB142" s="171">
        <v>150</v>
      </c>
      <c r="AC142" s="171">
        <v>49.300000000000004</v>
      </c>
      <c r="AD142" s="171">
        <v>39.21</v>
      </c>
      <c r="AF142" s="171">
        <f t="shared" si="8"/>
        <v>2006</v>
      </c>
      <c r="AG142" s="171">
        <f t="shared" si="9"/>
        <v>6</v>
      </c>
      <c r="AH142" s="700">
        <f>SUMIF(D$3:$AA142,"&lt;="&amp;$AH$1)/COUNTIF(D$3:$AA142,"&lt;="&amp;$AH$1)</f>
        <v>29.494668304668263</v>
      </c>
    </row>
    <row r="143" spans="2:34" x14ac:dyDescent="0.25">
      <c r="B143" s="910">
        <v>39027</v>
      </c>
      <c r="C143" s="581">
        <f t="shared" si="7"/>
        <v>11</v>
      </c>
      <c r="D143" s="171">
        <v>31.6</v>
      </c>
      <c r="E143" s="171">
        <v>28</v>
      </c>
      <c r="F143" s="171">
        <v>25.03</v>
      </c>
      <c r="G143" s="171">
        <v>19</v>
      </c>
      <c r="H143" s="171">
        <v>16.399999999999999</v>
      </c>
      <c r="I143" s="171">
        <v>27.1</v>
      </c>
      <c r="J143" s="171">
        <v>42.02</v>
      </c>
      <c r="K143" s="171">
        <v>64.239999999999995</v>
      </c>
      <c r="L143" s="171">
        <v>71.010000000000005</v>
      </c>
      <c r="M143" s="171">
        <v>73.010000000000005</v>
      </c>
      <c r="N143" s="171">
        <v>72.100000000000009</v>
      </c>
      <c r="O143" s="171">
        <v>74</v>
      </c>
      <c r="P143" s="171">
        <v>63.84</v>
      </c>
      <c r="Q143" s="171">
        <v>69.13</v>
      </c>
      <c r="R143" s="171">
        <v>69.55</v>
      </c>
      <c r="S143" s="171">
        <v>63.4</v>
      </c>
      <c r="T143" s="171">
        <v>67.5</v>
      </c>
      <c r="U143" s="171">
        <v>150</v>
      </c>
      <c r="V143" s="171">
        <v>150</v>
      </c>
      <c r="W143" s="171">
        <v>99</v>
      </c>
      <c r="X143" s="171">
        <v>80</v>
      </c>
      <c r="Y143" s="171">
        <v>70</v>
      </c>
      <c r="Z143" s="171">
        <v>75</v>
      </c>
      <c r="AA143" s="171">
        <v>44.26</v>
      </c>
      <c r="AB143" s="171">
        <v>150</v>
      </c>
      <c r="AC143" s="171">
        <v>63.4</v>
      </c>
      <c r="AD143" s="171">
        <v>29.18</v>
      </c>
      <c r="AF143" s="171">
        <f t="shared" si="8"/>
        <v>2006</v>
      </c>
      <c r="AG143" s="171">
        <f t="shared" si="9"/>
        <v>7</v>
      </c>
      <c r="AH143" s="700">
        <f>SUMIF(D$3:$AA143,"&lt;="&amp;$AH$1)/COUNTIF(D$3:$AA143,"&lt;="&amp;$AH$1)</f>
        <v>29.48057003257324</v>
      </c>
    </row>
    <row r="144" spans="2:34" x14ac:dyDescent="0.25">
      <c r="B144" s="910">
        <v>39028</v>
      </c>
      <c r="C144" s="581">
        <f t="shared" si="7"/>
        <v>11</v>
      </c>
      <c r="D144" s="171">
        <v>44.300000000000004</v>
      </c>
      <c r="E144" s="171">
        <v>37.200000000000003</v>
      </c>
      <c r="F144" s="171">
        <v>33.630000000000003</v>
      </c>
      <c r="G144" s="171">
        <v>29.89</v>
      </c>
      <c r="H144" s="171">
        <v>29</v>
      </c>
      <c r="I144" s="171">
        <v>39.6</v>
      </c>
      <c r="J144" s="171">
        <v>56</v>
      </c>
      <c r="K144" s="171">
        <v>85.2</v>
      </c>
      <c r="L144" s="171">
        <v>87.67</v>
      </c>
      <c r="M144" s="171">
        <v>79.47</v>
      </c>
      <c r="N144" s="171">
        <v>80.010000000000005</v>
      </c>
      <c r="O144" s="171">
        <v>83</v>
      </c>
      <c r="P144" s="171">
        <v>79.37</v>
      </c>
      <c r="Q144" s="171">
        <v>77.2</v>
      </c>
      <c r="R144" s="171">
        <v>75</v>
      </c>
      <c r="S144" s="171">
        <v>71.17</v>
      </c>
      <c r="T144" s="171">
        <v>91.17</v>
      </c>
      <c r="U144" s="171">
        <v>400</v>
      </c>
      <c r="V144" s="171">
        <v>250.01000000000002</v>
      </c>
      <c r="W144" s="171">
        <v>111.75</v>
      </c>
      <c r="X144" s="171">
        <v>79.650000000000006</v>
      </c>
      <c r="Y144" s="171">
        <v>67.400000000000006</v>
      </c>
      <c r="Z144" s="171">
        <v>60.24</v>
      </c>
      <c r="AA144" s="171">
        <v>46.45</v>
      </c>
      <c r="AB144" s="171">
        <v>400</v>
      </c>
      <c r="AC144" s="171">
        <v>60.24</v>
      </c>
      <c r="AD144" s="171">
        <v>39.51</v>
      </c>
      <c r="AF144" s="171">
        <f t="shared" si="8"/>
        <v>2006</v>
      </c>
      <c r="AG144" s="171">
        <f t="shared" si="9"/>
        <v>5</v>
      </c>
      <c r="AH144" s="700">
        <f>SUMIF(D$3:$AA144,"&lt;="&amp;$AH$1)/COUNTIF(D$3:$AA144,"&lt;="&amp;$AH$1)</f>
        <v>29.498345498783401</v>
      </c>
    </row>
    <row r="145" spans="2:34" x14ac:dyDescent="0.25">
      <c r="B145" s="910">
        <v>39029</v>
      </c>
      <c r="C145" s="581">
        <f t="shared" si="7"/>
        <v>11</v>
      </c>
      <c r="D145" s="171">
        <v>39</v>
      </c>
      <c r="E145" s="171">
        <v>35</v>
      </c>
      <c r="F145" s="171">
        <v>33.07</v>
      </c>
      <c r="G145" s="171">
        <v>30.5</v>
      </c>
      <c r="H145" s="171">
        <v>31.3</v>
      </c>
      <c r="I145" s="171">
        <v>38.11</v>
      </c>
      <c r="J145" s="171">
        <v>56.93</v>
      </c>
      <c r="K145" s="171">
        <v>79.7</v>
      </c>
      <c r="L145" s="171">
        <v>74.3</v>
      </c>
      <c r="M145" s="171">
        <v>77.5</v>
      </c>
      <c r="N145" s="171">
        <v>75.989999999999995</v>
      </c>
      <c r="O145" s="171">
        <v>77.8</v>
      </c>
      <c r="P145" s="171">
        <v>76.94</v>
      </c>
      <c r="Q145" s="171">
        <v>76.02</v>
      </c>
      <c r="R145" s="171">
        <v>72.400000000000006</v>
      </c>
      <c r="S145" s="171">
        <v>69</v>
      </c>
      <c r="T145" s="171">
        <v>70</v>
      </c>
      <c r="U145" s="171">
        <v>150</v>
      </c>
      <c r="V145" s="171">
        <v>175.66</v>
      </c>
      <c r="W145" s="171">
        <v>97</v>
      </c>
      <c r="X145" s="171">
        <v>71.210000000000008</v>
      </c>
      <c r="Y145" s="171">
        <v>59.47</v>
      </c>
      <c r="Z145" s="171">
        <v>54.88</v>
      </c>
      <c r="AA145" s="171">
        <v>47.26</v>
      </c>
      <c r="AB145" s="171">
        <v>175.66</v>
      </c>
      <c r="AC145" s="171">
        <v>54.88</v>
      </c>
      <c r="AD145" s="171">
        <v>38.9</v>
      </c>
      <c r="AF145" s="171">
        <f t="shared" si="8"/>
        <v>2006</v>
      </c>
      <c r="AG145" s="171">
        <f t="shared" si="9"/>
        <v>6</v>
      </c>
      <c r="AH145" s="700">
        <f>SUMIF(D$3:$AA145,"&lt;="&amp;$AH$1)/COUNTIF(D$3:$AA145,"&lt;="&amp;$AH$1)</f>
        <v>29.522550443906326</v>
      </c>
    </row>
    <row r="146" spans="2:34" x14ac:dyDescent="0.25">
      <c r="B146" s="910">
        <v>39030</v>
      </c>
      <c r="C146" s="581">
        <f t="shared" si="7"/>
        <v>11</v>
      </c>
      <c r="D146" s="171">
        <v>33</v>
      </c>
      <c r="E146" s="171">
        <v>27.13</v>
      </c>
      <c r="F146" s="171">
        <v>23.29</v>
      </c>
      <c r="G146" s="171">
        <v>20.11</v>
      </c>
      <c r="H146" s="171">
        <v>18.900000000000002</v>
      </c>
      <c r="I146" s="171">
        <v>29.66</v>
      </c>
      <c r="J146" s="171">
        <v>42.71</v>
      </c>
      <c r="K146" s="171">
        <v>67</v>
      </c>
      <c r="L146" s="171">
        <v>65.83</v>
      </c>
      <c r="M146" s="171">
        <v>69.09</v>
      </c>
      <c r="N146" s="171">
        <v>69.260000000000005</v>
      </c>
      <c r="O146" s="171">
        <v>69.69</v>
      </c>
      <c r="P146" s="171">
        <v>65</v>
      </c>
      <c r="Q146" s="171">
        <v>63.5</v>
      </c>
      <c r="R146" s="171">
        <v>64.59</v>
      </c>
      <c r="S146" s="171">
        <v>60.97</v>
      </c>
      <c r="T146" s="171">
        <v>62.5</v>
      </c>
      <c r="U146" s="171">
        <v>90</v>
      </c>
      <c r="V146" s="171">
        <v>115.23</v>
      </c>
      <c r="W146" s="171">
        <v>71.42</v>
      </c>
      <c r="X146" s="171">
        <v>72</v>
      </c>
      <c r="Y146" s="171">
        <v>49.800000000000004</v>
      </c>
      <c r="Z146" s="171">
        <v>45</v>
      </c>
      <c r="AA146" s="171">
        <v>48.22</v>
      </c>
      <c r="AB146" s="171">
        <v>115.23</v>
      </c>
      <c r="AC146" s="171">
        <v>45</v>
      </c>
      <c r="AD146" s="171">
        <v>30.38</v>
      </c>
      <c r="AF146" s="171">
        <f t="shared" si="8"/>
        <v>2006</v>
      </c>
      <c r="AG146" s="171">
        <f t="shared" si="9"/>
        <v>6</v>
      </c>
      <c r="AH146" s="700">
        <f>SUMIF(D$3:$AA146,"&lt;="&amp;$AH$1)/COUNTIF(D$3:$AA146,"&lt;="&amp;$AH$1)</f>
        <v>29.502433734939711</v>
      </c>
    </row>
    <row r="147" spans="2:34" x14ac:dyDescent="0.25">
      <c r="B147" s="910">
        <v>39031</v>
      </c>
      <c r="C147" s="581">
        <f t="shared" si="7"/>
        <v>11</v>
      </c>
      <c r="D147" s="171">
        <v>37.800000000000004</v>
      </c>
      <c r="E147" s="171">
        <v>34.6</v>
      </c>
      <c r="F147" s="171">
        <v>31.5</v>
      </c>
      <c r="G147" s="171">
        <v>28.5</v>
      </c>
      <c r="H147" s="171">
        <v>28.5</v>
      </c>
      <c r="I147" s="171">
        <v>35.160000000000004</v>
      </c>
      <c r="J147" s="171">
        <v>52.34</v>
      </c>
      <c r="K147" s="171">
        <v>75.5</v>
      </c>
      <c r="L147" s="171">
        <v>85.19</v>
      </c>
      <c r="M147" s="171">
        <v>88.2</v>
      </c>
      <c r="N147" s="171">
        <v>87.02</v>
      </c>
      <c r="O147" s="171">
        <v>87.5</v>
      </c>
      <c r="P147" s="171">
        <v>81</v>
      </c>
      <c r="Q147" s="171">
        <v>80.5</v>
      </c>
      <c r="R147" s="171">
        <v>76.7</v>
      </c>
      <c r="S147" s="171">
        <v>72.23</v>
      </c>
      <c r="T147" s="171">
        <v>78.5</v>
      </c>
      <c r="U147" s="171">
        <v>119</v>
      </c>
      <c r="V147" s="171">
        <v>139.81</v>
      </c>
      <c r="W147" s="171">
        <v>90.5</v>
      </c>
      <c r="X147" s="171">
        <v>68.7</v>
      </c>
      <c r="Y147" s="171">
        <v>58.1</v>
      </c>
      <c r="Z147" s="171">
        <v>54.34</v>
      </c>
      <c r="AA147" s="171">
        <v>43</v>
      </c>
      <c r="AB147" s="171">
        <v>139.81</v>
      </c>
      <c r="AC147" s="171">
        <v>54.34</v>
      </c>
      <c r="AD147" s="171">
        <v>36.42</v>
      </c>
      <c r="AF147" s="171">
        <f t="shared" si="8"/>
        <v>2006</v>
      </c>
      <c r="AG147" s="171">
        <f t="shared" si="9"/>
        <v>6</v>
      </c>
      <c r="AH147" s="700">
        <f>SUMIF(D$3:$AA147,"&lt;="&amp;$AH$1)/COUNTIF(D$3:$AA147,"&lt;="&amp;$AH$1)</f>
        <v>29.517657873700994</v>
      </c>
    </row>
    <row r="148" spans="2:34" x14ac:dyDescent="0.25">
      <c r="B148" s="910">
        <v>39034</v>
      </c>
      <c r="C148" s="581">
        <f t="shared" si="7"/>
        <v>11</v>
      </c>
      <c r="D148" s="171">
        <v>30</v>
      </c>
      <c r="E148" s="171">
        <v>24.63</v>
      </c>
      <c r="F148" s="171">
        <v>23.12</v>
      </c>
      <c r="G148" s="171">
        <v>20.740000000000002</v>
      </c>
      <c r="H148" s="171">
        <v>21</v>
      </c>
      <c r="I148" s="171">
        <v>24.64</v>
      </c>
      <c r="J148" s="171">
        <v>30.400000000000002</v>
      </c>
      <c r="K148" s="171">
        <v>63.77</v>
      </c>
      <c r="L148" s="171">
        <v>70.03</v>
      </c>
      <c r="M148" s="171">
        <v>75</v>
      </c>
      <c r="N148" s="171">
        <v>71.92</v>
      </c>
      <c r="O148" s="171">
        <v>70.02</v>
      </c>
      <c r="P148" s="171">
        <v>68.010000000000005</v>
      </c>
      <c r="Q148" s="171">
        <v>70</v>
      </c>
      <c r="R148" s="171">
        <v>67.599999999999994</v>
      </c>
      <c r="S148" s="171">
        <v>66.510000000000005</v>
      </c>
      <c r="T148" s="171">
        <v>70.22</v>
      </c>
      <c r="U148" s="171">
        <v>84.84</v>
      </c>
      <c r="V148" s="171">
        <v>90</v>
      </c>
      <c r="W148" s="171">
        <v>75.010000000000005</v>
      </c>
      <c r="X148" s="171">
        <v>66.040000000000006</v>
      </c>
      <c r="Y148" s="171">
        <v>54.94</v>
      </c>
      <c r="Z148" s="171">
        <v>51.76</v>
      </c>
      <c r="AA148" s="171">
        <v>39.22</v>
      </c>
      <c r="AB148" s="171">
        <v>90</v>
      </c>
      <c r="AC148" s="171">
        <v>51.76</v>
      </c>
      <c r="AD148" s="171">
        <v>26.72</v>
      </c>
      <c r="AF148" s="171">
        <f t="shared" si="8"/>
        <v>2006</v>
      </c>
      <c r="AG148" s="171">
        <f t="shared" si="9"/>
        <v>8</v>
      </c>
      <c r="AH148" s="700">
        <f>SUMIF(D$3:$AA148,"&lt;="&amp;$AH$1)/COUNTIF(D$3:$AA148,"&lt;="&amp;$AH$1)</f>
        <v>29.499872915011871</v>
      </c>
    </row>
    <row r="149" spans="2:34" x14ac:dyDescent="0.25">
      <c r="B149" s="910">
        <v>39035</v>
      </c>
      <c r="C149" s="581">
        <f t="shared" si="7"/>
        <v>11</v>
      </c>
      <c r="D149" s="171">
        <v>32.480000000000004</v>
      </c>
      <c r="E149" s="171">
        <v>28.86</v>
      </c>
      <c r="F149" s="171">
        <v>27.27</v>
      </c>
      <c r="G149" s="171">
        <v>23.400000000000002</v>
      </c>
      <c r="H149" s="171">
        <v>22</v>
      </c>
      <c r="I149" s="171">
        <v>29.7</v>
      </c>
      <c r="J149" s="171">
        <v>39.36</v>
      </c>
      <c r="K149" s="171">
        <v>65</v>
      </c>
      <c r="L149" s="171">
        <v>71.64</v>
      </c>
      <c r="M149" s="171">
        <v>73.180000000000007</v>
      </c>
      <c r="N149" s="171">
        <v>73.3</v>
      </c>
      <c r="O149" s="171">
        <v>76</v>
      </c>
      <c r="P149" s="171">
        <v>72.97</v>
      </c>
      <c r="Q149" s="171">
        <v>68</v>
      </c>
      <c r="R149" s="171">
        <v>64.67</v>
      </c>
      <c r="S149" s="171">
        <v>64</v>
      </c>
      <c r="T149" s="171">
        <v>69.17</v>
      </c>
      <c r="U149" s="171">
        <v>115.38</v>
      </c>
      <c r="V149" s="171">
        <v>110.2</v>
      </c>
      <c r="W149" s="171">
        <v>81.400000000000006</v>
      </c>
      <c r="X149" s="171">
        <v>67.5</v>
      </c>
      <c r="Y149" s="171">
        <v>55.9</v>
      </c>
      <c r="Z149" s="171">
        <v>49.5</v>
      </c>
      <c r="AA149" s="171">
        <v>39</v>
      </c>
      <c r="AB149" s="171">
        <v>115.38</v>
      </c>
      <c r="AC149" s="171">
        <v>49.5</v>
      </c>
      <c r="AD149" s="171">
        <v>30.26</v>
      </c>
      <c r="AF149" s="171">
        <f t="shared" si="8"/>
        <v>2006</v>
      </c>
      <c r="AG149" s="171">
        <f t="shared" si="9"/>
        <v>8</v>
      </c>
      <c r="AH149" s="700">
        <f>SUMIF(D$3:$AA149,"&lt;="&amp;$AH$1)/COUNTIF(D$3:$AA149,"&lt;="&amp;$AH$1)</f>
        <v>29.504664561957338</v>
      </c>
    </row>
    <row r="150" spans="2:34" x14ac:dyDescent="0.25">
      <c r="B150" s="910">
        <v>39036</v>
      </c>
      <c r="C150" s="581">
        <f t="shared" si="7"/>
        <v>11</v>
      </c>
      <c r="D150" s="171">
        <v>28.7</v>
      </c>
      <c r="E150" s="171">
        <v>25.900000000000002</v>
      </c>
      <c r="F150" s="171">
        <v>23.21</v>
      </c>
      <c r="G150" s="171">
        <v>17.900000000000002</v>
      </c>
      <c r="H150" s="171">
        <v>19.75</v>
      </c>
      <c r="I150" s="171">
        <v>27.57</v>
      </c>
      <c r="J150" s="171">
        <v>36.65</v>
      </c>
      <c r="K150" s="171">
        <v>66.099999999999994</v>
      </c>
      <c r="L150" s="171">
        <v>70.010000000000005</v>
      </c>
      <c r="M150" s="171">
        <v>72.400000000000006</v>
      </c>
      <c r="N150" s="171">
        <v>73.7</v>
      </c>
      <c r="O150" s="171">
        <v>74.95</v>
      </c>
      <c r="P150" s="171">
        <v>71.7</v>
      </c>
      <c r="Q150" s="171">
        <v>73</v>
      </c>
      <c r="R150" s="171">
        <v>73.5</v>
      </c>
      <c r="S150" s="171">
        <v>71.040000000000006</v>
      </c>
      <c r="T150" s="171">
        <v>80.150000000000006</v>
      </c>
      <c r="U150" s="171">
        <v>175</v>
      </c>
      <c r="V150" s="171">
        <v>119.45</v>
      </c>
      <c r="W150" s="171">
        <v>83.4</v>
      </c>
      <c r="X150" s="171">
        <v>65.010000000000005</v>
      </c>
      <c r="Y150" s="171">
        <v>52.7</v>
      </c>
      <c r="Z150" s="171">
        <v>45.49</v>
      </c>
      <c r="AA150" s="171">
        <v>37.35</v>
      </c>
      <c r="AB150" s="171">
        <v>175</v>
      </c>
      <c r="AC150" s="171">
        <v>45.49</v>
      </c>
      <c r="AD150" s="171">
        <v>27.13</v>
      </c>
      <c r="AF150" s="171">
        <f t="shared" si="8"/>
        <v>2006</v>
      </c>
      <c r="AG150" s="171">
        <f t="shared" si="9"/>
        <v>8</v>
      </c>
      <c r="AH150" s="700">
        <f>SUMIF(D$3:$AA150,"&lt;="&amp;$AH$1)/COUNTIF(D$3:$AA150,"&lt;="&amp;$AH$1)</f>
        <v>29.489756862745054</v>
      </c>
    </row>
    <row r="151" spans="2:34" x14ac:dyDescent="0.25">
      <c r="B151" s="910">
        <v>39037</v>
      </c>
      <c r="C151" s="581">
        <f t="shared" si="7"/>
        <v>11</v>
      </c>
      <c r="D151" s="171">
        <v>30.04</v>
      </c>
      <c r="E151" s="171">
        <v>26.88</v>
      </c>
      <c r="F151" s="171">
        <v>23.81</v>
      </c>
      <c r="G151" s="171">
        <v>20.900000000000002</v>
      </c>
      <c r="H151" s="171">
        <v>20.45</v>
      </c>
      <c r="I151" s="171">
        <v>28.03</v>
      </c>
      <c r="J151" s="171">
        <v>35</v>
      </c>
      <c r="K151" s="171">
        <v>67.56</v>
      </c>
      <c r="L151" s="171">
        <v>70</v>
      </c>
      <c r="M151" s="171">
        <v>68.430000000000007</v>
      </c>
      <c r="N151" s="171">
        <v>68.900000000000006</v>
      </c>
      <c r="O151" s="171">
        <v>70.39</v>
      </c>
      <c r="P151" s="171">
        <v>68</v>
      </c>
      <c r="Q151" s="171">
        <v>68.88</v>
      </c>
      <c r="R151" s="171">
        <v>69</v>
      </c>
      <c r="S151" s="171">
        <v>69</v>
      </c>
      <c r="T151" s="171">
        <v>76</v>
      </c>
      <c r="U151" s="171">
        <v>175.01</v>
      </c>
      <c r="V151" s="171">
        <v>198</v>
      </c>
      <c r="W151" s="171">
        <v>86.100000000000009</v>
      </c>
      <c r="X151" s="171">
        <v>75</v>
      </c>
      <c r="Y151" s="171">
        <v>64</v>
      </c>
      <c r="Z151" s="171">
        <v>48</v>
      </c>
      <c r="AA151" s="171">
        <v>36.1</v>
      </c>
      <c r="AB151" s="171">
        <v>198</v>
      </c>
      <c r="AC151" s="171">
        <v>48</v>
      </c>
      <c r="AD151" s="171">
        <v>27.650000000000002</v>
      </c>
      <c r="AF151" s="171">
        <f t="shared" si="8"/>
        <v>2006</v>
      </c>
      <c r="AG151" s="171">
        <f t="shared" si="9"/>
        <v>8</v>
      </c>
      <c r="AH151" s="700">
        <f>SUMIF(D$3:$AA151,"&lt;="&amp;$AH$1)/COUNTIF(D$3:$AA151,"&lt;="&amp;$AH$1)</f>
        <v>29.478293063133233</v>
      </c>
    </row>
    <row r="152" spans="2:34" x14ac:dyDescent="0.25">
      <c r="B152" s="910">
        <v>39038</v>
      </c>
      <c r="C152" s="581">
        <f t="shared" si="7"/>
        <v>11</v>
      </c>
      <c r="D152" s="171">
        <v>31.59</v>
      </c>
      <c r="E152" s="171">
        <v>30</v>
      </c>
      <c r="F152" s="171">
        <v>26.400000000000002</v>
      </c>
      <c r="G152" s="171">
        <v>25.75</v>
      </c>
      <c r="H152" s="171">
        <v>22</v>
      </c>
      <c r="I152" s="171">
        <v>30.900000000000002</v>
      </c>
      <c r="J152" s="171">
        <v>39.300000000000004</v>
      </c>
      <c r="K152" s="171">
        <v>67</v>
      </c>
      <c r="L152" s="171">
        <v>71.5</v>
      </c>
      <c r="M152" s="171">
        <v>71.900000000000006</v>
      </c>
      <c r="N152" s="171">
        <v>74.7</v>
      </c>
      <c r="O152" s="171">
        <v>74.2</v>
      </c>
      <c r="P152" s="171">
        <v>65.7</v>
      </c>
      <c r="Q152" s="171">
        <v>62</v>
      </c>
      <c r="R152" s="171">
        <v>57.4</v>
      </c>
      <c r="S152" s="171">
        <v>55</v>
      </c>
      <c r="T152" s="171">
        <v>58</v>
      </c>
      <c r="U152" s="171">
        <v>75.5</v>
      </c>
      <c r="V152" s="171">
        <v>75.400000000000006</v>
      </c>
      <c r="W152" s="171">
        <v>61.9</v>
      </c>
      <c r="X152" s="171">
        <v>49.09</v>
      </c>
      <c r="Y152" s="171">
        <v>38.300000000000004</v>
      </c>
      <c r="Z152" s="171">
        <v>38.24</v>
      </c>
      <c r="AA152" s="171">
        <v>31</v>
      </c>
      <c r="AB152" s="171">
        <v>75.5</v>
      </c>
      <c r="AC152" s="171">
        <v>38.24</v>
      </c>
      <c r="AD152" s="171">
        <v>29.62</v>
      </c>
      <c r="AF152" s="171">
        <f t="shared" si="8"/>
        <v>2006</v>
      </c>
      <c r="AG152" s="171">
        <f t="shared" si="9"/>
        <v>10</v>
      </c>
      <c r="AH152" s="700">
        <f>SUMIF(D$3:$AA152,"&lt;="&amp;$AH$1)/COUNTIF(D$3:$AA152,"&lt;="&amp;$AH$1)</f>
        <v>29.492753286929574</v>
      </c>
    </row>
    <row r="153" spans="2:34" x14ac:dyDescent="0.25">
      <c r="B153" s="910">
        <v>39041</v>
      </c>
      <c r="C153" s="581">
        <f t="shared" si="7"/>
        <v>11</v>
      </c>
      <c r="D153" s="171">
        <v>35.99</v>
      </c>
      <c r="E153" s="171">
        <v>25.400000000000002</v>
      </c>
      <c r="F153" s="171">
        <v>22.5</v>
      </c>
      <c r="G153" s="171">
        <v>20.400000000000002</v>
      </c>
      <c r="H153" s="171">
        <v>18.650000000000002</v>
      </c>
      <c r="I153" s="171">
        <v>28</v>
      </c>
      <c r="J153" s="171">
        <v>36.980000000000004</v>
      </c>
      <c r="K153" s="171">
        <v>81</v>
      </c>
      <c r="L153" s="171">
        <v>75.010000000000005</v>
      </c>
      <c r="M153" s="171">
        <v>75</v>
      </c>
      <c r="N153" s="171">
        <v>81</v>
      </c>
      <c r="O153" s="171">
        <v>85.01</v>
      </c>
      <c r="P153" s="171">
        <v>85.49</v>
      </c>
      <c r="Q153" s="171">
        <v>76.5</v>
      </c>
      <c r="R153" s="171">
        <v>84</v>
      </c>
      <c r="S153" s="171">
        <v>81.320000000000007</v>
      </c>
      <c r="T153" s="171">
        <v>83.25</v>
      </c>
      <c r="U153" s="171">
        <v>250</v>
      </c>
      <c r="V153" s="171">
        <v>400</v>
      </c>
      <c r="W153" s="171">
        <v>150</v>
      </c>
      <c r="X153" s="171">
        <v>85.01</v>
      </c>
      <c r="Y153" s="171">
        <v>60.01</v>
      </c>
      <c r="Z153" s="171">
        <v>50</v>
      </c>
      <c r="AA153" s="171">
        <v>55</v>
      </c>
      <c r="AB153" s="171">
        <v>400</v>
      </c>
      <c r="AC153" s="171">
        <v>50</v>
      </c>
      <c r="AD153" s="171">
        <v>30.36</v>
      </c>
      <c r="AF153" s="171">
        <f t="shared" si="8"/>
        <v>2006</v>
      </c>
      <c r="AG153" s="171">
        <f t="shared" si="9"/>
        <v>7</v>
      </c>
      <c r="AH153" s="700">
        <f>SUMIF(D$3:$AA153,"&lt;="&amp;$AH$1)/COUNTIF(D$3:$AA153,"&lt;="&amp;$AH$1)</f>
        <v>29.478499999999958</v>
      </c>
    </row>
    <row r="154" spans="2:34" x14ac:dyDescent="0.25">
      <c r="B154" s="910">
        <v>39042</v>
      </c>
      <c r="C154" s="581">
        <f t="shared" si="7"/>
        <v>11</v>
      </c>
      <c r="D154" s="171">
        <v>33.85</v>
      </c>
      <c r="E154" s="171">
        <v>31.720000000000002</v>
      </c>
      <c r="F154" s="171">
        <v>28</v>
      </c>
      <c r="G154" s="171">
        <v>22.900000000000002</v>
      </c>
      <c r="H154" s="171">
        <v>21.04</v>
      </c>
      <c r="I154" s="171">
        <v>31</v>
      </c>
      <c r="J154" s="171">
        <v>43</v>
      </c>
      <c r="K154" s="171">
        <v>75.010000000000005</v>
      </c>
      <c r="L154" s="171">
        <v>85.01</v>
      </c>
      <c r="M154" s="171">
        <v>100</v>
      </c>
      <c r="N154" s="171">
        <v>95.01</v>
      </c>
      <c r="O154" s="171">
        <v>95</v>
      </c>
      <c r="P154" s="171">
        <v>80</v>
      </c>
      <c r="Q154" s="171">
        <v>80</v>
      </c>
      <c r="R154" s="171">
        <v>79</v>
      </c>
      <c r="S154" s="171">
        <v>79.989999999999995</v>
      </c>
      <c r="T154" s="171">
        <v>125</v>
      </c>
      <c r="U154" s="171">
        <v>750</v>
      </c>
      <c r="V154" s="171">
        <v>150</v>
      </c>
      <c r="W154" s="171">
        <v>103.11</v>
      </c>
      <c r="X154" s="171">
        <v>77.5</v>
      </c>
      <c r="Y154" s="171">
        <v>61</v>
      </c>
      <c r="Z154" s="171">
        <v>55</v>
      </c>
      <c r="AA154" s="171">
        <v>45</v>
      </c>
      <c r="AB154" s="171">
        <v>750</v>
      </c>
      <c r="AC154" s="171">
        <v>55</v>
      </c>
      <c r="AD154" s="171">
        <v>32.06</v>
      </c>
      <c r="AF154" s="171">
        <f t="shared" si="8"/>
        <v>2006</v>
      </c>
      <c r="AG154" s="171">
        <f t="shared" si="9"/>
        <v>6</v>
      </c>
      <c r="AH154" s="700">
        <f>SUMIF(D$3:$AA154,"&lt;="&amp;$AH$1)/COUNTIF(D$3:$AA154,"&lt;="&amp;$AH$1)</f>
        <v>29.472098009188322</v>
      </c>
    </row>
    <row r="155" spans="2:34" x14ac:dyDescent="0.25">
      <c r="B155" s="910">
        <v>39043</v>
      </c>
      <c r="C155" s="581">
        <f t="shared" si="7"/>
        <v>11</v>
      </c>
      <c r="D155" s="171">
        <v>34.75</v>
      </c>
      <c r="E155" s="171">
        <v>31</v>
      </c>
      <c r="F155" s="171">
        <v>29</v>
      </c>
      <c r="G155" s="171">
        <v>28.990000000000002</v>
      </c>
      <c r="H155" s="171">
        <v>28.990000000000002</v>
      </c>
      <c r="I155" s="171">
        <v>33.79</v>
      </c>
      <c r="J155" s="171">
        <v>45</v>
      </c>
      <c r="K155" s="171">
        <v>80</v>
      </c>
      <c r="L155" s="171">
        <v>81.12</v>
      </c>
      <c r="M155" s="171">
        <v>89.99</v>
      </c>
      <c r="N155" s="171">
        <v>100</v>
      </c>
      <c r="O155" s="171">
        <v>100</v>
      </c>
      <c r="P155" s="171">
        <v>81</v>
      </c>
      <c r="Q155" s="171">
        <v>86.4</v>
      </c>
      <c r="R155" s="171">
        <v>89</v>
      </c>
      <c r="S155" s="171">
        <v>88.12</v>
      </c>
      <c r="T155" s="171">
        <v>250.1</v>
      </c>
      <c r="U155" s="171">
        <v>850</v>
      </c>
      <c r="V155" s="171">
        <v>180</v>
      </c>
      <c r="W155" s="171">
        <v>92</v>
      </c>
      <c r="X155" s="171">
        <v>72</v>
      </c>
      <c r="Y155" s="171">
        <v>54.730000000000004</v>
      </c>
      <c r="Z155" s="171">
        <v>51.99</v>
      </c>
      <c r="AA155" s="171">
        <v>41</v>
      </c>
      <c r="AB155" s="171">
        <v>850</v>
      </c>
      <c r="AC155" s="171">
        <v>45</v>
      </c>
      <c r="AD155" s="171">
        <v>34.07</v>
      </c>
      <c r="AF155" s="171">
        <f t="shared" si="8"/>
        <v>2006</v>
      </c>
      <c r="AG155" s="171">
        <f t="shared" si="9"/>
        <v>7</v>
      </c>
      <c r="AH155" s="700">
        <f>SUMIF(D$3:$AA155,"&lt;="&amp;$AH$1)/COUNTIF(D$3:$AA155,"&lt;="&amp;$AH$1)</f>
        <v>29.488255902513284</v>
      </c>
    </row>
    <row r="156" spans="2:34" x14ac:dyDescent="0.25">
      <c r="B156" s="910">
        <v>39044</v>
      </c>
      <c r="C156" s="581">
        <f t="shared" si="7"/>
        <v>11</v>
      </c>
      <c r="D156" s="171">
        <v>28.97</v>
      </c>
      <c r="E156" s="171">
        <v>25.86</v>
      </c>
      <c r="F156" s="171">
        <v>21.98</v>
      </c>
      <c r="G156" s="171">
        <v>21.86</v>
      </c>
      <c r="H156" s="171">
        <v>16</v>
      </c>
      <c r="I156" s="171">
        <v>26.03</v>
      </c>
      <c r="J156" s="171">
        <v>34</v>
      </c>
      <c r="K156" s="171">
        <v>53.5</v>
      </c>
      <c r="L156" s="171">
        <v>60</v>
      </c>
      <c r="M156" s="171">
        <v>61</v>
      </c>
      <c r="N156" s="171">
        <v>62</v>
      </c>
      <c r="O156" s="171">
        <v>62.13</v>
      </c>
      <c r="P156" s="171">
        <v>57.5</v>
      </c>
      <c r="Q156" s="171">
        <v>57.58</v>
      </c>
      <c r="R156" s="171">
        <v>57.86</v>
      </c>
      <c r="S156" s="171">
        <v>54.74</v>
      </c>
      <c r="T156" s="171">
        <v>80</v>
      </c>
      <c r="U156" s="171">
        <v>600</v>
      </c>
      <c r="V156" s="171">
        <v>100.12</v>
      </c>
      <c r="W156" s="171">
        <v>63.7</v>
      </c>
      <c r="X156" s="171">
        <v>54</v>
      </c>
      <c r="Y156" s="171">
        <v>43.69</v>
      </c>
      <c r="Z156" s="171">
        <v>35.410000000000004</v>
      </c>
      <c r="AA156" s="171">
        <v>30.09</v>
      </c>
      <c r="AB156" s="171">
        <v>600</v>
      </c>
      <c r="AC156" s="171">
        <v>34</v>
      </c>
      <c r="AD156" s="171">
        <v>25.6</v>
      </c>
      <c r="AF156" s="171">
        <f t="shared" si="8"/>
        <v>2006</v>
      </c>
      <c r="AG156" s="171">
        <f t="shared" si="9"/>
        <v>9</v>
      </c>
      <c r="AH156" s="700">
        <f>SUMIF(D$3:$AA156,"&lt;="&amp;$AH$1)/COUNTIF(D$3:$AA156,"&lt;="&amp;$AH$1)</f>
        <v>29.469198184568796</v>
      </c>
    </row>
    <row r="157" spans="2:34" x14ac:dyDescent="0.25">
      <c r="B157" s="910">
        <v>39045</v>
      </c>
      <c r="C157" s="581">
        <f t="shared" si="7"/>
        <v>11</v>
      </c>
      <c r="D157" s="171">
        <v>26.650000000000002</v>
      </c>
      <c r="E157" s="171">
        <v>23.93</v>
      </c>
      <c r="F157" s="171">
        <v>20</v>
      </c>
      <c r="G157" s="171">
        <v>16.71</v>
      </c>
      <c r="H157" s="171">
        <v>18.240000000000002</v>
      </c>
      <c r="I157" s="171">
        <v>23.990000000000002</v>
      </c>
      <c r="J157" s="171">
        <v>32.99</v>
      </c>
      <c r="K157" s="171">
        <v>59.39</v>
      </c>
      <c r="L157" s="171">
        <v>66.3</v>
      </c>
      <c r="M157" s="171">
        <v>66.099999999999994</v>
      </c>
      <c r="N157" s="171">
        <v>65.3</v>
      </c>
      <c r="O157" s="171">
        <v>70</v>
      </c>
      <c r="P157" s="171">
        <v>62.1</v>
      </c>
      <c r="Q157" s="171">
        <v>58.2</v>
      </c>
      <c r="R157" s="171">
        <v>54</v>
      </c>
      <c r="S157" s="171">
        <v>53</v>
      </c>
      <c r="T157" s="171">
        <v>56.800000000000004</v>
      </c>
      <c r="U157" s="171">
        <v>81.5</v>
      </c>
      <c r="V157" s="171">
        <v>70</v>
      </c>
      <c r="W157" s="171">
        <v>59.7</v>
      </c>
      <c r="X157" s="171">
        <v>48.5</v>
      </c>
      <c r="Y157" s="171">
        <v>38</v>
      </c>
      <c r="Z157" s="171">
        <v>39</v>
      </c>
      <c r="AA157" s="171">
        <v>32.29</v>
      </c>
      <c r="AB157" s="171">
        <v>81.5</v>
      </c>
      <c r="AC157" s="171">
        <v>32.99</v>
      </c>
      <c r="AD157" s="171">
        <v>24.35</v>
      </c>
      <c r="AF157" s="171">
        <f t="shared" si="8"/>
        <v>2006</v>
      </c>
      <c r="AG157" s="171">
        <f t="shared" si="9"/>
        <v>10</v>
      </c>
      <c r="AH157" s="700">
        <f>SUMIF(D$3:$AA157,"&lt;="&amp;$AH$1)/COUNTIF(D$3:$AA157,"&lt;="&amp;$AH$1)</f>
        <v>29.45201201201197</v>
      </c>
    </row>
    <row r="158" spans="2:34" x14ac:dyDescent="0.25">
      <c r="B158" s="910">
        <v>39048</v>
      </c>
      <c r="C158" s="581">
        <f t="shared" si="7"/>
        <v>11</v>
      </c>
      <c r="D158" s="171">
        <v>28</v>
      </c>
      <c r="E158" s="171">
        <v>29.330000000000002</v>
      </c>
      <c r="F158" s="171">
        <v>24.5</v>
      </c>
      <c r="G158" s="171">
        <v>25.89</v>
      </c>
      <c r="H158" s="171">
        <v>11.6</v>
      </c>
      <c r="I158" s="171">
        <v>23</v>
      </c>
      <c r="J158" s="171">
        <v>30.400000000000002</v>
      </c>
      <c r="K158" s="171">
        <v>68.69</v>
      </c>
      <c r="L158" s="171">
        <v>71</v>
      </c>
      <c r="M158" s="171">
        <v>70</v>
      </c>
      <c r="N158" s="171">
        <v>71</v>
      </c>
      <c r="O158" s="171">
        <v>70</v>
      </c>
      <c r="P158" s="171">
        <v>64</v>
      </c>
      <c r="Q158" s="171">
        <v>64</v>
      </c>
      <c r="R158" s="171">
        <v>64.88</v>
      </c>
      <c r="S158" s="171">
        <v>62.88</v>
      </c>
      <c r="T158" s="171">
        <v>64.930000000000007</v>
      </c>
      <c r="U158" s="171">
        <v>86.13</v>
      </c>
      <c r="V158" s="171">
        <v>73.56</v>
      </c>
      <c r="W158" s="171">
        <v>64</v>
      </c>
      <c r="X158" s="171">
        <v>65.44</v>
      </c>
      <c r="Y158" s="171">
        <v>40.880000000000003</v>
      </c>
      <c r="Z158" s="171">
        <v>41.69</v>
      </c>
      <c r="AA158" s="171">
        <v>38.410000000000004</v>
      </c>
      <c r="AB158" s="171">
        <v>86.13</v>
      </c>
      <c r="AC158" s="171">
        <v>30.400000000000002</v>
      </c>
      <c r="AD158" s="171">
        <v>26.39</v>
      </c>
      <c r="AF158" s="171">
        <f t="shared" si="8"/>
        <v>2006</v>
      </c>
      <c r="AG158" s="171">
        <f t="shared" si="9"/>
        <v>10</v>
      </c>
      <c r="AH158" s="700">
        <f>SUMIF(D$3:$AA158,"&lt;="&amp;$AH$1)/COUNTIF(D$3:$AA158,"&lt;="&amp;$AH$1)</f>
        <v>29.451400894187742</v>
      </c>
    </row>
    <row r="159" spans="2:34" x14ac:dyDescent="0.25">
      <c r="B159" s="910">
        <v>39049</v>
      </c>
      <c r="C159" s="581">
        <f t="shared" si="7"/>
        <v>11</v>
      </c>
      <c r="D159" s="171">
        <v>31.7</v>
      </c>
      <c r="E159" s="171">
        <v>30</v>
      </c>
      <c r="F159" s="171">
        <v>25.5</v>
      </c>
      <c r="G159" s="171">
        <v>23.6</v>
      </c>
      <c r="H159" s="171">
        <v>23</v>
      </c>
      <c r="I159" s="171">
        <v>27</v>
      </c>
      <c r="J159" s="171">
        <v>36.96</v>
      </c>
      <c r="K159" s="171">
        <v>61.92</v>
      </c>
      <c r="L159" s="171">
        <v>70.600000000000009</v>
      </c>
      <c r="M159" s="171">
        <v>71</v>
      </c>
      <c r="N159" s="171">
        <v>71</v>
      </c>
      <c r="O159" s="171">
        <v>73</v>
      </c>
      <c r="P159" s="171">
        <v>68</v>
      </c>
      <c r="Q159" s="171">
        <v>69.17</v>
      </c>
      <c r="R159" s="171">
        <v>66.849999999999994</v>
      </c>
      <c r="S159" s="171">
        <v>64.900000000000006</v>
      </c>
      <c r="T159" s="171">
        <v>69.89</v>
      </c>
      <c r="U159" s="171">
        <v>97.8</v>
      </c>
      <c r="V159" s="171">
        <v>95.01</v>
      </c>
      <c r="W159" s="171">
        <v>74.400000000000006</v>
      </c>
      <c r="X159" s="171">
        <v>54.99</v>
      </c>
      <c r="Y159" s="171">
        <v>43.78</v>
      </c>
      <c r="Z159" s="171">
        <v>41.89</v>
      </c>
      <c r="AA159" s="171">
        <v>35.5</v>
      </c>
      <c r="AB159" s="171">
        <v>97.8</v>
      </c>
      <c r="AC159" s="171">
        <v>36.96</v>
      </c>
      <c r="AD159" s="171">
        <v>29.16</v>
      </c>
      <c r="AF159" s="171">
        <f t="shared" si="8"/>
        <v>2006</v>
      </c>
      <c r="AG159" s="171">
        <f t="shared" si="9"/>
        <v>9</v>
      </c>
      <c r="AH159" s="700">
        <f>SUMIF(D$3:$AA159,"&lt;="&amp;$AH$1)/COUNTIF(D$3:$AA159,"&lt;="&amp;$AH$1)</f>
        <v>29.4588675055514</v>
      </c>
    </row>
    <row r="160" spans="2:34" x14ac:dyDescent="0.25">
      <c r="B160" s="910">
        <v>39050</v>
      </c>
      <c r="C160" s="581">
        <f t="shared" si="7"/>
        <v>11</v>
      </c>
      <c r="D160" s="171">
        <v>28.5</v>
      </c>
      <c r="E160" s="171">
        <v>30.990000000000002</v>
      </c>
      <c r="F160" s="171">
        <v>25.39</v>
      </c>
      <c r="G160" s="171">
        <v>23.5</v>
      </c>
      <c r="H160" s="171">
        <v>23.18</v>
      </c>
      <c r="I160" s="171">
        <v>27.400000000000002</v>
      </c>
      <c r="J160" s="171">
        <v>34</v>
      </c>
      <c r="K160" s="171">
        <v>63.300000000000004</v>
      </c>
      <c r="L160" s="171">
        <v>67.239999999999995</v>
      </c>
      <c r="M160" s="171">
        <v>67.73</v>
      </c>
      <c r="N160" s="171">
        <v>68.5</v>
      </c>
      <c r="O160" s="171">
        <v>70</v>
      </c>
      <c r="P160" s="171">
        <v>67</v>
      </c>
      <c r="Q160" s="171">
        <v>66.099999999999994</v>
      </c>
      <c r="R160" s="171">
        <v>65</v>
      </c>
      <c r="S160" s="171">
        <v>63.800000000000004</v>
      </c>
      <c r="T160" s="171">
        <v>72.5</v>
      </c>
      <c r="U160" s="171">
        <v>95.01</v>
      </c>
      <c r="V160" s="171">
        <v>79.89</v>
      </c>
      <c r="W160" s="171">
        <v>64.11</v>
      </c>
      <c r="X160" s="171">
        <v>51.56</v>
      </c>
      <c r="Y160" s="171">
        <v>40.76</v>
      </c>
      <c r="Z160" s="171">
        <v>39.730000000000004</v>
      </c>
      <c r="AA160" s="171">
        <v>33.71</v>
      </c>
      <c r="AB160" s="171">
        <v>95.01</v>
      </c>
      <c r="AC160" s="171">
        <v>34</v>
      </c>
      <c r="AD160" s="171">
        <v>28.330000000000002</v>
      </c>
      <c r="AF160" s="171">
        <f t="shared" si="8"/>
        <v>2006</v>
      </c>
      <c r="AG160" s="171">
        <f t="shared" si="9"/>
        <v>10</v>
      </c>
      <c r="AH160" s="700">
        <f>SUMIF(D$3:$AA160,"&lt;="&amp;$AH$1)/COUNTIF(D$3:$AA160,"&lt;="&amp;$AH$1)</f>
        <v>29.46810433504772</v>
      </c>
    </row>
    <row r="161" spans="2:34" x14ac:dyDescent="0.25">
      <c r="B161" s="910">
        <v>39051</v>
      </c>
      <c r="C161" s="581">
        <f t="shared" si="7"/>
        <v>11</v>
      </c>
      <c r="D161" s="171">
        <v>33.99</v>
      </c>
      <c r="E161" s="171">
        <v>31.01</v>
      </c>
      <c r="F161" s="171">
        <v>28.990000000000002</v>
      </c>
      <c r="G161" s="171">
        <v>24.3</v>
      </c>
      <c r="H161" s="171">
        <v>25.13</v>
      </c>
      <c r="I161" s="171">
        <v>33.910000000000004</v>
      </c>
      <c r="J161" s="171">
        <v>40</v>
      </c>
      <c r="K161" s="171">
        <v>69.7</v>
      </c>
      <c r="L161" s="171">
        <v>65.89</v>
      </c>
      <c r="M161" s="171">
        <v>65.83</v>
      </c>
      <c r="N161" s="171">
        <v>69</v>
      </c>
      <c r="O161" s="171">
        <v>69</v>
      </c>
      <c r="P161" s="171">
        <v>67.52</v>
      </c>
      <c r="Q161" s="171">
        <v>66.5</v>
      </c>
      <c r="R161" s="171">
        <v>67</v>
      </c>
      <c r="S161" s="171">
        <v>65.260000000000005</v>
      </c>
      <c r="T161" s="171">
        <v>73.5</v>
      </c>
      <c r="U161" s="171">
        <v>102.4</v>
      </c>
      <c r="V161" s="171">
        <v>84</v>
      </c>
      <c r="W161" s="171">
        <v>68</v>
      </c>
      <c r="X161" s="171">
        <v>57.99</v>
      </c>
      <c r="Y161" s="171">
        <v>46</v>
      </c>
      <c r="Z161" s="171">
        <v>43.68</v>
      </c>
      <c r="AA161" s="171">
        <v>38.76</v>
      </c>
      <c r="AB161" s="171">
        <v>102.4</v>
      </c>
      <c r="AC161" s="171">
        <v>40</v>
      </c>
      <c r="AD161" s="171">
        <v>30.02</v>
      </c>
      <c r="AF161" s="171">
        <f t="shared" si="8"/>
        <v>2006</v>
      </c>
      <c r="AG161" s="171">
        <f t="shared" si="9"/>
        <v>8</v>
      </c>
      <c r="AH161" s="700">
        <f>SUMIF(D$3:$AA161,"&lt;="&amp;$AH$1)/COUNTIF(D$3:$AA161,"&lt;="&amp;$AH$1)</f>
        <v>29.482965668371037</v>
      </c>
    </row>
    <row r="162" spans="2:34" x14ac:dyDescent="0.25">
      <c r="B162" s="910">
        <v>39052</v>
      </c>
      <c r="C162" s="581">
        <f t="shared" si="7"/>
        <v>12</v>
      </c>
      <c r="D162" s="171">
        <v>32</v>
      </c>
      <c r="E162" s="171">
        <v>29</v>
      </c>
      <c r="F162" s="171">
        <v>26</v>
      </c>
      <c r="G162" s="171">
        <v>22.11</v>
      </c>
      <c r="H162" s="171">
        <v>21.150000000000002</v>
      </c>
      <c r="I162" s="171">
        <v>27</v>
      </c>
      <c r="J162" s="171">
        <v>33.1</v>
      </c>
      <c r="K162" s="171">
        <v>59.74</v>
      </c>
      <c r="L162" s="171">
        <v>63</v>
      </c>
      <c r="M162" s="171">
        <v>63</v>
      </c>
      <c r="N162" s="171">
        <v>63</v>
      </c>
      <c r="O162" s="171">
        <v>63.09</v>
      </c>
      <c r="P162" s="171">
        <v>61.410000000000004</v>
      </c>
      <c r="Q162" s="171">
        <v>57.99</v>
      </c>
      <c r="R162" s="171">
        <v>54.2</v>
      </c>
      <c r="S162" s="171">
        <v>52</v>
      </c>
      <c r="T162" s="171">
        <v>59</v>
      </c>
      <c r="U162" s="171">
        <v>87.55</v>
      </c>
      <c r="V162" s="171">
        <v>69</v>
      </c>
      <c r="W162" s="171">
        <v>56</v>
      </c>
      <c r="X162" s="171">
        <v>45.99</v>
      </c>
      <c r="Y162" s="171">
        <v>37.04</v>
      </c>
      <c r="Z162" s="171">
        <v>37.869999999999997</v>
      </c>
      <c r="AA162" s="171">
        <v>32.910000000000004</v>
      </c>
      <c r="AB162" s="171">
        <v>87.55</v>
      </c>
      <c r="AC162" s="171">
        <v>33.1</v>
      </c>
      <c r="AD162" s="171">
        <v>27.91</v>
      </c>
      <c r="AF162" s="171">
        <f t="shared" si="8"/>
        <v>2006</v>
      </c>
      <c r="AG162" s="171">
        <f t="shared" si="9"/>
        <v>10</v>
      </c>
      <c r="AH162" s="700">
        <f>SUMIF(D$3:$AA162,"&lt;="&amp;$AH$1)/COUNTIF(D$3:$AA162,"&lt;="&amp;$AH$1)</f>
        <v>29.485395213923102</v>
      </c>
    </row>
    <row r="163" spans="2:34" x14ac:dyDescent="0.25">
      <c r="B163" s="910">
        <v>39055</v>
      </c>
      <c r="C163" s="581">
        <f t="shared" si="7"/>
        <v>12</v>
      </c>
      <c r="D163" s="171">
        <v>25.73</v>
      </c>
      <c r="E163" s="171">
        <v>17.71</v>
      </c>
      <c r="F163" s="171">
        <v>2.35</v>
      </c>
      <c r="G163" s="171">
        <v>2.15</v>
      </c>
      <c r="H163" s="171">
        <v>1.2</v>
      </c>
      <c r="I163" s="171">
        <v>12.6</v>
      </c>
      <c r="J163" s="171">
        <v>29.21</v>
      </c>
      <c r="K163" s="171">
        <v>49.84</v>
      </c>
      <c r="L163" s="171">
        <v>51.71</v>
      </c>
      <c r="M163" s="171">
        <v>51.71</v>
      </c>
      <c r="N163" s="171">
        <v>57.120000000000005</v>
      </c>
      <c r="O163" s="171">
        <v>55.120000000000005</v>
      </c>
      <c r="P163" s="171">
        <v>49.83</v>
      </c>
      <c r="Q163" s="171">
        <v>51.89</v>
      </c>
      <c r="R163" s="171">
        <v>53.120000000000005</v>
      </c>
      <c r="S163" s="171">
        <v>48.19</v>
      </c>
      <c r="T163" s="171">
        <v>60</v>
      </c>
      <c r="U163" s="171">
        <v>80</v>
      </c>
      <c r="V163" s="171">
        <v>65.010000000000005</v>
      </c>
      <c r="W163" s="171">
        <v>59.01</v>
      </c>
      <c r="X163" s="171">
        <v>48.25</v>
      </c>
      <c r="Y163" s="171">
        <v>32.29</v>
      </c>
      <c r="Z163" s="171">
        <v>33.56</v>
      </c>
      <c r="AA163" s="171">
        <v>28.92</v>
      </c>
      <c r="AB163" s="171">
        <v>80</v>
      </c>
      <c r="AC163" s="171">
        <v>29.21</v>
      </c>
      <c r="AD163" s="171">
        <v>14.98</v>
      </c>
      <c r="AF163" s="171">
        <f t="shared" si="8"/>
        <v>2006</v>
      </c>
      <c r="AG163" s="171">
        <f t="shared" si="9"/>
        <v>10</v>
      </c>
      <c r="AH163" s="700">
        <f>SUMIF(D$3:$AA163,"&lt;="&amp;$AH$1)/COUNTIF(D$3:$AA163,"&lt;="&amp;$AH$1)</f>
        <v>29.406825053995647</v>
      </c>
    </row>
    <row r="164" spans="2:34" x14ac:dyDescent="0.25">
      <c r="B164" s="910">
        <v>39056</v>
      </c>
      <c r="C164" s="581">
        <f t="shared" si="7"/>
        <v>12</v>
      </c>
      <c r="D164" s="171">
        <v>27.55</v>
      </c>
      <c r="E164" s="171">
        <v>25.5</v>
      </c>
      <c r="F164" s="171">
        <v>16.010000000000002</v>
      </c>
      <c r="G164" s="171">
        <v>14</v>
      </c>
      <c r="H164" s="171">
        <v>11</v>
      </c>
      <c r="I164" s="171">
        <v>14.66</v>
      </c>
      <c r="J164" s="171">
        <v>30.01</v>
      </c>
      <c r="K164" s="171">
        <v>49.84</v>
      </c>
      <c r="L164" s="171">
        <v>50</v>
      </c>
      <c r="M164" s="171">
        <v>50.01</v>
      </c>
      <c r="N164" s="171">
        <v>50.01</v>
      </c>
      <c r="O164" s="171">
        <v>50.17</v>
      </c>
      <c r="P164" s="171">
        <v>48.38</v>
      </c>
      <c r="Q164" s="171">
        <v>48.75</v>
      </c>
      <c r="R164" s="171">
        <v>47.04</v>
      </c>
      <c r="S164" s="171">
        <v>46.01</v>
      </c>
      <c r="T164" s="171">
        <v>55.04</v>
      </c>
      <c r="U164" s="171">
        <v>66</v>
      </c>
      <c r="V164" s="171">
        <v>64.14</v>
      </c>
      <c r="W164" s="171">
        <v>57.65</v>
      </c>
      <c r="X164" s="171">
        <v>49.84</v>
      </c>
      <c r="Y164" s="171">
        <v>33.65</v>
      </c>
      <c r="Z164" s="171">
        <v>38</v>
      </c>
      <c r="AA164" s="171">
        <v>34.15</v>
      </c>
      <c r="AB164" s="171">
        <v>66</v>
      </c>
      <c r="AC164" s="171">
        <v>30.01</v>
      </c>
      <c r="AD164" s="171">
        <v>21.61</v>
      </c>
      <c r="AF164" s="171">
        <f t="shared" si="8"/>
        <v>2006</v>
      </c>
      <c r="AG164" s="171">
        <f t="shared" si="9"/>
        <v>10</v>
      </c>
      <c r="AH164" s="700">
        <f>SUMIF(D$3:$AA164,"&lt;="&amp;$AH$1)/COUNTIF(D$3:$AA164,"&lt;="&amp;$AH$1)</f>
        <v>29.371415296640432</v>
      </c>
    </row>
    <row r="165" spans="2:34" x14ac:dyDescent="0.25">
      <c r="B165" s="910">
        <v>39057</v>
      </c>
      <c r="C165" s="581">
        <f t="shared" si="7"/>
        <v>12</v>
      </c>
      <c r="D165" s="171">
        <v>26.810000000000002</v>
      </c>
      <c r="E165" s="171">
        <v>17.8</v>
      </c>
      <c r="F165" s="171">
        <v>13.99</v>
      </c>
      <c r="G165" s="171">
        <v>12</v>
      </c>
      <c r="H165" s="171">
        <v>9.18</v>
      </c>
      <c r="I165" s="171">
        <v>16</v>
      </c>
      <c r="J165" s="171">
        <v>28</v>
      </c>
      <c r="K165" s="171">
        <v>53</v>
      </c>
      <c r="L165" s="171">
        <v>51.2</v>
      </c>
      <c r="M165" s="171">
        <v>53</v>
      </c>
      <c r="N165" s="171">
        <v>52.5</v>
      </c>
      <c r="O165" s="171">
        <v>52.5</v>
      </c>
      <c r="P165" s="171">
        <v>51</v>
      </c>
      <c r="Q165" s="171">
        <v>50.2</v>
      </c>
      <c r="R165" s="171">
        <v>48.800000000000004</v>
      </c>
      <c r="S165" s="171">
        <v>47.800000000000004</v>
      </c>
      <c r="T165" s="171">
        <v>57.5</v>
      </c>
      <c r="U165" s="171">
        <v>71.3</v>
      </c>
      <c r="V165" s="171">
        <v>66.73</v>
      </c>
      <c r="W165" s="171">
        <v>56.7</v>
      </c>
      <c r="X165" s="171">
        <v>52.300000000000004</v>
      </c>
      <c r="Y165" s="171">
        <v>39.910000000000004</v>
      </c>
      <c r="Z165" s="171">
        <v>34.99</v>
      </c>
      <c r="AA165" s="171">
        <v>29.54</v>
      </c>
      <c r="AB165" s="171">
        <v>71.3</v>
      </c>
      <c r="AC165" s="171">
        <v>28</v>
      </c>
      <c r="AD165" s="171">
        <v>19.16</v>
      </c>
      <c r="AF165" s="171">
        <f t="shared" si="8"/>
        <v>2006</v>
      </c>
      <c r="AG165" s="171">
        <f t="shared" si="9"/>
        <v>10</v>
      </c>
      <c r="AH165" s="700">
        <f>SUMIF(D$3:$AA165,"&lt;="&amp;$AH$1)/COUNTIF(D$3:$AA165,"&lt;="&amp;$AH$1)</f>
        <v>29.324932576295222</v>
      </c>
    </row>
    <row r="166" spans="2:34" x14ac:dyDescent="0.25">
      <c r="B166" s="910">
        <v>39058</v>
      </c>
      <c r="C166" s="581">
        <f t="shared" si="7"/>
        <v>12</v>
      </c>
      <c r="D166" s="171">
        <v>26.400000000000002</v>
      </c>
      <c r="E166" s="171">
        <v>19.010000000000002</v>
      </c>
      <c r="F166" s="171">
        <v>16</v>
      </c>
      <c r="G166" s="171">
        <v>12.700000000000001</v>
      </c>
      <c r="H166" s="171">
        <v>12.99</v>
      </c>
      <c r="I166" s="171">
        <v>19.990000000000002</v>
      </c>
      <c r="J166" s="171">
        <v>28.5</v>
      </c>
      <c r="K166" s="171">
        <v>53.1</v>
      </c>
      <c r="L166" s="171">
        <v>52.620000000000005</v>
      </c>
      <c r="M166" s="171">
        <v>52.99</v>
      </c>
      <c r="N166" s="171">
        <v>54.02</v>
      </c>
      <c r="O166" s="171">
        <v>54.52</v>
      </c>
      <c r="P166" s="171">
        <v>51.2</v>
      </c>
      <c r="Q166" s="171">
        <v>50.19</v>
      </c>
      <c r="R166" s="171">
        <v>51.81</v>
      </c>
      <c r="S166" s="171">
        <v>49.63</v>
      </c>
      <c r="T166" s="171">
        <v>60</v>
      </c>
      <c r="U166" s="171">
        <v>70.010000000000005</v>
      </c>
      <c r="V166" s="171">
        <v>67.510000000000005</v>
      </c>
      <c r="W166" s="171">
        <v>60.160000000000004</v>
      </c>
      <c r="X166" s="171">
        <v>48.11</v>
      </c>
      <c r="Y166" s="171">
        <v>38</v>
      </c>
      <c r="Z166" s="171">
        <v>36.99</v>
      </c>
      <c r="AA166" s="171">
        <v>29</v>
      </c>
      <c r="AB166" s="171">
        <v>70.010000000000005</v>
      </c>
      <c r="AC166" s="171">
        <v>28.5</v>
      </c>
      <c r="AD166" s="171">
        <v>20.57</v>
      </c>
      <c r="AF166" s="171">
        <f t="shared" si="8"/>
        <v>2006</v>
      </c>
      <c r="AG166" s="171">
        <f t="shared" si="9"/>
        <v>10</v>
      </c>
      <c r="AH166" s="700">
        <f>SUMIF(D$3:$AA166,"&lt;="&amp;$AH$1)/COUNTIF(D$3:$AA166,"&lt;="&amp;$AH$1)</f>
        <v>29.28711064129666</v>
      </c>
    </row>
    <row r="167" spans="2:34" x14ac:dyDescent="0.25">
      <c r="B167" s="910">
        <v>39059</v>
      </c>
      <c r="C167" s="581">
        <f t="shared" si="7"/>
        <v>12</v>
      </c>
      <c r="D167" s="171">
        <v>25.990000000000002</v>
      </c>
      <c r="E167" s="171">
        <v>22.07</v>
      </c>
      <c r="F167" s="171">
        <v>17.059999999999999</v>
      </c>
      <c r="G167" s="171">
        <v>11.78</v>
      </c>
      <c r="H167" s="171">
        <v>14.200000000000001</v>
      </c>
      <c r="I167" s="171">
        <v>20</v>
      </c>
      <c r="J167" s="171">
        <v>27.63</v>
      </c>
      <c r="K167" s="171">
        <v>50</v>
      </c>
      <c r="L167" s="171">
        <v>51.09</v>
      </c>
      <c r="M167" s="171">
        <v>55</v>
      </c>
      <c r="N167" s="171">
        <v>56.11</v>
      </c>
      <c r="O167" s="171">
        <v>55.07</v>
      </c>
      <c r="P167" s="171">
        <v>51.1</v>
      </c>
      <c r="Q167" s="171">
        <v>48.81</v>
      </c>
      <c r="R167" s="171">
        <v>47.5</v>
      </c>
      <c r="S167" s="171">
        <v>46</v>
      </c>
      <c r="T167" s="171">
        <v>53.1</v>
      </c>
      <c r="U167" s="171">
        <v>70</v>
      </c>
      <c r="V167" s="171">
        <v>64.59</v>
      </c>
      <c r="W167" s="171">
        <v>55.6</v>
      </c>
      <c r="X167" s="171">
        <v>48.31</v>
      </c>
      <c r="Y167" s="171">
        <v>36.520000000000003</v>
      </c>
      <c r="Z167" s="171">
        <v>35.800000000000004</v>
      </c>
      <c r="AA167" s="171">
        <v>31.990000000000002</v>
      </c>
      <c r="AB167" s="171">
        <v>70</v>
      </c>
      <c r="AC167" s="171">
        <v>27.63</v>
      </c>
      <c r="AD167" s="171">
        <v>21.34</v>
      </c>
      <c r="AF167" s="171">
        <f t="shared" si="8"/>
        <v>2006</v>
      </c>
      <c r="AG167" s="171">
        <f t="shared" si="9"/>
        <v>10</v>
      </c>
      <c r="AH167" s="700">
        <f>SUMIF(D$3:$AA167,"&lt;="&amp;$AH$1)/COUNTIF(D$3:$AA167,"&lt;="&amp;$AH$1)</f>
        <v>29.252239328201501</v>
      </c>
    </row>
    <row r="168" spans="2:34" x14ac:dyDescent="0.25">
      <c r="B168" s="910">
        <v>39062</v>
      </c>
      <c r="C168" s="581">
        <f t="shared" si="7"/>
        <v>12</v>
      </c>
      <c r="D168" s="171">
        <v>15.99</v>
      </c>
      <c r="E168" s="171">
        <v>19.59</v>
      </c>
      <c r="F168" s="171">
        <v>17.89</v>
      </c>
      <c r="G168" s="171">
        <v>8.17</v>
      </c>
      <c r="H168" s="171">
        <v>8.17</v>
      </c>
      <c r="I168" s="171">
        <v>19.990000000000002</v>
      </c>
      <c r="J168" s="171">
        <v>25.8</v>
      </c>
      <c r="K168" s="171">
        <v>56.24</v>
      </c>
      <c r="L168" s="171">
        <v>50.17</v>
      </c>
      <c r="M168" s="171">
        <v>49.69</v>
      </c>
      <c r="N168" s="171">
        <v>52.79</v>
      </c>
      <c r="O168" s="171">
        <v>53.99</v>
      </c>
      <c r="P168" s="171">
        <v>49.88</v>
      </c>
      <c r="Q168" s="171">
        <v>53.2</v>
      </c>
      <c r="R168" s="171">
        <v>52</v>
      </c>
      <c r="S168" s="171">
        <v>50.58</v>
      </c>
      <c r="T168" s="171">
        <v>65</v>
      </c>
      <c r="U168" s="171">
        <v>110</v>
      </c>
      <c r="V168" s="171">
        <v>96.01</v>
      </c>
      <c r="W168" s="171">
        <v>69.400000000000006</v>
      </c>
      <c r="X168" s="171">
        <v>60</v>
      </c>
      <c r="Y168" s="171">
        <v>46.46</v>
      </c>
      <c r="Z168" s="171">
        <v>40.5</v>
      </c>
      <c r="AA168" s="171">
        <v>33.65</v>
      </c>
      <c r="AB168" s="171">
        <v>110</v>
      </c>
      <c r="AC168" s="171">
        <v>25.8</v>
      </c>
      <c r="AD168" s="171">
        <v>18.66</v>
      </c>
      <c r="AF168" s="171">
        <f t="shared" si="8"/>
        <v>2006</v>
      </c>
      <c r="AG168" s="171">
        <f t="shared" si="9"/>
        <v>9</v>
      </c>
      <c r="AH168" s="700">
        <f>SUMIF(D$3:$AA168,"&lt;="&amp;$AH$1)/COUNTIF(D$3:$AA168,"&lt;="&amp;$AH$1)</f>
        <v>29.201112656467274</v>
      </c>
    </row>
    <row r="169" spans="2:34" x14ac:dyDescent="0.25">
      <c r="B169" s="910">
        <v>39063</v>
      </c>
      <c r="C169" s="581">
        <f t="shared" si="7"/>
        <v>12</v>
      </c>
      <c r="D169" s="171">
        <v>32.31</v>
      </c>
      <c r="E169" s="171">
        <v>29.5</v>
      </c>
      <c r="F169" s="171">
        <v>27.990000000000002</v>
      </c>
      <c r="G169" s="171">
        <v>22</v>
      </c>
      <c r="H169" s="171">
        <v>20.400000000000002</v>
      </c>
      <c r="I169" s="171">
        <v>30</v>
      </c>
      <c r="J169" s="171">
        <v>34.65</v>
      </c>
      <c r="K169" s="171">
        <v>70</v>
      </c>
      <c r="L169" s="171">
        <v>68</v>
      </c>
      <c r="M169" s="171">
        <v>69.989999999999995</v>
      </c>
      <c r="N169" s="171">
        <v>68.86</v>
      </c>
      <c r="O169" s="171">
        <v>69</v>
      </c>
      <c r="P169" s="171">
        <v>64</v>
      </c>
      <c r="Q169" s="171">
        <v>69.040000000000006</v>
      </c>
      <c r="R169" s="171">
        <v>65.5</v>
      </c>
      <c r="S169" s="171">
        <v>67</v>
      </c>
      <c r="T169" s="171">
        <v>78.320000000000007</v>
      </c>
      <c r="U169" s="171">
        <v>91.600000000000009</v>
      </c>
      <c r="V169" s="171">
        <v>90.11</v>
      </c>
      <c r="W169" s="171">
        <v>77.010000000000005</v>
      </c>
      <c r="X169" s="171">
        <v>56.99</v>
      </c>
      <c r="Y169" s="171">
        <v>43.96</v>
      </c>
      <c r="Z169" s="171">
        <v>39</v>
      </c>
      <c r="AA169" s="171">
        <v>33.29</v>
      </c>
      <c r="AB169" s="171">
        <v>90.11</v>
      </c>
      <c r="AC169" s="171">
        <v>34.65</v>
      </c>
      <c r="AD169" s="171">
        <v>28.77</v>
      </c>
      <c r="AF169" s="171">
        <f t="shared" si="8"/>
        <v>2006</v>
      </c>
      <c r="AG169" s="171">
        <f t="shared" si="9"/>
        <v>9</v>
      </c>
      <c r="AH169" s="700">
        <f>SUMIF(D$3:$AA169,"&lt;="&amp;$AH$1)/COUNTIF(D$3:$AA169,"&lt;="&amp;$AH$1)</f>
        <v>29.205487214927395</v>
      </c>
    </row>
    <row r="170" spans="2:34" x14ac:dyDescent="0.25">
      <c r="B170" s="910">
        <v>39064</v>
      </c>
      <c r="C170" s="581">
        <f t="shared" si="7"/>
        <v>12</v>
      </c>
      <c r="D170" s="171">
        <v>33.480000000000004</v>
      </c>
      <c r="E170" s="171">
        <v>27.38</v>
      </c>
      <c r="F170" s="171">
        <v>21.01</v>
      </c>
      <c r="G170" s="171">
        <v>21.990000000000002</v>
      </c>
      <c r="H170" s="171">
        <v>21.14</v>
      </c>
      <c r="I170" s="171">
        <v>26</v>
      </c>
      <c r="J170" s="171">
        <v>31</v>
      </c>
      <c r="K170" s="171">
        <v>56.480000000000004</v>
      </c>
      <c r="L170" s="171">
        <v>58.99</v>
      </c>
      <c r="M170" s="171">
        <v>57.72</v>
      </c>
      <c r="N170" s="171">
        <v>58.99</v>
      </c>
      <c r="O170" s="171">
        <v>57.99</v>
      </c>
      <c r="P170" s="171">
        <v>54.67</v>
      </c>
      <c r="Q170" s="171">
        <v>53.01</v>
      </c>
      <c r="R170" s="171">
        <v>53.050000000000004</v>
      </c>
      <c r="S170" s="171">
        <v>52.01</v>
      </c>
      <c r="T170" s="171">
        <v>65.290000000000006</v>
      </c>
      <c r="U170" s="171">
        <v>76.72</v>
      </c>
      <c r="V170" s="171">
        <v>77</v>
      </c>
      <c r="W170" s="171">
        <v>63.71</v>
      </c>
      <c r="X170" s="171">
        <v>52</v>
      </c>
      <c r="Y170" s="171">
        <v>42.01</v>
      </c>
      <c r="Z170" s="171">
        <v>32.950000000000003</v>
      </c>
      <c r="AA170" s="171">
        <v>33.11</v>
      </c>
      <c r="AB170" s="171">
        <v>76.72</v>
      </c>
      <c r="AC170" s="171">
        <v>31</v>
      </c>
      <c r="AD170" s="171">
        <v>26.89</v>
      </c>
      <c r="AF170" s="171">
        <f t="shared" si="8"/>
        <v>2006</v>
      </c>
      <c r="AG170" s="171">
        <f t="shared" si="9"/>
        <v>10</v>
      </c>
      <c r="AH170" s="700">
        <f>SUMIF(D$3:$AA170,"&lt;="&amp;$AH$1)/COUNTIF(D$3:$AA170,"&lt;="&amp;$AH$1)</f>
        <v>29.204124914207231</v>
      </c>
    </row>
    <row r="171" spans="2:34" x14ac:dyDescent="0.25">
      <c r="B171" s="910">
        <v>39065</v>
      </c>
      <c r="C171" s="581">
        <f t="shared" si="7"/>
        <v>12</v>
      </c>
      <c r="D171" s="171">
        <v>27.75</v>
      </c>
      <c r="E171" s="171">
        <v>24.02</v>
      </c>
      <c r="F171" s="171">
        <v>21.52</v>
      </c>
      <c r="G171" s="171">
        <v>20.059999999999999</v>
      </c>
      <c r="H171" s="171">
        <v>17.05</v>
      </c>
      <c r="I171" s="171">
        <v>24</v>
      </c>
      <c r="J171" s="171">
        <v>29.92</v>
      </c>
      <c r="K171" s="171">
        <v>52</v>
      </c>
      <c r="L171" s="171">
        <v>51</v>
      </c>
      <c r="M171" s="171">
        <v>52.19</v>
      </c>
      <c r="N171" s="171">
        <v>51.11</v>
      </c>
      <c r="O171" s="171">
        <v>51.7</v>
      </c>
      <c r="P171" s="171">
        <v>43.88</v>
      </c>
      <c r="Q171" s="171">
        <v>49.6</v>
      </c>
      <c r="R171" s="171">
        <v>48.800000000000004</v>
      </c>
      <c r="S171" s="171">
        <v>47.6</v>
      </c>
      <c r="T171" s="171">
        <v>60</v>
      </c>
      <c r="U171" s="171">
        <v>74.91</v>
      </c>
      <c r="V171" s="171">
        <v>78.260000000000005</v>
      </c>
      <c r="W171" s="171">
        <v>62.83</v>
      </c>
      <c r="X171" s="171">
        <v>48.18</v>
      </c>
      <c r="Y171" s="171">
        <v>36</v>
      </c>
      <c r="Z171" s="171">
        <v>35.050000000000004</v>
      </c>
      <c r="AA171" s="171">
        <v>29.01</v>
      </c>
      <c r="AB171" s="171">
        <v>78.260000000000005</v>
      </c>
      <c r="AC171" s="171">
        <v>29.92</v>
      </c>
      <c r="AD171" s="171">
        <v>24.17</v>
      </c>
      <c r="AF171" s="171">
        <f t="shared" si="8"/>
        <v>2006</v>
      </c>
      <c r="AG171" s="171">
        <f t="shared" si="9"/>
        <v>10</v>
      </c>
      <c r="AH171" s="700">
        <f>SUMIF(D$3:$AA171,"&lt;="&amp;$AH$1)/COUNTIF(D$3:$AA171,"&lt;="&amp;$AH$1)</f>
        <v>29.185269256987006</v>
      </c>
    </row>
    <row r="172" spans="2:34" x14ac:dyDescent="0.25">
      <c r="B172" s="910">
        <v>39066</v>
      </c>
      <c r="C172" s="581">
        <f t="shared" si="7"/>
        <v>12</v>
      </c>
      <c r="D172" s="171">
        <v>28</v>
      </c>
      <c r="E172" s="171">
        <v>25.990000000000002</v>
      </c>
      <c r="F172" s="171">
        <v>22.490000000000002</v>
      </c>
      <c r="G172" s="171">
        <v>20.28</v>
      </c>
      <c r="H172" s="171">
        <v>15.200000000000001</v>
      </c>
      <c r="I172" s="171">
        <v>23.490000000000002</v>
      </c>
      <c r="J172" s="171">
        <v>33.92</v>
      </c>
      <c r="K172" s="171">
        <v>51</v>
      </c>
      <c r="L172" s="171">
        <v>52</v>
      </c>
      <c r="M172" s="171">
        <v>56</v>
      </c>
      <c r="N172" s="171">
        <v>59</v>
      </c>
      <c r="O172" s="171">
        <v>60.9</v>
      </c>
      <c r="P172" s="171">
        <v>58</v>
      </c>
      <c r="Q172" s="171">
        <v>56</v>
      </c>
      <c r="R172" s="171">
        <v>52.5</v>
      </c>
      <c r="S172" s="171">
        <v>50</v>
      </c>
      <c r="T172" s="171">
        <v>59.5</v>
      </c>
      <c r="U172" s="171">
        <v>70.2</v>
      </c>
      <c r="V172" s="171">
        <v>65.97</v>
      </c>
      <c r="W172" s="171">
        <v>59.4</v>
      </c>
      <c r="X172" s="171">
        <v>47.99</v>
      </c>
      <c r="Y172" s="171">
        <v>35.97</v>
      </c>
      <c r="Z172" s="171">
        <v>36.01</v>
      </c>
      <c r="AA172" s="171">
        <v>32.07</v>
      </c>
      <c r="AB172" s="171">
        <v>70.02</v>
      </c>
      <c r="AC172" s="171">
        <v>33.92</v>
      </c>
      <c r="AD172" s="171">
        <v>25.18</v>
      </c>
      <c r="AF172" s="171">
        <f t="shared" si="8"/>
        <v>2006</v>
      </c>
      <c r="AG172" s="171">
        <f t="shared" si="9"/>
        <v>10</v>
      </c>
      <c r="AH172" s="700">
        <f>SUMIF(D$3:$AA172,"&lt;="&amp;$AH$1)/COUNTIF(D$3:$AA172,"&lt;="&amp;$AH$1)</f>
        <v>29.172789438050053</v>
      </c>
    </row>
    <row r="173" spans="2:34" x14ac:dyDescent="0.25">
      <c r="B173" s="910">
        <v>39069</v>
      </c>
      <c r="C173" s="581">
        <f t="shared" si="7"/>
        <v>12</v>
      </c>
      <c r="D173" s="171">
        <v>28.89</v>
      </c>
      <c r="E173" s="171">
        <v>30.2</v>
      </c>
      <c r="F173" s="171">
        <v>28</v>
      </c>
      <c r="G173" s="171">
        <v>20.77</v>
      </c>
      <c r="H173" s="171">
        <v>20.91</v>
      </c>
      <c r="I173" s="171">
        <v>32.130000000000003</v>
      </c>
      <c r="J173" s="171">
        <v>37.81</v>
      </c>
      <c r="K173" s="171">
        <v>70</v>
      </c>
      <c r="L173" s="171">
        <v>76</v>
      </c>
      <c r="M173" s="171">
        <v>72</v>
      </c>
      <c r="N173" s="171">
        <v>75</v>
      </c>
      <c r="O173" s="171">
        <v>75</v>
      </c>
      <c r="P173" s="171">
        <v>75</v>
      </c>
      <c r="Q173" s="171">
        <v>80</v>
      </c>
      <c r="R173" s="171">
        <v>76</v>
      </c>
      <c r="S173" s="171">
        <v>77</v>
      </c>
      <c r="T173" s="171">
        <v>110</v>
      </c>
      <c r="U173" s="171">
        <v>230.34</v>
      </c>
      <c r="V173" s="171">
        <v>200</v>
      </c>
      <c r="W173" s="171">
        <v>100.10000000000001</v>
      </c>
      <c r="X173" s="171">
        <v>66</v>
      </c>
      <c r="Y173" s="171">
        <v>55.410000000000004</v>
      </c>
      <c r="Z173" s="171">
        <v>49.910000000000004</v>
      </c>
      <c r="AA173" s="171">
        <v>42.01</v>
      </c>
      <c r="AB173" s="171">
        <v>230.34</v>
      </c>
      <c r="AC173" s="171">
        <v>37.81</v>
      </c>
      <c r="AD173" s="171">
        <v>30.09</v>
      </c>
      <c r="AF173" s="171">
        <f t="shared" si="8"/>
        <v>2006</v>
      </c>
      <c r="AG173" s="171">
        <f t="shared" si="9"/>
        <v>8</v>
      </c>
      <c r="AH173" s="700">
        <f>SUMIF(D$3:$AA173,"&lt;="&amp;$AH$1)/COUNTIF(D$3:$AA173,"&lt;="&amp;$AH$1)</f>
        <v>29.177730639730587</v>
      </c>
    </row>
    <row r="174" spans="2:34" x14ac:dyDescent="0.25">
      <c r="B174" s="910">
        <v>39070</v>
      </c>
      <c r="C174" s="581">
        <f t="shared" si="7"/>
        <v>12</v>
      </c>
      <c r="D174" s="171">
        <v>34.28</v>
      </c>
      <c r="E174" s="171">
        <v>38</v>
      </c>
      <c r="F174" s="171">
        <v>35.32</v>
      </c>
      <c r="G174" s="171">
        <v>27.68</v>
      </c>
      <c r="H174" s="171">
        <v>24</v>
      </c>
      <c r="I174" s="171">
        <v>37</v>
      </c>
      <c r="J174" s="171">
        <v>48.01</v>
      </c>
      <c r="K174" s="171">
        <v>79.989999999999995</v>
      </c>
      <c r="L174" s="171">
        <v>82</v>
      </c>
      <c r="M174" s="171">
        <v>82.37</v>
      </c>
      <c r="N174" s="171">
        <v>85</v>
      </c>
      <c r="O174" s="171">
        <v>85</v>
      </c>
      <c r="P174" s="171">
        <v>82</v>
      </c>
      <c r="Q174" s="171">
        <v>82</v>
      </c>
      <c r="R174" s="171">
        <v>85</v>
      </c>
      <c r="S174" s="171">
        <v>79</v>
      </c>
      <c r="T174" s="171">
        <v>106.43</v>
      </c>
      <c r="U174" s="171">
        <v>190</v>
      </c>
      <c r="V174" s="171">
        <v>169.41</v>
      </c>
      <c r="W174" s="171">
        <v>93.64</v>
      </c>
      <c r="X174" s="171">
        <v>73</v>
      </c>
      <c r="Y174" s="171">
        <v>53.79</v>
      </c>
      <c r="Z174" s="171">
        <v>54.14</v>
      </c>
      <c r="AA174" s="171">
        <v>48.19</v>
      </c>
      <c r="AB174" s="171">
        <v>190</v>
      </c>
      <c r="AC174" s="171">
        <v>48.01</v>
      </c>
      <c r="AD174" s="171">
        <v>36.56</v>
      </c>
      <c r="AF174" s="171">
        <f t="shared" si="8"/>
        <v>2006</v>
      </c>
      <c r="AG174" s="171">
        <f t="shared" si="9"/>
        <v>6</v>
      </c>
      <c r="AH174" s="700">
        <f>SUMIF(D$3:$AA174,"&lt;="&amp;$AH$1)/COUNTIF(D$3:$AA174,"&lt;="&amp;$AH$1)</f>
        <v>29.19195841716963</v>
      </c>
    </row>
    <row r="175" spans="2:34" x14ac:dyDescent="0.25">
      <c r="B175" s="910">
        <v>39071</v>
      </c>
      <c r="C175" s="581">
        <f t="shared" si="7"/>
        <v>12</v>
      </c>
      <c r="D175" s="171">
        <v>33</v>
      </c>
      <c r="E175" s="171">
        <v>32.01</v>
      </c>
      <c r="F175" s="171">
        <v>30.01</v>
      </c>
      <c r="G175" s="171">
        <v>26.86</v>
      </c>
      <c r="H175" s="171">
        <v>25.85</v>
      </c>
      <c r="I175" s="171">
        <v>38</v>
      </c>
      <c r="J175" s="171">
        <v>42.4</v>
      </c>
      <c r="K175" s="171">
        <v>72.010000000000005</v>
      </c>
      <c r="L175" s="171">
        <v>68.989999999999995</v>
      </c>
      <c r="M175" s="171">
        <v>68.180000000000007</v>
      </c>
      <c r="N175" s="171">
        <v>68.88</v>
      </c>
      <c r="O175" s="171">
        <v>69.930000000000007</v>
      </c>
      <c r="P175" s="171">
        <v>69</v>
      </c>
      <c r="Q175" s="171">
        <v>69</v>
      </c>
      <c r="R175" s="171">
        <v>65.010000000000005</v>
      </c>
      <c r="S175" s="171">
        <v>65</v>
      </c>
      <c r="T175" s="171">
        <v>91.98</v>
      </c>
      <c r="U175" s="171">
        <v>141.5</v>
      </c>
      <c r="V175" s="171">
        <v>125.86</v>
      </c>
      <c r="W175" s="171">
        <v>85</v>
      </c>
      <c r="X175" s="171">
        <v>65</v>
      </c>
      <c r="Y175" s="171">
        <v>55.09</v>
      </c>
      <c r="Z175" s="171">
        <v>48.5</v>
      </c>
      <c r="AA175" s="171">
        <v>40.01</v>
      </c>
      <c r="AB175" s="171">
        <v>141.5</v>
      </c>
      <c r="AC175" s="171">
        <v>42.4</v>
      </c>
      <c r="AD175" s="171">
        <v>33.520000000000003</v>
      </c>
      <c r="AF175" s="171">
        <f t="shared" si="8"/>
        <v>2006</v>
      </c>
      <c r="AG175" s="171">
        <f t="shared" si="9"/>
        <v>8</v>
      </c>
      <c r="AH175" s="700">
        <f>SUMIF(D$3:$AA175,"&lt;="&amp;$AH$1)/COUNTIF(D$3:$AA175,"&lt;="&amp;$AH$1)</f>
        <v>29.215043362241445</v>
      </c>
    </row>
    <row r="176" spans="2:34" x14ac:dyDescent="0.25">
      <c r="B176" s="910">
        <v>39072</v>
      </c>
      <c r="C176" s="581">
        <f t="shared" si="7"/>
        <v>12</v>
      </c>
      <c r="D176" s="171">
        <v>38</v>
      </c>
      <c r="E176" s="171">
        <v>34.300000000000004</v>
      </c>
      <c r="F176" s="171">
        <v>31.13</v>
      </c>
      <c r="G176" s="171">
        <v>28.5</v>
      </c>
      <c r="H176" s="171">
        <v>26.55</v>
      </c>
      <c r="I176" s="171">
        <v>34.700000000000003</v>
      </c>
      <c r="J176" s="171">
        <v>48.19</v>
      </c>
      <c r="K176" s="171">
        <v>74.23</v>
      </c>
      <c r="L176" s="171">
        <v>70.5</v>
      </c>
      <c r="M176" s="171">
        <v>70.34</v>
      </c>
      <c r="N176" s="171">
        <v>69.41</v>
      </c>
      <c r="O176" s="171">
        <v>69.86</v>
      </c>
      <c r="P176" s="171">
        <v>67.38</v>
      </c>
      <c r="Q176" s="171">
        <v>67</v>
      </c>
      <c r="R176" s="171">
        <v>66.989999999999995</v>
      </c>
      <c r="S176" s="171">
        <v>63.870000000000005</v>
      </c>
      <c r="T176" s="171">
        <v>79.41</v>
      </c>
      <c r="U176" s="171">
        <v>115.5</v>
      </c>
      <c r="V176" s="171">
        <v>123.16</v>
      </c>
      <c r="W176" s="171">
        <v>90.320000000000007</v>
      </c>
      <c r="X176" s="171">
        <v>69</v>
      </c>
      <c r="Y176" s="171">
        <v>59.160000000000004</v>
      </c>
      <c r="Z176" s="171">
        <v>56.01</v>
      </c>
      <c r="AA176" s="171">
        <v>48.01</v>
      </c>
      <c r="AB176" s="171">
        <v>123.16</v>
      </c>
      <c r="AC176" s="171">
        <v>48.19</v>
      </c>
      <c r="AD176" s="171">
        <v>36.17</v>
      </c>
      <c r="AF176" s="171">
        <f t="shared" si="8"/>
        <v>2006</v>
      </c>
      <c r="AG176" s="171">
        <f t="shared" si="9"/>
        <v>6</v>
      </c>
      <c r="AH176" s="700">
        <f>SUMIF(D$3:$AA176,"&lt;="&amp;$AH$1)/COUNTIF(D$3:$AA176,"&lt;="&amp;$AH$1)</f>
        <v>29.22693023255809</v>
      </c>
    </row>
    <row r="177" spans="2:34" x14ac:dyDescent="0.25">
      <c r="B177" s="910">
        <v>39073</v>
      </c>
      <c r="C177" s="581">
        <f t="shared" si="7"/>
        <v>12</v>
      </c>
      <c r="D177" s="171">
        <v>35</v>
      </c>
      <c r="E177" s="171">
        <v>36.5</v>
      </c>
      <c r="F177" s="171">
        <v>34.5</v>
      </c>
      <c r="G177" s="171">
        <v>30</v>
      </c>
      <c r="H177" s="171">
        <v>24</v>
      </c>
      <c r="I177" s="171">
        <v>34</v>
      </c>
      <c r="J177" s="171">
        <v>42.09</v>
      </c>
      <c r="K177" s="171">
        <v>62</v>
      </c>
      <c r="L177" s="171">
        <v>65.34</v>
      </c>
      <c r="M177" s="171">
        <v>67.3</v>
      </c>
      <c r="N177" s="171">
        <v>67.3</v>
      </c>
      <c r="O177" s="171">
        <v>67</v>
      </c>
      <c r="P177" s="171">
        <v>63.1</v>
      </c>
      <c r="Q177" s="171">
        <v>59.71</v>
      </c>
      <c r="R177" s="171">
        <v>57.29</v>
      </c>
      <c r="S177" s="171">
        <v>55</v>
      </c>
      <c r="T177" s="171">
        <v>63.5</v>
      </c>
      <c r="U177" s="171">
        <v>78.31</v>
      </c>
      <c r="V177" s="171">
        <v>77.100000000000009</v>
      </c>
      <c r="W177" s="171">
        <v>63.13</v>
      </c>
      <c r="X177" s="171">
        <v>53.71</v>
      </c>
      <c r="Y177" s="171">
        <v>45.58</v>
      </c>
      <c r="Z177" s="171">
        <v>46.5</v>
      </c>
      <c r="AA177" s="171">
        <v>42.01</v>
      </c>
      <c r="AB177" s="171">
        <v>78.31</v>
      </c>
      <c r="AC177" s="171">
        <v>42.09</v>
      </c>
      <c r="AD177" s="171">
        <v>34.76</v>
      </c>
      <c r="AF177" s="171">
        <f t="shared" si="8"/>
        <v>2006</v>
      </c>
      <c r="AG177" s="171">
        <f t="shared" si="9"/>
        <v>8</v>
      </c>
      <c r="AH177" s="700">
        <f>SUMIF(D$3:$AA177,"&lt;="&amp;$AH$1)/COUNTIF(D$3:$AA177,"&lt;="&amp;$AH$1)</f>
        <v>29.25619960343683</v>
      </c>
    </row>
    <row r="178" spans="2:34" x14ac:dyDescent="0.25">
      <c r="B178" s="910">
        <v>39076</v>
      </c>
      <c r="C178" s="581">
        <f t="shared" si="7"/>
        <v>12</v>
      </c>
      <c r="D178" s="171">
        <v>28.91</v>
      </c>
      <c r="E178" s="171">
        <v>26.150000000000002</v>
      </c>
      <c r="F178" s="171">
        <v>19.559999999999999</v>
      </c>
      <c r="G178" s="171">
        <v>17.45</v>
      </c>
      <c r="H178" s="171">
        <v>17.11</v>
      </c>
      <c r="I178" s="171">
        <v>18.8</v>
      </c>
      <c r="J178" s="171">
        <v>10</v>
      </c>
      <c r="K178" s="171">
        <v>9.2100000000000009</v>
      </c>
      <c r="L178" s="171">
        <v>20.88</v>
      </c>
      <c r="M178" s="171">
        <v>25</v>
      </c>
      <c r="N178" s="171">
        <v>29.95</v>
      </c>
      <c r="O178" s="171">
        <v>33.9</v>
      </c>
      <c r="P178" s="171">
        <v>34.54</v>
      </c>
      <c r="Q178" s="171">
        <v>31.400000000000002</v>
      </c>
      <c r="R178" s="171">
        <v>26.240000000000002</v>
      </c>
      <c r="S178" s="171">
        <v>22</v>
      </c>
      <c r="T178" s="171">
        <v>27</v>
      </c>
      <c r="U178" s="171">
        <v>34.880000000000003</v>
      </c>
      <c r="V178" s="171">
        <v>44.9</v>
      </c>
      <c r="W178" s="171">
        <v>41</v>
      </c>
      <c r="X178" s="171">
        <v>38.9</v>
      </c>
      <c r="Y178" s="171">
        <v>39.31</v>
      </c>
      <c r="Z178" s="171">
        <v>44.99</v>
      </c>
      <c r="AA178" s="171">
        <v>32.43</v>
      </c>
      <c r="AB178" s="171">
        <v>44.9</v>
      </c>
      <c r="AC178" s="171">
        <v>9.2100000000000009</v>
      </c>
      <c r="AD178" s="171">
        <v>21.3</v>
      </c>
      <c r="AF178" s="171">
        <f t="shared" si="8"/>
        <v>2006</v>
      </c>
      <c r="AG178" s="171">
        <f t="shared" si="9"/>
        <v>22</v>
      </c>
      <c r="AH178" s="700">
        <f>SUMIF(D$3:$AA178,"&lt;="&amp;$AH$1)/COUNTIF(D$3:$AA178,"&lt;="&amp;$AH$1)</f>
        <v>29.217752442996691</v>
      </c>
    </row>
    <row r="179" spans="2:34" x14ac:dyDescent="0.25">
      <c r="B179" s="910">
        <v>39077</v>
      </c>
      <c r="C179" s="581">
        <f t="shared" si="7"/>
        <v>12</v>
      </c>
      <c r="D179" s="171">
        <v>28.11</v>
      </c>
      <c r="E179" s="171">
        <v>28.01</v>
      </c>
      <c r="F179" s="171">
        <v>23.95</v>
      </c>
      <c r="G179" s="171">
        <v>18</v>
      </c>
      <c r="H179" s="171">
        <v>14</v>
      </c>
      <c r="I179" s="171">
        <v>21.990000000000002</v>
      </c>
      <c r="J179" s="171">
        <v>23.89</v>
      </c>
      <c r="K179" s="171">
        <v>28.28</v>
      </c>
      <c r="L179" s="171">
        <v>29.34</v>
      </c>
      <c r="M179" s="171">
        <v>33.520000000000003</v>
      </c>
      <c r="N179" s="171">
        <v>42.39</v>
      </c>
      <c r="O179" s="171">
        <v>42.39</v>
      </c>
      <c r="P179" s="171">
        <v>37.01</v>
      </c>
      <c r="Q179" s="171">
        <v>34.58</v>
      </c>
      <c r="R179" s="171">
        <v>32</v>
      </c>
      <c r="S179" s="171">
        <v>32.18</v>
      </c>
      <c r="T179" s="171">
        <v>36.75</v>
      </c>
      <c r="U179" s="171">
        <v>48</v>
      </c>
      <c r="V179" s="171">
        <v>56.01</v>
      </c>
      <c r="W179" s="171">
        <v>53.51</v>
      </c>
      <c r="X179" s="171">
        <v>44.01</v>
      </c>
      <c r="Y179" s="171">
        <v>40.64</v>
      </c>
      <c r="Z179" s="171">
        <v>40.51</v>
      </c>
      <c r="AA179" s="171">
        <v>36.11</v>
      </c>
      <c r="AB179" s="171">
        <v>56.01</v>
      </c>
      <c r="AC179" s="171">
        <v>23.89</v>
      </c>
      <c r="AD179" s="171">
        <v>24.26</v>
      </c>
      <c r="AF179" s="171">
        <f t="shared" si="8"/>
        <v>2006</v>
      </c>
      <c r="AG179" s="171">
        <f t="shared" si="9"/>
        <v>20</v>
      </c>
      <c r="AH179" s="700">
        <f>SUMIF(D$3:$AA179,"&lt;="&amp;$AH$1)/COUNTIF(D$3:$AA179,"&lt;="&amp;$AH$1)</f>
        <v>29.243022508038528</v>
      </c>
    </row>
    <row r="180" spans="2:34" x14ac:dyDescent="0.25">
      <c r="B180" s="910">
        <v>39078</v>
      </c>
      <c r="C180" s="581">
        <f t="shared" si="7"/>
        <v>12</v>
      </c>
      <c r="D180" s="171">
        <v>39.700000000000003</v>
      </c>
      <c r="E180" s="171">
        <v>37.15</v>
      </c>
      <c r="F180" s="171">
        <v>31.48</v>
      </c>
      <c r="G180" s="171">
        <v>26.080000000000002</v>
      </c>
      <c r="H180" s="171">
        <v>24.78</v>
      </c>
      <c r="I180" s="171">
        <v>28.5</v>
      </c>
      <c r="J180" s="171">
        <v>26</v>
      </c>
      <c r="K180" s="171">
        <v>36</v>
      </c>
      <c r="L180" s="171">
        <v>49.99</v>
      </c>
      <c r="M180" s="171">
        <v>56.7</v>
      </c>
      <c r="N180" s="171">
        <v>57.410000000000004</v>
      </c>
      <c r="O180" s="171">
        <v>56.44</v>
      </c>
      <c r="P180" s="171">
        <v>61.22</v>
      </c>
      <c r="Q180" s="171">
        <v>60.42</v>
      </c>
      <c r="R180" s="171">
        <v>53.97</v>
      </c>
      <c r="S180" s="171">
        <v>50.03</v>
      </c>
      <c r="T180" s="171">
        <v>56.910000000000004</v>
      </c>
      <c r="U180" s="171">
        <v>66.5</v>
      </c>
      <c r="V180" s="171">
        <v>69.91</v>
      </c>
      <c r="W180" s="171">
        <v>63.71</v>
      </c>
      <c r="X180" s="171">
        <v>68.39</v>
      </c>
      <c r="Y180" s="171">
        <v>40</v>
      </c>
      <c r="Z180" s="171">
        <v>43</v>
      </c>
      <c r="AA180" s="171">
        <v>38</v>
      </c>
      <c r="AB180" s="171">
        <v>69.91</v>
      </c>
      <c r="AC180" s="171">
        <v>26</v>
      </c>
      <c r="AD180" s="171">
        <v>31.46</v>
      </c>
      <c r="AF180" s="171">
        <f t="shared" si="8"/>
        <v>2006</v>
      </c>
      <c r="AG180" s="171">
        <f t="shared" si="9"/>
        <v>10</v>
      </c>
      <c r="AH180" s="700">
        <f>SUMIF(D$3:$AA180,"&lt;="&amp;$AH$1)/COUNTIF(D$3:$AA180,"&lt;="&amp;$AH$1)</f>
        <v>29.265552715654898</v>
      </c>
    </row>
    <row r="181" spans="2:34" x14ac:dyDescent="0.25">
      <c r="B181" s="910">
        <v>39079</v>
      </c>
      <c r="C181" s="581">
        <f t="shared" si="7"/>
        <v>12</v>
      </c>
      <c r="D181" s="171">
        <v>35.08</v>
      </c>
      <c r="E181" s="171">
        <v>32.49</v>
      </c>
      <c r="F181" s="171">
        <v>29</v>
      </c>
      <c r="G181" s="171">
        <v>26.8</v>
      </c>
      <c r="H181" s="171">
        <v>20.21</v>
      </c>
      <c r="I181" s="171">
        <v>27.650000000000002</v>
      </c>
      <c r="J181" s="171">
        <v>30.45</v>
      </c>
      <c r="K181" s="171">
        <v>41.5</v>
      </c>
      <c r="L181" s="171">
        <v>38.75</v>
      </c>
      <c r="M181" s="171">
        <v>46.910000000000004</v>
      </c>
      <c r="N181" s="171">
        <v>48</v>
      </c>
      <c r="O181" s="171">
        <v>54</v>
      </c>
      <c r="P181" s="171">
        <v>54</v>
      </c>
      <c r="Q181" s="171">
        <v>53</v>
      </c>
      <c r="R181" s="171">
        <v>51</v>
      </c>
      <c r="S181" s="171">
        <v>49</v>
      </c>
      <c r="T181" s="171">
        <v>55.01</v>
      </c>
      <c r="U181" s="171">
        <v>71.59</v>
      </c>
      <c r="V181" s="171">
        <v>67.260000000000005</v>
      </c>
      <c r="W181" s="171">
        <v>60</v>
      </c>
      <c r="X181" s="171">
        <v>54</v>
      </c>
      <c r="Y181" s="171">
        <v>45.11</v>
      </c>
      <c r="Z181" s="171">
        <v>48.25</v>
      </c>
      <c r="AA181" s="171">
        <v>41.800000000000004</v>
      </c>
      <c r="AB181" s="171">
        <v>71.59</v>
      </c>
      <c r="AC181" s="171">
        <v>30.45</v>
      </c>
      <c r="AD181" s="171">
        <v>30.43</v>
      </c>
      <c r="AF181" s="171">
        <f t="shared" si="8"/>
        <v>2006</v>
      </c>
      <c r="AG181" s="171">
        <f t="shared" si="9"/>
        <v>10</v>
      </c>
      <c r="AH181" s="700">
        <f>SUMIF(D$3:$AA181,"&lt;="&amp;$AH$1)/COUNTIF(D$3:$AA181,"&lt;="&amp;$AH$1)</f>
        <v>29.285282539682488</v>
      </c>
    </row>
    <row r="182" spans="2:34" x14ac:dyDescent="0.25">
      <c r="B182" s="910">
        <v>39080</v>
      </c>
      <c r="C182" s="581">
        <f t="shared" si="7"/>
        <v>12</v>
      </c>
      <c r="D182" s="171">
        <v>34.11</v>
      </c>
      <c r="E182" s="171">
        <v>31</v>
      </c>
      <c r="F182" s="171">
        <v>28</v>
      </c>
      <c r="G182" s="171">
        <v>25.27</v>
      </c>
      <c r="H182" s="171">
        <v>25</v>
      </c>
      <c r="I182" s="171">
        <v>28</v>
      </c>
      <c r="J182" s="171">
        <v>27.89</v>
      </c>
      <c r="K182" s="171">
        <v>33.160000000000004</v>
      </c>
      <c r="L182" s="171">
        <v>40</v>
      </c>
      <c r="M182" s="171">
        <v>48.24</v>
      </c>
      <c r="N182" s="171">
        <v>50.050000000000004</v>
      </c>
      <c r="O182" s="171">
        <v>50.01</v>
      </c>
      <c r="P182" s="171">
        <v>48.49</v>
      </c>
      <c r="Q182" s="171">
        <v>40.79</v>
      </c>
      <c r="R182" s="171">
        <v>37.380000000000003</v>
      </c>
      <c r="S182" s="171">
        <v>36.980000000000004</v>
      </c>
      <c r="T182" s="171">
        <v>46</v>
      </c>
      <c r="U182" s="171">
        <v>53.01</v>
      </c>
      <c r="V182" s="171">
        <v>56.15</v>
      </c>
      <c r="W182" s="171">
        <v>54.99</v>
      </c>
      <c r="X182" s="171">
        <v>40.54</v>
      </c>
      <c r="Y182" s="171">
        <v>35</v>
      </c>
      <c r="Z182" s="171">
        <v>34.67</v>
      </c>
      <c r="AA182" s="171">
        <v>30.71</v>
      </c>
      <c r="AB182" s="171">
        <v>56.15</v>
      </c>
      <c r="AC182" s="171">
        <v>27.89</v>
      </c>
      <c r="AD182" s="171">
        <v>28.75</v>
      </c>
      <c r="AF182" s="171">
        <f t="shared" si="8"/>
        <v>2006</v>
      </c>
      <c r="AG182" s="171">
        <f t="shared" si="9"/>
        <v>16</v>
      </c>
      <c r="AH182" s="700">
        <f>SUMIF(D$3:$AA182,"&lt;="&amp;$AH$1)/COUNTIF(D$3:$AA182,"&lt;="&amp;$AH$1)</f>
        <v>29.322954116907553</v>
      </c>
    </row>
    <row r="183" spans="2:34" x14ac:dyDescent="0.25">
      <c r="B183" s="910">
        <v>39083</v>
      </c>
      <c r="C183" s="581">
        <f t="shared" si="7"/>
        <v>1</v>
      </c>
      <c r="D183" s="171">
        <v>24.310000000000002</v>
      </c>
      <c r="E183" s="171">
        <v>24.310000000000002</v>
      </c>
      <c r="F183" s="171">
        <v>21.71</v>
      </c>
      <c r="G183" s="171">
        <v>8.42</v>
      </c>
      <c r="H183" s="171">
        <v>0.01</v>
      </c>
      <c r="I183" s="171">
        <v>0.01</v>
      </c>
      <c r="J183" s="171">
        <v>0.01</v>
      </c>
      <c r="K183" s="171">
        <v>0.01</v>
      </c>
      <c r="L183" s="171">
        <v>0.01</v>
      </c>
      <c r="M183" s="171">
        <v>6.3100000000000005</v>
      </c>
      <c r="N183" s="171">
        <v>7.8100000000000005</v>
      </c>
      <c r="O183" s="171">
        <v>9.31</v>
      </c>
      <c r="P183" s="171">
        <v>21.7</v>
      </c>
      <c r="Q183" s="171">
        <v>14.01</v>
      </c>
      <c r="R183" s="171">
        <v>15</v>
      </c>
      <c r="S183" s="171">
        <v>10</v>
      </c>
      <c r="T183" s="171">
        <v>8.17</v>
      </c>
      <c r="U183" s="171">
        <v>27.77</v>
      </c>
      <c r="V183" s="171">
        <v>37.99</v>
      </c>
      <c r="W183" s="171">
        <v>33.11</v>
      </c>
      <c r="X183" s="171">
        <v>37.99</v>
      </c>
      <c r="Y183" s="171">
        <v>33</v>
      </c>
      <c r="Z183" s="171">
        <v>36.480000000000004</v>
      </c>
      <c r="AA183" s="171">
        <v>30.650000000000002</v>
      </c>
      <c r="AB183" s="171">
        <v>37.99</v>
      </c>
      <c r="AC183" s="171">
        <v>0.01</v>
      </c>
      <c r="AD183" s="171">
        <v>13.68</v>
      </c>
      <c r="AF183" s="171">
        <f t="shared" si="8"/>
        <v>2007</v>
      </c>
      <c r="AG183" s="171">
        <f t="shared" si="9"/>
        <v>24</v>
      </c>
      <c r="AH183" s="700">
        <f>SUMIF(D$3:$AA183,"&lt;="&amp;$AH$1)/COUNTIF(D$3:$AA183,"&lt;="&amp;$AH$1)</f>
        <v>29.139888544891587</v>
      </c>
    </row>
    <row r="184" spans="2:34" x14ac:dyDescent="0.25">
      <c r="B184" s="910">
        <v>39084</v>
      </c>
      <c r="C184" s="581">
        <f t="shared" si="7"/>
        <v>1</v>
      </c>
      <c r="D184" s="171">
        <v>16.010000000000002</v>
      </c>
      <c r="E184" s="171">
        <v>11</v>
      </c>
      <c r="F184" s="171">
        <v>9.01</v>
      </c>
      <c r="G184" s="171">
        <v>7.5</v>
      </c>
      <c r="H184" s="171">
        <v>9</v>
      </c>
      <c r="I184" s="171">
        <v>7.45</v>
      </c>
      <c r="J184" s="171">
        <v>16.5</v>
      </c>
      <c r="K184" s="171">
        <v>28.01</v>
      </c>
      <c r="L184" s="171">
        <v>29.96</v>
      </c>
      <c r="M184" s="171">
        <v>39.6</v>
      </c>
      <c r="N184" s="171">
        <v>48.15</v>
      </c>
      <c r="O184" s="171">
        <v>49.93</v>
      </c>
      <c r="P184" s="171">
        <v>49</v>
      </c>
      <c r="Q184" s="171">
        <v>46.01</v>
      </c>
      <c r="R184" s="171">
        <v>37.57</v>
      </c>
      <c r="S184" s="171">
        <v>36.450000000000003</v>
      </c>
      <c r="T184" s="171">
        <v>43</v>
      </c>
      <c r="U184" s="171">
        <v>69.989999999999995</v>
      </c>
      <c r="V184" s="171">
        <v>59.69</v>
      </c>
      <c r="W184" s="171">
        <v>50.09</v>
      </c>
      <c r="X184" s="171">
        <v>50</v>
      </c>
      <c r="Y184" s="171">
        <v>36.22</v>
      </c>
      <c r="Z184" s="171">
        <v>31.09</v>
      </c>
      <c r="AA184" s="171">
        <v>29.84</v>
      </c>
      <c r="AB184" s="171">
        <v>69.989999999999995</v>
      </c>
      <c r="AC184" s="171">
        <v>16.5</v>
      </c>
      <c r="AD184" s="171">
        <v>13.290000000000001</v>
      </c>
      <c r="AF184" s="171">
        <f t="shared" si="8"/>
        <v>2007</v>
      </c>
      <c r="AG184" s="171">
        <f t="shared" si="9"/>
        <v>15</v>
      </c>
      <c r="AH184" s="700">
        <f>SUMIF(D$3:$AA184,"&lt;="&amp;$AH$1)/COUNTIF(D$3:$AA184,"&lt;="&amp;$AH$1)</f>
        <v>29.083515337423254</v>
      </c>
    </row>
    <row r="185" spans="2:34" x14ac:dyDescent="0.25">
      <c r="B185" s="910">
        <v>39085</v>
      </c>
      <c r="C185" s="581">
        <f t="shared" si="7"/>
        <v>1</v>
      </c>
      <c r="D185" s="171">
        <v>28</v>
      </c>
      <c r="E185" s="171">
        <v>24.5</v>
      </c>
      <c r="F185" s="171">
        <v>21.400000000000002</v>
      </c>
      <c r="G185" s="171">
        <v>17.37</v>
      </c>
      <c r="H185" s="171">
        <v>15.5</v>
      </c>
      <c r="I185" s="171">
        <v>22</v>
      </c>
      <c r="J185" s="171">
        <v>29.01</v>
      </c>
      <c r="K185" s="171">
        <v>39.730000000000004</v>
      </c>
      <c r="L185" s="171">
        <v>43.81</v>
      </c>
      <c r="M185" s="171">
        <v>49.09</v>
      </c>
      <c r="N185" s="171">
        <v>51</v>
      </c>
      <c r="O185" s="171">
        <v>53.120000000000005</v>
      </c>
      <c r="P185" s="171">
        <v>51.120000000000005</v>
      </c>
      <c r="Q185" s="171">
        <v>49.38</v>
      </c>
      <c r="R185" s="171">
        <v>44.64</v>
      </c>
      <c r="S185" s="171">
        <v>44</v>
      </c>
      <c r="T185" s="171">
        <v>50</v>
      </c>
      <c r="U185" s="171">
        <v>62</v>
      </c>
      <c r="V185" s="171">
        <v>60.99</v>
      </c>
      <c r="W185" s="171">
        <v>55.51</v>
      </c>
      <c r="X185" s="171">
        <v>51.77</v>
      </c>
      <c r="Y185" s="171">
        <v>34.51</v>
      </c>
      <c r="Z185" s="171">
        <v>39.31</v>
      </c>
      <c r="AA185" s="171">
        <v>38.050000000000004</v>
      </c>
      <c r="AB185" s="171">
        <v>60.99</v>
      </c>
      <c r="AC185" s="171">
        <v>29.01</v>
      </c>
      <c r="AD185" s="171">
        <v>24.48</v>
      </c>
      <c r="AF185" s="171">
        <f t="shared" si="8"/>
        <v>2007</v>
      </c>
      <c r="AG185" s="171">
        <f t="shared" si="9"/>
        <v>11</v>
      </c>
      <c r="AH185" s="700">
        <f>SUMIF(D$3:$AA185,"&lt;="&amp;$AH$1)/COUNTIF(D$3:$AA185,"&lt;="&amp;$AH$1)</f>
        <v>29.077093235831757</v>
      </c>
    </row>
    <row r="186" spans="2:34" x14ac:dyDescent="0.25">
      <c r="B186" s="910">
        <v>39086</v>
      </c>
      <c r="C186" s="581">
        <f t="shared" si="7"/>
        <v>1</v>
      </c>
      <c r="D186" s="171">
        <v>31.01</v>
      </c>
      <c r="E186" s="171">
        <v>28.69</v>
      </c>
      <c r="F186" s="171">
        <v>20</v>
      </c>
      <c r="G186" s="171">
        <v>17</v>
      </c>
      <c r="H186" s="171">
        <v>12.02</v>
      </c>
      <c r="I186" s="171">
        <v>17</v>
      </c>
      <c r="J186" s="171">
        <v>20.010000000000002</v>
      </c>
      <c r="K186" s="171">
        <v>34.85</v>
      </c>
      <c r="L186" s="171">
        <v>41.31</v>
      </c>
      <c r="M186" s="171">
        <v>42.03</v>
      </c>
      <c r="N186" s="171">
        <v>46</v>
      </c>
      <c r="O186" s="171">
        <v>46.67</v>
      </c>
      <c r="P186" s="171">
        <v>45.6</v>
      </c>
      <c r="Q186" s="171">
        <v>43.06</v>
      </c>
      <c r="R186" s="171">
        <v>40.01</v>
      </c>
      <c r="S186" s="171">
        <v>38</v>
      </c>
      <c r="T186" s="171">
        <v>42.660000000000004</v>
      </c>
      <c r="U186" s="171">
        <v>58.7</v>
      </c>
      <c r="V186" s="171">
        <v>58.99</v>
      </c>
      <c r="W186" s="171">
        <v>53.5</v>
      </c>
      <c r="X186" s="171">
        <v>44.01</v>
      </c>
      <c r="Y186" s="171">
        <v>35</v>
      </c>
      <c r="Z186" s="171">
        <v>34.46</v>
      </c>
      <c r="AA186" s="171">
        <v>31.57</v>
      </c>
      <c r="AB186" s="171">
        <v>58.99</v>
      </c>
      <c r="AC186" s="171">
        <v>20.010000000000002</v>
      </c>
      <c r="AD186" s="171">
        <v>22.16</v>
      </c>
      <c r="AF186" s="171">
        <f t="shared" si="8"/>
        <v>2007</v>
      </c>
      <c r="AG186" s="171">
        <f t="shared" si="9"/>
        <v>15</v>
      </c>
      <c r="AH186" s="700">
        <f>SUMIF(D$3:$AA186,"&lt;="&amp;$AH$1)/COUNTIF(D$3:$AA186,"&lt;="&amp;$AH$1)</f>
        <v>29.081201690821203</v>
      </c>
    </row>
    <row r="187" spans="2:34" x14ac:dyDescent="0.25">
      <c r="B187" s="910">
        <v>39087</v>
      </c>
      <c r="C187" s="581">
        <f t="shared" si="7"/>
        <v>1</v>
      </c>
      <c r="D187" s="171">
        <v>22</v>
      </c>
      <c r="E187" s="171">
        <v>19.5</v>
      </c>
      <c r="F187" s="171">
        <v>17.55</v>
      </c>
      <c r="G187" s="171">
        <v>15.91</v>
      </c>
      <c r="H187" s="171">
        <v>11.4</v>
      </c>
      <c r="I187" s="171">
        <v>22.650000000000002</v>
      </c>
      <c r="J187" s="171">
        <v>27.3</v>
      </c>
      <c r="K187" s="171">
        <v>34</v>
      </c>
      <c r="L187" s="171">
        <v>40.01</v>
      </c>
      <c r="M187" s="171">
        <v>45</v>
      </c>
      <c r="N187" s="171">
        <v>50.34</v>
      </c>
      <c r="O187" s="171">
        <v>49.84</v>
      </c>
      <c r="P187" s="171">
        <v>48.81</v>
      </c>
      <c r="Q187" s="171">
        <v>47.94</v>
      </c>
      <c r="R187" s="171">
        <v>40.06</v>
      </c>
      <c r="S187" s="171">
        <v>38</v>
      </c>
      <c r="T187" s="171">
        <v>39</v>
      </c>
      <c r="U187" s="171">
        <v>52.64</v>
      </c>
      <c r="V187" s="171">
        <v>53</v>
      </c>
      <c r="W187" s="171">
        <v>45.910000000000004</v>
      </c>
      <c r="X187" s="171">
        <v>36.74</v>
      </c>
      <c r="Y187" s="171">
        <v>29.61</v>
      </c>
      <c r="Z187" s="171">
        <v>30.61</v>
      </c>
      <c r="AA187" s="171">
        <v>27.51</v>
      </c>
      <c r="AB187" s="171">
        <v>53</v>
      </c>
      <c r="AC187" s="171">
        <v>27.3</v>
      </c>
      <c r="AD187" s="171">
        <v>20.48</v>
      </c>
      <c r="AF187" s="171">
        <f t="shared" si="8"/>
        <v>2007</v>
      </c>
      <c r="AG187" s="171">
        <f t="shared" si="9"/>
        <v>16</v>
      </c>
      <c r="AH187" s="700">
        <f>SUMIF(D$3:$AA187,"&lt;="&amp;$AH$1)/COUNTIF(D$3:$AA187,"&lt;="&amp;$AH$1)</f>
        <v>29.073157894736799</v>
      </c>
    </row>
    <row r="188" spans="2:34" x14ac:dyDescent="0.25">
      <c r="B188" s="910">
        <v>39090</v>
      </c>
      <c r="C188" s="581">
        <f t="shared" si="7"/>
        <v>1</v>
      </c>
      <c r="D188" s="171">
        <v>13</v>
      </c>
      <c r="E188" s="171">
        <v>4.3</v>
      </c>
      <c r="F188" s="171">
        <v>3.4</v>
      </c>
      <c r="G188" s="171">
        <v>3.4</v>
      </c>
      <c r="H188" s="171">
        <v>3</v>
      </c>
      <c r="I188" s="171">
        <v>4.95</v>
      </c>
      <c r="J188" s="171">
        <v>24.01</v>
      </c>
      <c r="K188" s="171">
        <v>43.9</v>
      </c>
      <c r="L188" s="171">
        <v>45.7</v>
      </c>
      <c r="M188" s="171">
        <v>43</v>
      </c>
      <c r="N188" s="171">
        <v>43</v>
      </c>
      <c r="O188" s="171">
        <v>46</v>
      </c>
      <c r="P188" s="171">
        <v>46.01</v>
      </c>
      <c r="Q188" s="171">
        <v>46.01</v>
      </c>
      <c r="R188" s="171">
        <v>44.38</v>
      </c>
      <c r="S188" s="171">
        <v>38.97</v>
      </c>
      <c r="T188" s="171">
        <v>51</v>
      </c>
      <c r="U188" s="171">
        <v>60.120000000000005</v>
      </c>
      <c r="V188" s="171">
        <v>54</v>
      </c>
      <c r="W188" s="171">
        <v>50.17</v>
      </c>
      <c r="X188" s="171">
        <v>45</v>
      </c>
      <c r="Y188" s="171">
        <v>30.560000000000002</v>
      </c>
      <c r="Z188" s="171">
        <v>30.01</v>
      </c>
      <c r="AA188" s="171">
        <v>28.01</v>
      </c>
      <c r="AB188" s="171">
        <v>60.120000000000005</v>
      </c>
      <c r="AC188" s="171">
        <v>24.01</v>
      </c>
      <c r="AD188" s="171">
        <v>10.51</v>
      </c>
      <c r="AF188" s="171">
        <f t="shared" si="8"/>
        <v>2007</v>
      </c>
      <c r="AG188" s="171">
        <f t="shared" si="9"/>
        <v>11</v>
      </c>
      <c r="AH188" s="700">
        <f>SUMIF(D$3:$AA188,"&lt;="&amp;$AH$1)/COUNTIF(D$3:$AA188,"&lt;="&amp;$AH$1)</f>
        <v>28.99223410576348</v>
      </c>
    </row>
    <row r="189" spans="2:34" x14ac:dyDescent="0.25">
      <c r="B189" s="910">
        <v>39091</v>
      </c>
      <c r="C189" s="581">
        <f t="shared" si="7"/>
        <v>1</v>
      </c>
      <c r="D189" s="171">
        <v>18.510000000000002</v>
      </c>
      <c r="E189" s="171">
        <v>16.809999999999999</v>
      </c>
      <c r="F189" s="171">
        <v>13.01</v>
      </c>
      <c r="G189" s="171">
        <v>10.01</v>
      </c>
      <c r="H189" s="171">
        <v>8.17</v>
      </c>
      <c r="I189" s="171">
        <v>16</v>
      </c>
      <c r="J189" s="171">
        <v>26</v>
      </c>
      <c r="K189" s="171">
        <v>36.54</v>
      </c>
      <c r="L189" s="171">
        <v>40</v>
      </c>
      <c r="M189" s="171">
        <v>39.33</v>
      </c>
      <c r="N189" s="171">
        <v>40.69</v>
      </c>
      <c r="O189" s="171">
        <v>42</v>
      </c>
      <c r="P189" s="171">
        <v>39.28</v>
      </c>
      <c r="Q189" s="171">
        <v>37.86</v>
      </c>
      <c r="R189" s="171">
        <v>36</v>
      </c>
      <c r="S189" s="171">
        <v>34.96</v>
      </c>
      <c r="T189" s="171">
        <v>38.76</v>
      </c>
      <c r="U189" s="171">
        <v>68</v>
      </c>
      <c r="V189" s="171">
        <v>54.14</v>
      </c>
      <c r="W189" s="171">
        <v>48.1</v>
      </c>
      <c r="X189" s="171">
        <v>44.95</v>
      </c>
      <c r="Y189" s="171">
        <v>30</v>
      </c>
      <c r="Z189" s="171">
        <v>27.5</v>
      </c>
      <c r="AA189" s="171">
        <v>23.13</v>
      </c>
      <c r="AB189" s="171">
        <v>54.14</v>
      </c>
      <c r="AC189" s="171">
        <v>26</v>
      </c>
      <c r="AD189" s="171">
        <v>16.45</v>
      </c>
      <c r="AF189" s="171">
        <f t="shared" si="8"/>
        <v>2007</v>
      </c>
      <c r="AG189" s="171">
        <f t="shared" si="9"/>
        <v>20</v>
      </c>
      <c r="AH189" s="700">
        <f>SUMIF(D$3:$AA189,"&lt;="&amp;$AH$1)/COUNTIF(D$3:$AA189,"&lt;="&amp;$AH$1)</f>
        <v>28.989130945390453</v>
      </c>
    </row>
    <row r="190" spans="2:34" x14ac:dyDescent="0.25">
      <c r="B190" s="910">
        <v>39092</v>
      </c>
      <c r="C190" s="581">
        <f t="shared" si="7"/>
        <v>1</v>
      </c>
      <c r="D190" s="171">
        <v>12.43</v>
      </c>
      <c r="E190" s="171">
        <v>15.09</v>
      </c>
      <c r="F190" s="171">
        <v>13.040000000000001</v>
      </c>
      <c r="G190" s="171">
        <v>12.01</v>
      </c>
      <c r="H190" s="171">
        <v>11.26</v>
      </c>
      <c r="I190" s="171">
        <v>16</v>
      </c>
      <c r="J190" s="171">
        <v>21.01</v>
      </c>
      <c r="K190" s="171">
        <v>36</v>
      </c>
      <c r="L190" s="171">
        <v>36.71</v>
      </c>
      <c r="M190" s="171">
        <v>39.300000000000004</v>
      </c>
      <c r="N190" s="171">
        <v>40</v>
      </c>
      <c r="O190" s="171">
        <v>40.200000000000003</v>
      </c>
      <c r="P190" s="171">
        <v>38</v>
      </c>
      <c r="Q190" s="171">
        <v>38.5</v>
      </c>
      <c r="R190" s="171">
        <v>36.01</v>
      </c>
      <c r="S190" s="171">
        <v>34.79</v>
      </c>
      <c r="T190" s="171">
        <v>38.06</v>
      </c>
      <c r="U190" s="171">
        <v>70.12</v>
      </c>
      <c r="V190" s="171">
        <v>50</v>
      </c>
      <c r="W190" s="171">
        <v>42.54</v>
      </c>
      <c r="X190" s="171">
        <v>38.07</v>
      </c>
      <c r="Y190" s="171">
        <v>30.05</v>
      </c>
      <c r="Z190" s="171">
        <v>28</v>
      </c>
      <c r="AA190" s="171">
        <v>27.18</v>
      </c>
      <c r="AB190" s="171">
        <v>70.12</v>
      </c>
      <c r="AC190" s="171">
        <v>21.01</v>
      </c>
      <c r="AD190" s="171">
        <v>16</v>
      </c>
      <c r="AF190" s="171">
        <f t="shared" si="8"/>
        <v>2007</v>
      </c>
      <c r="AG190" s="171">
        <f t="shared" si="9"/>
        <v>22</v>
      </c>
      <c r="AH190" s="700">
        <f>SUMIF(D$3:$AA190,"&lt;="&amp;$AH$1)/COUNTIF(D$3:$AA190,"&lt;="&amp;$AH$1)</f>
        <v>28.992892753623156</v>
      </c>
    </row>
    <row r="191" spans="2:34" x14ac:dyDescent="0.25">
      <c r="B191" s="910">
        <v>39093</v>
      </c>
      <c r="C191" s="581">
        <f t="shared" si="7"/>
        <v>1</v>
      </c>
      <c r="D191" s="171">
        <v>15.4</v>
      </c>
      <c r="E191" s="171">
        <v>16.010000000000002</v>
      </c>
      <c r="F191" s="171">
        <v>12.01</v>
      </c>
      <c r="G191" s="171">
        <v>9.5</v>
      </c>
      <c r="H191" s="171">
        <v>8.18</v>
      </c>
      <c r="I191" s="171">
        <v>15.5</v>
      </c>
      <c r="J191" s="171">
        <v>22.91</v>
      </c>
      <c r="K191" s="171">
        <v>35.99</v>
      </c>
      <c r="L191" s="171">
        <v>39.93</v>
      </c>
      <c r="M191" s="171">
        <v>39.44</v>
      </c>
      <c r="N191" s="171">
        <v>39.99</v>
      </c>
      <c r="O191" s="171">
        <v>50</v>
      </c>
      <c r="P191" s="171">
        <v>52.5</v>
      </c>
      <c r="Q191" s="171">
        <v>60</v>
      </c>
      <c r="R191" s="171">
        <v>60</v>
      </c>
      <c r="S191" s="171">
        <v>55.120000000000005</v>
      </c>
      <c r="T191" s="171">
        <v>37.619999999999997</v>
      </c>
      <c r="U191" s="171">
        <v>155</v>
      </c>
      <c r="V191" s="171">
        <v>49.43</v>
      </c>
      <c r="W191" s="171">
        <v>42.06</v>
      </c>
      <c r="X191" s="171">
        <v>37.64</v>
      </c>
      <c r="Y191" s="171">
        <v>29.71</v>
      </c>
      <c r="Z191" s="171">
        <v>25.93</v>
      </c>
      <c r="AA191" s="171">
        <v>23.17</v>
      </c>
      <c r="AB191" s="171">
        <v>155</v>
      </c>
      <c r="AC191" s="171">
        <v>22.91</v>
      </c>
      <c r="AD191" s="171">
        <v>15.33</v>
      </c>
      <c r="AF191" s="171">
        <f t="shared" si="8"/>
        <v>2007</v>
      </c>
      <c r="AG191" s="171">
        <f t="shared" si="9"/>
        <v>17</v>
      </c>
      <c r="AH191" s="700">
        <f>SUMIF(D$3:$AA191,"&lt;="&amp;$AH$1)/COUNTIF(D$3:$AA191,"&lt;="&amp;$AH$1)</f>
        <v>28.968846153846126</v>
      </c>
    </row>
    <row r="192" spans="2:34" x14ac:dyDescent="0.25">
      <c r="B192" s="910">
        <v>39094</v>
      </c>
      <c r="C192" s="581">
        <f t="shared" si="7"/>
        <v>1</v>
      </c>
      <c r="D192" s="171">
        <v>14.59</v>
      </c>
      <c r="E192" s="171">
        <v>14.01</v>
      </c>
      <c r="F192" s="171">
        <v>15</v>
      </c>
      <c r="G192" s="171">
        <v>12.01</v>
      </c>
      <c r="H192" s="171">
        <v>9.07</v>
      </c>
      <c r="I192" s="171">
        <v>18.8</v>
      </c>
      <c r="J192" s="171">
        <v>23</v>
      </c>
      <c r="K192" s="171">
        <v>33</v>
      </c>
      <c r="L192" s="171">
        <v>36.200000000000003</v>
      </c>
      <c r="M192" s="171">
        <v>50</v>
      </c>
      <c r="N192" s="171">
        <v>75</v>
      </c>
      <c r="O192" s="171">
        <v>75</v>
      </c>
      <c r="P192" s="171">
        <v>39.96</v>
      </c>
      <c r="Q192" s="171">
        <v>34.49</v>
      </c>
      <c r="R192" s="171">
        <v>31.990000000000002</v>
      </c>
      <c r="S192" s="171">
        <v>29.900000000000002</v>
      </c>
      <c r="T192" s="171">
        <v>29.5</v>
      </c>
      <c r="U192" s="171">
        <v>50</v>
      </c>
      <c r="V192" s="171">
        <v>38</v>
      </c>
      <c r="W192" s="171">
        <v>38.5</v>
      </c>
      <c r="X192" s="171">
        <v>32</v>
      </c>
      <c r="Y192" s="171">
        <v>24.990000000000002</v>
      </c>
      <c r="Z192" s="171">
        <v>26.990000000000002</v>
      </c>
      <c r="AA192" s="171">
        <v>23.43</v>
      </c>
      <c r="AB192" s="171">
        <v>50</v>
      </c>
      <c r="AC192" s="171">
        <v>23</v>
      </c>
      <c r="AD192" s="171">
        <v>16.240000000000002</v>
      </c>
      <c r="AF192" s="171">
        <f t="shared" si="8"/>
        <v>2007</v>
      </c>
      <c r="AG192" s="171">
        <f t="shared" si="9"/>
        <v>20</v>
      </c>
      <c r="AH192" s="700">
        <f>SUMIF(D$3:$AA192,"&lt;="&amp;$AH$1)/COUNTIF(D$3:$AA192,"&lt;="&amp;$AH$1)</f>
        <v>28.938229284903489</v>
      </c>
    </row>
    <row r="193" spans="2:34" x14ac:dyDescent="0.25">
      <c r="B193" s="910">
        <v>39097</v>
      </c>
      <c r="C193" s="581">
        <f t="shared" si="7"/>
        <v>1</v>
      </c>
      <c r="D193" s="171">
        <v>23.07</v>
      </c>
      <c r="E193" s="171">
        <v>22.42</v>
      </c>
      <c r="F193" s="171">
        <v>21.84</v>
      </c>
      <c r="G193" s="171">
        <v>17.400000000000002</v>
      </c>
      <c r="H193" s="171">
        <v>21</v>
      </c>
      <c r="I193" s="171">
        <v>24</v>
      </c>
      <c r="J193" s="171">
        <v>27</v>
      </c>
      <c r="K193" s="171">
        <v>43.99</v>
      </c>
      <c r="L193" s="171">
        <v>40</v>
      </c>
      <c r="M193" s="171">
        <v>44.29</v>
      </c>
      <c r="N193" s="171">
        <v>43.59</v>
      </c>
      <c r="O193" s="171">
        <v>44.19</v>
      </c>
      <c r="P193" s="171">
        <v>39.99</v>
      </c>
      <c r="Q193" s="171">
        <v>39.99</v>
      </c>
      <c r="R193" s="171">
        <v>38.92</v>
      </c>
      <c r="S193" s="171">
        <v>34.200000000000003</v>
      </c>
      <c r="T193" s="171">
        <v>39.89</v>
      </c>
      <c r="U193" s="171">
        <v>50.06</v>
      </c>
      <c r="V193" s="171">
        <v>62.46</v>
      </c>
      <c r="W193" s="171">
        <v>47.5</v>
      </c>
      <c r="X193" s="171">
        <v>40.6</v>
      </c>
      <c r="Y193" s="171">
        <v>28</v>
      </c>
      <c r="Z193" s="171">
        <v>25.8</v>
      </c>
      <c r="AA193" s="171">
        <v>25.63</v>
      </c>
      <c r="AB193" s="171">
        <v>62.46</v>
      </c>
      <c r="AC193" s="171">
        <v>27</v>
      </c>
      <c r="AD193" s="171">
        <v>22.79</v>
      </c>
      <c r="AF193" s="171">
        <f t="shared" si="8"/>
        <v>2007</v>
      </c>
      <c r="AG193" s="171">
        <f t="shared" si="9"/>
        <v>17</v>
      </c>
      <c r="AH193" s="700">
        <f>SUMIF(D$3:$AA193,"&lt;="&amp;$AH$1)/COUNTIF(D$3:$AA193,"&lt;="&amp;$AH$1)</f>
        <v>28.948234963462582</v>
      </c>
    </row>
    <row r="194" spans="2:34" x14ac:dyDescent="0.25">
      <c r="B194" s="910">
        <v>39098</v>
      </c>
      <c r="C194" s="581">
        <f t="shared" si="7"/>
        <v>1</v>
      </c>
      <c r="D194" s="171">
        <v>26.28</v>
      </c>
      <c r="E194" s="171">
        <v>22</v>
      </c>
      <c r="F194" s="171">
        <v>20.51</v>
      </c>
      <c r="G194" s="171">
        <v>20</v>
      </c>
      <c r="H194" s="171">
        <v>17.100000000000001</v>
      </c>
      <c r="I194" s="171">
        <v>24.810000000000002</v>
      </c>
      <c r="J194" s="171">
        <v>28.060000000000002</v>
      </c>
      <c r="K194" s="171">
        <v>45</v>
      </c>
      <c r="L194" s="171">
        <v>48</v>
      </c>
      <c r="M194" s="171">
        <v>46.4</v>
      </c>
      <c r="N194" s="171">
        <v>47.300000000000004</v>
      </c>
      <c r="O194" s="171">
        <v>48.11</v>
      </c>
      <c r="P194" s="171">
        <v>47.54</v>
      </c>
      <c r="Q194" s="171">
        <v>45.2</v>
      </c>
      <c r="R194" s="171">
        <v>43.64</v>
      </c>
      <c r="S194" s="171">
        <v>41.84</v>
      </c>
      <c r="T194" s="171">
        <v>45.59</v>
      </c>
      <c r="U194" s="171">
        <v>57.85</v>
      </c>
      <c r="V194" s="171">
        <v>62.620000000000005</v>
      </c>
      <c r="W194" s="171">
        <v>52.99</v>
      </c>
      <c r="X194" s="171">
        <v>43</v>
      </c>
      <c r="Y194" s="171">
        <v>32.25</v>
      </c>
      <c r="Z194" s="171">
        <v>30.23</v>
      </c>
      <c r="AA194" s="171">
        <v>25.45</v>
      </c>
      <c r="AB194" s="171">
        <v>62.620000000000005</v>
      </c>
      <c r="AC194" s="171">
        <v>28.060000000000002</v>
      </c>
      <c r="AD194" s="171">
        <v>23.03</v>
      </c>
      <c r="AF194" s="171">
        <f t="shared" si="8"/>
        <v>2007</v>
      </c>
      <c r="AG194" s="171">
        <f t="shared" si="9"/>
        <v>11</v>
      </c>
      <c r="AH194" s="700">
        <f>SUMIF(D$3:$AA194,"&lt;="&amp;$AH$1)/COUNTIF(D$3:$AA194,"&lt;="&amp;$AH$1)</f>
        <v>28.931530726256941</v>
      </c>
    </row>
    <row r="195" spans="2:34" x14ac:dyDescent="0.25">
      <c r="B195" s="910">
        <v>39099</v>
      </c>
      <c r="C195" s="581">
        <f t="shared" si="7"/>
        <v>1</v>
      </c>
      <c r="D195" s="171">
        <v>20</v>
      </c>
      <c r="E195" s="171">
        <v>19</v>
      </c>
      <c r="F195" s="171">
        <v>18</v>
      </c>
      <c r="G195" s="171">
        <v>13.68</v>
      </c>
      <c r="H195" s="171">
        <v>11.01</v>
      </c>
      <c r="I195" s="171">
        <v>16.010000000000002</v>
      </c>
      <c r="J195" s="171">
        <v>22.01</v>
      </c>
      <c r="K195" s="171">
        <v>38</v>
      </c>
      <c r="L195" s="171">
        <v>39.96</v>
      </c>
      <c r="M195" s="171">
        <v>39</v>
      </c>
      <c r="N195" s="171">
        <v>39</v>
      </c>
      <c r="O195" s="171">
        <v>41.63</v>
      </c>
      <c r="P195" s="171">
        <v>38</v>
      </c>
      <c r="Q195" s="171">
        <v>35</v>
      </c>
      <c r="R195" s="171">
        <v>32</v>
      </c>
      <c r="S195" s="171">
        <v>30</v>
      </c>
      <c r="T195" s="171">
        <v>34.96</v>
      </c>
      <c r="U195" s="171">
        <v>75</v>
      </c>
      <c r="V195" s="171">
        <v>60</v>
      </c>
      <c r="W195" s="171">
        <v>39.9</v>
      </c>
      <c r="X195" s="171">
        <v>31.990000000000002</v>
      </c>
      <c r="Y195" s="171">
        <v>27.990000000000002</v>
      </c>
      <c r="Z195" s="171">
        <v>26</v>
      </c>
      <c r="AA195" s="171">
        <v>22.01</v>
      </c>
      <c r="AB195" s="171">
        <v>75</v>
      </c>
      <c r="AC195" s="171">
        <v>22.01</v>
      </c>
      <c r="AD195" s="171">
        <v>17.71</v>
      </c>
      <c r="AF195" s="171">
        <f t="shared" si="8"/>
        <v>2007</v>
      </c>
      <c r="AG195" s="171">
        <f t="shared" si="9"/>
        <v>22</v>
      </c>
      <c r="AH195" s="700">
        <f>SUMIF(D$3:$AA195,"&lt;="&amp;$AH$1)/COUNTIF(D$3:$AA195,"&lt;="&amp;$AH$1)</f>
        <v>28.930789183222917</v>
      </c>
    </row>
    <row r="196" spans="2:34" x14ac:dyDescent="0.25">
      <c r="B196" s="910">
        <v>39100</v>
      </c>
      <c r="C196" s="581">
        <f t="shared" ref="C196:C259" si="10">MONTH(B196)</f>
        <v>1</v>
      </c>
      <c r="D196" s="171">
        <v>21.14</v>
      </c>
      <c r="E196" s="171">
        <v>18</v>
      </c>
      <c r="F196" s="171">
        <v>15.06</v>
      </c>
      <c r="G196" s="171">
        <v>14.25</v>
      </c>
      <c r="H196" s="171">
        <v>12.51</v>
      </c>
      <c r="I196" s="171">
        <v>22.5</v>
      </c>
      <c r="J196" s="171">
        <v>25.5</v>
      </c>
      <c r="K196" s="171">
        <v>35.99</v>
      </c>
      <c r="L196" s="171">
        <v>39.96</v>
      </c>
      <c r="M196" s="171">
        <v>60</v>
      </c>
      <c r="N196" s="171">
        <v>80</v>
      </c>
      <c r="O196" s="171">
        <v>124</v>
      </c>
      <c r="P196" s="171">
        <v>49.99</v>
      </c>
      <c r="Q196" s="171">
        <v>75</v>
      </c>
      <c r="R196" s="171">
        <v>60</v>
      </c>
      <c r="S196" s="171">
        <v>43.01</v>
      </c>
      <c r="T196" s="171">
        <v>50.06</v>
      </c>
      <c r="U196" s="171">
        <v>129.44</v>
      </c>
      <c r="V196" s="171">
        <v>49.99</v>
      </c>
      <c r="W196" s="171">
        <v>35.99</v>
      </c>
      <c r="X196" s="171">
        <v>32.99</v>
      </c>
      <c r="Y196" s="171">
        <v>25.490000000000002</v>
      </c>
      <c r="Z196" s="171">
        <v>24.01</v>
      </c>
      <c r="AA196" s="171">
        <v>19</v>
      </c>
      <c r="AB196" s="171">
        <v>129.44</v>
      </c>
      <c r="AC196" s="171">
        <v>25.5</v>
      </c>
      <c r="AD196" s="171">
        <v>18.490000000000002</v>
      </c>
      <c r="AF196" s="171">
        <f t="shared" ref="AF196:AF259" si="11">YEAR(B196)</f>
        <v>2007</v>
      </c>
      <c r="AG196" s="171">
        <f t="shared" ref="AG196:AG259" si="12">COUNTIF(D196:AA196,"&lt;="&amp;$AH$1)</f>
        <v>14</v>
      </c>
      <c r="AH196" s="700">
        <f>SUMIF(D$3:$AA196,"&lt;="&amp;$AH$1)/COUNTIF(D$3:$AA196,"&lt;="&amp;$AH$1)</f>
        <v>28.896484118291301</v>
      </c>
    </row>
    <row r="197" spans="2:34" x14ac:dyDescent="0.25">
      <c r="B197" s="910">
        <v>39101</v>
      </c>
      <c r="C197" s="581">
        <f t="shared" si="10"/>
        <v>1</v>
      </c>
      <c r="D197" s="171">
        <v>15.21</v>
      </c>
      <c r="E197" s="171">
        <v>12.15</v>
      </c>
      <c r="F197" s="171">
        <v>12.01</v>
      </c>
      <c r="G197" s="171">
        <v>10.31</v>
      </c>
      <c r="H197" s="171">
        <v>9.7200000000000006</v>
      </c>
      <c r="I197" s="171">
        <v>17.490000000000002</v>
      </c>
      <c r="J197" s="171">
        <v>29.29</v>
      </c>
      <c r="K197" s="171">
        <v>40</v>
      </c>
      <c r="L197" s="171">
        <v>36</v>
      </c>
      <c r="M197" s="171">
        <v>36.230000000000004</v>
      </c>
      <c r="N197" s="171">
        <v>45</v>
      </c>
      <c r="O197" s="171">
        <v>45</v>
      </c>
      <c r="P197" s="171">
        <v>34.69</v>
      </c>
      <c r="Q197" s="171">
        <v>32.19</v>
      </c>
      <c r="R197" s="171">
        <v>29.990000000000002</v>
      </c>
      <c r="S197" s="171">
        <v>28</v>
      </c>
      <c r="T197" s="171">
        <v>32.020000000000003</v>
      </c>
      <c r="U197" s="171">
        <v>46</v>
      </c>
      <c r="V197" s="171">
        <v>46.79</v>
      </c>
      <c r="W197" s="171">
        <v>32.299999999999997</v>
      </c>
      <c r="X197" s="171">
        <v>29</v>
      </c>
      <c r="Y197" s="171">
        <v>22</v>
      </c>
      <c r="Z197" s="171">
        <v>21.25</v>
      </c>
      <c r="AA197" s="171">
        <v>16.3</v>
      </c>
      <c r="AB197" s="171">
        <v>46.79</v>
      </c>
      <c r="AC197" s="171">
        <v>29.29</v>
      </c>
      <c r="AD197" s="171">
        <v>15.31</v>
      </c>
      <c r="AF197" s="171">
        <f t="shared" si="11"/>
        <v>2007</v>
      </c>
      <c r="AG197" s="171">
        <f t="shared" si="12"/>
        <v>20</v>
      </c>
      <c r="AH197" s="700">
        <f>SUMIF(D$3:$AA197,"&lt;="&amp;$AH$1)/COUNTIF(D$3:$AA197,"&lt;="&amp;$AH$1)</f>
        <v>28.85218309859151</v>
      </c>
    </row>
    <row r="198" spans="2:34" x14ac:dyDescent="0.25">
      <c r="B198" s="910">
        <v>39104</v>
      </c>
      <c r="C198" s="581">
        <f t="shared" si="10"/>
        <v>1</v>
      </c>
      <c r="D198" s="171">
        <v>16.690000000000001</v>
      </c>
      <c r="E198" s="171">
        <v>16.09</v>
      </c>
      <c r="F198" s="171">
        <v>16.59</v>
      </c>
      <c r="G198" s="171">
        <v>9.18</v>
      </c>
      <c r="H198" s="171">
        <v>10.81</v>
      </c>
      <c r="I198" s="171">
        <v>20.740000000000002</v>
      </c>
      <c r="J198" s="171">
        <v>24.6</v>
      </c>
      <c r="K198" s="171">
        <v>56.45</v>
      </c>
      <c r="L198" s="171">
        <v>51</v>
      </c>
      <c r="M198" s="171">
        <v>52.7</v>
      </c>
      <c r="N198" s="171">
        <v>53</v>
      </c>
      <c r="O198" s="171">
        <v>50.5</v>
      </c>
      <c r="P198" s="171">
        <v>49.93</v>
      </c>
      <c r="Q198" s="171">
        <v>49.99</v>
      </c>
      <c r="R198" s="171">
        <v>47.27</v>
      </c>
      <c r="S198" s="171">
        <v>44.410000000000004</v>
      </c>
      <c r="T198" s="171">
        <v>47.95</v>
      </c>
      <c r="U198" s="171">
        <v>54.2</v>
      </c>
      <c r="V198" s="171">
        <v>67.12</v>
      </c>
      <c r="W198" s="171">
        <v>51.410000000000004</v>
      </c>
      <c r="X198" s="171">
        <v>57.17</v>
      </c>
      <c r="Y198" s="171">
        <v>41.99</v>
      </c>
      <c r="Z198" s="171">
        <v>33</v>
      </c>
      <c r="AA198" s="171">
        <v>31.09</v>
      </c>
      <c r="AB198" s="171">
        <v>67.12</v>
      </c>
      <c r="AC198" s="171">
        <v>24.6</v>
      </c>
      <c r="AD198" s="171">
        <v>18.22</v>
      </c>
      <c r="AF198" s="171">
        <f t="shared" si="11"/>
        <v>2007</v>
      </c>
      <c r="AG198" s="171">
        <f t="shared" si="12"/>
        <v>10</v>
      </c>
      <c r="AH198" s="700">
        <f>SUMIF(D$3:$AA198,"&lt;="&amp;$AH$1)/COUNTIF(D$3:$AA198,"&lt;="&amp;$AH$1)</f>
        <v>28.81568426724133</v>
      </c>
    </row>
    <row r="199" spans="2:34" x14ac:dyDescent="0.25">
      <c r="B199" s="910">
        <v>39105</v>
      </c>
      <c r="C199" s="581">
        <f t="shared" si="10"/>
        <v>1</v>
      </c>
      <c r="D199" s="171">
        <v>30.810000000000002</v>
      </c>
      <c r="E199" s="171">
        <v>26.27</v>
      </c>
      <c r="F199" s="171">
        <v>25</v>
      </c>
      <c r="G199" s="171">
        <v>24.5</v>
      </c>
      <c r="H199" s="171">
        <v>23.64</v>
      </c>
      <c r="I199" s="171">
        <v>27.1</v>
      </c>
      <c r="J199" s="171">
        <v>35.28</v>
      </c>
      <c r="K199" s="171">
        <v>57</v>
      </c>
      <c r="L199" s="171">
        <v>61.44</v>
      </c>
      <c r="M199" s="171">
        <v>63.18</v>
      </c>
      <c r="N199" s="171">
        <v>65.5</v>
      </c>
      <c r="O199" s="171">
        <v>67.540000000000006</v>
      </c>
      <c r="P199" s="171">
        <v>61.95</v>
      </c>
      <c r="Q199" s="171">
        <v>58.4</v>
      </c>
      <c r="R199" s="171">
        <v>55.660000000000004</v>
      </c>
      <c r="S199" s="171">
        <v>54.15</v>
      </c>
      <c r="T199" s="171">
        <v>71.010000000000005</v>
      </c>
      <c r="U199" s="171">
        <v>99.990000000000009</v>
      </c>
      <c r="V199" s="171">
        <v>115.54</v>
      </c>
      <c r="W199" s="171">
        <v>83.93</v>
      </c>
      <c r="X199" s="171">
        <v>54.28</v>
      </c>
      <c r="Y199" s="171">
        <v>42.38</v>
      </c>
      <c r="Z199" s="171">
        <v>40</v>
      </c>
      <c r="AA199" s="171">
        <v>38</v>
      </c>
      <c r="AB199" s="171">
        <v>115.54</v>
      </c>
      <c r="AC199" s="171">
        <v>35.28</v>
      </c>
      <c r="AD199" s="171">
        <v>28.82</v>
      </c>
      <c r="AF199" s="171">
        <f t="shared" si="11"/>
        <v>2007</v>
      </c>
      <c r="AG199" s="171">
        <f t="shared" si="12"/>
        <v>10</v>
      </c>
      <c r="AH199" s="700">
        <f>SUMIF(D$3:$AA199,"&lt;="&amp;$AH$1)/COUNTIF(D$3:$AA199,"&lt;="&amp;$AH$1)</f>
        <v>28.82898713826361</v>
      </c>
    </row>
    <row r="200" spans="2:34" x14ac:dyDescent="0.25">
      <c r="B200" s="910">
        <v>39106</v>
      </c>
      <c r="C200" s="581">
        <f t="shared" si="10"/>
        <v>1</v>
      </c>
      <c r="D200" s="171">
        <v>35</v>
      </c>
      <c r="E200" s="171">
        <v>31.5</v>
      </c>
      <c r="F200" s="171">
        <v>30</v>
      </c>
      <c r="G200" s="171">
        <v>29.14</v>
      </c>
      <c r="H200" s="171">
        <v>26.990000000000002</v>
      </c>
      <c r="I200" s="171">
        <v>32.01</v>
      </c>
      <c r="J200" s="171">
        <v>38</v>
      </c>
      <c r="K200" s="171">
        <v>65.2</v>
      </c>
      <c r="L200" s="171">
        <v>65</v>
      </c>
      <c r="M200" s="171">
        <v>65</v>
      </c>
      <c r="N200" s="171">
        <v>66.010000000000005</v>
      </c>
      <c r="O200" s="171">
        <v>66.010000000000005</v>
      </c>
      <c r="P200" s="171">
        <v>62</v>
      </c>
      <c r="Q200" s="171">
        <v>59.76</v>
      </c>
      <c r="R200" s="171">
        <v>58</v>
      </c>
      <c r="S200" s="171">
        <v>54</v>
      </c>
      <c r="T200" s="171">
        <v>78</v>
      </c>
      <c r="U200" s="171">
        <v>99.48</v>
      </c>
      <c r="V200" s="171">
        <v>111.2</v>
      </c>
      <c r="W200" s="171">
        <v>83.25</v>
      </c>
      <c r="X200" s="171">
        <v>57.07</v>
      </c>
      <c r="Y200" s="171">
        <v>45</v>
      </c>
      <c r="Z200" s="171">
        <v>39.19</v>
      </c>
      <c r="AA200" s="171">
        <v>37</v>
      </c>
      <c r="AB200" s="171">
        <v>111.2</v>
      </c>
      <c r="AC200" s="171">
        <v>38</v>
      </c>
      <c r="AD200" s="171">
        <v>32.450000000000003</v>
      </c>
      <c r="AF200" s="171">
        <f t="shared" si="11"/>
        <v>2007</v>
      </c>
      <c r="AG200" s="171">
        <f t="shared" si="12"/>
        <v>9</v>
      </c>
      <c r="AH200" s="700">
        <f>SUMIF(D$3:$AA200,"&lt;="&amp;$AH$1)/COUNTIF(D$3:$AA200,"&lt;="&amp;$AH$1)</f>
        <v>28.849983999999946</v>
      </c>
    </row>
    <row r="201" spans="2:34" x14ac:dyDescent="0.25">
      <c r="B201" s="910">
        <v>39107</v>
      </c>
      <c r="C201" s="581">
        <f t="shared" si="10"/>
        <v>1</v>
      </c>
      <c r="D201" s="171">
        <v>32.86</v>
      </c>
      <c r="E201" s="171">
        <v>30.5</v>
      </c>
      <c r="F201" s="171">
        <v>29.57</v>
      </c>
      <c r="G201" s="171">
        <v>26.89</v>
      </c>
      <c r="H201" s="171">
        <v>26.8</v>
      </c>
      <c r="I201" s="171">
        <v>30</v>
      </c>
      <c r="J201" s="171">
        <v>38.01</v>
      </c>
      <c r="K201" s="171">
        <v>57.18</v>
      </c>
      <c r="L201" s="171">
        <v>62</v>
      </c>
      <c r="M201" s="171">
        <v>63.24</v>
      </c>
      <c r="N201" s="171">
        <v>66.489999999999995</v>
      </c>
      <c r="O201" s="171">
        <v>68</v>
      </c>
      <c r="P201" s="171">
        <v>63.910000000000004</v>
      </c>
      <c r="Q201" s="171">
        <v>61</v>
      </c>
      <c r="R201" s="171">
        <v>58.46</v>
      </c>
      <c r="S201" s="171">
        <v>55.68</v>
      </c>
      <c r="T201" s="171">
        <v>64.08</v>
      </c>
      <c r="U201" s="171">
        <v>97</v>
      </c>
      <c r="V201" s="171">
        <v>117.9</v>
      </c>
      <c r="W201" s="171">
        <v>82.4</v>
      </c>
      <c r="X201" s="171">
        <v>57.18</v>
      </c>
      <c r="Y201" s="171">
        <v>49.01</v>
      </c>
      <c r="Z201" s="171">
        <v>45</v>
      </c>
      <c r="AA201" s="171">
        <v>40</v>
      </c>
      <c r="AB201" s="171">
        <v>117.9</v>
      </c>
      <c r="AC201" s="171">
        <v>38.01</v>
      </c>
      <c r="AD201" s="171">
        <v>31.830000000000002</v>
      </c>
      <c r="AF201" s="171">
        <f t="shared" si="11"/>
        <v>2007</v>
      </c>
      <c r="AG201" s="171">
        <f t="shared" si="12"/>
        <v>8</v>
      </c>
      <c r="AH201" s="700">
        <f>SUMIF(D$3:$AA201,"&lt;="&amp;$AH$1)/COUNTIF(D$3:$AA201,"&lt;="&amp;$AH$1)</f>
        <v>28.862639405204408</v>
      </c>
    </row>
    <row r="202" spans="2:34" x14ac:dyDescent="0.25">
      <c r="B202" s="910">
        <v>39108</v>
      </c>
      <c r="C202" s="581">
        <f t="shared" si="10"/>
        <v>1</v>
      </c>
      <c r="D202" s="171">
        <v>33.14</v>
      </c>
      <c r="E202" s="171">
        <v>30</v>
      </c>
      <c r="F202" s="171">
        <v>29.01</v>
      </c>
      <c r="G202" s="171">
        <v>28.76</v>
      </c>
      <c r="H202" s="171">
        <v>28</v>
      </c>
      <c r="I202" s="171">
        <v>29</v>
      </c>
      <c r="J202" s="171">
        <v>34.21</v>
      </c>
      <c r="K202" s="171">
        <v>57.2</v>
      </c>
      <c r="L202" s="171">
        <v>52.01</v>
      </c>
      <c r="M202" s="171">
        <v>53.02</v>
      </c>
      <c r="N202" s="171">
        <v>56.03</v>
      </c>
      <c r="O202" s="171">
        <v>54.5</v>
      </c>
      <c r="P202" s="171">
        <v>51</v>
      </c>
      <c r="Q202" s="171">
        <v>47.99</v>
      </c>
      <c r="R202" s="171">
        <v>41.99</v>
      </c>
      <c r="S202" s="171">
        <v>38.58</v>
      </c>
      <c r="T202" s="171">
        <v>43</v>
      </c>
      <c r="U202" s="171">
        <v>51.93</v>
      </c>
      <c r="V202" s="171">
        <v>60</v>
      </c>
      <c r="W202" s="171">
        <v>53.870000000000005</v>
      </c>
      <c r="X202" s="171">
        <v>48.2</v>
      </c>
      <c r="Y202" s="171">
        <v>36</v>
      </c>
      <c r="Z202" s="171">
        <v>28.47</v>
      </c>
      <c r="AA202" s="171">
        <v>29.5</v>
      </c>
      <c r="AB202" s="171">
        <v>53.870000000000005</v>
      </c>
      <c r="AC202" s="171">
        <v>34.21</v>
      </c>
      <c r="AD202" s="171">
        <v>30.2</v>
      </c>
      <c r="AF202" s="171">
        <f t="shared" si="11"/>
        <v>2007</v>
      </c>
      <c r="AG202" s="171">
        <f t="shared" si="12"/>
        <v>12</v>
      </c>
      <c r="AH202" s="700">
        <f>SUMIF(D$3:$AA202,"&lt;="&amp;$AH$1)/COUNTIF(D$3:$AA202,"&lt;="&amp;$AH$1)</f>
        <v>28.883910290237417</v>
      </c>
    </row>
    <row r="203" spans="2:34" x14ac:dyDescent="0.25">
      <c r="B203" s="910">
        <v>39111</v>
      </c>
      <c r="C203" s="581">
        <f t="shared" si="10"/>
        <v>1</v>
      </c>
      <c r="D203" s="171">
        <v>33.4</v>
      </c>
      <c r="E203" s="171">
        <v>35</v>
      </c>
      <c r="F203" s="171">
        <v>17</v>
      </c>
      <c r="G203" s="171">
        <v>14.32</v>
      </c>
      <c r="H203" s="171">
        <v>14</v>
      </c>
      <c r="I203" s="171">
        <v>25.02</v>
      </c>
      <c r="J203" s="171">
        <v>33</v>
      </c>
      <c r="K203" s="171">
        <v>50.18</v>
      </c>
      <c r="L203" s="171">
        <v>53</v>
      </c>
      <c r="M203" s="171">
        <v>53.49</v>
      </c>
      <c r="N203" s="171">
        <v>52.910000000000004</v>
      </c>
      <c r="O203" s="171">
        <v>56.49</v>
      </c>
      <c r="P203" s="171">
        <v>55.31</v>
      </c>
      <c r="Q203" s="171">
        <v>56.01</v>
      </c>
      <c r="R203" s="171">
        <v>53</v>
      </c>
      <c r="S203" s="171">
        <v>50.07</v>
      </c>
      <c r="T203" s="171">
        <v>51.09</v>
      </c>
      <c r="U203" s="171">
        <v>53</v>
      </c>
      <c r="V203" s="171">
        <v>100</v>
      </c>
      <c r="W203" s="171">
        <v>69.92</v>
      </c>
      <c r="X203" s="171">
        <v>50.04</v>
      </c>
      <c r="Y203" s="171">
        <v>41.6</v>
      </c>
      <c r="Z203" s="171">
        <v>34.700000000000003</v>
      </c>
      <c r="AA203" s="171">
        <v>30.07</v>
      </c>
      <c r="AB203" s="171">
        <v>100</v>
      </c>
      <c r="AC203" s="171">
        <v>33</v>
      </c>
      <c r="AD203" s="171">
        <v>25.23</v>
      </c>
      <c r="AF203" s="171">
        <f t="shared" si="11"/>
        <v>2007</v>
      </c>
      <c r="AG203" s="171">
        <f t="shared" si="12"/>
        <v>10</v>
      </c>
      <c r="AH203" s="700">
        <f>SUMIF(D$3:$AA203,"&lt;="&amp;$AH$1)/COUNTIF(D$3:$AA203,"&lt;="&amp;$AH$1)</f>
        <v>28.878278215223045</v>
      </c>
    </row>
    <row r="204" spans="2:34" x14ac:dyDescent="0.25">
      <c r="B204" s="910">
        <v>39112</v>
      </c>
      <c r="C204" s="581">
        <f t="shared" si="10"/>
        <v>1</v>
      </c>
      <c r="D204" s="171">
        <v>29.580000000000002</v>
      </c>
      <c r="E204" s="171">
        <v>26</v>
      </c>
      <c r="F204" s="171">
        <v>22.400000000000002</v>
      </c>
      <c r="G204" s="171">
        <v>23</v>
      </c>
      <c r="H204" s="171">
        <v>20.010000000000002</v>
      </c>
      <c r="I204" s="171">
        <v>23.01</v>
      </c>
      <c r="J204" s="171">
        <v>35.01</v>
      </c>
      <c r="K204" s="171">
        <v>49.410000000000004</v>
      </c>
      <c r="L204" s="171">
        <v>48.2</v>
      </c>
      <c r="M204" s="171">
        <v>53.01</v>
      </c>
      <c r="N204" s="171">
        <v>53</v>
      </c>
      <c r="O204" s="171">
        <v>54</v>
      </c>
      <c r="P204" s="171">
        <v>52.01</v>
      </c>
      <c r="Q204" s="171">
        <v>47.910000000000004</v>
      </c>
      <c r="R204" s="171">
        <v>45</v>
      </c>
      <c r="S204" s="171">
        <v>43</v>
      </c>
      <c r="T204" s="171">
        <v>48.160000000000004</v>
      </c>
      <c r="U204" s="171">
        <v>57.18</v>
      </c>
      <c r="V204" s="171">
        <v>64.78</v>
      </c>
      <c r="W204" s="171">
        <v>56</v>
      </c>
      <c r="X204" s="171">
        <v>47.21</v>
      </c>
      <c r="Y204" s="171">
        <v>35.61</v>
      </c>
      <c r="Z204" s="171">
        <v>33.65</v>
      </c>
      <c r="AA204" s="171">
        <v>26.71</v>
      </c>
      <c r="AB204" s="171">
        <v>64.78</v>
      </c>
      <c r="AC204" s="171">
        <v>35.01</v>
      </c>
      <c r="AD204" s="171">
        <v>25.71</v>
      </c>
      <c r="AF204" s="171">
        <f t="shared" si="11"/>
        <v>2007</v>
      </c>
      <c r="AG204" s="171">
        <f t="shared" si="12"/>
        <v>10</v>
      </c>
      <c r="AH204" s="700">
        <f>SUMIF(D$3:$AA204,"&lt;="&amp;$AH$1)/COUNTIF(D$3:$AA204,"&lt;="&amp;$AH$1)</f>
        <v>28.871070496083505</v>
      </c>
    </row>
    <row r="205" spans="2:34" x14ac:dyDescent="0.25">
      <c r="B205" s="910">
        <v>39113</v>
      </c>
      <c r="C205" s="581">
        <f t="shared" si="10"/>
        <v>1</v>
      </c>
      <c r="D205" s="171">
        <v>59.5</v>
      </c>
      <c r="E205" s="171">
        <v>26.91</v>
      </c>
      <c r="F205" s="171">
        <v>25.5</v>
      </c>
      <c r="G205" s="171">
        <v>24.900000000000002</v>
      </c>
      <c r="H205" s="171">
        <v>16.79</v>
      </c>
      <c r="I205" s="171">
        <v>25.01</v>
      </c>
      <c r="J205" s="171">
        <v>29.01</v>
      </c>
      <c r="K205" s="171">
        <v>48.7</v>
      </c>
      <c r="L205" s="171">
        <v>49</v>
      </c>
      <c r="M205" s="171">
        <v>49.7</v>
      </c>
      <c r="N205" s="171">
        <v>49.5</v>
      </c>
      <c r="O205" s="171">
        <v>49.01</v>
      </c>
      <c r="P205" s="171">
        <v>48</v>
      </c>
      <c r="Q205" s="171">
        <v>46.01</v>
      </c>
      <c r="R205" s="171">
        <v>44</v>
      </c>
      <c r="S205" s="171">
        <v>38.050000000000004</v>
      </c>
      <c r="T205" s="171">
        <v>41.24</v>
      </c>
      <c r="U205" s="171">
        <v>52</v>
      </c>
      <c r="V205" s="171">
        <v>58.07</v>
      </c>
      <c r="W205" s="171">
        <v>50.01</v>
      </c>
      <c r="X205" s="171">
        <v>42.01</v>
      </c>
      <c r="Y205" s="171">
        <v>33.01</v>
      </c>
      <c r="Z205" s="171">
        <v>32.700000000000003</v>
      </c>
      <c r="AA205" s="171">
        <v>26.01</v>
      </c>
      <c r="AB205" s="171">
        <v>58.07</v>
      </c>
      <c r="AC205" s="171">
        <v>29.01</v>
      </c>
      <c r="AD205" s="171">
        <v>25.45</v>
      </c>
      <c r="AF205" s="171">
        <f t="shared" si="11"/>
        <v>2007</v>
      </c>
      <c r="AG205" s="171">
        <f t="shared" si="12"/>
        <v>12</v>
      </c>
      <c r="AH205" s="700">
        <f>SUMIF(D$3:$AA205,"&lt;="&amp;$AH$1)/COUNTIF(D$3:$AA205,"&lt;="&amp;$AH$1)</f>
        <v>28.878692267773701</v>
      </c>
    </row>
    <row r="206" spans="2:34" x14ac:dyDescent="0.25">
      <c r="B206" s="910">
        <v>39114</v>
      </c>
      <c r="C206" s="581">
        <f t="shared" si="10"/>
        <v>2</v>
      </c>
      <c r="D206" s="171">
        <v>28</v>
      </c>
      <c r="E206" s="171">
        <v>27.8</v>
      </c>
      <c r="F206" s="171">
        <v>26</v>
      </c>
      <c r="G206" s="171">
        <v>24</v>
      </c>
      <c r="H206" s="171">
        <v>23.2</v>
      </c>
      <c r="I206" s="171">
        <v>30</v>
      </c>
      <c r="J206" s="171">
        <v>35</v>
      </c>
      <c r="K206" s="171">
        <v>50.96</v>
      </c>
      <c r="L206" s="171">
        <v>53</v>
      </c>
      <c r="M206" s="171">
        <v>54.69</v>
      </c>
      <c r="N206" s="171">
        <v>58.78</v>
      </c>
      <c r="O206" s="171">
        <v>56.550000000000004</v>
      </c>
      <c r="P206" s="171">
        <v>52</v>
      </c>
      <c r="Q206" s="171">
        <v>55.01</v>
      </c>
      <c r="R206" s="171">
        <v>51.230000000000004</v>
      </c>
      <c r="S206" s="171">
        <v>50.22</v>
      </c>
      <c r="T206" s="171">
        <v>56.07</v>
      </c>
      <c r="U206" s="171">
        <v>65.010000000000005</v>
      </c>
      <c r="V206" s="171">
        <v>87.100000000000009</v>
      </c>
      <c r="W206" s="171">
        <v>60.480000000000004</v>
      </c>
      <c r="X206" s="171">
        <v>49.99</v>
      </c>
      <c r="Y206" s="171">
        <v>38.01</v>
      </c>
      <c r="Z206" s="171">
        <v>38.01</v>
      </c>
      <c r="AA206" s="171">
        <v>31.810000000000002</v>
      </c>
      <c r="AB206" s="171">
        <v>87.100000000000009</v>
      </c>
      <c r="AC206" s="171">
        <v>35</v>
      </c>
      <c r="AD206" s="171">
        <v>28.22</v>
      </c>
      <c r="AF206" s="171">
        <f t="shared" si="11"/>
        <v>2007</v>
      </c>
      <c r="AG206" s="171">
        <f t="shared" si="12"/>
        <v>10</v>
      </c>
      <c r="AH206" s="700">
        <f>SUMIF(D$3:$AA206,"&lt;="&amp;$AH$1)/COUNTIF(D$3:$AA206,"&lt;="&amp;$AH$1)</f>
        <v>28.885425916365477</v>
      </c>
    </row>
    <row r="207" spans="2:34" x14ac:dyDescent="0.25">
      <c r="B207" s="910">
        <v>39115</v>
      </c>
      <c r="C207" s="581">
        <f t="shared" si="10"/>
        <v>2</v>
      </c>
      <c r="D207" s="171">
        <v>26.810000000000002</v>
      </c>
      <c r="E207" s="171">
        <v>25.810000000000002</v>
      </c>
      <c r="F207" s="171">
        <v>25.5</v>
      </c>
      <c r="G207" s="171">
        <v>25</v>
      </c>
      <c r="H207" s="171">
        <v>19.59</v>
      </c>
      <c r="I207" s="171">
        <v>26.01</v>
      </c>
      <c r="J207" s="171">
        <v>32.85</v>
      </c>
      <c r="K207" s="171">
        <v>49.82</v>
      </c>
      <c r="L207" s="171">
        <v>51</v>
      </c>
      <c r="M207" s="171">
        <v>52</v>
      </c>
      <c r="N207" s="171">
        <v>52</v>
      </c>
      <c r="O207" s="171">
        <v>52</v>
      </c>
      <c r="P207" s="171">
        <v>49.83</v>
      </c>
      <c r="Q207" s="171">
        <v>47.84</v>
      </c>
      <c r="R207" s="171">
        <v>44.42</v>
      </c>
      <c r="S207" s="171">
        <v>40.68</v>
      </c>
      <c r="T207" s="171">
        <v>39.57</v>
      </c>
      <c r="U207" s="171">
        <v>47.9</v>
      </c>
      <c r="V207" s="171">
        <v>53.6</v>
      </c>
      <c r="W207" s="171">
        <v>49.38</v>
      </c>
      <c r="X207" s="171">
        <v>38.99</v>
      </c>
      <c r="Y207" s="171">
        <v>32</v>
      </c>
      <c r="Z207" s="171">
        <v>28.91</v>
      </c>
      <c r="AA207" s="171">
        <v>28.71</v>
      </c>
      <c r="AB207" s="171">
        <v>53.6</v>
      </c>
      <c r="AC207" s="171">
        <v>32.85</v>
      </c>
      <c r="AD207" s="171">
        <v>26.28</v>
      </c>
      <c r="AF207" s="171">
        <f t="shared" si="11"/>
        <v>2007</v>
      </c>
      <c r="AG207" s="171">
        <f t="shared" si="12"/>
        <v>13</v>
      </c>
      <c r="AH207" s="700">
        <f>SUMIF(D$3:$AA207,"&lt;="&amp;$AH$1)/COUNTIF(D$3:$AA207,"&lt;="&amp;$AH$1)</f>
        <v>28.893076923076883</v>
      </c>
    </row>
    <row r="208" spans="2:34" x14ac:dyDescent="0.25">
      <c r="B208" s="910">
        <v>39118</v>
      </c>
      <c r="C208" s="581">
        <f t="shared" si="10"/>
        <v>2</v>
      </c>
      <c r="D208" s="171">
        <v>23.91</v>
      </c>
      <c r="E208" s="171">
        <v>24.04</v>
      </c>
      <c r="F208" s="171">
        <v>23.900000000000002</v>
      </c>
      <c r="G208" s="171">
        <v>20.010000000000002</v>
      </c>
      <c r="H208" s="171">
        <v>19.12</v>
      </c>
      <c r="I208" s="171">
        <v>23.18</v>
      </c>
      <c r="J208" s="171">
        <v>30</v>
      </c>
      <c r="K208" s="171">
        <v>47.08</v>
      </c>
      <c r="L208" s="171">
        <v>56</v>
      </c>
      <c r="M208" s="171">
        <v>55</v>
      </c>
      <c r="N208" s="171">
        <v>55.120000000000005</v>
      </c>
      <c r="O208" s="171">
        <v>53</v>
      </c>
      <c r="P208" s="171">
        <v>50.53</v>
      </c>
      <c r="Q208" s="171">
        <v>49.230000000000004</v>
      </c>
      <c r="R208" s="171">
        <v>47</v>
      </c>
      <c r="S208" s="171">
        <v>46</v>
      </c>
      <c r="T208" s="171">
        <v>41</v>
      </c>
      <c r="U208" s="171">
        <v>53</v>
      </c>
      <c r="V208" s="171">
        <v>57.24</v>
      </c>
      <c r="W208" s="171">
        <v>52</v>
      </c>
      <c r="X208" s="171">
        <v>43.99</v>
      </c>
      <c r="Y208" s="171">
        <v>32.93</v>
      </c>
      <c r="Z208" s="171">
        <v>28.11</v>
      </c>
      <c r="AA208" s="171">
        <v>25.5</v>
      </c>
      <c r="AB208" s="171">
        <v>57.24</v>
      </c>
      <c r="AC208" s="171">
        <v>30</v>
      </c>
      <c r="AD208" s="171">
        <v>23.71</v>
      </c>
      <c r="AF208" s="171">
        <f t="shared" si="11"/>
        <v>2007</v>
      </c>
      <c r="AG208" s="171">
        <f t="shared" si="12"/>
        <v>11</v>
      </c>
      <c r="AH208" s="700">
        <f>SUMIF(D$3:$AA208,"&lt;="&amp;$AH$1)/COUNTIF(D$3:$AA208,"&lt;="&amp;$AH$1)</f>
        <v>28.879755226925003</v>
      </c>
    </row>
    <row r="209" spans="2:34" x14ac:dyDescent="0.25">
      <c r="B209" s="910">
        <v>39119</v>
      </c>
      <c r="C209" s="581">
        <f t="shared" si="10"/>
        <v>2</v>
      </c>
      <c r="D209" s="171">
        <v>29.91</v>
      </c>
      <c r="E209" s="171">
        <v>27.41</v>
      </c>
      <c r="F209" s="171">
        <v>26.41</v>
      </c>
      <c r="G209" s="171">
        <v>24.36</v>
      </c>
      <c r="H209" s="171">
        <v>23.59</v>
      </c>
      <c r="I209" s="171">
        <v>30.1</v>
      </c>
      <c r="J209" s="171">
        <v>37.11</v>
      </c>
      <c r="K209" s="171">
        <v>59.480000000000004</v>
      </c>
      <c r="L209" s="171">
        <v>58.96</v>
      </c>
      <c r="M209" s="171">
        <v>59.76</v>
      </c>
      <c r="N209" s="171">
        <v>56.300000000000004</v>
      </c>
      <c r="O209" s="171">
        <v>57.29</v>
      </c>
      <c r="P209" s="171">
        <v>53.89</v>
      </c>
      <c r="Q209" s="171">
        <v>54.51</v>
      </c>
      <c r="R209" s="171">
        <v>49.910000000000004</v>
      </c>
      <c r="S209" s="171">
        <v>48</v>
      </c>
      <c r="T209" s="171">
        <v>57.300000000000004</v>
      </c>
      <c r="U209" s="171">
        <v>69.39</v>
      </c>
      <c r="V209" s="171">
        <v>91.01</v>
      </c>
      <c r="W209" s="171">
        <v>64.989999999999995</v>
      </c>
      <c r="X209" s="171">
        <v>50.18</v>
      </c>
      <c r="Y209" s="171">
        <v>40.39</v>
      </c>
      <c r="Z209" s="171">
        <v>38</v>
      </c>
      <c r="AA209" s="171">
        <v>32.35</v>
      </c>
      <c r="AB209" s="171">
        <v>91.01</v>
      </c>
      <c r="AC209" s="171">
        <v>37.11</v>
      </c>
      <c r="AD209" s="171">
        <v>28.900000000000002</v>
      </c>
      <c r="AF209" s="171">
        <f t="shared" si="11"/>
        <v>2007</v>
      </c>
      <c r="AG209" s="171">
        <f t="shared" si="12"/>
        <v>10</v>
      </c>
      <c r="AH209" s="700">
        <f>SUMIF(D$3:$AA209,"&lt;="&amp;$AH$1)/COUNTIF(D$3:$AA209,"&lt;="&amp;$AH$1)</f>
        <v>28.89032470826988</v>
      </c>
    </row>
    <row r="210" spans="2:34" x14ac:dyDescent="0.25">
      <c r="B210" s="910">
        <v>39120</v>
      </c>
      <c r="C210" s="581">
        <f t="shared" si="10"/>
        <v>2</v>
      </c>
      <c r="D210" s="171">
        <v>29.18</v>
      </c>
      <c r="E210" s="171">
        <v>29.810000000000002</v>
      </c>
      <c r="F210" s="171">
        <v>30.21</v>
      </c>
      <c r="G210" s="171">
        <v>29.810000000000002</v>
      </c>
      <c r="H210" s="171">
        <v>26.7</v>
      </c>
      <c r="I210" s="171">
        <v>28.240000000000002</v>
      </c>
      <c r="J210" s="171">
        <v>41</v>
      </c>
      <c r="K210" s="171">
        <v>63.17</v>
      </c>
      <c r="L210" s="171">
        <v>59</v>
      </c>
      <c r="M210" s="171">
        <v>61.300000000000004</v>
      </c>
      <c r="N210" s="171">
        <v>59</v>
      </c>
      <c r="O210" s="171">
        <v>62.6</v>
      </c>
      <c r="P210" s="171">
        <v>61</v>
      </c>
      <c r="Q210" s="171">
        <v>58.74</v>
      </c>
      <c r="R210" s="171">
        <v>54.99</v>
      </c>
      <c r="S210" s="171">
        <v>52.99</v>
      </c>
      <c r="T210" s="171">
        <v>56</v>
      </c>
      <c r="U210" s="171">
        <v>68</v>
      </c>
      <c r="V210" s="171">
        <v>102.2</v>
      </c>
      <c r="W210" s="171">
        <v>66.010000000000005</v>
      </c>
      <c r="X210" s="171">
        <v>57.82</v>
      </c>
      <c r="Y210" s="171">
        <v>45.34</v>
      </c>
      <c r="Z210" s="171">
        <v>41.99</v>
      </c>
      <c r="AA210" s="171">
        <v>38.36</v>
      </c>
      <c r="AB210" s="171">
        <v>102.2</v>
      </c>
      <c r="AC210" s="171">
        <v>41</v>
      </c>
      <c r="AD210" s="171">
        <v>31.66</v>
      </c>
      <c r="AF210" s="171">
        <f t="shared" si="11"/>
        <v>2007</v>
      </c>
      <c r="AG210" s="171">
        <f t="shared" si="12"/>
        <v>9</v>
      </c>
      <c r="AH210" s="700">
        <f>SUMIF(D$3:$AA210,"&lt;="&amp;$AH$1)/COUNTIF(D$3:$AA210,"&lt;="&amp;$AH$1)</f>
        <v>28.908146464646428</v>
      </c>
    </row>
    <row r="211" spans="2:34" x14ac:dyDescent="0.25">
      <c r="B211" s="910">
        <v>39121</v>
      </c>
      <c r="C211" s="581">
        <f t="shared" si="10"/>
        <v>2</v>
      </c>
      <c r="D211" s="171">
        <v>27.01</v>
      </c>
      <c r="E211" s="171">
        <v>28.11</v>
      </c>
      <c r="F211" s="171">
        <v>27.1</v>
      </c>
      <c r="G211" s="171">
        <v>24.61</v>
      </c>
      <c r="H211" s="171">
        <v>22.5</v>
      </c>
      <c r="I211" s="171">
        <v>25.01</v>
      </c>
      <c r="J211" s="171">
        <v>33</v>
      </c>
      <c r="K211" s="171">
        <v>53</v>
      </c>
      <c r="L211" s="171">
        <v>50.75</v>
      </c>
      <c r="M211" s="171">
        <v>52.99</v>
      </c>
      <c r="N211" s="171">
        <v>53.2</v>
      </c>
      <c r="O211" s="171">
        <v>53.800000000000004</v>
      </c>
      <c r="P211" s="171">
        <v>53.99</v>
      </c>
      <c r="Q211" s="171">
        <v>52</v>
      </c>
      <c r="R211" s="171">
        <v>50</v>
      </c>
      <c r="S211" s="171">
        <v>45.39</v>
      </c>
      <c r="T211" s="171">
        <v>43</v>
      </c>
      <c r="U211" s="171">
        <v>48</v>
      </c>
      <c r="V211" s="171">
        <v>65.010000000000005</v>
      </c>
      <c r="W211" s="171">
        <v>54.01</v>
      </c>
      <c r="X211" s="171">
        <v>47.99</v>
      </c>
      <c r="Y211" s="171">
        <v>38</v>
      </c>
      <c r="Z211" s="171">
        <v>34.11</v>
      </c>
      <c r="AA211" s="171">
        <v>34.01</v>
      </c>
      <c r="AB211" s="171">
        <v>65.010000000000005</v>
      </c>
      <c r="AC211" s="171">
        <v>33</v>
      </c>
      <c r="AD211" s="171">
        <v>27.67</v>
      </c>
      <c r="AF211" s="171">
        <f t="shared" si="11"/>
        <v>2007</v>
      </c>
      <c r="AG211" s="171">
        <f t="shared" si="12"/>
        <v>10</v>
      </c>
      <c r="AH211" s="700">
        <f>SUMIF(D$3:$AA211,"&lt;="&amp;$AH$1)/COUNTIF(D$3:$AA211,"&lt;="&amp;$AH$1)</f>
        <v>28.910346733668305</v>
      </c>
    </row>
    <row r="212" spans="2:34" x14ac:dyDescent="0.25">
      <c r="B212" s="910">
        <v>39122</v>
      </c>
      <c r="C212" s="581">
        <f t="shared" si="10"/>
        <v>2</v>
      </c>
      <c r="D212" s="171">
        <v>28.400000000000002</v>
      </c>
      <c r="E212" s="171">
        <v>28</v>
      </c>
      <c r="F212" s="171">
        <v>26.01</v>
      </c>
      <c r="G212" s="171">
        <v>24.6</v>
      </c>
      <c r="H212" s="171">
        <v>20.11</v>
      </c>
      <c r="I212" s="171">
        <v>25.91</v>
      </c>
      <c r="J212" s="171">
        <v>29.69</v>
      </c>
      <c r="K212" s="171">
        <v>45.1</v>
      </c>
      <c r="L212" s="171">
        <v>50</v>
      </c>
      <c r="M212" s="171">
        <v>49.99</v>
      </c>
      <c r="N212" s="171">
        <v>50.06</v>
      </c>
      <c r="O212" s="171">
        <v>50.06</v>
      </c>
      <c r="P212" s="171">
        <v>46.57</v>
      </c>
      <c r="Q212" s="171">
        <v>43.65</v>
      </c>
      <c r="R212" s="171">
        <v>40.89</v>
      </c>
      <c r="S212" s="171">
        <v>37.92</v>
      </c>
      <c r="T212" s="171">
        <v>38</v>
      </c>
      <c r="U212" s="171">
        <v>43.31</v>
      </c>
      <c r="V212" s="171">
        <v>51.99</v>
      </c>
      <c r="W212" s="171">
        <v>48.17</v>
      </c>
      <c r="X212" s="171">
        <v>40.04</v>
      </c>
      <c r="Y212" s="171">
        <v>33.11</v>
      </c>
      <c r="Z212" s="171">
        <v>32</v>
      </c>
      <c r="AA212" s="171">
        <v>28.46</v>
      </c>
      <c r="AB212" s="171">
        <v>51.99</v>
      </c>
      <c r="AC212" s="171">
        <v>29.69</v>
      </c>
      <c r="AD212" s="171">
        <v>26.400000000000002</v>
      </c>
      <c r="AF212" s="171">
        <f t="shared" si="11"/>
        <v>2007</v>
      </c>
      <c r="AG212" s="171">
        <f t="shared" si="12"/>
        <v>14</v>
      </c>
      <c r="AH212" s="700">
        <f>SUMIF(D$3:$AA212,"&lt;="&amp;$AH$1)/COUNTIF(D$3:$AA212,"&lt;="&amp;$AH$1)</f>
        <v>28.92451596806384</v>
      </c>
    </row>
    <row r="213" spans="2:34" x14ac:dyDescent="0.25">
      <c r="B213" s="910">
        <v>39125</v>
      </c>
      <c r="C213" s="581">
        <f t="shared" si="10"/>
        <v>2</v>
      </c>
      <c r="D213" s="171">
        <v>20</v>
      </c>
      <c r="E213" s="171">
        <v>21.21</v>
      </c>
      <c r="F213" s="171">
        <v>20.2</v>
      </c>
      <c r="G213" s="171">
        <v>13.39</v>
      </c>
      <c r="H213" s="171">
        <v>8.17</v>
      </c>
      <c r="I213" s="171">
        <v>20.010000000000002</v>
      </c>
      <c r="J213" s="171">
        <v>24.82</v>
      </c>
      <c r="K213" s="171">
        <v>33.19</v>
      </c>
      <c r="L213" s="171">
        <v>39.39</v>
      </c>
      <c r="M213" s="171">
        <v>40.800000000000004</v>
      </c>
      <c r="N213" s="171">
        <v>41.01</v>
      </c>
      <c r="O213" s="171">
        <v>40</v>
      </c>
      <c r="P213" s="171">
        <v>39</v>
      </c>
      <c r="Q213" s="171">
        <v>33.43</v>
      </c>
      <c r="R213" s="171">
        <v>32.410000000000004</v>
      </c>
      <c r="S213" s="171">
        <v>31.01</v>
      </c>
      <c r="T213" s="171">
        <v>33.1</v>
      </c>
      <c r="U213" s="171">
        <v>39.200000000000003</v>
      </c>
      <c r="V213" s="171">
        <v>48.17</v>
      </c>
      <c r="W213" s="171">
        <v>47.39</v>
      </c>
      <c r="X213" s="171">
        <v>33.5</v>
      </c>
      <c r="Y213" s="171">
        <v>27.900000000000002</v>
      </c>
      <c r="Z213" s="171">
        <v>27.5</v>
      </c>
      <c r="AA213" s="171">
        <v>24.95</v>
      </c>
      <c r="AB213" s="171">
        <v>48.17</v>
      </c>
      <c r="AC213" s="171">
        <v>24.82</v>
      </c>
      <c r="AD213" s="171">
        <v>19.09</v>
      </c>
      <c r="AF213" s="171">
        <f t="shared" si="11"/>
        <v>2007</v>
      </c>
      <c r="AG213" s="171">
        <f t="shared" si="12"/>
        <v>22</v>
      </c>
      <c r="AH213" s="700">
        <f>SUMIF(D$3:$AA213,"&lt;="&amp;$AH$1)/COUNTIF(D$3:$AA213,"&lt;="&amp;$AH$1)</f>
        <v>28.928390918065123</v>
      </c>
    </row>
    <row r="214" spans="2:34" x14ac:dyDescent="0.25">
      <c r="B214" s="910">
        <v>39126</v>
      </c>
      <c r="C214" s="581">
        <f t="shared" si="10"/>
        <v>2</v>
      </c>
      <c r="D214" s="171">
        <v>23.39</v>
      </c>
      <c r="E214" s="171">
        <v>21.8</v>
      </c>
      <c r="F214" s="171">
        <v>20.7</v>
      </c>
      <c r="G214" s="171">
        <v>20.010000000000002</v>
      </c>
      <c r="H214" s="171">
        <v>15.35</v>
      </c>
      <c r="I214" s="171">
        <v>23.650000000000002</v>
      </c>
      <c r="J214" s="171">
        <v>23.87</v>
      </c>
      <c r="K214" s="171">
        <v>36.410000000000004</v>
      </c>
      <c r="L214" s="171">
        <v>39.99</v>
      </c>
      <c r="M214" s="171">
        <v>41.37</v>
      </c>
      <c r="N214" s="171">
        <v>41.59</v>
      </c>
      <c r="O214" s="171">
        <v>41.2</v>
      </c>
      <c r="P214" s="171">
        <v>37.5</v>
      </c>
      <c r="Q214" s="171">
        <v>36.200000000000003</v>
      </c>
      <c r="R214" s="171">
        <v>33.11</v>
      </c>
      <c r="S214" s="171">
        <v>30.740000000000002</v>
      </c>
      <c r="T214" s="171">
        <v>32.799999999999997</v>
      </c>
      <c r="U214" s="171">
        <v>38.119999999999997</v>
      </c>
      <c r="V214" s="171">
        <v>46.17</v>
      </c>
      <c r="W214" s="171">
        <v>43.87</v>
      </c>
      <c r="X214" s="171">
        <v>34</v>
      </c>
      <c r="Y214" s="171">
        <v>26.01</v>
      </c>
      <c r="Z214" s="171">
        <v>26.400000000000002</v>
      </c>
      <c r="AA214" s="171">
        <v>22.53</v>
      </c>
      <c r="AB214" s="171">
        <v>46.17</v>
      </c>
      <c r="AC214" s="171">
        <v>23.87</v>
      </c>
      <c r="AD214" s="171">
        <v>21.41</v>
      </c>
      <c r="AF214" s="171">
        <f t="shared" si="11"/>
        <v>2007</v>
      </c>
      <c r="AG214" s="171">
        <f t="shared" si="12"/>
        <v>22</v>
      </c>
      <c r="AH214" s="700">
        <f>SUMIF(D$3:$AA214,"&lt;="&amp;$AH$1)/COUNTIF(D$3:$AA214,"&lt;="&amp;$AH$1)</f>
        <v>28.943193359374973</v>
      </c>
    </row>
    <row r="215" spans="2:34" x14ac:dyDescent="0.25">
      <c r="B215" s="910">
        <v>39127</v>
      </c>
      <c r="C215" s="581">
        <f t="shared" si="10"/>
        <v>2</v>
      </c>
      <c r="D215" s="171">
        <v>23.22</v>
      </c>
      <c r="E215" s="171">
        <v>22.77</v>
      </c>
      <c r="F215" s="171">
        <v>21.31</v>
      </c>
      <c r="G215" s="171">
        <v>17.190000000000001</v>
      </c>
      <c r="H215" s="171">
        <v>18.990000000000002</v>
      </c>
      <c r="I215" s="171">
        <v>20.990000000000002</v>
      </c>
      <c r="J215" s="171">
        <v>24.3</v>
      </c>
      <c r="K215" s="171">
        <v>40</v>
      </c>
      <c r="L215" s="171">
        <v>41.5</v>
      </c>
      <c r="M215" s="171">
        <v>44.52</v>
      </c>
      <c r="N215" s="171">
        <v>44.21</v>
      </c>
      <c r="O215" s="171">
        <v>43.15</v>
      </c>
      <c r="P215" s="171">
        <v>40.770000000000003</v>
      </c>
      <c r="Q215" s="171">
        <v>40.57</v>
      </c>
      <c r="R215" s="171">
        <v>37.43</v>
      </c>
      <c r="S215" s="171">
        <v>34</v>
      </c>
      <c r="T215" s="171">
        <v>33.46</v>
      </c>
      <c r="U215" s="171">
        <v>40.1</v>
      </c>
      <c r="V215" s="171">
        <v>46.660000000000004</v>
      </c>
      <c r="W215" s="171">
        <v>42</v>
      </c>
      <c r="X215" s="171">
        <v>35.99</v>
      </c>
      <c r="Y215" s="171">
        <v>26.52</v>
      </c>
      <c r="Z215" s="171">
        <v>26.88</v>
      </c>
      <c r="AA215" s="171">
        <v>22.71</v>
      </c>
      <c r="AB215" s="171">
        <v>46.660000000000004</v>
      </c>
      <c r="AC215" s="171">
        <v>24.3</v>
      </c>
      <c r="AD215" s="171">
        <v>21.43</v>
      </c>
      <c r="AF215" s="171">
        <f t="shared" si="11"/>
        <v>2007</v>
      </c>
      <c r="AG215" s="171">
        <f t="shared" si="12"/>
        <v>20</v>
      </c>
      <c r="AH215" s="700">
        <f>SUMIF(D$3:$AA215,"&lt;="&amp;$AH$1)/COUNTIF(D$3:$AA215,"&lt;="&amp;$AH$1)</f>
        <v>28.95858800773691</v>
      </c>
    </row>
    <row r="216" spans="2:34" x14ac:dyDescent="0.25">
      <c r="B216" s="910">
        <v>39128</v>
      </c>
      <c r="C216" s="581">
        <f t="shared" si="10"/>
        <v>2</v>
      </c>
      <c r="D216" s="171">
        <v>22.2</v>
      </c>
      <c r="E216" s="171">
        <v>21.7</v>
      </c>
      <c r="F216" s="171">
        <v>20.16</v>
      </c>
      <c r="G216" s="171">
        <v>15.99</v>
      </c>
      <c r="H216" s="171">
        <v>17.190000000000001</v>
      </c>
      <c r="I216" s="171">
        <v>24.39</v>
      </c>
      <c r="J216" s="171">
        <v>24.3</v>
      </c>
      <c r="K216" s="171">
        <v>38.24</v>
      </c>
      <c r="L216" s="171">
        <v>43.59</v>
      </c>
      <c r="M216" s="171">
        <v>43.89</v>
      </c>
      <c r="N216" s="171">
        <v>44.31</v>
      </c>
      <c r="O216" s="171">
        <v>43</v>
      </c>
      <c r="P216" s="171">
        <v>39.04</v>
      </c>
      <c r="Q216" s="171">
        <v>38</v>
      </c>
      <c r="R216" s="171">
        <v>37.39</v>
      </c>
      <c r="S216" s="171">
        <v>32</v>
      </c>
      <c r="T216" s="171">
        <v>31</v>
      </c>
      <c r="U216" s="171">
        <v>35.67</v>
      </c>
      <c r="V216" s="171">
        <v>44.52</v>
      </c>
      <c r="W216" s="171">
        <v>42.69</v>
      </c>
      <c r="X216" s="171">
        <v>34.39</v>
      </c>
      <c r="Y216" s="171">
        <v>28.09</v>
      </c>
      <c r="Z216" s="171">
        <v>27</v>
      </c>
      <c r="AA216" s="171">
        <v>22.26</v>
      </c>
      <c r="AB216" s="171">
        <v>44.52</v>
      </c>
      <c r="AC216" s="171">
        <v>24.3</v>
      </c>
      <c r="AD216" s="171">
        <v>21.02</v>
      </c>
      <c r="AF216" s="171">
        <f t="shared" si="11"/>
        <v>2007</v>
      </c>
      <c r="AG216" s="171">
        <f t="shared" si="12"/>
        <v>18</v>
      </c>
      <c r="AH216" s="700">
        <f>SUMIF(D$3:$AA216,"&lt;="&amp;$AH$1)/COUNTIF(D$3:$AA216,"&lt;="&amp;$AH$1)</f>
        <v>28.952718120805333</v>
      </c>
    </row>
    <row r="217" spans="2:34" x14ac:dyDescent="0.25">
      <c r="B217" s="910">
        <v>39129</v>
      </c>
      <c r="C217" s="581">
        <f t="shared" si="10"/>
        <v>2</v>
      </c>
      <c r="D217" s="171">
        <v>24.490000000000002</v>
      </c>
      <c r="E217" s="171">
        <v>22.39</v>
      </c>
      <c r="F217" s="171">
        <v>21.240000000000002</v>
      </c>
      <c r="G217" s="171">
        <v>19.57</v>
      </c>
      <c r="H217" s="171">
        <v>19.18</v>
      </c>
      <c r="I217" s="171">
        <v>20.61</v>
      </c>
      <c r="J217" s="171">
        <v>24.990000000000002</v>
      </c>
      <c r="K217" s="171">
        <v>39.29</v>
      </c>
      <c r="L217" s="171">
        <v>37.5</v>
      </c>
      <c r="M217" s="171">
        <v>38.4</v>
      </c>
      <c r="N217" s="171">
        <v>38.410000000000004</v>
      </c>
      <c r="O217" s="171">
        <v>39.49</v>
      </c>
      <c r="P217" s="171">
        <v>36.69</v>
      </c>
      <c r="Q217" s="171">
        <v>33.160000000000004</v>
      </c>
      <c r="R217" s="171">
        <v>30.26</v>
      </c>
      <c r="S217" s="171">
        <v>26.6</v>
      </c>
      <c r="T217" s="171">
        <v>24.7</v>
      </c>
      <c r="U217" s="171">
        <v>28</v>
      </c>
      <c r="V217" s="171">
        <v>38</v>
      </c>
      <c r="W217" s="171">
        <v>33.11</v>
      </c>
      <c r="X217" s="171">
        <v>28.32</v>
      </c>
      <c r="Y217" s="171">
        <v>22</v>
      </c>
      <c r="Z217" s="171">
        <v>23.11</v>
      </c>
      <c r="AA217" s="171">
        <v>21.990000000000002</v>
      </c>
      <c r="AB217" s="171">
        <v>38</v>
      </c>
      <c r="AC217" s="171">
        <v>24.990000000000002</v>
      </c>
      <c r="AD217" s="171">
        <v>21.81</v>
      </c>
      <c r="AF217" s="171">
        <f t="shared" si="11"/>
        <v>2007</v>
      </c>
      <c r="AG217" s="171">
        <f t="shared" si="12"/>
        <v>24</v>
      </c>
      <c r="AH217" s="700">
        <f>SUMIF(D$3:$AA217,"&lt;="&amp;$AH$1)/COUNTIF(D$3:$AA217,"&lt;="&amp;$AH$1)</f>
        <v>28.95112322274878</v>
      </c>
    </row>
    <row r="218" spans="2:34" x14ac:dyDescent="0.25">
      <c r="B218" s="910">
        <v>39132</v>
      </c>
      <c r="C218" s="581">
        <f t="shared" si="10"/>
        <v>2</v>
      </c>
      <c r="D218" s="171">
        <v>22</v>
      </c>
      <c r="E218" s="171">
        <v>18.100000000000001</v>
      </c>
      <c r="F218" s="171">
        <v>18.73</v>
      </c>
      <c r="G218" s="171">
        <v>14.3</v>
      </c>
      <c r="H218" s="171">
        <v>18</v>
      </c>
      <c r="I218" s="171">
        <v>21</v>
      </c>
      <c r="J218" s="171">
        <v>25.16</v>
      </c>
      <c r="K218" s="171">
        <v>32</v>
      </c>
      <c r="L218" s="171">
        <v>34.04</v>
      </c>
      <c r="M218" s="171">
        <v>38.4</v>
      </c>
      <c r="N218" s="171">
        <v>39.9</v>
      </c>
      <c r="O218" s="171">
        <v>38.99</v>
      </c>
      <c r="P218" s="171">
        <v>35.840000000000003</v>
      </c>
      <c r="Q218" s="171">
        <v>34</v>
      </c>
      <c r="R218" s="171">
        <v>32.99</v>
      </c>
      <c r="S218" s="171">
        <v>31</v>
      </c>
      <c r="T218" s="171">
        <v>31.45</v>
      </c>
      <c r="U218" s="171">
        <v>34.9</v>
      </c>
      <c r="V218" s="171">
        <v>39.96</v>
      </c>
      <c r="W218" s="171">
        <v>40.730000000000004</v>
      </c>
      <c r="X218" s="171">
        <v>36.82</v>
      </c>
      <c r="Y218" s="171">
        <v>29</v>
      </c>
      <c r="Z218" s="171">
        <v>25.39</v>
      </c>
      <c r="AA218" s="171">
        <v>23</v>
      </c>
      <c r="AB218" s="171">
        <v>40.730000000000004</v>
      </c>
      <c r="AC218" s="171">
        <v>25.16</v>
      </c>
      <c r="AD218" s="171">
        <v>20.04</v>
      </c>
      <c r="AF218" s="171">
        <f t="shared" si="11"/>
        <v>2007</v>
      </c>
      <c r="AG218" s="171">
        <f t="shared" si="12"/>
        <v>24</v>
      </c>
      <c r="AH218" s="700">
        <f>SUMIF(D$3:$AA218,"&lt;="&amp;$AH$1)/COUNTIF(D$3:$AA218,"&lt;="&amp;$AH$1)</f>
        <v>28.960904404873443</v>
      </c>
    </row>
    <row r="219" spans="2:34" x14ac:dyDescent="0.25">
      <c r="B219" s="910">
        <v>39133</v>
      </c>
      <c r="C219" s="581">
        <f t="shared" si="10"/>
        <v>2</v>
      </c>
      <c r="D219" s="171">
        <v>26</v>
      </c>
      <c r="E219" s="171">
        <v>24.580000000000002</v>
      </c>
      <c r="F219" s="171">
        <v>22.52</v>
      </c>
      <c r="G219" s="171">
        <v>19.240000000000002</v>
      </c>
      <c r="H219" s="171">
        <v>19.5</v>
      </c>
      <c r="I219" s="171">
        <v>23.490000000000002</v>
      </c>
      <c r="J219" s="171">
        <v>26.900000000000002</v>
      </c>
      <c r="K219" s="171">
        <v>35.9</v>
      </c>
      <c r="L219" s="171">
        <v>39.5</v>
      </c>
      <c r="M219" s="171">
        <v>40.9</v>
      </c>
      <c r="N219" s="171">
        <v>42.02</v>
      </c>
      <c r="O219" s="171">
        <v>42</v>
      </c>
      <c r="P219" s="171">
        <v>39.99</v>
      </c>
      <c r="Q219" s="171">
        <v>39.76</v>
      </c>
      <c r="R219" s="171">
        <v>35</v>
      </c>
      <c r="S219" s="171">
        <v>33</v>
      </c>
      <c r="T219" s="171">
        <v>31</v>
      </c>
      <c r="U219" s="171">
        <v>36.660000000000004</v>
      </c>
      <c r="V219" s="171">
        <v>45.32</v>
      </c>
      <c r="W219" s="171">
        <v>42</v>
      </c>
      <c r="X219" s="171">
        <v>34</v>
      </c>
      <c r="Y219" s="171">
        <v>26.41</v>
      </c>
      <c r="Z219" s="171">
        <v>26.67</v>
      </c>
      <c r="AA219" s="171">
        <v>24.91</v>
      </c>
      <c r="AB219" s="171">
        <v>45.32</v>
      </c>
      <c r="AC219" s="171">
        <v>26.900000000000002</v>
      </c>
      <c r="AD219" s="171">
        <v>23.39</v>
      </c>
      <c r="AF219" s="171">
        <f t="shared" si="11"/>
        <v>2007</v>
      </c>
      <c r="AG219" s="171">
        <f t="shared" si="12"/>
        <v>23</v>
      </c>
      <c r="AH219" s="700">
        <f>SUMIF(D$3:$AA219,"&lt;="&amp;$AH$1)/COUNTIF(D$3:$AA219,"&lt;="&amp;$AH$1)</f>
        <v>28.991432545201636</v>
      </c>
    </row>
    <row r="220" spans="2:34" x14ac:dyDescent="0.25">
      <c r="B220" s="910">
        <v>39134</v>
      </c>
      <c r="C220" s="581">
        <f t="shared" si="10"/>
        <v>2</v>
      </c>
      <c r="D220" s="171">
        <v>22.52</v>
      </c>
      <c r="E220" s="171">
        <v>22.06</v>
      </c>
      <c r="F220" s="171">
        <v>20.6</v>
      </c>
      <c r="G220" s="171">
        <v>18.03</v>
      </c>
      <c r="H220" s="171">
        <v>11.94</v>
      </c>
      <c r="I220" s="171">
        <v>21.91</v>
      </c>
      <c r="J220" s="171">
        <v>24.990000000000002</v>
      </c>
      <c r="K220" s="171">
        <v>32</v>
      </c>
      <c r="L220" s="171">
        <v>36</v>
      </c>
      <c r="M220" s="171">
        <v>37.730000000000004</v>
      </c>
      <c r="N220" s="171">
        <v>38.5</v>
      </c>
      <c r="O220" s="171">
        <v>38.76</v>
      </c>
      <c r="P220" s="171">
        <v>36.01</v>
      </c>
      <c r="Q220" s="171">
        <v>35.06</v>
      </c>
      <c r="R220" s="171">
        <v>33</v>
      </c>
      <c r="S220" s="171">
        <v>29.8</v>
      </c>
      <c r="T220" s="171">
        <v>29</v>
      </c>
      <c r="U220" s="171">
        <v>31.990000000000002</v>
      </c>
      <c r="V220" s="171">
        <v>39</v>
      </c>
      <c r="W220" s="171">
        <v>37</v>
      </c>
      <c r="X220" s="171">
        <v>30.310000000000002</v>
      </c>
      <c r="Y220" s="171">
        <v>24.61</v>
      </c>
      <c r="Z220" s="171">
        <v>24.080000000000002</v>
      </c>
      <c r="AA220" s="171">
        <v>22.34</v>
      </c>
      <c r="AB220" s="171">
        <v>39</v>
      </c>
      <c r="AC220" s="171">
        <v>24.990000000000002</v>
      </c>
      <c r="AD220" s="171">
        <v>20.55</v>
      </c>
      <c r="AF220" s="171">
        <f t="shared" si="11"/>
        <v>2007</v>
      </c>
      <c r="AG220" s="171">
        <f t="shared" si="12"/>
        <v>24</v>
      </c>
      <c r="AH220" s="700">
        <f>SUMIF(D$3:$AA220,"&lt;="&amp;$AH$1)/COUNTIF(D$3:$AA220,"&lt;="&amp;$AH$1)</f>
        <v>28.992095369096713</v>
      </c>
    </row>
    <row r="221" spans="2:34" x14ac:dyDescent="0.25">
      <c r="B221" s="910">
        <v>39135</v>
      </c>
      <c r="C221" s="581">
        <f t="shared" si="10"/>
        <v>2</v>
      </c>
      <c r="D221" s="171">
        <v>23.96</v>
      </c>
      <c r="E221" s="171">
        <v>23.02</v>
      </c>
      <c r="F221" s="171">
        <v>20.830000000000002</v>
      </c>
      <c r="G221" s="171">
        <v>20.37</v>
      </c>
      <c r="H221" s="171">
        <v>17.150000000000002</v>
      </c>
      <c r="I221" s="171">
        <v>21.02</v>
      </c>
      <c r="J221" s="171">
        <v>23</v>
      </c>
      <c r="K221" s="171">
        <v>36.76</v>
      </c>
      <c r="L221" s="171">
        <v>40</v>
      </c>
      <c r="M221" s="171">
        <v>42.1</v>
      </c>
      <c r="N221" s="171">
        <v>41.92</v>
      </c>
      <c r="O221" s="171">
        <v>43.99</v>
      </c>
      <c r="P221" s="171">
        <v>41</v>
      </c>
      <c r="Q221" s="171">
        <v>40.69</v>
      </c>
      <c r="R221" s="171">
        <v>39</v>
      </c>
      <c r="S221" s="171">
        <v>35</v>
      </c>
      <c r="T221" s="171">
        <v>33.520000000000003</v>
      </c>
      <c r="U221" s="171">
        <v>40.06</v>
      </c>
      <c r="V221" s="171">
        <v>48.26</v>
      </c>
      <c r="W221" s="171">
        <v>40.29</v>
      </c>
      <c r="X221" s="171">
        <v>32.97</v>
      </c>
      <c r="Y221" s="171">
        <v>26</v>
      </c>
      <c r="Z221" s="171">
        <v>28.45</v>
      </c>
      <c r="AA221" s="171">
        <v>25.45</v>
      </c>
      <c r="AB221" s="171">
        <v>48.26</v>
      </c>
      <c r="AC221" s="171">
        <v>23</v>
      </c>
      <c r="AD221" s="171">
        <v>21.85</v>
      </c>
      <c r="AF221" s="171">
        <f t="shared" si="11"/>
        <v>2007</v>
      </c>
      <c r="AG221" s="171">
        <f t="shared" si="12"/>
        <v>22</v>
      </c>
      <c r="AH221" s="700">
        <f>SUMIF(D$3:$AA221,"&lt;="&amp;$AH$1)/COUNTIF(D$3:$AA221,"&lt;="&amp;$AH$1)</f>
        <v>29.016940535633189</v>
      </c>
    </row>
    <row r="222" spans="2:34" x14ac:dyDescent="0.25">
      <c r="B222" s="910">
        <v>39136</v>
      </c>
      <c r="C222" s="581">
        <f t="shared" si="10"/>
        <v>2</v>
      </c>
      <c r="D222" s="171">
        <v>22.5</v>
      </c>
      <c r="E222" s="171">
        <v>20.490000000000002</v>
      </c>
      <c r="F222" s="171">
        <v>18.400000000000002</v>
      </c>
      <c r="G222" s="171">
        <v>17.940000000000001</v>
      </c>
      <c r="H222" s="171">
        <v>16</v>
      </c>
      <c r="I222" s="171">
        <v>20.6</v>
      </c>
      <c r="J222" s="171">
        <v>23.21</v>
      </c>
      <c r="K222" s="171">
        <v>31.01</v>
      </c>
      <c r="L222" s="171">
        <v>32</v>
      </c>
      <c r="M222" s="171">
        <v>34.270000000000003</v>
      </c>
      <c r="N222" s="171">
        <v>33.81</v>
      </c>
      <c r="O222" s="171">
        <v>34.47</v>
      </c>
      <c r="P222" s="171">
        <v>32</v>
      </c>
      <c r="Q222" s="171">
        <v>28.45</v>
      </c>
      <c r="R222" s="171">
        <v>26.86</v>
      </c>
      <c r="S222" s="171">
        <v>24.86</v>
      </c>
      <c r="T222" s="171">
        <v>24.66</v>
      </c>
      <c r="U222" s="171">
        <v>26.57</v>
      </c>
      <c r="V222" s="171">
        <v>31.95</v>
      </c>
      <c r="W222" s="171">
        <v>33.1</v>
      </c>
      <c r="X222" s="171">
        <v>28.43</v>
      </c>
      <c r="Y222" s="171">
        <v>23.990000000000002</v>
      </c>
      <c r="Z222" s="171">
        <v>23.91</v>
      </c>
      <c r="AA222" s="171">
        <v>22.03</v>
      </c>
      <c r="AB222" s="171">
        <v>34.270000000000003</v>
      </c>
      <c r="AC222" s="171">
        <v>23.21</v>
      </c>
      <c r="AD222" s="171">
        <v>20.150000000000002</v>
      </c>
      <c r="AF222" s="171">
        <f t="shared" si="11"/>
        <v>2007</v>
      </c>
      <c r="AG222" s="171">
        <f t="shared" si="12"/>
        <v>24</v>
      </c>
      <c r="AH222" s="700">
        <f>SUMIF(D$3:$AA222,"&lt;="&amp;$AH$1)/COUNTIF(D$3:$AA222,"&lt;="&amp;$AH$1)</f>
        <v>28.987799730579216</v>
      </c>
    </row>
    <row r="223" spans="2:34" x14ac:dyDescent="0.25">
      <c r="B223" s="910">
        <v>39139</v>
      </c>
      <c r="C223" s="581">
        <f t="shared" si="10"/>
        <v>2</v>
      </c>
      <c r="D223" s="171">
        <v>19.95</v>
      </c>
      <c r="E223" s="171">
        <v>15.27</v>
      </c>
      <c r="F223" s="171">
        <v>14.96</v>
      </c>
      <c r="G223" s="171">
        <v>12.08</v>
      </c>
      <c r="H223" s="171">
        <v>12.99</v>
      </c>
      <c r="I223" s="171">
        <v>14.06</v>
      </c>
      <c r="J223" s="171">
        <v>21.04</v>
      </c>
      <c r="K223" s="171">
        <v>27.53</v>
      </c>
      <c r="L223" s="171">
        <v>30.95</v>
      </c>
      <c r="M223" s="171">
        <v>33.35</v>
      </c>
      <c r="N223" s="171">
        <v>32.76</v>
      </c>
      <c r="O223" s="171">
        <v>33.090000000000003</v>
      </c>
      <c r="P223" s="171">
        <v>34.200000000000003</v>
      </c>
      <c r="Q223" s="171">
        <v>30.990000000000002</v>
      </c>
      <c r="R223" s="171">
        <v>29.96</v>
      </c>
      <c r="S223" s="171">
        <v>27.060000000000002</v>
      </c>
      <c r="T223" s="171">
        <v>27.04</v>
      </c>
      <c r="U223" s="171">
        <v>26.740000000000002</v>
      </c>
      <c r="V223" s="171">
        <v>33.94</v>
      </c>
      <c r="W223" s="171">
        <v>36.82</v>
      </c>
      <c r="X223" s="171">
        <v>29.94</v>
      </c>
      <c r="Y223" s="171">
        <v>26</v>
      </c>
      <c r="Z223" s="171">
        <v>25.5</v>
      </c>
      <c r="AA223" s="171">
        <v>25.51</v>
      </c>
      <c r="AB223" s="171">
        <v>36.82</v>
      </c>
      <c r="AC223" s="171">
        <v>21.04</v>
      </c>
      <c r="AD223" s="171">
        <v>16.98</v>
      </c>
      <c r="AF223" s="171">
        <f t="shared" si="11"/>
        <v>2007</v>
      </c>
      <c r="AG223" s="171">
        <f t="shared" si="12"/>
        <v>24</v>
      </c>
      <c r="AH223" s="700">
        <f>SUMIF(D$3:$AA223,"&lt;="&amp;$AH$1)/COUNTIF(D$3:$AA223,"&lt;="&amp;$AH$1)</f>
        <v>28.95493558418476</v>
      </c>
    </row>
    <row r="224" spans="2:34" x14ac:dyDescent="0.25">
      <c r="B224" s="910">
        <v>39140</v>
      </c>
      <c r="C224" s="581">
        <f t="shared" si="10"/>
        <v>2</v>
      </c>
      <c r="D224" s="171">
        <v>19</v>
      </c>
      <c r="E224" s="171">
        <v>18.010000000000002</v>
      </c>
      <c r="F224" s="171">
        <v>17.04</v>
      </c>
      <c r="G224" s="171">
        <v>16.010000000000002</v>
      </c>
      <c r="H224" s="171">
        <v>15.950000000000001</v>
      </c>
      <c r="I224" s="171">
        <v>19.89</v>
      </c>
      <c r="J224" s="171">
        <v>21.69</v>
      </c>
      <c r="K224" s="171">
        <v>29</v>
      </c>
      <c r="L224" s="171">
        <v>29.93</v>
      </c>
      <c r="M224" s="171">
        <v>31.78</v>
      </c>
      <c r="N224" s="171">
        <v>31.92</v>
      </c>
      <c r="O224" s="171">
        <v>32.94</v>
      </c>
      <c r="P224" s="171">
        <v>32.67</v>
      </c>
      <c r="Q224" s="171">
        <v>31.98</v>
      </c>
      <c r="R224" s="171">
        <v>29.5</v>
      </c>
      <c r="S224" s="171">
        <v>27.490000000000002</v>
      </c>
      <c r="T224" s="171">
        <v>27.38</v>
      </c>
      <c r="U224" s="171">
        <v>29.04</v>
      </c>
      <c r="V224" s="171">
        <v>35</v>
      </c>
      <c r="W224" s="171">
        <v>33.11</v>
      </c>
      <c r="X224" s="171">
        <v>27.93</v>
      </c>
      <c r="Y224" s="171">
        <v>23.07</v>
      </c>
      <c r="Z224" s="171">
        <v>20.23</v>
      </c>
      <c r="AA224" s="171">
        <v>18.43</v>
      </c>
      <c r="AB224" s="171">
        <v>35</v>
      </c>
      <c r="AC224" s="171">
        <v>21.69</v>
      </c>
      <c r="AD224" s="171">
        <v>18.25</v>
      </c>
      <c r="AF224" s="171">
        <f t="shared" si="11"/>
        <v>2007</v>
      </c>
      <c r="AG224" s="171">
        <f t="shared" si="12"/>
        <v>24</v>
      </c>
      <c r="AH224" s="700">
        <f>SUMIF(D$3:$AA224,"&lt;="&amp;$AH$1)/COUNTIF(D$3:$AA224,"&lt;="&amp;$AH$1)</f>
        <v>28.921560439560395</v>
      </c>
    </row>
    <row r="225" spans="2:34" x14ac:dyDescent="0.25">
      <c r="B225" s="910">
        <v>39141</v>
      </c>
      <c r="C225" s="581">
        <f t="shared" si="10"/>
        <v>2</v>
      </c>
      <c r="D225" s="171">
        <v>15</v>
      </c>
      <c r="E225" s="171">
        <v>13.63</v>
      </c>
      <c r="F225" s="171">
        <v>12.41</v>
      </c>
      <c r="G225" s="171">
        <v>12.200000000000001</v>
      </c>
      <c r="H225" s="171">
        <v>11.05</v>
      </c>
      <c r="I225" s="171">
        <v>14.91</v>
      </c>
      <c r="J225" s="171">
        <v>17.91</v>
      </c>
      <c r="K225" s="171">
        <v>22.98</v>
      </c>
      <c r="L225" s="171">
        <v>26.92</v>
      </c>
      <c r="M225" s="171">
        <v>28.59</v>
      </c>
      <c r="N225" s="171">
        <v>28.96</v>
      </c>
      <c r="O225" s="171">
        <v>29.98</v>
      </c>
      <c r="P225" s="171">
        <v>28.97</v>
      </c>
      <c r="Q225" s="171">
        <v>26.44</v>
      </c>
      <c r="R225" s="171">
        <v>26.26</v>
      </c>
      <c r="S225" s="171">
        <v>24.990000000000002</v>
      </c>
      <c r="T225" s="171">
        <v>22.97</v>
      </c>
      <c r="U225" s="171">
        <v>22.990000000000002</v>
      </c>
      <c r="V225" s="171">
        <v>30.64</v>
      </c>
      <c r="W225" s="171">
        <v>30.96</v>
      </c>
      <c r="X225" s="171">
        <v>26.11</v>
      </c>
      <c r="Y225" s="171">
        <v>20.97</v>
      </c>
      <c r="Z225" s="171">
        <v>19.900000000000002</v>
      </c>
      <c r="AA225" s="171">
        <v>17</v>
      </c>
      <c r="AB225" s="171">
        <v>30.96</v>
      </c>
      <c r="AC225" s="171">
        <v>17.91</v>
      </c>
      <c r="AD225" s="171">
        <v>14.26</v>
      </c>
      <c r="AF225" s="171">
        <f t="shared" si="11"/>
        <v>2007</v>
      </c>
      <c r="AG225" s="171">
        <f t="shared" si="12"/>
        <v>24</v>
      </c>
      <c r="AH225" s="700">
        <f>SUMIF(D$3:$AA225,"&lt;="&amp;$AH$1)/COUNTIF(D$3:$AA225,"&lt;="&amp;$AH$1)</f>
        <v>28.851365811222237</v>
      </c>
    </row>
    <row r="226" spans="2:34" x14ac:dyDescent="0.25">
      <c r="B226" s="910">
        <v>39142</v>
      </c>
      <c r="C226" s="581">
        <f t="shared" si="10"/>
        <v>3</v>
      </c>
      <c r="D226" s="171">
        <v>16.97</v>
      </c>
      <c r="E226" s="171">
        <v>13.99</v>
      </c>
      <c r="F226" s="171">
        <v>13</v>
      </c>
      <c r="G226" s="171">
        <v>11.51</v>
      </c>
      <c r="H226" s="171">
        <v>7.97</v>
      </c>
      <c r="I226" s="171">
        <v>13.97</v>
      </c>
      <c r="J226" s="171">
        <v>19.100000000000001</v>
      </c>
      <c r="K226" s="171">
        <v>25.92</v>
      </c>
      <c r="L226" s="171">
        <v>27.97</v>
      </c>
      <c r="M226" s="171">
        <v>28.97</v>
      </c>
      <c r="N226" s="171">
        <v>29.6</v>
      </c>
      <c r="O226" s="171">
        <v>29.990000000000002</v>
      </c>
      <c r="P226" s="171">
        <v>29.96</v>
      </c>
      <c r="Q226" s="171">
        <v>29</v>
      </c>
      <c r="R226" s="171">
        <v>26.93</v>
      </c>
      <c r="S226" s="171">
        <v>25.95</v>
      </c>
      <c r="T226" s="171">
        <v>25.94</v>
      </c>
      <c r="U226" s="171">
        <v>25.03</v>
      </c>
      <c r="V226" s="171">
        <v>31.95</v>
      </c>
      <c r="W226" s="171">
        <v>36.950000000000003</v>
      </c>
      <c r="X226" s="171">
        <v>28.92</v>
      </c>
      <c r="Y226" s="171">
        <v>23.95</v>
      </c>
      <c r="Z226" s="171">
        <v>23.92</v>
      </c>
      <c r="AA226" s="171">
        <v>19.920000000000002</v>
      </c>
      <c r="AB226" s="171">
        <v>36.950000000000003</v>
      </c>
      <c r="AC226" s="171">
        <v>19.100000000000001</v>
      </c>
      <c r="AD226" s="171">
        <v>14.55</v>
      </c>
      <c r="AF226" s="171">
        <f t="shared" si="11"/>
        <v>2007</v>
      </c>
      <c r="AG226" s="171">
        <f t="shared" si="12"/>
        <v>24</v>
      </c>
      <c r="AH226" s="700">
        <f>SUMIF(D$3:$AA226,"&lt;="&amp;$AH$1)/COUNTIF(D$3:$AA226,"&lt;="&amp;$AH$1)</f>
        <v>28.797533362031825</v>
      </c>
    </row>
    <row r="227" spans="2:34" x14ac:dyDescent="0.25">
      <c r="B227" s="910">
        <v>39143</v>
      </c>
      <c r="C227" s="581">
        <f t="shared" si="10"/>
        <v>3</v>
      </c>
      <c r="D227" s="171">
        <v>15.91</v>
      </c>
      <c r="E227" s="171">
        <v>13.17</v>
      </c>
      <c r="F227" s="171">
        <v>12.06</v>
      </c>
      <c r="G227" s="171">
        <v>11.07</v>
      </c>
      <c r="H227" s="171">
        <v>8.07</v>
      </c>
      <c r="I227" s="171">
        <v>14.92</v>
      </c>
      <c r="J227" s="171">
        <v>20.010000000000002</v>
      </c>
      <c r="K227" s="171">
        <v>25.51</v>
      </c>
      <c r="L227" s="171">
        <v>29.91</v>
      </c>
      <c r="M227" s="171">
        <v>32</v>
      </c>
      <c r="N227" s="171">
        <v>32</v>
      </c>
      <c r="O227" s="171">
        <v>32</v>
      </c>
      <c r="P227" s="171">
        <v>30.990000000000002</v>
      </c>
      <c r="Q227" s="171">
        <v>27.94</v>
      </c>
      <c r="R227" s="171">
        <v>26.91</v>
      </c>
      <c r="S227" s="171">
        <v>23.92</v>
      </c>
      <c r="T227" s="171">
        <v>22.95</v>
      </c>
      <c r="U227" s="171">
        <v>25.68</v>
      </c>
      <c r="V227" s="171">
        <v>32</v>
      </c>
      <c r="W227" s="171">
        <v>31.970000000000002</v>
      </c>
      <c r="X227" s="171">
        <v>27.990000000000002</v>
      </c>
      <c r="Y227" s="171">
        <v>23.29</v>
      </c>
      <c r="Z227" s="171">
        <v>22.990000000000002</v>
      </c>
      <c r="AA227" s="171">
        <v>22</v>
      </c>
      <c r="AB227" s="171">
        <v>32</v>
      </c>
      <c r="AC227" s="171">
        <v>20.010000000000002</v>
      </c>
      <c r="AD227" s="171">
        <v>14.65</v>
      </c>
      <c r="AF227" s="171">
        <f t="shared" si="11"/>
        <v>2007</v>
      </c>
      <c r="AG227" s="171">
        <f t="shared" si="12"/>
        <v>24</v>
      </c>
      <c r="AH227" s="700">
        <f>SUMIF(D$3:$AA227,"&lt;="&amp;$AH$1)/COUNTIF(D$3:$AA227,"&lt;="&amp;$AH$1)</f>
        <v>28.743898593949694</v>
      </c>
    </row>
    <row r="228" spans="2:34" x14ac:dyDescent="0.25">
      <c r="B228" s="910">
        <v>39146</v>
      </c>
      <c r="C228" s="581">
        <f t="shared" si="10"/>
        <v>3</v>
      </c>
      <c r="D228" s="171">
        <v>15.870000000000001</v>
      </c>
      <c r="E228" s="171">
        <v>15.950000000000001</v>
      </c>
      <c r="F228" s="171">
        <v>14.030000000000001</v>
      </c>
      <c r="G228" s="171">
        <v>9.17</v>
      </c>
      <c r="H228" s="171">
        <v>9.56</v>
      </c>
      <c r="I228" s="171">
        <v>17.190000000000001</v>
      </c>
      <c r="J228" s="171">
        <v>23.97</v>
      </c>
      <c r="K228" s="171">
        <v>28</v>
      </c>
      <c r="L228" s="171">
        <v>30.970000000000002</v>
      </c>
      <c r="M228" s="171">
        <v>31.53</v>
      </c>
      <c r="N228" s="171">
        <v>31.95</v>
      </c>
      <c r="O228" s="171">
        <v>31.970000000000002</v>
      </c>
      <c r="P228" s="171">
        <v>32.910000000000004</v>
      </c>
      <c r="Q228" s="171">
        <v>31.91</v>
      </c>
      <c r="R228" s="171">
        <v>28.990000000000002</v>
      </c>
      <c r="S228" s="171">
        <v>29.01</v>
      </c>
      <c r="T228" s="171">
        <v>27.94</v>
      </c>
      <c r="U228" s="171">
        <v>27.8</v>
      </c>
      <c r="V228" s="171">
        <v>31.98</v>
      </c>
      <c r="W228" s="171">
        <v>38</v>
      </c>
      <c r="X228" s="171">
        <v>33.47</v>
      </c>
      <c r="Y228" s="171">
        <v>25.580000000000002</v>
      </c>
      <c r="Z228" s="171">
        <v>26.580000000000002</v>
      </c>
      <c r="AA228" s="171">
        <v>24.2</v>
      </c>
      <c r="AB228" s="171">
        <v>33.47</v>
      </c>
      <c r="AC228" s="171">
        <v>23.97</v>
      </c>
      <c r="AD228" s="171">
        <v>16.240000000000002</v>
      </c>
      <c r="AF228" s="171">
        <f t="shared" si="11"/>
        <v>2007</v>
      </c>
      <c r="AG228" s="171">
        <f t="shared" si="12"/>
        <v>24</v>
      </c>
      <c r="AH228" s="700">
        <f>SUMIF(D$3:$AA228,"&lt;="&amp;$AH$1)/COUNTIF(D$3:$AA228,"&lt;="&amp;$AH$1)</f>
        <v>28.713816954871334</v>
      </c>
    </row>
    <row r="229" spans="2:34" x14ac:dyDescent="0.25">
      <c r="B229" s="910">
        <v>39147</v>
      </c>
      <c r="C229" s="581">
        <f t="shared" si="10"/>
        <v>3</v>
      </c>
      <c r="D229" s="171">
        <v>16.98</v>
      </c>
      <c r="E229" s="171">
        <v>16</v>
      </c>
      <c r="F229" s="171">
        <v>15</v>
      </c>
      <c r="G229" s="171">
        <v>12.75</v>
      </c>
      <c r="H229" s="171">
        <v>12</v>
      </c>
      <c r="I229" s="171">
        <v>17.05</v>
      </c>
      <c r="J229" s="171">
        <v>20.96</v>
      </c>
      <c r="K229" s="171">
        <v>27.96</v>
      </c>
      <c r="L229" s="171">
        <v>28.990000000000002</v>
      </c>
      <c r="M229" s="171">
        <v>32</v>
      </c>
      <c r="N229" s="171">
        <v>32.67</v>
      </c>
      <c r="O229" s="171">
        <v>32.94</v>
      </c>
      <c r="P229" s="171">
        <v>32.57</v>
      </c>
      <c r="Q229" s="171">
        <v>31.220000000000002</v>
      </c>
      <c r="R229" s="171">
        <v>30.01</v>
      </c>
      <c r="S229" s="171">
        <v>28.46</v>
      </c>
      <c r="T229" s="171">
        <v>28.35</v>
      </c>
      <c r="U229" s="171">
        <v>26.95</v>
      </c>
      <c r="V229" s="171">
        <v>34.6</v>
      </c>
      <c r="W229" s="171">
        <v>39.07</v>
      </c>
      <c r="X229" s="171">
        <v>31.32</v>
      </c>
      <c r="Y229" s="171">
        <v>25.91</v>
      </c>
      <c r="Z229" s="171">
        <v>25</v>
      </c>
      <c r="AA229" s="171">
        <v>21.990000000000002</v>
      </c>
      <c r="AB229" s="171">
        <v>39.07</v>
      </c>
      <c r="AC229" s="171">
        <v>20.96</v>
      </c>
      <c r="AD229" s="171">
        <v>16.59</v>
      </c>
      <c r="AF229" s="171">
        <f t="shared" si="11"/>
        <v>2007</v>
      </c>
      <c r="AG229" s="171">
        <f t="shared" si="12"/>
        <v>24</v>
      </c>
      <c r="AH229" s="700">
        <f>SUMIF(D$3:$AA229,"&lt;="&amp;$AH$1)/COUNTIF(D$3:$AA229,"&lt;="&amp;$AH$1)</f>
        <v>28.685265135699371</v>
      </c>
    </row>
    <row r="230" spans="2:34" x14ac:dyDescent="0.25">
      <c r="B230" s="910">
        <v>39148</v>
      </c>
      <c r="C230" s="581">
        <f t="shared" si="10"/>
        <v>3</v>
      </c>
      <c r="D230" s="171">
        <v>22.95</v>
      </c>
      <c r="E230" s="171">
        <v>21.01</v>
      </c>
      <c r="F230" s="171">
        <v>19.5</v>
      </c>
      <c r="G230" s="171">
        <v>16</v>
      </c>
      <c r="H230" s="171">
        <v>15.120000000000001</v>
      </c>
      <c r="I230" s="171">
        <v>20.56</v>
      </c>
      <c r="J230" s="171">
        <v>23.53</v>
      </c>
      <c r="K230" s="171">
        <v>30.93</v>
      </c>
      <c r="L230" s="171">
        <v>34</v>
      </c>
      <c r="M230" s="171">
        <v>40</v>
      </c>
      <c r="N230" s="171">
        <v>40</v>
      </c>
      <c r="O230" s="171">
        <v>40.5</v>
      </c>
      <c r="P230" s="171">
        <v>37.33</v>
      </c>
      <c r="Q230" s="171">
        <v>38.72</v>
      </c>
      <c r="R230" s="171">
        <v>34.99</v>
      </c>
      <c r="S230" s="171">
        <v>32.5</v>
      </c>
      <c r="T230" s="171">
        <v>30.37</v>
      </c>
      <c r="U230" s="171">
        <v>32.19</v>
      </c>
      <c r="V230" s="171">
        <v>38.369999999999997</v>
      </c>
      <c r="W230" s="171">
        <v>44.01</v>
      </c>
      <c r="X230" s="171">
        <v>32</v>
      </c>
      <c r="Y230" s="171">
        <v>25.990000000000002</v>
      </c>
      <c r="Z230" s="171">
        <v>27.94</v>
      </c>
      <c r="AA230" s="171">
        <v>25.03</v>
      </c>
      <c r="AB230" s="171">
        <v>44.01</v>
      </c>
      <c r="AC230" s="171">
        <v>23.53</v>
      </c>
      <c r="AD230" s="171">
        <v>20.46</v>
      </c>
      <c r="AF230" s="171">
        <f t="shared" si="11"/>
        <v>2007</v>
      </c>
      <c r="AG230" s="171">
        <f t="shared" si="12"/>
        <v>23</v>
      </c>
      <c r="AH230" s="700">
        <f>SUMIF(D$3:$AA230,"&lt;="&amp;$AH$1)/COUNTIF(D$3:$AA230,"&lt;="&amp;$AH$1)</f>
        <v>28.693440860215045</v>
      </c>
    </row>
    <row r="231" spans="2:34" x14ac:dyDescent="0.25">
      <c r="B231" s="910">
        <v>39149</v>
      </c>
      <c r="C231" s="581">
        <f t="shared" si="10"/>
        <v>3</v>
      </c>
      <c r="D231" s="171">
        <v>23.96</v>
      </c>
      <c r="E231" s="171">
        <v>23.52</v>
      </c>
      <c r="F231" s="171">
        <v>21.91</v>
      </c>
      <c r="G231" s="171">
        <v>15.92</v>
      </c>
      <c r="H231" s="171">
        <v>17.25</v>
      </c>
      <c r="I231" s="171">
        <v>21.93</v>
      </c>
      <c r="J231" s="171">
        <v>26.5</v>
      </c>
      <c r="K231" s="171">
        <v>33</v>
      </c>
      <c r="L231" s="171">
        <v>36.29</v>
      </c>
      <c r="M231" s="171">
        <v>40.5</v>
      </c>
      <c r="N231" s="171">
        <v>40.800000000000004</v>
      </c>
      <c r="O231" s="171">
        <v>43.81</v>
      </c>
      <c r="P231" s="171">
        <v>40</v>
      </c>
      <c r="Q231" s="171">
        <v>40</v>
      </c>
      <c r="R231" s="171">
        <v>37</v>
      </c>
      <c r="S231" s="171">
        <v>35</v>
      </c>
      <c r="T231" s="171">
        <v>33</v>
      </c>
      <c r="U231" s="171">
        <v>32</v>
      </c>
      <c r="V231" s="171">
        <v>45.9</v>
      </c>
      <c r="W231" s="171">
        <v>46.25</v>
      </c>
      <c r="X231" s="171">
        <v>36.78</v>
      </c>
      <c r="Y231" s="171">
        <v>29.96</v>
      </c>
      <c r="Z231" s="171">
        <v>25.990000000000002</v>
      </c>
      <c r="AA231" s="171">
        <v>23.91</v>
      </c>
      <c r="AB231" s="171">
        <v>46.25</v>
      </c>
      <c r="AC231" s="171">
        <v>26.5</v>
      </c>
      <c r="AD231" s="171">
        <v>21.86</v>
      </c>
      <c r="AF231" s="171">
        <f t="shared" si="11"/>
        <v>2007</v>
      </c>
      <c r="AG231" s="171">
        <f t="shared" si="12"/>
        <v>21</v>
      </c>
      <c r="AH231" s="700">
        <f>SUMIF(D$3:$AA231,"&lt;="&amp;$AH$1)/COUNTIF(D$3:$AA231,"&lt;="&amp;$AH$1)</f>
        <v>28.706830668306679</v>
      </c>
    </row>
    <row r="232" spans="2:34" x14ac:dyDescent="0.25">
      <c r="B232" s="910">
        <v>39150</v>
      </c>
      <c r="C232" s="581">
        <f t="shared" si="10"/>
        <v>3</v>
      </c>
      <c r="D232" s="171">
        <v>23.94</v>
      </c>
      <c r="E232" s="171">
        <v>23.27</v>
      </c>
      <c r="F232" s="171">
        <v>21.64</v>
      </c>
      <c r="G232" s="171">
        <v>18.96</v>
      </c>
      <c r="H232" s="171">
        <v>16.23</v>
      </c>
      <c r="I232" s="171">
        <v>20.6</v>
      </c>
      <c r="J232" s="171">
        <v>24.990000000000002</v>
      </c>
      <c r="K232" s="171">
        <v>29.150000000000002</v>
      </c>
      <c r="L232" s="171">
        <v>34.14</v>
      </c>
      <c r="M232" s="171">
        <v>36.410000000000004</v>
      </c>
      <c r="N232" s="171">
        <v>36</v>
      </c>
      <c r="O232" s="171">
        <v>40</v>
      </c>
      <c r="P232" s="171">
        <v>35.090000000000003</v>
      </c>
      <c r="Q232" s="171">
        <v>31.94</v>
      </c>
      <c r="R232" s="171">
        <v>30</v>
      </c>
      <c r="S232" s="171">
        <v>27.42</v>
      </c>
      <c r="T232" s="171">
        <v>27.94</v>
      </c>
      <c r="U232" s="171">
        <v>27</v>
      </c>
      <c r="V232" s="171">
        <v>32</v>
      </c>
      <c r="W232" s="171">
        <v>34.93</v>
      </c>
      <c r="X232" s="171">
        <v>30.13</v>
      </c>
      <c r="Y232" s="171">
        <v>26.96</v>
      </c>
      <c r="Z232" s="171">
        <v>27</v>
      </c>
      <c r="AA232" s="171">
        <v>24.94</v>
      </c>
      <c r="AB232" s="171">
        <v>34.93</v>
      </c>
      <c r="AC232" s="171">
        <v>24.990000000000002</v>
      </c>
      <c r="AD232" s="171">
        <v>21.82</v>
      </c>
      <c r="AF232" s="171">
        <f t="shared" si="11"/>
        <v>2007</v>
      </c>
      <c r="AG232" s="171">
        <f t="shared" si="12"/>
        <v>24</v>
      </c>
      <c r="AH232" s="700">
        <f>SUMIF(D$3:$AA232,"&lt;="&amp;$AH$1)/COUNTIF(D$3:$AA232,"&lt;="&amp;$AH$1)</f>
        <v>28.703467316280964</v>
      </c>
    </row>
    <row r="233" spans="2:34" x14ac:dyDescent="0.25">
      <c r="B233" s="910">
        <v>39153</v>
      </c>
      <c r="C233" s="581">
        <f t="shared" si="10"/>
        <v>3</v>
      </c>
      <c r="D233" s="171">
        <v>24.96</v>
      </c>
      <c r="E233" s="171">
        <v>24.400000000000002</v>
      </c>
      <c r="F233" s="171">
        <v>22.6</v>
      </c>
      <c r="G233" s="171">
        <v>20.27</v>
      </c>
      <c r="H233" s="171">
        <v>20.39</v>
      </c>
      <c r="I233" s="171">
        <v>24.69</v>
      </c>
      <c r="J233" s="171">
        <v>27.98</v>
      </c>
      <c r="K233" s="171">
        <v>33.5</v>
      </c>
      <c r="L233" s="171">
        <v>33.94</v>
      </c>
      <c r="M233" s="171">
        <v>34.92</v>
      </c>
      <c r="N233" s="171">
        <v>34.950000000000003</v>
      </c>
      <c r="O233" s="171">
        <v>34</v>
      </c>
      <c r="P233" s="171">
        <v>32.97</v>
      </c>
      <c r="Q233" s="171">
        <v>30</v>
      </c>
      <c r="R233" s="171">
        <v>29.240000000000002</v>
      </c>
      <c r="S233" s="171">
        <v>28</v>
      </c>
      <c r="T233" s="171">
        <v>26.57</v>
      </c>
      <c r="U233" s="171">
        <v>26.97</v>
      </c>
      <c r="V233" s="171">
        <v>30.92</v>
      </c>
      <c r="W233" s="171">
        <v>39.96</v>
      </c>
      <c r="X233" s="171">
        <v>40</v>
      </c>
      <c r="Y233" s="171">
        <v>32.01</v>
      </c>
      <c r="Z233" s="171">
        <v>30.490000000000002</v>
      </c>
      <c r="AA233" s="171">
        <v>27.02</v>
      </c>
      <c r="AB233" s="171">
        <v>40</v>
      </c>
      <c r="AC233" s="171">
        <v>27.98</v>
      </c>
      <c r="AD233" s="171">
        <v>24.04</v>
      </c>
      <c r="AF233" s="171">
        <f t="shared" si="11"/>
        <v>2007</v>
      </c>
      <c r="AG233" s="171">
        <f t="shared" si="12"/>
        <v>24</v>
      </c>
      <c r="AH233" s="700">
        <f>SUMIF(D$3:$AA233,"&lt;="&amp;$AH$1)/COUNTIF(D$3:$AA233,"&lt;="&amp;$AH$1)</f>
        <v>28.712259750703677</v>
      </c>
    </row>
    <row r="234" spans="2:34" x14ac:dyDescent="0.25">
      <c r="B234" s="910">
        <v>39154</v>
      </c>
      <c r="C234" s="581">
        <f t="shared" si="10"/>
        <v>3</v>
      </c>
      <c r="D234" s="171">
        <v>25.150000000000002</v>
      </c>
      <c r="E234" s="171">
        <v>23.96</v>
      </c>
      <c r="F234" s="171">
        <v>22.75</v>
      </c>
      <c r="G234" s="171">
        <v>20.100000000000001</v>
      </c>
      <c r="H234" s="171">
        <v>19.82</v>
      </c>
      <c r="I234" s="171">
        <v>23</v>
      </c>
      <c r="J234" s="171">
        <v>26.59</v>
      </c>
      <c r="K234" s="171">
        <v>35</v>
      </c>
      <c r="L234" s="171">
        <v>36.5</v>
      </c>
      <c r="M234" s="171">
        <v>38.25</v>
      </c>
      <c r="N234" s="171">
        <v>37.200000000000003</v>
      </c>
      <c r="O234" s="171">
        <v>39</v>
      </c>
      <c r="P234" s="171">
        <v>35</v>
      </c>
      <c r="Q234" s="171">
        <v>35.25</v>
      </c>
      <c r="R234" s="171">
        <v>33</v>
      </c>
      <c r="S234" s="171">
        <v>29.5</v>
      </c>
      <c r="T234" s="171">
        <v>29</v>
      </c>
      <c r="U234" s="171">
        <v>29.51</v>
      </c>
      <c r="V234" s="171">
        <v>38.660000000000004</v>
      </c>
      <c r="W234" s="171">
        <v>43.43</v>
      </c>
      <c r="X234" s="171">
        <v>37.730000000000004</v>
      </c>
      <c r="Y234" s="171">
        <v>28.990000000000002</v>
      </c>
      <c r="Z234" s="171">
        <v>27.93</v>
      </c>
      <c r="AA234" s="171">
        <v>24.52</v>
      </c>
      <c r="AB234" s="171">
        <v>43.43</v>
      </c>
      <c r="AC234" s="171">
        <v>23</v>
      </c>
      <c r="AD234" s="171">
        <v>23.240000000000002</v>
      </c>
      <c r="AF234" s="171">
        <f t="shared" si="11"/>
        <v>2007</v>
      </c>
      <c r="AG234" s="171">
        <f t="shared" si="12"/>
        <v>23</v>
      </c>
      <c r="AH234" s="700">
        <f>SUMIF(D$3:$AA234,"&lt;="&amp;$AH$1)/COUNTIF(D$3:$AA234,"&lt;="&amp;$AH$1)</f>
        <v>28.72661354581675</v>
      </c>
    </row>
    <row r="235" spans="2:34" x14ac:dyDescent="0.25">
      <c r="B235" s="910">
        <v>39155</v>
      </c>
      <c r="C235" s="581">
        <f t="shared" si="10"/>
        <v>3</v>
      </c>
      <c r="D235" s="171">
        <v>23.91</v>
      </c>
      <c r="E235" s="171">
        <v>22</v>
      </c>
      <c r="F235" s="171">
        <v>20.94</v>
      </c>
      <c r="G235" s="171">
        <v>19.5</v>
      </c>
      <c r="H235" s="171">
        <v>20.81</v>
      </c>
      <c r="I235" s="171">
        <v>24</v>
      </c>
      <c r="J235" s="171">
        <v>25.92</v>
      </c>
      <c r="K235" s="171">
        <v>32.910000000000004</v>
      </c>
      <c r="L235" s="171">
        <v>33.130000000000003</v>
      </c>
      <c r="M235" s="171">
        <v>35.78</v>
      </c>
      <c r="N235" s="171">
        <v>35.880000000000003</v>
      </c>
      <c r="O235" s="171">
        <v>38</v>
      </c>
      <c r="P235" s="171">
        <v>33.75</v>
      </c>
      <c r="Q235" s="171">
        <v>34.44</v>
      </c>
      <c r="R235" s="171">
        <v>32.01</v>
      </c>
      <c r="S235" s="171">
        <v>27.79</v>
      </c>
      <c r="T235" s="171">
        <v>27.94</v>
      </c>
      <c r="U235" s="171">
        <v>27.98</v>
      </c>
      <c r="V235" s="171">
        <v>32.5</v>
      </c>
      <c r="W235" s="171">
        <v>40</v>
      </c>
      <c r="X235" s="171">
        <v>35</v>
      </c>
      <c r="Y235" s="171">
        <v>29.2</v>
      </c>
      <c r="Z235" s="171">
        <v>28.2</v>
      </c>
      <c r="AA235" s="171">
        <v>23.95</v>
      </c>
      <c r="AB235" s="171">
        <v>40</v>
      </c>
      <c r="AC235" s="171">
        <v>25.92</v>
      </c>
      <c r="AD235" s="171">
        <v>22.63</v>
      </c>
      <c r="AF235" s="171">
        <f t="shared" si="11"/>
        <v>2007</v>
      </c>
      <c r="AG235" s="171">
        <f t="shared" si="12"/>
        <v>24</v>
      </c>
      <c r="AH235" s="700">
        <f>SUMIF(D$3:$AA235,"&lt;="&amp;$AH$1)/COUNTIF(D$3:$AA235,"&lt;="&amp;$AH$1)</f>
        <v>28.732967640094728</v>
      </c>
    </row>
    <row r="236" spans="2:34" x14ac:dyDescent="0.25">
      <c r="B236" s="910">
        <v>39156</v>
      </c>
      <c r="C236" s="581">
        <f t="shared" si="10"/>
        <v>3</v>
      </c>
      <c r="D236" s="171">
        <v>22</v>
      </c>
      <c r="E236" s="171">
        <v>21.95</v>
      </c>
      <c r="F236" s="171">
        <v>20.96</v>
      </c>
      <c r="G236" s="171">
        <v>18.920000000000002</v>
      </c>
      <c r="H236" s="171">
        <v>19.79</v>
      </c>
      <c r="I236" s="171">
        <v>22.97</v>
      </c>
      <c r="J236" s="171">
        <v>26.97</v>
      </c>
      <c r="K236" s="171">
        <v>31</v>
      </c>
      <c r="L236" s="171">
        <v>33.33</v>
      </c>
      <c r="M236" s="171">
        <v>33.11</v>
      </c>
      <c r="N236" s="171">
        <v>33.08</v>
      </c>
      <c r="O236" s="171">
        <v>35</v>
      </c>
      <c r="P236" s="171">
        <v>32.770000000000003</v>
      </c>
      <c r="Q236" s="171">
        <v>31</v>
      </c>
      <c r="R236" s="171">
        <v>28.02</v>
      </c>
      <c r="S236" s="171">
        <v>28</v>
      </c>
      <c r="T236" s="171">
        <v>26.1</v>
      </c>
      <c r="U236" s="171">
        <v>26.39</v>
      </c>
      <c r="V236" s="171">
        <v>31</v>
      </c>
      <c r="W236" s="171">
        <v>38</v>
      </c>
      <c r="X236" s="171">
        <v>33</v>
      </c>
      <c r="Y236" s="171">
        <v>27.96</v>
      </c>
      <c r="Z236" s="171">
        <v>28.93</v>
      </c>
      <c r="AA236" s="171">
        <v>26.85</v>
      </c>
      <c r="AB236" s="171">
        <v>38</v>
      </c>
      <c r="AC236" s="171">
        <v>22.97</v>
      </c>
      <c r="AD236" s="171">
        <v>22.55</v>
      </c>
      <c r="AF236" s="171">
        <f t="shared" si="11"/>
        <v>2007</v>
      </c>
      <c r="AG236" s="171">
        <f t="shared" si="12"/>
        <v>24</v>
      </c>
      <c r="AH236" s="700">
        <f>SUMIF(D$3:$AA236,"&lt;="&amp;$AH$1)/COUNTIF(D$3:$AA236,"&lt;="&amp;$AH$1)</f>
        <v>28.728084440969532</v>
      </c>
    </row>
    <row r="237" spans="2:34" x14ac:dyDescent="0.25">
      <c r="B237" s="910">
        <v>39157</v>
      </c>
      <c r="C237" s="581">
        <f t="shared" si="10"/>
        <v>3</v>
      </c>
      <c r="D237" s="171">
        <v>23.68</v>
      </c>
      <c r="E237" s="171">
        <v>23.5</v>
      </c>
      <c r="F237" s="171">
        <v>21.91</v>
      </c>
      <c r="G237" s="171">
        <v>20.87</v>
      </c>
      <c r="H237" s="171">
        <v>21.5</v>
      </c>
      <c r="I237" s="171">
        <v>22.94</v>
      </c>
      <c r="J237" s="171">
        <v>26.900000000000002</v>
      </c>
      <c r="K237" s="171">
        <v>30</v>
      </c>
      <c r="L237" s="171">
        <v>32.94</v>
      </c>
      <c r="M237" s="171">
        <v>34.61</v>
      </c>
      <c r="N237" s="171">
        <v>33.910000000000004</v>
      </c>
      <c r="O237" s="171">
        <v>33.11</v>
      </c>
      <c r="P237" s="171">
        <v>31.5</v>
      </c>
      <c r="Q237" s="171">
        <v>29.91</v>
      </c>
      <c r="R237" s="171">
        <v>27.92</v>
      </c>
      <c r="S237" s="171">
        <v>25.92</v>
      </c>
      <c r="T237" s="171">
        <v>24.93</v>
      </c>
      <c r="U237" s="171">
        <v>24.98</v>
      </c>
      <c r="V237" s="171">
        <v>28.96</v>
      </c>
      <c r="W237" s="171">
        <v>32.94</v>
      </c>
      <c r="X237" s="171">
        <v>30</v>
      </c>
      <c r="Y237" s="171">
        <v>25.41</v>
      </c>
      <c r="Z237" s="171">
        <v>23.740000000000002</v>
      </c>
      <c r="AA237" s="171">
        <v>24.87</v>
      </c>
      <c r="AB237" s="171">
        <v>34.61</v>
      </c>
      <c r="AC237" s="171">
        <v>24.93</v>
      </c>
      <c r="AD237" s="171">
        <v>23.27</v>
      </c>
      <c r="AF237" s="171">
        <f t="shared" si="11"/>
        <v>2007</v>
      </c>
      <c r="AG237" s="171">
        <f t="shared" si="12"/>
        <v>24</v>
      </c>
      <c r="AH237" s="700">
        <f>SUMIF(D$3:$AA237,"&lt;="&amp;$AH$1)/COUNTIF(D$3:$AA237,"&lt;="&amp;$AH$1)</f>
        <v>28.715487993803276</v>
      </c>
    </row>
    <row r="238" spans="2:34" x14ac:dyDescent="0.25">
      <c r="B238" s="910">
        <v>39160</v>
      </c>
      <c r="C238" s="581">
        <f t="shared" si="10"/>
        <v>3</v>
      </c>
      <c r="D238" s="171">
        <v>22.66</v>
      </c>
      <c r="E238" s="171">
        <v>25.14</v>
      </c>
      <c r="F238" s="171">
        <v>21.54</v>
      </c>
      <c r="G238" s="171">
        <v>13.450000000000001</v>
      </c>
      <c r="H238" s="171">
        <v>9.91</v>
      </c>
      <c r="I238" s="171">
        <v>21.95</v>
      </c>
      <c r="J238" s="171">
        <v>28.6</v>
      </c>
      <c r="K238" s="171">
        <v>34.01</v>
      </c>
      <c r="L238" s="171">
        <v>32.58</v>
      </c>
      <c r="M238" s="171">
        <v>38.800000000000004</v>
      </c>
      <c r="N238" s="171">
        <v>39.25</v>
      </c>
      <c r="O238" s="171">
        <v>45.75</v>
      </c>
      <c r="P238" s="171">
        <v>36.5</v>
      </c>
      <c r="Q238" s="171">
        <v>38.75</v>
      </c>
      <c r="R238" s="171">
        <v>33.590000000000003</v>
      </c>
      <c r="S238" s="171">
        <v>32.980000000000004</v>
      </c>
      <c r="T238" s="171">
        <v>30.970000000000002</v>
      </c>
      <c r="U238" s="171">
        <v>30.96</v>
      </c>
      <c r="V238" s="171">
        <v>35.96</v>
      </c>
      <c r="W238" s="171">
        <v>49.68</v>
      </c>
      <c r="X238" s="171">
        <v>39.93</v>
      </c>
      <c r="Y238" s="171">
        <v>34.5</v>
      </c>
      <c r="Z238" s="171">
        <v>32.83</v>
      </c>
      <c r="AA238" s="171">
        <v>28.14</v>
      </c>
      <c r="AB238" s="171">
        <v>49.68</v>
      </c>
      <c r="AC238" s="171">
        <v>28.6</v>
      </c>
      <c r="AD238" s="171">
        <v>21.42</v>
      </c>
      <c r="AF238" s="171">
        <f t="shared" si="11"/>
        <v>2007</v>
      </c>
      <c r="AG238" s="171">
        <f t="shared" si="12"/>
        <v>22</v>
      </c>
      <c r="AH238" s="700">
        <f>SUMIF(D$3:$AA238,"&lt;="&amp;$AH$1)/COUNTIF(D$3:$AA238,"&lt;="&amp;$AH$1)</f>
        <v>28.727492319508471</v>
      </c>
    </row>
    <row r="239" spans="2:34" x14ac:dyDescent="0.25">
      <c r="B239" s="910">
        <v>39161</v>
      </c>
      <c r="C239" s="581">
        <f t="shared" si="10"/>
        <v>3</v>
      </c>
      <c r="D239" s="171">
        <v>23.19</v>
      </c>
      <c r="E239" s="171">
        <v>24.28</v>
      </c>
      <c r="F239" s="171">
        <v>23</v>
      </c>
      <c r="G239" s="171">
        <v>20.73</v>
      </c>
      <c r="H239" s="171">
        <v>20.75</v>
      </c>
      <c r="I239" s="171">
        <v>23.01</v>
      </c>
      <c r="J239" s="171">
        <v>28.07</v>
      </c>
      <c r="K239" s="171">
        <v>34.69</v>
      </c>
      <c r="L239" s="171">
        <v>37.68</v>
      </c>
      <c r="M239" s="171">
        <v>39.61</v>
      </c>
      <c r="N239" s="171">
        <v>39.660000000000004</v>
      </c>
      <c r="O239" s="171">
        <v>40</v>
      </c>
      <c r="P239" s="171">
        <v>34.99</v>
      </c>
      <c r="Q239" s="171">
        <v>34.950000000000003</v>
      </c>
      <c r="R239" s="171">
        <v>33.94</v>
      </c>
      <c r="S239" s="171">
        <v>32.33</v>
      </c>
      <c r="T239" s="171">
        <v>32.980000000000004</v>
      </c>
      <c r="U239" s="171">
        <v>31.990000000000002</v>
      </c>
      <c r="V239" s="171">
        <v>40</v>
      </c>
      <c r="W239" s="171">
        <v>52.81</v>
      </c>
      <c r="X239" s="171">
        <v>40.619999999999997</v>
      </c>
      <c r="Y239" s="171">
        <v>31.400000000000002</v>
      </c>
      <c r="Z239" s="171">
        <v>30.23</v>
      </c>
      <c r="AA239" s="171">
        <v>27.93</v>
      </c>
      <c r="AB239" s="171">
        <v>52.81</v>
      </c>
      <c r="AC239" s="171">
        <v>28.07</v>
      </c>
      <c r="AD239" s="171">
        <v>23.87</v>
      </c>
      <c r="AF239" s="171">
        <f t="shared" si="11"/>
        <v>2007</v>
      </c>
      <c r="AG239" s="171">
        <f t="shared" si="12"/>
        <v>23</v>
      </c>
      <c r="AH239" s="700">
        <f>SUMIF(D$3:$AA239,"&lt;="&amp;$AH$1)/COUNTIF(D$3:$AA239,"&lt;="&amp;$AH$1)</f>
        <v>28.7523486867149</v>
      </c>
    </row>
    <row r="240" spans="2:34" x14ac:dyDescent="0.25">
      <c r="B240" s="910">
        <v>39162</v>
      </c>
      <c r="C240" s="581">
        <f t="shared" si="10"/>
        <v>3</v>
      </c>
      <c r="D240" s="171">
        <v>24</v>
      </c>
      <c r="E240" s="171">
        <v>21.39</v>
      </c>
      <c r="F240" s="171">
        <v>21.05</v>
      </c>
      <c r="G240" s="171">
        <v>21</v>
      </c>
      <c r="H240" s="171">
        <v>21.77</v>
      </c>
      <c r="I240" s="171">
        <v>24.080000000000002</v>
      </c>
      <c r="J240" s="171">
        <v>26.82</v>
      </c>
      <c r="K240" s="171">
        <v>30.1</v>
      </c>
      <c r="L240" s="171">
        <v>34.01</v>
      </c>
      <c r="M240" s="171">
        <v>35.04</v>
      </c>
      <c r="N240" s="171">
        <v>34.880000000000003</v>
      </c>
      <c r="O240" s="171">
        <v>34.67</v>
      </c>
      <c r="P240" s="171">
        <v>34.300000000000004</v>
      </c>
      <c r="Q240" s="171">
        <v>34.880000000000003</v>
      </c>
      <c r="R240" s="171">
        <v>33.1</v>
      </c>
      <c r="S240" s="171">
        <v>31.990000000000002</v>
      </c>
      <c r="T240" s="171">
        <v>32.1</v>
      </c>
      <c r="U240" s="171">
        <v>30.55</v>
      </c>
      <c r="V240" s="171">
        <v>35.06</v>
      </c>
      <c r="W240" s="171">
        <v>50.18</v>
      </c>
      <c r="X240" s="171">
        <v>39.980000000000004</v>
      </c>
      <c r="Y240" s="171">
        <v>30.88</v>
      </c>
      <c r="Z240" s="171">
        <v>26.48</v>
      </c>
      <c r="AA240" s="171">
        <v>26.560000000000002</v>
      </c>
      <c r="AB240" s="171">
        <v>50.18</v>
      </c>
      <c r="AC240" s="171">
        <v>26.82</v>
      </c>
      <c r="AD240" s="171">
        <v>23.330000000000002</v>
      </c>
      <c r="AF240" s="171">
        <f t="shared" si="11"/>
        <v>2007</v>
      </c>
      <c r="AG240" s="171">
        <f t="shared" si="12"/>
        <v>23</v>
      </c>
      <c r="AH240" s="700">
        <f>SUMIF(D$3:$AA240,"&lt;="&amp;$AH$1)/COUNTIF(D$3:$AA240,"&lt;="&amp;$AH$1)</f>
        <v>28.761173584905688</v>
      </c>
    </row>
    <row r="241" spans="2:34" x14ac:dyDescent="0.25">
      <c r="B241" s="910">
        <v>39163</v>
      </c>
      <c r="C241" s="581">
        <f t="shared" si="10"/>
        <v>3</v>
      </c>
      <c r="D241" s="171">
        <v>24.080000000000002</v>
      </c>
      <c r="E241" s="171">
        <v>21.55</v>
      </c>
      <c r="F241" s="171">
        <v>19.830000000000002</v>
      </c>
      <c r="G241" s="171">
        <v>20.420000000000002</v>
      </c>
      <c r="H241" s="171">
        <v>20.92</v>
      </c>
      <c r="I241" s="171">
        <v>23.5</v>
      </c>
      <c r="J241" s="171">
        <v>27.37</v>
      </c>
      <c r="K241" s="171">
        <v>30.61</v>
      </c>
      <c r="L241" s="171">
        <v>36.47</v>
      </c>
      <c r="M241" s="171">
        <v>36.910000000000004</v>
      </c>
      <c r="N241" s="171">
        <v>36.01</v>
      </c>
      <c r="O241" s="171">
        <v>36.99</v>
      </c>
      <c r="P241" s="171">
        <v>35.020000000000003</v>
      </c>
      <c r="Q241" s="171">
        <v>35</v>
      </c>
      <c r="R241" s="171">
        <v>33</v>
      </c>
      <c r="S241" s="171">
        <v>31.080000000000002</v>
      </c>
      <c r="T241" s="171">
        <v>31.02</v>
      </c>
      <c r="U241" s="171">
        <v>30.19</v>
      </c>
      <c r="V241" s="171">
        <v>36.090000000000003</v>
      </c>
      <c r="W241" s="171">
        <v>54.6</v>
      </c>
      <c r="X241" s="171">
        <v>40</v>
      </c>
      <c r="Y241" s="171">
        <v>31.93</v>
      </c>
      <c r="Z241" s="171">
        <v>30.1</v>
      </c>
      <c r="AA241" s="171">
        <v>29.96</v>
      </c>
      <c r="AB241" s="171">
        <v>54.6</v>
      </c>
      <c r="AC241" s="171">
        <v>27.37</v>
      </c>
      <c r="AD241" s="171">
        <v>23.45</v>
      </c>
      <c r="AF241" s="171">
        <f t="shared" si="11"/>
        <v>2007</v>
      </c>
      <c r="AG241" s="171">
        <f t="shared" si="12"/>
        <v>23</v>
      </c>
      <c r="AH241" s="700">
        <f>SUMIF(D$3:$AA241,"&lt;="&amp;$AH$1)/COUNTIF(D$3:$AA241,"&lt;="&amp;$AH$1)</f>
        <v>28.774844743733667</v>
      </c>
    </row>
    <row r="242" spans="2:34" x14ac:dyDescent="0.25">
      <c r="B242" s="910">
        <v>39164</v>
      </c>
      <c r="C242" s="581">
        <f t="shared" si="10"/>
        <v>3</v>
      </c>
      <c r="D242" s="171">
        <v>26</v>
      </c>
      <c r="E242" s="171">
        <v>22.29</v>
      </c>
      <c r="F242" s="171">
        <v>22.14</v>
      </c>
      <c r="G242" s="171">
        <v>22.44</v>
      </c>
      <c r="H242" s="171">
        <v>22.39</v>
      </c>
      <c r="I242" s="171">
        <v>24.52</v>
      </c>
      <c r="J242" s="171">
        <v>30.01</v>
      </c>
      <c r="K242" s="171">
        <v>31.69</v>
      </c>
      <c r="L242" s="171">
        <v>36.700000000000003</v>
      </c>
      <c r="M242" s="171">
        <v>39.96</v>
      </c>
      <c r="N242" s="171">
        <v>40.700000000000003</v>
      </c>
      <c r="O242" s="171">
        <v>42</v>
      </c>
      <c r="P242" s="171">
        <v>40.050000000000004</v>
      </c>
      <c r="Q242" s="171">
        <v>35.94</v>
      </c>
      <c r="R242" s="171">
        <v>32.130000000000003</v>
      </c>
      <c r="S242" s="171">
        <v>30.01</v>
      </c>
      <c r="T242" s="171">
        <v>28.07</v>
      </c>
      <c r="U242" s="171">
        <v>28.04</v>
      </c>
      <c r="V242" s="171">
        <v>32</v>
      </c>
      <c r="W242" s="171">
        <v>41</v>
      </c>
      <c r="X242" s="171">
        <v>37.06</v>
      </c>
      <c r="Y242" s="171">
        <v>30</v>
      </c>
      <c r="Z242" s="171">
        <v>30.34</v>
      </c>
      <c r="AA242" s="171">
        <v>30.6</v>
      </c>
      <c r="AB242" s="171">
        <v>42</v>
      </c>
      <c r="AC242" s="171">
        <v>28.04</v>
      </c>
      <c r="AD242" s="171">
        <v>25.05</v>
      </c>
      <c r="AF242" s="171">
        <f t="shared" si="11"/>
        <v>2007</v>
      </c>
      <c r="AG242" s="171">
        <f t="shared" si="12"/>
        <v>24</v>
      </c>
      <c r="AH242" s="700">
        <f>SUMIF(D$3:$AA242,"&lt;="&amp;$AH$1)/COUNTIF(D$3:$AA242,"&lt;="&amp;$AH$1)</f>
        <v>28.799124953652239</v>
      </c>
    </row>
    <row r="243" spans="2:34" x14ac:dyDescent="0.25">
      <c r="B243" s="910">
        <v>39167</v>
      </c>
      <c r="C243" s="581">
        <f t="shared" si="10"/>
        <v>3</v>
      </c>
      <c r="D243" s="171">
        <v>22.41</v>
      </c>
      <c r="E243" s="171">
        <v>21.98</v>
      </c>
      <c r="F243" s="171">
        <v>21.92</v>
      </c>
      <c r="G243" s="171">
        <v>20.400000000000002</v>
      </c>
      <c r="H243" s="171">
        <v>21.91</v>
      </c>
      <c r="I243" s="171">
        <v>22.650000000000002</v>
      </c>
      <c r="J243" s="171">
        <v>26.44</v>
      </c>
      <c r="K243" s="171">
        <v>32.9</v>
      </c>
      <c r="L243" s="171">
        <v>32.99</v>
      </c>
      <c r="M243" s="171">
        <v>39</v>
      </c>
      <c r="N243" s="171">
        <v>39.800000000000004</v>
      </c>
      <c r="O243" s="171">
        <v>37</v>
      </c>
      <c r="P243" s="171">
        <v>34.96</v>
      </c>
      <c r="Q243" s="171">
        <v>32.99</v>
      </c>
      <c r="R243" s="171">
        <v>32</v>
      </c>
      <c r="S243" s="171">
        <v>29</v>
      </c>
      <c r="T243" s="171">
        <v>27</v>
      </c>
      <c r="U243" s="171">
        <v>24.19</v>
      </c>
      <c r="V243" s="171">
        <v>23</v>
      </c>
      <c r="W243" s="171">
        <v>24</v>
      </c>
      <c r="X243" s="171">
        <v>29.96</v>
      </c>
      <c r="Y243" s="171">
        <v>27.92</v>
      </c>
      <c r="Z243" s="171">
        <v>27.95</v>
      </c>
      <c r="AA243" s="171">
        <v>25.91</v>
      </c>
      <c r="AB243" s="171">
        <v>39.800000000000004</v>
      </c>
      <c r="AC243" s="171">
        <v>23</v>
      </c>
      <c r="AD243" s="171">
        <v>22.95</v>
      </c>
      <c r="AF243" s="171">
        <f t="shared" si="11"/>
        <v>2007</v>
      </c>
      <c r="AG243" s="171">
        <f t="shared" si="12"/>
        <v>24</v>
      </c>
      <c r="AH243" s="700">
        <f>SUMIF(D$3:$AA243,"&lt;="&amp;$AH$1)/COUNTIF(D$3:$AA243,"&lt;="&amp;$AH$1)</f>
        <v>28.794384417493607</v>
      </c>
    </row>
    <row r="244" spans="2:34" x14ac:dyDescent="0.25">
      <c r="B244" s="910">
        <v>39168</v>
      </c>
      <c r="C244" s="581">
        <f t="shared" si="10"/>
        <v>3</v>
      </c>
      <c r="D244" s="171">
        <v>25.01</v>
      </c>
      <c r="E244" s="171">
        <v>22</v>
      </c>
      <c r="F244" s="171">
        <v>20.23</v>
      </c>
      <c r="G244" s="171">
        <v>18.809999999999999</v>
      </c>
      <c r="H244" s="171">
        <v>19</v>
      </c>
      <c r="I244" s="171">
        <v>24.93</v>
      </c>
      <c r="J244" s="171">
        <v>28.03</v>
      </c>
      <c r="K244" s="171">
        <v>35.94</v>
      </c>
      <c r="L244" s="171">
        <v>40.99</v>
      </c>
      <c r="M244" s="171">
        <v>48.9</v>
      </c>
      <c r="N244" s="171">
        <v>39.99</v>
      </c>
      <c r="O244" s="171">
        <v>38.99</v>
      </c>
      <c r="P244" s="171">
        <v>36.96</v>
      </c>
      <c r="Q244" s="171">
        <v>35.21</v>
      </c>
      <c r="R244" s="171">
        <v>33.6</v>
      </c>
      <c r="S244" s="171">
        <v>30.580000000000002</v>
      </c>
      <c r="T244" s="171">
        <v>28</v>
      </c>
      <c r="U244" s="171">
        <v>26.96</v>
      </c>
      <c r="V244" s="171">
        <v>27.55</v>
      </c>
      <c r="W244" s="171">
        <v>28.900000000000002</v>
      </c>
      <c r="X244" s="171">
        <v>35.020000000000003</v>
      </c>
      <c r="Y244" s="171">
        <v>29.76</v>
      </c>
      <c r="Z244" s="171">
        <v>28.97</v>
      </c>
      <c r="AA244" s="171">
        <v>27.93</v>
      </c>
      <c r="AB244" s="171">
        <v>48.99</v>
      </c>
      <c r="AC244" s="171">
        <v>26.96</v>
      </c>
      <c r="AD244" s="171">
        <v>23.240000000000002</v>
      </c>
      <c r="AF244" s="171">
        <f t="shared" si="11"/>
        <v>2007</v>
      </c>
      <c r="AG244" s="171">
        <f t="shared" si="12"/>
        <v>23</v>
      </c>
      <c r="AH244" s="700">
        <f>SUMIF(D$3:$AA244,"&lt;="&amp;$AH$1)/COUNTIF(D$3:$AA244,"&lt;="&amp;$AH$1)</f>
        <v>28.802069970845526</v>
      </c>
    </row>
    <row r="245" spans="2:34" x14ac:dyDescent="0.25">
      <c r="B245" s="910">
        <v>39169</v>
      </c>
      <c r="C245" s="581">
        <f t="shared" si="10"/>
        <v>3</v>
      </c>
      <c r="D245" s="171">
        <v>24</v>
      </c>
      <c r="E245" s="171">
        <v>22.1</v>
      </c>
      <c r="F245" s="171">
        <v>22</v>
      </c>
      <c r="G245" s="171">
        <v>20.39</v>
      </c>
      <c r="H245" s="171">
        <v>18.96</v>
      </c>
      <c r="I245" s="171">
        <v>23.18</v>
      </c>
      <c r="J245" s="171">
        <v>26.990000000000002</v>
      </c>
      <c r="K245" s="171">
        <v>33.79</v>
      </c>
      <c r="L245" s="171">
        <v>39.090000000000003</v>
      </c>
      <c r="M245" s="171">
        <v>40.090000000000003</v>
      </c>
      <c r="N245" s="171">
        <v>42.69</v>
      </c>
      <c r="O245" s="171">
        <v>43.050000000000004</v>
      </c>
      <c r="P245" s="171">
        <v>41.050000000000004</v>
      </c>
      <c r="Q245" s="171">
        <v>36.5</v>
      </c>
      <c r="R245" s="171">
        <v>34.36</v>
      </c>
      <c r="S245" s="171">
        <v>32</v>
      </c>
      <c r="T245" s="171">
        <v>30</v>
      </c>
      <c r="U245" s="171">
        <v>28.36</v>
      </c>
      <c r="V245" s="171">
        <v>28</v>
      </c>
      <c r="W245" s="171">
        <v>29.400000000000002</v>
      </c>
      <c r="X245" s="171">
        <v>36.630000000000003</v>
      </c>
      <c r="Y245" s="171">
        <v>30.900000000000002</v>
      </c>
      <c r="Z245" s="171">
        <v>29.96</v>
      </c>
      <c r="AA245" s="171">
        <v>27</v>
      </c>
      <c r="AB245" s="171">
        <v>43.050000000000004</v>
      </c>
      <c r="AC245" s="171">
        <v>26.990000000000002</v>
      </c>
      <c r="AD245" s="171">
        <v>23.080000000000002</v>
      </c>
      <c r="AF245" s="171">
        <f t="shared" si="11"/>
        <v>2007</v>
      </c>
      <c r="AG245" s="171">
        <f t="shared" si="12"/>
        <v>22</v>
      </c>
      <c r="AH245" s="700">
        <f>SUMIF(D$3:$AA245,"&lt;="&amp;$AH$1)/COUNTIF(D$3:$AA245,"&lt;="&amp;$AH$1)</f>
        <v>28.809699927693465</v>
      </c>
    </row>
    <row r="246" spans="2:34" x14ac:dyDescent="0.25">
      <c r="B246" s="910">
        <v>39170</v>
      </c>
      <c r="C246" s="581">
        <f t="shared" si="10"/>
        <v>3</v>
      </c>
      <c r="D246" s="171">
        <v>23.04</v>
      </c>
      <c r="E246" s="171">
        <v>23.04</v>
      </c>
      <c r="F246" s="171">
        <v>21.41</v>
      </c>
      <c r="G246" s="171">
        <v>19.45</v>
      </c>
      <c r="H246" s="171">
        <v>16</v>
      </c>
      <c r="I246" s="171">
        <v>23.01</v>
      </c>
      <c r="J246" s="171">
        <v>25.09</v>
      </c>
      <c r="K246" s="171">
        <v>33</v>
      </c>
      <c r="L246" s="171">
        <v>34.96</v>
      </c>
      <c r="M246" s="171">
        <v>38.800000000000004</v>
      </c>
      <c r="N246" s="171">
        <v>50</v>
      </c>
      <c r="O246" s="171">
        <v>55</v>
      </c>
      <c r="P246" s="171">
        <v>40</v>
      </c>
      <c r="Q246" s="171">
        <v>47.4</v>
      </c>
      <c r="R246" s="171">
        <v>37</v>
      </c>
      <c r="S246" s="171">
        <v>32.53</v>
      </c>
      <c r="T246" s="171">
        <v>32</v>
      </c>
      <c r="U246" s="171">
        <v>30</v>
      </c>
      <c r="V246" s="171">
        <v>29.35</v>
      </c>
      <c r="W246" s="171">
        <v>29.8</v>
      </c>
      <c r="X246" s="171">
        <v>37.33</v>
      </c>
      <c r="Y246" s="171">
        <v>29.94</v>
      </c>
      <c r="Z246" s="171">
        <v>29.01</v>
      </c>
      <c r="AA246" s="171">
        <v>27.8</v>
      </c>
      <c r="AB246" s="171">
        <v>55</v>
      </c>
      <c r="AC246" s="171">
        <v>25.09</v>
      </c>
      <c r="AD246" s="171">
        <v>22.36</v>
      </c>
      <c r="AF246" s="171">
        <f t="shared" si="11"/>
        <v>2007</v>
      </c>
      <c r="AG246" s="171">
        <f t="shared" si="12"/>
        <v>21</v>
      </c>
      <c r="AH246" s="700">
        <f>SUMIF(D$3:$AA246,"&lt;="&amp;$AH$1)/COUNTIF(D$3:$AA246,"&lt;="&amp;$AH$1)</f>
        <v>28.812411194833196</v>
      </c>
    </row>
    <row r="247" spans="2:34" x14ac:dyDescent="0.25">
      <c r="B247" s="910">
        <v>39171</v>
      </c>
      <c r="C247" s="581">
        <f t="shared" si="10"/>
        <v>3</v>
      </c>
      <c r="D247" s="171">
        <v>24.91</v>
      </c>
      <c r="E247" s="171">
        <v>24.830000000000002</v>
      </c>
      <c r="F247" s="171">
        <v>23.18</v>
      </c>
      <c r="G247" s="171">
        <v>20.96</v>
      </c>
      <c r="H247" s="171">
        <v>18.43</v>
      </c>
      <c r="I247" s="171">
        <v>23.92</v>
      </c>
      <c r="J247" s="171">
        <v>27.59</v>
      </c>
      <c r="K247" s="171">
        <v>34.92</v>
      </c>
      <c r="L247" s="171">
        <v>38.92</v>
      </c>
      <c r="M247" s="171">
        <v>99</v>
      </c>
      <c r="N247" s="171">
        <v>120</v>
      </c>
      <c r="O247" s="171">
        <v>81.150000000000006</v>
      </c>
      <c r="P247" s="171">
        <v>55</v>
      </c>
      <c r="Q247" s="171">
        <v>59.96</v>
      </c>
      <c r="R247" s="171">
        <v>45</v>
      </c>
      <c r="S247" s="171">
        <v>40</v>
      </c>
      <c r="T247" s="171">
        <v>32</v>
      </c>
      <c r="U247" s="171">
        <v>29.96</v>
      </c>
      <c r="V247" s="171">
        <v>29.96</v>
      </c>
      <c r="W247" s="171">
        <v>30.29</v>
      </c>
      <c r="X247" s="171">
        <v>36</v>
      </c>
      <c r="Y247" s="171">
        <v>30.93</v>
      </c>
      <c r="Z247" s="171">
        <v>30.91</v>
      </c>
      <c r="AA247" s="171">
        <v>29.92</v>
      </c>
      <c r="AB247" s="171">
        <v>120</v>
      </c>
      <c r="AC247" s="171">
        <v>27.59</v>
      </c>
      <c r="AD247" s="171">
        <v>24.22</v>
      </c>
      <c r="AF247" s="171">
        <f t="shared" si="11"/>
        <v>2007</v>
      </c>
      <c r="AG247" s="171">
        <f t="shared" si="12"/>
        <v>18</v>
      </c>
      <c r="AH247" s="700">
        <f>SUMIF(D$3:$AA247,"&lt;="&amp;$AH$1)/COUNTIF(D$3:$AA247,"&lt;="&amp;$AH$1)</f>
        <v>28.815622103386847</v>
      </c>
    </row>
    <row r="248" spans="2:34" x14ac:dyDescent="0.25">
      <c r="B248" s="910">
        <v>39174</v>
      </c>
      <c r="C248" s="581">
        <f t="shared" si="10"/>
        <v>4</v>
      </c>
      <c r="D248" s="171">
        <v>27.900000000000002</v>
      </c>
      <c r="E248" s="171">
        <v>24.12</v>
      </c>
      <c r="F248" s="171">
        <v>21.990000000000002</v>
      </c>
      <c r="G248" s="171">
        <v>21.46</v>
      </c>
      <c r="H248" s="171">
        <v>21.59</v>
      </c>
      <c r="I248" s="171">
        <v>28.01</v>
      </c>
      <c r="J248" s="171">
        <v>32.99</v>
      </c>
      <c r="K248" s="171">
        <v>41.26</v>
      </c>
      <c r="L248" s="171">
        <v>46.67</v>
      </c>
      <c r="M248" s="171">
        <v>51.99</v>
      </c>
      <c r="N248" s="171">
        <v>51.1</v>
      </c>
      <c r="O248" s="171">
        <v>53.11</v>
      </c>
      <c r="P248" s="171">
        <v>49.83</v>
      </c>
      <c r="Q248" s="171">
        <v>46.660000000000004</v>
      </c>
      <c r="R248" s="171">
        <v>42.980000000000004</v>
      </c>
      <c r="S248" s="171">
        <v>39.869999999999997</v>
      </c>
      <c r="T248" s="171">
        <v>34.619999999999997</v>
      </c>
      <c r="U248" s="171">
        <v>35.35</v>
      </c>
      <c r="V248" s="171">
        <v>33.39</v>
      </c>
      <c r="W248" s="171">
        <v>32.99</v>
      </c>
      <c r="X248" s="171">
        <v>42.36</v>
      </c>
      <c r="Y248" s="171">
        <v>38.6</v>
      </c>
      <c r="Z248" s="171">
        <v>34.910000000000004</v>
      </c>
      <c r="AA248" s="171">
        <v>32.980000000000004</v>
      </c>
      <c r="AB248" s="171">
        <v>53.11</v>
      </c>
      <c r="AC248" s="171">
        <v>32.99</v>
      </c>
      <c r="AD248" s="171">
        <v>26.38</v>
      </c>
      <c r="AF248" s="171">
        <f t="shared" si="11"/>
        <v>2007</v>
      </c>
      <c r="AG248" s="171">
        <f t="shared" si="12"/>
        <v>17</v>
      </c>
      <c r="AH248" s="700">
        <f>SUMIF(D$3:$AA248,"&lt;="&amp;$AH$1)/COUNTIF(D$3:$AA248,"&lt;="&amp;$AH$1)</f>
        <v>28.834943302622293</v>
      </c>
    </row>
    <row r="249" spans="2:34" x14ac:dyDescent="0.25">
      <c r="B249" s="910">
        <v>39175</v>
      </c>
      <c r="C249" s="581">
        <f t="shared" si="10"/>
        <v>4</v>
      </c>
      <c r="D249" s="171">
        <v>25.05</v>
      </c>
      <c r="E249" s="171">
        <v>22.5</v>
      </c>
      <c r="F249" s="171">
        <v>21.5</v>
      </c>
      <c r="G249" s="171">
        <v>20.080000000000002</v>
      </c>
      <c r="H249" s="171">
        <v>19.09</v>
      </c>
      <c r="I249" s="171">
        <v>24.44</v>
      </c>
      <c r="J249" s="171">
        <v>28.35</v>
      </c>
      <c r="K249" s="171">
        <v>45.01</v>
      </c>
      <c r="L249" s="171">
        <v>46.01</v>
      </c>
      <c r="M249" s="171">
        <v>46.02</v>
      </c>
      <c r="N249" s="171">
        <v>45.800000000000004</v>
      </c>
      <c r="O249" s="171">
        <v>47.56</v>
      </c>
      <c r="P249" s="171">
        <v>43.87</v>
      </c>
      <c r="Q249" s="171">
        <v>40.01</v>
      </c>
      <c r="R249" s="171">
        <v>35.35</v>
      </c>
      <c r="S249" s="171">
        <v>32.99</v>
      </c>
      <c r="T249" s="171">
        <v>29.09</v>
      </c>
      <c r="U249" s="171">
        <v>28.87</v>
      </c>
      <c r="V249" s="171">
        <v>29.51</v>
      </c>
      <c r="W249" s="171">
        <v>29.97</v>
      </c>
      <c r="X249" s="171">
        <v>38.04</v>
      </c>
      <c r="Y249" s="171">
        <v>31.060000000000002</v>
      </c>
      <c r="Z249" s="171">
        <v>32.01</v>
      </c>
      <c r="AA249" s="171">
        <v>29.75</v>
      </c>
      <c r="AB249" s="171">
        <v>47.56</v>
      </c>
      <c r="AC249" s="171">
        <v>28.35</v>
      </c>
      <c r="AD249" s="171">
        <v>23.84</v>
      </c>
      <c r="AF249" s="171">
        <f t="shared" si="11"/>
        <v>2007</v>
      </c>
      <c r="AG249" s="171">
        <f t="shared" si="12"/>
        <v>18</v>
      </c>
      <c r="AH249" s="700">
        <f>SUMIF(D$3:$AA249,"&lt;="&amp;$AH$1)/COUNTIF(D$3:$AA249,"&lt;="&amp;$AH$1)</f>
        <v>28.834461267605668</v>
      </c>
    </row>
    <row r="250" spans="2:34" x14ac:dyDescent="0.25">
      <c r="B250" s="910">
        <v>39176</v>
      </c>
      <c r="C250" s="581">
        <f t="shared" si="10"/>
        <v>4</v>
      </c>
      <c r="D250" s="171">
        <v>29.02</v>
      </c>
      <c r="E250" s="171">
        <v>26</v>
      </c>
      <c r="F250" s="171">
        <v>24</v>
      </c>
      <c r="G250" s="171">
        <v>23.080000000000002</v>
      </c>
      <c r="H250" s="171">
        <v>21.39</v>
      </c>
      <c r="I250" s="171">
        <v>26.1</v>
      </c>
      <c r="J250" s="171">
        <v>30</v>
      </c>
      <c r="K250" s="171">
        <v>42.37</v>
      </c>
      <c r="L250" s="171">
        <v>43.52</v>
      </c>
      <c r="M250" s="171">
        <v>48.99</v>
      </c>
      <c r="N250" s="171">
        <v>47.75</v>
      </c>
      <c r="O250" s="171">
        <v>48.5</v>
      </c>
      <c r="P250" s="171">
        <v>45.050000000000004</v>
      </c>
      <c r="Q250" s="171">
        <v>40.300000000000004</v>
      </c>
      <c r="R250" s="171">
        <v>36.24</v>
      </c>
      <c r="S250" s="171">
        <v>34.910000000000004</v>
      </c>
      <c r="T250" s="171">
        <v>32.67</v>
      </c>
      <c r="U250" s="171">
        <v>31.61</v>
      </c>
      <c r="V250" s="171">
        <v>31.09</v>
      </c>
      <c r="W250" s="171">
        <v>32.1</v>
      </c>
      <c r="X250" s="171">
        <v>36.840000000000003</v>
      </c>
      <c r="Y250" s="171">
        <v>34.56</v>
      </c>
      <c r="Z250" s="171">
        <v>33</v>
      </c>
      <c r="AA250" s="171">
        <v>31.080000000000002</v>
      </c>
      <c r="AB250" s="171">
        <v>48.99</v>
      </c>
      <c r="AC250" s="171">
        <v>30</v>
      </c>
      <c r="AD250" s="171">
        <v>26.330000000000002</v>
      </c>
      <c r="AF250" s="171">
        <f t="shared" si="11"/>
        <v>2007</v>
      </c>
      <c r="AG250" s="171">
        <f t="shared" si="12"/>
        <v>19</v>
      </c>
      <c r="AH250" s="700">
        <f>SUMIF(D$3:$AA250,"&lt;="&amp;$AH$1)/COUNTIF(D$3:$AA250,"&lt;="&amp;$AH$1)</f>
        <v>28.851427072402977</v>
      </c>
    </row>
    <row r="251" spans="2:34" x14ac:dyDescent="0.25">
      <c r="B251" s="910">
        <v>39177</v>
      </c>
      <c r="C251" s="581">
        <f t="shared" si="10"/>
        <v>4</v>
      </c>
      <c r="D251" s="171">
        <v>27.02</v>
      </c>
      <c r="E251" s="171">
        <v>25.09</v>
      </c>
      <c r="F251" s="171">
        <v>25</v>
      </c>
      <c r="G251" s="171">
        <v>24.64</v>
      </c>
      <c r="H251" s="171">
        <v>23.11</v>
      </c>
      <c r="I251" s="171">
        <v>27</v>
      </c>
      <c r="J251" s="171">
        <v>28.02</v>
      </c>
      <c r="K251" s="171">
        <v>38.36</v>
      </c>
      <c r="L251" s="171">
        <v>41.81</v>
      </c>
      <c r="M251" s="171">
        <v>47.4</v>
      </c>
      <c r="N251" s="171">
        <v>47.4</v>
      </c>
      <c r="O251" s="171">
        <v>48.2</v>
      </c>
      <c r="P251" s="171">
        <v>44.49</v>
      </c>
      <c r="Q251" s="171">
        <v>42.83</v>
      </c>
      <c r="R251" s="171">
        <v>38.050000000000004</v>
      </c>
      <c r="S251" s="171">
        <v>34.61</v>
      </c>
      <c r="T251" s="171">
        <v>31.59</v>
      </c>
      <c r="U251" s="171">
        <v>28.42</v>
      </c>
      <c r="V251" s="171">
        <v>27.75</v>
      </c>
      <c r="W251" s="171">
        <v>28.52</v>
      </c>
      <c r="X251" s="171">
        <v>35.4</v>
      </c>
      <c r="Y251" s="171">
        <v>33</v>
      </c>
      <c r="Z251" s="171">
        <v>32.94</v>
      </c>
      <c r="AA251" s="171">
        <v>31.42</v>
      </c>
      <c r="AB251" s="171">
        <v>48.2</v>
      </c>
      <c r="AC251" s="171">
        <v>28.02</v>
      </c>
      <c r="AD251" s="171">
        <v>26.41</v>
      </c>
      <c r="AF251" s="171">
        <f t="shared" si="11"/>
        <v>2007</v>
      </c>
      <c r="AG251" s="171">
        <f t="shared" si="12"/>
        <v>19</v>
      </c>
      <c r="AH251" s="700">
        <f>SUMIF(D$3:$AA251,"&lt;="&amp;$AH$1)/COUNTIF(D$3:$AA251,"&lt;="&amp;$AH$1)</f>
        <v>28.863092425295385</v>
      </c>
    </row>
    <row r="252" spans="2:34" x14ac:dyDescent="0.25">
      <c r="B252" s="910">
        <v>39178</v>
      </c>
      <c r="C252" s="581">
        <f t="shared" si="10"/>
        <v>4</v>
      </c>
      <c r="D252" s="171">
        <v>28.98</v>
      </c>
      <c r="E252" s="171">
        <v>26.080000000000002</v>
      </c>
      <c r="F252" s="171">
        <v>24.400000000000002</v>
      </c>
      <c r="G252" s="171">
        <v>23.09</v>
      </c>
      <c r="H252" s="171">
        <v>21.990000000000002</v>
      </c>
      <c r="I252" s="171">
        <v>24.09</v>
      </c>
      <c r="J252" s="171">
        <v>29.95</v>
      </c>
      <c r="K252" s="171">
        <v>35.950000000000003</v>
      </c>
      <c r="L252" s="171">
        <v>43.6</v>
      </c>
      <c r="M252" s="171">
        <v>40.980000000000004</v>
      </c>
      <c r="N252" s="171">
        <v>37.980000000000004</v>
      </c>
      <c r="O252" s="171">
        <v>37.49</v>
      </c>
      <c r="P252" s="171">
        <v>35.980000000000004</v>
      </c>
      <c r="Q252" s="171">
        <v>35.94</v>
      </c>
      <c r="R252" s="171">
        <v>32.96</v>
      </c>
      <c r="S252" s="171">
        <v>28.97</v>
      </c>
      <c r="T252" s="171">
        <v>26.91</v>
      </c>
      <c r="U252" s="171">
        <v>25.93</v>
      </c>
      <c r="V252" s="171">
        <v>26.69</v>
      </c>
      <c r="W252" s="171">
        <v>26.94</v>
      </c>
      <c r="X252" s="171">
        <v>30.650000000000002</v>
      </c>
      <c r="Y252" s="171">
        <v>28.73</v>
      </c>
      <c r="Z252" s="171">
        <v>30</v>
      </c>
      <c r="AA252" s="171">
        <v>29.900000000000002</v>
      </c>
      <c r="AB252" s="171">
        <v>40.980000000000004</v>
      </c>
      <c r="AC252" s="171">
        <v>25.93</v>
      </c>
      <c r="AD252" s="171">
        <v>26.060000000000002</v>
      </c>
      <c r="AF252" s="171">
        <f t="shared" si="11"/>
        <v>2007</v>
      </c>
      <c r="AG252" s="171">
        <f t="shared" si="12"/>
        <v>23</v>
      </c>
      <c r="AH252" s="700">
        <f>SUMIF(D$3:$AA252,"&lt;="&amp;$AH$1)/COUNTIF(D$3:$AA252,"&lt;="&amp;$AH$1)</f>
        <v>28.872306101344392</v>
      </c>
    </row>
    <row r="253" spans="2:34" x14ac:dyDescent="0.25">
      <c r="B253" s="910">
        <v>39181</v>
      </c>
      <c r="C253" s="581">
        <f t="shared" si="10"/>
        <v>4</v>
      </c>
      <c r="D253" s="171">
        <v>25.02</v>
      </c>
      <c r="E253" s="171">
        <v>21.76</v>
      </c>
      <c r="F253" s="171">
        <v>21.28</v>
      </c>
      <c r="G253" s="171">
        <v>22</v>
      </c>
      <c r="H253" s="171">
        <v>15.06</v>
      </c>
      <c r="I253" s="171">
        <v>20.73</v>
      </c>
      <c r="J253" s="171">
        <v>16.5</v>
      </c>
      <c r="K253" s="171">
        <v>14.63</v>
      </c>
      <c r="L253" s="171">
        <v>20.740000000000002</v>
      </c>
      <c r="M253" s="171">
        <v>23.96</v>
      </c>
      <c r="N253" s="171">
        <v>22.25</v>
      </c>
      <c r="O253" s="171">
        <v>26</v>
      </c>
      <c r="P253" s="171">
        <v>26.03</v>
      </c>
      <c r="Q253" s="171">
        <v>23.67</v>
      </c>
      <c r="R253" s="171">
        <v>20.13</v>
      </c>
      <c r="S253" s="171">
        <v>14.93</v>
      </c>
      <c r="T253" s="171">
        <v>5.98</v>
      </c>
      <c r="U253" s="171">
        <v>9.1</v>
      </c>
      <c r="V253" s="171">
        <v>22.91</v>
      </c>
      <c r="W253" s="171">
        <v>25.93</v>
      </c>
      <c r="X253" s="171">
        <v>28.96</v>
      </c>
      <c r="Y253" s="171">
        <v>33</v>
      </c>
      <c r="Z253" s="171">
        <v>30.95</v>
      </c>
      <c r="AA253" s="171">
        <v>29.900000000000002</v>
      </c>
      <c r="AB253" s="171">
        <v>30.95</v>
      </c>
      <c r="AC253" s="171">
        <v>5.98</v>
      </c>
      <c r="AD253" s="171">
        <v>21.53</v>
      </c>
      <c r="AF253" s="171">
        <f t="shared" si="11"/>
        <v>2007</v>
      </c>
      <c r="AG253" s="171">
        <f t="shared" si="12"/>
        <v>24</v>
      </c>
      <c r="AH253" s="700">
        <f>SUMIF(D$3:$AA253,"&lt;="&amp;$AH$1)/COUNTIF(D$3:$AA253,"&lt;="&amp;$AH$1)</f>
        <v>28.813668376068403</v>
      </c>
    </row>
    <row r="254" spans="2:34" x14ac:dyDescent="0.25">
      <c r="B254" s="910">
        <v>39182</v>
      </c>
      <c r="C254" s="581">
        <f t="shared" si="10"/>
        <v>4</v>
      </c>
      <c r="D254" s="171">
        <v>22.080000000000002</v>
      </c>
      <c r="E254" s="171">
        <v>19.09</v>
      </c>
      <c r="F254" s="171">
        <v>17.03</v>
      </c>
      <c r="G254" s="171">
        <v>10.050000000000001</v>
      </c>
      <c r="H254" s="171">
        <v>19</v>
      </c>
      <c r="I254" s="171">
        <v>23.5</v>
      </c>
      <c r="J254" s="171">
        <v>27.98</v>
      </c>
      <c r="K254" s="171">
        <v>36.910000000000004</v>
      </c>
      <c r="L254" s="171">
        <v>37.99</v>
      </c>
      <c r="M254" s="171">
        <v>39.980000000000004</v>
      </c>
      <c r="N254" s="171">
        <v>40</v>
      </c>
      <c r="O254" s="171">
        <v>46.14</v>
      </c>
      <c r="P254" s="171">
        <v>39.910000000000004</v>
      </c>
      <c r="Q254" s="171">
        <v>37.57</v>
      </c>
      <c r="R254" s="171">
        <v>36.910000000000004</v>
      </c>
      <c r="S254" s="171">
        <v>34.99</v>
      </c>
      <c r="T254" s="171">
        <v>32.99</v>
      </c>
      <c r="U254" s="171">
        <v>32.97</v>
      </c>
      <c r="V254" s="171">
        <v>33.94</v>
      </c>
      <c r="W254" s="171">
        <v>33.93</v>
      </c>
      <c r="X254" s="171">
        <v>37.81</v>
      </c>
      <c r="Y254" s="171">
        <v>35.97</v>
      </c>
      <c r="Z254" s="171">
        <v>34.92</v>
      </c>
      <c r="AA254" s="171">
        <v>32</v>
      </c>
      <c r="AB254" s="171">
        <v>46.14</v>
      </c>
      <c r="AC254" s="171">
        <v>27.98</v>
      </c>
      <c r="AD254" s="171">
        <v>21.34</v>
      </c>
      <c r="AF254" s="171">
        <f t="shared" si="11"/>
        <v>2007</v>
      </c>
      <c r="AG254" s="171">
        <f t="shared" si="12"/>
        <v>23</v>
      </c>
      <c r="AH254" s="700">
        <f>SUMIF(D$3:$AA254,"&lt;="&amp;$AH$1)/COUNTIF(D$3:$AA254,"&lt;="&amp;$AH$1)</f>
        <v>28.832259158751732</v>
      </c>
    </row>
    <row r="255" spans="2:34" x14ac:dyDescent="0.25">
      <c r="B255" s="910">
        <v>39183</v>
      </c>
      <c r="C255" s="581">
        <f t="shared" si="10"/>
        <v>4</v>
      </c>
      <c r="D255" s="171">
        <v>27.54</v>
      </c>
      <c r="E255" s="171">
        <v>25.04</v>
      </c>
      <c r="F255" s="171">
        <v>24</v>
      </c>
      <c r="G255" s="171">
        <v>22.06</v>
      </c>
      <c r="H255" s="171">
        <v>21</v>
      </c>
      <c r="I255" s="171">
        <v>26</v>
      </c>
      <c r="J255" s="171">
        <v>30.09</v>
      </c>
      <c r="K255" s="171">
        <v>38.6</v>
      </c>
      <c r="L255" s="171">
        <v>45.03</v>
      </c>
      <c r="M255" s="171">
        <v>48.81</v>
      </c>
      <c r="N255" s="171">
        <v>50</v>
      </c>
      <c r="O255" s="171">
        <v>51.01</v>
      </c>
      <c r="P255" s="171">
        <v>46.6</v>
      </c>
      <c r="Q255" s="171">
        <v>47</v>
      </c>
      <c r="R255" s="171">
        <v>40</v>
      </c>
      <c r="S255" s="171">
        <v>39.550000000000004</v>
      </c>
      <c r="T255" s="171">
        <v>33.93</v>
      </c>
      <c r="U255" s="171">
        <v>30.990000000000002</v>
      </c>
      <c r="V255" s="171">
        <v>33</v>
      </c>
      <c r="W255" s="171">
        <v>33</v>
      </c>
      <c r="X255" s="171">
        <v>39.96</v>
      </c>
      <c r="Y255" s="171">
        <v>34.5</v>
      </c>
      <c r="Z255" s="171">
        <v>32.950000000000003</v>
      </c>
      <c r="AA255" s="171">
        <v>29.05</v>
      </c>
      <c r="AB255" s="171">
        <v>51.01</v>
      </c>
      <c r="AC255" s="171">
        <v>30.09</v>
      </c>
      <c r="AD255" s="171">
        <v>25.6</v>
      </c>
      <c r="AF255" s="171">
        <f t="shared" si="11"/>
        <v>2007</v>
      </c>
      <c r="AG255" s="171">
        <f t="shared" si="12"/>
        <v>18</v>
      </c>
      <c r="AH255" s="700">
        <f>SUMIF(D$3:$AA255,"&lt;="&amp;$AH$1)/COUNTIF(D$3:$AA255,"&lt;="&amp;$AH$1)</f>
        <v>28.846513823331119</v>
      </c>
    </row>
    <row r="256" spans="2:34" x14ac:dyDescent="0.25">
      <c r="B256" s="910">
        <v>39184</v>
      </c>
      <c r="C256" s="581">
        <f t="shared" si="10"/>
        <v>4</v>
      </c>
      <c r="D256" s="171">
        <v>27.2</v>
      </c>
      <c r="E256" s="171">
        <v>26</v>
      </c>
      <c r="F256" s="171">
        <v>25.05</v>
      </c>
      <c r="G256" s="171">
        <v>22.06</v>
      </c>
      <c r="H256" s="171">
        <v>23.18</v>
      </c>
      <c r="I256" s="171">
        <v>26</v>
      </c>
      <c r="J256" s="171">
        <v>28.94</v>
      </c>
      <c r="K256" s="171">
        <v>39.39</v>
      </c>
      <c r="L256" s="171">
        <v>48.050000000000004</v>
      </c>
      <c r="M256" s="171">
        <v>51.21</v>
      </c>
      <c r="N256" s="171">
        <v>52.45</v>
      </c>
      <c r="O256" s="171">
        <v>63.86</v>
      </c>
      <c r="P256" s="171">
        <v>51.75</v>
      </c>
      <c r="Q256" s="171">
        <v>50.7</v>
      </c>
      <c r="R256" s="171">
        <v>50.01</v>
      </c>
      <c r="S256" s="171">
        <v>43.34</v>
      </c>
      <c r="T256" s="171">
        <v>38.57</v>
      </c>
      <c r="U256" s="171">
        <v>34.33</v>
      </c>
      <c r="V256" s="171">
        <v>33.94</v>
      </c>
      <c r="W256" s="171">
        <v>31.93</v>
      </c>
      <c r="X256" s="171">
        <v>43.050000000000004</v>
      </c>
      <c r="Y256" s="171">
        <v>37.25</v>
      </c>
      <c r="Z256" s="171">
        <v>33.049999999999997</v>
      </c>
      <c r="AA256" s="171">
        <v>28.900000000000002</v>
      </c>
      <c r="AB256" s="171">
        <v>63.86</v>
      </c>
      <c r="AC256" s="171">
        <v>28.94</v>
      </c>
      <c r="AD256" s="171">
        <v>25.92</v>
      </c>
      <c r="AF256" s="171">
        <f t="shared" si="11"/>
        <v>2007</v>
      </c>
      <c r="AG256" s="171">
        <f t="shared" si="12"/>
        <v>15</v>
      </c>
      <c r="AH256" s="700">
        <f>SUMIF(D$3:$AA256,"&lt;="&amp;$AH$1)/COUNTIF(D$3:$AA256,"&lt;="&amp;$AH$1)</f>
        <v>28.854260315330457</v>
      </c>
    </row>
    <row r="257" spans="2:34" x14ac:dyDescent="0.25">
      <c r="B257" s="910">
        <v>39185</v>
      </c>
      <c r="C257" s="581">
        <f t="shared" si="10"/>
        <v>4</v>
      </c>
      <c r="D257" s="171">
        <v>28.02</v>
      </c>
      <c r="E257" s="171">
        <v>24.87</v>
      </c>
      <c r="F257" s="171">
        <v>22</v>
      </c>
      <c r="G257" s="171">
        <v>21.1</v>
      </c>
      <c r="H257" s="171">
        <v>19</v>
      </c>
      <c r="I257" s="171">
        <v>24.92</v>
      </c>
      <c r="J257" s="171">
        <v>29.02</v>
      </c>
      <c r="K257" s="171">
        <v>36.96</v>
      </c>
      <c r="L257" s="171">
        <v>46</v>
      </c>
      <c r="M257" s="171">
        <v>56.22</v>
      </c>
      <c r="N257" s="171">
        <v>67.78</v>
      </c>
      <c r="O257" s="171">
        <v>75.22</v>
      </c>
      <c r="P257" s="171">
        <v>52.52</v>
      </c>
      <c r="Q257" s="171">
        <v>50</v>
      </c>
      <c r="R257" s="171">
        <v>44.18</v>
      </c>
      <c r="S257" s="171">
        <v>38.64</v>
      </c>
      <c r="T257" s="171">
        <v>34.33</v>
      </c>
      <c r="U257" s="171">
        <v>31.990000000000002</v>
      </c>
      <c r="V257" s="171">
        <v>32.96</v>
      </c>
      <c r="W257" s="171">
        <v>32.25</v>
      </c>
      <c r="X257" s="171">
        <v>35.06</v>
      </c>
      <c r="Y257" s="171">
        <v>34.119999999999997</v>
      </c>
      <c r="Z257" s="171">
        <v>30.04</v>
      </c>
      <c r="AA257" s="171">
        <v>29.03</v>
      </c>
      <c r="AB257" s="171">
        <v>75.22</v>
      </c>
      <c r="AC257" s="171">
        <v>29.02</v>
      </c>
      <c r="AD257" s="171">
        <v>24.740000000000002</v>
      </c>
      <c r="AF257" s="171">
        <f t="shared" si="11"/>
        <v>2007</v>
      </c>
      <c r="AG257" s="171">
        <f t="shared" si="12"/>
        <v>17</v>
      </c>
      <c r="AH257" s="700">
        <f>SUMIF(D$3:$AA257,"&lt;="&amp;$AH$1)/COUNTIF(D$3:$AA257,"&lt;="&amp;$AH$1)</f>
        <v>28.858859239493029</v>
      </c>
    </row>
    <row r="258" spans="2:34" x14ac:dyDescent="0.25">
      <c r="B258" s="910">
        <v>39188</v>
      </c>
      <c r="C258" s="581">
        <f t="shared" si="10"/>
        <v>4</v>
      </c>
      <c r="D258" s="171">
        <v>21.64</v>
      </c>
      <c r="E258" s="171">
        <v>18.25</v>
      </c>
      <c r="F258" s="171">
        <v>19.09</v>
      </c>
      <c r="G258" s="171">
        <v>18.04</v>
      </c>
      <c r="H258" s="171">
        <v>12</v>
      </c>
      <c r="I258" s="171">
        <v>24.55</v>
      </c>
      <c r="J258" s="171">
        <v>28.02</v>
      </c>
      <c r="K258" s="171">
        <v>37.99</v>
      </c>
      <c r="L258" s="171">
        <v>42.800000000000004</v>
      </c>
      <c r="M258" s="171">
        <v>50</v>
      </c>
      <c r="N258" s="171">
        <v>68.78</v>
      </c>
      <c r="O258" s="171">
        <v>100</v>
      </c>
      <c r="P258" s="171">
        <v>70</v>
      </c>
      <c r="Q258" s="171">
        <v>73</v>
      </c>
      <c r="R258" s="171">
        <v>52</v>
      </c>
      <c r="S258" s="171">
        <v>43.5</v>
      </c>
      <c r="T258" s="171">
        <v>37.01</v>
      </c>
      <c r="U258" s="171">
        <v>33.04</v>
      </c>
      <c r="V258" s="171">
        <v>33.549999999999997</v>
      </c>
      <c r="W258" s="171">
        <v>33.03</v>
      </c>
      <c r="X258" s="171">
        <v>39</v>
      </c>
      <c r="Y258" s="171">
        <v>38</v>
      </c>
      <c r="Z258" s="171">
        <v>35.020000000000003</v>
      </c>
      <c r="AA258" s="171">
        <v>29.04</v>
      </c>
      <c r="AB258" s="171">
        <v>100</v>
      </c>
      <c r="AC258" s="171">
        <v>28.02</v>
      </c>
      <c r="AD258" s="171">
        <v>21.330000000000002</v>
      </c>
      <c r="AF258" s="171">
        <f t="shared" si="11"/>
        <v>2007</v>
      </c>
      <c r="AG258" s="171">
        <f t="shared" si="12"/>
        <v>16</v>
      </c>
      <c r="AH258" s="700">
        <f>SUMIF(D$3:$AA258,"&lt;="&amp;$AH$1)/COUNTIF(D$3:$AA258,"&lt;="&amp;$AH$1)</f>
        <v>28.857375580623785</v>
      </c>
    </row>
    <row r="259" spans="2:34" x14ac:dyDescent="0.25">
      <c r="B259" s="910">
        <v>39189</v>
      </c>
      <c r="C259" s="581">
        <f t="shared" si="10"/>
        <v>4</v>
      </c>
      <c r="D259" s="171">
        <v>23.1</v>
      </c>
      <c r="E259" s="171">
        <v>21.080000000000002</v>
      </c>
      <c r="F259" s="171">
        <v>20</v>
      </c>
      <c r="G259" s="171">
        <v>19.04</v>
      </c>
      <c r="H259" s="171">
        <v>15.01</v>
      </c>
      <c r="I259" s="171">
        <v>22.06</v>
      </c>
      <c r="J259" s="171">
        <v>25.3</v>
      </c>
      <c r="K259" s="171">
        <v>34.9</v>
      </c>
      <c r="L259" s="171">
        <v>44.9</v>
      </c>
      <c r="M259" s="171">
        <v>50.07</v>
      </c>
      <c r="N259" s="171">
        <v>58.18</v>
      </c>
      <c r="O259" s="171">
        <v>66.73</v>
      </c>
      <c r="P259" s="171">
        <v>54.24</v>
      </c>
      <c r="Q259" s="171">
        <v>48.09</v>
      </c>
      <c r="R259" s="171">
        <v>41.95</v>
      </c>
      <c r="S259" s="171">
        <v>39</v>
      </c>
      <c r="T259" s="171">
        <v>32.97</v>
      </c>
      <c r="U259" s="171">
        <v>29.95</v>
      </c>
      <c r="V259" s="171">
        <v>31</v>
      </c>
      <c r="W259" s="171">
        <v>30</v>
      </c>
      <c r="X259" s="171">
        <v>31.05</v>
      </c>
      <c r="Y259" s="171">
        <v>31</v>
      </c>
      <c r="Z259" s="171">
        <v>28.04</v>
      </c>
      <c r="AA259" s="171">
        <v>25.89</v>
      </c>
      <c r="AB259" s="171">
        <v>66.73</v>
      </c>
      <c r="AC259" s="171">
        <v>25.3</v>
      </c>
      <c r="AD259" s="171">
        <v>21.43</v>
      </c>
      <c r="AF259" s="171">
        <f t="shared" si="11"/>
        <v>2007</v>
      </c>
      <c r="AG259" s="171">
        <f t="shared" si="12"/>
        <v>18</v>
      </c>
      <c r="AH259" s="700">
        <f>SUMIF(D$3:$AA259,"&lt;="&amp;$AH$1)/COUNTIF(D$3:$AA259,"&lt;="&amp;$AH$1)</f>
        <v>28.851408311345672</v>
      </c>
    </row>
    <row r="260" spans="2:34" x14ac:dyDescent="0.25">
      <c r="B260" s="910">
        <v>39190</v>
      </c>
      <c r="C260" s="581">
        <f t="shared" ref="C260:C323" si="13">MONTH(B260)</f>
        <v>4</v>
      </c>
      <c r="D260" s="171">
        <v>23.09</v>
      </c>
      <c r="E260" s="171">
        <v>23.740000000000002</v>
      </c>
      <c r="F260" s="171">
        <v>19.510000000000002</v>
      </c>
      <c r="G260" s="171">
        <v>18.059999999999999</v>
      </c>
      <c r="H260" s="171">
        <v>17.190000000000001</v>
      </c>
      <c r="I260" s="171">
        <v>23.17</v>
      </c>
      <c r="J260" s="171">
        <v>26.51</v>
      </c>
      <c r="K260" s="171">
        <v>37.6</v>
      </c>
      <c r="L260" s="171">
        <v>50</v>
      </c>
      <c r="M260" s="171">
        <v>105</v>
      </c>
      <c r="N260" s="171">
        <v>186.02</v>
      </c>
      <c r="O260" s="171">
        <v>350</v>
      </c>
      <c r="P260" s="171">
        <v>105</v>
      </c>
      <c r="Q260" s="171">
        <v>105</v>
      </c>
      <c r="R260" s="171">
        <v>99.960000000000008</v>
      </c>
      <c r="S260" s="171">
        <v>55.5</v>
      </c>
      <c r="T260" s="171">
        <v>43</v>
      </c>
      <c r="U260" s="171">
        <v>34</v>
      </c>
      <c r="V260" s="171">
        <v>32.03</v>
      </c>
      <c r="W260" s="171">
        <v>31.990000000000002</v>
      </c>
      <c r="X260" s="171">
        <v>40</v>
      </c>
      <c r="Y260" s="171">
        <v>65</v>
      </c>
      <c r="Z260" s="171">
        <v>32.06</v>
      </c>
      <c r="AA260" s="171">
        <v>35</v>
      </c>
      <c r="AB260" s="171">
        <v>350</v>
      </c>
      <c r="AC260" s="171">
        <v>26.51</v>
      </c>
      <c r="AD260" s="171">
        <v>23.28</v>
      </c>
      <c r="AF260" s="171">
        <f t="shared" ref="AF260:AF323" si="14">YEAR(B260)</f>
        <v>2007</v>
      </c>
      <c r="AG260" s="171">
        <f t="shared" ref="AG260:AG323" si="15">COUNTIF(D260:AA260,"&lt;="&amp;$AH$1)</f>
        <v>14</v>
      </c>
      <c r="AH260" s="700">
        <f>SUMIF(D$3:$AA260,"&lt;="&amp;$AH$1)/COUNTIF(D$3:$AA260,"&lt;="&amp;$AH$1)</f>
        <v>28.848135259356557</v>
      </c>
    </row>
    <row r="261" spans="2:34" x14ac:dyDescent="0.25">
      <c r="B261" s="910">
        <v>39191</v>
      </c>
      <c r="C261" s="581">
        <f t="shared" si="13"/>
        <v>4</v>
      </c>
      <c r="D261" s="171">
        <v>25.830000000000002</v>
      </c>
      <c r="E261" s="171">
        <v>23.09</v>
      </c>
      <c r="F261" s="171">
        <v>21</v>
      </c>
      <c r="G261" s="171">
        <v>19.010000000000002</v>
      </c>
      <c r="H261" s="171">
        <v>12.46</v>
      </c>
      <c r="I261" s="171">
        <v>24.01</v>
      </c>
      <c r="J261" s="171">
        <v>28.6</v>
      </c>
      <c r="K261" s="171">
        <v>39.96</v>
      </c>
      <c r="L261" s="171">
        <v>50</v>
      </c>
      <c r="M261" s="171">
        <v>50.7</v>
      </c>
      <c r="N261" s="171">
        <v>50.01</v>
      </c>
      <c r="O261" s="171">
        <v>55.120000000000005</v>
      </c>
      <c r="P261" s="171">
        <v>45.59</v>
      </c>
      <c r="Q261" s="171">
        <v>42.11</v>
      </c>
      <c r="R261" s="171">
        <v>37.85</v>
      </c>
      <c r="S261" s="171">
        <v>34.04</v>
      </c>
      <c r="T261" s="171">
        <v>29.8</v>
      </c>
      <c r="U261" s="171">
        <v>28.01</v>
      </c>
      <c r="V261" s="171">
        <v>27.32</v>
      </c>
      <c r="W261" s="171">
        <v>26.03</v>
      </c>
      <c r="X261" s="171">
        <v>35</v>
      </c>
      <c r="Y261" s="171">
        <v>36.700000000000003</v>
      </c>
      <c r="Z261" s="171">
        <v>27.88</v>
      </c>
      <c r="AA261" s="171">
        <v>25.77</v>
      </c>
      <c r="AB261" s="171">
        <v>50.72</v>
      </c>
      <c r="AC261" s="171">
        <v>26.03</v>
      </c>
      <c r="AD261" s="171">
        <v>22.47</v>
      </c>
      <c r="AF261" s="171">
        <f t="shared" si="14"/>
        <v>2007</v>
      </c>
      <c r="AG261" s="171">
        <f t="shared" si="15"/>
        <v>19</v>
      </c>
      <c r="AH261" s="700">
        <f>SUMIF(D$3:$AA261,"&lt;="&amp;$AH$1)/COUNTIF(D$3:$AA261,"&lt;="&amp;$AH$1)</f>
        <v>28.846946166394808</v>
      </c>
    </row>
    <row r="262" spans="2:34" x14ac:dyDescent="0.25">
      <c r="B262" s="910">
        <v>39192</v>
      </c>
      <c r="C262" s="581">
        <f t="shared" si="13"/>
        <v>4</v>
      </c>
      <c r="D262" s="171">
        <v>22</v>
      </c>
      <c r="E262" s="171">
        <v>19.25</v>
      </c>
      <c r="F262" s="171">
        <v>18.07</v>
      </c>
      <c r="G262" s="171">
        <v>17.059999999999999</v>
      </c>
      <c r="H262" s="171">
        <v>16.25</v>
      </c>
      <c r="I262" s="171">
        <v>22</v>
      </c>
      <c r="J262" s="171">
        <v>27</v>
      </c>
      <c r="K262" s="171">
        <v>42.7</v>
      </c>
      <c r="L262" s="171">
        <v>50</v>
      </c>
      <c r="M262" s="171">
        <v>99</v>
      </c>
      <c r="N262" s="171">
        <v>101</v>
      </c>
      <c r="O262" s="171">
        <v>102</v>
      </c>
      <c r="P262" s="171">
        <v>72.930000000000007</v>
      </c>
      <c r="Q262" s="171">
        <v>60</v>
      </c>
      <c r="R262" s="171">
        <v>50</v>
      </c>
      <c r="S262" s="171">
        <v>32.75</v>
      </c>
      <c r="T262" s="171">
        <v>28.1</v>
      </c>
      <c r="U262" s="171">
        <v>26.75</v>
      </c>
      <c r="V262" s="171">
        <v>27.990000000000002</v>
      </c>
      <c r="W262" s="171">
        <v>26.95</v>
      </c>
      <c r="X262" s="171">
        <v>32.99</v>
      </c>
      <c r="Y262" s="171">
        <v>30</v>
      </c>
      <c r="Z262" s="171">
        <v>28.8</v>
      </c>
      <c r="AA262" s="171">
        <v>27.05</v>
      </c>
      <c r="AB262" s="171">
        <v>102</v>
      </c>
      <c r="AC262" s="171">
        <v>26.75</v>
      </c>
      <c r="AD262" s="171">
        <v>21.080000000000002</v>
      </c>
      <c r="AF262" s="171">
        <f t="shared" si="14"/>
        <v>2007</v>
      </c>
      <c r="AG262" s="171">
        <f t="shared" si="15"/>
        <v>16</v>
      </c>
      <c r="AH262" s="700">
        <f>SUMIF(D$3:$AA262,"&lt;="&amp;$AH$1)/COUNTIF(D$3:$AA262,"&lt;="&amp;$AH$1)</f>
        <v>28.827945472249304</v>
      </c>
    </row>
    <row r="263" spans="2:34" x14ac:dyDescent="0.25">
      <c r="B263" s="910">
        <v>39195</v>
      </c>
      <c r="C263" s="581">
        <f t="shared" si="13"/>
        <v>4</v>
      </c>
      <c r="D263" s="171">
        <v>25</v>
      </c>
      <c r="E263" s="171">
        <v>22.77</v>
      </c>
      <c r="F263" s="171">
        <v>21.240000000000002</v>
      </c>
      <c r="G263" s="171">
        <v>20.190000000000001</v>
      </c>
      <c r="H263" s="171">
        <v>20.56</v>
      </c>
      <c r="I263" s="171">
        <v>26.97</v>
      </c>
      <c r="J263" s="171">
        <v>31.5</v>
      </c>
      <c r="K263" s="171">
        <v>41.97</v>
      </c>
      <c r="L263" s="171">
        <v>49</v>
      </c>
      <c r="M263" s="171">
        <v>50.71</v>
      </c>
      <c r="N263" s="171">
        <v>70</v>
      </c>
      <c r="O263" s="171">
        <v>86</v>
      </c>
      <c r="P263" s="171">
        <v>68</v>
      </c>
      <c r="Q263" s="171">
        <v>73</v>
      </c>
      <c r="R263" s="171">
        <v>60</v>
      </c>
      <c r="S263" s="171">
        <v>51.46</v>
      </c>
      <c r="T263" s="171">
        <v>45.6</v>
      </c>
      <c r="U263" s="171">
        <v>39.47</v>
      </c>
      <c r="V263" s="171">
        <v>38.99</v>
      </c>
      <c r="W263" s="171">
        <v>36.9</v>
      </c>
      <c r="X263" s="171">
        <v>41.02</v>
      </c>
      <c r="Y263" s="171">
        <v>40.96</v>
      </c>
      <c r="Z263" s="171">
        <v>32.6</v>
      </c>
      <c r="AA263" s="171">
        <v>27.900000000000002</v>
      </c>
      <c r="AB263" s="171">
        <v>86</v>
      </c>
      <c r="AC263" s="171">
        <v>31.5</v>
      </c>
      <c r="AD263" s="171">
        <v>24.52</v>
      </c>
      <c r="AF263" s="171">
        <f t="shared" si="14"/>
        <v>2007</v>
      </c>
      <c r="AG263" s="171">
        <f t="shared" si="15"/>
        <v>15</v>
      </c>
      <c r="AH263" s="700">
        <f>SUMIF(D$3:$AA263,"&lt;="&amp;$AH$1)/COUNTIF(D$3:$AA263,"&lt;="&amp;$AH$1)</f>
        <v>28.839450904392809</v>
      </c>
    </row>
    <row r="264" spans="2:34" x14ac:dyDescent="0.25">
      <c r="B264" s="910">
        <v>39196</v>
      </c>
      <c r="C264" s="581">
        <f t="shared" si="13"/>
        <v>4</v>
      </c>
      <c r="D264" s="171">
        <v>25.060000000000002</v>
      </c>
      <c r="E264" s="171">
        <v>21.59</v>
      </c>
      <c r="F264" s="171">
        <v>20.080000000000002</v>
      </c>
      <c r="G264" s="171">
        <v>20.05</v>
      </c>
      <c r="H264" s="171">
        <v>19.240000000000002</v>
      </c>
      <c r="I264" s="171">
        <v>25</v>
      </c>
      <c r="J264" s="171">
        <v>29</v>
      </c>
      <c r="K264" s="171">
        <v>43.21</v>
      </c>
      <c r="L264" s="171">
        <v>50.71</v>
      </c>
      <c r="M264" s="171">
        <v>99.960000000000008</v>
      </c>
      <c r="N264" s="171">
        <v>101</v>
      </c>
      <c r="O264" s="171">
        <v>113</v>
      </c>
      <c r="P264" s="171">
        <v>101</v>
      </c>
      <c r="Q264" s="171">
        <v>101</v>
      </c>
      <c r="R264" s="171">
        <v>100</v>
      </c>
      <c r="S264" s="171">
        <v>57.5</v>
      </c>
      <c r="T264" s="171">
        <v>49.96</v>
      </c>
      <c r="U264" s="171">
        <v>44.96</v>
      </c>
      <c r="V264" s="171">
        <v>37.520000000000003</v>
      </c>
      <c r="W264" s="171">
        <v>35.050000000000004</v>
      </c>
      <c r="X264" s="171">
        <v>42</v>
      </c>
      <c r="Y264" s="171">
        <v>44</v>
      </c>
      <c r="Z264" s="171">
        <v>31.04</v>
      </c>
      <c r="AA264" s="171">
        <v>27.09</v>
      </c>
      <c r="AB264" s="171">
        <v>113</v>
      </c>
      <c r="AC264" s="171">
        <v>25</v>
      </c>
      <c r="AD264" s="171">
        <v>23.39</v>
      </c>
      <c r="AF264" s="171">
        <f t="shared" si="14"/>
        <v>2007</v>
      </c>
      <c r="AG264" s="171">
        <f t="shared" si="15"/>
        <v>12</v>
      </c>
      <c r="AH264" s="700">
        <f>SUMIF(D$3:$AA264,"&lt;="&amp;$AH$1)/COUNTIF(D$3:$AA264,"&lt;="&amp;$AH$1)</f>
        <v>28.835154440154483</v>
      </c>
    </row>
    <row r="265" spans="2:34" x14ac:dyDescent="0.25">
      <c r="B265" s="910">
        <v>39197</v>
      </c>
      <c r="C265" s="581">
        <f t="shared" si="13"/>
        <v>4</v>
      </c>
      <c r="D265" s="171">
        <v>28.84</v>
      </c>
      <c r="E265" s="171">
        <v>22.36</v>
      </c>
      <c r="F265" s="171">
        <v>20.81</v>
      </c>
      <c r="G265" s="171">
        <v>19.72</v>
      </c>
      <c r="H265" s="171">
        <v>16.91</v>
      </c>
      <c r="I265" s="171">
        <v>20.23</v>
      </c>
      <c r="J265" s="171">
        <v>27.57</v>
      </c>
      <c r="K265" s="171">
        <v>50.38</v>
      </c>
      <c r="L265" s="171">
        <v>60</v>
      </c>
      <c r="M265" s="171">
        <v>88</v>
      </c>
      <c r="N265" s="171">
        <v>125</v>
      </c>
      <c r="O265" s="171">
        <v>136.29</v>
      </c>
      <c r="P265" s="171">
        <v>120.12</v>
      </c>
      <c r="Q265" s="171">
        <v>120</v>
      </c>
      <c r="R265" s="171">
        <v>100</v>
      </c>
      <c r="S265" s="171">
        <v>89.960000000000008</v>
      </c>
      <c r="T265" s="171">
        <v>78</v>
      </c>
      <c r="U265" s="171">
        <v>45.85</v>
      </c>
      <c r="V265" s="171">
        <v>34.96</v>
      </c>
      <c r="W265" s="171">
        <v>32.42</v>
      </c>
      <c r="X265" s="171">
        <v>40.119999999999997</v>
      </c>
      <c r="Y265" s="171">
        <v>41.49</v>
      </c>
      <c r="Z265" s="171">
        <v>31.01</v>
      </c>
      <c r="AA265" s="171">
        <v>26.05</v>
      </c>
      <c r="AB265" s="171">
        <v>136.29</v>
      </c>
      <c r="AC265" s="171">
        <v>27.57</v>
      </c>
      <c r="AD265" s="171">
        <v>22.81</v>
      </c>
      <c r="AF265" s="171">
        <f t="shared" si="14"/>
        <v>2007</v>
      </c>
      <c r="AG265" s="171">
        <f t="shared" si="15"/>
        <v>13</v>
      </c>
      <c r="AH265" s="700">
        <f>SUMIF(D$3:$AA265,"&lt;="&amp;$AH$1)/COUNTIF(D$3:$AA265,"&lt;="&amp;$AH$1)</f>
        <v>28.831191925664896</v>
      </c>
    </row>
    <row r="266" spans="2:34" x14ac:dyDescent="0.25">
      <c r="B266" s="910">
        <v>39198</v>
      </c>
      <c r="C266" s="581">
        <f t="shared" si="13"/>
        <v>4</v>
      </c>
      <c r="D266" s="171">
        <v>25.02</v>
      </c>
      <c r="E266" s="171">
        <v>21.080000000000002</v>
      </c>
      <c r="F266" s="171">
        <v>20.28</v>
      </c>
      <c r="G266" s="171">
        <v>21</v>
      </c>
      <c r="H266" s="171">
        <v>12.700000000000001</v>
      </c>
      <c r="I266" s="171">
        <v>22.62</v>
      </c>
      <c r="J266" s="171">
        <v>26.12</v>
      </c>
      <c r="K266" s="171">
        <v>41.65</v>
      </c>
      <c r="L266" s="171">
        <v>54</v>
      </c>
      <c r="M266" s="171">
        <v>105</v>
      </c>
      <c r="N266" s="171">
        <v>125</v>
      </c>
      <c r="O266" s="171">
        <v>200.02</v>
      </c>
      <c r="P266" s="171">
        <v>250.01000000000002</v>
      </c>
      <c r="Q266" s="171">
        <v>250.01000000000002</v>
      </c>
      <c r="R266" s="171">
        <v>250</v>
      </c>
      <c r="S266" s="171">
        <v>240</v>
      </c>
      <c r="T266" s="171">
        <v>105</v>
      </c>
      <c r="U266" s="171">
        <v>58.800000000000004</v>
      </c>
      <c r="V266" s="171">
        <v>38.840000000000003</v>
      </c>
      <c r="W266" s="171">
        <v>35</v>
      </c>
      <c r="X266" s="171">
        <v>39</v>
      </c>
      <c r="Y266" s="171">
        <v>36.700000000000003</v>
      </c>
      <c r="Z266" s="171">
        <v>30.54</v>
      </c>
      <c r="AA266" s="171">
        <v>25.36</v>
      </c>
      <c r="AB266" s="171">
        <v>250.01000000000002</v>
      </c>
      <c r="AC266" s="171">
        <v>26.12</v>
      </c>
      <c r="AD266" s="171">
        <v>21.77</v>
      </c>
      <c r="AF266" s="171">
        <f t="shared" si="14"/>
        <v>2007</v>
      </c>
      <c r="AG266" s="171">
        <f t="shared" si="15"/>
        <v>14</v>
      </c>
      <c r="AH266" s="700">
        <f>SUMIF(D$3:$AA266,"&lt;="&amp;$AH$1)/COUNTIF(D$3:$AA266,"&lt;="&amp;$AH$1)</f>
        <v>28.82872727272731</v>
      </c>
    </row>
    <row r="267" spans="2:34" x14ac:dyDescent="0.25">
      <c r="B267" s="910">
        <v>39199</v>
      </c>
      <c r="C267" s="581">
        <f t="shared" si="13"/>
        <v>4</v>
      </c>
      <c r="D267" s="171">
        <v>22.25</v>
      </c>
      <c r="E267" s="171">
        <v>18.05</v>
      </c>
      <c r="F267" s="171">
        <v>16.399999999999999</v>
      </c>
      <c r="G267" s="171">
        <v>17.170000000000002</v>
      </c>
      <c r="H267" s="171">
        <v>16</v>
      </c>
      <c r="I267" s="171">
        <v>22.990000000000002</v>
      </c>
      <c r="J267" s="171">
        <v>24.7</v>
      </c>
      <c r="K267" s="171">
        <v>41.97</v>
      </c>
      <c r="L267" s="171">
        <v>51.26</v>
      </c>
      <c r="M267" s="171">
        <v>59.96</v>
      </c>
      <c r="N267" s="171">
        <v>101.31</v>
      </c>
      <c r="O267" s="171">
        <v>120</v>
      </c>
      <c r="P267" s="171">
        <v>75</v>
      </c>
      <c r="Q267" s="171">
        <v>74.960000000000008</v>
      </c>
      <c r="R267" s="171">
        <v>50</v>
      </c>
      <c r="S267" s="171">
        <v>41.06</v>
      </c>
      <c r="T267" s="171">
        <v>35.04</v>
      </c>
      <c r="U267" s="171">
        <v>32</v>
      </c>
      <c r="V267" s="171">
        <v>30.400000000000002</v>
      </c>
      <c r="W267" s="171">
        <v>30.060000000000002</v>
      </c>
      <c r="X267" s="171">
        <v>32.72</v>
      </c>
      <c r="Y267" s="171">
        <v>33.910000000000004</v>
      </c>
      <c r="Z267" s="171">
        <v>31</v>
      </c>
      <c r="AA267" s="171">
        <v>24.38</v>
      </c>
      <c r="AB267" s="171">
        <v>120</v>
      </c>
      <c r="AC267" s="171">
        <v>24.7</v>
      </c>
      <c r="AD267" s="171">
        <v>20.240000000000002</v>
      </c>
      <c r="AF267" s="171">
        <f t="shared" si="14"/>
        <v>2007</v>
      </c>
      <c r="AG267" s="171">
        <f t="shared" si="15"/>
        <v>17</v>
      </c>
      <c r="AH267" s="700">
        <f>SUMIF(D$3:$AA267,"&lt;="&amp;$AH$1)/COUNTIF(D$3:$AA267,"&lt;="&amp;$AH$1)</f>
        <v>28.822385786802062</v>
      </c>
    </row>
    <row r="268" spans="2:34" x14ac:dyDescent="0.25">
      <c r="B268" s="910">
        <v>39202</v>
      </c>
      <c r="C268" s="581">
        <f t="shared" si="13"/>
        <v>4</v>
      </c>
      <c r="D268" s="171">
        <v>14.05</v>
      </c>
      <c r="E268" s="171">
        <v>13.02</v>
      </c>
      <c r="F268" s="171">
        <v>12.07</v>
      </c>
      <c r="G268" s="171">
        <v>10.029999999999999</v>
      </c>
      <c r="H268" s="171">
        <v>5.0600000000000005</v>
      </c>
      <c r="I268" s="171">
        <v>12.08</v>
      </c>
      <c r="J268" s="171">
        <v>18.920000000000002</v>
      </c>
      <c r="K268" s="171">
        <v>23.17</v>
      </c>
      <c r="L268" s="171">
        <v>24</v>
      </c>
      <c r="M268" s="171">
        <v>29.96</v>
      </c>
      <c r="N268" s="171">
        <v>30.92</v>
      </c>
      <c r="O268" s="171">
        <v>32.910000000000004</v>
      </c>
      <c r="P268" s="171">
        <v>31.68</v>
      </c>
      <c r="Q268" s="171">
        <v>29.84</v>
      </c>
      <c r="R268" s="171">
        <v>27.5</v>
      </c>
      <c r="S268" s="171">
        <v>25</v>
      </c>
      <c r="T268" s="171">
        <v>24.93</v>
      </c>
      <c r="U268" s="171">
        <v>25.7</v>
      </c>
      <c r="V268" s="171">
        <v>26.95</v>
      </c>
      <c r="W268" s="171">
        <v>26.330000000000002</v>
      </c>
      <c r="X268" s="171">
        <v>25.94</v>
      </c>
      <c r="Y268" s="171">
        <v>26.95</v>
      </c>
      <c r="Z268" s="171">
        <v>27</v>
      </c>
      <c r="AA268" s="171">
        <v>21.080000000000002</v>
      </c>
      <c r="AB268" s="171">
        <v>32.910000000000004</v>
      </c>
      <c r="AC268" s="171">
        <v>18.920000000000002</v>
      </c>
      <c r="AD268" s="171">
        <v>13.290000000000001</v>
      </c>
      <c r="AF268" s="171">
        <f t="shared" si="14"/>
        <v>2007</v>
      </c>
      <c r="AG268" s="171">
        <f t="shared" si="15"/>
        <v>24</v>
      </c>
      <c r="AH268" s="700">
        <f>SUMIF(D$3:$AA268,"&lt;="&amp;$AH$1)/COUNTIF(D$3:$AA268,"&lt;="&amp;$AH$1)</f>
        <v>28.776212216624717</v>
      </c>
    </row>
    <row r="269" spans="2:34" x14ac:dyDescent="0.25">
      <c r="B269" s="910">
        <v>39203</v>
      </c>
      <c r="C269" s="581">
        <f t="shared" si="13"/>
        <v>5</v>
      </c>
      <c r="D269" s="171">
        <v>17.100000000000001</v>
      </c>
      <c r="E269" s="171">
        <v>15.05</v>
      </c>
      <c r="F269" s="171">
        <v>13.08</v>
      </c>
      <c r="G269" s="171">
        <v>12.08</v>
      </c>
      <c r="H269" s="171">
        <v>6.21</v>
      </c>
      <c r="I269" s="171">
        <v>13.09</v>
      </c>
      <c r="J269" s="171">
        <v>12.01</v>
      </c>
      <c r="K269" s="171">
        <v>8.18</v>
      </c>
      <c r="L269" s="171">
        <v>19.77</v>
      </c>
      <c r="M269" s="171">
        <v>27</v>
      </c>
      <c r="N269" s="171">
        <v>32.880000000000003</v>
      </c>
      <c r="O269" s="171">
        <v>39.06</v>
      </c>
      <c r="P269" s="171">
        <v>32.99</v>
      </c>
      <c r="Q269" s="171">
        <v>44.96</v>
      </c>
      <c r="R269" s="171">
        <v>37.01</v>
      </c>
      <c r="S269" s="171">
        <v>28.990000000000002</v>
      </c>
      <c r="T269" s="171">
        <v>27</v>
      </c>
      <c r="U269" s="171">
        <v>23.01</v>
      </c>
      <c r="V269" s="171">
        <v>19.91</v>
      </c>
      <c r="W269" s="171">
        <v>18.940000000000001</v>
      </c>
      <c r="X269" s="171">
        <v>20</v>
      </c>
      <c r="Y269" s="171">
        <v>24.13</v>
      </c>
      <c r="Z269" s="171">
        <v>22.06</v>
      </c>
      <c r="AA269" s="171">
        <v>24.11</v>
      </c>
      <c r="AB269" s="171">
        <v>44.96</v>
      </c>
      <c r="AC269" s="171">
        <v>8.18</v>
      </c>
      <c r="AD269" s="171">
        <v>14.09</v>
      </c>
      <c r="AF269" s="171">
        <f t="shared" si="14"/>
        <v>2007</v>
      </c>
      <c r="AG269" s="171">
        <f t="shared" si="15"/>
        <v>23</v>
      </c>
      <c r="AH269" s="700">
        <f>SUMIF(D$3:$AA269,"&lt;="&amp;$AH$1)/COUNTIF(D$3:$AA269,"&lt;="&amp;$AH$1)</f>
        <v>28.723635511097257</v>
      </c>
    </row>
    <row r="270" spans="2:34" x14ac:dyDescent="0.25">
      <c r="B270" s="910">
        <v>39204</v>
      </c>
      <c r="C270" s="581">
        <f t="shared" si="13"/>
        <v>5</v>
      </c>
      <c r="D270" s="171">
        <v>21.68</v>
      </c>
      <c r="E270" s="171">
        <v>13.1</v>
      </c>
      <c r="F270" s="171">
        <v>12.09</v>
      </c>
      <c r="G270" s="171">
        <v>10.75</v>
      </c>
      <c r="H270" s="171">
        <v>12.040000000000001</v>
      </c>
      <c r="I270" s="171">
        <v>18.8</v>
      </c>
      <c r="J270" s="171">
        <v>25</v>
      </c>
      <c r="K270" s="171">
        <v>34.83</v>
      </c>
      <c r="L270" s="171">
        <v>43.7</v>
      </c>
      <c r="M270" s="171">
        <v>56.1</v>
      </c>
      <c r="N270" s="171">
        <v>60.1</v>
      </c>
      <c r="O270" s="171">
        <v>79.900000000000006</v>
      </c>
      <c r="P270" s="171">
        <v>65</v>
      </c>
      <c r="Q270" s="171">
        <v>65.099999999999994</v>
      </c>
      <c r="R270" s="171">
        <v>57.660000000000004</v>
      </c>
      <c r="S270" s="171">
        <v>49.300000000000004</v>
      </c>
      <c r="T270" s="171">
        <v>42.22</v>
      </c>
      <c r="U270" s="171">
        <v>38.800000000000004</v>
      </c>
      <c r="V270" s="171">
        <v>33.090000000000003</v>
      </c>
      <c r="W270" s="171">
        <v>31.02</v>
      </c>
      <c r="X270" s="171">
        <v>30.8</v>
      </c>
      <c r="Y270" s="171">
        <v>31.970000000000002</v>
      </c>
      <c r="Z270" s="171">
        <v>29.060000000000002</v>
      </c>
      <c r="AA270" s="171">
        <v>24.22</v>
      </c>
      <c r="AB270" s="171">
        <v>79.900000000000006</v>
      </c>
      <c r="AC270" s="171">
        <v>25</v>
      </c>
      <c r="AD270" s="171">
        <v>17.21</v>
      </c>
      <c r="AF270" s="171">
        <f t="shared" si="14"/>
        <v>2007</v>
      </c>
      <c r="AG270" s="171">
        <f t="shared" si="15"/>
        <v>16</v>
      </c>
      <c r="AH270" s="700">
        <f>SUMIF(D$3:$AA270,"&lt;="&amp;$AH$1)/COUNTIF(D$3:$AA270,"&lt;="&amp;$AH$1)</f>
        <v>28.708049766718545</v>
      </c>
    </row>
    <row r="271" spans="2:34" x14ac:dyDescent="0.25">
      <c r="B271" s="910">
        <v>39205</v>
      </c>
      <c r="C271" s="581">
        <f t="shared" si="13"/>
        <v>5</v>
      </c>
      <c r="D271" s="171">
        <v>24.2</v>
      </c>
      <c r="E271" s="171">
        <v>22</v>
      </c>
      <c r="F271" s="171">
        <v>20.85</v>
      </c>
      <c r="G271" s="171">
        <v>18.27</v>
      </c>
      <c r="H271" s="171">
        <v>15.200000000000001</v>
      </c>
      <c r="I271" s="171">
        <v>23.330000000000002</v>
      </c>
      <c r="J271" s="171">
        <v>25.85</v>
      </c>
      <c r="K271" s="171">
        <v>36.61</v>
      </c>
      <c r="L271" s="171">
        <v>47.88</v>
      </c>
      <c r="M271" s="171">
        <v>50.39</v>
      </c>
      <c r="N271" s="171">
        <v>56.93</v>
      </c>
      <c r="O271" s="171">
        <v>70.5</v>
      </c>
      <c r="P271" s="171">
        <v>55.53</v>
      </c>
      <c r="Q271" s="171">
        <v>53.54</v>
      </c>
      <c r="R271" s="171">
        <v>47</v>
      </c>
      <c r="S271" s="171">
        <v>42.4</v>
      </c>
      <c r="T271" s="171">
        <v>35.050000000000004</v>
      </c>
      <c r="U271" s="171">
        <v>33</v>
      </c>
      <c r="V271" s="171">
        <v>32.93</v>
      </c>
      <c r="W271" s="171">
        <v>31.240000000000002</v>
      </c>
      <c r="X271" s="171">
        <v>30.080000000000002</v>
      </c>
      <c r="Y271" s="171">
        <v>31.7</v>
      </c>
      <c r="Z271" s="171">
        <v>29.19</v>
      </c>
      <c r="AA271" s="171">
        <v>25.080000000000002</v>
      </c>
      <c r="AB271" s="171">
        <v>70.5</v>
      </c>
      <c r="AC271" s="171">
        <v>25.85</v>
      </c>
      <c r="AD271" s="171">
        <v>21.85</v>
      </c>
      <c r="AF271" s="171">
        <f t="shared" si="14"/>
        <v>2007</v>
      </c>
      <c r="AG271" s="171">
        <f t="shared" si="15"/>
        <v>17</v>
      </c>
      <c r="AH271" s="700">
        <f>SUMIF(D$3:$AA271,"&lt;="&amp;$AH$1)/COUNTIF(D$3:$AA271,"&lt;="&amp;$AH$1)</f>
        <v>28.70462871287133</v>
      </c>
    </row>
    <row r="272" spans="2:34" x14ac:dyDescent="0.25">
      <c r="B272" s="910">
        <v>39206</v>
      </c>
      <c r="C272" s="581">
        <f t="shared" si="13"/>
        <v>5</v>
      </c>
      <c r="D272" s="171">
        <v>25</v>
      </c>
      <c r="E272" s="171">
        <v>22.03</v>
      </c>
      <c r="F272" s="171">
        <v>21.080000000000002</v>
      </c>
      <c r="G272" s="171">
        <v>20.400000000000002</v>
      </c>
      <c r="H272" s="171">
        <v>18.5</v>
      </c>
      <c r="I272" s="171">
        <v>22.94</v>
      </c>
      <c r="J272" s="171">
        <v>26.3</v>
      </c>
      <c r="K272" s="171">
        <v>37.01</v>
      </c>
      <c r="L272" s="171">
        <v>43.1</v>
      </c>
      <c r="M272" s="171">
        <v>47.2</v>
      </c>
      <c r="N272" s="171">
        <v>53</v>
      </c>
      <c r="O272" s="171">
        <v>65.2</v>
      </c>
      <c r="P272" s="171">
        <v>48.6</v>
      </c>
      <c r="Q272" s="171">
        <v>43.69</v>
      </c>
      <c r="R272" s="171">
        <v>39.97</v>
      </c>
      <c r="S272" s="171">
        <v>35.79</v>
      </c>
      <c r="T272" s="171">
        <v>30.96</v>
      </c>
      <c r="U272" s="171">
        <v>30</v>
      </c>
      <c r="V272" s="171">
        <v>30.91</v>
      </c>
      <c r="W272" s="171">
        <v>27.09</v>
      </c>
      <c r="X272" s="171">
        <v>28</v>
      </c>
      <c r="Y272" s="171">
        <v>29</v>
      </c>
      <c r="Z272" s="171">
        <v>29.51</v>
      </c>
      <c r="AA272" s="171">
        <v>27.060000000000002</v>
      </c>
      <c r="AB272" s="171">
        <v>65.2</v>
      </c>
      <c r="AC272" s="171">
        <v>26.3</v>
      </c>
      <c r="AD272" s="171">
        <v>22.91</v>
      </c>
      <c r="AF272" s="171">
        <f t="shared" si="14"/>
        <v>2007</v>
      </c>
      <c r="AG272" s="171">
        <f t="shared" si="15"/>
        <v>18</v>
      </c>
      <c r="AH272" s="700">
        <f>SUMIF(D$3:$AA272,"&lt;="&amp;$AH$1)/COUNTIF(D$3:$AA272,"&lt;="&amp;$AH$1)</f>
        <v>28.699972307692345</v>
      </c>
    </row>
    <row r="273" spans="2:34" x14ac:dyDescent="0.25">
      <c r="B273" s="910">
        <v>39209</v>
      </c>
      <c r="C273" s="581">
        <f t="shared" si="13"/>
        <v>5</v>
      </c>
      <c r="D273" s="171">
        <v>20.63</v>
      </c>
      <c r="E273" s="171">
        <v>17.3</v>
      </c>
      <c r="F273" s="171">
        <v>16.09</v>
      </c>
      <c r="G273" s="171">
        <v>15.07</v>
      </c>
      <c r="H273" s="171">
        <v>12.780000000000001</v>
      </c>
      <c r="I273" s="171">
        <v>18</v>
      </c>
      <c r="J273" s="171">
        <v>26</v>
      </c>
      <c r="K273" s="171">
        <v>44</v>
      </c>
      <c r="L273" s="171">
        <v>41.38</v>
      </c>
      <c r="M273" s="171">
        <v>41.38</v>
      </c>
      <c r="N273" s="171">
        <v>44.96</v>
      </c>
      <c r="O273" s="171">
        <v>53</v>
      </c>
      <c r="P273" s="171">
        <v>50</v>
      </c>
      <c r="Q273" s="171">
        <v>49</v>
      </c>
      <c r="R273" s="171">
        <v>44.5</v>
      </c>
      <c r="S273" s="171">
        <v>39.75</v>
      </c>
      <c r="T273" s="171">
        <v>33.06</v>
      </c>
      <c r="U273" s="171">
        <v>32.299999999999997</v>
      </c>
      <c r="V273" s="171">
        <v>33.03</v>
      </c>
      <c r="W273" s="171">
        <v>31.05</v>
      </c>
      <c r="X273" s="171">
        <v>32.049999999999997</v>
      </c>
      <c r="Y273" s="171">
        <v>30.91</v>
      </c>
      <c r="Z273" s="171">
        <v>31.32</v>
      </c>
      <c r="AA273" s="171">
        <v>26.07</v>
      </c>
      <c r="AB273" s="171">
        <v>53</v>
      </c>
      <c r="AC273" s="171">
        <v>26</v>
      </c>
      <c r="AD273" s="171">
        <v>18.990000000000002</v>
      </c>
      <c r="AF273" s="171">
        <f t="shared" si="14"/>
        <v>2007</v>
      </c>
      <c r="AG273" s="171">
        <f t="shared" si="15"/>
        <v>18</v>
      </c>
      <c r="AH273" s="700">
        <f>SUMIF(D$3:$AA273,"&lt;="&amp;$AH$1)/COUNTIF(D$3:$AA273,"&lt;="&amp;$AH$1)</f>
        <v>28.694332925336646</v>
      </c>
    </row>
    <row r="274" spans="2:34" x14ac:dyDescent="0.25">
      <c r="B274" s="910">
        <v>39210</v>
      </c>
      <c r="C274" s="581">
        <f t="shared" si="13"/>
        <v>5</v>
      </c>
      <c r="D274" s="171">
        <v>22.080000000000002</v>
      </c>
      <c r="E274" s="171">
        <v>19.400000000000002</v>
      </c>
      <c r="F274" s="171">
        <v>18.059999999999999</v>
      </c>
      <c r="G274" s="171">
        <v>17.07</v>
      </c>
      <c r="H274" s="171">
        <v>16.05</v>
      </c>
      <c r="I274" s="171">
        <v>19</v>
      </c>
      <c r="J274" s="171">
        <v>21.5</v>
      </c>
      <c r="K274" s="171">
        <v>29.44</v>
      </c>
      <c r="L274" s="171">
        <v>33.72</v>
      </c>
      <c r="M274" s="171">
        <v>36.06</v>
      </c>
      <c r="N274" s="171">
        <v>40.18</v>
      </c>
      <c r="O274" s="171">
        <v>49.36</v>
      </c>
      <c r="P274" s="171">
        <v>39.68</v>
      </c>
      <c r="Q274" s="171">
        <v>37.15</v>
      </c>
      <c r="R274" s="171">
        <v>34.630000000000003</v>
      </c>
      <c r="S274" s="171">
        <v>31.14</v>
      </c>
      <c r="T274" s="171">
        <v>29.09</v>
      </c>
      <c r="U274" s="171">
        <v>27.02</v>
      </c>
      <c r="V274" s="171">
        <v>27.93</v>
      </c>
      <c r="W274" s="171">
        <v>26.05</v>
      </c>
      <c r="X274" s="171">
        <v>27.97</v>
      </c>
      <c r="Y274" s="171">
        <v>29.59</v>
      </c>
      <c r="Z274" s="171">
        <v>29.5</v>
      </c>
      <c r="AA274" s="171">
        <v>24.03</v>
      </c>
      <c r="AB274" s="171">
        <v>49.36</v>
      </c>
      <c r="AC274" s="171">
        <v>21.5</v>
      </c>
      <c r="AD274" s="171">
        <v>19.650000000000002</v>
      </c>
      <c r="AF274" s="171">
        <f t="shared" si="14"/>
        <v>2007</v>
      </c>
      <c r="AG274" s="171">
        <f t="shared" si="15"/>
        <v>23</v>
      </c>
      <c r="AH274" s="700">
        <f>SUMIF(D$3:$AA274,"&lt;="&amp;$AH$1)/COUNTIF(D$3:$AA274,"&lt;="&amp;$AH$1)</f>
        <v>28.687152841081783</v>
      </c>
    </row>
    <row r="275" spans="2:34" x14ac:dyDescent="0.25">
      <c r="B275" s="910">
        <v>39211</v>
      </c>
      <c r="C275" s="581">
        <f t="shared" si="13"/>
        <v>5</v>
      </c>
      <c r="D275" s="171">
        <v>20.3</v>
      </c>
      <c r="E275" s="171">
        <v>17.57</v>
      </c>
      <c r="F275" s="171">
        <v>15.68</v>
      </c>
      <c r="G275" s="171">
        <v>16.09</v>
      </c>
      <c r="H275" s="171">
        <v>15.09</v>
      </c>
      <c r="I275" s="171">
        <v>20</v>
      </c>
      <c r="J275" s="171">
        <v>25</v>
      </c>
      <c r="K275" s="171">
        <v>34.5</v>
      </c>
      <c r="L275" s="171">
        <v>37.93</v>
      </c>
      <c r="M275" s="171">
        <v>42.67</v>
      </c>
      <c r="N275" s="171">
        <v>47.63</v>
      </c>
      <c r="O275" s="171">
        <v>55.370000000000005</v>
      </c>
      <c r="P275" s="171">
        <v>48.1</v>
      </c>
      <c r="Q275" s="171">
        <v>44.34</v>
      </c>
      <c r="R275" s="171">
        <v>41.01</v>
      </c>
      <c r="S275" s="171">
        <v>39.619999999999997</v>
      </c>
      <c r="T275" s="171">
        <v>35.56</v>
      </c>
      <c r="U275" s="171">
        <v>33.06</v>
      </c>
      <c r="V275" s="171">
        <v>34.06</v>
      </c>
      <c r="W275" s="171">
        <v>32.08</v>
      </c>
      <c r="X275" s="171">
        <v>35</v>
      </c>
      <c r="Y275" s="171">
        <v>34.700000000000003</v>
      </c>
      <c r="Z275" s="171">
        <v>32.049999999999997</v>
      </c>
      <c r="AA275" s="171">
        <v>29.01</v>
      </c>
      <c r="AB275" s="171">
        <v>55.370000000000005</v>
      </c>
      <c r="AC275" s="171">
        <v>25</v>
      </c>
      <c r="AD275" s="171">
        <v>19.84</v>
      </c>
      <c r="AF275" s="171">
        <f t="shared" si="14"/>
        <v>2007</v>
      </c>
      <c r="AG275" s="171">
        <f t="shared" si="15"/>
        <v>19</v>
      </c>
      <c r="AH275" s="700">
        <f>SUMIF(D$3:$AA275,"&lt;="&amp;$AH$1)/COUNTIF(D$3:$AA275,"&lt;="&amp;$AH$1)</f>
        <v>28.688135951661664</v>
      </c>
    </row>
    <row r="276" spans="2:34" x14ac:dyDescent="0.25">
      <c r="B276" s="910">
        <v>39212</v>
      </c>
      <c r="C276" s="581">
        <f t="shared" si="13"/>
        <v>5</v>
      </c>
      <c r="D276" s="171">
        <v>23.04</v>
      </c>
      <c r="E276" s="171">
        <v>20.080000000000002</v>
      </c>
      <c r="F276" s="171">
        <v>18.04</v>
      </c>
      <c r="G276" s="171">
        <v>14.65</v>
      </c>
      <c r="H276" s="171">
        <v>14</v>
      </c>
      <c r="I276" s="171">
        <v>20.900000000000002</v>
      </c>
      <c r="J276" s="171">
        <v>26</v>
      </c>
      <c r="K276" s="171">
        <v>34.700000000000003</v>
      </c>
      <c r="L276" s="171">
        <v>37.380000000000003</v>
      </c>
      <c r="M276" s="171">
        <v>42</v>
      </c>
      <c r="N276" s="171">
        <v>45.87</v>
      </c>
      <c r="O276" s="171">
        <v>56</v>
      </c>
      <c r="P276" s="171">
        <v>48.83</v>
      </c>
      <c r="Q276" s="171">
        <v>44.9</v>
      </c>
      <c r="R276" s="171">
        <v>39.4</v>
      </c>
      <c r="S276" s="171">
        <v>38</v>
      </c>
      <c r="T276" s="171">
        <v>36.81</v>
      </c>
      <c r="U276" s="171">
        <v>33.160000000000004</v>
      </c>
      <c r="V276" s="171">
        <v>33.869999999999997</v>
      </c>
      <c r="W276" s="171">
        <v>30</v>
      </c>
      <c r="X276" s="171">
        <v>32</v>
      </c>
      <c r="Y276" s="171">
        <v>35</v>
      </c>
      <c r="Z276" s="171">
        <v>31.11</v>
      </c>
      <c r="AA276" s="171">
        <v>27.27</v>
      </c>
      <c r="AB276" s="171">
        <v>56</v>
      </c>
      <c r="AC276" s="171">
        <v>26</v>
      </c>
      <c r="AD276" s="171">
        <v>20.5</v>
      </c>
      <c r="AF276" s="171">
        <f t="shared" si="14"/>
        <v>2007</v>
      </c>
      <c r="AG276" s="171">
        <f t="shared" si="15"/>
        <v>20</v>
      </c>
      <c r="AH276" s="700">
        <f>SUMIF(D$3:$AA276,"&lt;="&amp;$AH$1)/COUNTIF(D$3:$AA276,"&lt;="&amp;$AH$1)</f>
        <v>28.69223423423426</v>
      </c>
    </row>
    <row r="277" spans="2:34" x14ac:dyDescent="0.25">
      <c r="B277" s="910">
        <v>39213</v>
      </c>
      <c r="C277" s="581">
        <f t="shared" si="13"/>
        <v>5</v>
      </c>
      <c r="D277" s="171">
        <v>23.47</v>
      </c>
      <c r="E277" s="171">
        <v>21</v>
      </c>
      <c r="F277" s="171">
        <v>19.07</v>
      </c>
      <c r="G277" s="171">
        <v>18</v>
      </c>
      <c r="H277" s="171">
        <v>19</v>
      </c>
      <c r="I277" s="171">
        <v>22.7</v>
      </c>
      <c r="J277" s="171">
        <v>24.1</v>
      </c>
      <c r="K277" s="171">
        <v>35.03</v>
      </c>
      <c r="L277" s="171">
        <v>40.26</v>
      </c>
      <c r="M277" s="171">
        <v>43</v>
      </c>
      <c r="N277" s="171">
        <v>47.300000000000004</v>
      </c>
      <c r="O277" s="171">
        <v>51.64</v>
      </c>
      <c r="P277" s="171">
        <v>46.13</v>
      </c>
      <c r="Q277" s="171">
        <v>41</v>
      </c>
      <c r="R277" s="171">
        <v>38.01</v>
      </c>
      <c r="S277" s="171">
        <v>34.090000000000003</v>
      </c>
      <c r="T277" s="171">
        <v>30.650000000000002</v>
      </c>
      <c r="U277" s="171">
        <v>29.01</v>
      </c>
      <c r="V277" s="171">
        <v>29.42</v>
      </c>
      <c r="W277" s="171">
        <v>27</v>
      </c>
      <c r="X277" s="171">
        <v>28.5</v>
      </c>
      <c r="Y277" s="171">
        <v>30.62</v>
      </c>
      <c r="Z277" s="171">
        <v>28.810000000000002</v>
      </c>
      <c r="AA277" s="171">
        <v>25</v>
      </c>
      <c r="AB277" s="171">
        <v>51.64</v>
      </c>
      <c r="AC277" s="171">
        <v>24.1</v>
      </c>
      <c r="AD277" s="171">
        <v>21.54</v>
      </c>
      <c r="AF277" s="171">
        <f t="shared" si="14"/>
        <v>2007</v>
      </c>
      <c r="AG277" s="171">
        <f t="shared" si="15"/>
        <v>20</v>
      </c>
      <c r="AH277" s="700">
        <f>SUMIF(D$3:$AA277,"&lt;="&amp;$AH$1)/COUNTIF(D$3:$AA277,"&lt;="&amp;$AH$1)</f>
        <v>28.689516417910468</v>
      </c>
    </row>
    <row r="278" spans="2:34" x14ac:dyDescent="0.25">
      <c r="B278" s="910">
        <v>39216</v>
      </c>
      <c r="C278" s="581">
        <f t="shared" si="13"/>
        <v>5</v>
      </c>
      <c r="D278" s="171">
        <v>22.47</v>
      </c>
      <c r="E278" s="171">
        <v>17.920000000000002</v>
      </c>
      <c r="F278" s="171">
        <v>16.940000000000001</v>
      </c>
      <c r="G278" s="171">
        <v>12.18</v>
      </c>
      <c r="H278" s="171">
        <v>9.93</v>
      </c>
      <c r="I278" s="171">
        <v>21.62</v>
      </c>
      <c r="J278" s="171">
        <v>26.990000000000002</v>
      </c>
      <c r="K278" s="171">
        <v>46.01</v>
      </c>
      <c r="L278" s="171">
        <v>49.96</v>
      </c>
      <c r="M278" s="171">
        <v>50.25</v>
      </c>
      <c r="N278" s="171">
        <v>54.7</v>
      </c>
      <c r="O278" s="171">
        <v>99</v>
      </c>
      <c r="P278" s="171">
        <v>67.12</v>
      </c>
      <c r="Q278" s="171">
        <v>68</v>
      </c>
      <c r="R278" s="171">
        <v>68</v>
      </c>
      <c r="S278" s="171">
        <v>50.300000000000004</v>
      </c>
      <c r="T278" s="171">
        <v>48</v>
      </c>
      <c r="U278" s="171">
        <v>44</v>
      </c>
      <c r="V278" s="171">
        <v>42.99</v>
      </c>
      <c r="W278" s="171">
        <v>40</v>
      </c>
      <c r="X278" s="171">
        <v>40</v>
      </c>
      <c r="Y278" s="171">
        <v>41.01</v>
      </c>
      <c r="Z278" s="171">
        <v>37.08</v>
      </c>
      <c r="AA278" s="171">
        <v>37.08</v>
      </c>
      <c r="AB278" s="171">
        <v>99</v>
      </c>
      <c r="AC278" s="171">
        <v>26.990000000000002</v>
      </c>
      <c r="AD278" s="171">
        <v>20.64</v>
      </c>
      <c r="AF278" s="171">
        <f t="shared" si="14"/>
        <v>2007</v>
      </c>
      <c r="AG278" s="171">
        <f t="shared" si="15"/>
        <v>12</v>
      </c>
      <c r="AH278" s="700">
        <f>SUMIF(D$3:$AA278,"&lt;="&amp;$AH$1)/COUNTIF(D$3:$AA278,"&lt;="&amp;$AH$1)</f>
        <v>28.683254015467</v>
      </c>
    </row>
    <row r="279" spans="2:34" x14ac:dyDescent="0.25">
      <c r="B279" s="910">
        <v>39217</v>
      </c>
      <c r="C279" s="581">
        <f t="shared" si="13"/>
        <v>5</v>
      </c>
      <c r="D279" s="171">
        <v>26.38</v>
      </c>
      <c r="E279" s="171">
        <v>22.75</v>
      </c>
      <c r="F279" s="171">
        <v>21.06</v>
      </c>
      <c r="G279" s="171">
        <v>19.96</v>
      </c>
      <c r="H279" s="171">
        <v>22</v>
      </c>
      <c r="I279" s="171">
        <v>26.12</v>
      </c>
      <c r="J279" s="171">
        <v>30.5</v>
      </c>
      <c r="K279" s="171">
        <v>48</v>
      </c>
      <c r="L279" s="171">
        <v>61.95</v>
      </c>
      <c r="M279" s="171">
        <v>97</v>
      </c>
      <c r="N279" s="171">
        <v>127</v>
      </c>
      <c r="O279" s="171">
        <v>200.08</v>
      </c>
      <c r="P279" s="171">
        <v>97</v>
      </c>
      <c r="Q279" s="171">
        <v>98</v>
      </c>
      <c r="R279" s="171">
        <v>97</v>
      </c>
      <c r="S279" s="171">
        <v>73</v>
      </c>
      <c r="T279" s="171">
        <v>50.120000000000005</v>
      </c>
      <c r="U279" s="171">
        <v>46.21</v>
      </c>
      <c r="V279" s="171">
        <v>44.5</v>
      </c>
      <c r="W279" s="171">
        <v>41.89</v>
      </c>
      <c r="X279" s="171">
        <v>40.11</v>
      </c>
      <c r="Y279" s="171">
        <v>40.65</v>
      </c>
      <c r="Z279" s="171">
        <v>35.369999999999997</v>
      </c>
      <c r="AA279" s="171">
        <v>29.5</v>
      </c>
      <c r="AB279" s="171">
        <v>200.08</v>
      </c>
      <c r="AC279" s="171">
        <v>30.5</v>
      </c>
      <c r="AD279" s="171">
        <v>24.78</v>
      </c>
      <c r="AF279" s="171">
        <f t="shared" si="14"/>
        <v>2007</v>
      </c>
      <c r="AG279" s="171">
        <f t="shared" si="15"/>
        <v>12</v>
      </c>
      <c r="AH279" s="700">
        <f>SUMIF(D$3:$AA279,"&lt;="&amp;$AH$1)/COUNTIF(D$3:$AA279,"&lt;="&amp;$AH$1)</f>
        <v>28.686837581505642</v>
      </c>
    </row>
    <row r="280" spans="2:34" x14ac:dyDescent="0.25">
      <c r="B280" s="910">
        <v>39218</v>
      </c>
      <c r="C280" s="581">
        <f t="shared" si="13"/>
        <v>5</v>
      </c>
      <c r="D280" s="171">
        <v>25.5</v>
      </c>
      <c r="E280" s="171">
        <v>22.16</v>
      </c>
      <c r="F280" s="171">
        <v>20.37</v>
      </c>
      <c r="G280" s="171">
        <v>19.38</v>
      </c>
      <c r="H280" s="171">
        <v>20.37</v>
      </c>
      <c r="I280" s="171">
        <v>24.27</v>
      </c>
      <c r="J280" s="171">
        <v>29.45</v>
      </c>
      <c r="K280" s="171">
        <v>44</v>
      </c>
      <c r="L280" s="171">
        <v>62.99</v>
      </c>
      <c r="M280" s="171">
        <v>75.33</v>
      </c>
      <c r="N280" s="171">
        <v>102.42</v>
      </c>
      <c r="O280" s="171">
        <v>186.52</v>
      </c>
      <c r="P280" s="171">
        <v>103.48</v>
      </c>
      <c r="Q280" s="171">
        <v>79.14</v>
      </c>
      <c r="R280" s="171">
        <v>67.040000000000006</v>
      </c>
      <c r="S280" s="171">
        <v>55.370000000000005</v>
      </c>
      <c r="T280" s="171">
        <v>48</v>
      </c>
      <c r="U280" s="171">
        <v>42.99</v>
      </c>
      <c r="V280" s="171">
        <v>42</v>
      </c>
      <c r="W280" s="171">
        <v>36.9</v>
      </c>
      <c r="X280" s="171">
        <v>35</v>
      </c>
      <c r="Y280" s="171">
        <v>35</v>
      </c>
      <c r="Z280" s="171">
        <v>32</v>
      </c>
      <c r="AA280" s="171">
        <v>27.89</v>
      </c>
      <c r="AB280" s="171">
        <v>186.52</v>
      </c>
      <c r="AC280" s="171">
        <v>29.45</v>
      </c>
      <c r="AD280" s="171">
        <v>23.67</v>
      </c>
      <c r="AF280" s="171">
        <f t="shared" si="14"/>
        <v>2007</v>
      </c>
      <c r="AG280" s="171">
        <f t="shared" si="15"/>
        <v>13</v>
      </c>
      <c r="AH280" s="700">
        <f>SUMIF(D$3:$AA280,"&lt;="&amp;$AH$1)/COUNTIF(D$3:$AA280,"&lt;="&amp;$AH$1)</f>
        <v>28.686058458813118</v>
      </c>
    </row>
    <row r="281" spans="2:34" x14ac:dyDescent="0.25">
      <c r="B281" s="910">
        <v>39219</v>
      </c>
      <c r="C281" s="581">
        <f t="shared" si="13"/>
        <v>5</v>
      </c>
      <c r="D281" s="171">
        <v>23.42</v>
      </c>
      <c r="E281" s="171">
        <v>21.32</v>
      </c>
      <c r="F281" s="171">
        <v>19.55</v>
      </c>
      <c r="G281" s="171">
        <v>18.25</v>
      </c>
      <c r="H281" s="171">
        <v>15.05</v>
      </c>
      <c r="I281" s="171">
        <v>15.8</v>
      </c>
      <c r="J281" s="171">
        <v>10.88</v>
      </c>
      <c r="K281" s="171">
        <v>17.36</v>
      </c>
      <c r="L281" s="171">
        <v>21.09</v>
      </c>
      <c r="M281" s="171">
        <v>25.21</v>
      </c>
      <c r="N281" s="171">
        <v>28.51</v>
      </c>
      <c r="O281" s="171">
        <v>32.950000000000003</v>
      </c>
      <c r="P281" s="171">
        <v>29.92</v>
      </c>
      <c r="Q281" s="171">
        <v>25.28</v>
      </c>
      <c r="R281" s="171">
        <v>24.34</v>
      </c>
      <c r="S281" s="171">
        <v>22.09</v>
      </c>
      <c r="T281" s="171">
        <v>21.94</v>
      </c>
      <c r="U281" s="171">
        <v>26</v>
      </c>
      <c r="V281" s="171">
        <v>26.8</v>
      </c>
      <c r="W281" s="171">
        <v>27.45</v>
      </c>
      <c r="X281" s="171">
        <v>30</v>
      </c>
      <c r="Y281" s="171">
        <v>30</v>
      </c>
      <c r="Z281" s="171">
        <v>30.46</v>
      </c>
      <c r="AA281" s="171">
        <v>25</v>
      </c>
      <c r="AB281" s="171">
        <v>32.950000000000003</v>
      </c>
      <c r="AC281" s="171">
        <v>10.88</v>
      </c>
      <c r="AD281" s="171">
        <v>18.66</v>
      </c>
      <c r="AF281" s="171">
        <f t="shared" si="14"/>
        <v>2007</v>
      </c>
      <c r="AG281" s="171">
        <f t="shared" si="15"/>
        <v>24</v>
      </c>
      <c r="AH281" s="700">
        <f>SUMIF(D$3:$AA281,"&lt;="&amp;$AH$1)/COUNTIF(D$3:$AA281,"&lt;="&amp;$AH$1)</f>
        <v>28.650938141307549</v>
      </c>
    </row>
    <row r="282" spans="2:34" x14ac:dyDescent="0.25">
      <c r="B282" s="910">
        <v>39220</v>
      </c>
      <c r="C282" s="581">
        <f t="shared" si="13"/>
        <v>5</v>
      </c>
      <c r="D282" s="171">
        <v>22.02</v>
      </c>
      <c r="E282" s="171">
        <v>18.25</v>
      </c>
      <c r="F282" s="171">
        <v>15.01</v>
      </c>
      <c r="G282" s="171">
        <v>14.040000000000001</v>
      </c>
      <c r="H282" s="171">
        <v>13.25</v>
      </c>
      <c r="I282" s="171">
        <v>16.68</v>
      </c>
      <c r="J282" s="171">
        <v>19.07</v>
      </c>
      <c r="K282" s="171">
        <v>26.02</v>
      </c>
      <c r="L282" s="171">
        <v>30.1</v>
      </c>
      <c r="M282" s="171">
        <v>34.06</v>
      </c>
      <c r="N282" s="171">
        <v>39</v>
      </c>
      <c r="O282" s="171">
        <v>42.5</v>
      </c>
      <c r="P282" s="171">
        <v>37.9</v>
      </c>
      <c r="Q282" s="171">
        <v>33.97</v>
      </c>
      <c r="R282" s="171">
        <v>29.8</v>
      </c>
      <c r="S282" s="171">
        <v>28.09</v>
      </c>
      <c r="T282" s="171">
        <v>28</v>
      </c>
      <c r="U282" s="171">
        <v>30</v>
      </c>
      <c r="V282" s="171">
        <v>28.080000000000002</v>
      </c>
      <c r="W282" s="171">
        <v>29.04</v>
      </c>
      <c r="X282" s="171">
        <v>27.7</v>
      </c>
      <c r="Y282" s="171">
        <v>27.16</v>
      </c>
      <c r="Z282" s="171">
        <v>34.9</v>
      </c>
      <c r="AA282" s="171">
        <v>32.9</v>
      </c>
      <c r="AB282" s="171">
        <v>42.5</v>
      </c>
      <c r="AC282" s="171">
        <v>19.07</v>
      </c>
      <c r="AD282" s="171">
        <v>18.900000000000002</v>
      </c>
      <c r="AF282" s="171">
        <f t="shared" si="14"/>
        <v>2007</v>
      </c>
      <c r="AG282" s="171">
        <f t="shared" si="15"/>
        <v>24</v>
      </c>
      <c r="AH282" s="700">
        <f>SUMIF(D$3:$AA282,"&lt;="&amp;$AH$1)/COUNTIF(D$3:$AA282,"&lt;="&amp;$AH$1)</f>
        <v>28.642180494905393</v>
      </c>
    </row>
    <row r="283" spans="2:34" x14ac:dyDescent="0.25">
      <c r="B283" s="910">
        <v>39223</v>
      </c>
      <c r="C283" s="581">
        <f t="shared" si="13"/>
        <v>5</v>
      </c>
      <c r="D283" s="171">
        <v>22</v>
      </c>
      <c r="E283" s="171">
        <v>18</v>
      </c>
      <c r="F283" s="171">
        <v>14.71</v>
      </c>
      <c r="G283" s="171">
        <v>14</v>
      </c>
      <c r="H283" s="171">
        <v>17.010000000000002</v>
      </c>
      <c r="I283" s="171">
        <v>21.36</v>
      </c>
      <c r="J283" s="171">
        <v>25</v>
      </c>
      <c r="K283" s="171">
        <v>43.9</v>
      </c>
      <c r="L283" s="171">
        <v>51</v>
      </c>
      <c r="M283" s="171">
        <v>57.75</v>
      </c>
      <c r="N283" s="171">
        <v>80</v>
      </c>
      <c r="O283" s="171">
        <v>107</v>
      </c>
      <c r="P283" s="171">
        <v>88.02</v>
      </c>
      <c r="Q283" s="171">
        <v>177</v>
      </c>
      <c r="R283" s="171">
        <v>70</v>
      </c>
      <c r="S283" s="171">
        <v>64.5</v>
      </c>
      <c r="T283" s="171">
        <v>51.5</v>
      </c>
      <c r="U283" s="171">
        <v>49.300000000000004</v>
      </c>
      <c r="V283" s="171">
        <v>45.9</v>
      </c>
      <c r="W283" s="171">
        <v>41.910000000000004</v>
      </c>
      <c r="X283" s="171">
        <v>44</v>
      </c>
      <c r="Y283" s="171">
        <v>41.94</v>
      </c>
      <c r="Z283" s="171">
        <v>41.08</v>
      </c>
      <c r="AA283" s="171">
        <v>42.62</v>
      </c>
      <c r="AB283" s="171">
        <v>107</v>
      </c>
      <c r="AC283" s="171">
        <v>25</v>
      </c>
      <c r="AD283" s="171">
        <v>21.84</v>
      </c>
      <c r="AF283" s="171">
        <f t="shared" si="14"/>
        <v>2007</v>
      </c>
      <c r="AG283" s="171">
        <f t="shared" si="15"/>
        <v>10</v>
      </c>
      <c r="AH283" s="700">
        <f>SUMIF(D$3:$AA283,"&lt;="&amp;$AH$1)/COUNTIF(D$3:$AA283,"&lt;="&amp;$AH$1)</f>
        <v>28.633642960812782</v>
      </c>
    </row>
    <row r="284" spans="2:34" x14ac:dyDescent="0.25">
      <c r="B284" s="910">
        <v>39224</v>
      </c>
      <c r="C284" s="581">
        <f t="shared" si="13"/>
        <v>5</v>
      </c>
      <c r="D284" s="171">
        <v>29.1</v>
      </c>
      <c r="E284" s="171">
        <v>23.17</v>
      </c>
      <c r="F284" s="171">
        <v>20.88</v>
      </c>
      <c r="G284" s="171">
        <v>17.88</v>
      </c>
      <c r="H284" s="171">
        <v>18</v>
      </c>
      <c r="I284" s="171">
        <v>22.5</v>
      </c>
      <c r="J284" s="171">
        <v>27.51</v>
      </c>
      <c r="K284" s="171">
        <v>45.2</v>
      </c>
      <c r="L284" s="171">
        <v>58.08</v>
      </c>
      <c r="M284" s="171">
        <v>400</v>
      </c>
      <c r="N284" s="171">
        <v>800</v>
      </c>
      <c r="O284" s="171">
        <v>950</v>
      </c>
      <c r="P284" s="171">
        <v>350</v>
      </c>
      <c r="Q284" s="171">
        <v>520.01</v>
      </c>
      <c r="R284" s="171">
        <v>950</v>
      </c>
      <c r="S284" s="171">
        <v>950</v>
      </c>
      <c r="T284" s="171">
        <v>950</v>
      </c>
      <c r="U284" s="171">
        <v>250.08</v>
      </c>
      <c r="V284" s="171">
        <v>49.38</v>
      </c>
      <c r="W284" s="171">
        <v>44.82</v>
      </c>
      <c r="X284" s="171">
        <v>42.52</v>
      </c>
      <c r="Y284" s="171">
        <v>40.18</v>
      </c>
      <c r="Z284" s="171">
        <v>50</v>
      </c>
      <c r="AA284" s="171">
        <v>48.51</v>
      </c>
      <c r="AB284" s="171">
        <v>950</v>
      </c>
      <c r="AC284" s="171">
        <v>27.51</v>
      </c>
      <c r="AD284" s="171">
        <v>25.94</v>
      </c>
      <c r="AF284" s="171">
        <f t="shared" si="14"/>
        <v>2007</v>
      </c>
      <c r="AG284" s="171">
        <f t="shared" si="15"/>
        <v>9</v>
      </c>
      <c r="AH284" s="700">
        <f>SUMIF(D$3:$AA284,"&lt;="&amp;$AH$1)/COUNTIF(D$3:$AA284,"&lt;="&amp;$AH$1)</f>
        <v>28.62902142443545</v>
      </c>
    </row>
    <row r="285" spans="2:34" x14ac:dyDescent="0.25">
      <c r="B285" s="910">
        <v>39225</v>
      </c>
      <c r="C285" s="581">
        <f t="shared" si="13"/>
        <v>5</v>
      </c>
      <c r="D285" s="171">
        <v>26.080000000000002</v>
      </c>
      <c r="E285" s="171">
        <v>22.02</v>
      </c>
      <c r="F285" s="171">
        <v>20.03</v>
      </c>
      <c r="G285" s="171">
        <v>18.63</v>
      </c>
      <c r="H285" s="171">
        <v>19.55</v>
      </c>
      <c r="I285" s="171">
        <v>23.5</v>
      </c>
      <c r="J285" s="171">
        <v>27.810000000000002</v>
      </c>
      <c r="K285" s="171">
        <v>54</v>
      </c>
      <c r="L285" s="171">
        <v>88.9</v>
      </c>
      <c r="M285" s="171">
        <v>99</v>
      </c>
      <c r="N285" s="171">
        <v>100</v>
      </c>
      <c r="O285" s="171">
        <v>143.5</v>
      </c>
      <c r="P285" s="171">
        <v>100</v>
      </c>
      <c r="Q285" s="171">
        <v>99</v>
      </c>
      <c r="R285" s="171">
        <v>82.95</v>
      </c>
      <c r="S285" s="171">
        <v>72.010000000000005</v>
      </c>
      <c r="T285" s="171">
        <v>80</v>
      </c>
      <c r="U285" s="171">
        <v>99.5</v>
      </c>
      <c r="V285" s="171">
        <v>45.5</v>
      </c>
      <c r="W285" s="171">
        <v>41.07</v>
      </c>
      <c r="X285" s="171">
        <v>40.4</v>
      </c>
      <c r="Y285" s="171">
        <v>40.69</v>
      </c>
      <c r="Z285" s="171">
        <v>42.12</v>
      </c>
      <c r="AA285" s="171">
        <v>40.880000000000003</v>
      </c>
      <c r="AB285" s="171">
        <v>143.5</v>
      </c>
      <c r="AC285" s="171">
        <v>27.810000000000002</v>
      </c>
      <c r="AD285" s="171">
        <v>24.810000000000002</v>
      </c>
      <c r="AF285" s="171">
        <f t="shared" si="14"/>
        <v>2007</v>
      </c>
      <c r="AG285" s="171">
        <f t="shared" si="15"/>
        <v>12</v>
      </c>
      <c r="AH285" s="700">
        <f>SUMIF(D$3:$AA285,"&lt;="&amp;$AH$1)/COUNTIF(D$3:$AA285,"&lt;="&amp;$AH$1)</f>
        <v>28.634570109636485</v>
      </c>
    </row>
    <row r="286" spans="2:34" x14ac:dyDescent="0.25">
      <c r="B286" s="910">
        <v>39226</v>
      </c>
      <c r="C286" s="581">
        <f t="shared" si="13"/>
        <v>5</v>
      </c>
      <c r="D286" s="171">
        <v>25</v>
      </c>
      <c r="E286" s="171">
        <v>21.68</v>
      </c>
      <c r="F286" s="171">
        <v>19.23</v>
      </c>
      <c r="G286" s="171">
        <v>18.240000000000002</v>
      </c>
      <c r="H286" s="171">
        <v>19.010000000000002</v>
      </c>
      <c r="I286" s="171">
        <v>22.740000000000002</v>
      </c>
      <c r="J286" s="171">
        <v>26.98</v>
      </c>
      <c r="K286" s="171">
        <v>48.88</v>
      </c>
      <c r="L286" s="171">
        <v>95.83</v>
      </c>
      <c r="M286" s="171">
        <v>106</v>
      </c>
      <c r="N286" s="171">
        <v>110.99000000000001</v>
      </c>
      <c r="O286" s="171">
        <v>162.46</v>
      </c>
      <c r="P286" s="171">
        <v>106.53</v>
      </c>
      <c r="Q286" s="171">
        <v>97.4</v>
      </c>
      <c r="R286" s="171">
        <v>95.9</v>
      </c>
      <c r="S286" s="171">
        <v>82.12</v>
      </c>
      <c r="T286" s="171">
        <v>68.099999999999994</v>
      </c>
      <c r="U286" s="171">
        <v>60.63</v>
      </c>
      <c r="V286" s="171">
        <v>51.06</v>
      </c>
      <c r="W286" s="171">
        <v>44.96</v>
      </c>
      <c r="X286" s="171">
        <v>38.97</v>
      </c>
      <c r="Y286" s="171">
        <v>37</v>
      </c>
      <c r="Z286" s="171">
        <v>34.9</v>
      </c>
      <c r="AA286" s="171">
        <v>27.22</v>
      </c>
      <c r="AB286" s="171">
        <v>162.46</v>
      </c>
      <c r="AC286" s="171">
        <v>26.98</v>
      </c>
      <c r="AD286" s="171">
        <v>22.51</v>
      </c>
      <c r="AF286" s="171">
        <f t="shared" si="14"/>
        <v>2007</v>
      </c>
      <c r="AG286" s="171">
        <f t="shared" si="15"/>
        <v>11</v>
      </c>
      <c r="AH286" s="700">
        <f>SUMIF(D$3:$AA286,"&lt;="&amp;$AH$1)/COUNTIF(D$3:$AA286,"&lt;="&amp;$AH$1)</f>
        <v>28.627664653436884</v>
      </c>
    </row>
    <row r="287" spans="2:34" x14ac:dyDescent="0.25">
      <c r="B287" s="910">
        <v>39227</v>
      </c>
      <c r="C287" s="581">
        <f t="shared" si="13"/>
        <v>5</v>
      </c>
      <c r="D287" s="171">
        <v>23.09</v>
      </c>
      <c r="E287" s="171">
        <v>21.03</v>
      </c>
      <c r="F287" s="171">
        <v>20.010000000000002</v>
      </c>
      <c r="G287" s="171">
        <v>18.91</v>
      </c>
      <c r="H287" s="171">
        <v>18.5</v>
      </c>
      <c r="I287" s="171">
        <v>21.73</v>
      </c>
      <c r="J287" s="171">
        <v>28.53</v>
      </c>
      <c r="K287" s="171">
        <v>44.29</v>
      </c>
      <c r="L287" s="171">
        <v>68.39</v>
      </c>
      <c r="M287" s="171">
        <v>85</v>
      </c>
      <c r="N287" s="171">
        <v>115</v>
      </c>
      <c r="O287" s="171">
        <v>145</v>
      </c>
      <c r="P287" s="171">
        <v>101.21000000000001</v>
      </c>
      <c r="Q287" s="171">
        <v>85</v>
      </c>
      <c r="R287" s="171">
        <v>85</v>
      </c>
      <c r="S287" s="171">
        <v>58.99</v>
      </c>
      <c r="T287" s="171">
        <v>50</v>
      </c>
      <c r="U287" s="171">
        <v>47.300000000000004</v>
      </c>
      <c r="V287" s="171">
        <v>42.99</v>
      </c>
      <c r="W287" s="171">
        <v>39</v>
      </c>
      <c r="X287" s="171">
        <v>35.050000000000004</v>
      </c>
      <c r="Y287" s="171">
        <v>33.950000000000003</v>
      </c>
      <c r="Z287" s="171">
        <v>32.99</v>
      </c>
      <c r="AA287" s="171">
        <v>27.35</v>
      </c>
      <c r="AB287" s="171">
        <v>145</v>
      </c>
      <c r="AC287" s="171">
        <v>28.53</v>
      </c>
      <c r="AD287" s="171">
        <v>22.39</v>
      </c>
      <c r="AF287" s="171">
        <f t="shared" si="14"/>
        <v>2007</v>
      </c>
      <c r="AG287" s="171">
        <f t="shared" si="15"/>
        <v>12</v>
      </c>
      <c r="AH287" s="700">
        <f>SUMIF(D$3:$AA287,"&lt;="&amp;$AH$1)/COUNTIF(D$3:$AA287,"&lt;="&amp;$AH$1)</f>
        <v>28.620960160504456</v>
      </c>
    </row>
    <row r="288" spans="2:34" x14ac:dyDescent="0.25">
      <c r="B288" s="910">
        <v>39230</v>
      </c>
      <c r="C288" s="581">
        <f t="shared" si="13"/>
        <v>5</v>
      </c>
      <c r="D288" s="171">
        <v>20.02</v>
      </c>
      <c r="E288" s="171">
        <v>12.4</v>
      </c>
      <c r="F288" s="171">
        <v>12</v>
      </c>
      <c r="G288" s="171">
        <v>9.17</v>
      </c>
      <c r="H288" s="171">
        <v>9.16</v>
      </c>
      <c r="I288" s="171">
        <v>8.19</v>
      </c>
      <c r="J288" s="171">
        <v>7.87</v>
      </c>
      <c r="K288" s="171">
        <v>11.99</v>
      </c>
      <c r="L288" s="171">
        <v>15.27</v>
      </c>
      <c r="M288" s="171">
        <v>23.42</v>
      </c>
      <c r="N288" s="171">
        <v>26.75</v>
      </c>
      <c r="O288" s="171">
        <v>29.95</v>
      </c>
      <c r="P288" s="171">
        <v>29.61</v>
      </c>
      <c r="Q288" s="171">
        <v>25.27</v>
      </c>
      <c r="R288" s="171">
        <v>23.09</v>
      </c>
      <c r="S288" s="171">
        <v>21.68</v>
      </c>
      <c r="T288" s="171">
        <v>21.38</v>
      </c>
      <c r="U288" s="171">
        <v>22.1</v>
      </c>
      <c r="V288" s="171">
        <v>24.63</v>
      </c>
      <c r="W288" s="171">
        <v>25</v>
      </c>
      <c r="X288" s="171">
        <v>24.1</v>
      </c>
      <c r="Y288" s="171">
        <v>25.09</v>
      </c>
      <c r="Z288" s="171">
        <v>28.01</v>
      </c>
      <c r="AA288" s="171">
        <v>22.02</v>
      </c>
      <c r="AB288" s="171">
        <v>29.95</v>
      </c>
      <c r="AC288" s="171">
        <v>7.87</v>
      </c>
      <c r="AD288" s="171">
        <v>12.6</v>
      </c>
      <c r="AF288" s="171">
        <f t="shared" si="14"/>
        <v>2007</v>
      </c>
      <c r="AG288" s="171">
        <f t="shared" si="15"/>
        <v>24</v>
      </c>
      <c r="AH288" s="700">
        <f>SUMIF(D$3:$AA288,"&lt;="&amp;$AH$1)/COUNTIF(D$3:$AA288,"&lt;="&amp;$AH$1)</f>
        <v>28.561542840876758</v>
      </c>
    </row>
    <row r="289" spans="2:34" x14ac:dyDescent="0.25">
      <c r="B289" s="910">
        <v>39231</v>
      </c>
      <c r="C289" s="581">
        <f t="shared" si="13"/>
        <v>5</v>
      </c>
      <c r="D289" s="171">
        <v>20.04</v>
      </c>
      <c r="E289" s="171">
        <v>18.03</v>
      </c>
      <c r="F289" s="171">
        <v>16.02</v>
      </c>
      <c r="G289" s="171">
        <v>10.050000000000001</v>
      </c>
      <c r="H289" s="171">
        <v>11.09</v>
      </c>
      <c r="I289" s="171">
        <v>17.010000000000002</v>
      </c>
      <c r="J289" s="171">
        <v>22.71</v>
      </c>
      <c r="K289" s="171">
        <v>37.03</v>
      </c>
      <c r="L289" s="171">
        <v>49.84</v>
      </c>
      <c r="M289" s="171">
        <v>56.050000000000004</v>
      </c>
      <c r="N289" s="171">
        <v>62.1</v>
      </c>
      <c r="O289" s="171">
        <v>71.08</v>
      </c>
      <c r="P289" s="171">
        <v>57.25</v>
      </c>
      <c r="Q289" s="171">
        <v>58.1</v>
      </c>
      <c r="R289" s="171">
        <v>53.88</v>
      </c>
      <c r="S289" s="171">
        <v>50.13</v>
      </c>
      <c r="T289" s="171">
        <v>41.6</v>
      </c>
      <c r="U289" s="171">
        <v>37.08</v>
      </c>
      <c r="V289" s="171">
        <v>29</v>
      </c>
      <c r="W289" s="171">
        <v>25</v>
      </c>
      <c r="X289" s="171">
        <v>27.04</v>
      </c>
      <c r="Y289" s="171">
        <v>25.09</v>
      </c>
      <c r="Z289" s="171">
        <v>27.240000000000002</v>
      </c>
      <c r="AA289" s="171">
        <v>24.03</v>
      </c>
      <c r="AB289" s="171">
        <v>71.08</v>
      </c>
      <c r="AC289" s="171">
        <v>22.71</v>
      </c>
      <c r="AD289" s="171">
        <v>17.37</v>
      </c>
      <c r="AF289" s="171">
        <f t="shared" si="14"/>
        <v>2007</v>
      </c>
      <c r="AG289" s="171">
        <f t="shared" si="15"/>
        <v>16</v>
      </c>
      <c r="AH289" s="700">
        <f>SUMIF(D$3:$AA289,"&lt;="&amp;$AH$1)/COUNTIF(D$3:$AA289,"&lt;="&amp;$AH$1)</f>
        <v>28.542011901388509</v>
      </c>
    </row>
    <row r="290" spans="2:34" x14ac:dyDescent="0.25">
      <c r="B290" s="910">
        <v>39232</v>
      </c>
      <c r="C290" s="581">
        <f t="shared" si="13"/>
        <v>5</v>
      </c>
      <c r="D290" s="171">
        <v>23.13</v>
      </c>
      <c r="E290" s="171">
        <v>19.400000000000002</v>
      </c>
      <c r="F290" s="171">
        <v>18</v>
      </c>
      <c r="G290" s="171">
        <v>14.08</v>
      </c>
      <c r="H290" s="171">
        <v>13</v>
      </c>
      <c r="I290" s="171">
        <v>20</v>
      </c>
      <c r="J290" s="171">
        <v>25.3</v>
      </c>
      <c r="K290" s="171">
        <v>41</v>
      </c>
      <c r="L290" s="171">
        <v>49</v>
      </c>
      <c r="M290" s="171">
        <v>54.17</v>
      </c>
      <c r="N290" s="171">
        <v>61.2</v>
      </c>
      <c r="O290" s="171">
        <v>78.45</v>
      </c>
      <c r="P290" s="171">
        <v>65.820000000000007</v>
      </c>
      <c r="Q290" s="171">
        <v>58.47</v>
      </c>
      <c r="R290" s="171">
        <v>55.29</v>
      </c>
      <c r="S290" s="171">
        <v>51.120000000000005</v>
      </c>
      <c r="T290" s="171">
        <v>45.67</v>
      </c>
      <c r="U290" s="171">
        <v>42.4</v>
      </c>
      <c r="V290" s="171">
        <v>42</v>
      </c>
      <c r="W290" s="171">
        <v>38.06</v>
      </c>
      <c r="X290" s="171">
        <v>36</v>
      </c>
      <c r="Y290" s="171">
        <v>33.24</v>
      </c>
      <c r="Z290" s="171">
        <v>33</v>
      </c>
      <c r="AA290" s="171">
        <v>27.060000000000002</v>
      </c>
      <c r="AB290" s="171">
        <v>78.45</v>
      </c>
      <c r="AC290" s="171">
        <v>25.3</v>
      </c>
      <c r="AD290" s="171">
        <v>20</v>
      </c>
      <c r="AF290" s="171">
        <f t="shared" si="14"/>
        <v>2007</v>
      </c>
      <c r="AG290" s="171">
        <f t="shared" si="15"/>
        <v>15</v>
      </c>
      <c r="AH290" s="700">
        <f>SUMIF(D$3:$AA290,"&lt;="&amp;$AH$1)/COUNTIF(D$3:$AA290,"&lt;="&amp;$AH$1)</f>
        <v>28.541317720090309</v>
      </c>
    </row>
    <row r="291" spans="2:34" x14ac:dyDescent="0.25">
      <c r="B291" s="910">
        <v>39233</v>
      </c>
      <c r="C291" s="581">
        <f t="shared" si="13"/>
        <v>5</v>
      </c>
      <c r="D291" s="171">
        <v>23.29</v>
      </c>
      <c r="E291" s="171">
        <v>19.010000000000002</v>
      </c>
      <c r="F291" s="171">
        <v>17.990000000000002</v>
      </c>
      <c r="G291" s="171">
        <v>14.99</v>
      </c>
      <c r="H291" s="171">
        <v>15.08</v>
      </c>
      <c r="I291" s="171">
        <v>19.559999999999999</v>
      </c>
      <c r="J291" s="171">
        <v>25</v>
      </c>
      <c r="K291" s="171">
        <v>39</v>
      </c>
      <c r="L291" s="171">
        <v>49.01</v>
      </c>
      <c r="M291" s="171">
        <v>55.85</v>
      </c>
      <c r="N291" s="171">
        <v>63</v>
      </c>
      <c r="O291" s="171">
        <v>76.42</v>
      </c>
      <c r="P291" s="171">
        <v>65.84</v>
      </c>
      <c r="Q291" s="171">
        <v>59.5</v>
      </c>
      <c r="R291" s="171">
        <v>56.050000000000004</v>
      </c>
      <c r="S291" s="171">
        <v>51.95</v>
      </c>
      <c r="T291" s="171">
        <v>46.9</v>
      </c>
      <c r="U291" s="171">
        <v>43.01</v>
      </c>
      <c r="V291" s="171">
        <v>41.32</v>
      </c>
      <c r="W291" s="171">
        <v>37.24</v>
      </c>
      <c r="X291" s="171">
        <v>33.14</v>
      </c>
      <c r="Y291" s="171">
        <v>32.53</v>
      </c>
      <c r="Z291" s="171">
        <v>33.020000000000003</v>
      </c>
      <c r="AA291" s="171">
        <v>28.02</v>
      </c>
      <c r="AB291" s="171">
        <v>76.42</v>
      </c>
      <c r="AC291" s="171">
        <v>25</v>
      </c>
      <c r="AD291" s="171">
        <v>20.37</v>
      </c>
      <c r="AF291" s="171">
        <f t="shared" si="14"/>
        <v>2007</v>
      </c>
      <c r="AG291" s="171">
        <f t="shared" si="15"/>
        <v>14</v>
      </c>
      <c r="AH291" s="700">
        <f>SUMIF(D$3:$AA291,"&lt;="&amp;$AH$1)/COUNTIF(D$3:$AA291,"&lt;="&amp;$AH$1)</f>
        <v>28.535587408656568</v>
      </c>
    </row>
    <row r="292" spans="2:34" x14ac:dyDescent="0.25">
      <c r="B292" s="910">
        <v>39234</v>
      </c>
      <c r="C292" s="581">
        <f t="shared" si="13"/>
        <v>6</v>
      </c>
      <c r="D292" s="171">
        <v>23.86</v>
      </c>
      <c r="E292" s="171">
        <v>20.87</v>
      </c>
      <c r="F292" s="171">
        <v>19.010000000000002</v>
      </c>
      <c r="G292" s="171">
        <v>17</v>
      </c>
      <c r="H292" s="171">
        <v>18.05</v>
      </c>
      <c r="I292" s="171">
        <v>21.53</v>
      </c>
      <c r="J292" s="171">
        <v>25.1</v>
      </c>
      <c r="K292" s="171">
        <v>40.5</v>
      </c>
      <c r="L292" s="171">
        <v>47</v>
      </c>
      <c r="M292" s="171">
        <v>57.24</v>
      </c>
      <c r="N292" s="171">
        <v>71.400000000000006</v>
      </c>
      <c r="O292" s="171">
        <v>85.01</v>
      </c>
      <c r="P292" s="171">
        <v>69</v>
      </c>
      <c r="Q292" s="171">
        <v>69</v>
      </c>
      <c r="R292" s="171">
        <v>50.5</v>
      </c>
      <c r="S292" s="171">
        <v>46.51</v>
      </c>
      <c r="T292" s="171">
        <v>38</v>
      </c>
      <c r="U292" s="171">
        <v>36</v>
      </c>
      <c r="V292" s="171">
        <v>33.549999999999997</v>
      </c>
      <c r="W292" s="171">
        <v>30.35</v>
      </c>
      <c r="X292" s="171">
        <v>29.94</v>
      </c>
      <c r="Y292" s="171">
        <v>28.87</v>
      </c>
      <c r="Z292" s="171">
        <v>30</v>
      </c>
      <c r="AA292" s="171">
        <v>25.080000000000002</v>
      </c>
      <c r="AB292" s="171">
        <v>85.01</v>
      </c>
      <c r="AC292" s="171">
        <v>25.1</v>
      </c>
      <c r="AD292" s="171">
        <v>21.31</v>
      </c>
      <c r="AF292" s="171">
        <f t="shared" si="14"/>
        <v>2007</v>
      </c>
      <c r="AG292" s="171">
        <f t="shared" si="15"/>
        <v>16</v>
      </c>
      <c r="AH292" s="700">
        <f>SUMIF(D$3:$AA292,"&lt;="&amp;$AH$1)/COUNTIF(D$3:$AA292,"&lt;="&amp;$AH$1)</f>
        <v>28.530310576385023</v>
      </c>
    </row>
    <row r="293" spans="2:34" x14ac:dyDescent="0.25">
      <c r="B293" s="910">
        <v>39237</v>
      </c>
      <c r="C293" s="581">
        <f t="shared" si="13"/>
        <v>6</v>
      </c>
      <c r="D293" s="171">
        <v>22.400000000000002</v>
      </c>
      <c r="E293" s="171">
        <v>16.57</v>
      </c>
      <c r="F293" s="171">
        <v>13.9</v>
      </c>
      <c r="G293" s="171">
        <v>13.31</v>
      </c>
      <c r="H293" s="171">
        <v>14.77</v>
      </c>
      <c r="I293" s="171">
        <v>17.670000000000002</v>
      </c>
      <c r="J293" s="171">
        <v>21.2</v>
      </c>
      <c r="K293" s="171">
        <v>34</v>
      </c>
      <c r="L293" s="171">
        <v>42.93</v>
      </c>
      <c r="M293" s="171">
        <v>67.87</v>
      </c>
      <c r="N293" s="171">
        <v>75.400000000000006</v>
      </c>
      <c r="O293" s="171">
        <v>100.01</v>
      </c>
      <c r="P293" s="171">
        <v>80</v>
      </c>
      <c r="Q293" s="171">
        <v>83.14</v>
      </c>
      <c r="R293" s="171">
        <v>75.25</v>
      </c>
      <c r="S293" s="171">
        <v>69</v>
      </c>
      <c r="T293" s="171">
        <v>53.18</v>
      </c>
      <c r="U293" s="171">
        <v>40.92</v>
      </c>
      <c r="V293" s="171">
        <v>39.99</v>
      </c>
      <c r="W293" s="171">
        <v>30.970000000000002</v>
      </c>
      <c r="X293" s="171">
        <v>30</v>
      </c>
      <c r="Y293" s="171">
        <v>28.78</v>
      </c>
      <c r="Z293" s="171">
        <v>30</v>
      </c>
      <c r="AA293" s="171">
        <v>29</v>
      </c>
      <c r="AB293" s="171">
        <v>100.01</v>
      </c>
      <c r="AC293" s="171">
        <v>21.2</v>
      </c>
      <c r="AD293" s="171">
        <v>18.600000000000001</v>
      </c>
      <c r="AF293" s="171">
        <f t="shared" si="14"/>
        <v>2007</v>
      </c>
      <c r="AG293" s="171">
        <f t="shared" si="15"/>
        <v>15</v>
      </c>
      <c r="AH293" s="700">
        <f>SUMIF(D$3:$AA293,"&lt;="&amp;$AH$1)/COUNTIF(D$3:$AA293,"&lt;="&amp;$AH$1)</f>
        <v>28.517918640289793</v>
      </c>
    </row>
    <row r="294" spans="2:34" x14ac:dyDescent="0.25">
      <c r="B294" s="910">
        <v>39238</v>
      </c>
      <c r="C294" s="581">
        <f t="shared" si="13"/>
        <v>6</v>
      </c>
      <c r="D294" s="171">
        <v>27.25</v>
      </c>
      <c r="E294" s="171">
        <v>21.55</v>
      </c>
      <c r="F294" s="171">
        <v>18.48</v>
      </c>
      <c r="G294" s="171">
        <v>18</v>
      </c>
      <c r="H294" s="171">
        <v>18.95</v>
      </c>
      <c r="I294" s="171">
        <v>20.900000000000002</v>
      </c>
      <c r="J294" s="171">
        <v>27.6</v>
      </c>
      <c r="K294" s="171">
        <v>42.160000000000004</v>
      </c>
      <c r="L294" s="171">
        <v>52.65</v>
      </c>
      <c r="M294" s="171">
        <v>60.51</v>
      </c>
      <c r="N294" s="171">
        <v>72.489999999999995</v>
      </c>
      <c r="O294" s="171">
        <v>84</v>
      </c>
      <c r="P294" s="171">
        <v>73.510000000000005</v>
      </c>
      <c r="Q294" s="171">
        <v>66</v>
      </c>
      <c r="R294" s="171">
        <v>60</v>
      </c>
      <c r="S294" s="171">
        <v>55.25</v>
      </c>
      <c r="T294" s="171">
        <v>46.9</v>
      </c>
      <c r="U294" s="171">
        <v>43.4</v>
      </c>
      <c r="V294" s="171">
        <v>39.5</v>
      </c>
      <c r="W294" s="171">
        <v>35.550000000000004</v>
      </c>
      <c r="X294" s="171">
        <v>32</v>
      </c>
      <c r="Y294" s="171">
        <v>32.01</v>
      </c>
      <c r="Z294" s="171">
        <v>32.549999999999997</v>
      </c>
      <c r="AA294" s="171">
        <v>27.09</v>
      </c>
      <c r="AB294" s="171">
        <v>84</v>
      </c>
      <c r="AC294" s="171">
        <v>27.6</v>
      </c>
      <c r="AD294" s="171">
        <v>22.48</v>
      </c>
      <c r="AF294" s="171">
        <f t="shared" si="14"/>
        <v>2007</v>
      </c>
      <c r="AG294" s="171">
        <f t="shared" si="15"/>
        <v>14</v>
      </c>
      <c r="AH294" s="700">
        <f>SUMIF(D$3:$AA294,"&lt;="&amp;$AH$1)/COUNTIF(D$3:$AA294,"&lt;="&amp;$AH$1)</f>
        <v>28.516347488204293</v>
      </c>
    </row>
    <row r="295" spans="2:34" x14ac:dyDescent="0.25">
      <c r="B295" s="910">
        <v>39239</v>
      </c>
      <c r="C295" s="581">
        <f t="shared" si="13"/>
        <v>6</v>
      </c>
      <c r="D295" s="171">
        <v>27.3</v>
      </c>
      <c r="E295" s="171">
        <v>23.35</v>
      </c>
      <c r="F295" s="171">
        <v>20.53</v>
      </c>
      <c r="G295" s="171">
        <v>20.86</v>
      </c>
      <c r="H295" s="171">
        <v>22</v>
      </c>
      <c r="I295" s="171">
        <v>23.81</v>
      </c>
      <c r="J295" s="171">
        <v>33.72</v>
      </c>
      <c r="K295" s="171">
        <v>48.660000000000004</v>
      </c>
      <c r="L295" s="171">
        <v>60</v>
      </c>
      <c r="M295" s="171">
        <v>75</v>
      </c>
      <c r="N295" s="171">
        <v>77.88</v>
      </c>
      <c r="O295" s="171">
        <v>95.12</v>
      </c>
      <c r="P295" s="171">
        <v>69.45</v>
      </c>
      <c r="Q295" s="171">
        <v>75</v>
      </c>
      <c r="R295" s="171">
        <v>95</v>
      </c>
      <c r="S295" s="171">
        <v>53.11</v>
      </c>
      <c r="T295" s="171">
        <v>73</v>
      </c>
      <c r="U295" s="171">
        <v>69.73</v>
      </c>
      <c r="V295" s="171">
        <v>42.15</v>
      </c>
      <c r="W295" s="171">
        <v>35</v>
      </c>
      <c r="X295" s="171">
        <v>34.160000000000004</v>
      </c>
      <c r="Y295" s="171">
        <v>34.03</v>
      </c>
      <c r="Z295" s="171">
        <v>35.5</v>
      </c>
      <c r="AA295" s="171">
        <v>30</v>
      </c>
      <c r="AB295" s="171">
        <v>95.12</v>
      </c>
      <c r="AC295" s="171">
        <v>33.72</v>
      </c>
      <c r="AD295" s="171">
        <v>25.2</v>
      </c>
      <c r="AF295" s="171">
        <f t="shared" si="14"/>
        <v>2007</v>
      </c>
      <c r="AG295" s="171">
        <f t="shared" si="15"/>
        <v>13</v>
      </c>
      <c r="AH295" s="700">
        <f>SUMIF(D$3:$AA295,"&lt;="&amp;$AH$1)/COUNTIF(D$3:$AA295,"&lt;="&amp;$AH$1)</f>
        <v>28.519582411504445</v>
      </c>
    </row>
    <row r="296" spans="2:34" x14ac:dyDescent="0.25">
      <c r="B296" s="910">
        <v>39240</v>
      </c>
      <c r="C296" s="581">
        <f t="shared" si="13"/>
        <v>6</v>
      </c>
      <c r="D296" s="171">
        <v>24.96</v>
      </c>
      <c r="E296" s="171">
        <v>22.62</v>
      </c>
      <c r="F296" s="171">
        <v>20.190000000000001</v>
      </c>
      <c r="G296" s="171">
        <v>19.71</v>
      </c>
      <c r="H296" s="171">
        <v>19</v>
      </c>
      <c r="I296" s="171">
        <v>19.850000000000001</v>
      </c>
      <c r="J296" s="171">
        <v>24.22</v>
      </c>
      <c r="K296" s="171">
        <v>33</v>
      </c>
      <c r="L296" s="171">
        <v>37.47</v>
      </c>
      <c r="M296" s="171">
        <v>46.22</v>
      </c>
      <c r="N296" s="171">
        <v>53.1</v>
      </c>
      <c r="O296" s="171">
        <v>70</v>
      </c>
      <c r="P296" s="171">
        <v>54.07</v>
      </c>
      <c r="Q296" s="171">
        <v>73</v>
      </c>
      <c r="R296" s="171">
        <v>69</v>
      </c>
      <c r="S296" s="171">
        <v>50</v>
      </c>
      <c r="T296" s="171">
        <v>40.01</v>
      </c>
      <c r="U296" s="171">
        <v>34.25</v>
      </c>
      <c r="V296" s="171">
        <v>32.97</v>
      </c>
      <c r="W296" s="171">
        <v>30</v>
      </c>
      <c r="X296" s="171">
        <v>30.5</v>
      </c>
      <c r="Y296" s="171">
        <v>29</v>
      </c>
      <c r="Z296" s="171">
        <v>29.400000000000002</v>
      </c>
      <c r="AA296" s="171">
        <v>25.07</v>
      </c>
      <c r="AB296" s="171">
        <v>73</v>
      </c>
      <c r="AC296" s="171">
        <v>24.22</v>
      </c>
      <c r="AD296" s="171">
        <v>21.95</v>
      </c>
      <c r="AF296" s="171">
        <f t="shared" si="14"/>
        <v>2007</v>
      </c>
      <c r="AG296" s="171">
        <f t="shared" si="15"/>
        <v>17</v>
      </c>
      <c r="AH296" s="700">
        <f>SUMIF(D$3:$AA296,"&lt;="&amp;$AH$1)/COUNTIF(D$3:$AA296,"&lt;="&amp;$AH$1)</f>
        <v>28.516110652353451</v>
      </c>
    </row>
    <row r="297" spans="2:34" x14ac:dyDescent="0.25">
      <c r="B297" s="910">
        <v>39241</v>
      </c>
      <c r="C297" s="581">
        <f t="shared" si="13"/>
        <v>6</v>
      </c>
      <c r="D297" s="171">
        <v>30.6</v>
      </c>
      <c r="E297" s="171">
        <v>24.5</v>
      </c>
      <c r="F297" s="171">
        <v>21.400000000000002</v>
      </c>
      <c r="G297" s="171">
        <v>21.5</v>
      </c>
      <c r="H297" s="171">
        <v>21.25</v>
      </c>
      <c r="I297" s="171">
        <v>27.3</v>
      </c>
      <c r="J297" s="171">
        <v>33.700000000000003</v>
      </c>
      <c r="K297" s="171">
        <v>37.68</v>
      </c>
      <c r="L297" s="171">
        <v>45</v>
      </c>
      <c r="M297" s="171">
        <v>53</v>
      </c>
      <c r="N297" s="171">
        <v>79.930000000000007</v>
      </c>
      <c r="O297" s="171">
        <v>125.01</v>
      </c>
      <c r="P297" s="171">
        <v>70</v>
      </c>
      <c r="Q297" s="171">
        <v>64</v>
      </c>
      <c r="R297" s="171">
        <v>53</v>
      </c>
      <c r="S297" s="171">
        <v>45.96</v>
      </c>
      <c r="T297" s="171">
        <v>41.39</v>
      </c>
      <c r="U297" s="171">
        <v>39.25</v>
      </c>
      <c r="V297" s="171">
        <v>36.68</v>
      </c>
      <c r="W297" s="171">
        <v>32.76</v>
      </c>
      <c r="X297" s="171">
        <v>30.17</v>
      </c>
      <c r="Y297" s="171">
        <v>30</v>
      </c>
      <c r="Z297" s="171">
        <v>30</v>
      </c>
      <c r="AA297" s="171">
        <v>27</v>
      </c>
      <c r="AB297" s="171">
        <v>125.01</v>
      </c>
      <c r="AC297" s="171">
        <v>30</v>
      </c>
      <c r="AD297" s="171">
        <v>25.91</v>
      </c>
      <c r="AF297" s="171">
        <f t="shared" si="14"/>
        <v>2007</v>
      </c>
      <c r="AG297" s="171">
        <f t="shared" si="15"/>
        <v>16</v>
      </c>
      <c r="AH297" s="700">
        <f>SUMIF(D$3:$AA297,"&lt;="&amp;$AH$1)/COUNTIF(D$3:$AA297,"&lt;="&amp;$AH$1)</f>
        <v>28.524036722389713</v>
      </c>
    </row>
    <row r="298" spans="2:34" x14ac:dyDescent="0.25">
      <c r="B298" s="910">
        <v>39244</v>
      </c>
      <c r="C298" s="581">
        <f t="shared" si="13"/>
        <v>6</v>
      </c>
      <c r="D298" s="171">
        <v>24</v>
      </c>
      <c r="E298" s="171">
        <v>16.760000000000002</v>
      </c>
      <c r="F298" s="171">
        <v>12.790000000000001</v>
      </c>
      <c r="G298" s="171">
        <v>11</v>
      </c>
      <c r="H298" s="171">
        <v>13</v>
      </c>
      <c r="I298" s="171">
        <v>17.7</v>
      </c>
      <c r="J298" s="171">
        <v>27</v>
      </c>
      <c r="K298" s="171">
        <v>44.93</v>
      </c>
      <c r="L298" s="171">
        <v>59</v>
      </c>
      <c r="M298" s="171">
        <v>70</v>
      </c>
      <c r="N298" s="171">
        <v>95.5</v>
      </c>
      <c r="O298" s="171">
        <v>125</v>
      </c>
      <c r="P298" s="171">
        <v>99.960000000000008</v>
      </c>
      <c r="Q298" s="171">
        <v>95</v>
      </c>
      <c r="R298" s="171">
        <v>81</v>
      </c>
      <c r="S298" s="171">
        <v>90</v>
      </c>
      <c r="T298" s="171">
        <v>76.45</v>
      </c>
      <c r="U298" s="171">
        <v>57.800000000000004</v>
      </c>
      <c r="V298" s="171">
        <v>46</v>
      </c>
      <c r="W298" s="171">
        <v>46</v>
      </c>
      <c r="X298" s="171">
        <v>40</v>
      </c>
      <c r="Y298" s="171">
        <v>38</v>
      </c>
      <c r="Z298" s="171">
        <v>36.72</v>
      </c>
      <c r="AA298" s="171">
        <v>29.25</v>
      </c>
      <c r="AB298" s="171">
        <v>125</v>
      </c>
      <c r="AC298" s="171">
        <v>27</v>
      </c>
      <c r="AD298" s="171">
        <v>18.940000000000001</v>
      </c>
      <c r="AF298" s="171">
        <f t="shared" si="14"/>
        <v>2007</v>
      </c>
      <c r="AG298" s="171">
        <f t="shared" si="15"/>
        <v>11</v>
      </c>
      <c r="AH298" s="700">
        <f>SUMIF(D$3:$AA298,"&lt;="&amp;$AH$1)/COUNTIF(D$3:$AA298,"&lt;="&amp;$AH$1)</f>
        <v>28.511046448087445</v>
      </c>
    </row>
    <row r="299" spans="2:34" x14ac:dyDescent="0.25">
      <c r="B299" s="910">
        <v>39245</v>
      </c>
      <c r="C299" s="581">
        <f t="shared" si="13"/>
        <v>6</v>
      </c>
      <c r="D299" s="171">
        <v>28.97</v>
      </c>
      <c r="E299" s="171">
        <v>23</v>
      </c>
      <c r="F299" s="171">
        <v>20.580000000000002</v>
      </c>
      <c r="G299" s="171">
        <v>20</v>
      </c>
      <c r="H299" s="171">
        <v>20</v>
      </c>
      <c r="I299" s="171">
        <v>20.350000000000001</v>
      </c>
      <c r="J299" s="171">
        <v>27.37</v>
      </c>
      <c r="K299" s="171">
        <v>41.25</v>
      </c>
      <c r="L299" s="171">
        <v>57.45</v>
      </c>
      <c r="M299" s="171">
        <v>70</v>
      </c>
      <c r="N299" s="171">
        <v>81.39</v>
      </c>
      <c r="O299" s="171">
        <v>145.45000000000002</v>
      </c>
      <c r="P299" s="171">
        <v>79.12</v>
      </c>
      <c r="Q299" s="171">
        <v>74</v>
      </c>
      <c r="R299" s="171">
        <v>68.84</v>
      </c>
      <c r="S299" s="171">
        <v>60.25</v>
      </c>
      <c r="T299" s="171">
        <v>55</v>
      </c>
      <c r="U299" s="171">
        <v>48.35</v>
      </c>
      <c r="V299" s="171">
        <v>44.92</v>
      </c>
      <c r="W299" s="171">
        <v>37.96</v>
      </c>
      <c r="X299" s="171">
        <v>35.01</v>
      </c>
      <c r="Y299" s="171">
        <v>30.92</v>
      </c>
      <c r="Z299" s="171">
        <v>32.01</v>
      </c>
      <c r="AA299" s="171">
        <v>23.6</v>
      </c>
      <c r="AB299" s="171">
        <v>145.5</v>
      </c>
      <c r="AC299" s="171">
        <v>27.37</v>
      </c>
      <c r="AD299" s="171">
        <v>22.98</v>
      </c>
      <c r="AF299" s="171">
        <f t="shared" si="14"/>
        <v>2007</v>
      </c>
      <c r="AG299" s="171">
        <f t="shared" si="15"/>
        <v>13</v>
      </c>
      <c r="AH299" s="700">
        <f>SUMIF(D$3:$AA299,"&lt;="&amp;$AH$1)/COUNTIF(D$3:$AA299,"&lt;="&amp;$AH$1)</f>
        <v>28.508426354478644</v>
      </c>
    </row>
    <row r="300" spans="2:34" x14ac:dyDescent="0.25">
      <c r="B300" s="910">
        <v>39246</v>
      </c>
      <c r="C300" s="581">
        <f t="shared" si="13"/>
        <v>6</v>
      </c>
      <c r="D300" s="171">
        <v>28.6</v>
      </c>
      <c r="E300" s="171">
        <v>24.11</v>
      </c>
      <c r="F300" s="171">
        <v>21.75</v>
      </c>
      <c r="G300" s="171">
        <v>19.330000000000002</v>
      </c>
      <c r="H300" s="171">
        <v>20</v>
      </c>
      <c r="I300" s="171">
        <v>21.25</v>
      </c>
      <c r="J300" s="171">
        <v>31.400000000000002</v>
      </c>
      <c r="K300" s="171">
        <v>49.26</v>
      </c>
      <c r="L300" s="171">
        <v>74</v>
      </c>
      <c r="M300" s="171">
        <v>92</v>
      </c>
      <c r="N300" s="171">
        <v>115.25</v>
      </c>
      <c r="O300" s="171">
        <v>138.04</v>
      </c>
      <c r="P300" s="171">
        <v>115.25</v>
      </c>
      <c r="Q300" s="171">
        <v>88.15</v>
      </c>
      <c r="R300" s="171">
        <v>80.350000000000009</v>
      </c>
      <c r="S300" s="171">
        <v>74</v>
      </c>
      <c r="T300" s="171">
        <v>57.46</v>
      </c>
      <c r="U300" s="171">
        <v>50</v>
      </c>
      <c r="V300" s="171">
        <v>46.95</v>
      </c>
      <c r="W300" s="171">
        <v>40</v>
      </c>
      <c r="X300" s="171">
        <v>34.35</v>
      </c>
      <c r="Y300" s="171">
        <v>33.85</v>
      </c>
      <c r="Z300" s="171">
        <v>32.85</v>
      </c>
      <c r="AA300" s="171">
        <v>26.61</v>
      </c>
      <c r="AB300" s="171">
        <v>138.04</v>
      </c>
      <c r="AC300" s="171">
        <v>31.400000000000002</v>
      </c>
      <c r="AD300" s="171">
        <v>24.13</v>
      </c>
      <c r="AF300" s="171">
        <f t="shared" si="14"/>
        <v>2007</v>
      </c>
      <c r="AG300" s="171">
        <f t="shared" si="15"/>
        <v>12</v>
      </c>
      <c r="AH300" s="700">
        <f>SUMIF(D$3:$AA300,"&lt;="&amp;$AH$1)/COUNTIF(D$3:$AA300,"&lt;="&amp;$AH$1)</f>
        <v>28.506255088195406</v>
      </c>
    </row>
    <row r="301" spans="2:34" x14ac:dyDescent="0.25">
      <c r="B301" s="910">
        <v>39247</v>
      </c>
      <c r="C301" s="581">
        <f t="shared" si="13"/>
        <v>6</v>
      </c>
      <c r="D301" s="171">
        <v>26.490000000000002</v>
      </c>
      <c r="E301" s="171">
        <v>23.36</v>
      </c>
      <c r="F301" s="171">
        <v>21</v>
      </c>
      <c r="G301" s="171">
        <v>21</v>
      </c>
      <c r="H301" s="171">
        <v>21</v>
      </c>
      <c r="I301" s="171">
        <v>22</v>
      </c>
      <c r="J301" s="171">
        <v>31.650000000000002</v>
      </c>
      <c r="K301" s="171">
        <v>47.77</v>
      </c>
      <c r="L301" s="171">
        <v>70</v>
      </c>
      <c r="M301" s="171">
        <v>93.56</v>
      </c>
      <c r="N301" s="171">
        <v>115.01</v>
      </c>
      <c r="O301" s="171">
        <v>150</v>
      </c>
      <c r="P301" s="171">
        <v>100</v>
      </c>
      <c r="Q301" s="171">
        <v>95.5</v>
      </c>
      <c r="R301" s="171">
        <v>85</v>
      </c>
      <c r="S301" s="171">
        <v>65.099999999999994</v>
      </c>
      <c r="T301" s="171">
        <v>59.870000000000005</v>
      </c>
      <c r="U301" s="171">
        <v>54.79</v>
      </c>
      <c r="V301" s="171">
        <v>50</v>
      </c>
      <c r="W301" s="171">
        <v>43.5</v>
      </c>
      <c r="X301" s="171">
        <v>36.75</v>
      </c>
      <c r="Y301" s="171">
        <v>35.25</v>
      </c>
      <c r="Z301" s="171">
        <v>32.6</v>
      </c>
      <c r="AA301" s="171">
        <v>30</v>
      </c>
      <c r="AB301" s="171">
        <v>150</v>
      </c>
      <c r="AC301" s="171">
        <v>31.650000000000002</v>
      </c>
      <c r="AD301" s="171">
        <v>24.560000000000002</v>
      </c>
      <c r="AF301" s="171">
        <f t="shared" si="14"/>
        <v>2007</v>
      </c>
      <c r="AG301" s="171">
        <f t="shared" si="15"/>
        <v>11</v>
      </c>
      <c r="AH301" s="700">
        <f>SUMIF(D$3:$AA301,"&lt;="&amp;$AH$1)/COUNTIF(D$3:$AA301,"&lt;="&amp;$AH$1)</f>
        <v>28.502881493506514</v>
      </c>
    </row>
    <row r="302" spans="2:34" x14ac:dyDescent="0.25">
      <c r="B302" s="910">
        <v>39248</v>
      </c>
      <c r="C302" s="581">
        <f t="shared" si="13"/>
        <v>6</v>
      </c>
      <c r="D302" s="171">
        <v>26.8</v>
      </c>
      <c r="E302" s="171">
        <v>22</v>
      </c>
      <c r="F302" s="171">
        <v>19.36</v>
      </c>
      <c r="G302" s="171">
        <v>17.12</v>
      </c>
      <c r="H302" s="171">
        <v>17</v>
      </c>
      <c r="I302" s="171">
        <v>20.5</v>
      </c>
      <c r="J302" s="171">
        <v>26.28</v>
      </c>
      <c r="K302" s="171">
        <v>40</v>
      </c>
      <c r="L302" s="171">
        <v>50.800000000000004</v>
      </c>
      <c r="M302" s="171">
        <v>60</v>
      </c>
      <c r="N302" s="171">
        <v>68.14</v>
      </c>
      <c r="O302" s="171">
        <v>86.91</v>
      </c>
      <c r="P302" s="171">
        <v>63.78</v>
      </c>
      <c r="Q302" s="171">
        <v>60</v>
      </c>
      <c r="R302" s="171">
        <v>55.25</v>
      </c>
      <c r="S302" s="171">
        <v>50.86</v>
      </c>
      <c r="T302" s="171">
        <v>44.660000000000004</v>
      </c>
      <c r="U302" s="171">
        <v>39.93</v>
      </c>
      <c r="V302" s="171">
        <v>31.560000000000002</v>
      </c>
      <c r="W302" s="171">
        <v>26.6</v>
      </c>
      <c r="X302" s="171">
        <v>29.93</v>
      </c>
      <c r="Y302" s="171">
        <v>29</v>
      </c>
      <c r="Z302" s="171">
        <v>31.03</v>
      </c>
      <c r="AA302" s="171">
        <v>25.42</v>
      </c>
      <c r="AB302" s="171">
        <v>86.91</v>
      </c>
      <c r="AC302" s="171">
        <v>26.28</v>
      </c>
      <c r="AD302" s="171">
        <v>21.81</v>
      </c>
      <c r="AF302" s="171">
        <f t="shared" si="14"/>
        <v>2007</v>
      </c>
      <c r="AG302" s="171">
        <f t="shared" si="15"/>
        <v>15</v>
      </c>
      <c r="AH302" s="700">
        <f>SUMIF(D$3:$AA302,"&lt;="&amp;$AH$1)/COUNTIF(D$3:$AA302,"&lt;="&amp;$AH$1)</f>
        <v>28.496141201832408</v>
      </c>
    </row>
    <row r="303" spans="2:34" x14ac:dyDescent="0.25">
      <c r="B303" s="910">
        <v>39251</v>
      </c>
      <c r="C303" s="581">
        <f t="shared" si="13"/>
        <v>6</v>
      </c>
      <c r="D303" s="171">
        <v>27.830000000000002</v>
      </c>
      <c r="E303" s="171">
        <v>21.62</v>
      </c>
      <c r="F303" s="171">
        <v>16.3</v>
      </c>
      <c r="G303" s="171">
        <v>15.01</v>
      </c>
      <c r="H303" s="171">
        <v>18.2</v>
      </c>
      <c r="I303" s="171">
        <v>21.97</v>
      </c>
      <c r="J303" s="171">
        <v>25.740000000000002</v>
      </c>
      <c r="K303" s="171">
        <v>41</v>
      </c>
      <c r="L303" s="171">
        <v>55</v>
      </c>
      <c r="M303" s="171">
        <v>70.5</v>
      </c>
      <c r="N303" s="171">
        <v>94.100000000000009</v>
      </c>
      <c r="O303" s="171">
        <v>105</v>
      </c>
      <c r="P303" s="171">
        <v>80.8</v>
      </c>
      <c r="Q303" s="171">
        <v>104</v>
      </c>
      <c r="R303" s="171">
        <v>96.05</v>
      </c>
      <c r="S303" s="171">
        <v>74</v>
      </c>
      <c r="T303" s="171">
        <v>65.92</v>
      </c>
      <c r="U303" s="171">
        <v>51.7</v>
      </c>
      <c r="V303" s="171">
        <v>44.89</v>
      </c>
      <c r="W303" s="171">
        <v>41.93</v>
      </c>
      <c r="X303" s="171">
        <v>40</v>
      </c>
      <c r="Y303" s="171">
        <v>38</v>
      </c>
      <c r="Z303" s="171">
        <v>34.93</v>
      </c>
      <c r="AA303" s="171">
        <v>30</v>
      </c>
      <c r="AB303" s="171">
        <v>94.100000000000009</v>
      </c>
      <c r="AC303" s="171">
        <v>25.740000000000002</v>
      </c>
      <c r="AD303" s="171">
        <v>22.080000000000002</v>
      </c>
      <c r="AF303" s="171">
        <f t="shared" si="14"/>
        <v>2007</v>
      </c>
      <c r="AG303" s="171">
        <f t="shared" si="15"/>
        <v>13</v>
      </c>
      <c r="AH303" s="700">
        <f>SUMIF(D$3:$AA303,"&lt;="&amp;$AH$1)/COUNTIF(D$3:$AA303,"&lt;="&amp;$AH$1)</f>
        <v>28.496699785177242</v>
      </c>
    </row>
    <row r="304" spans="2:34" x14ac:dyDescent="0.25">
      <c r="B304" s="910">
        <v>39252</v>
      </c>
      <c r="C304" s="581">
        <f t="shared" si="13"/>
        <v>6</v>
      </c>
      <c r="D304" s="171">
        <v>26.25</v>
      </c>
      <c r="E304" s="171">
        <v>22.5</v>
      </c>
      <c r="F304" s="171">
        <v>19.32</v>
      </c>
      <c r="G304" s="171">
        <v>19</v>
      </c>
      <c r="H304" s="171">
        <v>19.77</v>
      </c>
      <c r="I304" s="171">
        <v>23</v>
      </c>
      <c r="J304" s="171">
        <v>31.05</v>
      </c>
      <c r="K304" s="171">
        <v>46.24</v>
      </c>
      <c r="L304" s="171">
        <v>71</v>
      </c>
      <c r="M304" s="171">
        <v>77.98</v>
      </c>
      <c r="N304" s="171">
        <v>105.25</v>
      </c>
      <c r="O304" s="171">
        <v>146.99</v>
      </c>
      <c r="P304" s="171">
        <v>103.51</v>
      </c>
      <c r="Q304" s="171">
        <v>96.12</v>
      </c>
      <c r="R304" s="171">
        <v>91.18</v>
      </c>
      <c r="S304" s="171">
        <v>75.81</v>
      </c>
      <c r="T304" s="171">
        <v>67.17</v>
      </c>
      <c r="U304" s="171">
        <v>55.910000000000004</v>
      </c>
      <c r="V304" s="171">
        <v>49.2</v>
      </c>
      <c r="W304" s="171">
        <v>41.94</v>
      </c>
      <c r="X304" s="171">
        <v>36</v>
      </c>
      <c r="Y304" s="171">
        <v>34</v>
      </c>
      <c r="Z304" s="171">
        <v>33.770000000000003</v>
      </c>
      <c r="AA304" s="171">
        <v>31</v>
      </c>
      <c r="AB304" s="171">
        <v>146.99</v>
      </c>
      <c r="AC304" s="171">
        <v>31.05</v>
      </c>
      <c r="AD304" s="171">
        <v>23.990000000000002</v>
      </c>
      <c r="AF304" s="171">
        <f t="shared" si="14"/>
        <v>2007</v>
      </c>
      <c r="AG304" s="171">
        <f t="shared" si="15"/>
        <v>12</v>
      </c>
      <c r="AH304" s="700">
        <f>SUMIF(D$3:$AA304,"&lt;="&amp;$AH$1)/COUNTIF(D$3:$AA304,"&lt;="&amp;$AH$1)</f>
        <v>28.495532655246272</v>
      </c>
    </row>
    <row r="305" spans="2:34" x14ac:dyDescent="0.25">
      <c r="B305" s="910">
        <v>39253</v>
      </c>
      <c r="C305" s="581">
        <f t="shared" si="13"/>
        <v>6</v>
      </c>
      <c r="D305" s="171">
        <v>24.8</v>
      </c>
      <c r="E305" s="171">
        <v>21</v>
      </c>
      <c r="F305" s="171">
        <v>18</v>
      </c>
      <c r="G305" s="171">
        <v>17.190000000000001</v>
      </c>
      <c r="H305" s="171">
        <v>18</v>
      </c>
      <c r="I305" s="171">
        <v>21.93</v>
      </c>
      <c r="J305" s="171">
        <v>30.13</v>
      </c>
      <c r="K305" s="171">
        <v>43.26</v>
      </c>
      <c r="L305" s="171">
        <v>54</v>
      </c>
      <c r="M305" s="171">
        <v>61.45</v>
      </c>
      <c r="N305" s="171">
        <v>75.25</v>
      </c>
      <c r="O305" s="171">
        <v>115.06</v>
      </c>
      <c r="P305" s="171">
        <v>75</v>
      </c>
      <c r="Q305" s="171">
        <v>74</v>
      </c>
      <c r="R305" s="171">
        <v>66.91</v>
      </c>
      <c r="S305" s="171">
        <v>60.93</v>
      </c>
      <c r="T305" s="171">
        <v>51.99</v>
      </c>
      <c r="U305" s="171">
        <v>49.480000000000004</v>
      </c>
      <c r="V305" s="171">
        <v>47.94</v>
      </c>
      <c r="W305" s="171">
        <v>40.25</v>
      </c>
      <c r="X305" s="171">
        <v>34</v>
      </c>
      <c r="Y305" s="171">
        <v>33</v>
      </c>
      <c r="Z305" s="171">
        <v>32.910000000000004</v>
      </c>
      <c r="AA305" s="171">
        <v>27</v>
      </c>
      <c r="AB305" s="171">
        <v>115.06</v>
      </c>
      <c r="AC305" s="171">
        <v>30.13</v>
      </c>
      <c r="AD305" s="171">
        <v>22.26</v>
      </c>
      <c r="AF305" s="171">
        <f t="shared" si="14"/>
        <v>2007</v>
      </c>
      <c r="AG305" s="171">
        <f t="shared" si="15"/>
        <v>12</v>
      </c>
      <c r="AH305" s="700">
        <f>SUMIF(D$3:$AA305,"&lt;="&amp;$AH$1)/COUNTIF(D$3:$AA305,"&lt;="&amp;$AH$1)</f>
        <v>28.489199573105676</v>
      </c>
    </row>
    <row r="306" spans="2:34" x14ac:dyDescent="0.25">
      <c r="B306" s="910">
        <v>39254</v>
      </c>
      <c r="C306" s="581">
        <f t="shared" si="13"/>
        <v>6</v>
      </c>
      <c r="D306" s="171">
        <v>26</v>
      </c>
      <c r="E306" s="171">
        <v>22.5</v>
      </c>
      <c r="F306" s="171">
        <v>17.66</v>
      </c>
      <c r="G306" s="171">
        <v>18.64</v>
      </c>
      <c r="H306" s="171">
        <v>17.400000000000002</v>
      </c>
      <c r="I306" s="171">
        <v>22.75</v>
      </c>
      <c r="J306" s="171">
        <v>23.5</v>
      </c>
      <c r="K306" s="171">
        <v>40</v>
      </c>
      <c r="L306" s="171">
        <v>52.58</v>
      </c>
      <c r="M306" s="171">
        <v>62.440000000000005</v>
      </c>
      <c r="N306" s="171">
        <v>75</v>
      </c>
      <c r="O306" s="171">
        <v>122.3</v>
      </c>
      <c r="P306" s="171">
        <v>76</v>
      </c>
      <c r="Q306" s="171">
        <v>70</v>
      </c>
      <c r="R306" s="171">
        <v>66.680000000000007</v>
      </c>
      <c r="S306" s="171">
        <v>65.06</v>
      </c>
      <c r="T306" s="171">
        <v>60</v>
      </c>
      <c r="U306" s="171">
        <v>58.800000000000004</v>
      </c>
      <c r="V306" s="171">
        <v>48.85</v>
      </c>
      <c r="W306" s="171">
        <v>42.160000000000004</v>
      </c>
      <c r="X306" s="171">
        <v>30.94</v>
      </c>
      <c r="Y306" s="171">
        <v>28.85</v>
      </c>
      <c r="Z306" s="171">
        <v>28.77</v>
      </c>
      <c r="AA306" s="171">
        <v>26.68</v>
      </c>
      <c r="AB306" s="171">
        <v>122.3</v>
      </c>
      <c r="AC306" s="171">
        <v>23.5</v>
      </c>
      <c r="AD306" s="171">
        <v>21.89</v>
      </c>
      <c r="AF306" s="171">
        <f t="shared" si="14"/>
        <v>2007</v>
      </c>
      <c r="AG306" s="171">
        <f t="shared" si="15"/>
        <v>13</v>
      </c>
      <c r="AH306" s="700">
        <f>SUMIF(D$3:$AA306,"&lt;="&amp;$AH$1)/COUNTIF(D$3:$AA306,"&lt;="&amp;$AH$1)</f>
        <v>28.482682797128444</v>
      </c>
    </row>
    <row r="307" spans="2:34" x14ac:dyDescent="0.25">
      <c r="B307" s="910">
        <v>39255</v>
      </c>
      <c r="C307" s="581">
        <f t="shared" si="13"/>
        <v>6</v>
      </c>
      <c r="D307" s="171">
        <v>23.37</v>
      </c>
      <c r="E307" s="171">
        <v>21.5</v>
      </c>
      <c r="F307" s="171">
        <v>17.400000000000002</v>
      </c>
      <c r="G307" s="171">
        <v>16</v>
      </c>
      <c r="H307" s="171">
        <v>16.45</v>
      </c>
      <c r="I307" s="171">
        <v>20.63</v>
      </c>
      <c r="J307" s="171">
        <v>25.400000000000002</v>
      </c>
      <c r="K307" s="171">
        <v>35.450000000000003</v>
      </c>
      <c r="L307" s="171">
        <v>49.410000000000004</v>
      </c>
      <c r="M307" s="171">
        <v>56.17</v>
      </c>
      <c r="N307" s="171">
        <v>69</v>
      </c>
      <c r="O307" s="171">
        <v>89.03</v>
      </c>
      <c r="P307" s="171">
        <v>74.010000000000005</v>
      </c>
      <c r="Q307" s="171">
        <v>72.47</v>
      </c>
      <c r="R307" s="171">
        <v>65</v>
      </c>
      <c r="S307" s="171">
        <v>60.38</v>
      </c>
      <c r="T307" s="171">
        <v>50</v>
      </c>
      <c r="U307" s="171">
        <v>46.24</v>
      </c>
      <c r="V307" s="171">
        <v>38.06</v>
      </c>
      <c r="W307" s="171">
        <v>32.15</v>
      </c>
      <c r="X307" s="171">
        <v>30.19</v>
      </c>
      <c r="Y307" s="171">
        <v>26.1</v>
      </c>
      <c r="Z307" s="171">
        <v>28.05</v>
      </c>
      <c r="AA307" s="171">
        <v>30</v>
      </c>
      <c r="AB307" s="171">
        <v>89.03</v>
      </c>
      <c r="AC307" s="171">
        <v>25.400000000000002</v>
      </c>
      <c r="AD307" s="171">
        <v>21.34</v>
      </c>
      <c r="AF307" s="171">
        <f t="shared" si="14"/>
        <v>2007</v>
      </c>
      <c r="AG307" s="171">
        <f t="shared" si="15"/>
        <v>14</v>
      </c>
      <c r="AH307" s="700">
        <f>SUMIF(D$3:$AA307,"&lt;="&amp;$AH$1)/COUNTIF(D$3:$AA307,"&lt;="&amp;$AH$1)</f>
        <v>28.472614569536443</v>
      </c>
    </row>
    <row r="308" spans="2:34" x14ac:dyDescent="0.25">
      <c r="B308" s="910">
        <v>39258</v>
      </c>
      <c r="C308" s="581">
        <f t="shared" si="13"/>
        <v>6</v>
      </c>
      <c r="D308" s="171">
        <v>25</v>
      </c>
      <c r="E308" s="171">
        <v>17.8</v>
      </c>
      <c r="F308" s="171">
        <v>15</v>
      </c>
      <c r="G308" s="171">
        <v>10.93</v>
      </c>
      <c r="H308" s="171">
        <v>10.93</v>
      </c>
      <c r="I308" s="171">
        <v>19.600000000000001</v>
      </c>
      <c r="J308" s="171">
        <v>25</v>
      </c>
      <c r="K308" s="171">
        <v>33.160000000000004</v>
      </c>
      <c r="L308" s="171">
        <v>43.01</v>
      </c>
      <c r="M308" s="171">
        <v>49.79</v>
      </c>
      <c r="N308" s="171">
        <v>49.99</v>
      </c>
      <c r="O308" s="171">
        <v>54.7</v>
      </c>
      <c r="P308" s="171">
        <v>56.1</v>
      </c>
      <c r="Q308" s="171">
        <v>47.49</v>
      </c>
      <c r="R308" s="171">
        <v>43.980000000000004</v>
      </c>
      <c r="S308" s="171">
        <v>42.9</v>
      </c>
      <c r="T308" s="171">
        <v>42.1</v>
      </c>
      <c r="U308" s="171">
        <v>39.99</v>
      </c>
      <c r="V308" s="171">
        <v>35.96</v>
      </c>
      <c r="W308" s="171">
        <v>32.74</v>
      </c>
      <c r="X308" s="171">
        <v>28.830000000000002</v>
      </c>
      <c r="Y308" s="171">
        <v>25</v>
      </c>
      <c r="Z308" s="171">
        <v>27.95</v>
      </c>
      <c r="AA308" s="171">
        <v>24.66</v>
      </c>
      <c r="AB308" s="171">
        <v>56.1</v>
      </c>
      <c r="AC308" s="171">
        <v>25</v>
      </c>
      <c r="AD308" s="171">
        <v>18.62</v>
      </c>
      <c r="AF308" s="171">
        <f t="shared" si="14"/>
        <v>2007</v>
      </c>
      <c r="AG308" s="171">
        <f t="shared" si="15"/>
        <v>16</v>
      </c>
      <c r="AH308" s="700">
        <f>SUMIF(D$3:$AA308,"&lt;="&amp;$AH$1)/COUNTIF(D$3:$AA308,"&lt;="&amp;$AH$1)</f>
        <v>28.461822738063859</v>
      </c>
    </row>
    <row r="309" spans="2:34" x14ac:dyDescent="0.25">
      <c r="B309" s="910">
        <v>39259</v>
      </c>
      <c r="C309" s="581">
        <f t="shared" si="13"/>
        <v>6</v>
      </c>
      <c r="D309" s="171">
        <v>19.72</v>
      </c>
      <c r="E309" s="171">
        <v>16.97</v>
      </c>
      <c r="F309" s="171">
        <v>16.649999999999999</v>
      </c>
      <c r="G309" s="171">
        <v>14.950000000000001</v>
      </c>
      <c r="H309" s="171">
        <v>13.93</v>
      </c>
      <c r="I309" s="171">
        <v>17.400000000000002</v>
      </c>
      <c r="J309" s="171">
        <v>19.650000000000002</v>
      </c>
      <c r="K309" s="171">
        <v>32.47</v>
      </c>
      <c r="L309" s="171">
        <v>40.25</v>
      </c>
      <c r="M309" s="171">
        <v>46.660000000000004</v>
      </c>
      <c r="N309" s="171">
        <v>50.5</v>
      </c>
      <c r="O309" s="171">
        <v>58.83</v>
      </c>
      <c r="P309" s="171">
        <v>55</v>
      </c>
      <c r="Q309" s="171">
        <v>50.2</v>
      </c>
      <c r="R309" s="171">
        <v>48.25</v>
      </c>
      <c r="S309" s="171">
        <v>46.36</v>
      </c>
      <c r="T309" s="171">
        <v>40.31</v>
      </c>
      <c r="U309" s="171">
        <v>38.65</v>
      </c>
      <c r="V309" s="171">
        <v>35.25</v>
      </c>
      <c r="W309" s="171">
        <v>29.01</v>
      </c>
      <c r="X309" s="171">
        <v>25.060000000000002</v>
      </c>
      <c r="Y309" s="171">
        <v>24</v>
      </c>
      <c r="Z309" s="171">
        <v>26.22</v>
      </c>
      <c r="AA309" s="171">
        <v>22.080000000000002</v>
      </c>
      <c r="AB309" s="171">
        <v>58.83</v>
      </c>
      <c r="AC309" s="171">
        <v>19.650000000000002</v>
      </c>
      <c r="AD309" s="171">
        <v>17.670000000000002</v>
      </c>
      <c r="AF309" s="171">
        <f t="shared" si="14"/>
        <v>2007</v>
      </c>
      <c r="AG309" s="171">
        <f t="shared" si="15"/>
        <v>17</v>
      </c>
      <c r="AH309" s="700">
        <f>SUMIF(D$3:$AA309,"&lt;="&amp;$AH$1)/COUNTIF(D$3:$AA309,"&lt;="&amp;$AH$1)</f>
        <v>28.448356092436988</v>
      </c>
    </row>
    <row r="310" spans="2:34" x14ac:dyDescent="0.25">
      <c r="B310" s="910">
        <v>39260</v>
      </c>
      <c r="C310" s="581">
        <f t="shared" si="13"/>
        <v>6</v>
      </c>
      <c r="D310" s="171">
        <v>12.1</v>
      </c>
      <c r="E310" s="171">
        <v>11.06</v>
      </c>
      <c r="F310" s="171">
        <v>10.01</v>
      </c>
      <c r="G310" s="171">
        <v>7.44</v>
      </c>
      <c r="H310" s="171">
        <v>7.15</v>
      </c>
      <c r="I310" s="171">
        <v>9.18</v>
      </c>
      <c r="J310" s="171">
        <v>13.39</v>
      </c>
      <c r="K310" s="171">
        <v>22.26</v>
      </c>
      <c r="L310" s="171">
        <v>34.99</v>
      </c>
      <c r="M310" s="171">
        <v>42.43</v>
      </c>
      <c r="N310" s="171">
        <v>49.52</v>
      </c>
      <c r="O310" s="171">
        <v>51.4</v>
      </c>
      <c r="P310" s="171">
        <v>52.1</v>
      </c>
      <c r="Q310" s="171">
        <v>48.1</v>
      </c>
      <c r="R310" s="171">
        <v>46</v>
      </c>
      <c r="S310" s="171">
        <v>41.07</v>
      </c>
      <c r="T310" s="171">
        <v>38.25</v>
      </c>
      <c r="U310" s="171">
        <v>33</v>
      </c>
      <c r="V310" s="171">
        <v>31.45</v>
      </c>
      <c r="W310" s="171">
        <v>27.59</v>
      </c>
      <c r="X310" s="171">
        <v>24.73</v>
      </c>
      <c r="Y310" s="171">
        <v>23</v>
      </c>
      <c r="Z310" s="171">
        <v>25.01</v>
      </c>
      <c r="AA310" s="171">
        <v>20.05</v>
      </c>
      <c r="AB310" s="171">
        <v>52.1</v>
      </c>
      <c r="AC310" s="171">
        <v>7.15</v>
      </c>
      <c r="AD310" s="171">
        <v>11.3</v>
      </c>
      <c r="AF310" s="171">
        <f t="shared" si="14"/>
        <v>2007</v>
      </c>
      <c r="AG310" s="171">
        <f t="shared" si="15"/>
        <v>19</v>
      </c>
      <c r="AH310" s="700">
        <f>SUMIF(D$3:$AA310,"&lt;="&amp;$AH$1)/COUNTIF(D$3:$AA310,"&lt;="&amp;$AH$1)</f>
        <v>28.420564410765621</v>
      </c>
    </row>
    <row r="311" spans="2:34" x14ac:dyDescent="0.25">
      <c r="B311" s="910">
        <v>39261</v>
      </c>
      <c r="C311" s="581">
        <f t="shared" si="13"/>
        <v>6</v>
      </c>
      <c r="D311" s="171">
        <v>18</v>
      </c>
      <c r="E311" s="171">
        <v>16.059999999999999</v>
      </c>
      <c r="F311" s="171">
        <v>14.21</v>
      </c>
      <c r="G311" s="171">
        <v>9.98</v>
      </c>
      <c r="H311" s="171">
        <v>8.1</v>
      </c>
      <c r="I311" s="171">
        <v>15.11</v>
      </c>
      <c r="J311" s="171">
        <v>16.95</v>
      </c>
      <c r="K311" s="171">
        <v>28</v>
      </c>
      <c r="L311" s="171">
        <v>34.96</v>
      </c>
      <c r="M311" s="171">
        <v>38.6</v>
      </c>
      <c r="N311" s="171">
        <v>43</v>
      </c>
      <c r="O311" s="171">
        <v>48.5</v>
      </c>
      <c r="P311" s="171">
        <v>47.31</v>
      </c>
      <c r="Q311" s="171">
        <v>43</v>
      </c>
      <c r="R311" s="171">
        <v>42.74</v>
      </c>
      <c r="S311" s="171">
        <v>39.51</v>
      </c>
      <c r="T311" s="171">
        <v>38.01</v>
      </c>
      <c r="U311" s="171">
        <v>34.5</v>
      </c>
      <c r="V311" s="171">
        <v>31.900000000000002</v>
      </c>
      <c r="W311" s="171">
        <v>28.09</v>
      </c>
      <c r="X311" s="171">
        <v>25.71</v>
      </c>
      <c r="Y311" s="171">
        <v>24.82</v>
      </c>
      <c r="Z311" s="171">
        <v>27.060000000000002</v>
      </c>
      <c r="AA311" s="171">
        <v>23.09</v>
      </c>
      <c r="AB311" s="171">
        <v>48.5</v>
      </c>
      <c r="AC311" s="171">
        <v>16.95</v>
      </c>
      <c r="AD311" s="171">
        <v>15.19</v>
      </c>
      <c r="AF311" s="171">
        <f t="shared" si="14"/>
        <v>2007</v>
      </c>
      <c r="AG311" s="171">
        <f t="shared" si="15"/>
        <v>19</v>
      </c>
      <c r="AH311" s="700">
        <f>SUMIF(D$3:$AA311,"&lt;="&amp;$AH$1)/COUNTIF(D$3:$AA311,"&lt;="&amp;$AH$1)</f>
        <v>28.403057722308901</v>
      </c>
    </row>
    <row r="312" spans="2:34" x14ac:dyDescent="0.25">
      <c r="B312" s="910">
        <v>39262</v>
      </c>
      <c r="C312" s="581">
        <f t="shared" si="13"/>
        <v>6</v>
      </c>
      <c r="D312" s="171">
        <v>22.19</v>
      </c>
      <c r="E312" s="171">
        <v>18.7</v>
      </c>
      <c r="F312" s="171">
        <v>16.330000000000002</v>
      </c>
      <c r="G312" s="171">
        <v>10.050000000000001</v>
      </c>
      <c r="H312" s="171">
        <v>10</v>
      </c>
      <c r="I312" s="171">
        <v>15.47</v>
      </c>
      <c r="J312" s="171">
        <v>20.330000000000002</v>
      </c>
      <c r="K312" s="171">
        <v>29.96</v>
      </c>
      <c r="L312" s="171">
        <v>37.4</v>
      </c>
      <c r="M312" s="171">
        <v>42</v>
      </c>
      <c r="N312" s="171">
        <v>44.980000000000004</v>
      </c>
      <c r="O312" s="171">
        <v>46.92</v>
      </c>
      <c r="P312" s="171">
        <v>45.01</v>
      </c>
      <c r="Q312" s="171">
        <v>41.9</v>
      </c>
      <c r="R312" s="171">
        <v>40.5</v>
      </c>
      <c r="S312" s="171">
        <v>34.44</v>
      </c>
      <c r="T312" s="171">
        <v>31</v>
      </c>
      <c r="U312" s="171">
        <v>30</v>
      </c>
      <c r="V312" s="171">
        <v>29.03</v>
      </c>
      <c r="W312" s="171">
        <v>28</v>
      </c>
      <c r="X312" s="171">
        <v>26</v>
      </c>
      <c r="Y312" s="171">
        <v>24.84</v>
      </c>
      <c r="Z312" s="171">
        <v>28.01</v>
      </c>
      <c r="AA312" s="171">
        <v>25.02</v>
      </c>
      <c r="AB312" s="171">
        <v>46.92</v>
      </c>
      <c r="AC312" s="171">
        <v>20.330000000000002</v>
      </c>
      <c r="AD312" s="171">
        <v>17.260000000000002</v>
      </c>
      <c r="AF312" s="171">
        <f t="shared" si="14"/>
        <v>2007</v>
      </c>
      <c r="AG312" s="171">
        <f t="shared" si="15"/>
        <v>21</v>
      </c>
      <c r="AH312" s="700">
        <f>SUMIF(D$3:$AA312,"&lt;="&amp;$AH$1)/COUNTIF(D$3:$AA312,"&lt;="&amp;$AH$1)</f>
        <v>28.393930695629695</v>
      </c>
    </row>
    <row r="313" spans="2:34" x14ac:dyDescent="0.25">
      <c r="B313" s="910">
        <v>39265</v>
      </c>
      <c r="C313" s="581">
        <f t="shared" si="13"/>
        <v>7</v>
      </c>
      <c r="D313" s="171">
        <v>18.78</v>
      </c>
      <c r="E313" s="171">
        <v>15</v>
      </c>
      <c r="F313" s="171">
        <v>14</v>
      </c>
      <c r="G313" s="171">
        <v>10.99</v>
      </c>
      <c r="H313" s="171">
        <v>9.99</v>
      </c>
      <c r="I313" s="171">
        <v>15.030000000000001</v>
      </c>
      <c r="J313" s="171">
        <v>15.96</v>
      </c>
      <c r="K313" s="171">
        <v>30</v>
      </c>
      <c r="L313" s="171">
        <v>41.99</v>
      </c>
      <c r="M313" s="171">
        <v>48.97</v>
      </c>
      <c r="N313" s="171">
        <v>53</v>
      </c>
      <c r="O313" s="171">
        <v>79.989999999999995</v>
      </c>
      <c r="P313" s="171">
        <v>66.56</v>
      </c>
      <c r="Q313" s="171">
        <v>60</v>
      </c>
      <c r="R313" s="171">
        <v>53.35</v>
      </c>
      <c r="S313" s="171">
        <v>54.22</v>
      </c>
      <c r="T313" s="171">
        <v>48.86</v>
      </c>
      <c r="U313" s="171">
        <v>49.15</v>
      </c>
      <c r="V313" s="171">
        <v>47.89</v>
      </c>
      <c r="W313" s="171">
        <v>43.01</v>
      </c>
      <c r="X313" s="171">
        <v>36.910000000000004</v>
      </c>
      <c r="Y313" s="171">
        <v>30</v>
      </c>
      <c r="Z313" s="171">
        <v>30.98</v>
      </c>
      <c r="AA313" s="171">
        <v>28.97</v>
      </c>
      <c r="AB313" s="171">
        <v>79.989999999999995</v>
      </c>
      <c r="AC313" s="171">
        <v>15.96</v>
      </c>
      <c r="AD313" s="171">
        <v>16.09</v>
      </c>
      <c r="AF313" s="171">
        <f t="shared" si="14"/>
        <v>2007</v>
      </c>
      <c r="AG313" s="171">
        <f t="shared" si="15"/>
        <v>13</v>
      </c>
      <c r="AH313" s="700">
        <f>SUMIF(D$3:$AA313,"&lt;="&amp;$AH$1)/COUNTIF(D$3:$AA313,"&lt;="&amp;$AH$1)</f>
        <v>28.37575515463919</v>
      </c>
    </row>
    <row r="314" spans="2:34" x14ac:dyDescent="0.25">
      <c r="B314" s="910">
        <v>39266</v>
      </c>
      <c r="C314" s="581">
        <f t="shared" si="13"/>
        <v>7</v>
      </c>
      <c r="D314" s="171">
        <v>25.27</v>
      </c>
      <c r="E314" s="171">
        <v>20.07</v>
      </c>
      <c r="F314" s="171">
        <v>19.03</v>
      </c>
      <c r="G314" s="171">
        <v>18.559999999999999</v>
      </c>
      <c r="H314" s="171">
        <v>13.92</v>
      </c>
      <c r="I314" s="171">
        <v>23.1</v>
      </c>
      <c r="J314" s="171">
        <v>25</v>
      </c>
      <c r="K314" s="171">
        <v>35.840000000000003</v>
      </c>
      <c r="L314" s="171">
        <v>50</v>
      </c>
      <c r="M314" s="171">
        <v>54.120000000000005</v>
      </c>
      <c r="N314" s="171">
        <v>61.11</v>
      </c>
      <c r="O314" s="171">
        <v>73.8</v>
      </c>
      <c r="P314" s="171">
        <v>60.01</v>
      </c>
      <c r="Q314" s="171">
        <v>56.83</v>
      </c>
      <c r="R314" s="171">
        <v>52.27</v>
      </c>
      <c r="S314" s="171">
        <v>50.69</v>
      </c>
      <c r="T314" s="171">
        <v>45.25</v>
      </c>
      <c r="U314" s="171">
        <v>44.1</v>
      </c>
      <c r="V314" s="171">
        <v>41.660000000000004</v>
      </c>
      <c r="W314" s="171">
        <v>34.33</v>
      </c>
      <c r="X314" s="171">
        <v>31.29</v>
      </c>
      <c r="Y314" s="171">
        <v>30.85</v>
      </c>
      <c r="Z314" s="171">
        <v>30.560000000000002</v>
      </c>
      <c r="AA314" s="171">
        <v>25.97</v>
      </c>
      <c r="AB314" s="171">
        <v>73.8</v>
      </c>
      <c r="AC314" s="171">
        <v>25</v>
      </c>
      <c r="AD314" s="171">
        <v>21.36</v>
      </c>
      <c r="AF314" s="171">
        <f t="shared" si="14"/>
        <v>2007</v>
      </c>
      <c r="AG314" s="171">
        <f t="shared" si="15"/>
        <v>14</v>
      </c>
      <c r="AH314" s="700">
        <f>SUMIF(D$3:$AA314,"&lt;="&amp;$AH$1)/COUNTIF(D$3:$AA314,"&lt;="&amp;$AH$1)</f>
        <v>28.370154083204948</v>
      </c>
    </row>
    <row r="315" spans="2:34" x14ac:dyDescent="0.25">
      <c r="B315" s="910">
        <v>39267</v>
      </c>
      <c r="C315" s="581">
        <f t="shared" si="13"/>
        <v>7</v>
      </c>
      <c r="D315" s="171">
        <v>23.92</v>
      </c>
      <c r="E315" s="171">
        <v>20.57</v>
      </c>
      <c r="F315" s="171">
        <v>18.95</v>
      </c>
      <c r="G315" s="171">
        <v>17.47</v>
      </c>
      <c r="H315" s="171">
        <v>13.07</v>
      </c>
      <c r="I315" s="171">
        <v>20.61</v>
      </c>
      <c r="J315" s="171">
        <v>22</v>
      </c>
      <c r="K315" s="171">
        <v>35.090000000000003</v>
      </c>
      <c r="L315" s="171">
        <v>44</v>
      </c>
      <c r="M315" s="171">
        <v>48.1</v>
      </c>
      <c r="N315" s="171">
        <v>50.01</v>
      </c>
      <c r="O315" s="171">
        <v>56.85</v>
      </c>
      <c r="P315" s="171">
        <v>50.99</v>
      </c>
      <c r="Q315" s="171">
        <v>49.89</v>
      </c>
      <c r="R315" s="171">
        <v>49.26</v>
      </c>
      <c r="S315" s="171">
        <v>46.08</v>
      </c>
      <c r="T315" s="171">
        <v>42.08</v>
      </c>
      <c r="U315" s="171">
        <v>38.700000000000003</v>
      </c>
      <c r="V315" s="171">
        <v>36</v>
      </c>
      <c r="W315" s="171">
        <v>31.86</v>
      </c>
      <c r="X315" s="171">
        <v>28.330000000000002</v>
      </c>
      <c r="Y315" s="171">
        <v>26.89</v>
      </c>
      <c r="Z315" s="171">
        <v>29.98</v>
      </c>
      <c r="AA315" s="171">
        <v>26.04</v>
      </c>
      <c r="AB315" s="171">
        <v>56.85</v>
      </c>
      <c r="AC315" s="171">
        <v>22</v>
      </c>
      <c r="AD315" s="171">
        <v>20.330000000000002</v>
      </c>
      <c r="AF315" s="171">
        <f t="shared" si="14"/>
        <v>2007</v>
      </c>
      <c r="AG315" s="171">
        <f t="shared" si="15"/>
        <v>16</v>
      </c>
      <c r="AH315" s="700">
        <f>SUMIF(D$3:$AA315,"&lt;="&amp;$AH$1)/COUNTIF(D$3:$AA315,"&lt;="&amp;$AH$1)</f>
        <v>28.364434782608711</v>
      </c>
    </row>
    <row r="316" spans="2:34" x14ac:dyDescent="0.25">
      <c r="B316" s="910">
        <v>39268</v>
      </c>
      <c r="C316" s="581">
        <f t="shared" si="13"/>
        <v>7</v>
      </c>
      <c r="D316" s="171">
        <v>20.78</v>
      </c>
      <c r="E316" s="171">
        <v>17.62</v>
      </c>
      <c r="F316" s="171">
        <v>16.059999999999999</v>
      </c>
      <c r="G316" s="171">
        <v>11.85</v>
      </c>
      <c r="H316" s="171">
        <v>10.46</v>
      </c>
      <c r="I316" s="171">
        <v>18.23</v>
      </c>
      <c r="J316" s="171">
        <v>21.23</v>
      </c>
      <c r="K316" s="171">
        <v>29.95</v>
      </c>
      <c r="L316" s="171">
        <v>39.97</v>
      </c>
      <c r="M316" s="171">
        <v>44.59</v>
      </c>
      <c r="N316" s="171">
        <v>46.660000000000004</v>
      </c>
      <c r="O316" s="171">
        <v>52.730000000000004</v>
      </c>
      <c r="P316" s="171">
        <v>46.910000000000004</v>
      </c>
      <c r="Q316" s="171">
        <v>46.5</v>
      </c>
      <c r="R316" s="171">
        <v>43.61</v>
      </c>
      <c r="S316" s="171">
        <v>39.950000000000003</v>
      </c>
      <c r="T316" s="171">
        <v>36.369999999999997</v>
      </c>
      <c r="U316" s="171">
        <v>33.11</v>
      </c>
      <c r="V316" s="171">
        <v>33</v>
      </c>
      <c r="W316" s="171">
        <v>28.6</v>
      </c>
      <c r="X316" s="171">
        <v>27.240000000000002</v>
      </c>
      <c r="Y316" s="171">
        <v>26.6</v>
      </c>
      <c r="Z316" s="171">
        <v>28.09</v>
      </c>
      <c r="AA316" s="171">
        <v>25.09</v>
      </c>
      <c r="AB316" s="171">
        <v>52.730000000000004</v>
      </c>
      <c r="AC316" s="171">
        <v>21.23</v>
      </c>
      <c r="AD316" s="171">
        <v>17.670000000000002</v>
      </c>
      <c r="AF316" s="171">
        <f t="shared" si="14"/>
        <v>2007</v>
      </c>
      <c r="AG316" s="171">
        <f t="shared" si="15"/>
        <v>18</v>
      </c>
      <c r="AH316" s="700">
        <f>SUMIF(D$3:$AA316,"&lt;="&amp;$AH$1)/COUNTIF(D$3:$AA316,"&lt;="&amp;$AH$1)</f>
        <v>28.352632382892072</v>
      </c>
    </row>
    <row r="317" spans="2:34" x14ac:dyDescent="0.25">
      <c r="B317" s="910">
        <v>39269</v>
      </c>
      <c r="C317" s="581">
        <f t="shared" si="13"/>
        <v>7</v>
      </c>
      <c r="D317" s="171">
        <v>20.56</v>
      </c>
      <c r="E317" s="171">
        <v>19.45</v>
      </c>
      <c r="F317" s="171">
        <v>17.059999999999999</v>
      </c>
      <c r="G317" s="171">
        <v>12.5</v>
      </c>
      <c r="H317" s="171">
        <v>9.18</v>
      </c>
      <c r="I317" s="171">
        <v>17.09</v>
      </c>
      <c r="J317" s="171">
        <v>19.940000000000001</v>
      </c>
      <c r="K317" s="171">
        <v>26.14</v>
      </c>
      <c r="L317" s="171">
        <v>34.5</v>
      </c>
      <c r="M317" s="171">
        <v>38.5</v>
      </c>
      <c r="N317" s="171">
        <v>43.77</v>
      </c>
      <c r="O317" s="171">
        <v>48.5</v>
      </c>
      <c r="P317" s="171">
        <v>45.6</v>
      </c>
      <c r="Q317" s="171">
        <v>41.01</v>
      </c>
      <c r="R317" s="171">
        <v>39.800000000000004</v>
      </c>
      <c r="S317" s="171">
        <v>33.1</v>
      </c>
      <c r="T317" s="171">
        <v>29.87</v>
      </c>
      <c r="U317" s="171">
        <v>27.59</v>
      </c>
      <c r="V317" s="171">
        <v>26.6</v>
      </c>
      <c r="W317" s="171">
        <v>25.03</v>
      </c>
      <c r="X317" s="171">
        <v>25.080000000000002</v>
      </c>
      <c r="Y317" s="171">
        <v>23.55</v>
      </c>
      <c r="Z317" s="171">
        <v>27.05</v>
      </c>
      <c r="AA317" s="171">
        <v>23.6</v>
      </c>
      <c r="AB317" s="171">
        <v>48.5</v>
      </c>
      <c r="AC317" s="171">
        <v>19.940000000000001</v>
      </c>
      <c r="AD317" s="171">
        <v>17.420000000000002</v>
      </c>
      <c r="AF317" s="171">
        <f t="shared" si="14"/>
        <v>2007</v>
      </c>
      <c r="AG317" s="171">
        <f t="shared" si="15"/>
        <v>21</v>
      </c>
      <c r="AH317" s="700">
        <f>SUMIF(D$3:$AA317,"&lt;="&amp;$AH$1)/COUNTIF(D$3:$AA317,"&lt;="&amp;$AH$1)</f>
        <v>28.33789313750318</v>
      </c>
    </row>
    <row r="318" spans="2:34" x14ac:dyDescent="0.25">
      <c r="B318" s="910">
        <v>39272</v>
      </c>
      <c r="C318" s="581">
        <f t="shared" si="13"/>
        <v>7</v>
      </c>
      <c r="D318" s="171">
        <v>25.240000000000002</v>
      </c>
      <c r="E318" s="171">
        <v>20.97</v>
      </c>
      <c r="F318" s="171">
        <v>17.5</v>
      </c>
      <c r="G318" s="171">
        <v>18.400000000000002</v>
      </c>
      <c r="H318" s="171">
        <v>16</v>
      </c>
      <c r="I318" s="171">
        <v>21.830000000000002</v>
      </c>
      <c r="J318" s="171">
        <v>23</v>
      </c>
      <c r="K318" s="171">
        <v>34.200000000000003</v>
      </c>
      <c r="L318" s="171">
        <v>46.35</v>
      </c>
      <c r="M318" s="171">
        <v>49.93</v>
      </c>
      <c r="N318" s="171">
        <v>54.08</v>
      </c>
      <c r="O318" s="171">
        <v>65</v>
      </c>
      <c r="P318" s="171">
        <v>59.34</v>
      </c>
      <c r="Q318" s="171">
        <v>56.99</v>
      </c>
      <c r="R318" s="171">
        <v>49.910000000000004</v>
      </c>
      <c r="S318" s="171">
        <v>48.09</v>
      </c>
      <c r="T318" s="171">
        <v>45.49</v>
      </c>
      <c r="U318" s="171">
        <v>46.01</v>
      </c>
      <c r="V318" s="171">
        <v>40.01</v>
      </c>
      <c r="W318" s="171">
        <v>37.99</v>
      </c>
      <c r="X318" s="171">
        <v>34</v>
      </c>
      <c r="Y318" s="171">
        <v>37</v>
      </c>
      <c r="Z318" s="171">
        <v>38</v>
      </c>
      <c r="AA318" s="171">
        <v>32.99</v>
      </c>
      <c r="AB318" s="171">
        <v>65</v>
      </c>
      <c r="AC318" s="171">
        <v>23</v>
      </c>
      <c r="AD318" s="171">
        <v>21.990000000000002</v>
      </c>
      <c r="AF318" s="171">
        <f t="shared" si="14"/>
        <v>2007</v>
      </c>
      <c r="AG318" s="171">
        <f t="shared" si="15"/>
        <v>14</v>
      </c>
      <c r="AH318" s="700">
        <f>SUMIF(D$3:$AA318,"&lt;="&amp;$AH$1)/COUNTIF(D$3:$AA318,"&lt;="&amp;$AH$1)</f>
        <v>28.337993943981846</v>
      </c>
    </row>
    <row r="319" spans="2:34" x14ac:dyDescent="0.25">
      <c r="B319" s="910">
        <v>39273</v>
      </c>
      <c r="C319" s="581">
        <f t="shared" si="13"/>
        <v>7</v>
      </c>
      <c r="D319" s="171">
        <v>25.13</v>
      </c>
      <c r="E319" s="171">
        <v>21.330000000000002</v>
      </c>
      <c r="F319" s="171">
        <v>20.990000000000002</v>
      </c>
      <c r="G319" s="171">
        <v>19.71</v>
      </c>
      <c r="H319" s="171">
        <v>16.5</v>
      </c>
      <c r="I319" s="171">
        <v>22.5</v>
      </c>
      <c r="J319" s="171">
        <v>27</v>
      </c>
      <c r="K319" s="171">
        <v>36.15</v>
      </c>
      <c r="L319" s="171">
        <v>50.26</v>
      </c>
      <c r="M319" s="171">
        <v>58</v>
      </c>
      <c r="N319" s="171">
        <v>63.61</v>
      </c>
      <c r="O319" s="171">
        <v>83.19</v>
      </c>
      <c r="P319" s="171">
        <v>64.94</v>
      </c>
      <c r="Q319" s="171">
        <v>61.2</v>
      </c>
      <c r="R319" s="171">
        <v>57.19</v>
      </c>
      <c r="S319" s="171">
        <v>57.300000000000004</v>
      </c>
      <c r="T319" s="171">
        <v>50.050000000000004</v>
      </c>
      <c r="U319" s="171">
        <v>48</v>
      </c>
      <c r="V319" s="171">
        <v>44.99</v>
      </c>
      <c r="W319" s="171">
        <v>39</v>
      </c>
      <c r="X319" s="171">
        <v>34.14</v>
      </c>
      <c r="Y319" s="171">
        <v>30.29</v>
      </c>
      <c r="Z319" s="171">
        <v>37.04</v>
      </c>
      <c r="AA319" s="171">
        <v>31.52</v>
      </c>
      <c r="AB319" s="171">
        <v>83.19</v>
      </c>
      <c r="AC319" s="171">
        <v>27</v>
      </c>
      <c r="AD319" s="171">
        <v>23.09</v>
      </c>
      <c r="AF319" s="171">
        <f t="shared" si="14"/>
        <v>2007</v>
      </c>
      <c r="AG319" s="171">
        <f t="shared" si="15"/>
        <v>13</v>
      </c>
      <c r="AH319" s="700">
        <f>SUMIF(D$3:$AA319,"&lt;="&amp;$AH$1)/COUNTIF(D$3:$AA319,"&lt;="&amp;$AH$1)</f>
        <v>28.336209758551323</v>
      </c>
    </row>
    <row r="320" spans="2:34" x14ac:dyDescent="0.25">
      <c r="B320" s="910">
        <v>39274</v>
      </c>
      <c r="C320" s="581">
        <f t="shared" si="13"/>
        <v>7</v>
      </c>
      <c r="D320" s="171">
        <v>21.5</v>
      </c>
      <c r="E320" s="171">
        <v>19.04</v>
      </c>
      <c r="F320" s="171">
        <v>17.62</v>
      </c>
      <c r="G320" s="171">
        <v>16.080000000000002</v>
      </c>
      <c r="H320" s="171">
        <v>15.5</v>
      </c>
      <c r="I320" s="171">
        <v>19.150000000000002</v>
      </c>
      <c r="J320" s="171">
        <v>22</v>
      </c>
      <c r="K320" s="171">
        <v>30</v>
      </c>
      <c r="L320" s="171">
        <v>35.5</v>
      </c>
      <c r="M320" s="171">
        <v>46.87</v>
      </c>
      <c r="N320" s="171">
        <v>48.9</v>
      </c>
      <c r="O320" s="171">
        <v>65.320000000000007</v>
      </c>
      <c r="P320" s="171">
        <v>50</v>
      </c>
      <c r="Q320" s="171">
        <v>47.980000000000004</v>
      </c>
      <c r="R320" s="171">
        <v>44.160000000000004</v>
      </c>
      <c r="S320" s="171">
        <v>41.86</v>
      </c>
      <c r="T320" s="171">
        <v>40.5</v>
      </c>
      <c r="U320" s="171">
        <v>38.980000000000004</v>
      </c>
      <c r="V320" s="171">
        <v>37.86</v>
      </c>
      <c r="W320" s="171">
        <v>32.5</v>
      </c>
      <c r="X320" s="171">
        <v>30.43</v>
      </c>
      <c r="Y320" s="171">
        <v>27.85</v>
      </c>
      <c r="Z320" s="171">
        <v>29.060000000000002</v>
      </c>
      <c r="AA320" s="171">
        <v>26.6</v>
      </c>
      <c r="AB320" s="171">
        <v>65.320000000000007</v>
      </c>
      <c r="AC320" s="171">
        <v>22</v>
      </c>
      <c r="AD320" s="171">
        <v>19.690000000000001</v>
      </c>
      <c r="AF320" s="171">
        <f t="shared" si="14"/>
        <v>2007</v>
      </c>
      <c r="AG320" s="171">
        <f t="shared" si="15"/>
        <v>18</v>
      </c>
      <c r="AH320" s="700">
        <f>SUMIF(D$3:$AA320,"&lt;="&amp;$AH$1)/COUNTIF(D$3:$AA320,"&lt;="&amp;$AH$1)</f>
        <v>28.334201301952941</v>
      </c>
    </row>
    <row r="321" spans="2:34" x14ac:dyDescent="0.25">
      <c r="B321" s="910">
        <v>39275</v>
      </c>
      <c r="C321" s="581">
        <f t="shared" si="13"/>
        <v>7</v>
      </c>
      <c r="D321" s="171">
        <v>21.5</v>
      </c>
      <c r="E321" s="171">
        <v>18.75</v>
      </c>
      <c r="F321" s="171">
        <v>17.080000000000002</v>
      </c>
      <c r="G321" s="171">
        <v>14.81</v>
      </c>
      <c r="H321" s="171">
        <v>14</v>
      </c>
      <c r="I321" s="171">
        <v>18.309999999999999</v>
      </c>
      <c r="J321" s="171">
        <v>20.25</v>
      </c>
      <c r="K321" s="171">
        <v>28.560000000000002</v>
      </c>
      <c r="L321" s="171">
        <v>38.04</v>
      </c>
      <c r="M321" s="171">
        <v>44</v>
      </c>
      <c r="N321" s="171">
        <v>49.7</v>
      </c>
      <c r="O321" s="171">
        <v>57</v>
      </c>
      <c r="P321" s="171">
        <v>50</v>
      </c>
      <c r="Q321" s="171">
        <v>47.42</v>
      </c>
      <c r="R321" s="171">
        <v>44.01</v>
      </c>
      <c r="S321" s="171">
        <v>38.01</v>
      </c>
      <c r="T321" s="171">
        <v>36.25</v>
      </c>
      <c r="U321" s="171">
        <v>34.340000000000003</v>
      </c>
      <c r="V321" s="171">
        <v>32</v>
      </c>
      <c r="W321" s="171">
        <v>28.68</v>
      </c>
      <c r="X321" s="171">
        <v>31.01</v>
      </c>
      <c r="Y321" s="171">
        <v>29.07</v>
      </c>
      <c r="Z321" s="171">
        <v>31.220000000000002</v>
      </c>
      <c r="AA321" s="171">
        <v>28.080000000000002</v>
      </c>
      <c r="AB321" s="171">
        <v>57</v>
      </c>
      <c r="AC321" s="171">
        <v>20.25</v>
      </c>
      <c r="AD321" s="171">
        <v>19.100000000000001</v>
      </c>
      <c r="AF321" s="171">
        <f t="shared" si="14"/>
        <v>2007</v>
      </c>
      <c r="AG321" s="171">
        <f t="shared" si="15"/>
        <v>18</v>
      </c>
      <c r="AH321" s="700">
        <f>SUMIF(D$3:$AA321,"&lt;="&amp;$AH$1)/COUNTIF(D$3:$AA321,"&lt;="&amp;$AH$1)</f>
        <v>28.326709870388839</v>
      </c>
    </row>
    <row r="322" spans="2:34" x14ac:dyDescent="0.25">
      <c r="B322" s="910">
        <v>39276</v>
      </c>
      <c r="C322" s="581">
        <f t="shared" si="13"/>
        <v>7</v>
      </c>
      <c r="D322" s="171">
        <v>23.03</v>
      </c>
      <c r="E322" s="171">
        <v>19.71</v>
      </c>
      <c r="F322" s="171">
        <v>17.559999999999999</v>
      </c>
      <c r="G322" s="171">
        <v>14.56</v>
      </c>
      <c r="H322" s="171">
        <v>10.950000000000001</v>
      </c>
      <c r="I322" s="171">
        <v>20.02</v>
      </c>
      <c r="J322" s="171">
        <v>22.900000000000002</v>
      </c>
      <c r="K322" s="171">
        <v>31.03</v>
      </c>
      <c r="L322" s="171">
        <v>40</v>
      </c>
      <c r="M322" s="171">
        <v>47.31</v>
      </c>
      <c r="N322" s="171">
        <v>52.980000000000004</v>
      </c>
      <c r="O322" s="171">
        <v>59.9</v>
      </c>
      <c r="P322" s="171">
        <v>55</v>
      </c>
      <c r="Q322" s="171">
        <v>50.160000000000004</v>
      </c>
      <c r="R322" s="171">
        <v>46.26</v>
      </c>
      <c r="S322" s="171">
        <v>40.01</v>
      </c>
      <c r="T322" s="171">
        <v>36.65</v>
      </c>
      <c r="U322" s="171">
        <v>33.92</v>
      </c>
      <c r="V322" s="171">
        <v>33.99</v>
      </c>
      <c r="W322" s="171">
        <v>30.080000000000002</v>
      </c>
      <c r="X322" s="171">
        <v>30.25</v>
      </c>
      <c r="Y322" s="171">
        <v>28.5</v>
      </c>
      <c r="Z322" s="171">
        <v>31.01</v>
      </c>
      <c r="AA322" s="171">
        <v>26.07</v>
      </c>
      <c r="AB322" s="171">
        <v>59.9</v>
      </c>
      <c r="AC322" s="171">
        <v>22.900000000000002</v>
      </c>
      <c r="AD322" s="171">
        <v>19.350000000000001</v>
      </c>
      <c r="AF322" s="171">
        <f t="shared" si="14"/>
        <v>2007</v>
      </c>
      <c r="AG322" s="171">
        <f t="shared" si="15"/>
        <v>18</v>
      </c>
      <c r="AH322" s="700">
        <f>SUMIF(D$3:$AA322,"&lt;="&amp;$AH$1)/COUNTIF(D$3:$AA322,"&lt;="&amp;$AH$1)</f>
        <v>28.321836228287843</v>
      </c>
    </row>
    <row r="323" spans="2:34" x14ac:dyDescent="0.25">
      <c r="B323" s="910">
        <v>39279</v>
      </c>
      <c r="C323" s="581">
        <f t="shared" si="13"/>
        <v>7</v>
      </c>
      <c r="D323" s="171">
        <v>23.3</v>
      </c>
      <c r="E323" s="171">
        <v>19.670000000000002</v>
      </c>
      <c r="F323" s="171">
        <v>16.95</v>
      </c>
      <c r="G323" s="171">
        <v>11.1</v>
      </c>
      <c r="H323" s="171">
        <v>16.2</v>
      </c>
      <c r="I323" s="171">
        <v>16.91</v>
      </c>
      <c r="J323" s="171">
        <v>19.990000000000002</v>
      </c>
      <c r="K323" s="171">
        <v>31.970000000000002</v>
      </c>
      <c r="L323" s="171">
        <v>42.02</v>
      </c>
      <c r="M323" s="171">
        <v>47.35</v>
      </c>
      <c r="N323" s="171">
        <v>55.56</v>
      </c>
      <c r="O323" s="171">
        <v>67.88</v>
      </c>
      <c r="P323" s="171">
        <v>57.07</v>
      </c>
      <c r="Q323" s="171">
        <v>56.050000000000004</v>
      </c>
      <c r="R323" s="171">
        <v>55.51</v>
      </c>
      <c r="S323" s="171">
        <v>50.18</v>
      </c>
      <c r="T323" s="171">
        <v>46.660000000000004</v>
      </c>
      <c r="U323" s="171">
        <v>45.47</v>
      </c>
      <c r="V323" s="171">
        <v>43.5</v>
      </c>
      <c r="W323" s="171">
        <v>37.97</v>
      </c>
      <c r="X323" s="171">
        <v>37.97</v>
      </c>
      <c r="Y323" s="171">
        <v>32.44</v>
      </c>
      <c r="Z323" s="171">
        <v>34.26</v>
      </c>
      <c r="AA323" s="171">
        <v>30</v>
      </c>
      <c r="AB323" s="171">
        <v>67.88</v>
      </c>
      <c r="AC323" s="171">
        <v>19.990000000000002</v>
      </c>
      <c r="AD323" s="171">
        <v>19.27</v>
      </c>
      <c r="AF323" s="171">
        <f t="shared" si="14"/>
        <v>2007</v>
      </c>
      <c r="AG323" s="171">
        <f t="shared" si="15"/>
        <v>14</v>
      </c>
      <c r="AH323" s="700">
        <f>SUMIF(D$3:$AA323,"&lt;="&amp;$AH$1)/COUNTIF(D$3:$AA323,"&lt;="&amp;$AH$1)</f>
        <v>28.315467359050452</v>
      </c>
    </row>
    <row r="324" spans="2:34" x14ac:dyDescent="0.25">
      <c r="B324" s="910">
        <v>39280</v>
      </c>
      <c r="C324" s="581">
        <f t="shared" ref="C324:C387" si="16">MONTH(B324)</f>
        <v>7</v>
      </c>
      <c r="D324" s="171">
        <v>26.1</v>
      </c>
      <c r="E324" s="171">
        <v>22.38</v>
      </c>
      <c r="F324" s="171">
        <v>19.98</v>
      </c>
      <c r="G324" s="171">
        <v>15.120000000000001</v>
      </c>
      <c r="H324" s="171">
        <v>15.75</v>
      </c>
      <c r="I324" s="171">
        <v>20.63</v>
      </c>
      <c r="J324" s="171">
        <v>21.8</v>
      </c>
      <c r="K324" s="171">
        <v>31.68</v>
      </c>
      <c r="L324" s="171">
        <v>46.660000000000004</v>
      </c>
      <c r="M324" s="171">
        <v>50</v>
      </c>
      <c r="N324" s="171">
        <v>56.67</v>
      </c>
      <c r="O324" s="171">
        <v>65.42</v>
      </c>
      <c r="P324" s="171">
        <v>60</v>
      </c>
      <c r="Q324" s="171">
        <v>57.35</v>
      </c>
      <c r="R324" s="171">
        <v>55.22</v>
      </c>
      <c r="S324" s="171">
        <v>52.25</v>
      </c>
      <c r="T324" s="171">
        <v>51.300000000000004</v>
      </c>
      <c r="U324" s="171">
        <v>48.21</v>
      </c>
      <c r="V324" s="171">
        <v>47.08</v>
      </c>
      <c r="W324" s="171">
        <v>44.93</v>
      </c>
      <c r="X324" s="171">
        <v>35.619999999999997</v>
      </c>
      <c r="Y324" s="171">
        <v>31.71</v>
      </c>
      <c r="Z324" s="171">
        <v>35</v>
      </c>
      <c r="AA324" s="171">
        <v>28.51</v>
      </c>
      <c r="AB324" s="171">
        <v>65.42</v>
      </c>
      <c r="AC324" s="171">
        <v>21.8</v>
      </c>
      <c r="AD324" s="171">
        <v>21.28</v>
      </c>
      <c r="AF324" s="171">
        <f t="shared" ref="AF324:AF387" si="17">YEAR(B324)</f>
        <v>2007</v>
      </c>
      <c r="AG324" s="171">
        <f t="shared" ref="AG324:AG387" si="18">COUNTIF(D324:AA324,"&lt;="&amp;$AH$1)</f>
        <v>12</v>
      </c>
      <c r="AH324" s="700">
        <f>SUMIF(D$3:$AA324,"&lt;="&amp;$AH$1)/COUNTIF(D$3:$AA324,"&lt;="&amp;$AH$1)</f>
        <v>28.306713510848134</v>
      </c>
    </row>
    <row r="325" spans="2:34" x14ac:dyDescent="0.25">
      <c r="B325" s="910">
        <v>39281</v>
      </c>
      <c r="C325" s="581">
        <f t="shared" si="16"/>
        <v>7</v>
      </c>
      <c r="D325" s="171">
        <v>28.23</v>
      </c>
      <c r="E325" s="171">
        <v>24</v>
      </c>
      <c r="F325" s="171">
        <v>21.95</v>
      </c>
      <c r="G325" s="171">
        <v>17.54</v>
      </c>
      <c r="H325" s="171">
        <v>16</v>
      </c>
      <c r="I325" s="171">
        <v>23</v>
      </c>
      <c r="J325" s="171">
        <v>23.88</v>
      </c>
      <c r="K325" s="171">
        <v>35.01</v>
      </c>
      <c r="L325" s="171">
        <v>47</v>
      </c>
      <c r="M325" s="171">
        <v>55</v>
      </c>
      <c r="N325" s="171">
        <v>60.53</v>
      </c>
      <c r="O325" s="171">
        <v>72.070000000000007</v>
      </c>
      <c r="P325" s="171">
        <v>62.25</v>
      </c>
      <c r="Q325" s="171">
        <v>62.910000000000004</v>
      </c>
      <c r="R325" s="171">
        <v>59.870000000000005</v>
      </c>
      <c r="S325" s="171">
        <v>58.89</v>
      </c>
      <c r="T325" s="171">
        <v>55.44</v>
      </c>
      <c r="U325" s="171">
        <v>53.08</v>
      </c>
      <c r="V325" s="171">
        <v>50.2</v>
      </c>
      <c r="W325" s="171">
        <v>45</v>
      </c>
      <c r="X325" s="171">
        <v>38</v>
      </c>
      <c r="Y325" s="171">
        <v>35.01</v>
      </c>
      <c r="Z325" s="171">
        <v>37.5</v>
      </c>
      <c r="AA325" s="171">
        <v>34.43</v>
      </c>
      <c r="AB325" s="171">
        <v>72.070000000000007</v>
      </c>
      <c r="AC325" s="171">
        <v>23.88</v>
      </c>
      <c r="AD325" s="171">
        <v>23.63</v>
      </c>
      <c r="AF325" s="171">
        <f t="shared" si="17"/>
        <v>2007</v>
      </c>
      <c r="AG325" s="171">
        <f t="shared" si="18"/>
        <v>12</v>
      </c>
      <c r="AH325" s="700">
        <f>SUMIF(D$3:$AA325,"&lt;="&amp;$AH$1)/COUNTIF(D$3:$AA325,"&lt;="&amp;$AH$1)</f>
        <v>28.305452310717797</v>
      </c>
    </row>
    <row r="326" spans="2:34" x14ac:dyDescent="0.25">
      <c r="B326" s="910">
        <v>39282</v>
      </c>
      <c r="C326" s="581">
        <f t="shared" si="16"/>
        <v>7</v>
      </c>
      <c r="D326" s="171">
        <v>28.76</v>
      </c>
      <c r="E326" s="171">
        <v>23.01</v>
      </c>
      <c r="F326" s="171">
        <v>21.87</v>
      </c>
      <c r="G326" s="171">
        <v>18</v>
      </c>
      <c r="H326" s="171">
        <v>17.5</v>
      </c>
      <c r="I326" s="171">
        <v>22.900000000000002</v>
      </c>
      <c r="J326" s="171">
        <v>23.740000000000002</v>
      </c>
      <c r="K326" s="171">
        <v>38.050000000000004</v>
      </c>
      <c r="L326" s="171">
        <v>48.07</v>
      </c>
      <c r="M326" s="171">
        <v>58</v>
      </c>
      <c r="N326" s="171">
        <v>64.540000000000006</v>
      </c>
      <c r="O326" s="171">
        <v>82.45</v>
      </c>
      <c r="P326" s="171">
        <v>66.320000000000007</v>
      </c>
      <c r="Q326" s="171">
        <v>63.190000000000005</v>
      </c>
      <c r="R326" s="171">
        <v>63</v>
      </c>
      <c r="S326" s="171">
        <v>55.99</v>
      </c>
      <c r="T326" s="171">
        <v>49.96</v>
      </c>
      <c r="U326" s="171">
        <v>46.67</v>
      </c>
      <c r="V326" s="171">
        <v>44.910000000000004</v>
      </c>
      <c r="W326" s="171">
        <v>40.01</v>
      </c>
      <c r="X326" s="171">
        <v>37.07</v>
      </c>
      <c r="Y326" s="171">
        <v>34.6</v>
      </c>
      <c r="Z326" s="171">
        <v>35.51</v>
      </c>
      <c r="AA326" s="171">
        <v>29.93</v>
      </c>
      <c r="AB326" s="171">
        <v>82.45</v>
      </c>
      <c r="AC326" s="171">
        <v>23.740000000000002</v>
      </c>
      <c r="AD326" s="171">
        <v>23.21</v>
      </c>
      <c r="AF326" s="171">
        <f t="shared" si="17"/>
        <v>2007</v>
      </c>
      <c r="AG326" s="171">
        <f t="shared" si="18"/>
        <v>13</v>
      </c>
      <c r="AH326" s="700">
        <f>SUMIF(D$3:$AA326,"&lt;="&amp;$AH$1)/COUNTIF(D$3:$AA326,"&lt;="&amp;$AH$1)</f>
        <v>28.306182308257775</v>
      </c>
    </row>
    <row r="327" spans="2:34" x14ac:dyDescent="0.25">
      <c r="B327" s="910">
        <v>39283</v>
      </c>
      <c r="C327" s="581">
        <f t="shared" si="16"/>
        <v>7</v>
      </c>
      <c r="D327" s="171">
        <v>26.5</v>
      </c>
      <c r="E327" s="171">
        <v>23</v>
      </c>
      <c r="F327" s="171">
        <v>20</v>
      </c>
      <c r="G327" s="171">
        <v>18.25</v>
      </c>
      <c r="H327" s="171">
        <v>13.88</v>
      </c>
      <c r="I327" s="171">
        <v>21.5</v>
      </c>
      <c r="J327" s="171">
        <v>22.92</v>
      </c>
      <c r="K327" s="171">
        <v>31.01</v>
      </c>
      <c r="L327" s="171">
        <v>36.18</v>
      </c>
      <c r="M327" s="171">
        <v>43.45</v>
      </c>
      <c r="N327" s="171">
        <v>50.2</v>
      </c>
      <c r="O327" s="171">
        <v>60.160000000000004</v>
      </c>
      <c r="P327" s="171">
        <v>53.01</v>
      </c>
      <c r="Q327" s="171">
        <v>51.01</v>
      </c>
      <c r="R327" s="171">
        <v>48.26</v>
      </c>
      <c r="S327" s="171">
        <v>44.93</v>
      </c>
      <c r="T327" s="171">
        <v>37.93</v>
      </c>
      <c r="U327" s="171">
        <v>35.520000000000003</v>
      </c>
      <c r="V327" s="171">
        <v>33.9</v>
      </c>
      <c r="W327" s="171">
        <v>30</v>
      </c>
      <c r="X327" s="171">
        <v>29.990000000000002</v>
      </c>
      <c r="Y327" s="171">
        <v>28</v>
      </c>
      <c r="Z327" s="171">
        <v>30.02</v>
      </c>
      <c r="AA327" s="171">
        <v>27</v>
      </c>
      <c r="AB327" s="171">
        <v>60.160000000000004</v>
      </c>
      <c r="AC327" s="171">
        <v>22.92</v>
      </c>
      <c r="AD327" s="171">
        <v>21.63</v>
      </c>
      <c r="AF327" s="171">
        <f t="shared" si="17"/>
        <v>2007</v>
      </c>
      <c r="AG327" s="171">
        <f t="shared" si="18"/>
        <v>17</v>
      </c>
      <c r="AH327" s="700">
        <f>SUMIF(D$3:$AA327,"&lt;="&amp;$AH$1)/COUNTIF(D$3:$AA327,"&lt;="&amp;$AH$1)</f>
        <v>28.302374328940942</v>
      </c>
    </row>
    <row r="328" spans="2:34" x14ac:dyDescent="0.25">
      <c r="B328" s="910">
        <v>39286</v>
      </c>
      <c r="C328" s="581">
        <f t="shared" si="16"/>
        <v>7</v>
      </c>
      <c r="D328" s="171">
        <v>16.350000000000001</v>
      </c>
      <c r="E328" s="171">
        <v>12.25</v>
      </c>
      <c r="F328" s="171">
        <v>11.16</v>
      </c>
      <c r="G328" s="171">
        <v>10.92</v>
      </c>
      <c r="H328" s="171">
        <v>10.41</v>
      </c>
      <c r="I328" s="171">
        <v>15.25</v>
      </c>
      <c r="J328" s="171">
        <v>21.97</v>
      </c>
      <c r="K328" s="171">
        <v>29.25</v>
      </c>
      <c r="L328" s="171">
        <v>34.42</v>
      </c>
      <c r="M328" s="171">
        <v>42.07</v>
      </c>
      <c r="N328" s="171">
        <v>46.6</v>
      </c>
      <c r="O328" s="171">
        <v>54.93</v>
      </c>
      <c r="P328" s="171">
        <v>53</v>
      </c>
      <c r="Q328" s="171">
        <v>55</v>
      </c>
      <c r="R328" s="171">
        <v>52</v>
      </c>
      <c r="S328" s="171">
        <v>50</v>
      </c>
      <c r="T328" s="171">
        <v>45</v>
      </c>
      <c r="U328" s="171">
        <v>40</v>
      </c>
      <c r="V328" s="171">
        <v>37.93</v>
      </c>
      <c r="W328" s="171">
        <v>31.63</v>
      </c>
      <c r="X328" s="171">
        <v>33.1</v>
      </c>
      <c r="Y328" s="171">
        <v>31.03</v>
      </c>
      <c r="Z328" s="171">
        <v>31.44</v>
      </c>
      <c r="AA328" s="171">
        <v>26.7</v>
      </c>
      <c r="AB328" s="171">
        <v>54.93</v>
      </c>
      <c r="AC328" s="171">
        <v>21.97</v>
      </c>
      <c r="AD328" s="171">
        <v>15.63</v>
      </c>
      <c r="AF328" s="171">
        <f t="shared" si="17"/>
        <v>2007</v>
      </c>
      <c r="AG328" s="171">
        <f t="shared" si="18"/>
        <v>17</v>
      </c>
      <c r="AH328" s="700">
        <f>SUMIF(D$3:$AA328,"&lt;="&amp;$AH$1)/COUNTIF(D$3:$AA328,"&lt;="&amp;$AH$1)</f>
        <v>28.291375455650059</v>
      </c>
    </row>
    <row r="329" spans="2:34" x14ac:dyDescent="0.25">
      <c r="B329" s="910">
        <v>39287</v>
      </c>
      <c r="C329" s="581">
        <f t="shared" si="16"/>
        <v>7</v>
      </c>
      <c r="D329" s="171">
        <v>24.810000000000002</v>
      </c>
      <c r="E329" s="171">
        <v>20.68</v>
      </c>
      <c r="F329" s="171">
        <v>19.71</v>
      </c>
      <c r="G329" s="171">
        <v>16.8</v>
      </c>
      <c r="H329" s="171">
        <v>15.96</v>
      </c>
      <c r="I329" s="171">
        <v>21.81</v>
      </c>
      <c r="J329" s="171">
        <v>21.91</v>
      </c>
      <c r="K329" s="171">
        <v>34.67</v>
      </c>
      <c r="L329" s="171">
        <v>38.19</v>
      </c>
      <c r="M329" s="171">
        <v>43</v>
      </c>
      <c r="N329" s="171">
        <v>50.5</v>
      </c>
      <c r="O329" s="171">
        <v>60</v>
      </c>
      <c r="P329" s="171">
        <v>50.5</v>
      </c>
      <c r="Q329" s="171">
        <v>48.93</v>
      </c>
      <c r="R329" s="171">
        <v>45.5</v>
      </c>
      <c r="S329" s="171">
        <v>42</v>
      </c>
      <c r="T329" s="171">
        <v>39.01</v>
      </c>
      <c r="U329" s="171">
        <v>36.700000000000003</v>
      </c>
      <c r="V329" s="171">
        <v>35</v>
      </c>
      <c r="W329" s="171">
        <v>30.55</v>
      </c>
      <c r="X329" s="171">
        <v>29.85</v>
      </c>
      <c r="Y329" s="171">
        <v>26.88</v>
      </c>
      <c r="Z329" s="171">
        <v>29.080000000000002</v>
      </c>
      <c r="AA329" s="171">
        <v>25.07</v>
      </c>
      <c r="AB329" s="171">
        <v>60</v>
      </c>
      <c r="AC329" s="171">
        <v>21.91</v>
      </c>
      <c r="AD329" s="171">
        <v>20.84</v>
      </c>
      <c r="AF329" s="171">
        <f t="shared" si="17"/>
        <v>2007</v>
      </c>
      <c r="AG329" s="171">
        <f t="shared" si="18"/>
        <v>18</v>
      </c>
      <c r="AH329" s="700">
        <f>SUMIF(D$3:$AA329,"&lt;="&amp;$AH$1)/COUNTIF(D$3:$AA329,"&lt;="&amp;$AH$1)</f>
        <v>28.291238809581422</v>
      </c>
    </row>
    <row r="330" spans="2:34" x14ac:dyDescent="0.25">
      <c r="B330" s="910">
        <v>39288</v>
      </c>
      <c r="C330" s="581">
        <f t="shared" si="16"/>
        <v>7</v>
      </c>
      <c r="D330" s="171">
        <v>15.99</v>
      </c>
      <c r="E330" s="171">
        <v>12.040000000000001</v>
      </c>
      <c r="F330" s="171">
        <v>10.050000000000001</v>
      </c>
      <c r="G330" s="171">
        <v>8.07</v>
      </c>
      <c r="H330" s="171">
        <v>4.95</v>
      </c>
      <c r="I330" s="171">
        <v>11.48</v>
      </c>
      <c r="J330" s="171">
        <v>16.3</v>
      </c>
      <c r="K330" s="171">
        <v>24.5</v>
      </c>
      <c r="L330" s="171">
        <v>32.910000000000004</v>
      </c>
      <c r="M330" s="171">
        <v>36.33</v>
      </c>
      <c r="N330" s="171">
        <v>41.38</v>
      </c>
      <c r="O330" s="171">
        <v>45.68</v>
      </c>
      <c r="P330" s="171">
        <v>43.9</v>
      </c>
      <c r="Q330" s="171">
        <v>41.33</v>
      </c>
      <c r="R330" s="171">
        <v>39.96</v>
      </c>
      <c r="S330" s="171">
        <v>36.03</v>
      </c>
      <c r="T330" s="171">
        <v>34.910000000000004</v>
      </c>
      <c r="U330" s="171">
        <v>32.35</v>
      </c>
      <c r="V330" s="171">
        <v>31.92</v>
      </c>
      <c r="W330" s="171">
        <v>29.080000000000002</v>
      </c>
      <c r="X330" s="171">
        <v>30.68</v>
      </c>
      <c r="Y330" s="171">
        <v>27.98</v>
      </c>
      <c r="Z330" s="171">
        <v>31.02</v>
      </c>
      <c r="AA330" s="171">
        <v>25.87</v>
      </c>
      <c r="AB330" s="171">
        <v>45.68</v>
      </c>
      <c r="AC330" s="171">
        <v>16.3</v>
      </c>
      <c r="AD330" s="171">
        <v>13.09</v>
      </c>
      <c r="AF330" s="171">
        <f t="shared" si="17"/>
        <v>2007</v>
      </c>
      <c r="AG330" s="171">
        <f t="shared" si="18"/>
        <v>22</v>
      </c>
      <c r="AH330" s="700">
        <f>SUMIF(D$3:$AA330,"&lt;="&amp;$AH$1)/COUNTIF(D$3:$AA330,"&lt;="&amp;$AH$1)</f>
        <v>28.279860409145616</v>
      </c>
    </row>
    <row r="331" spans="2:34" x14ac:dyDescent="0.25">
      <c r="B331" s="910">
        <v>39289</v>
      </c>
      <c r="C331" s="581">
        <f t="shared" si="16"/>
        <v>7</v>
      </c>
      <c r="D331" s="171">
        <v>22.990000000000002</v>
      </c>
      <c r="E331" s="171">
        <v>20</v>
      </c>
      <c r="F331" s="171">
        <v>19</v>
      </c>
      <c r="G331" s="171">
        <v>17.96</v>
      </c>
      <c r="H331" s="171">
        <v>12.18</v>
      </c>
      <c r="I331" s="171">
        <v>19.98</v>
      </c>
      <c r="J331" s="171">
        <v>22.01</v>
      </c>
      <c r="K331" s="171">
        <v>27.92</v>
      </c>
      <c r="L331" s="171">
        <v>35</v>
      </c>
      <c r="M331" s="171">
        <v>42.92</v>
      </c>
      <c r="N331" s="171">
        <v>46.93</v>
      </c>
      <c r="O331" s="171">
        <v>50.22</v>
      </c>
      <c r="P331" s="171">
        <v>47.1</v>
      </c>
      <c r="Q331" s="171">
        <v>44.5</v>
      </c>
      <c r="R331" s="171">
        <v>43.22</v>
      </c>
      <c r="S331" s="171">
        <v>40.869999999999997</v>
      </c>
      <c r="T331" s="171">
        <v>37.25</v>
      </c>
      <c r="U331" s="171">
        <v>34</v>
      </c>
      <c r="V331" s="171">
        <v>33</v>
      </c>
      <c r="W331" s="171">
        <v>30.23</v>
      </c>
      <c r="X331" s="171">
        <v>28.47</v>
      </c>
      <c r="Y331" s="171">
        <v>28.490000000000002</v>
      </c>
      <c r="Z331" s="171">
        <v>31.01</v>
      </c>
      <c r="AA331" s="171">
        <v>27.32</v>
      </c>
      <c r="AB331" s="171">
        <v>50.22</v>
      </c>
      <c r="AC331" s="171">
        <v>19.98</v>
      </c>
      <c r="AD331" s="171">
        <v>20.18</v>
      </c>
      <c r="AF331" s="171">
        <f t="shared" si="17"/>
        <v>2007</v>
      </c>
      <c r="AG331" s="171">
        <f t="shared" si="18"/>
        <v>18</v>
      </c>
      <c r="AH331" s="700">
        <f>SUMIF(D$3:$AA331,"&lt;="&amp;$AH$1)/COUNTIF(D$3:$AA331,"&lt;="&amp;$AH$1)</f>
        <v>28.274742391564828</v>
      </c>
    </row>
    <row r="332" spans="2:34" x14ac:dyDescent="0.25">
      <c r="B332" s="910">
        <v>39290</v>
      </c>
      <c r="C332" s="581">
        <f t="shared" si="16"/>
        <v>7</v>
      </c>
      <c r="D332" s="171">
        <v>19.97</v>
      </c>
      <c r="E332" s="171">
        <v>18.11</v>
      </c>
      <c r="F332" s="171">
        <v>16.440000000000001</v>
      </c>
      <c r="G332" s="171">
        <v>15.07</v>
      </c>
      <c r="H332" s="171">
        <v>10.029999999999999</v>
      </c>
      <c r="I332" s="171">
        <v>18.98</v>
      </c>
      <c r="J332" s="171">
        <v>21.93</v>
      </c>
      <c r="K332" s="171">
        <v>29.96</v>
      </c>
      <c r="L332" s="171">
        <v>29.77</v>
      </c>
      <c r="M332" s="171">
        <v>35</v>
      </c>
      <c r="N332" s="171">
        <v>39</v>
      </c>
      <c r="O332" s="171">
        <v>44.35</v>
      </c>
      <c r="P332" s="171">
        <v>39.96</v>
      </c>
      <c r="Q332" s="171">
        <v>37</v>
      </c>
      <c r="R332" s="171">
        <v>35</v>
      </c>
      <c r="S332" s="171">
        <v>31</v>
      </c>
      <c r="T332" s="171">
        <v>30.35</v>
      </c>
      <c r="U332" s="171">
        <v>30</v>
      </c>
      <c r="V332" s="171">
        <v>29.07</v>
      </c>
      <c r="W332" s="171">
        <v>27.09</v>
      </c>
      <c r="X332" s="171">
        <v>29.98</v>
      </c>
      <c r="Y332" s="171">
        <v>27.5</v>
      </c>
      <c r="Z332" s="171">
        <v>29.63</v>
      </c>
      <c r="AA332" s="171">
        <v>21.990000000000002</v>
      </c>
      <c r="AB332" s="171">
        <v>44.35</v>
      </c>
      <c r="AC332" s="171">
        <v>21.93</v>
      </c>
      <c r="AD332" s="171">
        <v>17.809999999999999</v>
      </c>
      <c r="AF332" s="171">
        <f t="shared" si="17"/>
        <v>2007</v>
      </c>
      <c r="AG332" s="171">
        <f t="shared" si="18"/>
        <v>23</v>
      </c>
      <c r="AH332" s="700">
        <f>SUMIF(D$3:$AA332,"&lt;="&amp;$AH$1)/COUNTIF(D$3:$AA332,"&lt;="&amp;$AH$1)</f>
        <v>28.26819113441374</v>
      </c>
    </row>
    <row r="333" spans="2:34" x14ac:dyDescent="0.25">
      <c r="B333" s="910">
        <v>39293</v>
      </c>
      <c r="C333" s="581">
        <f t="shared" si="16"/>
        <v>7</v>
      </c>
      <c r="D333" s="171">
        <v>16.600000000000001</v>
      </c>
      <c r="E333" s="171">
        <v>10.75</v>
      </c>
      <c r="F333" s="171">
        <v>10.050000000000001</v>
      </c>
      <c r="G333" s="171">
        <v>9.18</v>
      </c>
      <c r="H333" s="171">
        <v>6.96</v>
      </c>
      <c r="I333" s="171">
        <v>9.18</v>
      </c>
      <c r="J333" s="171">
        <v>15.92</v>
      </c>
      <c r="K333" s="171">
        <v>23.96</v>
      </c>
      <c r="L333" s="171">
        <v>31.09</v>
      </c>
      <c r="M333" s="171">
        <v>34.89</v>
      </c>
      <c r="N333" s="171">
        <v>38.700000000000003</v>
      </c>
      <c r="O333" s="171">
        <v>45.300000000000004</v>
      </c>
      <c r="P333" s="171">
        <v>39.99</v>
      </c>
      <c r="Q333" s="171">
        <v>39.96</v>
      </c>
      <c r="R333" s="171">
        <v>38</v>
      </c>
      <c r="S333" s="171">
        <v>34.18</v>
      </c>
      <c r="T333" s="171">
        <v>34.96</v>
      </c>
      <c r="U333" s="171">
        <v>34.93</v>
      </c>
      <c r="V333" s="171">
        <v>30</v>
      </c>
      <c r="W333" s="171">
        <v>28.400000000000002</v>
      </c>
      <c r="X333" s="171">
        <v>24.59</v>
      </c>
      <c r="Y333" s="171">
        <v>25.88</v>
      </c>
      <c r="Z333" s="171">
        <v>27.03</v>
      </c>
      <c r="AA333" s="171">
        <v>21.17</v>
      </c>
      <c r="AB333" s="171">
        <v>45.300000000000004</v>
      </c>
      <c r="AC333" s="171">
        <v>15.92</v>
      </c>
      <c r="AD333" s="171">
        <v>12.48</v>
      </c>
      <c r="AF333" s="171">
        <f t="shared" si="17"/>
        <v>2007</v>
      </c>
      <c r="AG333" s="171">
        <f t="shared" si="18"/>
        <v>23</v>
      </c>
      <c r="AH333" s="700">
        <f>SUMIF(D$3:$AA333,"&lt;="&amp;$AH$1)/COUNTIF(D$3:$AA333,"&lt;="&amp;$AH$1)</f>
        <v>28.253069447736443</v>
      </c>
    </row>
    <row r="334" spans="2:34" x14ac:dyDescent="0.25">
      <c r="B334" s="910">
        <v>39294</v>
      </c>
      <c r="C334" s="581">
        <f t="shared" si="16"/>
        <v>7</v>
      </c>
      <c r="D334" s="171">
        <v>16.87</v>
      </c>
      <c r="E334" s="171">
        <v>14.6</v>
      </c>
      <c r="F334" s="171">
        <v>11.98</v>
      </c>
      <c r="G334" s="171">
        <v>10.9</v>
      </c>
      <c r="H334" s="171">
        <v>9</v>
      </c>
      <c r="I334" s="171">
        <v>14.5</v>
      </c>
      <c r="J334" s="171">
        <v>17.04</v>
      </c>
      <c r="K334" s="171">
        <v>24.48</v>
      </c>
      <c r="L334" s="171">
        <v>28.98</v>
      </c>
      <c r="M334" s="171">
        <v>35.300000000000004</v>
      </c>
      <c r="N334" s="171">
        <v>40</v>
      </c>
      <c r="O334" s="171">
        <v>48.01</v>
      </c>
      <c r="P334" s="171">
        <v>41.81</v>
      </c>
      <c r="Q334" s="171">
        <v>42.81</v>
      </c>
      <c r="R334" s="171">
        <v>41.81</v>
      </c>
      <c r="S334" s="171">
        <v>44.93</v>
      </c>
      <c r="T334" s="171">
        <v>38.81</v>
      </c>
      <c r="U334" s="171">
        <v>35</v>
      </c>
      <c r="V334" s="171">
        <v>31</v>
      </c>
      <c r="W334" s="171">
        <v>30.5</v>
      </c>
      <c r="X334" s="171">
        <v>28.93</v>
      </c>
      <c r="Y334" s="171">
        <v>27.87</v>
      </c>
      <c r="Z334" s="171">
        <v>30.310000000000002</v>
      </c>
      <c r="AA334" s="171">
        <v>25</v>
      </c>
      <c r="AB334" s="171">
        <v>48.01</v>
      </c>
      <c r="AC334" s="171">
        <v>17.04</v>
      </c>
      <c r="AD334" s="171">
        <v>14.99</v>
      </c>
      <c r="AF334" s="171">
        <f t="shared" si="17"/>
        <v>2007</v>
      </c>
      <c r="AG334" s="171">
        <f t="shared" si="18"/>
        <v>21</v>
      </c>
      <c r="AH334" s="700">
        <f>SUMIF(D$3:$AA334,"&lt;="&amp;$AH$1)/COUNTIF(D$3:$AA334,"&lt;="&amp;$AH$1)</f>
        <v>28.243959905660379</v>
      </c>
    </row>
    <row r="335" spans="2:34" x14ac:dyDescent="0.25">
      <c r="B335" s="910">
        <v>39295</v>
      </c>
      <c r="C335" s="581">
        <f t="shared" si="16"/>
        <v>8</v>
      </c>
      <c r="D335" s="171">
        <v>22.400000000000002</v>
      </c>
      <c r="E335" s="171">
        <v>16.66</v>
      </c>
      <c r="F335" s="171">
        <v>15</v>
      </c>
      <c r="G335" s="171">
        <v>12.8</v>
      </c>
      <c r="H335" s="171">
        <v>12.07</v>
      </c>
      <c r="I335" s="171">
        <v>18.62</v>
      </c>
      <c r="J335" s="171">
        <v>20.5</v>
      </c>
      <c r="K335" s="171">
        <v>29.19</v>
      </c>
      <c r="L335" s="171">
        <v>34.020000000000003</v>
      </c>
      <c r="M335" s="171">
        <v>40.43</v>
      </c>
      <c r="N335" s="171">
        <v>44.93</v>
      </c>
      <c r="O335" s="171">
        <v>54.84</v>
      </c>
      <c r="P335" s="171">
        <v>50</v>
      </c>
      <c r="Q335" s="171">
        <v>54.84</v>
      </c>
      <c r="R335" s="171">
        <v>48.01</v>
      </c>
      <c r="S335" s="171">
        <v>40</v>
      </c>
      <c r="T335" s="171">
        <v>39.96</v>
      </c>
      <c r="U335" s="171">
        <v>38</v>
      </c>
      <c r="V335" s="171">
        <v>35.5</v>
      </c>
      <c r="W335" s="171">
        <v>32.04</v>
      </c>
      <c r="X335" s="171">
        <v>29.5</v>
      </c>
      <c r="Y335" s="171">
        <v>28.48</v>
      </c>
      <c r="Z335" s="171">
        <v>29.060000000000002</v>
      </c>
      <c r="AA335" s="171">
        <v>25.07</v>
      </c>
      <c r="AB335" s="171">
        <v>54.84</v>
      </c>
      <c r="AC335" s="171">
        <v>20.5</v>
      </c>
      <c r="AD335" s="171">
        <v>17.89</v>
      </c>
      <c r="AF335" s="171">
        <f t="shared" si="17"/>
        <v>2007</v>
      </c>
      <c r="AG335" s="171">
        <f t="shared" si="18"/>
        <v>19</v>
      </c>
      <c r="AH335" s="700">
        <f>SUMIF(D$3:$AA335,"&lt;="&amp;$AH$1)/COUNTIF(D$3:$AA335,"&lt;="&amp;$AH$1)</f>
        <v>28.239889645456685</v>
      </c>
    </row>
    <row r="336" spans="2:34" x14ac:dyDescent="0.25">
      <c r="B336" s="910">
        <v>39296</v>
      </c>
      <c r="C336" s="581">
        <f t="shared" si="16"/>
        <v>8</v>
      </c>
      <c r="D336" s="171">
        <v>22.5</v>
      </c>
      <c r="E336" s="171">
        <v>17</v>
      </c>
      <c r="F336" s="171">
        <v>15.25</v>
      </c>
      <c r="G336" s="171">
        <v>12.55</v>
      </c>
      <c r="H336" s="171">
        <v>11</v>
      </c>
      <c r="I336" s="171">
        <v>17</v>
      </c>
      <c r="J336" s="171">
        <v>18</v>
      </c>
      <c r="K336" s="171">
        <v>26</v>
      </c>
      <c r="L336" s="171">
        <v>30.03</v>
      </c>
      <c r="M336" s="171">
        <v>38</v>
      </c>
      <c r="N336" s="171">
        <v>41.01</v>
      </c>
      <c r="O336" s="171">
        <v>44.61</v>
      </c>
      <c r="P336" s="171">
        <v>42.51</v>
      </c>
      <c r="Q336" s="171">
        <v>41.01</v>
      </c>
      <c r="R336" s="171">
        <v>38.51</v>
      </c>
      <c r="S336" s="171">
        <v>37.39</v>
      </c>
      <c r="T336" s="171">
        <v>34.74</v>
      </c>
      <c r="U336" s="171">
        <v>33</v>
      </c>
      <c r="V336" s="171">
        <v>31.080000000000002</v>
      </c>
      <c r="W336" s="171">
        <v>30</v>
      </c>
      <c r="X336" s="171">
        <v>28.94</v>
      </c>
      <c r="Y336" s="171">
        <v>27.95</v>
      </c>
      <c r="Z336" s="171">
        <v>30</v>
      </c>
      <c r="AA336" s="171">
        <v>25.09</v>
      </c>
      <c r="AB336" s="171">
        <v>44.61</v>
      </c>
      <c r="AC336" s="171">
        <v>18</v>
      </c>
      <c r="AD336" s="171">
        <v>17.3</v>
      </c>
      <c r="AF336" s="171">
        <f t="shared" si="17"/>
        <v>2007</v>
      </c>
      <c r="AG336" s="171">
        <f t="shared" si="18"/>
        <v>23</v>
      </c>
      <c r="AH336" s="700">
        <f>SUMIF(D$3:$AA336,"&lt;="&amp;$AH$1)/COUNTIF(D$3:$AA336,"&lt;="&amp;$AH$1)</f>
        <v>28.239666043904716</v>
      </c>
    </row>
    <row r="337" spans="2:34" x14ac:dyDescent="0.25">
      <c r="B337" s="910">
        <v>39297</v>
      </c>
      <c r="C337" s="581">
        <f t="shared" si="16"/>
        <v>8</v>
      </c>
      <c r="D337" s="171">
        <v>21</v>
      </c>
      <c r="E337" s="171">
        <v>16.97</v>
      </c>
      <c r="F337" s="171">
        <v>15.040000000000001</v>
      </c>
      <c r="G337" s="171">
        <v>12.14</v>
      </c>
      <c r="H337" s="171">
        <v>12</v>
      </c>
      <c r="I337" s="171">
        <v>18.100000000000001</v>
      </c>
      <c r="J337" s="171">
        <v>18.990000000000002</v>
      </c>
      <c r="K337" s="171">
        <v>26</v>
      </c>
      <c r="L337" s="171">
        <v>28.01</v>
      </c>
      <c r="M337" s="171">
        <v>33.9</v>
      </c>
      <c r="N337" s="171">
        <v>49.93</v>
      </c>
      <c r="O337" s="171">
        <v>71</v>
      </c>
      <c r="P337" s="171">
        <v>49.95</v>
      </c>
      <c r="Q337" s="171">
        <v>49.93</v>
      </c>
      <c r="R337" s="171">
        <v>40</v>
      </c>
      <c r="S337" s="171">
        <v>30.45</v>
      </c>
      <c r="T337" s="171">
        <v>30</v>
      </c>
      <c r="U337" s="171">
        <v>29.77</v>
      </c>
      <c r="V337" s="171">
        <v>28.150000000000002</v>
      </c>
      <c r="W337" s="171">
        <v>26.8</v>
      </c>
      <c r="X337" s="171">
        <v>27.48</v>
      </c>
      <c r="Y337" s="171">
        <v>27.03</v>
      </c>
      <c r="Z337" s="171">
        <v>28.8</v>
      </c>
      <c r="AA337" s="171">
        <v>24.48</v>
      </c>
      <c r="AB337" s="171">
        <v>71</v>
      </c>
      <c r="AC337" s="171">
        <v>18.990000000000002</v>
      </c>
      <c r="AD337" s="171">
        <v>17.34</v>
      </c>
      <c r="AF337" s="171">
        <f t="shared" si="17"/>
        <v>2007</v>
      </c>
      <c r="AG337" s="171">
        <f t="shared" si="18"/>
        <v>20</v>
      </c>
      <c r="AH337" s="700">
        <f>SUMIF(D$3:$AA337,"&lt;="&amp;$AH$1)/COUNTIF(D$3:$AA337,"&lt;="&amp;$AH$1)</f>
        <v>28.223468154346811</v>
      </c>
    </row>
    <row r="338" spans="2:34" x14ac:dyDescent="0.25">
      <c r="B338" s="910">
        <v>39300</v>
      </c>
      <c r="C338" s="581">
        <f t="shared" si="16"/>
        <v>8</v>
      </c>
      <c r="D338" s="171">
        <v>22.740000000000002</v>
      </c>
      <c r="E338" s="171">
        <v>18.63</v>
      </c>
      <c r="F338" s="171">
        <v>16.23</v>
      </c>
      <c r="G338" s="171">
        <v>13.59</v>
      </c>
      <c r="H338" s="171">
        <v>15.44</v>
      </c>
      <c r="I338" s="171">
        <v>20</v>
      </c>
      <c r="J338" s="171">
        <v>23.02</v>
      </c>
      <c r="K338" s="171">
        <v>26.01</v>
      </c>
      <c r="L338" s="171">
        <v>31.01</v>
      </c>
      <c r="M338" s="171">
        <v>35</v>
      </c>
      <c r="N338" s="171">
        <v>50</v>
      </c>
      <c r="O338" s="171">
        <v>54.95</v>
      </c>
      <c r="P338" s="171">
        <v>50</v>
      </c>
      <c r="Q338" s="171">
        <v>71</v>
      </c>
      <c r="R338" s="171">
        <v>69.960000000000008</v>
      </c>
      <c r="S338" s="171">
        <v>43</v>
      </c>
      <c r="T338" s="171">
        <v>43</v>
      </c>
      <c r="U338" s="171">
        <v>38</v>
      </c>
      <c r="V338" s="171">
        <v>32.090000000000003</v>
      </c>
      <c r="W338" s="171">
        <v>30.07</v>
      </c>
      <c r="X338" s="171">
        <v>33</v>
      </c>
      <c r="Y338" s="171">
        <v>30</v>
      </c>
      <c r="Z338" s="171">
        <v>30.52</v>
      </c>
      <c r="AA338" s="171">
        <v>26.93</v>
      </c>
      <c r="AB338" s="171">
        <v>71</v>
      </c>
      <c r="AC338" s="171">
        <v>23.02</v>
      </c>
      <c r="AD338" s="171">
        <v>19.57</v>
      </c>
      <c r="AF338" s="171">
        <f t="shared" si="17"/>
        <v>2007</v>
      </c>
      <c r="AG338" s="171">
        <f t="shared" si="18"/>
        <v>17</v>
      </c>
      <c r="AH338" s="700">
        <f>SUMIF(D$3:$AA338,"&lt;="&amp;$AH$1)/COUNTIF(D$3:$AA338,"&lt;="&amp;$AH$1)</f>
        <v>28.214781199351698</v>
      </c>
    </row>
    <row r="339" spans="2:34" x14ac:dyDescent="0.25">
      <c r="B339" s="910">
        <v>39301</v>
      </c>
      <c r="C339" s="581">
        <f t="shared" si="16"/>
        <v>8</v>
      </c>
      <c r="D339" s="171">
        <v>24.5</v>
      </c>
      <c r="E339" s="171">
        <v>21.54</v>
      </c>
      <c r="F339" s="171">
        <v>17.920000000000002</v>
      </c>
      <c r="G339" s="171">
        <v>14.4</v>
      </c>
      <c r="H339" s="171">
        <v>17.75</v>
      </c>
      <c r="I339" s="171">
        <v>21</v>
      </c>
      <c r="J339" s="171">
        <v>23.25</v>
      </c>
      <c r="K339" s="171">
        <v>28.5</v>
      </c>
      <c r="L339" s="171">
        <v>32</v>
      </c>
      <c r="M339" s="171">
        <v>39.6</v>
      </c>
      <c r="N339" s="171">
        <v>49.63</v>
      </c>
      <c r="O339" s="171">
        <v>52.53</v>
      </c>
      <c r="P339" s="171">
        <v>48.18</v>
      </c>
      <c r="Q339" s="171">
        <v>44.79</v>
      </c>
      <c r="R339" s="171">
        <v>42.17</v>
      </c>
      <c r="S339" s="171">
        <v>40</v>
      </c>
      <c r="T339" s="171">
        <v>37.25</v>
      </c>
      <c r="U339" s="171">
        <v>35</v>
      </c>
      <c r="V339" s="171">
        <v>30.09</v>
      </c>
      <c r="W339" s="171">
        <v>28.07</v>
      </c>
      <c r="X339" s="171">
        <v>28.42</v>
      </c>
      <c r="Y339" s="171">
        <v>28.02</v>
      </c>
      <c r="Z339" s="171">
        <v>30.5</v>
      </c>
      <c r="AA339" s="171">
        <v>25.32</v>
      </c>
      <c r="AB339" s="171">
        <v>52.53</v>
      </c>
      <c r="AC339" s="171">
        <v>23.25</v>
      </c>
      <c r="AD339" s="171">
        <v>20.71</v>
      </c>
      <c r="AF339" s="171">
        <f t="shared" si="17"/>
        <v>2007</v>
      </c>
      <c r="AG339" s="171">
        <f t="shared" si="18"/>
        <v>20</v>
      </c>
      <c r="AH339" s="700">
        <f>SUMIF(D$3:$AA339,"&lt;="&amp;$AH$1)/COUNTIF(D$3:$AA339,"&lt;="&amp;$AH$1)</f>
        <v>28.215012675731732</v>
      </c>
    </row>
    <row r="340" spans="2:34" x14ac:dyDescent="0.25">
      <c r="B340" s="910">
        <v>39302</v>
      </c>
      <c r="C340" s="581">
        <f t="shared" si="16"/>
        <v>8</v>
      </c>
      <c r="D340" s="171">
        <v>21.48</v>
      </c>
      <c r="E340" s="171">
        <v>17.09</v>
      </c>
      <c r="F340" s="171">
        <v>14.05</v>
      </c>
      <c r="G340" s="171">
        <v>14</v>
      </c>
      <c r="H340" s="171">
        <v>15.3</v>
      </c>
      <c r="I340" s="171">
        <v>20</v>
      </c>
      <c r="J340" s="171">
        <v>21.5</v>
      </c>
      <c r="K340" s="171">
        <v>27</v>
      </c>
      <c r="L340" s="171">
        <v>30</v>
      </c>
      <c r="M340" s="171">
        <v>36.81</v>
      </c>
      <c r="N340" s="171">
        <v>43.01</v>
      </c>
      <c r="O340" s="171">
        <v>50</v>
      </c>
      <c r="P340" s="171">
        <v>42.160000000000004</v>
      </c>
      <c r="Q340" s="171">
        <v>40.5</v>
      </c>
      <c r="R340" s="171">
        <v>39.96</v>
      </c>
      <c r="S340" s="171">
        <v>35.119999999999997</v>
      </c>
      <c r="T340" s="171">
        <v>32.99</v>
      </c>
      <c r="U340" s="171">
        <v>30.990000000000002</v>
      </c>
      <c r="V340" s="171">
        <v>30.07</v>
      </c>
      <c r="W340" s="171">
        <v>27.07</v>
      </c>
      <c r="X340" s="171">
        <v>26.830000000000002</v>
      </c>
      <c r="Y340" s="171">
        <v>26.150000000000002</v>
      </c>
      <c r="Z340" s="171">
        <v>27</v>
      </c>
      <c r="AA340" s="171">
        <v>22.93</v>
      </c>
      <c r="AB340" s="171">
        <v>50</v>
      </c>
      <c r="AC340" s="171">
        <v>27</v>
      </c>
      <c r="AD340" s="171">
        <v>18.29</v>
      </c>
      <c r="AF340" s="171">
        <f t="shared" si="17"/>
        <v>2007</v>
      </c>
      <c r="AG340" s="171">
        <f t="shared" si="18"/>
        <v>22</v>
      </c>
      <c r="AH340" s="700">
        <f>SUMIF(D$3:$AA340,"&lt;="&amp;$AH$1)/COUNTIF(D$3:$AA340,"&lt;="&amp;$AH$1)</f>
        <v>28.21002980967668</v>
      </c>
    </row>
    <row r="341" spans="2:34" x14ac:dyDescent="0.25">
      <c r="B341" s="910">
        <v>39303</v>
      </c>
      <c r="C341" s="581">
        <f t="shared" si="16"/>
        <v>8</v>
      </c>
      <c r="D341" s="171">
        <v>21.98</v>
      </c>
      <c r="E341" s="171">
        <v>19</v>
      </c>
      <c r="F341" s="171">
        <v>15</v>
      </c>
      <c r="G341" s="171">
        <v>12.9</v>
      </c>
      <c r="H341" s="171">
        <v>14.6</v>
      </c>
      <c r="I341" s="171">
        <v>20.22</v>
      </c>
      <c r="J341" s="171">
        <v>21.400000000000002</v>
      </c>
      <c r="K341" s="171">
        <v>27.61</v>
      </c>
      <c r="L341" s="171">
        <v>29</v>
      </c>
      <c r="M341" s="171">
        <v>36.96</v>
      </c>
      <c r="N341" s="171">
        <v>40</v>
      </c>
      <c r="O341" s="171">
        <v>50</v>
      </c>
      <c r="P341" s="171">
        <v>40</v>
      </c>
      <c r="Q341" s="171">
        <v>44.96</v>
      </c>
      <c r="R341" s="171">
        <v>40</v>
      </c>
      <c r="S341" s="171">
        <v>34.86</v>
      </c>
      <c r="T341" s="171">
        <v>32.950000000000003</v>
      </c>
      <c r="U341" s="171">
        <v>30.060000000000002</v>
      </c>
      <c r="V341" s="171">
        <v>30</v>
      </c>
      <c r="W341" s="171">
        <v>27</v>
      </c>
      <c r="X341" s="171">
        <v>27.740000000000002</v>
      </c>
      <c r="Y341" s="171">
        <v>26</v>
      </c>
      <c r="Z341" s="171">
        <v>26.080000000000002</v>
      </c>
      <c r="AA341" s="171">
        <v>21.5</v>
      </c>
      <c r="AB341" s="171">
        <v>50</v>
      </c>
      <c r="AC341" s="171">
        <v>27</v>
      </c>
      <c r="AD341" s="171">
        <v>18.330000000000002</v>
      </c>
      <c r="AF341" s="171">
        <f t="shared" si="17"/>
        <v>2007</v>
      </c>
      <c r="AG341" s="171">
        <f t="shared" si="18"/>
        <v>22</v>
      </c>
      <c r="AH341" s="700">
        <f>SUMIF(D$3:$AA341,"&lt;="&amp;$AH$1)/COUNTIF(D$3:$AA341,"&lt;="&amp;$AH$1)</f>
        <v>28.204152407027152</v>
      </c>
    </row>
    <row r="342" spans="2:34" x14ac:dyDescent="0.25">
      <c r="B342" s="910">
        <v>39304</v>
      </c>
      <c r="C342" s="581">
        <f t="shared" si="16"/>
        <v>8</v>
      </c>
      <c r="D342" s="171">
        <v>19.73</v>
      </c>
      <c r="E342" s="171">
        <v>16.14</v>
      </c>
      <c r="F342" s="171">
        <v>13</v>
      </c>
      <c r="G342" s="171">
        <v>10.76</v>
      </c>
      <c r="H342" s="171">
        <v>9.5500000000000007</v>
      </c>
      <c r="I342" s="171">
        <v>17.25</v>
      </c>
      <c r="J342" s="171">
        <v>21</v>
      </c>
      <c r="K342" s="171">
        <v>27.6</v>
      </c>
      <c r="L342" s="171">
        <v>33</v>
      </c>
      <c r="M342" s="171">
        <v>36.200000000000003</v>
      </c>
      <c r="N342" s="171">
        <v>43</v>
      </c>
      <c r="O342" s="171">
        <v>53.72</v>
      </c>
      <c r="P342" s="171">
        <v>45.58</v>
      </c>
      <c r="Q342" s="171">
        <v>43</v>
      </c>
      <c r="R342" s="171">
        <v>38.1</v>
      </c>
      <c r="S342" s="171">
        <v>33.4</v>
      </c>
      <c r="T342" s="171">
        <v>32.99</v>
      </c>
      <c r="U342" s="171">
        <v>30.92</v>
      </c>
      <c r="V342" s="171">
        <v>30.96</v>
      </c>
      <c r="W342" s="171">
        <v>30</v>
      </c>
      <c r="X342" s="171">
        <v>28.97</v>
      </c>
      <c r="Y342" s="171">
        <v>28</v>
      </c>
      <c r="Z342" s="171">
        <v>26.330000000000002</v>
      </c>
      <c r="AA342" s="171">
        <v>24.07</v>
      </c>
      <c r="AB342" s="171">
        <v>53.72</v>
      </c>
      <c r="AC342" s="171">
        <v>21</v>
      </c>
      <c r="AD342" s="171">
        <v>16.440000000000001</v>
      </c>
      <c r="AF342" s="171">
        <f t="shared" si="17"/>
        <v>2007</v>
      </c>
      <c r="AG342" s="171">
        <f t="shared" si="18"/>
        <v>20</v>
      </c>
      <c r="AH342" s="700">
        <f>SUMIF(D$3:$AA342,"&lt;="&amp;$AH$1)/COUNTIF(D$3:$AA342,"&lt;="&amp;$AH$1)</f>
        <v>28.191408130819898</v>
      </c>
    </row>
    <row r="343" spans="2:34" x14ac:dyDescent="0.25">
      <c r="B343" s="910">
        <v>39307</v>
      </c>
      <c r="C343" s="581">
        <f t="shared" si="16"/>
        <v>8</v>
      </c>
      <c r="D343" s="171">
        <v>29.13</v>
      </c>
      <c r="E343" s="171">
        <v>22</v>
      </c>
      <c r="F343" s="171">
        <v>14.02</v>
      </c>
      <c r="G343" s="171">
        <v>12.27</v>
      </c>
      <c r="H343" s="171">
        <v>13.02</v>
      </c>
      <c r="I343" s="171">
        <v>16.93</v>
      </c>
      <c r="J343" s="171">
        <v>20</v>
      </c>
      <c r="K343" s="171">
        <v>24.57</v>
      </c>
      <c r="L343" s="171">
        <v>36.97</v>
      </c>
      <c r="M343" s="171">
        <v>45.01</v>
      </c>
      <c r="N343" s="171">
        <v>51</v>
      </c>
      <c r="O343" s="171">
        <v>60.56</v>
      </c>
      <c r="P343" s="171">
        <v>51</v>
      </c>
      <c r="Q343" s="171">
        <v>50</v>
      </c>
      <c r="R343" s="171">
        <v>46.9</v>
      </c>
      <c r="S343" s="171">
        <v>43.99</v>
      </c>
      <c r="T343" s="171">
        <v>41.89</v>
      </c>
      <c r="U343" s="171">
        <v>41.56</v>
      </c>
      <c r="V343" s="171">
        <v>41</v>
      </c>
      <c r="W343" s="171">
        <v>37.99</v>
      </c>
      <c r="X343" s="171">
        <v>38.44</v>
      </c>
      <c r="Y343" s="171">
        <v>39</v>
      </c>
      <c r="Z343" s="171">
        <v>36.06</v>
      </c>
      <c r="AA343" s="171">
        <v>29</v>
      </c>
      <c r="AB343" s="171">
        <v>60.56</v>
      </c>
      <c r="AC343" s="171">
        <v>24.57</v>
      </c>
      <c r="AD343" s="171">
        <v>19.55</v>
      </c>
      <c r="AF343" s="171">
        <f t="shared" si="17"/>
        <v>2007</v>
      </c>
      <c r="AG343" s="171">
        <f t="shared" si="18"/>
        <v>17</v>
      </c>
      <c r="AH343" s="700">
        <f>SUMIF(D$3:$AA343,"&lt;="&amp;$AH$1)/COUNTIF(D$3:$AA343,"&lt;="&amp;$AH$1)</f>
        <v>28.194710407239828</v>
      </c>
    </row>
    <row r="344" spans="2:34" x14ac:dyDescent="0.25">
      <c r="B344" s="910">
        <v>39308</v>
      </c>
      <c r="C344" s="581">
        <f t="shared" si="16"/>
        <v>8</v>
      </c>
      <c r="D344" s="171">
        <v>24.580000000000002</v>
      </c>
      <c r="E344" s="171">
        <v>21.13</v>
      </c>
      <c r="F344" s="171">
        <v>18.59</v>
      </c>
      <c r="G344" s="171">
        <v>17.25</v>
      </c>
      <c r="H344" s="171">
        <v>19.05</v>
      </c>
      <c r="I344" s="171">
        <v>24</v>
      </c>
      <c r="J344" s="171">
        <v>25.7</v>
      </c>
      <c r="K344" s="171">
        <v>31.75</v>
      </c>
      <c r="L344" s="171">
        <v>39.79</v>
      </c>
      <c r="M344" s="171">
        <v>46.67</v>
      </c>
      <c r="N344" s="171">
        <v>54.21</v>
      </c>
      <c r="O344" s="171">
        <v>63</v>
      </c>
      <c r="P344" s="171">
        <v>54.2</v>
      </c>
      <c r="Q344" s="171">
        <v>49.97</v>
      </c>
      <c r="R344" s="171">
        <v>46.09</v>
      </c>
      <c r="S344" s="171">
        <v>43.28</v>
      </c>
      <c r="T344" s="171">
        <v>40.31</v>
      </c>
      <c r="U344" s="171">
        <v>38.6</v>
      </c>
      <c r="V344" s="171">
        <v>38.090000000000003</v>
      </c>
      <c r="W344" s="171">
        <v>35.020000000000003</v>
      </c>
      <c r="X344" s="171">
        <v>32.08</v>
      </c>
      <c r="Y344" s="171">
        <v>32.06</v>
      </c>
      <c r="Z344" s="171">
        <v>32.049999999999997</v>
      </c>
      <c r="AA344" s="171">
        <v>29.11</v>
      </c>
      <c r="AB344" s="171">
        <v>63</v>
      </c>
      <c r="AC344" s="171">
        <v>25.7</v>
      </c>
      <c r="AD344" s="171">
        <v>22.43</v>
      </c>
      <c r="AF344" s="171">
        <f t="shared" si="17"/>
        <v>2007</v>
      </c>
      <c r="AG344" s="171">
        <f t="shared" si="18"/>
        <v>17</v>
      </c>
      <c r="AH344" s="700">
        <f>SUMIF(D$3:$AA344,"&lt;="&amp;$AH$1)/COUNTIF(D$3:$AA344,"&lt;="&amp;$AH$1)</f>
        <v>28.199184133423493</v>
      </c>
    </row>
    <row r="345" spans="2:34" x14ac:dyDescent="0.25">
      <c r="B345" s="910">
        <v>39309</v>
      </c>
      <c r="C345" s="581">
        <f t="shared" si="16"/>
        <v>8</v>
      </c>
      <c r="D345" s="171">
        <v>22.080000000000002</v>
      </c>
      <c r="E345" s="171">
        <v>20.04</v>
      </c>
      <c r="F345" s="171">
        <v>16.09</v>
      </c>
      <c r="G345" s="171">
        <v>11.08</v>
      </c>
      <c r="H345" s="171">
        <v>9</v>
      </c>
      <c r="I345" s="171">
        <v>15.98</v>
      </c>
      <c r="J345" s="171">
        <v>18.5</v>
      </c>
      <c r="K345" s="171">
        <v>28.740000000000002</v>
      </c>
      <c r="L345" s="171">
        <v>32</v>
      </c>
      <c r="M345" s="171">
        <v>36.700000000000003</v>
      </c>
      <c r="N345" s="171">
        <v>46</v>
      </c>
      <c r="O345" s="171">
        <v>51</v>
      </c>
      <c r="P345" s="171">
        <v>45.01</v>
      </c>
      <c r="Q345" s="171">
        <v>50</v>
      </c>
      <c r="R345" s="171">
        <v>50</v>
      </c>
      <c r="S345" s="171">
        <v>46</v>
      </c>
      <c r="T345" s="171">
        <v>36.380000000000003</v>
      </c>
      <c r="U345" s="171">
        <v>31</v>
      </c>
      <c r="V345" s="171">
        <v>28.98</v>
      </c>
      <c r="W345" s="171">
        <v>28</v>
      </c>
      <c r="X345" s="171">
        <v>28.02</v>
      </c>
      <c r="Y345" s="171">
        <v>29</v>
      </c>
      <c r="Z345" s="171">
        <v>27.07</v>
      </c>
      <c r="AA345" s="171">
        <v>24.1</v>
      </c>
      <c r="AB345" s="171">
        <v>51</v>
      </c>
      <c r="AC345" s="171">
        <v>18.5</v>
      </c>
      <c r="AD345" s="171">
        <v>17.11</v>
      </c>
      <c r="AF345" s="171">
        <f t="shared" si="17"/>
        <v>2007</v>
      </c>
      <c r="AG345" s="171">
        <f t="shared" si="18"/>
        <v>18</v>
      </c>
      <c r="AH345" s="700">
        <f>SUMIF(D$3:$AA345,"&lt;="&amp;$AH$1)/COUNTIF(D$3:$AA345,"&lt;="&amp;$AH$1)</f>
        <v>28.18463299663301</v>
      </c>
    </row>
    <row r="346" spans="2:34" x14ac:dyDescent="0.25">
      <c r="B346" s="910">
        <v>39310</v>
      </c>
      <c r="C346" s="581">
        <f t="shared" si="16"/>
        <v>8</v>
      </c>
      <c r="D346" s="171">
        <v>23.25</v>
      </c>
      <c r="E346" s="171">
        <v>16.330000000000002</v>
      </c>
      <c r="F346" s="171">
        <v>14.08</v>
      </c>
      <c r="G346" s="171">
        <v>11.09</v>
      </c>
      <c r="H346" s="171">
        <v>10.450000000000001</v>
      </c>
      <c r="I346" s="171">
        <v>16.5</v>
      </c>
      <c r="J346" s="171">
        <v>21</v>
      </c>
      <c r="K346" s="171">
        <v>25.740000000000002</v>
      </c>
      <c r="L346" s="171">
        <v>30</v>
      </c>
      <c r="M346" s="171">
        <v>34.07</v>
      </c>
      <c r="N346" s="171">
        <v>38.93</v>
      </c>
      <c r="O346" s="171">
        <v>49.2</v>
      </c>
      <c r="P346" s="171">
        <v>42.01</v>
      </c>
      <c r="Q346" s="171">
        <v>40.980000000000004</v>
      </c>
      <c r="R346" s="171">
        <v>38.630000000000003</v>
      </c>
      <c r="S346" s="171">
        <v>35</v>
      </c>
      <c r="T346" s="171">
        <v>32.65</v>
      </c>
      <c r="U346" s="171">
        <v>31.6</v>
      </c>
      <c r="V346" s="171">
        <v>31.080000000000002</v>
      </c>
      <c r="W346" s="171">
        <v>30</v>
      </c>
      <c r="X346" s="171">
        <v>30.03</v>
      </c>
      <c r="Y346" s="171">
        <v>30.01</v>
      </c>
      <c r="Z346" s="171">
        <v>28.13</v>
      </c>
      <c r="AA346" s="171">
        <v>23.61</v>
      </c>
      <c r="AB346" s="171">
        <v>49.2</v>
      </c>
      <c r="AC346" s="171">
        <v>21</v>
      </c>
      <c r="AD346" s="171">
        <v>17.04</v>
      </c>
      <c r="AF346" s="171">
        <f t="shared" si="17"/>
        <v>2007</v>
      </c>
      <c r="AG346" s="171">
        <f t="shared" si="18"/>
        <v>23</v>
      </c>
      <c r="AH346" s="700">
        <f>SUMIF(D$3:$AA346,"&lt;="&amp;$AH$1)/COUNTIF(D$3:$AA346,"&lt;="&amp;$AH$1)</f>
        <v>28.181712818222433</v>
      </c>
    </row>
    <row r="347" spans="2:34" x14ac:dyDescent="0.25">
      <c r="B347" s="910">
        <v>39311</v>
      </c>
      <c r="C347" s="581">
        <f t="shared" si="16"/>
        <v>8</v>
      </c>
      <c r="D347" s="171">
        <v>22.44</v>
      </c>
      <c r="E347" s="171">
        <v>19.3</v>
      </c>
      <c r="F347" s="171">
        <v>16.7</v>
      </c>
      <c r="G347" s="171">
        <v>15.25</v>
      </c>
      <c r="H347" s="171">
        <v>17</v>
      </c>
      <c r="I347" s="171">
        <v>22.82</v>
      </c>
      <c r="J347" s="171">
        <v>24</v>
      </c>
      <c r="K347" s="171">
        <v>29.76</v>
      </c>
      <c r="L347" s="171">
        <v>37.1</v>
      </c>
      <c r="M347" s="171">
        <v>44.17</v>
      </c>
      <c r="N347" s="171">
        <v>51</v>
      </c>
      <c r="O347" s="171">
        <v>57</v>
      </c>
      <c r="P347" s="171">
        <v>49.2</v>
      </c>
      <c r="Q347" s="171">
        <v>44.96</v>
      </c>
      <c r="R347" s="171">
        <v>40</v>
      </c>
      <c r="S347" s="171">
        <v>36.9</v>
      </c>
      <c r="T347" s="171">
        <v>34.94</v>
      </c>
      <c r="U347" s="171">
        <v>35</v>
      </c>
      <c r="V347" s="171">
        <v>32.700000000000003</v>
      </c>
      <c r="W347" s="171">
        <v>31</v>
      </c>
      <c r="X347" s="171">
        <v>33.770000000000003</v>
      </c>
      <c r="Y347" s="171">
        <v>32.11</v>
      </c>
      <c r="Z347" s="171">
        <v>30</v>
      </c>
      <c r="AA347" s="171">
        <v>31</v>
      </c>
      <c r="AB347" s="171">
        <v>57</v>
      </c>
      <c r="AC347" s="171">
        <v>24</v>
      </c>
      <c r="AD347" s="171">
        <v>21.06</v>
      </c>
      <c r="AF347" s="171">
        <f t="shared" si="17"/>
        <v>2007</v>
      </c>
      <c r="AG347" s="171">
        <f t="shared" si="18"/>
        <v>19</v>
      </c>
      <c r="AH347" s="700">
        <f>SUMIF(D$3:$AA347,"&lt;="&amp;$AH$1)/COUNTIF(D$3:$AA347,"&lt;="&amp;$AH$1)</f>
        <v>28.183122081387605</v>
      </c>
    </row>
    <row r="348" spans="2:34" x14ac:dyDescent="0.25">
      <c r="B348" s="910">
        <v>39314</v>
      </c>
      <c r="C348" s="581">
        <f t="shared" si="16"/>
        <v>8</v>
      </c>
      <c r="D348" s="171">
        <v>29.93</v>
      </c>
      <c r="E348" s="171">
        <v>22.02</v>
      </c>
      <c r="F348" s="171">
        <v>18.400000000000002</v>
      </c>
      <c r="G348" s="171">
        <v>16</v>
      </c>
      <c r="H348" s="171">
        <v>15.88</v>
      </c>
      <c r="I348" s="171">
        <v>23.14</v>
      </c>
      <c r="J348" s="171">
        <v>26</v>
      </c>
      <c r="K348" s="171">
        <v>36.520000000000003</v>
      </c>
      <c r="L348" s="171">
        <v>40.72</v>
      </c>
      <c r="M348" s="171">
        <v>48.370000000000005</v>
      </c>
      <c r="N348" s="171">
        <v>50</v>
      </c>
      <c r="O348" s="171">
        <v>71.850000000000009</v>
      </c>
      <c r="P348" s="171">
        <v>58.49</v>
      </c>
      <c r="Q348" s="171">
        <v>56.01</v>
      </c>
      <c r="R348" s="171">
        <v>51.82</v>
      </c>
      <c r="S348" s="171">
        <v>45</v>
      </c>
      <c r="T348" s="171">
        <v>42.9</v>
      </c>
      <c r="U348" s="171">
        <v>41</v>
      </c>
      <c r="V348" s="171">
        <v>39.06</v>
      </c>
      <c r="W348" s="171">
        <v>38.050000000000004</v>
      </c>
      <c r="X348" s="171">
        <v>35.04</v>
      </c>
      <c r="Y348" s="171">
        <v>39</v>
      </c>
      <c r="Z348" s="171">
        <v>33.619999999999997</v>
      </c>
      <c r="AA348" s="171">
        <v>31</v>
      </c>
      <c r="AB348" s="171">
        <v>71.850000000000009</v>
      </c>
      <c r="AC348" s="171">
        <v>26</v>
      </c>
      <c r="AD348" s="171">
        <v>22.8</v>
      </c>
      <c r="AF348" s="171">
        <f t="shared" si="17"/>
        <v>2007</v>
      </c>
      <c r="AG348" s="171">
        <f t="shared" si="18"/>
        <v>16</v>
      </c>
      <c r="AH348" s="700">
        <f>SUMIF(D$3:$AA348,"&lt;="&amp;$AH$1)/COUNTIF(D$3:$AA348,"&lt;="&amp;$AH$1)</f>
        <v>28.190755594947937</v>
      </c>
    </row>
    <row r="349" spans="2:34" x14ac:dyDescent="0.25">
      <c r="B349" s="910">
        <v>39315</v>
      </c>
      <c r="C349" s="581">
        <f t="shared" si="16"/>
        <v>8</v>
      </c>
      <c r="D349" s="171">
        <v>25</v>
      </c>
      <c r="E349" s="171">
        <v>22.12</v>
      </c>
      <c r="F349" s="171">
        <v>18.400000000000002</v>
      </c>
      <c r="G349" s="171">
        <v>18.400000000000002</v>
      </c>
      <c r="H349" s="171">
        <v>19.95</v>
      </c>
      <c r="I349" s="171">
        <v>24</v>
      </c>
      <c r="J349" s="171">
        <v>29</v>
      </c>
      <c r="K349" s="171">
        <v>34.01</v>
      </c>
      <c r="L349" s="171">
        <v>38.99</v>
      </c>
      <c r="M349" s="171">
        <v>46.67</v>
      </c>
      <c r="N349" s="171">
        <v>51</v>
      </c>
      <c r="O349" s="171">
        <v>67.81</v>
      </c>
      <c r="P349" s="171">
        <v>52.120000000000005</v>
      </c>
      <c r="Q349" s="171">
        <v>49.97</v>
      </c>
      <c r="R349" s="171">
        <v>47.01</v>
      </c>
      <c r="S349" s="171">
        <v>41.1</v>
      </c>
      <c r="T349" s="171">
        <v>37.01</v>
      </c>
      <c r="U349" s="171">
        <v>36</v>
      </c>
      <c r="V349" s="171">
        <v>34</v>
      </c>
      <c r="W349" s="171">
        <v>31.98</v>
      </c>
      <c r="X349" s="171">
        <v>33.97</v>
      </c>
      <c r="Y349" s="171">
        <v>32.450000000000003</v>
      </c>
      <c r="Z349" s="171">
        <v>31.04</v>
      </c>
      <c r="AA349" s="171">
        <v>25.25</v>
      </c>
      <c r="AB349" s="171">
        <v>67.81</v>
      </c>
      <c r="AC349" s="171">
        <v>29</v>
      </c>
      <c r="AD349" s="171">
        <v>22.77</v>
      </c>
      <c r="AF349" s="171">
        <f t="shared" si="17"/>
        <v>2007</v>
      </c>
      <c r="AG349" s="171">
        <f t="shared" si="18"/>
        <v>18</v>
      </c>
      <c r="AH349" s="700">
        <f>SUMIF(D$3:$AA349,"&lt;="&amp;$AH$1)/COUNTIF(D$3:$AA349,"&lt;="&amp;$AH$1)</f>
        <v>28.196325314500115</v>
      </c>
    </row>
    <row r="350" spans="2:34" x14ac:dyDescent="0.25">
      <c r="B350" s="910">
        <v>39316</v>
      </c>
      <c r="C350" s="581">
        <f t="shared" si="16"/>
        <v>8</v>
      </c>
      <c r="D350" s="171">
        <v>23.27</v>
      </c>
      <c r="E350" s="171">
        <v>19.3</v>
      </c>
      <c r="F350" s="171">
        <v>17.66</v>
      </c>
      <c r="G350" s="171">
        <v>17</v>
      </c>
      <c r="H350" s="171">
        <v>15.450000000000001</v>
      </c>
      <c r="I350" s="171">
        <v>22</v>
      </c>
      <c r="J350" s="171">
        <v>23.63</v>
      </c>
      <c r="K350" s="171">
        <v>30.64</v>
      </c>
      <c r="L350" s="171">
        <v>38.369999999999997</v>
      </c>
      <c r="M350" s="171">
        <v>46.76</v>
      </c>
      <c r="N350" s="171">
        <v>49.57</v>
      </c>
      <c r="O350" s="171">
        <v>62.06</v>
      </c>
      <c r="P350" s="171">
        <v>50</v>
      </c>
      <c r="Q350" s="171">
        <v>47.59</v>
      </c>
      <c r="R350" s="171">
        <v>44.56</v>
      </c>
      <c r="S350" s="171">
        <v>41</v>
      </c>
      <c r="T350" s="171">
        <v>38.18</v>
      </c>
      <c r="U350" s="171">
        <v>37.51</v>
      </c>
      <c r="V350" s="171">
        <v>35.75</v>
      </c>
      <c r="W350" s="171">
        <v>33.840000000000003</v>
      </c>
      <c r="X350" s="171">
        <v>32.5</v>
      </c>
      <c r="Y350" s="171">
        <v>33.01</v>
      </c>
      <c r="Z350" s="171">
        <v>31.07</v>
      </c>
      <c r="AA350" s="171">
        <v>26.09</v>
      </c>
      <c r="AB350" s="171">
        <v>62.06</v>
      </c>
      <c r="AC350" s="171">
        <v>23.63</v>
      </c>
      <c r="AD350" s="171">
        <v>20.55</v>
      </c>
      <c r="AF350" s="171">
        <f t="shared" si="17"/>
        <v>2007</v>
      </c>
      <c r="AG350" s="171">
        <f t="shared" si="18"/>
        <v>18</v>
      </c>
      <c r="AH350" s="700">
        <f>SUMIF(D$3:$AA350,"&lt;="&amp;$AH$1)/COUNTIF(D$3:$AA350,"&lt;="&amp;$AH$1)</f>
        <v>28.198245768300726</v>
      </c>
    </row>
    <row r="351" spans="2:34" x14ac:dyDescent="0.25">
      <c r="B351" s="910">
        <v>39317</v>
      </c>
      <c r="C351" s="581">
        <f t="shared" si="16"/>
        <v>8</v>
      </c>
      <c r="D351" s="171">
        <v>21</v>
      </c>
      <c r="E351" s="171">
        <v>17.09</v>
      </c>
      <c r="F351" s="171">
        <v>15.030000000000001</v>
      </c>
      <c r="G351" s="171">
        <v>14.83</v>
      </c>
      <c r="H351" s="171">
        <v>13.18</v>
      </c>
      <c r="I351" s="171">
        <v>19.400000000000002</v>
      </c>
      <c r="J351" s="171">
        <v>24.94</v>
      </c>
      <c r="K351" s="171">
        <v>31.18</v>
      </c>
      <c r="L351" s="171">
        <v>38</v>
      </c>
      <c r="M351" s="171">
        <v>42</v>
      </c>
      <c r="N351" s="171">
        <v>48.35</v>
      </c>
      <c r="O351" s="171">
        <v>59.99</v>
      </c>
      <c r="P351" s="171">
        <v>49</v>
      </c>
      <c r="Q351" s="171">
        <v>47</v>
      </c>
      <c r="R351" s="171">
        <v>45</v>
      </c>
      <c r="S351" s="171">
        <v>42</v>
      </c>
      <c r="T351" s="171">
        <v>39.54</v>
      </c>
      <c r="U351" s="171">
        <v>37.700000000000003</v>
      </c>
      <c r="V351" s="171">
        <v>34.54</v>
      </c>
      <c r="W351" s="171">
        <v>31.35</v>
      </c>
      <c r="X351" s="171">
        <v>31</v>
      </c>
      <c r="Y351" s="171">
        <v>33</v>
      </c>
      <c r="Z351" s="171">
        <v>28.650000000000002</v>
      </c>
      <c r="AA351" s="171">
        <v>31</v>
      </c>
      <c r="AB351" s="171">
        <v>59.99</v>
      </c>
      <c r="AC351" s="171">
        <v>24.94</v>
      </c>
      <c r="AD351" s="171">
        <v>19.559999999999999</v>
      </c>
      <c r="AF351" s="171">
        <f t="shared" si="17"/>
        <v>2007</v>
      </c>
      <c r="AG351" s="171">
        <f t="shared" si="18"/>
        <v>19</v>
      </c>
      <c r="AH351" s="700">
        <f>SUMIF(D$3:$AA351,"&lt;="&amp;$AH$1)/COUNTIF(D$3:$AA351,"&lt;="&amp;$AH$1)</f>
        <v>28.200361208406299</v>
      </c>
    </row>
    <row r="352" spans="2:34" x14ac:dyDescent="0.25">
      <c r="B352" s="910">
        <v>39318</v>
      </c>
      <c r="C352" s="581">
        <f t="shared" si="16"/>
        <v>8</v>
      </c>
      <c r="D352" s="171">
        <v>23.580000000000002</v>
      </c>
      <c r="E352" s="171">
        <v>21.64</v>
      </c>
      <c r="F352" s="171">
        <v>18.150000000000002</v>
      </c>
      <c r="G352" s="171">
        <v>17.45</v>
      </c>
      <c r="H352" s="171">
        <v>17.5</v>
      </c>
      <c r="I352" s="171">
        <v>21.900000000000002</v>
      </c>
      <c r="J352" s="171">
        <v>23.28</v>
      </c>
      <c r="K352" s="171">
        <v>30.18</v>
      </c>
      <c r="L352" s="171">
        <v>38</v>
      </c>
      <c r="M352" s="171">
        <v>40.89</v>
      </c>
      <c r="N352" s="171">
        <v>46.07</v>
      </c>
      <c r="O352" s="171">
        <v>54.92</v>
      </c>
      <c r="P352" s="171">
        <v>46.37</v>
      </c>
      <c r="Q352" s="171">
        <v>45.01</v>
      </c>
      <c r="R352" s="171">
        <v>41.980000000000004</v>
      </c>
      <c r="S352" s="171">
        <v>38.25</v>
      </c>
      <c r="T352" s="171">
        <v>36.340000000000003</v>
      </c>
      <c r="U352" s="171">
        <v>35.090000000000003</v>
      </c>
      <c r="V352" s="171">
        <v>33.15</v>
      </c>
      <c r="W352" s="171">
        <v>32.5</v>
      </c>
      <c r="X352" s="171">
        <v>33.020000000000003</v>
      </c>
      <c r="Y352" s="171">
        <v>33.19</v>
      </c>
      <c r="Z352" s="171">
        <v>31</v>
      </c>
      <c r="AA352" s="171">
        <v>27.01</v>
      </c>
      <c r="AB352" s="171">
        <v>54.92</v>
      </c>
      <c r="AC352" s="171">
        <v>23.28</v>
      </c>
      <c r="AD352" s="171">
        <v>21.31</v>
      </c>
      <c r="AF352" s="171">
        <f t="shared" si="17"/>
        <v>2007</v>
      </c>
      <c r="AG352" s="171">
        <f t="shared" si="18"/>
        <v>20</v>
      </c>
      <c r="AH352" s="700">
        <f>SUMIF(D$3:$AA352,"&lt;="&amp;$AH$1)/COUNTIF(D$3:$AA352,"&lt;="&amp;$AH$1)</f>
        <v>28.206920226678278</v>
      </c>
    </row>
    <row r="353" spans="2:34" x14ac:dyDescent="0.25">
      <c r="B353" s="910">
        <v>39321</v>
      </c>
      <c r="C353" s="581">
        <f t="shared" si="16"/>
        <v>8</v>
      </c>
      <c r="D353" s="171">
        <v>23.990000000000002</v>
      </c>
      <c r="E353" s="171">
        <v>19.68</v>
      </c>
      <c r="F353" s="171">
        <v>14.92</v>
      </c>
      <c r="G353" s="171">
        <v>9.98</v>
      </c>
      <c r="H353" s="171">
        <v>15</v>
      </c>
      <c r="I353" s="171">
        <v>19.72</v>
      </c>
      <c r="J353" s="171">
        <v>26.310000000000002</v>
      </c>
      <c r="K353" s="171">
        <v>35.910000000000004</v>
      </c>
      <c r="L353" s="171">
        <v>42.910000000000004</v>
      </c>
      <c r="M353" s="171">
        <v>45.39</v>
      </c>
      <c r="N353" s="171">
        <v>48.01</v>
      </c>
      <c r="O353" s="171">
        <v>51.56</v>
      </c>
      <c r="P353" s="171">
        <v>51.01</v>
      </c>
      <c r="Q353" s="171">
        <v>48.410000000000004</v>
      </c>
      <c r="R353" s="171">
        <v>45.99</v>
      </c>
      <c r="S353" s="171">
        <v>44.03</v>
      </c>
      <c r="T353" s="171">
        <v>43.07</v>
      </c>
      <c r="U353" s="171">
        <v>42.410000000000004</v>
      </c>
      <c r="V353" s="171">
        <v>40.11</v>
      </c>
      <c r="W353" s="171">
        <v>35</v>
      </c>
      <c r="X353" s="171">
        <v>36</v>
      </c>
      <c r="Y353" s="171">
        <v>38.06</v>
      </c>
      <c r="Z353" s="171">
        <v>35.01</v>
      </c>
      <c r="AA353" s="171">
        <v>30.76</v>
      </c>
      <c r="AB353" s="171">
        <v>51.56</v>
      </c>
      <c r="AC353" s="171">
        <v>26.310000000000002</v>
      </c>
      <c r="AD353" s="171">
        <v>20.05</v>
      </c>
      <c r="AF353" s="171">
        <f t="shared" si="17"/>
        <v>2007</v>
      </c>
      <c r="AG353" s="171">
        <f t="shared" si="18"/>
        <v>15</v>
      </c>
      <c r="AH353" s="700">
        <f>SUMIF(D$3:$AA353,"&lt;="&amp;$AH$1)/COUNTIF(D$3:$AA353,"&lt;="&amp;$AH$1)</f>
        <v>28.206867260482277</v>
      </c>
    </row>
    <row r="354" spans="2:34" x14ac:dyDescent="0.25">
      <c r="B354" s="910">
        <v>39322</v>
      </c>
      <c r="C354" s="581">
        <f t="shared" si="16"/>
        <v>8</v>
      </c>
      <c r="D354" s="171">
        <v>21.96</v>
      </c>
      <c r="E354" s="171">
        <v>19.95</v>
      </c>
      <c r="F354" s="171">
        <v>16.8</v>
      </c>
      <c r="G354" s="171">
        <v>15.91</v>
      </c>
      <c r="H354" s="171">
        <v>15.870000000000001</v>
      </c>
      <c r="I354" s="171">
        <v>21</v>
      </c>
      <c r="J354" s="171">
        <v>23</v>
      </c>
      <c r="K354" s="171">
        <v>31.92</v>
      </c>
      <c r="L354" s="171">
        <v>40.99</v>
      </c>
      <c r="M354" s="171">
        <v>48</v>
      </c>
      <c r="N354" s="171">
        <v>51</v>
      </c>
      <c r="O354" s="171">
        <v>55.93</v>
      </c>
      <c r="P354" s="171">
        <v>52</v>
      </c>
      <c r="Q354" s="171">
        <v>50.28</v>
      </c>
      <c r="R354" s="171">
        <v>49.01</v>
      </c>
      <c r="S354" s="171">
        <v>46.550000000000004</v>
      </c>
      <c r="T354" s="171">
        <v>40.64</v>
      </c>
      <c r="U354" s="171">
        <v>38.590000000000003</v>
      </c>
      <c r="V354" s="171">
        <v>37.18</v>
      </c>
      <c r="W354" s="171">
        <v>34</v>
      </c>
      <c r="X354" s="171">
        <v>35.369999999999997</v>
      </c>
      <c r="Y354" s="171">
        <v>35.950000000000003</v>
      </c>
      <c r="Z354" s="171">
        <v>34.020000000000003</v>
      </c>
      <c r="AA354" s="171">
        <v>27.080000000000002</v>
      </c>
      <c r="AB354" s="171">
        <v>55.93</v>
      </c>
      <c r="AC354" s="171">
        <v>23</v>
      </c>
      <c r="AD354" s="171">
        <v>20.2</v>
      </c>
      <c r="AF354" s="171">
        <f t="shared" si="17"/>
        <v>2007</v>
      </c>
      <c r="AG354" s="171">
        <f t="shared" si="18"/>
        <v>17</v>
      </c>
      <c r="AH354" s="700">
        <f>SUMIF(D$3:$AA354,"&lt;="&amp;$AH$1)/COUNTIF(D$3:$AA354,"&lt;="&amp;$AH$1)</f>
        <v>28.209186147186127</v>
      </c>
    </row>
    <row r="355" spans="2:34" x14ac:dyDescent="0.25">
      <c r="B355" s="910">
        <v>39323</v>
      </c>
      <c r="C355" s="581">
        <f t="shared" si="16"/>
        <v>8</v>
      </c>
      <c r="D355" s="171">
        <v>24.25</v>
      </c>
      <c r="E355" s="171">
        <v>21.37</v>
      </c>
      <c r="F355" s="171">
        <v>19</v>
      </c>
      <c r="G355" s="171">
        <v>17.850000000000001</v>
      </c>
      <c r="H355" s="171">
        <v>17.3</v>
      </c>
      <c r="I355" s="171">
        <v>25</v>
      </c>
      <c r="J355" s="171">
        <v>27</v>
      </c>
      <c r="K355" s="171">
        <v>35.26</v>
      </c>
      <c r="L355" s="171">
        <v>40.6</v>
      </c>
      <c r="M355" s="171">
        <v>45</v>
      </c>
      <c r="N355" s="171">
        <v>49.68</v>
      </c>
      <c r="O355" s="171">
        <v>61.730000000000004</v>
      </c>
      <c r="P355" s="171">
        <v>54.03</v>
      </c>
      <c r="Q355" s="171">
        <v>50.86</v>
      </c>
      <c r="R355" s="171">
        <v>48</v>
      </c>
      <c r="S355" s="171">
        <v>45.34</v>
      </c>
      <c r="T355" s="171">
        <v>42.07</v>
      </c>
      <c r="U355" s="171">
        <v>40</v>
      </c>
      <c r="V355" s="171">
        <v>38.07</v>
      </c>
      <c r="W355" s="171">
        <v>36</v>
      </c>
      <c r="X355" s="171">
        <v>36.19</v>
      </c>
      <c r="Y355" s="171">
        <v>36.07</v>
      </c>
      <c r="Z355" s="171">
        <v>33.730000000000004</v>
      </c>
      <c r="AA355" s="171">
        <v>27.47</v>
      </c>
      <c r="AB355" s="171">
        <v>61.730000000000004</v>
      </c>
      <c r="AC355" s="171">
        <v>27</v>
      </c>
      <c r="AD355" s="171">
        <v>22.41</v>
      </c>
      <c r="AF355" s="171">
        <f t="shared" si="17"/>
        <v>2007</v>
      </c>
      <c r="AG355" s="171">
        <f t="shared" si="18"/>
        <v>17</v>
      </c>
      <c r="AH355" s="700">
        <f>SUMIF(D$3:$AA355,"&lt;="&amp;$AH$1)/COUNTIF(D$3:$AA355,"&lt;="&amp;$AH$1)</f>
        <v>28.217310761268049</v>
      </c>
    </row>
    <row r="356" spans="2:34" x14ac:dyDescent="0.25">
      <c r="B356" s="910">
        <v>39324</v>
      </c>
      <c r="C356" s="581">
        <f t="shared" si="16"/>
        <v>8</v>
      </c>
      <c r="D356" s="171">
        <v>25.53</v>
      </c>
      <c r="E356" s="171">
        <v>22.95</v>
      </c>
      <c r="F356" s="171">
        <v>20.93</v>
      </c>
      <c r="G356" s="171">
        <v>18.100000000000001</v>
      </c>
      <c r="H356" s="171">
        <v>18.41</v>
      </c>
      <c r="I356" s="171">
        <v>24</v>
      </c>
      <c r="J356" s="171">
        <v>28</v>
      </c>
      <c r="K356" s="171">
        <v>34.840000000000003</v>
      </c>
      <c r="L356" s="171">
        <v>40</v>
      </c>
      <c r="M356" s="171">
        <v>43.95</v>
      </c>
      <c r="N356" s="171">
        <v>48.32</v>
      </c>
      <c r="O356" s="171">
        <v>59.730000000000004</v>
      </c>
      <c r="P356" s="171">
        <v>48.6</v>
      </c>
      <c r="Q356" s="171">
        <v>45.92</v>
      </c>
      <c r="R356" s="171">
        <v>42.94</v>
      </c>
      <c r="S356" s="171">
        <v>42.04</v>
      </c>
      <c r="T356" s="171">
        <v>38.76</v>
      </c>
      <c r="U356" s="171">
        <v>34.950000000000003</v>
      </c>
      <c r="V356" s="171">
        <v>35.200000000000003</v>
      </c>
      <c r="W356" s="171">
        <v>32.01</v>
      </c>
      <c r="X356" s="171">
        <v>36.58</v>
      </c>
      <c r="Y356" s="171">
        <v>33.31</v>
      </c>
      <c r="Z356" s="171">
        <v>30.07</v>
      </c>
      <c r="AA356" s="171">
        <v>26.63</v>
      </c>
      <c r="AB356" s="171">
        <v>59.730000000000004</v>
      </c>
      <c r="AC356" s="171">
        <v>28</v>
      </c>
      <c r="AD356" s="171">
        <v>23.07</v>
      </c>
      <c r="AF356" s="171">
        <f t="shared" si="17"/>
        <v>2007</v>
      </c>
      <c r="AG356" s="171">
        <f t="shared" si="18"/>
        <v>18</v>
      </c>
      <c r="AH356" s="700">
        <f>SUMIF(D$3:$AA356,"&lt;="&amp;$AH$1)/COUNTIF(D$3:$AA356,"&lt;="&amp;$AH$1)</f>
        <v>28.224700322234153</v>
      </c>
    </row>
    <row r="357" spans="2:34" x14ac:dyDescent="0.25">
      <c r="B357" s="910">
        <v>39325</v>
      </c>
      <c r="C357" s="581">
        <f t="shared" si="16"/>
        <v>8</v>
      </c>
      <c r="D357" s="171">
        <v>23.2</v>
      </c>
      <c r="E357" s="171">
        <v>20.23</v>
      </c>
      <c r="F357" s="171">
        <v>17.95</v>
      </c>
      <c r="G357" s="171">
        <v>15.36</v>
      </c>
      <c r="H357" s="171">
        <v>14</v>
      </c>
      <c r="I357" s="171">
        <v>21.29</v>
      </c>
      <c r="J357" s="171">
        <v>24</v>
      </c>
      <c r="K357" s="171">
        <v>32.99</v>
      </c>
      <c r="L357" s="171">
        <v>37.01</v>
      </c>
      <c r="M357" s="171">
        <v>40.56</v>
      </c>
      <c r="N357" s="171">
        <v>46</v>
      </c>
      <c r="O357" s="171">
        <v>56.07</v>
      </c>
      <c r="P357" s="171">
        <v>44.81</v>
      </c>
      <c r="Q357" s="171">
        <v>43.76</v>
      </c>
      <c r="R357" s="171">
        <v>38.5</v>
      </c>
      <c r="S357" s="171">
        <v>36.050000000000004</v>
      </c>
      <c r="T357" s="171">
        <v>33.049999999999997</v>
      </c>
      <c r="U357" s="171">
        <v>31.990000000000002</v>
      </c>
      <c r="V357" s="171">
        <v>31</v>
      </c>
      <c r="W357" s="171">
        <v>30</v>
      </c>
      <c r="X357" s="171">
        <v>32.299999999999997</v>
      </c>
      <c r="Y357" s="171">
        <v>31.76</v>
      </c>
      <c r="Z357" s="171">
        <v>30.990000000000002</v>
      </c>
      <c r="AA357" s="171">
        <v>27.86</v>
      </c>
      <c r="AB357" s="171">
        <v>56.07</v>
      </c>
      <c r="AC357" s="171">
        <v>24</v>
      </c>
      <c r="AD357" s="171">
        <v>20.490000000000002</v>
      </c>
      <c r="AF357" s="171">
        <f t="shared" si="17"/>
        <v>2007</v>
      </c>
      <c r="AG357" s="171">
        <f t="shared" si="18"/>
        <v>20</v>
      </c>
      <c r="AH357" s="700">
        <f>SUMIF(D$3:$AA357,"&lt;="&amp;$AH$1)/COUNTIF(D$3:$AA357,"&lt;="&amp;$AH$1)</f>
        <v>28.225897326203199</v>
      </c>
    </row>
    <row r="358" spans="2:34" x14ac:dyDescent="0.25">
      <c r="B358" s="910">
        <v>39328</v>
      </c>
      <c r="C358" s="581">
        <f t="shared" si="16"/>
        <v>9</v>
      </c>
      <c r="D358" s="171">
        <v>15.4</v>
      </c>
      <c r="E358" s="171">
        <v>12</v>
      </c>
      <c r="F358" s="171">
        <v>9.9600000000000009</v>
      </c>
      <c r="G358" s="171">
        <v>8.17</v>
      </c>
      <c r="H358" s="171">
        <v>9.5</v>
      </c>
      <c r="I358" s="171">
        <v>16</v>
      </c>
      <c r="J358" s="171">
        <v>23.95</v>
      </c>
      <c r="K358" s="171">
        <v>34.800000000000004</v>
      </c>
      <c r="L358" s="171">
        <v>39.020000000000003</v>
      </c>
      <c r="M358" s="171">
        <v>45</v>
      </c>
      <c r="N358" s="171">
        <v>48.07</v>
      </c>
      <c r="O358" s="171">
        <v>51</v>
      </c>
      <c r="P358" s="171">
        <v>48.83</v>
      </c>
      <c r="Q358" s="171">
        <v>47.11</v>
      </c>
      <c r="R358" s="171">
        <v>46.06</v>
      </c>
      <c r="S358" s="171">
        <v>42.09</v>
      </c>
      <c r="T358" s="171">
        <v>37.08</v>
      </c>
      <c r="U358" s="171">
        <v>34.56</v>
      </c>
      <c r="V358" s="171">
        <v>33.24</v>
      </c>
      <c r="W358" s="171">
        <v>34.04</v>
      </c>
      <c r="X358" s="171">
        <v>37.090000000000003</v>
      </c>
      <c r="Y358" s="171">
        <v>32.58</v>
      </c>
      <c r="Z358" s="171">
        <v>31.720000000000002</v>
      </c>
      <c r="AA358" s="171">
        <v>27.63</v>
      </c>
      <c r="AB358" s="171">
        <v>51</v>
      </c>
      <c r="AC358" s="171">
        <v>23.95</v>
      </c>
      <c r="AD358" s="171">
        <v>15.33</v>
      </c>
      <c r="AF358" s="171">
        <f t="shared" si="17"/>
        <v>2007</v>
      </c>
      <c r="AG358" s="171">
        <f t="shared" si="18"/>
        <v>18</v>
      </c>
      <c r="AH358" s="700">
        <f>SUMIF(D$3:$AA358,"&lt;="&amp;$AH$1)/COUNTIF(D$3:$AA358,"&lt;="&amp;$AH$1)</f>
        <v>28.219667590027679</v>
      </c>
    </row>
    <row r="359" spans="2:34" x14ac:dyDescent="0.25">
      <c r="B359" s="910">
        <v>39329</v>
      </c>
      <c r="C359" s="581">
        <f t="shared" si="16"/>
        <v>9</v>
      </c>
      <c r="D359" s="171">
        <v>22.09</v>
      </c>
      <c r="E359" s="171">
        <v>20</v>
      </c>
      <c r="F359" s="171">
        <v>17.96</v>
      </c>
      <c r="G359" s="171">
        <v>15.06</v>
      </c>
      <c r="H359" s="171">
        <v>11</v>
      </c>
      <c r="I359" s="171">
        <v>20.010000000000002</v>
      </c>
      <c r="J359" s="171">
        <v>25.990000000000002</v>
      </c>
      <c r="K359" s="171">
        <v>36</v>
      </c>
      <c r="L359" s="171">
        <v>38.71</v>
      </c>
      <c r="M359" s="171">
        <v>42.79</v>
      </c>
      <c r="N359" s="171">
        <v>45.52</v>
      </c>
      <c r="O359" s="171">
        <v>52</v>
      </c>
      <c r="P359" s="171">
        <v>44.79</v>
      </c>
      <c r="Q359" s="171">
        <v>43.21</v>
      </c>
      <c r="R359" s="171">
        <v>42.050000000000004</v>
      </c>
      <c r="S359" s="171">
        <v>39.79</v>
      </c>
      <c r="T359" s="171">
        <v>36.5</v>
      </c>
      <c r="U359" s="171">
        <v>34</v>
      </c>
      <c r="V359" s="171">
        <v>34.76</v>
      </c>
      <c r="W359" s="171">
        <v>33.04</v>
      </c>
      <c r="X359" s="171">
        <v>38.33</v>
      </c>
      <c r="Y359" s="171">
        <v>34</v>
      </c>
      <c r="Z359" s="171">
        <v>32.54</v>
      </c>
      <c r="AA359" s="171">
        <v>27</v>
      </c>
      <c r="AB359" s="171">
        <v>52</v>
      </c>
      <c r="AC359" s="171">
        <v>25.990000000000002</v>
      </c>
      <c r="AD359" s="171">
        <v>19.89</v>
      </c>
      <c r="AF359" s="171">
        <f t="shared" si="17"/>
        <v>2007</v>
      </c>
      <c r="AG359" s="171">
        <f t="shared" si="18"/>
        <v>19</v>
      </c>
      <c r="AH359" s="700">
        <f>SUMIF(D$3:$AA359,"&lt;="&amp;$AH$1)/COUNTIF(D$3:$AA359,"&lt;="&amp;$AH$1)</f>
        <v>28.22447580645159</v>
      </c>
    </row>
    <row r="360" spans="2:34" x14ac:dyDescent="0.25">
      <c r="B360" s="910">
        <v>39330</v>
      </c>
      <c r="C360" s="581">
        <f t="shared" si="16"/>
        <v>9</v>
      </c>
      <c r="D360" s="171">
        <v>24.650000000000002</v>
      </c>
      <c r="E360" s="171">
        <v>22.44</v>
      </c>
      <c r="F360" s="171">
        <v>21.48</v>
      </c>
      <c r="G360" s="171">
        <v>19.78</v>
      </c>
      <c r="H360" s="171">
        <v>17.170000000000002</v>
      </c>
      <c r="I360" s="171">
        <v>25</v>
      </c>
      <c r="J360" s="171">
        <v>29.05</v>
      </c>
      <c r="K360" s="171">
        <v>41.9</v>
      </c>
      <c r="L360" s="171">
        <v>47.95</v>
      </c>
      <c r="M360" s="171">
        <v>48.870000000000005</v>
      </c>
      <c r="N360" s="171">
        <v>52.13</v>
      </c>
      <c r="O360" s="171">
        <v>56.910000000000004</v>
      </c>
      <c r="P360" s="171">
        <v>52.08</v>
      </c>
      <c r="Q360" s="171">
        <v>50.32</v>
      </c>
      <c r="R360" s="171">
        <v>49.050000000000004</v>
      </c>
      <c r="S360" s="171">
        <v>46.52</v>
      </c>
      <c r="T360" s="171">
        <v>41.910000000000004</v>
      </c>
      <c r="U360" s="171">
        <v>39.93</v>
      </c>
      <c r="V360" s="171">
        <v>40.410000000000004</v>
      </c>
      <c r="W360" s="171">
        <v>39.6</v>
      </c>
      <c r="X360" s="171">
        <v>42</v>
      </c>
      <c r="Y360" s="171">
        <v>38.480000000000004</v>
      </c>
      <c r="Z360" s="171">
        <v>35.01</v>
      </c>
      <c r="AA360" s="171">
        <v>30</v>
      </c>
      <c r="AB360" s="171">
        <v>56.910000000000004</v>
      </c>
      <c r="AC360" s="171">
        <v>29.05</v>
      </c>
      <c r="AD360" s="171">
        <v>23.7</v>
      </c>
      <c r="AF360" s="171">
        <f t="shared" si="17"/>
        <v>2007</v>
      </c>
      <c r="AG360" s="171">
        <f t="shared" si="18"/>
        <v>16</v>
      </c>
      <c r="AH360" s="700">
        <f>SUMIF(D$3:$AA360,"&lt;="&amp;$AH$1)/COUNTIF(D$3:$AA360,"&lt;="&amp;$AH$1)</f>
        <v>28.236577834179339</v>
      </c>
    </row>
    <row r="361" spans="2:34" x14ac:dyDescent="0.25">
      <c r="B361" s="910">
        <v>39331</v>
      </c>
      <c r="C361" s="581">
        <f t="shared" si="16"/>
        <v>9</v>
      </c>
      <c r="D361" s="171">
        <v>25.150000000000002</v>
      </c>
      <c r="E361" s="171">
        <v>22.78</v>
      </c>
      <c r="F361" s="171">
        <v>20.740000000000002</v>
      </c>
      <c r="G361" s="171">
        <v>19.330000000000002</v>
      </c>
      <c r="H361" s="171">
        <v>18.8</v>
      </c>
      <c r="I361" s="171">
        <v>25</v>
      </c>
      <c r="J361" s="171">
        <v>31.14</v>
      </c>
      <c r="K361" s="171">
        <v>40.800000000000004</v>
      </c>
      <c r="L361" s="171">
        <v>42.34</v>
      </c>
      <c r="M361" s="171">
        <v>45</v>
      </c>
      <c r="N361" s="171">
        <v>45.99</v>
      </c>
      <c r="O361" s="171">
        <v>51.6</v>
      </c>
      <c r="P361" s="171">
        <v>45</v>
      </c>
      <c r="Q361" s="171">
        <v>44.71</v>
      </c>
      <c r="R361" s="171">
        <v>46.4</v>
      </c>
      <c r="S361" s="171">
        <v>42.99</v>
      </c>
      <c r="T361" s="171">
        <v>40.6</v>
      </c>
      <c r="U361" s="171">
        <v>39.93</v>
      </c>
      <c r="V361" s="171">
        <v>39.81</v>
      </c>
      <c r="W361" s="171">
        <v>38.08</v>
      </c>
      <c r="X361" s="171">
        <v>40.090000000000003</v>
      </c>
      <c r="Y361" s="171">
        <v>36.06</v>
      </c>
      <c r="Z361" s="171">
        <v>33.25</v>
      </c>
      <c r="AA361" s="171">
        <v>38</v>
      </c>
      <c r="AB361" s="171">
        <v>51.6</v>
      </c>
      <c r="AC361" s="171">
        <v>31.14</v>
      </c>
      <c r="AD361" s="171">
        <v>25.12</v>
      </c>
      <c r="AF361" s="171">
        <f t="shared" si="17"/>
        <v>2007</v>
      </c>
      <c r="AG361" s="171">
        <f t="shared" si="18"/>
        <v>17</v>
      </c>
      <c r="AH361" s="700">
        <f>SUMIF(D$3:$AA361,"&lt;="&amp;$AH$1)/COUNTIF(D$3:$AA361,"&lt;="&amp;$AH$1)</f>
        <v>28.251726027397229</v>
      </c>
    </row>
    <row r="362" spans="2:34" x14ac:dyDescent="0.25">
      <c r="B362" s="910">
        <v>39332</v>
      </c>
      <c r="C362" s="581">
        <f t="shared" si="16"/>
        <v>9</v>
      </c>
      <c r="D362" s="171">
        <v>25.02</v>
      </c>
      <c r="E362" s="171">
        <v>22.22</v>
      </c>
      <c r="F362" s="171">
        <v>20.47</v>
      </c>
      <c r="G362" s="171">
        <v>20</v>
      </c>
      <c r="H362" s="171">
        <v>20.740000000000002</v>
      </c>
      <c r="I362" s="171">
        <v>25.04</v>
      </c>
      <c r="J362" s="171">
        <v>28.59</v>
      </c>
      <c r="K362" s="171">
        <v>39.81</v>
      </c>
      <c r="L362" s="171">
        <v>40.74</v>
      </c>
      <c r="M362" s="171">
        <v>42.74</v>
      </c>
      <c r="N362" s="171">
        <v>47.7</v>
      </c>
      <c r="O362" s="171">
        <v>58.2</v>
      </c>
      <c r="P362" s="171">
        <v>46.47</v>
      </c>
      <c r="Q362" s="171">
        <v>44.42</v>
      </c>
      <c r="R362" s="171">
        <v>40.200000000000003</v>
      </c>
      <c r="S362" s="171">
        <v>37.94</v>
      </c>
      <c r="T362" s="171">
        <v>35.94</v>
      </c>
      <c r="U362" s="171">
        <v>35.43</v>
      </c>
      <c r="V362" s="171">
        <v>34.25</v>
      </c>
      <c r="W362" s="171">
        <v>33.81</v>
      </c>
      <c r="X362" s="171">
        <v>38.32</v>
      </c>
      <c r="Y362" s="171">
        <v>34.660000000000004</v>
      </c>
      <c r="Z362" s="171">
        <v>31.310000000000002</v>
      </c>
      <c r="AA362" s="171">
        <v>27</v>
      </c>
      <c r="AB362" s="171">
        <v>58.2</v>
      </c>
      <c r="AC362" s="171">
        <v>28.59</v>
      </c>
      <c r="AD362" s="171">
        <v>23.64</v>
      </c>
      <c r="AF362" s="171">
        <f t="shared" si="17"/>
        <v>2007</v>
      </c>
      <c r="AG362" s="171">
        <f t="shared" si="18"/>
        <v>19</v>
      </c>
      <c r="AH362" s="700">
        <f>SUMIF(D$3:$AA362,"&lt;="&amp;$AH$1)/COUNTIF(D$3:$AA362,"&lt;="&amp;$AH$1)</f>
        <v>28.263209487825325</v>
      </c>
    </row>
    <row r="363" spans="2:34" x14ac:dyDescent="0.25">
      <c r="B363" s="910">
        <v>39335</v>
      </c>
      <c r="C363" s="581">
        <f t="shared" si="16"/>
        <v>9</v>
      </c>
      <c r="D363" s="171">
        <v>25.240000000000002</v>
      </c>
      <c r="E363" s="171">
        <v>18.920000000000002</v>
      </c>
      <c r="F363" s="171">
        <v>15.01</v>
      </c>
      <c r="G363" s="171">
        <v>10.200000000000001</v>
      </c>
      <c r="H363" s="171">
        <v>10</v>
      </c>
      <c r="I363" s="171">
        <v>16.32</v>
      </c>
      <c r="J363" s="171">
        <v>30.72</v>
      </c>
      <c r="K363" s="171">
        <v>39.590000000000003</v>
      </c>
      <c r="L363" s="171">
        <v>44.02</v>
      </c>
      <c r="M363" s="171">
        <v>44.94</v>
      </c>
      <c r="N363" s="171">
        <v>44.93</v>
      </c>
      <c r="O363" s="171">
        <v>48.32</v>
      </c>
      <c r="P363" s="171">
        <v>44.2</v>
      </c>
      <c r="Q363" s="171">
        <v>42.18</v>
      </c>
      <c r="R363" s="171">
        <v>40.14</v>
      </c>
      <c r="S363" s="171">
        <v>40.910000000000004</v>
      </c>
      <c r="T363" s="171">
        <v>39.910000000000004</v>
      </c>
      <c r="U363" s="171">
        <v>36.910000000000004</v>
      </c>
      <c r="V363" s="171">
        <v>37.910000000000004</v>
      </c>
      <c r="W363" s="171">
        <v>39.950000000000003</v>
      </c>
      <c r="X363" s="171">
        <v>43</v>
      </c>
      <c r="Y363" s="171">
        <v>36.64</v>
      </c>
      <c r="Z363" s="171">
        <v>34.08</v>
      </c>
      <c r="AA363" s="171">
        <v>29.03</v>
      </c>
      <c r="AB363" s="171">
        <v>48.32</v>
      </c>
      <c r="AC363" s="171">
        <v>30.72</v>
      </c>
      <c r="AD363" s="171">
        <v>19.43</v>
      </c>
      <c r="AF363" s="171">
        <f t="shared" si="17"/>
        <v>2007</v>
      </c>
      <c r="AG363" s="171">
        <f t="shared" si="18"/>
        <v>18</v>
      </c>
      <c r="AH363" s="700">
        <f>SUMIF(D$3:$AA363,"&lt;="&amp;$AH$1)/COUNTIF(D$3:$AA363,"&lt;="&amp;$AH$1)</f>
        <v>28.270512337933901</v>
      </c>
    </row>
    <row r="364" spans="2:34" x14ac:dyDescent="0.25">
      <c r="B364" s="910">
        <v>39336</v>
      </c>
      <c r="C364" s="581">
        <f t="shared" si="16"/>
        <v>9</v>
      </c>
      <c r="D364" s="171">
        <v>26.060000000000002</v>
      </c>
      <c r="E364" s="171">
        <v>23.27</v>
      </c>
      <c r="F364" s="171">
        <v>20.170000000000002</v>
      </c>
      <c r="G364" s="171">
        <v>17.14</v>
      </c>
      <c r="H364" s="171">
        <v>16.600000000000001</v>
      </c>
      <c r="I364" s="171">
        <v>24.68</v>
      </c>
      <c r="J364" s="171">
        <v>31.04</v>
      </c>
      <c r="K364" s="171">
        <v>42.93</v>
      </c>
      <c r="L364" s="171">
        <v>48.230000000000004</v>
      </c>
      <c r="M364" s="171">
        <v>48.11</v>
      </c>
      <c r="N364" s="171">
        <v>50.31</v>
      </c>
      <c r="O364" s="171">
        <v>53.57</v>
      </c>
      <c r="P364" s="171">
        <v>50.06</v>
      </c>
      <c r="Q364" s="171">
        <v>49</v>
      </c>
      <c r="R364" s="171">
        <v>47.050000000000004</v>
      </c>
      <c r="S364" s="171">
        <v>44.4</v>
      </c>
      <c r="T364" s="171">
        <v>42.87</v>
      </c>
      <c r="U364" s="171">
        <v>42.97</v>
      </c>
      <c r="V364" s="171">
        <v>41.15</v>
      </c>
      <c r="W364" s="171">
        <v>41.1</v>
      </c>
      <c r="X364" s="171">
        <v>44.06</v>
      </c>
      <c r="Y364" s="171">
        <v>39.700000000000003</v>
      </c>
      <c r="Z364" s="171">
        <v>36.11</v>
      </c>
      <c r="AA364" s="171">
        <v>31.060000000000002</v>
      </c>
      <c r="AB364" s="171">
        <v>53.57</v>
      </c>
      <c r="AC364" s="171">
        <v>31.04</v>
      </c>
      <c r="AD364" s="171">
        <v>23.75</v>
      </c>
      <c r="AF364" s="171">
        <f t="shared" si="17"/>
        <v>2007</v>
      </c>
      <c r="AG364" s="171">
        <f t="shared" si="18"/>
        <v>12</v>
      </c>
      <c r="AH364" s="700">
        <f>SUMIF(D$3:$AA364,"&lt;="&amp;$AH$1)/COUNTIF(D$3:$AA364,"&lt;="&amp;$AH$1)</f>
        <v>28.272355027117214</v>
      </c>
    </row>
    <row r="365" spans="2:34" x14ac:dyDescent="0.25">
      <c r="B365" s="910">
        <v>39337</v>
      </c>
      <c r="C365" s="581">
        <f t="shared" si="16"/>
        <v>9</v>
      </c>
      <c r="D365" s="171">
        <v>25.76</v>
      </c>
      <c r="E365" s="171">
        <v>23.150000000000002</v>
      </c>
      <c r="F365" s="171">
        <v>21.11</v>
      </c>
      <c r="G365" s="171">
        <v>20.400000000000002</v>
      </c>
      <c r="H365" s="171">
        <v>20.900000000000002</v>
      </c>
      <c r="I365" s="171">
        <v>27.060000000000002</v>
      </c>
      <c r="J365" s="171">
        <v>31.93</v>
      </c>
      <c r="K365" s="171">
        <v>43.7</v>
      </c>
      <c r="L365" s="171">
        <v>48.800000000000004</v>
      </c>
      <c r="M365" s="171">
        <v>50.01</v>
      </c>
      <c r="N365" s="171">
        <v>53.120000000000005</v>
      </c>
      <c r="O365" s="171">
        <v>58</v>
      </c>
      <c r="P365" s="171">
        <v>53.79</v>
      </c>
      <c r="Q365" s="171">
        <v>51.160000000000004</v>
      </c>
      <c r="R365" s="171">
        <v>49.13</v>
      </c>
      <c r="S365" s="171">
        <v>47.11</v>
      </c>
      <c r="T365" s="171">
        <v>44.78</v>
      </c>
      <c r="U365" s="171">
        <v>44.93</v>
      </c>
      <c r="V365" s="171">
        <v>44.32</v>
      </c>
      <c r="W365" s="171">
        <v>45.35</v>
      </c>
      <c r="X365" s="171">
        <v>46.95</v>
      </c>
      <c r="Y365" s="171">
        <v>42.01</v>
      </c>
      <c r="Z365" s="171">
        <v>38.5</v>
      </c>
      <c r="AA365" s="171">
        <v>31.05</v>
      </c>
      <c r="AB365" s="171">
        <v>58</v>
      </c>
      <c r="AC365" s="171">
        <v>31.93</v>
      </c>
      <c r="AD365" s="171">
        <v>25.17</v>
      </c>
      <c r="AF365" s="171">
        <f t="shared" si="17"/>
        <v>2007</v>
      </c>
      <c r="AG365" s="171">
        <f t="shared" si="18"/>
        <v>10</v>
      </c>
      <c r="AH365" s="700">
        <f>SUMIF(D$3:$AA365,"&lt;="&amp;$AH$1)/COUNTIF(D$3:$AA365,"&lt;="&amp;$AH$1)</f>
        <v>28.272177352206473</v>
      </c>
    </row>
    <row r="366" spans="2:34" x14ac:dyDescent="0.25">
      <c r="B366" s="910">
        <v>39338</v>
      </c>
      <c r="C366" s="581">
        <f t="shared" si="16"/>
        <v>9</v>
      </c>
      <c r="D366" s="171">
        <v>27.150000000000002</v>
      </c>
      <c r="E366" s="171">
        <v>24.47</v>
      </c>
      <c r="F366" s="171">
        <v>23.06</v>
      </c>
      <c r="G366" s="171">
        <v>21.89</v>
      </c>
      <c r="H366" s="171">
        <v>20</v>
      </c>
      <c r="I366" s="171">
        <v>26.39</v>
      </c>
      <c r="J366" s="171">
        <v>33.29</v>
      </c>
      <c r="K366" s="171">
        <v>48.25</v>
      </c>
      <c r="L366" s="171">
        <v>53.18</v>
      </c>
      <c r="M366" s="171">
        <v>55</v>
      </c>
      <c r="N366" s="171">
        <v>56.04</v>
      </c>
      <c r="O366" s="171">
        <v>62.08</v>
      </c>
      <c r="P366" s="171">
        <v>54</v>
      </c>
      <c r="Q366" s="171">
        <v>53.22</v>
      </c>
      <c r="R366" s="171">
        <v>51.51</v>
      </c>
      <c r="S366" s="171">
        <v>48.01</v>
      </c>
      <c r="T366" s="171">
        <v>45.31</v>
      </c>
      <c r="U366" s="171">
        <v>45.01</v>
      </c>
      <c r="V366" s="171">
        <v>44.42</v>
      </c>
      <c r="W366" s="171">
        <v>45.96</v>
      </c>
      <c r="X366" s="171">
        <v>48.4</v>
      </c>
      <c r="Y366" s="171">
        <v>43.99</v>
      </c>
      <c r="Z366" s="171">
        <v>39.090000000000003</v>
      </c>
      <c r="AA366" s="171">
        <v>31.98</v>
      </c>
      <c r="AB366" s="171">
        <v>62.800000000000004</v>
      </c>
      <c r="AC366" s="171">
        <v>33.29</v>
      </c>
      <c r="AD366" s="171">
        <v>26.03</v>
      </c>
      <c r="AF366" s="171">
        <f t="shared" si="17"/>
        <v>2007</v>
      </c>
      <c r="AG366" s="171">
        <f t="shared" si="18"/>
        <v>9</v>
      </c>
      <c r="AH366" s="700">
        <f>SUMIF(D$3:$AA366,"&lt;="&amp;$AH$1)/COUNTIF(D$3:$AA366,"&lt;="&amp;$AH$1)</f>
        <v>28.270696031581121</v>
      </c>
    </row>
    <row r="367" spans="2:34" x14ac:dyDescent="0.25">
      <c r="B367" s="910">
        <v>39339</v>
      </c>
      <c r="C367" s="581">
        <f t="shared" si="16"/>
        <v>9</v>
      </c>
      <c r="D367" s="171">
        <v>30</v>
      </c>
      <c r="E367" s="171">
        <v>26</v>
      </c>
      <c r="F367" s="171">
        <v>23.990000000000002</v>
      </c>
      <c r="G367" s="171">
        <v>24</v>
      </c>
      <c r="H367" s="171">
        <v>24.5</v>
      </c>
      <c r="I367" s="171">
        <v>29.1</v>
      </c>
      <c r="J367" s="171">
        <v>36.230000000000004</v>
      </c>
      <c r="K367" s="171">
        <v>47.5</v>
      </c>
      <c r="L367" s="171">
        <v>50.2</v>
      </c>
      <c r="M367" s="171">
        <v>52.25</v>
      </c>
      <c r="N367" s="171">
        <v>60</v>
      </c>
      <c r="O367" s="171">
        <v>66</v>
      </c>
      <c r="P367" s="171">
        <v>53</v>
      </c>
      <c r="Q367" s="171">
        <v>49.69</v>
      </c>
      <c r="R367" s="171">
        <v>47.08</v>
      </c>
      <c r="S367" s="171">
        <v>45.5</v>
      </c>
      <c r="T367" s="171">
        <v>41.800000000000004</v>
      </c>
      <c r="U367" s="171">
        <v>42.550000000000004</v>
      </c>
      <c r="V367" s="171">
        <v>42</v>
      </c>
      <c r="W367" s="171">
        <v>42</v>
      </c>
      <c r="X367" s="171">
        <v>46.32</v>
      </c>
      <c r="Y367" s="171">
        <v>38.950000000000003</v>
      </c>
      <c r="Z367" s="171">
        <v>34.049999999999997</v>
      </c>
      <c r="AA367" s="171">
        <v>31.060000000000002</v>
      </c>
      <c r="AB367" s="171">
        <v>66</v>
      </c>
      <c r="AC367" s="171">
        <v>36.230000000000004</v>
      </c>
      <c r="AD367" s="171">
        <v>28.11</v>
      </c>
      <c r="AF367" s="171">
        <f t="shared" si="17"/>
        <v>2007</v>
      </c>
      <c r="AG367" s="171">
        <f t="shared" si="18"/>
        <v>14</v>
      </c>
      <c r="AH367" s="700">
        <f>SUMIF(D$3:$AA367,"&lt;="&amp;$AH$1)/COUNTIF(D$3:$AA367,"&lt;="&amp;$AH$1)</f>
        <v>28.285288999378476</v>
      </c>
    </row>
    <row r="368" spans="2:34" x14ac:dyDescent="0.25">
      <c r="B368" s="910">
        <v>39342</v>
      </c>
      <c r="C368" s="581">
        <f t="shared" si="16"/>
        <v>9</v>
      </c>
      <c r="D368" s="171">
        <v>20</v>
      </c>
      <c r="E368" s="171">
        <v>13.88</v>
      </c>
      <c r="F368" s="171">
        <v>13</v>
      </c>
      <c r="G368" s="171">
        <v>11.08</v>
      </c>
      <c r="H368" s="171">
        <v>12.06</v>
      </c>
      <c r="I368" s="171">
        <v>18.96</v>
      </c>
      <c r="J368" s="171">
        <v>30.080000000000002</v>
      </c>
      <c r="K368" s="171">
        <v>44.92</v>
      </c>
      <c r="L368" s="171">
        <v>50.620000000000005</v>
      </c>
      <c r="M368" s="171">
        <v>51</v>
      </c>
      <c r="N368" s="171">
        <v>54.18</v>
      </c>
      <c r="O368" s="171">
        <v>57.72</v>
      </c>
      <c r="P368" s="171">
        <v>52.84</v>
      </c>
      <c r="Q368" s="171">
        <v>53.07</v>
      </c>
      <c r="R368" s="171">
        <v>54.6</v>
      </c>
      <c r="S368" s="171">
        <v>53</v>
      </c>
      <c r="T368" s="171">
        <v>51.620000000000005</v>
      </c>
      <c r="U368" s="171">
        <v>53.43</v>
      </c>
      <c r="V368" s="171">
        <v>51</v>
      </c>
      <c r="W368" s="171">
        <v>51.69</v>
      </c>
      <c r="X368" s="171">
        <v>53.17</v>
      </c>
      <c r="Y368" s="171">
        <v>46.12</v>
      </c>
      <c r="Z368" s="171">
        <v>40.08</v>
      </c>
      <c r="AA368" s="171">
        <v>32.1</v>
      </c>
      <c r="AB368" s="171">
        <v>57.72</v>
      </c>
      <c r="AC368" s="171">
        <v>30.080000000000002</v>
      </c>
      <c r="AD368" s="171">
        <v>18.89</v>
      </c>
      <c r="AF368" s="171">
        <f t="shared" si="17"/>
        <v>2007</v>
      </c>
      <c r="AG368" s="171">
        <f t="shared" si="18"/>
        <v>9</v>
      </c>
      <c r="AH368" s="700">
        <f>SUMIF(D$3:$AA368,"&lt;="&amp;$AH$1)/COUNTIF(D$3:$AA368,"&lt;="&amp;$AH$1)</f>
        <v>28.272193961951999</v>
      </c>
    </row>
    <row r="369" spans="2:34" x14ac:dyDescent="0.25">
      <c r="B369" s="910">
        <v>39343</v>
      </c>
      <c r="C369" s="581">
        <f t="shared" si="16"/>
        <v>9</v>
      </c>
      <c r="D369" s="171">
        <v>26.400000000000002</v>
      </c>
      <c r="E369" s="171">
        <v>23.7</v>
      </c>
      <c r="F369" s="171">
        <v>22.400000000000002</v>
      </c>
      <c r="G369" s="171">
        <v>19.37</v>
      </c>
      <c r="H369" s="171">
        <v>21.5</v>
      </c>
      <c r="I369" s="171">
        <v>26</v>
      </c>
      <c r="J369" s="171">
        <v>31.68</v>
      </c>
      <c r="K369" s="171">
        <v>49</v>
      </c>
      <c r="L369" s="171">
        <v>51.800000000000004</v>
      </c>
      <c r="M369" s="171">
        <v>54.49</v>
      </c>
      <c r="N369" s="171">
        <v>58</v>
      </c>
      <c r="O369" s="171">
        <v>63.6</v>
      </c>
      <c r="P369" s="171">
        <v>57.26</v>
      </c>
      <c r="Q369" s="171">
        <v>55.01</v>
      </c>
      <c r="R369" s="171">
        <v>53</v>
      </c>
      <c r="S369" s="171">
        <v>50.25</v>
      </c>
      <c r="T369" s="171">
        <v>49.18</v>
      </c>
      <c r="U369" s="171">
        <v>48.120000000000005</v>
      </c>
      <c r="V369" s="171">
        <v>48.300000000000004</v>
      </c>
      <c r="W369" s="171">
        <v>49</v>
      </c>
      <c r="X369" s="171">
        <v>49.95</v>
      </c>
      <c r="Y369" s="171">
        <v>43.45</v>
      </c>
      <c r="Z369" s="171">
        <v>37.07</v>
      </c>
      <c r="AA369" s="171">
        <v>28.84</v>
      </c>
      <c r="AB369" s="171">
        <v>63.6</v>
      </c>
      <c r="AC369" s="171">
        <v>31.68</v>
      </c>
      <c r="AD369" s="171">
        <v>24.990000000000002</v>
      </c>
      <c r="AF369" s="171">
        <f t="shared" si="17"/>
        <v>2007</v>
      </c>
      <c r="AG369" s="171">
        <f t="shared" si="18"/>
        <v>9</v>
      </c>
      <c r="AH369" s="700">
        <f>SUMIF(D$3:$AA369,"&lt;="&amp;$AH$1)/COUNTIF(D$3:$AA369,"&lt;="&amp;$AH$1)</f>
        <v>28.268584107327111</v>
      </c>
    </row>
    <row r="370" spans="2:34" x14ac:dyDescent="0.25">
      <c r="B370" s="910">
        <v>39344</v>
      </c>
      <c r="C370" s="581">
        <f t="shared" si="16"/>
        <v>9</v>
      </c>
      <c r="D370" s="171">
        <v>24.98</v>
      </c>
      <c r="E370" s="171">
        <v>21.990000000000002</v>
      </c>
      <c r="F370" s="171">
        <v>19.400000000000002</v>
      </c>
      <c r="G370" s="171">
        <v>19.72</v>
      </c>
      <c r="H370" s="171">
        <v>20.440000000000001</v>
      </c>
      <c r="I370" s="171">
        <v>25</v>
      </c>
      <c r="J370" s="171">
        <v>33</v>
      </c>
      <c r="K370" s="171">
        <v>51.82</v>
      </c>
      <c r="L370" s="171">
        <v>57.35</v>
      </c>
      <c r="M370" s="171">
        <v>58.04</v>
      </c>
      <c r="N370" s="171">
        <v>58.730000000000004</v>
      </c>
      <c r="O370" s="171">
        <v>63</v>
      </c>
      <c r="P370" s="171">
        <v>56.11</v>
      </c>
      <c r="Q370" s="171">
        <v>52.84</v>
      </c>
      <c r="R370" s="171">
        <v>52.01</v>
      </c>
      <c r="S370" s="171">
        <v>50.26</v>
      </c>
      <c r="T370" s="171">
        <v>47.5</v>
      </c>
      <c r="U370" s="171">
        <v>46.75</v>
      </c>
      <c r="V370" s="171">
        <v>47.12</v>
      </c>
      <c r="W370" s="171">
        <v>48.69</v>
      </c>
      <c r="X370" s="171">
        <v>50.57</v>
      </c>
      <c r="Y370" s="171">
        <v>42.72</v>
      </c>
      <c r="Z370" s="171">
        <v>37.14</v>
      </c>
      <c r="AA370" s="171">
        <v>31.45</v>
      </c>
      <c r="AB370" s="171">
        <v>63</v>
      </c>
      <c r="AC370" s="171">
        <v>33</v>
      </c>
      <c r="AD370" s="171">
        <v>24.5</v>
      </c>
      <c r="AF370" s="171">
        <f t="shared" si="17"/>
        <v>2007</v>
      </c>
      <c r="AG370" s="171">
        <f t="shared" si="18"/>
        <v>9</v>
      </c>
      <c r="AH370" s="700">
        <f>SUMIF(D$3:$AA370,"&lt;="&amp;$AH$1)/COUNTIF(D$3:$AA370,"&lt;="&amp;$AH$1)</f>
        <v>28.264196538936936</v>
      </c>
    </row>
    <row r="371" spans="2:34" x14ac:dyDescent="0.25">
      <c r="B371" s="910">
        <v>39345</v>
      </c>
      <c r="C371" s="581">
        <f t="shared" si="16"/>
        <v>9</v>
      </c>
      <c r="D371" s="171">
        <v>27</v>
      </c>
      <c r="E371" s="171">
        <v>22.92</v>
      </c>
      <c r="F371" s="171">
        <v>19.57</v>
      </c>
      <c r="G371" s="171">
        <v>18</v>
      </c>
      <c r="H371" s="171">
        <v>18.400000000000002</v>
      </c>
      <c r="I371" s="171">
        <v>24</v>
      </c>
      <c r="J371" s="171">
        <v>33.53</v>
      </c>
      <c r="K371" s="171">
        <v>50</v>
      </c>
      <c r="L371" s="171">
        <v>54.45</v>
      </c>
      <c r="M371" s="171">
        <v>57.1</v>
      </c>
      <c r="N371" s="171">
        <v>58.800000000000004</v>
      </c>
      <c r="O371" s="171">
        <v>63.120000000000005</v>
      </c>
      <c r="P371" s="171">
        <v>57</v>
      </c>
      <c r="Q371" s="171">
        <v>52.120000000000005</v>
      </c>
      <c r="R371" s="171">
        <v>50.5</v>
      </c>
      <c r="S371" s="171">
        <v>48.69</v>
      </c>
      <c r="T371" s="171">
        <v>46.56</v>
      </c>
      <c r="U371" s="171">
        <v>46.25</v>
      </c>
      <c r="V371" s="171">
        <v>46.99</v>
      </c>
      <c r="W371" s="171">
        <v>48.13</v>
      </c>
      <c r="X371" s="171">
        <v>52.04</v>
      </c>
      <c r="Y371" s="171">
        <v>43</v>
      </c>
      <c r="Z371" s="171">
        <v>37.36</v>
      </c>
      <c r="AA371" s="171">
        <v>31.03</v>
      </c>
      <c r="AB371" s="171">
        <v>63.120000000000005</v>
      </c>
      <c r="AC371" s="171">
        <v>33.53</v>
      </c>
      <c r="AD371" s="171">
        <v>24.310000000000002</v>
      </c>
      <c r="AF371" s="171">
        <f t="shared" si="17"/>
        <v>2007</v>
      </c>
      <c r="AG371" s="171">
        <f t="shared" si="18"/>
        <v>9</v>
      </c>
      <c r="AH371" s="700">
        <f>SUMIF(D$3:$AA371,"&lt;="&amp;$AH$1)/COUNTIF(D$3:$AA371,"&lt;="&amp;$AH$1)</f>
        <v>28.259555829734708</v>
      </c>
    </row>
    <row r="372" spans="2:34" x14ac:dyDescent="0.25">
      <c r="B372" s="910">
        <v>39346</v>
      </c>
      <c r="C372" s="581">
        <f t="shared" si="16"/>
        <v>9</v>
      </c>
      <c r="D372" s="171">
        <v>29</v>
      </c>
      <c r="E372" s="171">
        <v>24.6</v>
      </c>
      <c r="F372" s="171">
        <v>21.92</v>
      </c>
      <c r="G372" s="171">
        <v>20</v>
      </c>
      <c r="H372" s="171">
        <v>20.740000000000002</v>
      </c>
      <c r="I372" s="171">
        <v>25.990000000000002</v>
      </c>
      <c r="J372" s="171">
        <v>33.89</v>
      </c>
      <c r="K372" s="171">
        <v>46.95</v>
      </c>
      <c r="L372" s="171">
        <v>54</v>
      </c>
      <c r="M372" s="171">
        <v>59</v>
      </c>
      <c r="N372" s="171">
        <v>58.63</v>
      </c>
      <c r="O372" s="171">
        <v>61.120000000000005</v>
      </c>
      <c r="P372" s="171">
        <v>53.660000000000004</v>
      </c>
      <c r="Q372" s="171">
        <v>50.910000000000004</v>
      </c>
      <c r="R372" s="171">
        <v>49.82</v>
      </c>
      <c r="S372" s="171">
        <v>47.02</v>
      </c>
      <c r="T372" s="171">
        <v>43.36</v>
      </c>
      <c r="U372" s="171">
        <v>44.06</v>
      </c>
      <c r="V372" s="171">
        <v>44.28</v>
      </c>
      <c r="W372" s="171">
        <v>46.57</v>
      </c>
      <c r="X372" s="171">
        <v>52</v>
      </c>
      <c r="Y372" s="171">
        <v>41.12</v>
      </c>
      <c r="Z372" s="171">
        <v>35.15</v>
      </c>
      <c r="AA372" s="171">
        <v>32</v>
      </c>
      <c r="AB372" s="171">
        <v>61.120000000000005</v>
      </c>
      <c r="AC372" s="171">
        <v>35.15</v>
      </c>
      <c r="AD372" s="171">
        <v>26.02</v>
      </c>
      <c r="AF372" s="171">
        <f t="shared" si="17"/>
        <v>2007</v>
      </c>
      <c r="AG372" s="171">
        <f t="shared" si="18"/>
        <v>10</v>
      </c>
      <c r="AH372" s="700">
        <f>SUMIF(D$3:$AA372,"&lt;="&amp;$AH$1)/COUNTIF(D$3:$AA372,"&lt;="&amp;$AH$1)</f>
        <v>28.259928175661788</v>
      </c>
    </row>
    <row r="373" spans="2:34" x14ac:dyDescent="0.25">
      <c r="B373" s="910">
        <v>39349</v>
      </c>
      <c r="C373" s="581">
        <f t="shared" si="16"/>
        <v>9</v>
      </c>
      <c r="D373" s="171">
        <v>26.810000000000002</v>
      </c>
      <c r="E373" s="171">
        <v>18.240000000000002</v>
      </c>
      <c r="F373" s="171">
        <v>12</v>
      </c>
      <c r="G373" s="171">
        <v>8.91</v>
      </c>
      <c r="H373" s="171">
        <v>9.99</v>
      </c>
      <c r="I373" s="171">
        <v>16.990000000000002</v>
      </c>
      <c r="J373" s="171">
        <v>30.5</v>
      </c>
      <c r="K373" s="171">
        <v>46.95</v>
      </c>
      <c r="L373" s="171">
        <v>50.03</v>
      </c>
      <c r="M373" s="171">
        <v>50.08</v>
      </c>
      <c r="N373" s="171">
        <v>50.9</v>
      </c>
      <c r="O373" s="171">
        <v>54.36</v>
      </c>
      <c r="P373" s="171">
        <v>49.980000000000004</v>
      </c>
      <c r="Q373" s="171">
        <v>49.09</v>
      </c>
      <c r="R373" s="171">
        <v>48.120000000000005</v>
      </c>
      <c r="S373" s="171">
        <v>46.94</v>
      </c>
      <c r="T373" s="171">
        <v>42.78</v>
      </c>
      <c r="U373" s="171">
        <v>44.5</v>
      </c>
      <c r="V373" s="171">
        <v>45.49</v>
      </c>
      <c r="W373" s="171">
        <v>49.370000000000005</v>
      </c>
      <c r="X373" s="171">
        <v>49.97</v>
      </c>
      <c r="Y373" s="171">
        <v>44.32</v>
      </c>
      <c r="Z373" s="171">
        <v>34.93</v>
      </c>
      <c r="AA373" s="171">
        <v>29.39</v>
      </c>
      <c r="AB373" s="171">
        <v>54.36</v>
      </c>
      <c r="AC373" s="171">
        <v>34.93</v>
      </c>
      <c r="AD373" s="171">
        <v>19.100000000000001</v>
      </c>
      <c r="AF373" s="171">
        <f t="shared" si="17"/>
        <v>2007</v>
      </c>
      <c r="AG373" s="171">
        <f t="shared" si="18"/>
        <v>9</v>
      </c>
      <c r="AH373" s="700">
        <f>SUMIF(D$3:$AA373,"&lt;="&amp;$AH$1)/COUNTIF(D$3:$AA373,"&lt;="&amp;$AH$1)</f>
        <v>28.246290454731639</v>
      </c>
    </row>
    <row r="374" spans="2:34" x14ac:dyDescent="0.25">
      <c r="B374" s="910">
        <v>39350</v>
      </c>
      <c r="C374" s="581">
        <f t="shared" si="16"/>
        <v>9</v>
      </c>
      <c r="D374" s="171">
        <v>27.27</v>
      </c>
      <c r="E374" s="171">
        <v>23.05</v>
      </c>
      <c r="F374" s="171">
        <v>19.86</v>
      </c>
      <c r="G374" s="171">
        <v>17.330000000000002</v>
      </c>
      <c r="H374" s="171">
        <v>16.2</v>
      </c>
      <c r="I374" s="171">
        <v>25</v>
      </c>
      <c r="J374" s="171">
        <v>38.65</v>
      </c>
      <c r="K374" s="171">
        <v>55</v>
      </c>
      <c r="L374" s="171">
        <v>56</v>
      </c>
      <c r="M374" s="171">
        <v>56.9</v>
      </c>
      <c r="N374" s="171">
        <v>59.01</v>
      </c>
      <c r="O374" s="171">
        <v>59.07</v>
      </c>
      <c r="P374" s="171">
        <v>55.04</v>
      </c>
      <c r="Q374" s="171">
        <v>54.5</v>
      </c>
      <c r="R374" s="171">
        <v>53</v>
      </c>
      <c r="S374" s="171">
        <v>51.26</v>
      </c>
      <c r="T374" s="171">
        <v>49.49</v>
      </c>
      <c r="U374" s="171">
        <v>49.93</v>
      </c>
      <c r="V374" s="171">
        <v>50.620000000000005</v>
      </c>
      <c r="W374" s="171">
        <v>54.5</v>
      </c>
      <c r="X374" s="171">
        <v>55</v>
      </c>
      <c r="Y374" s="171">
        <v>47</v>
      </c>
      <c r="Z374" s="171">
        <v>39.910000000000004</v>
      </c>
      <c r="AA374" s="171">
        <v>32.590000000000003</v>
      </c>
      <c r="AB374" s="171">
        <v>59.07</v>
      </c>
      <c r="AC374" s="171">
        <v>39.910000000000004</v>
      </c>
      <c r="AD374" s="171">
        <v>24.990000000000002</v>
      </c>
      <c r="AF374" s="171">
        <f t="shared" si="17"/>
        <v>2007</v>
      </c>
      <c r="AG374" s="171">
        <f t="shared" si="18"/>
        <v>9</v>
      </c>
      <c r="AH374" s="700">
        <f>SUMIF(D$3:$AA374,"&lt;="&amp;$AH$1)/COUNTIF(D$3:$AA374,"&lt;="&amp;$AH$1)</f>
        <v>28.243355142097695</v>
      </c>
    </row>
    <row r="375" spans="2:34" x14ac:dyDescent="0.25">
      <c r="B375" s="910">
        <v>39351</v>
      </c>
      <c r="C375" s="581">
        <f t="shared" si="16"/>
        <v>9</v>
      </c>
      <c r="D375" s="171">
        <v>27.92</v>
      </c>
      <c r="E375" s="171">
        <v>24.96</v>
      </c>
      <c r="F375" s="171">
        <v>22.73</v>
      </c>
      <c r="G375" s="171">
        <v>19.670000000000002</v>
      </c>
      <c r="H375" s="171">
        <v>18.97</v>
      </c>
      <c r="I375" s="171">
        <v>24.7</v>
      </c>
      <c r="J375" s="171">
        <v>42.52</v>
      </c>
      <c r="K375" s="171">
        <v>55.96</v>
      </c>
      <c r="L375" s="171">
        <v>62.7</v>
      </c>
      <c r="M375" s="171">
        <v>65</v>
      </c>
      <c r="N375" s="171">
        <v>66</v>
      </c>
      <c r="O375" s="171">
        <v>74.960000000000008</v>
      </c>
      <c r="P375" s="171">
        <v>65.48</v>
      </c>
      <c r="Q375" s="171">
        <v>62.95</v>
      </c>
      <c r="R375" s="171">
        <v>63.54</v>
      </c>
      <c r="S375" s="171">
        <v>62.96</v>
      </c>
      <c r="T375" s="171">
        <v>58.910000000000004</v>
      </c>
      <c r="U375" s="171">
        <v>56.92</v>
      </c>
      <c r="V375" s="171">
        <v>55.53</v>
      </c>
      <c r="W375" s="171">
        <v>62</v>
      </c>
      <c r="X375" s="171">
        <v>61.2</v>
      </c>
      <c r="Y375" s="171">
        <v>52.870000000000005</v>
      </c>
      <c r="Z375" s="171">
        <v>44.04</v>
      </c>
      <c r="AA375" s="171">
        <v>34.04</v>
      </c>
      <c r="AB375" s="171">
        <v>74.960000000000008</v>
      </c>
      <c r="AC375" s="171">
        <v>44.04</v>
      </c>
      <c r="AD375" s="171">
        <v>26.94</v>
      </c>
      <c r="AF375" s="171">
        <f t="shared" si="17"/>
        <v>2007</v>
      </c>
      <c r="AG375" s="171">
        <f t="shared" si="18"/>
        <v>8</v>
      </c>
      <c r="AH375" s="700">
        <f>SUMIF(D$3:$AA375,"&lt;="&amp;$AH$1)/COUNTIF(D$3:$AA375,"&lt;="&amp;$AH$1)</f>
        <v>28.241224739742776</v>
      </c>
    </row>
    <row r="376" spans="2:34" x14ac:dyDescent="0.25">
      <c r="B376" s="910">
        <v>39352</v>
      </c>
      <c r="C376" s="581">
        <f t="shared" si="16"/>
        <v>9</v>
      </c>
      <c r="D376" s="171">
        <v>28.900000000000002</v>
      </c>
      <c r="E376" s="171">
        <v>25.54</v>
      </c>
      <c r="F376" s="171">
        <v>24.03</v>
      </c>
      <c r="G376" s="171">
        <v>22.240000000000002</v>
      </c>
      <c r="H376" s="171">
        <v>21.97</v>
      </c>
      <c r="I376" s="171">
        <v>29.25</v>
      </c>
      <c r="J376" s="171">
        <v>41</v>
      </c>
      <c r="K376" s="171">
        <v>54.910000000000004</v>
      </c>
      <c r="L376" s="171">
        <v>54</v>
      </c>
      <c r="M376" s="171">
        <v>55.550000000000004</v>
      </c>
      <c r="N376" s="171">
        <v>56.410000000000004</v>
      </c>
      <c r="O376" s="171">
        <v>62.4</v>
      </c>
      <c r="P376" s="171">
        <v>55.04</v>
      </c>
      <c r="Q376" s="171">
        <v>55</v>
      </c>
      <c r="R376" s="171">
        <v>53.9</v>
      </c>
      <c r="S376" s="171">
        <v>52</v>
      </c>
      <c r="T376" s="171">
        <v>50.93</v>
      </c>
      <c r="U376" s="171">
        <v>49.28</v>
      </c>
      <c r="V376" s="171">
        <v>50.11</v>
      </c>
      <c r="W376" s="171">
        <v>53.92</v>
      </c>
      <c r="X376" s="171">
        <v>54.14</v>
      </c>
      <c r="Y376" s="171">
        <v>48.26</v>
      </c>
      <c r="Z376" s="171">
        <v>40.99</v>
      </c>
      <c r="AA376" s="171">
        <v>33.049999999999997</v>
      </c>
      <c r="AB376" s="171">
        <v>62.4</v>
      </c>
      <c r="AC376" s="171">
        <v>40.99</v>
      </c>
      <c r="AD376" s="171">
        <v>28.25</v>
      </c>
      <c r="AF376" s="171">
        <f t="shared" si="17"/>
        <v>2007</v>
      </c>
      <c r="AG376" s="171">
        <f t="shared" si="18"/>
        <v>9</v>
      </c>
      <c r="AH376" s="700">
        <f>SUMIF(D$3:$AA376,"&lt;="&amp;$AH$1)/COUNTIF(D$3:$AA376,"&lt;="&amp;$AH$1)</f>
        <v>28.243832518337374</v>
      </c>
    </row>
    <row r="377" spans="2:34" x14ac:dyDescent="0.25">
      <c r="B377" s="910">
        <v>39353</v>
      </c>
      <c r="C377" s="581">
        <f t="shared" si="16"/>
        <v>9</v>
      </c>
      <c r="D377" s="171">
        <v>26.29</v>
      </c>
      <c r="E377" s="171">
        <v>22.990000000000002</v>
      </c>
      <c r="F377" s="171">
        <v>20.240000000000002</v>
      </c>
      <c r="G377" s="171">
        <v>17.5</v>
      </c>
      <c r="H377" s="171">
        <v>18.95</v>
      </c>
      <c r="I377" s="171">
        <v>22.39</v>
      </c>
      <c r="J377" s="171">
        <v>37</v>
      </c>
      <c r="K377" s="171">
        <v>49.99</v>
      </c>
      <c r="L377" s="171">
        <v>56.02</v>
      </c>
      <c r="M377" s="171">
        <v>55.08</v>
      </c>
      <c r="N377" s="171">
        <v>57.19</v>
      </c>
      <c r="O377" s="171">
        <v>61.050000000000004</v>
      </c>
      <c r="P377" s="171">
        <v>54.06</v>
      </c>
      <c r="Q377" s="171">
        <v>52</v>
      </c>
      <c r="R377" s="171">
        <v>51.51</v>
      </c>
      <c r="S377" s="171">
        <v>49.49</v>
      </c>
      <c r="T377" s="171">
        <v>47.12</v>
      </c>
      <c r="U377" s="171">
        <v>46.97</v>
      </c>
      <c r="V377" s="171">
        <v>49.01</v>
      </c>
      <c r="W377" s="171">
        <v>52</v>
      </c>
      <c r="X377" s="171">
        <v>51.120000000000005</v>
      </c>
      <c r="Y377" s="171">
        <v>44</v>
      </c>
      <c r="Z377" s="171">
        <v>39.5</v>
      </c>
      <c r="AA377" s="171">
        <v>34.99</v>
      </c>
      <c r="AB377" s="171">
        <v>61.050000000000004</v>
      </c>
      <c r="AC377" s="171">
        <v>47.12</v>
      </c>
      <c r="AD377" s="171">
        <v>25.04</v>
      </c>
      <c r="AF377" s="171">
        <f t="shared" si="17"/>
        <v>2007</v>
      </c>
      <c r="AG377" s="171">
        <f t="shared" si="18"/>
        <v>9</v>
      </c>
      <c r="AH377" s="700">
        <f>SUMIF(D$3:$AA377,"&lt;="&amp;$AH$1)/COUNTIF(D$3:$AA377,"&lt;="&amp;$AH$1)</f>
        <v>28.240915192190329</v>
      </c>
    </row>
    <row r="378" spans="2:34" x14ac:dyDescent="0.25">
      <c r="B378" s="910">
        <v>39356</v>
      </c>
      <c r="C378" s="581">
        <f t="shared" si="16"/>
        <v>10</v>
      </c>
      <c r="D378" s="171">
        <v>28.43</v>
      </c>
      <c r="E378" s="171">
        <v>23.57</v>
      </c>
      <c r="F378" s="171">
        <v>20</v>
      </c>
      <c r="G378" s="171">
        <v>20</v>
      </c>
      <c r="H378" s="171">
        <v>22.47</v>
      </c>
      <c r="I378" s="171">
        <v>26.990000000000002</v>
      </c>
      <c r="J378" s="171">
        <v>40</v>
      </c>
      <c r="K378" s="171">
        <v>54.25</v>
      </c>
      <c r="L378" s="171">
        <v>78.95</v>
      </c>
      <c r="M378" s="171">
        <v>71.739999999999995</v>
      </c>
      <c r="N378" s="171">
        <v>77.5</v>
      </c>
      <c r="O378" s="171">
        <v>95.01</v>
      </c>
      <c r="P378" s="171">
        <v>64.83</v>
      </c>
      <c r="Q378" s="171">
        <v>65</v>
      </c>
      <c r="R378" s="171">
        <v>63</v>
      </c>
      <c r="S378" s="171">
        <v>62.93</v>
      </c>
      <c r="T378" s="171">
        <v>55.47</v>
      </c>
      <c r="U378" s="171">
        <v>50</v>
      </c>
      <c r="V378" s="171">
        <v>50</v>
      </c>
      <c r="W378" s="171">
        <v>58</v>
      </c>
      <c r="X378" s="171">
        <v>59.36</v>
      </c>
      <c r="Y378" s="171">
        <v>41</v>
      </c>
      <c r="Z378" s="171">
        <v>32</v>
      </c>
      <c r="AA378" s="171">
        <v>30.51</v>
      </c>
      <c r="AB378" s="171">
        <v>95.01</v>
      </c>
      <c r="AC378" s="171">
        <v>32</v>
      </c>
      <c r="AD378" s="171">
        <v>26.5</v>
      </c>
      <c r="AF378" s="171">
        <f t="shared" si="17"/>
        <v>2007</v>
      </c>
      <c r="AG378" s="171">
        <f t="shared" si="18"/>
        <v>10</v>
      </c>
      <c r="AH378" s="700">
        <f>SUMIF(D$3:$AA378,"&lt;="&amp;$AH$1)/COUNTIF(D$3:$AA378,"&lt;="&amp;$AH$1)</f>
        <v>28.24143495027397</v>
      </c>
    </row>
    <row r="379" spans="2:34" x14ac:dyDescent="0.25">
      <c r="B379" s="910">
        <v>39357</v>
      </c>
      <c r="C379" s="581">
        <f t="shared" si="16"/>
        <v>10</v>
      </c>
      <c r="D379" s="171">
        <v>29.97</v>
      </c>
      <c r="E379" s="171">
        <v>27.01</v>
      </c>
      <c r="F379" s="171">
        <v>20.440000000000001</v>
      </c>
      <c r="G379" s="171">
        <v>16.82</v>
      </c>
      <c r="H379" s="171">
        <v>15.94</v>
      </c>
      <c r="I379" s="171">
        <v>23.5</v>
      </c>
      <c r="J379" s="171">
        <v>36.94</v>
      </c>
      <c r="K379" s="171">
        <v>49.97</v>
      </c>
      <c r="L379" s="171">
        <v>64.56</v>
      </c>
      <c r="M379" s="171">
        <v>65.05</v>
      </c>
      <c r="N379" s="171">
        <v>68.5</v>
      </c>
      <c r="O379" s="171">
        <v>78</v>
      </c>
      <c r="P379" s="171">
        <v>65.08</v>
      </c>
      <c r="Q379" s="171">
        <v>65.75</v>
      </c>
      <c r="R379" s="171">
        <v>63.81</v>
      </c>
      <c r="S379" s="171">
        <v>61.84</v>
      </c>
      <c r="T379" s="171">
        <v>59.06</v>
      </c>
      <c r="U379" s="171">
        <v>56.94</v>
      </c>
      <c r="V379" s="171">
        <v>56.93</v>
      </c>
      <c r="W379" s="171">
        <v>62.81</v>
      </c>
      <c r="X379" s="171">
        <v>57</v>
      </c>
      <c r="Y379" s="171">
        <v>44.93</v>
      </c>
      <c r="Z379" s="171">
        <v>38.980000000000004</v>
      </c>
      <c r="AA379" s="171">
        <v>31.080000000000002</v>
      </c>
      <c r="AB379" s="171">
        <v>78</v>
      </c>
      <c r="AC379" s="171">
        <v>49.97</v>
      </c>
      <c r="AD379" s="171">
        <v>25.21</v>
      </c>
      <c r="AF379" s="171">
        <f t="shared" si="17"/>
        <v>2007</v>
      </c>
      <c r="AG379" s="171">
        <f t="shared" si="18"/>
        <v>9</v>
      </c>
      <c r="AH379" s="700">
        <f>SUMIF(D$3:$AA379,"&lt;="&amp;$AH$1)/COUNTIF(D$3:$AA379,"&lt;="&amp;$AH$1)</f>
        <v>28.238701377633685</v>
      </c>
    </row>
    <row r="380" spans="2:34" x14ac:dyDescent="0.25">
      <c r="B380" s="910">
        <v>39358</v>
      </c>
      <c r="C380" s="581">
        <f t="shared" si="16"/>
        <v>10</v>
      </c>
      <c r="D380" s="171">
        <v>25.85</v>
      </c>
      <c r="E380" s="171">
        <v>23.45</v>
      </c>
      <c r="F380" s="171">
        <v>21.990000000000002</v>
      </c>
      <c r="G380" s="171">
        <v>17.170000000000002</v>
      </c>
      <c r="H380" s="171">
        <v>22.04</v>
      </c>
      <c r="I380" s="171">
        <v>18.95</v>
      </c>
      <c r="J380" s="171">
        <v>28.39</v>
      </c>
      <c r="K380" s="171">
        <v>41.51</v>
      </c>
      <c r="L380" s="171">
        <v>42.84</v>
      </c>
      <c r="M380" s="171">
        <v>45.06</v>
      </c>
      <c r="N380" s="171">
        <v>46.050000000000004</v>
      </c>
      <c r="O380" s="171">
        <v>48.76</v>
      </c>
      <c r="P380" s="171">
        <v>48.03</v>
      </c>
      <c r="Q380" s="171">
        <v>46.08</v>
      </c>
      <c r="R380" s="171">
        <v>46.12</v>
      </c>
      <c r="S380" s="171">
        <v>44.28</v>
      </c>
      <c r="T380" s="171">
        <v>46.02</v>
      </c>
      <c r="U380" s="171">
        <v>44</v>
      </c>
      <c r="V380" s="171">
        <v>44.02</v>
      </c>
      <c r="W380" s="171">
        <v>48.1</v>
      </c>
      <c r="X380" s="171">
        <v>51.19</v>
      </c>
      <c r="Y380" s="171">
        <v>43.51</v>
      </c>
      <c r="Z380" s="171">
        <v>39.67</v>
      </c>
      <c r="AA380" s="171">
        <v>31.98</v>
      </c>
      <c r="AB380" s="171">
        <v>51.19</v>
      </c>
      <c r="AC380" s="171">
        <v>28.39</v>
      </c>
      <c r="AD380" s="171">
        <v>23.73</v>
      </c>
      <c r="AF380" s="171">
        <f t="shared" si="17"/>
        <v>2007</v>
      </c>
      <c r="AG380" s="171">
        <f t="shared" si="18"/>
        <v>10</v>
      </c>
      <c r="AH380" s="700">
        <f>SUMIF(D$3:$AA380,"&lt;="&amp;$AH$1)/COUNTIF(D$3:$AA380,"&lt;="&amp;$AH$1)</f>
        <v>28.236399110392227</v>
      </c>
    </row>
    <row r="381" spans="2:34" x14ac:dyDescent="0.25">
      <c r="B381" s="910">
        <v>39359</v>
      </c>
      <c r="C381" s="581">
        <f t="shared" si="16"/>
        <v>10</v>
      </c>
      <c r="D381" s="171">
        <v>32</v>
      </c>
      <c r="E381" s="171">
        <v>22.95</v>
      </c>
      <c r="F381" s="171">
        <v>24.87</v>
      </c>
      <c r="G381" s="171">
        <v>24.68</v>
      </c>
      <c r="H381" s="171">
        <v>25.490000000000002</v>
      </c>
      <c r="I381" s="171">
        <v>28.21</v>
      </c>
      <c r="J381" s="171">
        <v>41.46</v>
      </c>
      <c r="K381" s="171">
        <v>56.57</v>
      </c>
      <c r="L381" s="171">
        <v>61.2</v>
      </c>
      <c r="M381" s="171">
        <v>61.25</v>
      </c>
      <c r="N381" s="171">
        <v>63.190000000000005</v>
      </c>
      <c r="O381" s="171">
        <v>66.88</v>
      </c>
      <c r="P381" s="171">
        <v>57.35</v>
      </c>
      <c r="Q381" s="171">
        <v>59</v>
      </c>
      <c r="R381" s="171">
        <v>53.61</v>
      </c>
      <c r="S381" s="171">
        <v>52</v>
      </c>
      <c r="T381" s="171">
        <v>50.43</v>
      </c>
      <c r="U381" s="171">
        <v>52.120000000000005</v>
      </c>
      <c r="V381" s="171">
        <v>52</v>
      </c>
      <c r="W381" s="171">
        <v>61</v>
      </c>
      <c r="X381" s="171">
        <v>59.120000000000005</v>
      </c>
      <c r="Y381" s="171">
        <v>46.9</v>
      </c>
      <c r="Z381" s="171">
        <v>36.119999999999997</v>
      </c>
      <c r="AA381" s="171">
        <v>35</v>
      </c>
      <c r="AB381" s="171">
        <v>66.88</v>
      </c>
      <c r="AC381" s="171">
        <v>36.119999999999997</v>
      </c>
      <c r="AD381" s="171">
        <v>29.330000000000002</v>
      </c>
      <c r="AF381" s="171">
        <f t="shared" si="17"/>
        <v>2007</v>
      </c>
      <c r="AG381" s="171">
        <f t="shared" si="18"/>
        <v>9</v>
      </c>
      <c r="AH381" s="700">
        <f>SUMIF(D$3:$AA381,"&lt;="&amp;$AH$1)/COUNTIF(D$3:$AA381,"&lt;="&amp;$AH$1)</f>
        <v>28.239759838546906</v>
      </c>
    </row>
    <row r="382" spans="2:34" x14ac:dyDescent="0.25">
      <c r="B382" s="910">
        <v>39360</v>
      </c>
      <c r="C382" s="581">
        <f t="shared" si="16"/>
        <v>10</v>
      </c>
      <c r="D382" s="171">
        <v>31.03</v>
      </c>
      <c r="E382" s="171">
        <v>24.89</v>
      </c>
      <c r="F382" s="171">
        <v>22.09</v>
      </c>
      <c r="G382" s="171">
        <v>16.990000000000002</v>
      </c>
      <c r="H382" s="171">
        <v>17.100000000000001</v>
      </c>
      <c r="I382" s="171">
        <v>26.72</v>
      </c>
      <c r="J382" s="171">
        <v>37.96</v>
      </c>
      <c r="K382" s="171">
        <v>50.19</v>
      </c>
      <c r="L382" s="171">
        <v>62.1</v>
      </c>
      <c r="M382" s="171">
        <v>61.68</v>
      </c>
      <c r="N382" s="171">
        <v>64.25</v>
      </c>
      <c r="O382" s="171">
        <v>70</v>
      </c>
      <c r="P382" s="171">
        <v>62.92</v>
      </c>
      <c r="Q382" s="171">
        <v>61</v>
      </c>
      <c r="R382" s="171">
        <v>60</v>
      </c>
      <c r="S382" s="171">
        <v>54.5</v>
      </c>
      <c r="T382" s="171">
        <v>50.980000000000004</v>
      </c>
      <c r="U382" s="171">
        <v>52</v>
      </c>
      <c r="V382" s="171">
        <v>50.9</v>
      </c>
      <c r="W382" s="171">
        <v>59</v>
      </c>
      <c r="X382" s="171">
        <v>53.03</v>
      </c>
      <c r="Y382" s="171">
        <v>43.12</v>
      </c>
      <c r="Z382" s="171">
        <v>37.85</v>
      </c>
      <c r="AA382" s="171">
        <v>34.04</v>
      </c>
      <c r="AB382" s="171">
        <v>70</v>
      </c>
      <c r="AC382" s="171">
        <v>37.85</v>
      </c>
      <c r="AD382" s="171">
        <v>26.35</v>
      </c>
      <c r="AF382" s="171">
        <f t="shared" si="17"/>
        <v>2007</v>
      </c>
      <c r="AG382" s="171">
        <f t="shared" si="18"/>
        <v>9</v>
      </c>
      <c r="AH382" s="700">
        <f>SUMIF(D$3:$AA382,"&lt;="&amp;$AH$1)/COUNTIF(D$3:$AA382,"&lt;="&amp;$AH$1)</f>
        <v>28.238654311039472</v>
      </c>
    </row>
    <row r="383" spans="2:34" x14ac:dyDescent="0.25">
      <c r="B383" s="910">
        <v>39363</v>
      </c>
      <c r="C383" s="581">
        <f t="shared" si="16"/>
        <v>10</v>
      </c>
      <c r="D383" s="171">
        <v>25.490000000000002</v>
      </c>
      <c r="E383" s="171">
        <v>20.54</v>
      </c>
      <c r="F383" s="171">
        <v>18.55</v>
      </c>
      <c r="G383" s="171">
        <v>12.94</v>
      </c>
      <c r="H383" s="171">
        <v>11.55</v>
      </c>
      <c r="I383" s="171">
        <v>15.030000000000001</v>
      </c>
      <c r="J383" s="171">
        <v>32</v>
      </c>
      <c r="K383" s="171">
        <v>49.910000000000004</v>
      </c>
      <c r="L383" s="171">
        <v>63.17</v>
      </c>
      <c r="M383" s="171">
        <v>63.17</v>
      </c>
      <c r="N383" s="171">
        <v>69</v>
      </c>
      <c r="O383" s="171">
        <v>79.02</v>
      </c>
      <c r="P383" s="171">
        <v>72</v>
      </c>
      <c r="Q383" s="171">
        <v>68.510000000000005</v>
      </c>
      <c r="R383" s="171">
        <v>61.25</v>
      </c>
      <c r="S383" s="171">
        <v>58</v>
      </c>
      <c r="T383" s="171">
        <v>55.910000000000004</v>
      </c>
      <c r="U383" s="171">
        <v>53</v>
      </c>
      <c r="V383" s="171">
        <v>58</v>
      </c>
      <c r="W383" s="171">
        <v>86.100000000000009</v>
      </c>
      <c r="X383" s="171">
        <v>59.99</v>
      </c>
      <c r="Y383" s="171">
        <v>48.25</v>
      </c>
      <c r="Z383" s="171">
        <v>39.99</v>
      </c>
      <c r="AA383" s="171">
        <v>31.740000000000002</v>
      </c>
      <c r="AB383" s="171">
        <v>86.100000000000009</v>
      </c>
      <c r="AC383" s="171">
        <v>32</v>
      </c>
      <c r="AD383" s="171">
        <v>20.98</v>
      </c>
      <c r="AF383" s="171">
        <f t="shared" si="17"/>
        <v>2007</v>
      </c>
      <c r="AG383" s="171">
        <f t="shared" si="18"/>
        <v>9</v>
      </c>
      <c r="AH383" s="700">
        <f>SUMIF(D$3:$AA383,"&lt;="&amp;$AH$1)/COUNTIF(D$3:$AA383,"&lt;="&amp;$AH$1)</f>
        <v>28.22934043836716</v>
      </c>
    </row>
    <row r="384" spans="2:34" x14ac:dyDescent="0.25">
      <c r="B384" s="910">
        <v>39364</v>
      </c>
      <c r="C384" s="581">
        <f t="shared" si="16"/>
        <v>10</v>
      </c>
      <c r="D384" s="171">
        <v>32.130000000000003</v>
      </c>
      <c r="E384" s="171">
        <v>26.330000000000002</v>
      </c>
      <c r="F384" s="171">
        <v>25.97</v>
      </c>
      <c r="G384" s="171">
        <v>21.8</v>
      </c>
      <c r="H384" s="171">
        <v>20.85</v>
      </c>
      <c r="I384" s="171">
        <v>29.5</v>
      </c>
      <c r="J384" s="171">
        <v>43.89</v>
      </c>
      <c r="K384" s="171">
        <v>62.97</v>
      </c>
      <c r="L384" s="171">
        <v>80.850000000000009</v>
      </c>
      <c r="M384" s="171">
        <v>78</v>
      </c>
      <c r="N384" s="171">
        <v>80.05</v>
      </c>
      <c r="O384" s="171">
        <v>92.01</v>
      </c>
      <c r="P384" s="171">
        <v>76.94</v>
      </c>
      <c r="Q384" s="171">
        <v>76.5</v>
      </c>
      <c r="R384" s="171">
        <v>68.960000000000008</v>
      </c>
      <c r="S384" s="171">
        <v>67.72</v>
      </c>
      <c r="T384" s="171">
        <v>65.989999999999995</v>
      </c>
      <c r="U384" s="171">
        <v>64.599999999999994</v>
      </c>
      <c r="V384" s="171">
        <v>71.5</v>
      </c>
      <c r="W384" s="171">
        <v>88.67</v>
      </c>
      <c r="X384" s="171">
        <v>65.099999999999994</v>
      </c>
      <c r="Y384" s="171">
        <v>54.5</v>
      </c>
      <c r="Z384" s="171">
        <v>47.51</v>
      </c>
      <c r="AA384" s="171">
        <v>37.19</v>
      </c>
      <c r="AB384" s="171">
        <v>92.01</v>
      </c>
      <c r="AC384" s="171">
        <v>47.51</v>
      </c>
      <c r="AD384" s="171">
        <v>29.71</v>
      </c>
      <c r="AF384" s="171">
        <f t="shared" si="17"/>
        <v>2007</v>
      </c>
      <c r="AG384" s="171">
        <f t="shared" si="18"/>
        <v>7</v>
      </c>
      <c r="AH384" s="700">
        <f>SUMIF(D$3:$AA384,"&lt;="&amp;$AH$1)/COUNTIF(D$3:$AA384,"&lt;="&amp;$AH$1)</f>
        <v>28.228570281124476</v>
      </c>
    </row>
    <row r="385" spans="2:34" x14ac:dyDescent="0.25">
      <c r="B385" s="910">
        <v>39365</v>
      </c>
      <c r="C385" s="581">
        <f t="shared" si="16"/>
        <v>10</v>
      </c>
      <c r="D385" s="171">
        <v>29.94</v>
      </c>
      <c r="E385" s="171">
        <v>25</v>
      </c>
      <c r="F385" s="171">
        <v>23.12</v>
      </c>
      <c r="G385" s="171">
        <v>23.5</v>
      </c>
      <c r="H385" s="171">
        <v>23.93</v>
      </c>
      <c r="I385" s="171">
        <v>28.400000000000002</v>
      </c>
      <c r="J385" s="171">
        <v>40</v>
      </c>
      <c r="K385" s="171">
        <v>61.26</v>
      </c>
      <c r="L385" s="171">
        <v>68.960000000000008</v>
      </c>
      <c r="M385" s="171">
        <v>71.11</v>
      </c>
      <c r="N385" s="171">
        <v>75.010000000000005</v>
      </c>
      <c r="O385" s="171">
        <v>73.960000000000008</v>
      </c>
      <c r="P385" s="171">
        <v>70.37</v>
      </c>
      <c r="Q385" s="171">
        <v>69.91</v>
      </c>
      <c r="R385" s="171">
        <v>68.98</v>
      </c>
      <c r="S385" s="171">
        <v>66.98</v>
      </c>
      <c r="T385" s="171">
        <v>63.980000000000004</v>
      </c>
      <c r="U385" s="171">
        <v>60.95</v>
      </c>
      <c r="V385" s="171">
        <v>66.05</v>
      </c>
      <c r="W385" s="171">
        <v>75.09</v>
      </c>
      <c r="X385" s="171">
        <v>69.94</v>
      </c>
      <c r="Y385" s="171">
        <v>51.94</v>
      </c>
      <c r="Z385" s="171">
        <v>41.82</v>
      </c>
      <c r="AA385" s="171">
        <v>35</v>
      </c>
      <c r="AB385" s="171">
        <v>71.11</v>
      </c>
      <c r="AC385" s="171">
        <v>41.82</v>
      </c>
      <c r="AD385" s="171">
        <v>28.61</v>
      </c>
      <c r="AF385" s="171">
        <f t="shared" si="17"/>
        <v>2007</v>
      </c>
      <c r="AG385" s="171">
        <f t="shared" si="18"/>
        <v>9</v>
      </c>
      <c r="AH385" s="700">
        <f>SUMIF(D$3:$AA385,"&lt;="&amp;$AH$1)/COUNTIF(D$3:$AA385,"&lt;="&amp;$AH$1)</f>
        <v>28.231908198035654</v>
      </c>
    </row>
    <row r="386" spans="2:34" x14ac:dyDescent="0.25">
      <c r="B386" s="910">
        <v>39366</v>
      </c>
      <c r="C386" s="581">
        <f t="shared" si="16"/>
        <v>10</v>
      </c>
      <c r="D386" s="171">
        <v>32</v>
      </c>
      <c r="E386" s="171">
        <v>27.48</v>
      </c>
      <c r="F386" s="171">
        <v>26.11</v>
      </c>
      <c r="G386" s="171">
        <v>24.43</v>
      </c>
      <c r="H386" s="171">
        <v>25</v>
      </c>
      <c r="I386" s="171">
        <v>28.36</v>
      </c>
      <c r="J386" s="171">
        <v>45.9</v>
      </c>
      <c r="K386" s="171">
        <v>67.12</v>
      </c>
      <c r="L386" s="171">
        <v>81.27</v>
      </c>
      <c r="M386" s="171">
        <v>78</v>
      </c>
      <c r="N386" s="171">
        <v>79.19</v>
      </c>
      <c r="O386" s="171">
        <v>86</v>
      </c>
      <c r="P386" s="171">
        <v>71.48</v>
      </c>
      <c r="Q386" s="171">
        <v>68.94</v>
      </c>
      <c r="R386" s="171">
        <v>70</v>
      </c>
      <c r="S386" s="171">
        <v>68.5</v>
      </c>
      <c r="T386" s="171">
        <v>63</v>
      </c>
      <c r="U386" s="171">
        <v>61.75</v>
      </c>
      <c r="V386" s="171">
        <v>69.55</v>
      </c>
      <c r="W386" s="171">
        <v>87.710000000000008</v>
      </c>
      <c r="X386" s="171">
        <v>70.33</v>
      </c>
      <c r="Y386" s="171">
        <v>53.52</v>
      </c>
      <c r="Z386" s="171">
        <v>45.5</v>
      </c>
      <c r="AA386" s="171">
        <v>36.1</v>
      </c>
      <c r="AB386" s="171">
        <v>87.710000000000008</v>
      </c>
      <c r="AC386" s="171">
        <v>45.5</v>
      </c>
      <c r="AD386" s="171">
        <v>30.67</v>
      </c>
      <c r="AF386" s="171">
        <f t="shared" si="17"/>
        <v>2007</v>
      </c>
      <c r="AG386" s="171">
        <f t="shared" si="18"/>
        <v>7</v>
      </c>
      <c r="AH386" s="700">
        <f>SUMIF(D$3:$AA386,"&lt;="&amp;$AH$1)/COUNTIF(D$3:$AA386,"&lt;="&amp;$AH$1)</f>
        <v>28.232279823859059</v>
      </c>
    </row>
    <row r="387" spans="2:34" x14ac:dyDescent="0.25">
      <c r="B387" s="910">
        <v>39367</v>
      </c>
      <c r="C387" s="581">
        <f t="shared" si="16"/>
        <v>10</v>
      </c>
      <c r="D387" s="171">
        <v>28.04</v>
      </c>
      <c r="E387" s="171">
        <v>24.86</v>
      </c>
      <c r="F387" s="171">
        <v>23.21</v>
      </c>
      <c r="G387" s="171">
        <v>18.940000000000001</v>
      </c>
      <c r="H387" s="171">
        <v>19.91</v>
      </c>
      <c r="I387" s="171">
        <v>27.45</v>
      </c>
      <c r="J387" s="171">
        <v>42.4</v>
      </c>
      <c r="K387" s="171">
        <v>57.980000000000004</v>
      </c>
      <c r="L387" s="171">
        <v>61.97</v>
      </c>
      <c r="M387" s="171">
        <v>63.18</v>
      </c>
      <c r="N387" s="171">
        <v>63.31</v>
      </c>
      <c r="O387" s="171">
        <v>64.08</v>
      </c>
      <c r="P387" s="171">
        <v>60.09</v>
      </c>
      <c r="Q387" s="171">
        <v>55.06</v>
      </c>
      <c r="R387" s="171">
        <v>54.04</v>
      </c>
      <c r="S387" s="171">
        <v>52.75</v>
      </c>
      <c r="T387" s="171">
        <v>50.300000000000004</v>
      </c>
      <c r="U387" s="171">
        <v>47.92</v>
      </c>
      <c r="V387" s="171">
        <v>56</v>
      </c>
      <c r="W387" s="171">
        <v>64.92</v>
      </c>
      <c r="X387" s="171">
        <v>63.99</v>
      </c>
      <c r="Y387" s="171">
        <v>53</v>
      </c>
      <c r="Z387" s="171">
        <v>43.95</v>
      </c>
      <c r="AA387" s="171">
        <v>35.93</v>
      </c>
      <c r="AB387" s="171">
        <v>64.92</v>
      </c>
      <c r="AC387" s="171">
        <v>42.4</v>
      </c>
      <c r="AD387" s="171">
        <v>27.59</v>
      </c>
      <c r="AF387" s="171">
        <f t="shared" si="17"/>
        <v>2007</v>
      </c>
      <c r="AG387" s="171">
        <f t="shared" si="18"/>
        <v>8</v>
      </c>
      <c r="AH387" s="700">
        <f>SUMIF(D$3:$AA387,"&lt;="&amp;$AH$1)/COUNTIF(D$3:$AA387,"&lt;="&amp;$AH$1)</f>
        <v>28.231256994404447</v>
      </c>
    </row>
    <row r="388" spans="2:34" x14ac:dyDescent="0.25">
      <c r="B388" s="910">
        <v>39370</v>
      </c>
      <c r="C388" s="581">
        <f t="shared" ref="C388:C451" si="19">MONTH(B388)</f>
        <v>10</v>
      </c>
      <c r="D388" s="171">
        <v>24.73</v>
      </c>
      <c r="E388" s="171">
        <v>14.91</v>
      </c>
      <c r="F388" s="171">
        <v>11.91</v>
      </c>
      <c r="G388" s="171">
        <v>10.71</v>
      </c>
      <c r="H388" s="171">
        <v>10.700000000000001</v>
      </c>
      <c r="I388" s="171">
        <v>20.900000000000002</v>
      </c>
      <c r="J388" s="171">
        <v>33.99</v>
      </c>
      <c r="K388" s="171">
        <v>53.980000000000004</v>
      </c>
      <c r="L388" s="171">
        <v>58</v>
      </c>
      <c r="M388" s="171">
        <v>59.9</v>
      </c>
      <c r="N388" s="171">
        <v>58</v>
      </c>
      <c r="O388" s="171">
        <v>58.94</v>
      </c>
      <c r="P388" s="171">
        <v>56.4</v>
      </c>
      <c r="Q388" s="171">
        <v>57.04</v>
      </c>
      <c r="R388" s="171">
        <v>57</v>
      </c>
      <c r="S388" s="171">
        <v>54</v>
      </c>
      <c r="T388" s="171">
        <v>49.93</v>
      </c>
      <c r="U388" s="171">
        <v>48.99</v>
      </c>
      <c r="V388" s="171">
        <v>54.78</v>
      </c>
      <c r="W388" s="171">
        <v>58.9</v>
      </c>
      <c r="X388" s="171">
        <v>57.300000000000004</v>
      </c>
      <c r="Y388" s="171">
        <v>44.21</v>
      </c>
      <c r="Z388" s="171">
        <v>34.44</v>
      </c>
      <c r="AA388" s="171">
        <v>31.09</v>
      </c>
      <c r="AB388" s="171">
        <v>59.9</v>
      </c>
      <c r="AC388" s="171">
        <v>33.99</v>
      </c>
      <c r="AD388" s="171">
        <v>19.87</v>
      </c>
      <c r="AF388" s="171">
        <f t="shared" ref="AF388:AF451" si="20">YEAR(B388)</f>
        <v>2007</v>
      </c>
      <c r="AG388" s="171">
        <f t="shared" ref="AG388:AG451" si="21">COUNTIF(D388:AA388,"&lt;="&amp;$AH$1)</f>
        <v>9</v>
      </c>
      <c r="AH388" s="700">
        <f>SUMIF(D$3:$AA388,"&lt;="&amp;$AH$1)/COUNTIF(D$3:$AA388,"&lt;="&amp;$AH$1)</f>
        <v>28.219148214641901</v>
      </c>
    </row>
    <row r="389" spans="2:34" x14ac:dyDescent="0.25">
      <c r="B389" s="910">
        <v>39371</v>
      </c>
      <c r="C389" s="581">
        <f t="shared" si="19"/>
        <v>10</v>
      </c>
      <c r="D389" s="171">
        <v>30</v>
      </c>
      <c r="E389" s="171">
        <v>24.310000000000002</v>
      </c>
      <c r="F389" s="171">
        <v>22</v>
      </c>
      <c r="G389" s="171">
        <v>18.91</v>
      </c>
      <c r="H389" s="171">
        <v>20.53</v>
      </c>
      <c r="I389" s="171">
        <v>26</v>
      </c>
      <c r="J389" s="171">
        <v>41.75</v>
      </c>
      <c r="K389" s="171">
        <v>58</v>
      </c>
      <c r="L389" s="171">
        <v>61.04</v>
      </c>
      <c r="M389" s="171">
        <v>62</v>
      </c>
      <c r="N389" s="171">
        <v>61.38</v>
      </c>
      <c r="O389" s="171">
        <v>63</v>
      </c>
      <c r="P389" s="171">
        <v>60.07</v>
      </c>
      <c r="Q389" s="171">
        <v>58</v>
      </c>
      <c r="R389" s="171">
        <v>58.52</v>
      </c>
      <c r="S389" s="171">
        <v>52.32</v>
      </c>
      <c r="T389" s="171">
        <v>51.99</v>
      </c>
      <c r="U389" s="171">
        <v>53.39</v>
      </c>
      <c r="V389" s="171">
        <v>57.42</v>
      </c>
      <c r="W389" s="171">
        <v>67.540000000000006</v>
      </c>
      <c r="X389" s="171">
        <v>63.5</v>
      </c>
      <c r="Y389" s="171">
        <v>49.95</v>
      </c>
      <c r="Z389" s="171">
        <v>40.72</v>
      </c>
      <c r="AA389" s="171">
        <v>34.06</v>
      </c>
      <c r="AB389" s="171">
        <v>67.540000000000006</v>
      </c>
      <c r="AC389" s="171">
        <v>40.72</v>
      </c>
      <c r="AD389" s="171">
        <v>27.19</v>
      </c>
      <c r="AF389" s="171">
        <f t="shared" si="20"/>
        <v>2007</v>
      </c>
      <c r="AG389" s="171">
        <f t="shared" si="21"/>
        <v>9</v>
      </c>
      <c r="AH389" s="700">
        <f>SUMIF(D$3:$AA389,"&lt;="&amp;$AH$1)/COUNTIF(D$3:$AA389,"&lt;="&amp;$AH$1)</f>
        <v>28.220005973715622</v>
      </c>
    </row>
    <row r="390" spans="2:34" x14ac:dyDescent="0.25">
      <c r="B390" s="910">
        <v>39372</v>
      </c>
      <c r="C390" s="581">
        <f t="shared" si="19"/>
        <v>10</v>
      </c>
      <c r="D390" s="171">
        <v>30.150000000000002</v>
      </c>
      <c r="E390" s="171">
        <v>24.91</v>
      </c>
      <c r="F390" s="171">
        <v>21.990000000000002</v>
      </c>
      <c r="G390" s="171">
        <v>20.07</v>
      </c>
      <c r="H390" s="171">
        <v>20.6</v>
      </c>
      <c r="I390" s="171">
        <v>27.2</v>
      </c>
      <c r="J390" s="171">
        <v>39</v>
      </c>
      <c r="K390" s="171">
        <v>69.210000000000008</v>
      </c>
      <c r="L390" s="171">
        <v>62.910000000000004</v>
      </c>
      <c r="M390" s="171">
        <v>65.14</v>
      </c>
      <c r="N390" s="171">
        <v>65.930000000000007</v>
      </c>
      <c r="O390" s="171">
        <v>68.48</v>
      </c>
      <c r="P390" s="171">
        <v>62.08</v>
      </c>
      <c r="Q390" s="171">
        <v>62.050000000000004</v>
      </c>
      <c r="R390" s="171">
        <v>60.51</v>
      </c>
      <c r="S390" s="171">
        <v>56.06</v>
      </c>
      <c r="T390" s="171">
        <v>58.94</v>
      </c>
      <c r="U390" s="171">
        <v>55.74</v>
      </c>
      <c r="V390" s="171">
        <v>67.59</v>
      </c>
      <c r="W390" s="171">
        <v>74.010000000000005</v>
      </c>
      <c r="X390" s="171">
        <v>68.460000000000008</v>
      </c>
      <c r="Y390" s="171">
        <v>53.75</v>
      </c>
      <c r="Z390" s="171">
        <v>37.1</v>
      </c>
      <c r="AA390" s="171">
        <v>33</v>
      </c>
      <c r="AB390" s="171">
        <v>74.010000000000005</v>
      </c>
      <c r="AC390" s="171">
        <v>37.1</v>
      </c>
      <c r="AD390" s="171">
        <v>27.11</v>
      </c>
      <c r="AF390" s="171">
        <f t="shared" si="20"/>
        <v>2007</v>
      </c>
      <c r="AG390" s="171">
        <f t="shared" si="21"/>
        <v>9</v>
      </c>
      <c r="AH390" s="700">
        <f>SUMIF(D$3:$AA390,"&lt;="&amp;$AH$1)/COUNTIF(D$3:$AA390,"&lt;="&amp;$AH$1)</f>
        <v>28.220013913734817</v>
      </c>
    </row>
    <row r="391" spans="2:34" x14ac:dyDescent="0.25">
      <c r="B391" s="910">
        <v>39373</v>
      </c>
      <c r="C391" s="581">
        <f t="shared" si="19"/>
        <v>10</v>
      </c>
      <c r="D391" s="171">
        <v>33.74</v>
      </c>
      <c r="E391" s="171">
        <v>27.810000000000002</v>
      </c>
      <c r="F391" s="171">
        <v>26.04</v>
      </c>
      <c r="G391" s="171">
        <v>24.79</v>
      </c>
      <c r="H391" s="171">
        <v>25.66</v>
      </c>
      <c r="I391" s="171">
        <v>30.09</v>
      </c>
      <c r="J391" s="171">
        <v>49.95</v>
      </c>
      <c r="K391" s="171">
        <v>68.31</v>
      </c>
      <c r="L391" s="171">
        <v>69.55</v>
      </c>
      <c r="M391" s="171">
        <v>68</v>
      </c>
      <c r="N391" s="171">
        <v>68</v>
      </c>
      <c r="O391" s="171">
        <v>67.55</v>
      </c>
      <c r="P391" s="171">
        <v>64.75</v>
      </c>
      <c r="Q391" s="171">
        <v>64.13</v>
      </c>
      <c r="R391" s="171">
        <v>66.099999999999994</v>
      </c>
      <c r="S391" s="171">
        <v>65.650000000000006</v>
      </c>
      <c r="T391" s="171">
        <v>64.989999999999995</v>
      </c>
      <c r="U391" s="171">
        <v>63.68</v>
      </c>
      <c r="V391" s="171">
        <v>69</v>
      </c>
      <c r="W391" s="171">
        <v>80.09</v>
      </c>
      <c r="X391" s="171">
        <v>72</v>
      </c>
      <c r="Y391" s="171">
        <v>56.31</v>
      </c>
      <c r="Z391" s="171">
        <v>42.6</v>
      </c>
      <c r="AA391" s="171">
        <v>37.42</v>
      </c>
      <c r="AB391" s="171">
        <v>80.09</v>
      </c>
      <c r="AC391" s="171">
        <v>42.6</v>
      </c>
      <c r="AD391" s="171">
        <v>31.94</v>
      </c>
      <c r="AF391" s="171">
        <f t="shared" si="20"/>
        <v>2007</v>
      </c>
      <c r="AG391" s="171">
        <f t="shared" si="21"/>
        <v>7</v>
      </c>
      <c r="AH391" s="700">
        <f>SUMIF(D$3:$AA391,"&lt;="&amp;$AH$1)/COUNTIF(D$3:$AA391,"&lt;="&amp;$AH$1)</f>
        <v>28.221603811036104</v>
      </c>
    </row>
    <row r="392" spans="2:34" x14ac:dyDescent="0.25">
      <c r="B392" s="910">
        <v>39374</v>
      </c>
      <c r="C392" s="581">
        <f t="shared" si="19"/>
        <v>10</v>
      </c>
      <c r="D392" s="171">
        <v>37.53</v>
      </c>
      <c r="E392" s="171">
        <v>32</v>
      </c>
      <c r="F392" s="171">
        <v>29.25</v>
      </c>
      <c r="G392" s="171">
        <v>28.02</v>
      </c>
      <c r="H392" s="171">
        <v>28.01</v>
      </c>
      <c r="I392" s="171">
        <v>34.83</v>
      </c>
      <c r="J392" s="171">
        <v>53</v>
      </c>
      <c r="K392" s="171">
        <v>81</v>
      </c>
      <c r="L392" s="171">
        <v>93</v>
      </c>
      <c r="M392" s="171">
        <v>99.990000000000009</v>
      </c>
      <c r="N392" s="171">
        <v>99.990000000000009</v>
      </c>
      <c r="O392" s="171">
        <v>91.8</v>
      </c>
      <c r="P392" s="171">
        <v>83.91</v>
      </c>
      <c r="Q392" s="171">
        <v>75.070000000000007</v>
      </c>
      <c r="R392" s="171">
        <v>72.98</v>
      </c>
      <c r="S392" s="171">
        <v>70.12</v>
      </c>
      <c r="T392" s="171">
        <v>63.1</v>
      </c>
      <c r="U392" s="171">
        <v>64.180000000000007</v>
      </c>
      <c r="V392" s="171">
        <v>74.97</v>
      </c>
      <c r="W392" s="171">
        <v>87.25</v>
      </c>
      <c r="X392" s="171">
        <v>71.97</v>
      </c>
      <c r="Y392" s="171">
        <v>61.9</v>
      </c>
      <c r="Z392" s="171">
        <v>48.57</v>
      </c>
      <c r="AA392" s="171">
        <v>44.07</v>
      </c>
      <c r="AB392" s="171">
        <v>99.990000000000009</v>
      </c>
      <c r="AC392" s="171">
        <v>48.57</v>
      </c>
      <c r="AD392" s="171">
        <v>35.840000000000003</v>
      </c>
      <c r="AF392" s="171">
        <f t="shared" si="20"/>
        <v>2007</v>
      </c>
      <c r="AG392" s="171">
        <f t="shared" si="21"/>
        <v>6</v>
      </c>
      <c r="AH392" s="700">
        <f>SUMIF(D$3:$AA392,"&lt;="&amp;$AH$1)/COUNTIF(D$3:$AA392,"&lt;="&amp;$AH$1)</f>
        <v>28.22563045202218</v>
      </c>
    </row>
    <row r="393" spans="2:34" x14ac:dyDescent="0.25">
      <c r="B393" s="910">
        <v>39377</v>
      </c>
      <c r="C393" s="581">
        <f t="shared" si="19"/>
        <v>10</v>
      </c>
      <c r="D393" s="171">
        <v>29.5</v>
      </c>
      <c r="E393" s="171">
        <v>26.6</v>
      </c>
      <c r="F393" s="171">
        <v>17.330000000000002</v>
      </c>
      <c r="G393" s="171">
        <v>17.38</v>
      </c>
      <c r="H393" s="171">
        <v>20.8</v>
      </c>
      <c r="I393" s="171">
        <v>32.5</v>
      </c>
      <c r="J393" s="171">
        <v>58.03</v>
      </c>
      <c r="K393" s="171">
        <v>88.9</v>
      </c>
      <c r="L393" s="171">
        <v>107</v>
      </c>
      <c r="M393" s="171">
        <v>127.21000000000001</v>
      </c>
      <c r="N393" s="171">
        <v>100</v>
      </c>
      <c r="O393" s="171">
        <v>125.46000000000001</v>
      </c>
      <c r="P393" s="171">
        <v>90.070000000000007</v>
      </c>
      <c r="Q393" s="171">
        <v>85.13</v>
      </c>
      <c r="R393" s="171">
        <v>85.02</v>
      </c>
      <c r="S393" s="171">
        <v>85.74</v>
      </c>
      <c r="T393" s="171">
        <v>80</v>
      </c>
      <c r="U393" s="171">
        <v>73.81</v>
      </c>
      <c r="V393" s="171">
        <v>89.320000000000007</v>
      </c>
      <c r="W393" s="171">
        <v>198.69</v>
      </c>
      <c r="X393" s="171">
        <v>83</v>
      </c>
      <c r="Y393" s="171">
        <v>60.9</v>
      </c>
      <c r="Z393" s="171">
        <v>46.26</v>
      </c>
      <c r="AA393" s="171">
        <v>52.46</v>
      </c>
      <c r="AB393" s="171">
        <v>127.21000000000001</v>
      </c>
      <c r="AC393" s="171">
        <v>46.26</v>
      </c>
      <c r="AD393" s="171">
        <v>31.830000000000002</v>
      </c>
      <c r="AF393" s="171">
        <f t="shared" si="20"/>
        <v>2007</v>
      </c>
      <c r="AG393" s="171">
        <f t="shared" si="21"/>
        <v>6</v>
      </c>
      <c r="AH393" s="700">
        <f>SUMIF(D$3:$AA393,"&lt;="&amp;$AH$1)/COUNTIF(D$3:$AA393,"&lt;="&amp;$AH$1)</f>
        <v>28.220631683168289</v>
      </c>
    </row>
    <row r="394" spans="2:34" x14ac:dyDescent="0.25">
      <c r="B394" s="910">
        <v>39378</v>
      </c>
      <c r="C394" s="581">
        <f t="shared" si="19"/>
        <v>10</v>
      </c>
      <c r="D394" s="171">
        <v>43.07</v>
      </c>
      <c r="E394" s="171">
        <v>39.93</v>
      </c>
      <c r="F394" s="171">
        <v>36</v>
      </c>
      <c r="G394" s="171">
        <v>32.520000000000003</v>
      </c>
      <c r="H394" s="171">
        <v>33.020000000000003</v>
      </c>
      <c r="I394" s="171">
        <v>44.03</v>
      </c>
      <c r="J394" s="171">
        <v>69.09</v>
      </c>
      <c r="K394" s="171">
        <v>105.96000000000001</v>
      </c>
      <c r="L394" s="171">
        <v>117.16</v>
      </c>
      <c r="M394" s="171">
        <v>130</v>
      </c>
      <c r="N394" s="171">
        <v>135</v>
      </c>
      <c r="O394" s="171">
        <v>150.03</v>
      </c>
      <c r="P394" s="171">
        <v>110.4</v>
      </c>
      <c r="Q394" s="171">
        <v>105.35000000000001</v>
      </c>
      <c r="R394" s="171">
        <v>95.23</v>
      </c>
      <c r="S394" s="171">
        <v>92</v>
      </c>
      <c r="T394" s="171">
        <v>90</v>
      </c>
      <c r="U394" s="171">
        <v>95.73</v>
      </c>
      <c r="V394" s="171">
        <v>131.87</v>
      </c>
      <c r="W394" s="171">
        <v>176.75</v>
      </c>
      <c r="X394" s="171">
        <v>91.19</v>
      </c>
      <c r="Y394" s="171">
        <v>75.08</v>
      </c>
      <c r="Z394" s="171">
        <v>62.940000000000005</v>
      </c>
      <c r="AA394" s="171">
        <v>59</v>
      </c>
      <c r="AB394" s="171">
        <v>150.03</v>
      </c>
      <c r="AC394" s="171">
        <v>62.940000000000005</v>
      </c>
      <c r="AD394" s="171">
        <v>44.58</v>
      </c>
      <c r="AF394" s="171">
        <f t="shared" si="20"/>
        <v>2007</v>
      </c>
      <c r="AG394" s="171">
        <f t="shared" si="21"/>
        <v>4</v>
      </c>
      <c r="AH394" s="700">
        <f>SUMIF(D$3:$AA394,"&lt;="&amp;$AH$1)/COUNTIF(D$3:$AA394,"&lt;="&amp;$AH$1)</f>
        <v>28.226288088642626</v>
      </c>
    </row>
    <row r="395" spans="2:34" x14ac:dyDescent="0.25">
      <c r="B395" s="910">
        <v>39379</v>
      </c>
      <c r="C395" s="581">
        <f t="shared" si="19"/>
        <v>10</v>
      </c>
      <c r="D395" s="171">
        <v>45.29</v>
      </c>
      <c r="E395" s="171">
        <v>39.93</v>
      </c>
      <c r="F395" s="171">
        <v>34.700000000000003</v>
      </c>
      <c r="G395" s="171">
        <v>30.3</v>
      </c>
      <c r="H395" s="171">
        <v>30</v>
      </c>
      <c r="I395" s="171">
        <v>45</v>
      </c>
      <c r="J395" s="171">
        <v>63.95</v>
      </c>
      <c r="K395" s="171">
        <v>95</v>
      </c>
      <c r="L395" s="171">
        <v>113.2</v>
      </c>
      <c r="M395" s="171">
        <v>125.77</v>
      </c>
      <c r="N395" s="171">
        <v>139</v>
      </c>
      <c r="O395" s="171">
        <v>138.92000000000002</v>
      </c>
      <c r="P395" s="171">
        <v>94.15</v>
      </c>
      <c r="Q395" s="171">
        <v>94.99</v>
      </c>
      <c r="R395" s="171">
        <v>95.94</v>
      </c>
      <c r="S395" s="171">
        <v>95.28</v>
      </c>
      <c r="T395" s="171">
        <v>94.99</v>
      </c>
      <c r="U395" s="171">
        <v>98.36</v>
      </c>
      <c r="V395" s="171">
        <v>114.64</v>
      </c>
      <c r="W395" s="171">
        <v>139.34</v>
      </c>
      <c r="X395" s="171">
        <v>89.460000000000008</v>
      </c>
      <c r="Y395" s="171">
        <v>70</v>
      </c>
      <c r="Z395" s="171">
        <v>59.25</v>
      </c>
      <c r="AA395" s="171">
        <v>58.120000000000005</v>
      </c>
      <c r="AB395" s="171">
        <v>139</v>
      </c>
      <c r="AC395" s="171">
        <v>59.25</v>
      </c>
      <c r="AD395" s="171">
        <v>43.410000000000004</v>
      </c>
      <c r="AF395" s="171">
        <f t="shared" si="20"/>
        <v>2007</v>
      </c>
      <c r="AG395" s="171">
        <f t="shared" si="21"/>
        <v>4</v>
      </c>
      <c r="AH395" s="700">
        <f>SUMIF(D$3:$AA395,"&lt;="&amp;$AH$1)/COUNTIF(D$3:$AA395,"&lt;="&amp;$AH$1)</f>
        <v>28.230642546461016</v>
      </c>
    </row>
    <row r="396" spans="2:34" x14ac:dyDescent="0.25">
      <c r="B396" s="910">
        <v>39380</v>
      </c>
      <c r="C396" s="581">
        <f t="shared" si="19"/>
        <v>10</v>
      </c>
      <c r="D396" s="171">
        <v>46.35</v>
      </c>
      <c r="E396" s="171">
        <v>41</v>
      </c>
      <c r="F396" s="171">
        <v>33.83</v>
      </c>
      <c r="G396" s="171">
        <v>29.27</v>
      </c>
      <c r="H396" s="171">
        <v>26.95</v>
      </c>
      <c r="I396" s="171">
        <v>41.04</v>
      </c>
      <c r="J396" s="171">
        <v>63</v>
      </c>
      <c r="K396" s="171">
        <v>101.63</v>
      </c>
      <c r="L396" s="171">
        <v>106.46000000000001</v>
      </c>
      <c r="M396" s="171">
        <v>130</v>
      </c>
      <c r="N396" s="171">
        <v>136.04</v>
      </c>
      <c r="O396" s="171">
        <v>141.54</v>
      </c>
      <c r="P396" s="171">
        <v>98</v>
      </c>
      <c r="Q396" s="171">
        <v>95</v>
      </c>
      <c r="R396" s="171">
        <v>92.9</v>
      </c>
      <c r="S396" s="171">
        <v>95.570000000000007</v>
      </c>
      <c r="T396" s="171">
        <v>90.99</v>
      </c>
      <c r="U396" s="171">
        <v>93.99</v>
      </c>
      <c r="V396" s="171">
        <v>118.83</v>
      </c>
      <c r="W396" s="171">
        <v>171.57</v>
      </c>
      <c r="X396" s="171">
        <v>97.990000000000009</v>
      </c>
      <c r="Y396" s="171">
        <v>75</v>
      </c>
      <c r="Z396" s="171">
        <v>55.870000000000005</v>
      </c>
      <c r="AA396" s="171">
        <v>52.47</v>
      </c>
      <c r="AB396" s="171">
        <v>171.57</v>
      </c>
      <c r="AC396" s="171">
        <v>55.870000000000005</v>
      </c>
      <c r="AD396" s="171">
        <v>41.74</v>
      </c>
      <c r="AF396" s="171">
        <f t="shared" si="20"/>
        <v>2007</v>
      </c>
      <c r="AG396" s="171">
        <f t="shared" si="21"/>
        <v>5</v>
      </c>
      <c r="AH396" s="700">
        <f>SUMIF(D$3:$AA396,"&lt;="&amp;$AH$1)/COUNTIF(D$3:$AA396,"&lt;="&amp;$AH$1)</f>
        <v>28.236752913292477</v>
      </c>
    </row>
    <row r="397" spans="2:34" x14ac:dyDescent="0.25">
      <c r="B397" s="910">
        <v>39381</v>
      </c>
      <c r="C397" s="581">
        <f t="shared" si="19"/>
        <v>10</v>
      </c>
      <c r="D397" s="171">
        <v>47.89</v>
      </c>
      <c r="E397" s="171">
        <v>42</v>
      </c>
      <c r="F397" s="171">
        <v>37.06</v>
      </c>
      <c r="G397" s="171">
        <v>32.89</v>
      </c>
      <c r="H397" s="171">
        <v>28.59</v>
      </c>
      <c r="I397" s="171">
        <v>39.980000000000004</v>
      </c>
      <c r="J397" s="171">
        <v>63.050000000000004</v>
      </c>
      <c r="K397" s="171">
        <v>101.14</v>
      </c>
      <c r="L397" s="171">
        <v>129.75</v>
      </c>
      <c r="M397" s="171">
        <v>186.01</v>
      </c>
      <c r="N397" s="171">
        <v>193.20000000000002</v>
      </c>
      <c r="O397" s="171">
        <v>175.03</v>
      </c>
      <c r="P397" s="171">
        <v>110.35000000000001</v>
      </c>
      <c r="Q397" s="171">
        <v>105.5</v>
      </c>
      <c r="R397" s="171">
        <v>90.56</v>
      </c>
      <c r="S397" s="171">
        <v>82</v>
      </c>
      <c r="T397" s="171">
        <v>80.95</v>
      </c>
      <c r="U397" s="171">
        <v>82.97</v>
      </c>
      <c r="V397" s="171">
        <v>97.61</v>
      </c>
      <c r="W397" s="171">
        <v>142.08000000000001</v>
      </c>
      <c r="X397" s="171">
        <v>92.5</v>
      </c>
      <c r="Y397" s="171">
        <v>68.25</v>
      </c>
      <c r="Z397" s="171">
        <v>55.31</v>
      </c>
      <c r="AA397" s="171">
        <v>56.88</v>
      </c>
      <c r="AB397" s="171">
        <v>193.20000000000002</v>
      </c>
      <c r="AC397" s="171">
        <v>55.31</v>
      </c>
      <c r="AD397" s="171">
        <v>43.54</v>
      </c>
      <c r="AF397" s="171">
        <f t="shared" si="20"/>
        <v>2007</v>
      </c>
      <c r="AG397" s="171">
        <f t="shared" si="21"/>
        <v>5</v>
      </c>
      <c r="AH397" s="700">
        <f>SUMIF(D$3:$AA397,"&lt;="&amp;$AH$1)/COUNTIF(D$3:$AA397,"&lt;="&amp;$AH$1)</f>
        <v>28.244514601420647</v>
      </c>
    </row>
    <row r="398" spans="2:34" x14ac:dyDescent="0.25">
      <c r="B398" s="910">
        <v>39384</v>
      </c>
      <c r="C398" s="581">
        <f t="shared" si="19"/>
        <v>10</v>
      </c>
      <c r="D398" s="171">
        <v>37</v>
      </c>
      <c r="E398" s="171">
        <v>29.650000000000002</v>
      </c>
      <c r="F398" s="171">
        <v>22.38</v>
      </c>
      <c r="G398" s="171">
        <v>19.010000000000002</v>
      </c>
      <c r="H398" s="171">
        <v>28.07</v>
      </c>
      <c r="I398" s="171">
        <v>37.04</v>
      </c>
      <c r="J398" s="171">
        <v>63.01</v>
      </c>
      <c r="K398" s="171">
        <v>91.06</v>
      </c>
      <c r="L398" s="171">
        <v>103.97</v>
      </c>
      <c r="M398" s="171">
        <v>179.89000000000001</v>
      </c>
      <c r="N398" s="171">
        <v>150.44</v>
      </c>
      <c r="O398" s="171">
        <v>242.8</v>
      </c>
      <c r="P398" s="171">
        <v>124.96000000000001</v>
      </c>
      <c r="Q398" s="171">
        <v>135</v>
      </c>
      <c r="R398" s="171">
        <v>111.61</v>
      </c>
      <c r="S398" s="171">
        <v>103.96000000000001</v>
      </c>
      <c r="T398" s="171">
        <v>171.04</v>
      </c>
      <c r="U398" s="171">
        <v>500</v>
      </c>
      <c r="V398" s="171">
        <v>275</v>
      </c>
      <c r="W398" s="171">
        <v>187.57</v>
      </c>
      <c r="X398" s="171">
        <v>92.5</v>
      </c>
      <c r="Y398" s="171">
        <v>66.5</v>
      </c>
      <c r="Z398" s="171">
        <v>51.5</v>
      </c>
      <c r="AA398" s="171">
        <v>47</v>
      </c>
      <c r="AB398" s="171">
        <v>500</v>
      </c>
      <c r="AC398" s="171">
        <v>51.5</v>
      </c>
      <c r="AD398" s="171">
        <v>35.4</v>
      </c>
      <c r="AF398" s="171">
        <f t="shared" si="20"/>
        <v>2007</v>
      </c>
      <c r="AG398" s="171">
        <f t="shared" si="21"/>
        <v>6</v>
      </c>
      <c r="AH398" s="700">
        <f>SUMIF(D$3:$AA398,"&lt;="&amp;$AH$1)/COUNTIF(D$3:$AA398,"&lt;="&amp;$AH$1)</f>
        <v>28.245240441466272</v>
      </c>
    </row>
    <row r="399" spans="2:34" x14ac:dyDescent="0.25">
      <c r="B399" s="910">
        <v>39385</v>
      </c>
      <c r="C399" s="581">
        <f t="shared" si="19"/>
        <v>10</v>
      </c>
      <c r="D399" s="171">
        <v>43.39</v>
      </c>
      <c r="E399" s="171">
        <v>38</v>
      </c>
      <c r="F399" s="171">
        <v>34.869999999999997</v>
      </c>
      <c r="G399" s="171">
        <v>28.5</v>
      </c>
      <c r="H399" s="171">
        <v>16.059999999999999</v>
      </c>
      <c r="I399" s="171">
        <v>40.9</v>
      </c>
      <c r="J399" s="171">
        <v>64.42</v>
      </c>
      <c r="K399" s="171">
        <v>86.99</v>
      </c>
      <c r="L399" s="171">
        <v>192.8</v>
      </c>
      <c r="M399" s="171">
        <v>200</v>
      </c>
      <c r="N399" s="171">
        <v>171.87</v>
      </c>
      <c r="O399" s="171">
        <v>170.39000000000001</v>
      </c>
      <c r="P399" s="171">
        <v>149.65</v>
      </c>
      <c r="Q399" s="171">
        <v>147.01</v>
      </c>
      <c r="R399" s="171">
        <v>147</v>
      </c>
      <c r="S399" s="171">
        <v>154.79</v>
      </c>
      <c r="T399" s="171">
        <v>149.66</v>
      </c>
      <c r="U399" s="171">
        <v>293.07</v>
      </c>
      <c r="V399" s="171">
        <v>456.55</v>
      </c>
      <c r="W399" s="171">
        <v>210</v>
      </c>
      <c r="X399" s="171">
        <v>96.93</v>
      </c>
      <c r="Y399" s="171">
        <v>71.48</v>
      </c>
      <c r="Z399" s="171">
        <v>62.980000000000004</v>
      </c>
      <c r="AA399" s="171">
        <v>61.09</v>
      </c>
      <c r="AB399" s="171">
        <v>456.55</v>
      </c>
      <c r="AC399" s="171">
        <v>62.980000000000004</v>
      </c>
      <c r="AD399" s="171">
        <v>40.9</v>
      </c>
      <c r="AF399" s="171">
        <f t="shared" si="20"/>
        <v>2007</v>
      </c>
      <c r="AG399" s="171">
        <f t="shared" si="21"/>
        <v>5</v>
      </c>
      <c r="AH399" s="700">
        <f>SUMIF(D$3:$AA399,"&lt;="&amp;$AH$1)/COUNTIF(D$3:$AA399,"&lt;="&amp;$AH$1)</f>
        <v>28.248607993699515</v>
      </c>
    </row>
    <row r="400" spans="2:34" x14ac:dyDescent="0.25">
      <c r="B400" s="910">
        <v>39386</v>
      </c>
      <c r="C400" s="581">
        <f t="shared" si="19"/>
        <v>10</v>
      </c>
      <c r="D400" s="171">
        <v>42.53</v>
      </c>
      <c r="E400" s="171">
        <v>33.5</v>
      </c>
      <c r="F400" s="171">
        <v>32.25</v>
      </c>
      <c r="G400" s="171">
        <v>24.95</v>
      </c>
      <c r="H400" s="171">
        <v>26.52</v>
      </c>
      <c r="I400" s="171">
        <v>39.39</v>
      </c>
      <c r="J400" s="171">
        <v>61.26</v>
      </c>
      <c r="K400" s="171">
        <v>90.39</v>
      </c>
      <c r="L400" s="171">
        <v>100</v>
      </c>
      <c r="M400" s="171">
        <v>106.58</v>
      </c>
      <c r="N400" s="171">
        <v>111</v>
      </c>
      <c r="O400" s="171">
        <v>114.96000000000001</v>
      </c>
      <c r="P400" s="171">
        <v>112.96000000000001</v>
      </c>
      <c r="Q400" s="171">
        <v>109.99000000000001</v>
      </c>
      <c r="R400" s="171">
        <v>100.35000000000001</v>
      </c>
      <c r="S400" s="171">
        <v>92.15</v>
      </c>
      <c r="T400" s="171">
        <v>102.91</v>
      </c>
      <c r="U400" s="171">
        <v>150</v>
      </c>
      <c r="V400" s="171">
        <v>140.61000000000001</v>
      </c>
      <c r="W400" s="171">
        <v>121.95</v>
      </c>
      <c r="X400" s="171">
        <v>80</v>
      </c>
      <c r="Y400" s="171">
        <v>61.99</v>
      </c>
      <c r="Z400" s="171">
        <v>54.93</v>
      </c>
      <c r="AA400" s="171">
        <v>48.01</v>
      </c>
      <c r="AB400" s="171">
        <v>150</v>
      </c>
      <c r="AC400" s="171">
        <v>54.93</v>
      </c>
      <c r="AD400" s="171">
        <v>38.550000000000004</v>
      </c>
      <c r="AF400" s="171">
        <f t="shared" si="20"/>
        <v>2007</v>
      </c>
      <c r="AG400" s="171">
        <f t="shared" si="21"/>
        <v>6</v>
      </c>
      <c r="AH400" s="700">
        <f>SUMIF(D$3:$AA400,"&lt;="&amp;$AH$1)/COUNTIF(D$3:$AA400,"&lt;="&amp;$AH$1)</f>
        <v>28.254438544739404</v>
      </c>
    </row>
    <row r="401" spans="2:34" x14ac:dyDescent="0.25">
      <c r="B401" s="910">
        <v>39387</v>
      </c>
      <c r="C401" s="581">
        <f t="shared" si="19"/>
        <v>11</v>
      </c>
      <c r="D401" s="171">
        <v>49.7</v>
      </c>
      <c r="E401" s="171">
        <v>42.94</v>
      </c>
      <c r="F401" s="171">
        <v>35.93</v>
      </c>
      <c r="G401" s="171">
        <v>30.03</v>
      </c>
      <c r="H401" s="171">
        <v>24.830000000000002</v>
      </c>
      <c r="I401" s="171">
        <v>27.990000000000002</v>
      </c>
      <c r="J401" s="171">
        <v>28.95</v>
      </c>
      <c r="K401" s="171">
        <v>34.56</v>
      </c>
      <c r="L401" s="171">
        <v>49.93</v>
      </c>
      <c r="M401" s="171">
        <v>69.989999999999995</v>
      </c>
      <c r="N401" s="171">
        <v>70</v>
      </c>
      <c r="O401" s="171">
        <v>64.11</v>
      </c>
      <c r="P401" s="171">
        <v>55</v>
      </c>
      <c r="Q401" s="171">
        <v>50.32</v>
      </c>
      <c r="R401" s="171">
        <v>48.63</v>
      </c>
      <c r="S401" s="171">
        <v>45</v>
      </c>
      <c r="T401" s="171">
        <v>49.93</v>
      </c>
      <c r="U401" s="171">
        <v>75</v>
      </c>
      <c r="V401" s="171">
        <v>79.989999999999995</v>
      </c>
      <c r="W401" s="171">
        <v>76.960000000000008</v>
      </c>
      <c r="X401" s="171">
        <v>53</v>
      </c>
      <c r="Y401" s="171">
        <v>52.910000000000004</v>
      </c>
      <c r="Z401" s="171">
        <v>47.7</v>
      </c>
      <c r="AA401" s="171">
        <v>40.380000000000003</v>
      </c>
      <c r="AB401" s="171">
        <v>75.989999999999995</v>
      </c>
      <c r="AC401" s="171">
        <v>34.56</v>
      </c>
      <c r="AD401" s="171">
        <v>35.090000000000003</v>
      </c>
      <c r="AF401" s="171">
        <f t="shared" si="20"/>
        <v>2007</v>
      </c>
      <c r="AG401" s="171">
        <f t="shared" si="21"/>
        <v>7</v>
      </c>
      <c r="AH401" s="700">
        <f>SUMIF(D$3:$AA401,"&lt;="&amp;$AH$1)/COUNTIF(D$3:$AA401,"&lt;="&amp;$AH$1)</f>
        <v>28.25932639434404</v>
      </c>
    </row>
    <row r="402" spans="2:34" x14ac:dyDescent="0.25">
      <c r="B402" s="910">
        <v>39388</v>
      </c>
      <c r="C402" s="581">
        <f t="shared" si="19"/>
        <v>11</v>
      </c>
      <c r="D402" s="171">
        <v>36.86</v>
      </c>
      <c r="E402" s="171">
        <v>30.8</v>
      </c>
      <c r="F402" s="171">
        <v>29.09</v>
      </c>
      <c r="G402" s="171">
        <v>28.3</v>
      </c>
      <c r="H402" s="171">
        <v>25.87</v>
      </c>
      <c r="I402" s="171">
        <v>34.97</v>
      </c>
      <c r="J402" s="171">
        <v>46.910000000000004</v>
      </c>
      <c r="K402" s="171">
        <v>63.940000000000005</v>
      </c>
      <c r="L402" s="171">
        <v>68</v>
      </c>
      <c r="M402" s="171">
        <v>78.64</v>
      </c>
      <c r="N402" s="171">
        <v>80.33</v>
      </c>
      <c r="O402" s="171">
        <v>83.51</v>
      </c>
      <c r="P402" s="171">
        <v>77</v>
      </c>
      <c r="Q402" s="171">
        <v>75.92</v>
      </c>
      <c r="R402" s="171">
        <v>69.27</v>
      </c>
      <c r="S402" s="171">
        <v>61.980000000000004</v>
      </c>
      <c r="T402" s="171">
        <v>62</v>
      </c>
      <c r="U402" s="171">
        <v>80.03</v>
      </c>
      <c r="V402" s="171">
        <v>96.89</v>
      </c>
      <c r="W402" s="171">
        <v>87.63</v>
      </c>
      <c r="X402" s="171">
        <v>63.18</v>
      </c>
      <c r="Y402" s="171">
        <v>48.1</v>
      </c>
      <c r="Z402" s="171">
        <v>45.5</v>
      </c>
      <c r="AA402" s="171">
        <v>43.03</v>
      </c>
      <c r="AB402" s="171">
        <v>96.89</v>
      </c>
      <c r="AC402" s="171">
        <v>45.5</v>
      </c>
      <c r="AD402" s="171">
        <v>34.480000000000004</v>
      </c>
      <c r="AF402" s="171">
        <f t="shared" si="20"/>
        <v>2007</v>
      </c>
      <c r="AG402" s="171">
        <f t="shared" si="21"/>
        <v>6</v>
      </c>
      <c r="AH402" s="700">
        <f>SUMIF(D$3:$AA402,"&lt;="&amp;$AH$1)/COUNTIF(D$3:$AA402,"&lt;="&amp;$AH$1)</f>
        <v>28.262530404079993</v>
      </c>
    </row>
    <row r="403" spans="2:34" x14ac:dyDescent="0.25">
      <c r="B403" s="910">
        <v>39391</v>
      </c>
      <c r="C403" s="581">
        <f t="shared" si="19"/>
        <v>11</v>
      </c>
      <c r="D403" s="171">
        <v>26.13</v>
      </c>
      <c r="E403" s="171">
        <v>23</v>
      </c>
      <c r="F403" s="171">
        <v>20.98</v>
      </c>
      <c r="G403" s="171">
        <v>10.93</v>
      </c>
      <c r="H403" s="171">
        <v>14.92</v>
      </c>
      <c r="I403" s="171">
        <v>25.6</v>
      </c>
      <c r="J403" s="171">
        <v>48.97</v>
      </c>
      <c r="K403" s="171">
        <v>100.12</v>
      </c>
      <c r="L403" s="171">
        <v>98.2</v>
      </c>
      <c r="M403" s="171">
        <v>88.94</v>
      </c>
      <c r="N403" s="171">
        <v>87.81</v>
      </c>
      <c r="O403" s="171">
        <v>97.5</v>
      </c>
      <c r="P403" s="171">
        <v>87</v>
      </c>
      <c r="Q403" s="171">
        <v>85.97</v>
      </c>
      <c r="R403" s="171">
        <v>85.01</v>
      </c>
      <c r="S403" s="171">
        <v>78.95</v>
      </c>
      <c r="T403" s="171">
        <v>83.9</v>
      </c>
      <c r="U403" s="171">
        <v>118.96000000000001</v>
      </c>
      <c r="V403" s="171">
        <v>122.11</v>
      </c>
      <c r="W403" s="171">
        <v>97.51</v>
      </c>
      <c r="X403" s="171">
        <v>85.12</v>
      </c>
      <c r="Y403" s="171">
        <v>52.08</v>
      </c>
      <c r="Z403" s="171">
        <v>38</v>
      </c>
      <c r="AA403" s="171">
        <v>41.14</v>
      </c>
      <c r="AB403" s="171">
        <v>122.11</v>
      </c>
      <c r="AC403" s="171">
        <v>38</v>
      </c>
      <c r="AD403" s="171">
        <v>26.46</v>
      </c>
      <c r="AF403" s="171">
        <f t="shared" si="20"/>
        <v>2007</v>
      </c>
      <c r="AG403" s="171">
        <f t="shared" si="21"/>
        <v>8</v>
      </c>
      <c r="AH403" s="700">
        <f>SUMIF(D$3:$AA403,"&lt;="&amp;$AH$1)/COUNTIF(D$3:$AA403,"&lt;="&amp;$AH$1)</f>
        <v>28.257555816686221</v>
      </c>
    </row>
    <row r="404" spans="2:34" x14ac:dyDescent="0.25">
      <c r="B404" s="910">
        <v>39392</v>
      </c>
      <c r="C404" s="581">
        <f t="shared" si="19"/>
        <v>11</v>
      </c>
      <c r="D404" s="171">
        <v>30</v>
      </c>
      <c r="E404" s="171">
        <v>25.5</v>
      </c>
      <c r="F404" s="171">
        <v>30</v>
      </c>
      <c r="G404" s="171">
        <v>21.400000000000002</v>
      </c>
      <c r="H404" s="171">
        <v>20</v>
      </c>
      <c r="I404" s="171">
        <v>32.5</v>
      </c>
      <c r="J404" s="171">
        <v>41.36</v>
      </c>
      <c r="K404" s="171">
        <v>65</v>
      </c>
      <c r="L404" s="171">
        <v>66</v>
      </c>
      <c r="M404" s="171">
        <v>74.930000000000007</v>
      </c>
      <c r="N404" s="171">
        <v>74.989999999999995</v>
      </c>
      <c r="O404" s="171">
        <v>76.55</v>
      </c>
      <c r="P404" s="171">
        <v>65.599999999999994</v>
      </c>
      <c r="Q404" s="171">
        <v>64.2</v>
      </c>
      <c r="R404" s="171">
        <v>62.77</v>
      </c>
      <c r="S404" s="171">
        <v>60.52</v>
      </c>
      <c r="T404" s="171">
        <v>72.06</v>
      </c>
      <c r="U404" s="171">
        <v>95.83</v>
      </c>
      <c r="V404" s="171">
        <v>175.93</v>
      </c>
      <c r="W404" s="171">
        <v>101.10000000000001</v>
      </c>
      <c r="X404" s="171">
        <v>91.01</v>
      </c>
      <c r="Y404" s="171">
        <v>55.33</v>
      </c>
      <c r="Z404" s="171">
        <v>44.44</v>
      </c>
      <c r="AA404" s="171">
        <v>52.120000000000005</v>
      </c>
      <c r="AB404" s="171">
        <v>175.93</v>
      </c>
      <c r="AC404" s="171">
        <v>44.44</v>
      </c>
      <c r="AD404" s="171">
        <v>31.61</v>
      </c>
      <c r="AF404" s="171">
        <f t="shared" si="20"/>
        <v>2007</v>
      </c>
      <c r="AG404" s="171">
        <f t="shared" si="21"/>
        <v>7</v>
      </c>
      <c r="AH404" s="700">
        <f>SUMIF(D$3:$AA404,"&lt;="&amp;$AH$1)/COUNTIF(D$3:$AA404,"&lt;="&amp;$AH$1)</f>
        <v>28.258134167807516</v>
      </c>
    </row>
    <row r="405" spans="2:34" x14ac:dyDescent="0.25">
      <c r="B405" s="910">
        <v>39393</v>
      </c>
      <c r="C405" s="581">
        <f t="shared" si="19"/>
        <v>11</v>
      </c>
      <c r="D405" s="171">
        <v>28</v>
      </c>
      <c r="E405" s="171">
        <v>25</v>
      </c>
      <c r="F405" s="171">
        <v>23.72</v>
      </c>
      <c r="G405" s="171">
        <v>25.94</v>
      </c>
      <c r="H405" s="171">
        <v>22.06</v>
      </c>
      <c r="I405" s="171">
        <v>31.55</v>
      </c>
      <c r="J405" s="171">
        <v>37.22</v>
      </c>
      <c r="K405" s="171">
        <v>57.03</v>
      </c>
      <c r="L405" s="171">
        <v>65.91</v>
      </c>
      <c r="M405" s="171">
        <v>70.010000000000005</v>
      </c>
      <c r="N405" s="171">
        <v>75</v>
      </c>
      <c r="O405" s="171">
        <v>79.989999999999995</v>
      </c>
      <c r="P405" s="171">
        <v>72</v>
      </c>
      <c r="Q405" s="171">
        <v>72</v>
      </c>
      <c r="R405" s="171">
        <v>68.03</v>
      </c>
      <c r="S405" s="171">
        <v>68.03</v>
      </c>
      <c r="T405" s="171">
        <v>75.95</v>
      </c>
      <c r="U405" s="171">
        <v>91.94</v>
      </c>
      <c r="V405" s="171">
        <v>110</v>
      </c>
      <c r="W405" s="171">
        <v>89.93</v>
      </c>
      <c r="X405" s="171">
        <v>70</v>
      </c>
      <c r="Y405" s="171">
        <v>45.99</v>
      </c>
      <c r="Z405" s="171">
        <v>37.99</v>
      </c>
      <c r="AA405" s="171">
        <v>58.120000000000005</v>
      </c>
      <c r="AB405" s="171">
        <v>110</v>
      </c>
      <c r="AC405" s="171">
        <v>37.99</v>
      </c>
      <c r="AD405" s="171">
        <v>31.45</v>
      </c>
      <c r="AF405" s="171">
        <f t="shared" si="20"/>
        <v>2007</v>
      </c>
      <c r="AG405" s="171">
        <f t="shared" si="21"/>
        <v>8</v>
      </c>
      <c r="AH405" s="700">
        <f>SUMIF(D$3:$AA405,"&lt;="&amp;$AH$1)/COUNTIF(D$3:$AA405,"&lt;="&amp;$AH$1)</f>
        <v>28.259191564147589</v>
      </c>
    </row>
    <row r="406" spans="2:34" x14ac:dyDescent="0.25">
      <c r="B406" s="910">
        <v>39394</v>
      </c>
      <c r="C406" s="581">
        <f t="shared" si="19"/>
        <v>11</v>
      </c>
      <c r="D406" s="171">
        <v>34</v>
      </c>
      <c r="E406" s="171">
        <v>32.92</v>
      </c>
      <c r="F406" s="171">
        <v>31.5</v>
      </c>
      <c r="G406" s="171">
        <v>20.09</v>
      </c>
      <c r="H406" s="171">
        <v>13.05</v>
      </c>
      <c r="I406" s="171">
        <v>32.9</v>
      </c>
      <c r="J406" s="171">
        <v>52.4</v>
      </c>
      <c r="K406" s="171">
        <v>71.600000000000009</v>
      </c>
      <c r="L406" s="171">
        <v>87.4</v>
      </c>
      <c r="M406" s="171">
        <v>88.13</v>
      </c>
      <c r="N406" s="171">
        <v>87</v>
      </c>
      <c r="O406" s="171">
        <v>92</v>
      </c>
      <c r="P406" s="171">
        <v>80</v>
      </c>
      <c r="Q406" s="171">
        <v>79.960000000000008</v>
      </c>
      <c r="R406" s="171">
        <v>78</v>
      </c>
      <c r="S406" s="171">
        <v>70</v>
      </c>
      <c r="T406" s="171">
        <v>85</v>
      </c>
      <c r="U406" s="171">
        <v>105.25</v>
      </c>
      <c r="V406" s="171">
        <v>115.47</v>
      </c>
      <c r="W406" s="171">
        <v>87.39</v>
      </c>
      <c r="X406" s="171">
        <v>60.52</v>
      </c>
      <c r="Y406" s="171">
        <v>46</v>
      </c>
      <c r="Z406" s="171">
        <v>36.04</v>
      </c>
      <c r="AA406" s="171">
        <v>44.93</v>
      </c>
      <c r="AB406" s="171">
        <v>105.25</v>
      </c>
      <c r="AC406" s="171">
        <v>36.04</v>
      </c>
      <c r="AD406" s="171">
        <v>32.72</v>
      </c>
      <c r="AF406" s="171">
        <f t="shared" si="20"/>
        <v>2007</v>
      </c>
      <c r="AG406" s="171">
        <f t="shared" si="21"/>
        <v>7</v>
      </c>
      <c r="AH406" s="700">
        <f>SUMIF(D$3:$AA406,"&lt;="&amp;$AH$1)/COUNTIF(D$3:$AA406,"&lt;="&amp;$AH$1)</f>
        <v>28.259715288611506</v>
      </c>
    </row>
    <row r="407" spans="2:34" x14ac:dyDescent="0.25">
      <c r="B407" s="910">
        <v>39395</v>
      </c>
      <c r="C407" s="581">
        <f t="shared" si="19"/>
        <v>11</v>
      </c>
      <c r="D407" s="171">
        <v>39.93</v>
      </c>
      <c r="E407" s="171">
        <v>33</v>
      </c>
      <c r="F407" s="171">
        <v>34</v>
      </c>
      <c r="G407" s="171">
        <v>23.96</v>
      </c>
      <c r="H407" s="171">
        <v>17.12</v>
      </c>
      <c r="I407" s="171">
        <v>33</v>
      </c>
      <c r="J407" s="171">
        <v>43</v>
      </c>
      <c r="K407" s="171">
        <v>55</v>
      </c>
      <c r="L407" s="171">
        <v>80.010000000000005</v>
      </c>
      <c r="M407" s="171">
        <v>103</v>
      </c>
      <c r="N407" s="171">
        <v>150</v>
      </c>
      <c r="O407" s="171">
        <v>103</v>
      </c>
      <c r="P407" s="171">
        <v>96</v>
      </c>
      <c r="Q407" s="171">
        <v>105.97</v>
      </c>
      <c r="R407" s="171">
        <v>89.93</v>
      </c>
      <c r="S407" s="171">
        <v>60.120000000000005</v>
      </c>
      <c r="T407" s="171">
        <v>62.120000000000005</v>
      </c>
      <c r="U407" s="171">
        <v>103</v>
      </c>
      <c r="V407" s="171">
        <v>100.28</v>
      </c>
      <c r="W407" s="171">
        <v>68.34</v>
      </c>
      <c r="X407" s="171">
        <v>60</v>
      </c>
      <c r="Y407" s="171">
        <v>40</v>
      </c>
      <c r="Z407" s="171">
        <v>33</v>
      </c>
      <c r="AA407" s="171">
        <v>40</v>
      </c>
      <c r="AB407" s="171">
        <v>150</v>
      </c>
      <c r="AC407" s="171">
        <v>33</v>
      </c>
      <c r="AD407" s="171">
        <v>33</v>
      </c>
      <c r="AF407" s="171">
        <f t="shared" si="20"/>
        <v>2007</v>
      </c>
      <c r="AG407" s="171">
        <f t="shared" si="21"/>
        <v>9</v>
      </c>
      <c r="AH407" s="700">
        <f>SUMIF(D$3:$AA407,"&lt;="&amp;$AH$1)/COUNTIF(D$3:$AA407,"&lt;="&amp;$AH$1)</f>
        <v>28.267438193498108</v>
      </c>
    </row>
    <row r="408" spans="2:34" x14ac:dyDescent="0.25">
      <c r="B408" s="910">
        <v>39398</v>
      </c>
      <c r="C408" s="581">
        <f t="shared" si="19"/>
        <v>11</v>
      </c>
      <c r="D408" s="171">
        <v>13</v>
      </c>
      <c r="E408" s="171">
        <v>4</v>
      </c>
      <c r="F408" s="171">
        <v>3</v>
      </c>
      <c r="G408" s="171">
        <v>3</v>
      </c>
      <c r="H408" s="171">
        <v>2.6</v>
      </c>
      <c r="I408" s="171">
        <v>4</v>
      </c>
      <c r="J408" s="171">
        <v>33</v>
      </c>
      <c r="K408" s="171">
        <v>49.96</v>
      </c>
      <c r="L408" s="171">
        <v>60.9</v>
      </c>
      <c r="M408" s="171">
        <v>69.989999999999995</v>
      </c>
      <c r="N408" s="171">
        <v>69.3</v>
      </c>
      <c r="O408" s="171">
        <v>64.989999999999995</v>
      </c>
      <c r="P408" s="171">
        <v>53</v>
      </c>
      <c r="Q408" s="171">
        <v>53.42</v>
      </c>
      <c r="R408" s="171">
        <v>53</v>
      </c>
      <c r="S408" s="171">
        <v>54.7</v>
      </c>
      <c r="T408" s="171">
        <v>72.680000000000007</v>
      </c>
      <c r="U408" s="171">
        <v>109.5</v>
      </c>
      <c r="V408" s="171">
        <v>113.5</v>
      </c>
      <c r="W408" s="171">
        <v>80</v>
      </c>
      <c r="X408" s="171">
        <v>70</v>
      </c>
      <c r="Y408" s="171">
        <v>41.67</v>
      </c>
      <c r="Z408" s="171">
        <v>36.81</v>
      </c>
      <c r="AA408" s="171">
        <v>34</v>
      </c>
      <c r="AB408" s="171">
        <v>113.5</v>
      </c>
      <c r="AC408" s="171">
        <v>33</v>
      </c>
      <c r="AD408" s="171">
        <v>12.07</v>
      </c>
      <c r="AF408" s="171">
        <f t="shared" si="20"/>
        <v>2007</v>
      </c>
      <c r="AG408" s="171">
        <f t="shared" si="21"/>
        <v>10</v>
      </c>
      <c r="AH408" s="700">
        <f>SUMIF(D$3:$AA408,"&lt;="&amp;$AH$1)/COUNTIF(D$3:$AA408,"&lt;="&amp;$AH$1)</f>
        <v>28.246533903244568</v>
      </c>
    </row>
    <row r="409" spans="2:34" x14ac:dyDescent="0.25">
      <c r="B409" s="910">
        <v>39399</v>
      </c>
      <c r="C409" s="581">
        <f t="shared" si="19"/>
        <v>11</v>
      </c>
      <c r="D409" s="171">
        <v>36</v>
      </c>
      <c r="E409" s="171">
        <v>30</v>
      </c>
      <c r="F409" s="171">
        <v>27.7</v>
      </c>
      <c r="G409" s="171">
        <v>25.21</v>
      </c>
      <c r="H409" s="171">
        <v>20.09</v>
      </c>
      <c r="I409" s="171">
        <v>38.58</v>
      </c>
      <c r="J409" s="171">
        <v>55</v>
      </c>
      <c r="K409" s="171">
        <v>81.81</v>
      </c>
      <c r="L409" s="171">
        <v>89.9</v>
      </c>
      <c r="M409" s="171">
        <v>114.01</v>
      </c>
      <c r="N409" s="171">
        <v>119.92</v>
      </c>
      <c r="O409" s="171">
        <v>123.07000000000001</v>
      </c>
      <c r="P409" s="171">
        <v>108.93</v>
      </c>
      <c r="Q409" s="171">
        <v>97.93</v>
      </c>
      <c r="R409" s="171">
        <v>96.98</v>
      </c>
      <c r="S409" s="171">
        <v>87.93</v>
      </c>
      <c r="T409" s="171">
        <v>120</v>
      </c>
      <c r="U409" s="171">
        <v>211.02</v>
      </c>
      <c r="V409" s="171">
        <v>209.58</v>
      </c>
      <c r="W409" s="171">
        <v>121.44</v>
      </c>
      <c r="X409" s="171">
        <v>87.91</v>
      </c>
      <c r="Y409" s="171">
        <v>63</v>
      </c>
      <c r="Z409" s="171">
        <v>49.2</v>
      </c>
      <c r="AA409" s="171">
        <v>45.5</v>
      </c>
      <c r="AB409" s="171">
        <v>211.02</v>
      </c>
      <c r="AC409" s="171">
        <v>49.2</v>
      </c>
      <c r="AD409" s="171">
        <v>34.76</v>
      </c>
      <c r="AF409" s="171">
        <f t="shared" si="20"/>
        <v>2007</v>
      </c>
      <c r="AG409" s="171">
        <f t="shared" si="21"/>
        <v>6</v>
      </c>
      <c r="AH409" s="700">
        <f>SUMIF(D$3:$AA409,"&lt;="&amp;$AH$1)/COUNTIF(D$3:$AA409,"&lt;="&amp;$AH$1)</f>
        <v>28.248105957694506</v>
      </c>
    </row>
    <row r="410" spans="2:34" x14ac:dyDescent="0.25">
      <c r="B410" s="910">
        <v>39400</v>
      </c>
      <c r="C410" s="581">
        <f t="shared" si="19"/>
        <v>11</v>
      </c>
      <c r="D410" s="171">
        <v>45.74</v>
      </c>
      <c r="E410" s="171">
        <v>36.49</v>
      </c>
      <c r="F410" s="171">
        <v>34.340000000000003</v>
      </c>
      <c r="G410" s="171">
        <v>33</v>
      </c>
      <c r="H410" s="171">
        <v>32.6</v>
      </c>
      <c r="I410" s="171">
        <v>45</v>
      </c>
      <c r="J410" s="171">
        <v>52.5</v>
      </c>
      <c r="K410" s="171">
        <v>88.87</v>
      </c>
      <c r="L410" s="171">
        <v>122.32000000000001</v>
      </c>
      <c r="M410" s="171">
        <v>149.99</v>
      </c>
      <c r="N410" s="171">
        <v>127.5</v>
      </c>
      <c r="O410" s="171">
        <v>135</v>
      </c>
      <c r="P410" s="171">
        <v>107.51</v>
      </c>
      <c r="Q410" s="171">
        <v>107.5</v>
      </c>
      <c r="R410" s="171">
        <v>107.5</v>
      </c>
      <c r="S410" s="171">
        <v>102.38</v>
      </c>
      <c r="T410" s="171">
        <v>142.80000000000001</v>
      </c>
      <c r="U410" s="171">
        <v>279.08</v>
      </c>
      <c r="V410" s="171">
        <v>240</v>
      </c>
      <c r="W410" s="171">
        <v>141</v>
      </c>
      <c r="X410" s="171">
        <v>93.75</v>
      </c>
      <c r="Y410" s="171">
        <v>61.120000000000005</v>
      </c>
      <c r="Z410" s="171">
        <v>50.46</v>
      </c>
      <c r="AA410" s="171">
        <v>51.18</v>
      </c>
      <c r="AB410" s="171">
        <v>279.08</v>
      </c>
      <c r="AC410" s="171">
        <v>50.46</v>
      </c>
      <c r="AD410" s="171">
        <v>41.36</v>
      </c>
      <c r="AF410" s="171">
        <f t="shared" si="20"/>
        <v>2007</v>
      </c>
      <c r="AG410" s="171">
        <f t="shared" si="21"/>
        <v>4</v>
      </c>
      <c r="AH410" s="700">
        <f>SUMIF(D$3:$AA410,"&lt;="&amp;$AH$1)/COUNTIF(D$3:$AA410,"&lt;="&amp;$AH$1)</f>
        <v>28.252650765949152</v>
      </c>
    </row>
    <row r="411" spans="2:34" x14ac:dyDescent="0.25">
      <c r="B411" s="910">
        <v>39401</v>
      </c>
      <c r="C411" s="581">
        <f t="shared" si="19"/>
        <v>11</v>
      </c>
      <c r="D411" s="171">
        <v>59.53</v>
      </c>
      <c r="E411" s="171">
        <v>46.33</v>
      </c>
      <c r="F411" s="171">
        <v>43</v>
      </c>
      <c r="G411" s="171">
        <v>42.27</v>
      </c>
      <c r="H411" s="171">
        <v>44</v>
      </c>
      <c r="I411" s="171">
        <v>52.54</v>
      </c>
      <c r="J411" s="171">
        <v>77.64</v>
      </c>
      <c r="K411" s="171">
        <v>140</v>
      </c>
      <c r="L411" s="171">
        <v>149.99</v>
      </c>
      <c r="M411" s="171">
        <v>191.42000000000002</v>
      </c>
      <c r="N411" s="171">
        <v>210.53</v>
      </c>
      <c r="O411" s="171">
        <v>226.32</v>
      </c>
      <c r="P411" s="171">
        <v>173.3</v>
      </c>
      <c r="Q411" s="171">
        <v>169.39000000000001</v>
      </c>
      <c r="R411" s="171">
        <v>143.42000000000002</v>
      </c>
      <c r="S411" s="171">
        <v>125</v>
      </c>
      <c r="T411" s="171">
        <v>171</v>
      </c>
      <c r="U411" s="171">
        <v>596.94000000000005</v>
      </c>
      <c r="V411" s="171">
        <v>476</v>
      </c>
      <c r="W411" s="171">
        <v>200.57</v>
      </c>
      <c r="X411" s="171">
        <v>124.96000000000001</v>
      </c>
      <c r="Y411" s="171">
        <v>80</v>
      </c>
      <c r="Z411" s="171">
        <v>70</v>
      </c>
      <c r="AA411" s="171">
        <v>63.57</v>
      </c>
      <c r="AB411" s="171">
        <v>596.94000000000005</v>
      </c>
      <c r="AC411" s="171">
        <v>70</v>
      </c>
      <c r="AD411" s="171">
        <v>53.61</v>
      </c>
      <c r="AF411" s="171">
        <f t="shared" si="20"/>
        <v>2007</v>
      </c>
      <c r="AG411" s="171">
        <f t="shared" si="21"/>
        <v>1</v>
      </c>
      <c r="AH411" s="700">
        <f>SUMIF(D$3:$AA411,"&lt;="&amp;$AH$1)/COUNTIF(D$3:$AA411,"&lt;="&amp;$AH$1)</f>
        <v>28.255368359829347</v>
      </c>
    </row>
    <row r="412" spans="2:34" x14ac:dyDescent="0.25">
      <c r="B412" s="910">
        <v>39402</v>
      </c>
      <c r="C412" s="581">
        <f t="shared" si="19"/>
        <v>11</v>
      </c>
      <c r="D412" s="171">
        <v>49.94</v>
      </c>
      <c r="E412" s="171">
        <v>39.99</v>
      </c>
      <c r="F412" s="171">
        <v>39.800000000000004</v>
      </c>
      <c r="G412" s="171">
        <v>37.01</v>
      </c>
      <c r="H412" s="171">
        <v>33</v>
      </c>
      <c r="I412" s="171">
        <v>38.410000000000004</v>
      </c>
      <c r="J412" s="171">
        <v>55.01</v>
      </c>
      <c r="K412" s="171">
        <v>79.210000000000008</v>
      </c>
      <c r="L412" s="171">
        <v>121.58</v>
      </c>
      <c r="M412" s="171">
        <v>149.93</v>
      </c>
      <c r="N412" s="171">
        <v>167</v>
      </c>
      <c r="O412" s="171">
        <v>174.96</v>
      </c>
      <c r="P412" s="171">
        <v>126.61</v>
      </c>
      <c r="Q412" s="171">
        <v>106.84</v>
      </c>
      <c r="R412" s="171">
        <v>86.65</v>
      </c>
      <c r="S412" s="171">
        <v>88.600000000000009</v>
      </c>
      <c r="T412" s="171">
        <v>117.11</v>
      </c>
      <c r="U412" s="171">
        <v>481.53000000000003</v>
      </c>
      <c r="V412" s="171">
        <v>367.49</v>
      </c>
      <c r="W412" s="171">
        <v>93.13</v>
      </c>
      <c r="X412" s="171">
        <v>74.3</v>
      </c>
      <c r="Y412" s="171">
        <v>61.5</v>
      </c>
      <c r="Z412" s="171">
        <v>50</v>
      </c>
      <c r="AA412" s="171">
        <v>54.34</v>
      </c>
      <c r="AB412" s="171">
        <v>481</v>
      </c>
      <c r="AC412" s="171">
        <v>50</v>
      </c>
      <c r="AD412" s="171">
        <v>43.44</v>
      </c>
      <c r="AF412" s="171">
        <f t="shared" si="20"/>
        <v>2007</v>
      </c>
      <c r="AG412" s="171">
        <f t="shared" si="21"/>
        <v>5</v>
      </c>
      <c r="AH412" s="700">
        <f>SUMIF(D$3:$AA412,"&lt;="&amp;$AH$1)/COUNTIF(D$3:$AA412,"&lt;="&amp;$AH$1)</f>
        <v>28.264458648072779</v>
      </c>
    </row>
    <row r="413" spans="2:34" x14ac:dyDescent="0.25">
      <c r="B413" s="910">
        <v>39405</v>
      </c>
      <c r="C413" s="581">
        <f t="shared" si="19"/>
        <v>11</v>
      </c>
      <c r="D413" s="171">
        <v>39.800000000000004</v>
      </c>
      <c r="E413" s="171">
        <v>34.86</v>
      </c>
      <c r="F413" s="171">
        <v>34.800000000000004</v>
      </c>
      <c r="G413" s="171">
        <v>27.95</v>
      </c>
      <c r="H413" s="171">
        <v>15</v>
      </c>
      <c r="I413" s="171">
        <v>32.160000000000004</v>
      </c>
      <c r="J413" s="171">
        <v>49.93</v>
      </c>
      <c r="K413" s="171">
        <v>82.3</v>
      </c>
      <c r="L413" s="171">
        <v>105.74000000000001</v>
      </c>
      <c r="M413" s="171">
        <v>110.01</v>
      </c>
      <c r="N413" s="171">
        <v>107.95</v>
      </c>
      <c r="O413" s="171">
        <v>168.98</v>
      </c>
      <c r="P413" s="171">
        <v>114.95</v>
      </c>
      <c r="Q413" s="171">
        <v>125.38000000000001</v>
      </c>
      <c r="R413" s="171">
        <v>117.25</v>
      </c>
      <c r="S413" s="171">
        <v>111.13</v>
      </c>
      <c r="T413" s="171">
        <v>111.34</v>
      </c>
      <c r="U413" s="171">
        <v>429.54</v>
      </c>
      <c r="V413" s="171">
        <v>464.35</v>
      </c>
      <c r="W413" s="171">
        <v>150</v>
      </c>
      <c r="X413" s="171">
        <v>99.93</v>
      </c>
      <c r="Y413" s="171">
        <v>60</v>
      </c>
      <c r="Z413" s="171">
        <v>51.33</v>
      </c>
      <c r="AA413" s="171">
        <v>61</v>
      </c>
      <c r="AB413" s="171">
        <v>464.35</v>
      </c>
      <c r="AC413" s="171">
        <v>51.33</v>
      </c>
      <c r="AD413" s="171">
        <v>36.94</v>
      </c>
      <c r="AF413" s="171">
        <f t="shared" si="20"/>
        <v>2007</v>
      </c>
      <c r="AG413" s="171">
        <f t="shared" si="21"/>
        <v>6</v>
      </c>
      <c r="AH413" s="700">
        <f>SUMIF(D$3:$AA413,"&lt;="&amp;$AH$1)/COUNTIF(D$3:$AA413,"&lt;="&amp;$AH$1)</f>
        <v>28.267357322499468</v>
      </c>
    </row>
    <row r="414" spans="2:34" x14ac:dyDescent="0.25">
      <c r="B414" s="910">
        <v>39406</v>
      </c>
      <c r="C414" s="581">
        <f t="shared" si="19"/>
        <v>11</v>
      </c>
      <c r="D414" s="171">
        <v>42.83</v>
      </c>
      <c r="E414" s="171">
        <v>35.9</v>
      </c>
      <c r="F414" s="171">
        <v>33.39</v>
      </c>
      <c r="G414" s="171">
        <v>34.380000000000003</v>
      </c>
      <c r="H414" s="171">
        <v>40</v>
      </c>
      <c r="I414" s="171">
        <v>49.06</v>
      </c>
      <c r="J414" s="171">
        <v>62.93</v>
      </c>
      <c r="K414" s="171">
        <v>102.46000000000001</v>
      </c>
      <c r="L414" s="171">
        <v>180.42000000000002</v>
      </c>
      <c r="M414" s="171">
        <v>168.95000000000002</v>
      </c>
      <c r="N414" s="171">
        <v>161.26</v>
      </c>
      <c r="O414" s="171">
        <v>148.18</v>
      </c>
      <c r="P414" s="171">
        <v>121.79</v>
      </c>
      <c r="Q414" s="171">
        <v>120.15</v>
      </c>
      <c r="R414" s="171">
        <v>113.79</v>
      </c>
      <c r="S414" s="171">
        <v>110.01</v>
      </c>
      <c r="T414" s="171">
        <v>170.78</v>
      </c>
      <c r="U414" s="171">
        <v>301.15000000000003</v>
      </c>
      <c r="V414" s="171">
        <v>301.5</v>
      </c>
      <c r="W414" s="171">
        <v>127.15</v>
      </c>
      <c r="X414" s="171">
        <v>94.65</v>
      </c>
      <c r="Y414" s="171">
        <v>60.03</v>
      </c>
      <c r="Z414" s="171">
        <v>54.96</v>
      </c>
      <c r="AA414" s="171">
        <v>52.620000000000005</v>
      </c>
      <c r="AB414" s="171">
        <v>301.5</v>
      </c>
      <c r="AC414" s="171">
        <v>54.96</v>
      </c>
      <c r="AD414" s="171">
        <v>43.89</v>
      </c>
      <c r="AF414" s="171">
        <f t="shared" si="20"/>
        <v>2007</v>
      </c>
      <c r="AG414" s="171">
        <f t="shared" si="21"/>
        <v>4</v>
      </c>
      <c r="AH414" s="700">
        <f>SUMIF(D$3:$AA414,"&lt;="&amp;$AH$1)/COUNTIF(D$3:$AA414,"&lt;="&amp;$AH$1)</f>
        <v>28.273272762420213</v>
      </c>
    </row>
    <row r="415" spans="2:34" x14ac:dyDescent="0.25">
      <c r="B415" s="910">
        <v>39407</v>
      </c>
      <c r="C415" s="581">
        <f t="shared" si="19"/>
        <v>11</v>
      </c>
      <c r="D415" s="171">
        <v>43.5</v>
      </c>
      <c r="E415" s="171">
        <v>39.160000000000004</v>
      </c>
      <c r="F415" s="171">
        <v>37</v>
      </c>
      <c r="G415" s="171">
        <v>29.96</v>
      </c>
      <c r="H415" s="171">
        <v>29.98</v>
      </c>
      <c r="I415" s="171">
        <v>38</v>
      </c>
      <c r="J415" s="171">
        <v>62.63</v>
      </c>
      <c r="K415" s="171">
        <v>109.42</v>
      </c>
      <c r="L415" s="171">
        <v>110.99000000000001</v>
      </c>
      <c r="M415" s="171">
        <v>120.5</v>
      </c>
      <c r="N415" s="171">
        <v>122.7</v>
      </c>
      <c r="O415" s="171">
        <v>124.99000000000001</v>
      </c>
      <c r="P415" s="171">
        <v>107.75</v>
      </c>
      <c r="Q415" s="171">
        <v>107.75</v>
      </c>
      <c r="R415" s="171">
        <v>102.10000000000001</v>
      </c>
      <c r="S415" s="171">
        <v>102.36</v>
      </c>
      <c r="T415" s="171">
        <v>125.95</v>
      </c>
      <c r="U415" s="171">
        <v>253.15</v>
      </c>
      <c r="V415" s="171">
        <v>251.99</v>
      </c>
      <c r="W415" s="171">
        <v>147.11000000000001</v>
      </c>
      <c r="X415" s="171">
        <v>86.92</v>
      </c>
      <c r="Y415" s="171">
        <v>62.9</v>
      </c>
      <c r="Z415" s="171">
        <v>53.38</v>
      </c>
      <c r="AA415" s="171">
        <v>50.35</v>
      </c>
      <c r="AB415" s="171">
        <v>253.15</v>
      </c>
      <c r="AC415" s="171">
        <v>53.38</v>
      </c>
      <c r="AD415" s="171">
        <v>41.32</v>
      </c>
      <c r="AF415" s="171">
        <f t="shared" si="20"/>
        <v>2007</v>
      </c>
      <c r="AG415" s="171">
        <f t="shared" si="21"/>
        <v>5</v>
      </c>
      <c r="AH415" s="700">
        <f>SUMIF(D$3:$AA415,"&lt;="&amp;$AH$1)/COUNTIF(D$3:$AA415,"&lt;="&amp;$AH$1)</f>
        <v>28.279594438006907</v>
      </c>
    </row>
    <row r="416" spans="2:34" x14ac:dyDescent="0.25">
      <c r="B416" s="910">
        <v>39408</v>
      </c>
      <c r="C416" s="581">
        <f t="shared" si="19"/>
        <v>11</v>
      </c>
      <c r="D416" s="171">
        <v>43.11</v>
      </c>
      <c r="E416" s="171">
        <v>39</v>
      </c>
      <c r="F416" s="171">
        <v>36.83</v>
      </c>
      <c r="G416" s="171">
        <v>31.6</v>
      </c>
      <c r="H416" s="171">
        <v>31.94</v>
      </c>
      <c r="I416" s="171">
        <v>36.630000000000003</v>
      </c>
      <c r="J416" s="171">
        <v>55.99</v>
      </c>
      <c r="K416" s="171">
        <v>96</v>
      </c>
      <c r="L416" s="171">
        <v>99.960000000000008</v>
      </c>
      <c r="M416" s="171">
        <v>101.96000000000001</v>
      </c>
      <c r="N416" s="171">
        <v>101.01</v>
      </c>
      <c r="O416" s="171">
        <v>105.94</v>
      </c>
      <c r="P416" s="171">
        <v>96.94</v>
      </c>
      <c r="Q416" s="171">
        <v>100</v>
      </c>
      <c r="R416" s="171">
        <v>99.960000000000008</v>
      </c>
      <c r="S416" s="171">
        <v>95.92</v>
      </c>
      <c r="T416" s="171">
        <v>99.5</v>
      </c>
      <c r="U416" s="171">
        <v>139.5</v>
      </c>
      <c r="V416" s="171">
        <v>200</v>
      </c>
      <c r="W416" s="171">
        <v>103.95</v>
      </c>
      <c r="X416" s="171">
        <v>82.94</v>
      </c>
      <c r="Y416" s="171">
        <v>59.5</v>
      </c>
      <c r="Z416" s="171">
        <v>53.120000000000005</v>
      </c>
      <c r="AA416" s="171">
        <v>48</v>
      </c>
      <c r="AB416" s="171">
        <v>200</v>
      </c>
      <c r="AC416" s="171">
        <v>53.120000000000005</v>
      </c>
      <c r="AD416" s="171">
        <v>40.39</v>
      </c>
      <c r="AF416" s="171">
        <f t="shared" si="20"/>
        <v>2007</v>
      </c>
      <c r="AG416" s="171">
        <f t="shared" si="21"/>
        <v>5</v>
      </c>
      <c r="AH416" s="700">
        <f>SUMIF(D$3:$AA416,"&lt;="&amp;$AH$1)/COUNTIF(D$3:$AA416,"&lt;="&amp;$AH$1)</f>
        <v>28.286270499710547</v>
      </c>
    </row>
    <row r="417" spans="2:34" x14ac:dyDescent="0.25">
      <c r="B417" s="910">
        <v>39409</v>
      </c>
      <c r="C417" s="581">
        <f t="shared" si="19"/>
        <v>11</v>
      </c>
      <c r="D417" s="171">
        <v>49.51</v>
      </c>
      <c r="E417" s="171">
        <v>41.93</v>
      </c>
      <c r="F417" s="171">
        <v>38</v>
      </c>
      <c r="G417" s="171">
        <v>30.080000000000002</v>
      </c>
      <c r="H417" s="171">
        <v>28.830000000000002</v>
      </c>
      <c r="I417" s="171">
        <v>39.1</v>
      </c>
      <c r="J417" s="171">
        <v>60</v>
      </c>
      <c r="K417" s="171">
        <v>104.98</v>
      </c>
      <c r="L417" s="171">
        <v>117.06</v>
      </c>
      <c r="M417" s="171">
        <v>121</v>
      </c>
      <c r="N417" s="171">
        <v>125.15</v>
      </c>
      <c r="O417" s="171">
        <v>120.62</v>
      </c>
      <c r="P417" s="171">
        <v>119.75</v>
      </c>
      <c r="Q417" s="171">
        <v>113.96000000000001</v>
      </c>
      <c r="R417" s="171">
        <v>110.91</v>
      </c>
      <c r="S417" s="171">
        <v>99.600000000000009</v>
      </c>
      <c r="T417" s="171">
        <v>122.94</v>
      </c>
      <c r="U417" s="171">
        <v>150</v>
      </c>
      <c r="V417" s="171">
        <v>165.01</v>
      </c>
      <c r="W417" s="171">
        <v>104.34</v>
      </c>
      <c r="X417" s="171">
        <v>73.36</v>
      </c>
      <c r="Y417" s="171">
        <v>55</v>
      </c>
      <c r="Z417" s="171">
        <v>46.89</v>
      </c>
      <c r="AA417" s="171">
        <v>43</v>
      </c>
      <c r="AB417" s="171">
        <v>165.01</v>
      </c>
      <c r="AC417" s="171">
        <v>46.89</v>
      </c>
      <c r="AD417" s="171">
        <v>41.31</v>
      </c>
      <c r="AF417" s="171">
        <f t="shared" si="20"/>
        <v>2007</v>
      </c>
      <c r="AG417" s="171">
        <f t="shared" si="21"/>
        <v>5</v>
      </c>
      <c r="AH417" s="700">
        <f>SUMIF(D$3:$AA417,"&lt;="&amp;$AH$1)/COUNTIF(D$3:$AA417,"&lt;="&amp;$AH$1)</f>
        <v>28.293307632999177</v>
      </c>
    </row>
    <row r="418" spans="2:34" x14ac:dyDescent="0.25">
      <c r="B418" s="910">
        <v>39412</v>
      </c>
      <c r="C418" s="581">
        <f t="shared" si="19"/>
        <v>11</v>
      </c>
      <c r="D418" s="171">
        <v>33</v>
      </c>
      <c r="E418" s="171">
        <v>29.94</v>
      </c>
      <c r="F418" s="171">
        <v>28.43</v>
      </c>
      <c r="G418" s="171">
        <v>24.93</v>
      </c>
      <c r="H418" s="171">
        <v>18.600000000000001</v>
      </c>
      <c r="I418" s="171">
        <v>29.09</v>
      </c>
      <c r="J418" s="171">
        <v>40.4</v>
      </c>
      <c r="K418" s="171">
        <v>71</v>
      </c>
      <c r="L418" s="171">
        <v>79.930000000000007</v>
      </c>
      <c r="M418" s="171">
        <v>79.930000000000007</v>
      </c>
      <c r="N418" s="171">
        <v>85.8</v>
      </c>
      <c r="O418" s="171">
        <v>82.9</v>
      </c>
      <c r="P418" s="171">
        <v>78.540000000000006</v>
      </c>
      <c r="Q418" s="171">
        <v>79</v>
      </c>
      <c r="R418" s="171">
        <v>82.14</v>
      </c>
      <c r="S418" s="171">
        <v>77</v>
      </c>
      <c r="T418" s="171">
        <v>87.66</v>
      </c>
      <c r="U418" s="171">
        <v>109.57000000000001</v>
      </c>
      <c r="V418" s="171">
        <v>111.03</v>
      </c>
      <c r="W418" s="171">
        <v>79.989999999999995</v>
      </c>
      <c r="X418" s="171">
        <v>59.99</v>
      </c>
      <c r="Y418" s="171">
        <v>45.99</v>
      </c>
      <c r="Z418" s="171">
        <v>44</v>
      </c>
      <c r="AA418" s="171">
        <v>49.96</v>
      </c>
      <c r="AB418" s="171">
        <v>111.03</v>
      </c>
      <c r="AC418" s="171">
        <v>44</v>
      </c>
      <c r="AD418" s="171">
        <v>31.79</v>
      </c>
      <c r="AF418" s="171">
        <f t="shared" si="20"/>
        <v>2007</v>
      </c>
      <c r="AG418" s="171">
        <f t="shared" si="21"/>
        <v>7</v>
      </c>
      <c r="AH418" s="700">
        <f>SUMIF(D$3:$AA418,"&lt;="&amp;$AH$1)/COUNTIF(D$3:$AA418,"&lt;="&amp;$AH$1)</f>
        <v>28.294527430221311</v>
      </c>
    </row>
    <row r="419" spans="2:34" x14ac:dyDescent="0.25">
      <c r="B419" s="910">
        <v>39413</v>
      </c>
      <c r="C419" s="581">
        <f t="shared" si="19"/>
        <v>11</v>
      </c>
      <c r="D419" s="171">
        <v>39.96</v>
      </c>
      <c r="E419" s="171">
        <v>34.300000000000004</v>
      </c>
      <c r="F419" s="171">
        <v>32</v>
      </c>
      <c r="G419" s="171">
        <v>26.79</v>
      </c>
      <c r="H419" s="171">
        <v>27.76</v>
      </c>
      <c r="I419" s="171">
        <v>38.800000000000004</v>
      </c>
      <c r="J419" s="171">
        <v>59</v>
      </c>
      <c r="K419" s="171">
        <v>104</v>
      </c>
      <c r="L419" s="171">
        <v>100</v>
      </c>
      <c r="M419" s="171">
        <v>113.73</v>
      </c>
      <c r="N419" s="171">
        <v>117.94</v>
      </c>
      <c r="O419" s="171">
        <v>115</v>
      </c>
      <c r="P419" s="171">
        <v>100.79</v>
      </c>
      <c r="Q419" s="171">
        <v>103.07000000000001</v>
      </c>
      <c r="R419" s="171">
        <v>101.75</v>
      </c>
      <c r="S419" s="171">
        <v>99.990000000000009</v>
      </c>
      <c r="T419" s="171">
        <v>120.60000000000001</v>
      </c>
      <c r="U419" s="171">
        <v>187.54</v>
      </c>
      <c r="V419" s="171">
        <v>181.55</v>
      </c>
      <c r="W419" s="171">
        <v>110</v>
      </c>
      <c r="X419" s="171">
        <v>82</v>
      </c>
      <c r="Y419" s="171">
        <v>64.5</v>
      </c>
      <c r="Z419" s="171">
        <v>57.300000000000004</v>
      </c>
      <c r="AA419" s="171">
        <v>49.870000000000005</v>
      </c>
      <c r="AB419" s="171">
        <v>187.54</v>
      </c>
      <c r="AC419" s="171">
        <v>57.300000000000004</v>
      </c>
      <c r="AD419" s="171">
        <v>38.56</v>
      </c>
      <c r="AF419" s="171">
        <f t="shared" si="20"/>
        <v>2007</v>
      </c>
      <c r="AG419" s="171">
        <f t="shared" si="21"/>
        <v>6</v>
      </c>
      <c r="AH419" s="700">
        <f>SUMIF(D$3:$AA419,"&lt;="&amp;$AH$1)/COUNTIF(D$3:$AA419,"&lt;="&amp;$AH$1)</f>
        <v>28.300265333589635</v>
      </c>
    </row>
    <row r="420" spans="2:34" x14ac:dyDescent="0.25">
      <c r="B420" s="910">
        <v>39414</v>
      </c>
      <c r="C420" s="581">
        <f t="shared" si="19"/>
        <v>11</v>
      </c>
      <c r="D420" s="171">
        <v>43</v>
      </c>
      <c r="E420" s="171">
        <v>36.1</v>
      </c>
      <c r="F420" s="171">
        <v>33.49</v>
      </c>
      <c r="G420" s="171">
        <v>28.2</v>
      </c>
      <c r="H420" s="171">
        <v>27.01</v>
      </c>
      <c r="I420" s="171">
        <v>37.93</v>
      </c>
      <c r="J420" s="171">
        <v>51.96</v>
      </c>
      <c r="K420" s="171">
        <v>89</v>
      </c>
      <c r="L420" s="171">
        <v>93.91</v>
      </c>
      <c r="M420" s="171">
        <v>99.97</v>
      </c>
      <c r="N420" s="171">
        <v>99.5</v>
      </c>
      <c r="O420" s="171">
        <v>97.98</v>
      </c>
      <c r="P420" s="171">
        <v>90.05</v>
      </c>
      <c r="Q420" s="171">
        <v>92.48</v>
      </c>
      <c r="R420" s="171">
        <v>86</v>
      </c>
      <c r="S420" s="171">
        <v>79.900000000000006</v>
      </c>
      <c r="T420" s="171">
        <v>91.92</v>
      </c>
      <c r="U420" s="171">
        <v>129.34</v>
      </c>
      <c r="V420" s="171">
        <v>139.20000000000002</v>
      </c>
      <c r="W420" s="171">
        <v>90</v>
      </c>
      <c r="X420" s="171">
        <v>70</v>
      </c>
      <c r="Y420" s="171">
        <v>51.1</v>
      </c>
      <c r="Z420" s="171">
        <v>48.5</v>
      </c>
      <c r="AA420" s="171">
        <v>41.050000000000004</v>
      </c>
      <c r="AB420" s="171">
        <v>139.20000000000002</v>
      </c>
      <c r="AC420" s="171">
        <v>48.5</v>
      </c>
      <c r="AD420" s="171">
        <v>37.340000000000003</v>
      </c>
      <c r="AF420" s="171">
        <f t="shared" si="20"/>
        <v>2007</v>
      </c>
      <c r="AG420" s="171">
        <f t="shared" si="21"/>
        <v>6</v>
      </c>
      <c r="AH420" s="700">
        <f>SUMIF(D$3:$AA420,"&lt;="&amp;$AH$1)/COUNTIF(D$3:$AA420,"&lt;="&amp;$AH$1)</f>
        <v>28.30679085845971</v>
      </c>
    </row>
    <row r="421" spans="2:34" x14ac:dyDescent="0.25">
      <c r="B421" s="910">
        <v>39415</v>
      </c>
      <c r="C421" s="581">
        <f t="shared" si="19"/>
        <v>11</v>
      </c>
      <c r="D421" s="171">
        <v>36.14</v>
      </c>
      <c r="E421" s="171">
        <v>30.35</v>
      </c>
      <c r="F421" s="171">
        <v>27</v>
      </c>
      <c r="G421" s="171">
        <v>23.75</v>
      </c>
      <c r="H421" s="171">
        <v>23.900000000000002</v>
      </c>
      <c r="I421" s="171">
        <v>35.369999999999997</v>
      </c>
      <c r="J421" s="171">
        <v>47.9</v>
      </c>
      <c r="K421" s="171">
        <v>85.18</v>
      </c>
      <c r="L421" s="171">
        <v>76.760000000000005</v>
      </c>
      <c r="M421" s="171">
        <v>86.7</v>
      </c>
      <c r="N421" s="171">
        <v>90</v>
      </c>
      <c r="O421" s="171">
        <v>89.09</v>
      </c>
      <c r="P421" s="171">
        <v>81.600000000000009</v>
      </c>
      <c r="Q421" s="171">
        <v>82</v>
      </c>
      <c r="R421" s="171">
        <v>79.8</v>
      </c>
      <c r="S421" s="171">
        <v>77.89</v>
      </c>
      <c r="T421" s="171">
        <v>88.02</v>
      </c>
      <c r="U421" s="171">
        <v>117.3</v>
      </c>
      <c r="V421" s="171">
        <v>123.95</v>
      </c>
      <c r="W421" s="171">
        <v>89.93</v>
      </c>
      <c r="X421" s="171">
        <v>74.930000000000007</v>
      </c>
      <c r="Y421" s="171">
        <v>49.96</v>
      </c>
      <c r="Z421" s="171">
        <v>40</v>
      </c>
      <c r="AA421" s="171">
        <v>34.89</v>
      </c>
      <c r="AB421" s="171">
        <v>123.95</v>
      </c>
      <c r="AC421" s="171">
        <v>40</v>
      </c>
      <c r="AD421" s="171">
        <v>32.410000000000004</v>
      </c>
      <c r="AF421" s="171">
        <f t="shared" si="20"/>
        <v>2007</v>
      </c>
      <c r="AG421" s="171">
        <f t="shared" si="21"/>
        <v>8</v>
      </c>
      <c r="AH421" s="700">
        <f>SUMIF(D$3:$AA421,"&lt;="&amp;$AH$1)/COUNTIF(D$3:$AA421,"&lt;="&amp;$AH$1)</f>
        <v>28.311574304889689</v>
      </c>
    </row>
    <row r="422" spans="2:34" x14ac:dyDescent="0.25">
      <c r="B422" s="910">
        <v>39416</v>
      </c>
      <c r="C422" s="581">
        <f t="shared" si="19"/>
        <v>11</v>
      </c>
      <c r="D422" s="171">
        <v>35.86</v>
      </c>
      <c r="E422" s="171">
        <v>33.96</v>
      </c>
      <c r="F422" s="171">
        <v>33.980000000000004</v>
      </c>
      <c r="G422" s="171">
        <v>23.97</v>
      </c>
      <c r="H422" s="171">
        <v>21.93</v>
      </c>
      <c r="I422" s="171">
        <v>32.01</v>
      </c>
      <c r="J422" s="171">
        <v>44.85</v>
      </c>
      <c r="K422" s="171">
        <v>69.960000000000008</v>
      </c>
      <c r="L422" s="171">
        <v>79.989999999999995</v>
      </c>
      <c r="M422" s="171">
        <v>80</v>
      </c>
      <c r="N422" s="171">
        <v>78.69</v>
      </c>
      <c r="O422" s="171">
        <v>76.5</v>
      </c>
      <c r="P422" s="171">
        <v>72</v>
      </c>
      <c r="Q422" s="171">
        <v>72</v>
      </c>
      <c r="R422" s="171">
        <v>69</v>
      </c>
      <c r="S422" s="171">
        <v>62.940000000000005</v>
      </c>
      <c r="T422" s="171">
        <v>71.05</v>
      </c>
      <c r="U422" s="171">
        <v>94</v>
      </c>
      <c r="V422" s="171">
        <v>90.25</v>
      </c>
      <c r="W422" s="171">
        <v>71.510000000000005</v>
      </c>
      <c r="X422" s="171">
        <v>55.300000000000004</v>
      </c>
      <c r="Y422" s="171">
        <v>43.35</v>
      </c>
      <c r="Z422" s="171">
        <v>39.96</v>
      </c>
      <c r="AA422" s="171">
        <v>37.49</v>
      </c>
      <c r="AB422" s="171">
        <v>94</v>
      </c>
      <c r="AC422" s="171">
        <v>39.96</v>
      </c>
      <c r="AD422" s="171">
        <v>33.01</v>
      </c>
      <c r="AF422" s="171">
        <f t="shared" si="20"/>
        <v>2007</v>
      </c>
      <c r="AG422" s="171">
        <f t="shared" si="21"/>
        <v>8</v>
      </c>
      <c r="AH422" s="700">
        <f>SUMIF(D$3:$AA422,"&lt;="&amp;$AH$1)/COUNTIF(D$3:$AA422,"&lt;="&amp;$AH$1)</f>
        <v>28.317828834003389</v>
      </c>
    </row>
    <row r="423" spans="2:34" x14ac:dyDescent="0.25">
      <c r="B423" s="910">
        <v>39419</v>
      </c>
      <c r="C423" s="581">
        <f t="shared" si="19"/>
        <v>12</v>
      </c>
      <c r="D423" s="171">
        <v>15.4</v>
      </c>
      <c r="E423" s="171">
        <v>14</v>
      </c>
      <c r="F423" s="171">
        <v>11.99</v>
      </c>
      <c r="G423" s="171">
        <v>11.98</v>
      </c>
      <c r="H423" s="171">
        <v>13.92</v>
      </c>
      <c r="I423" s="171">
        <v>13.97</v>
      </c>
      <c r="J423" s="171">
        <v>25.900000000000002</v>
      </c>
      <c r="K423" s="171">
        <v>52</v>
      </c>
      <c r="L423" s="171">
        <v>85.95</v>
      </c>
      <c r="M423" s="171">
        <v>88</v>
      </c>
      <c r="N423" s="171">
        <v>88</v>
      </c>
      <c r="O423" s="171">
        <v>78.510000000000005</v>
      </c>
      <c r="P423" s="171">
        <v>79.930000000000007</v>
      </c>
      <c r="Q423" s="171">
        <v>71.510000000000005</v>
      </c>
      <c r="R423" s="171">
        <v>72.06</v>
      </c>
      <c r="S423" s="171">
        <v>72.05</v>
      </c>
      <c r="T423" s="171">
        <v>79.94</v>
      </c>
      <c r="U423" s="171">
        <v>93.98</v>
      </c>
      <c r="V423" s="171">
        <v>96.94</v>
      </c>
      <c r="W423" s="171">
        <v>88</v>
      </c>
      <c r="X423" s="171">
        <v>57.07</v>
      </c>
      <c r="Y423" s="171">
        <v>47.13</v>
      </c>
      <c r="Z423" s="171">
        <v>49.870000000000005</v>
      </c>
      <c r="AA423" s="171">
        <v>40</v>
      </c>
      <c r="AB423" s="171">
        <v>96.94</v>
      </c>
      <c r="AC423" s="171">
        <v>47.13</v>
      </c>
      <c r="AD423" s="171">
        <v>18.400000000000002</v>
      </c>
      <c r="AF423" s="171">
        <f t="shared" si="20"/>
        <v>2007</v>
      </c>
      <c r="AG423" s="171">
        <f t="shared" si="21"/>
        <v>8</v>
      </c>
      <c r="AH423" s="700">
        <f>SUMIF(D$3:$AA423,"&lt;="&amp;$AH$1)/COUNTIF(D$3:$AA423,"&lt;="&amp;$AH$1)</f>
        <v>28.302653412349397</v>
      </c>
    </row>
    <row r="424" spans="2:34" x14ac:dyDescent="0.25">
      <c r="B424" s="910">
        <v>39420</v>
      </c>
      <c r="C424" s="581">
        <f t="shared" si="19"/>
        <v>12</v>
      </c>
      <c r="D424" s="171">
        <v>27.96</v>
      </c>
      <c r="E424" s="171">
        <v>35.99</v>
      </c>
      <c r="F424" s="171">
        <v>27.95</v>
      </c>
      <c r="G424" s="171">
        <v>19.990000000000002</v>
      </c>
      <c r="H424" s="171">
        <v>19.98</v>
      </c>
      <c r="I424" s="171">
        <v>27.59</v>
      </c>
      <c r="J424" s="171">
        <v>41.910000000000004</v>
      </c>
      <c r="K424" s="171">
        <v>70</v>
      </c>
      <c r="L424" s="171">
        <v>74.23</v>
      </c>
      <c r="M424" s="171">
        <v>75</v>
      </c>
      <c r="N424" s="171">
        <v>76.44</v>
      </c>
      <c r="O424" s="171">
        <v>75.05</v>
      </c>
      <c r="P424" s="171">
        <v>76.12</v>
      </c>
      <c r="Q424" s="171">
        <v>76.12</v>
      </c>
      <c r="R424" s="171">
        <v>73.489999999999995</v>
      </c>
      <c r="S424" s="171">
        <v>71</v>
      </c>
      <c r="T424" s="171">
        <v>88.05</v>
      </c>
      <c r="U424" s="171">
        <v>107.98</v>
      </c>
      <c r="V424" s="171">
        <v>103.99000000000001</v>
      </c>
      <c r="W424" s="171">
        <v>87.4</v>
      </c>
      <c r="X424" s="171">
        <v>71.510000000000005</v>
      </c>
      <c r="Y424" s="171">
        <v>46</v>
      </c>
      <c r="Z424" s="171">
        <v>45</v>
      </c>
      <c r="AA424" s="171">
        <v>37.46</v>
      </c>
      <c r="AB424" s="171">
        <v>107.98</v>
      </c>
      <c r="AC424" s="171">
        <v>45</v>
      </c>
      <c r="AD424" s="171">
        <v>29.85</v>
      </c>
      <c r="AF424" s="171">
        <f t="shared" si="20"/>
        <v>2007</v>
      </c>
      <c r="AG424" s="171">
        <f t="shared" si="21"/>
        <v>8</v>
      </c>
      <c r="AH424" s="700">
        <f>SUMIF(D$3:$AA424,"&lt;="&amp;$AH$1)/COUNTIF(D$3:$AA424,"&lt;="&amp;$AH$1)</f>
        <v>28.3050219507539</v>
      </c>
    </row>
    <row r="425" spans="2:34" x14ac:dyDescent="0.25">
      <c r="B425" s="910">
        <v>39421</v>
      </c>
      <c r="C425" s="581">
        <f t="shared" si="19"/>
        <v>12</v>
      </c>
      <c r="D425" s="171">
        <v>35.340000000000003</v>
      </c>
      <c r="E425" s="171">
        <v>33.68</v>
      </c>
      <c r="F425" s="171">
        <v>28.18</v>
      </c>
      <c r="G425" s="171">
        <v>18.04</v>
      </c>
      <c r="H425" s="171">
        <v>18.68</v>
      </c>
      <c r="I425" s="171">
        <v>33.5</v>
      </c>
      <c r="J425" s="171">
        <v>41.09</v>
      </c>
      <c r="K425" s="171">
        <v>69.680000000000007</v>
      </c>
      <c r="L425" s="171">
        <v>66.95</v>
      </c>
      <c r="M425" s="171">
        <v>66.48</v>
      </c>
      <c r="N425" s="171">
        <v>68.12</v>
      </c>
      <c r="O425" s="171">
        <v>68.03</v>
      </c>
      <c r="P425" s="171">
        <v>64.19</v>
      </c>
      <c r="Q425" s="171">
        <v>66.12</v>
      </c>
      <c r="R425" s="171">
        <v>62.99</v>
      </c>
      <c r="S425" s="171">
        <v>60.120000000000005</v>
      </c>
      <c r="T425" s="171">
        <v>73.960000000000008</v>
      </c>
      <c r="U425" s="171">
        <v>90</v>
      </c>
      <c r="V425" s="171">
        <v>95</v>
      </c>
      <c r="W425" s="171">
        <v>72</v>
      </c>
      <c r="X425" s="171">
        <v>60.300000000000004</v>
      </c>
      <c r="Y425" s="171">
        <v>47.01</v>
      </c>
      <c r="Z425" s="171">
        <v>40</v>
      </c>
      <c r="AA425" s="171">
        <v>37.050000000000004</v>
      </c>
      <c r="AB425" s="171">
        <v>90</v>
      </c>
      <c r="AC425" s="171">
        <v>40</v>
      </c>
      <c r="AD425" s="171">
        <v>30.7</v>
      </c>
      <c r="AF425" s="171">
        <f t="shared" si="20"/>
        <v>2007</v>
      </c>
      <c r="AG425" s="171">
        <f t="shared" si="21"/>
        <v>9</v>
      </c>
      <c r="AH425" s="700">
        <f>SUMIF(D$3:$AA425,"&lt;="&amp;$AH$1)/COUNTIF(D$3:$AA425,"&lt;="&amp;$AH$1)</f>
        <v>28.310893673780424</v>
      </c>
    </row>
    <row r="426" spans="2:34" x14ac:dyDescent="0.25">
      <c r="B426" s="910">
        <v>39422</v>
      </c>
      <c r="C426" s="581">
        <f t="shared" si="19"/>
        <v>12</v>
      </c>
      <c r="D426" s="171">
        <v>31.77</v>
      </c>
      <c r="E426" s="171">
        <v>26.39</v>
      </c>
      <c r="F426" s="171">
        <v>23.09</v>
      </c>
      <c r="G426" s="171">
        <v>18.03</v>
      </c>
      <c r="H426" s="171">
        <v>21</v>
      </c>
      <c r="I426" s="171">
        <v>27.68</v>
      </c>
      <c r="J426" s="171">
        <v>32.64</v>
      </c>
      <c r="K426" s="171">
        <v>58.13</v>
      </c>
      <c r="L426" s="171">
        <v>60</v>
      </c>
      <c r="M426" s="171">
        <v>60</v>
      </c>
      <c r="N426" s="171">
        <v>61.26</v>
      </c>
      <c r="O426" s="171">
        <v>61.97</v>
      </c>
      <c r="P426" s="171">
        <v>60.84</v>
      </c>
      <c r="Q426" s="171">
        <v>61</v>
      </c>
      <c r="R426" s="171">
        <v>59.6</v>
      </c>
      <c r="S426" s="171">
        <v>55.92</v>
      </c>
      <c r="T426" s="171">
        <v>66.39</v>
      </c>
      <c r="U426" s="171">
        <v>80.3</v>
      </c>
      <c r="V426" s="171">
        <v>90</v>
      </c>
      <c r="W426" s="171">
        <v>69.040000000000006</v>
      </c>
      <c r="X426" s="171">
        <v>64.930000000000007</v>
      </c>
      <c r="Y426" s="171">
        <v>43.69</v>
      </c>
      <c r="Z426" s="171">
        <v>41.910000000000004</v>
      </c>
      <c r="AA426" s="171">
        <v>38.950000000000003</v>
      </c>
      <c r="AB426" s="171">
        <v>90</v>
      </c>
      <c r="AC426" s="171">
        <v>41.910000000000004</v>
      </c>
      <c r="AD426" s="171">
        <v>27.44</v>
      </c>
      <c r="AF426" s="171">
        <f t="shared" si="20"/>
        <v>2007</v>
      </c>
      <c r="AG426" s="171">
        <f t="shared" si="21"/>
        <v>9</v>
      </c>
      <c r="AH426" s="700">
        <f>SUMIF(D$3:$AA426,"&lt;="&amp;$AH$1)/COUNTIF(D$3:$AA426,"&lt;="&amp;$AH$1)</f>
        <v>28.312160928286033</v>
      </c>
    </row>
    <row r="427" spans="2:34" x14ac:dyDescent="0.25">
      <c r="B427" s="910">
        <v>39423</v>
      </c>
      <c r="C427" s="581">
        <f t="shared" si="19"/>
        <v>12</v>
      </c>
      <c r="D427" s="171">
        <v>30</v>
      </c>
      <c r="E427" s="171">
        <v>29.91</v>
      </c>
      <c r="F427" s="171">
        <v>23.97</v>
      </c>
      <c r="G427" s="171">
        <v>15.950000000000001</v>
      </c>
      <c r="H427" s="171">
        <v>12.07</v>
      </c>
      <c r="I427" s="171">
        <v>26.580000000000002</v>
      </c>
      <c r="J427" s="171">
        <v>39.18</v>
      </c>
      <c r="K427" s="171">
        <v>70.02</v>
      </c>
      <c r="L427" s="171">
        <v>60</v>
      </c>
      <c r="M427" s="171">
        <v>79.989999999999995</v>
      </c>
      <c r="N427" s="171">
        <v>86</v>
      </c>
      <c r="O427" s="171">
        <v>84.93</v>
      </c>
      <c r="P427" s="171">
        <v>59.99</v>
      </c>
      <c r="Q427" s="171">
        <v>59.45</v>
      </c>
      <c r="R427" s="171">
        <v>53</v>
      </c>
      <c r="S427" s="171">
        <v>49.63</v>
      </c>
      <c r="T427" s="171">
        <v>57.1</v>
      </c>
      <c r="U427" s="171">
        <v>75.25</v>
      </c>
      <c r="V427" s="171">
        <v>78.91</v>
      </c>
      <c r="W427" s="171">
        <v>64.16</v>
      </c>
      <c r="X427" s="171">
        <v>56.06</v>
      </c>
      <c r="Y427" s="171">
        <v>41</v>
      </c>
      <c r="Z427" s="171">
        <v>37.050000000000004</v>
      </c>
      <c r="AA427" s="171">
        <v>38</v>
      </c>
      <c r="AB427" s="171">
        <v>86</v>
      </c>
      <c r="AC427" s="171">
        <v>37.050000000000004</v>
      </c>
      <c r="AD427" s="171">
        <v>26.96</v>
      </c>
      <c r="AF427" s="171">
        <f t="shared" si="20"/>
        <v>2007</v>
      </c>
      <c r="AG427" s="171">
        <f t="shared" si="21"/>
        <v>10</v>
      </c>
      <c r="AH427" s="700">
        <f>SUMIF(D$3:$AA427,"&lt;="&amp;$AH$1)/COUNTIF(D$3:$AA427,"&lt;="&amp;$AH$1)</f>
        <v>28.314171254983798</v>
      </c>
    </row>
    <row r="428" spans="2:34" x14ac:dyDescent="0.25">
      <c r="B428" s="910">
        <v>39426</v>
      </c>
      <c r="C428" s="581">
        <f t="shared" si="19"/>
        <v>12</v>
      </c>
      <c r="D428" s="171">
        <v>25</v>
      </c>
      <c r="E428" s="171">
        <v>23</v>
      </c>
      <c r="F428" s="171">
        <v>21.77</v>
      </c>
      <c r="G428" s="171">
        <v>9.17</v>
      </c>
      <c r="H428" s="171">
        <v>7.88</v>
      </c>
      <c r="I428" s="171">
        <v>28.92</v>
      </c>
      <c r="J428" s="171">
        <v>45.89</v>
      </c>
      <c r="K428" s="171">
        <v>85.93</v>
      </c>
      <c r="L428" s="171">
        <v>81</v>
      </c>
      <c r="M428" s="171">
        <v>84.26</v>
      </c>
      <c r="N428" s="171">
        <v>85.5</v>
      </c>
      <c r="O428" s="171">
        <v>86.91</v>
      </c>
      <c r="P428" s="171">
        <v>83.93</v>
      </c>
      <c r="Q428" s="171">
        <v>83.93</v>
      </c>
      <c r="R428" s="171">
        <v>88.95</v>
      </c>
      <c r="S428" s="171">
        <v>88.92</v>
      </c>
      <c r="T428" s="171">
        <v>95.51</v>
      </c>
      <c r="U428" s="171">
        <v>108.92</v>
      </c>
      <c r="V428" s="171">
        <v>113.06</v>
      </c>
      <c r="W428" s="171">
        <v>95.51</v>
      </c>
      <c r="X428" s="171">
        <v>80</v>
      </c>
      <c r="Y428" s="171">
        <v>62.39</v>
      </c>
      <c r="Z428" s="171">
        <v>47.1</v>
      </c>
      <c r="AA428" s="171">
        <v>46</v>
      </c>
      <c r="AB428" s="171">
        <v>113.06</v>
      </c>
      <c r="AC428" s="171">
        <v>47.1</v>
      </c>
      <c r="AD428" s="171">
        <v>25.95</v>
      </c>
      <c r="AF428" s="171">
        <f t="shared" si="20"/>
        <v>2007</v>
      </c>
      <c r="AG428" s="171">
        <f t="shared" si="21"/>
        <v>6</v>
      </c>
      <c r="AH428" s="700">
        <f>SUMIF(D$3:$AA428,"&lt;="&amp;$AH$1)/COUNTIF(D$3:$AA428,"&lt;="&amp;$AH$1)</f>
        <v>28.303902901573998</v>
      </c>
    </row>
    <row r="429" spans="2:34" x14ac:dyDescent="0.25">
      <c r="B429" s="910">
        <v>39427</v>
      </c>
      <c r="C429" s="581">
        <f t="shared" si="19"/>
        <v>12</v>
      </c>
      <c r="D429" s="171">
        <v>38</v>
      </c>
      <c r="E429" s="171">
        <v>30.79</v>
      </c>
      <c r="F429" s="171">
        <v>29.97</v>
      </c>
      <c r="G429" s="171">
        <v>27.32</v>
      </c>
      <c r="H429" s="171">
        <v>20.93</v>
      </c>
      <c r="I429" s="171">
        <v>31.400000000000002</v>
      </c>
      <c r="J429" s="171">
        <v>45.480000000000004</v>
      </c>
      <c r="K429" s="171">
        <v>87.350000000000009</v>
      </c>
      <c r="L429" s="171">
        <v>86.19</v>
      </c>
      <c r="M429" s="171">
        <v>88.45</v>
      </c>
      <c r="N429" s="171">
        <v>89.69</v>
      </c>
      <c r="O429" s="171">
        <v>94.53</v>
      </c>
      <c r="P429" s="171">
        <v>81.040000000000006</v>
      </c>
      <c r="Q429" s="171">
        <v>79.989999999999995</v>
      </c>
      <c r="R429" s="171">
        <v>83.64</v>
      </c>
      <c r="S429" s="171">
        <v>81</v>
      </c>
      <c r="T429" s="171">
        <v>99.51</v>
      </c>
      <c r="U429" s="171">
        <v>158.97</v>
      </c>
      <c r="V429" s="171">
        <v>160.80000000000001</v>
      </c>
      <c r="W429" s="171">
        <v>102.09</v>
      </c>
      <c r="X429" s="171">
        <v>88.11</v>
      </c>
      <c r="Y429" s="171">
        <v>64.930000000000007</v>
      </c>
      <c r="Z429" s="171">
        <v>55.1</v>
      </c>
      <c r="AA429" s="171">
        <v>46.56</v>
      </c>
      <c r="AB429" s="171">
        <v>160.80000000000001</v>
      </c>
      <c r="AC429" s="171">
        <v>55.1</v>
      </c>
      <c r="AD429" s="171">
        <v>33.81</v>
      </c>
      <c r="AF429" s="171">
        <f t="shared" si="20"/>
        <v>2007</v>
      </c>
      <c r="AG429" s="171">
        <f t="shared" si="21"/>
        <v>6</v>
      </c>
      <c r="AH429" s="700">
        <f>SUMIF(D$3:$AA429,"&lt;="&amp;$AH$1)/COUNTIF(D$3:$AA429,"&lt;="&amp;$AH$1)</f>
        <v>28.30552945633637</v>
      </c>
    </row>
    <row r="430" spans="2:34" x14ac:dyDescent="0.25">
      <c r="B430" s="910">
        <v>39428</v>
      </c>
      <c r="C430" s="581">
        <f t="shared" si="19"/>
        <v>12</v>
      </c>
      <c r="D430" s="171">
        <v>43.02</v>
      </c>
      <c r="E430" s="171">
        <v>36.26</v>
      </c>
      <c r="F430" s="171">
        <v>35.22</v>
      </c>
      <c r="G430" s="171">
        <v>28.900000000000002</v>
      </c>
      <c r="H430" s="171">
        <v>28.16</v>
      </c>
      <c r="I430" s="171">
        <v>34.4</v>
      </c>
      <c r="J430" s="171">
        <v>56</v>
      </c>
      <c r="K430" s="171">
        <v>98.710000000000008</v>
      </c>
      <c r="L430" s="171">
        <v>98.7</v>
      </c>
      <c r="M430" s="171">
        <v>98.95</v>
      </c>
      <c r="N430" s="171">
        <v>98.93</v>
      </c>
      <c r="O430" s="171">
        <v>98.9</v>
      </c>
      <c r="P430" s="171">
        <v>90.08</v>
      </c>
      <c r="Q430" s="171">
        <v>93.06</v>
      </c>
      <c r="R430" s="171">
        <v>91.59</v>
      </c>
      <c r="S430" s="171">
        <v>89.92</v>
      </c>
      <c r="T430" s="171">
        <v>100</v>
      </c>
      <c r="U430" s="171">
        <v>191.99</v>
      </c>
      <c r="V430" s="171">
        <v>182.76</v>
      </c>
      <c r="W430" s="171">
        <v>109</v>
      </c>
      <c r="X430" s="171">
        <v>86.99</v>
      </c>
      <c r="Y430" s="171">
        <v>73.03</v>
      </c>
      <c r="Z430" s="171">
        <v>65.45</v>
      </c>
      <c r="AA430" s="171">
        <v>61</v>
      </c>
      <c r="AB430" s="171">
        <v>191.99</v>
      </c>
      <c r="AC430" s="171">
        <v>65.45</v>
      </c>
      <c r="AD430" s="171">
        <v>40.369999999999997</v>
      </c>
      <c r="AF430" s="171">
        <f t="shared" si="20"/>
        <v>2007</v>
      </c>
      <c r="AG430" s="171">
        <f t="shared" si="21"/>
        <v>5</v>
      </c>
      <c r="AH430" s="700">
        <f>SUMIF(D$3:$AA430,"&lt;="&amp;$AH$1)/COUNTIF(D$3:$AA430,"&lt;="&amp;$AH$1)</f>
        <v>28.309581756245212</v>
      </c>
    </row>
    <row r="431" spans="2:34" x14ac:dyDescent="0.25">
      <c r="B431" s="910">
        <v>39429</v>
      </c>
      <c r="C431" s="581">
        <f t="shared" si="19"/>
        <v>12</v>
      </c>
      <c r="D431" s="171">
        <v>55</v>
      </c>
      <c r="E431" s="171">
        <v>46.42</v>
      </c>
      <c r="F431" s="171">
        <v>41</v>
      </c>
      <c r="G431" s="171">
        <v>40</v>
      </c>
      <c r="H431" s="171">
        <v>47</v>
      </c>
      <c r="I431" s="171">
        <v>49.92</v>
      </c>
      <c r="J431" s="171">
        <v>72.42</v>
      </c>
      <c r="K431" s="171">
        <v>127.82000000000001</v>
      </c>
      <c r="L431" s="171">
        <v>120.3</v>
      </c>
      <c r="M431" s="171">
        <v>117.86</v>
      </c>
      <c r="N431" s="171">
        <v>118.47</v>
      </c>
      <c r="O431" s="171">
        <v>119.3</v>
      </c>
      <c r="P431" s="171">
        <v>106.43</v>
      </c>
      <c r="Q431" s="171">
        <v>109.3</v>
      </c>
      <c r="R431" s="171">
        <v>101.04</v>
      </c>
      <c r="S431" s="171">
        <v>96.01</v>
      </c>
      <c r="T431" s="171">
        <v>110.05</v>
      </c>
      <c r="U431" s="171">
        <v>255.32</v>
      </c>
      <c r="V431" s="171">
        <v>198.93</v>
      </c>
      <c r="W431" s="171">
        <v>128</v>
      </c>
      <c r="X431" s="171">
        <v>108.3</v>
      </c>
      <c r="Y431" s="171">
        <v>74.600000000000009</v>
      </c>
      <c r="Z431" s="171">
        <v>63.190000000000005</v>
      </c>
      <c r="AA431" s="171">
        <v>57.92</v>
      </c>
      <c r="AB431" s="171">
        <v>255.32</v>
      </c>
      <c r="AC431" s="171">
        <v>63.190000000000005</v>
      </c>
      <c r="AD431" s="171">
        <v>51.21</v>
      </c>
      <c r="AF431" s="171">
        <f t="shared" si="20"/>
        <v>2007</v>
      </c>
      <c r="AG431" s="171">
        <f t="shared" si="21"/>
        <v>2</v>
      </c>
      <c r="AH431" s="700">
        <f>SUMIF(D$3:$AA431,"&lt;="&amp;$AH$1)/COUNTIF(D$3:$AA431,"&lt;="&amp;$AH$1)</f>
        <v>28.314194097616287</v>
      </c>
    </row>
    <row r="432" spans="2:34" x14ac:dyDescent="0.25">
      <c r="B432" s="910">
        <v>39430</v>
      </c>
      <c r="C432" s="581">
        <f t="shared" si="19"/>
        <v>12</v>
      </c>
      <c r="D432" s="171">
        <v>49.93</v>
      </c>
      <c r="E432" s="171">
        <v>41.57</v>
      </c>
      <c r="F432" s="171">
        <v>38.200000000000003</v>
      </c>
      <c r="G432" s="171">
        <v>31.03</v>
      </c>
      <c r="H432" s="171">
        <v>30</v>
      </c>
      <c r="I432" s="171">
        <v>44.01</v>
      </c>
      <c r="J432" s="171">
        <v>66.86</v>
      </c>
      <c r="K432" s="171">
        <v>98</v>
      </c>
      <c r="L432" s="171">
        <v>103.94</v>
      </c>
      <c r="M432" s="171">
        <v>105</v>
      </c>
      <c r="N432" s="171">
        <v>103.93</v>
      </c>
      <c r="O432" s="171">
        <v>105.93</v>
      </c>
      <c r="P432" s="171">
        <v>95.01</v>
      </c>
      <c r="Q432" s="171">
        <v>95.01</v>
      </c>
      <c r="R432" s="171">
        <v>91.91</v>
      </c>
      <c r="S432" s="171">
        <v>85.49</v>
      </c>
      <c r="T432" s="171">
        <v>96.31</v>
      </c>
      <c r="U432" s="171">
        <v>142.78</v>
      </c>
      <c r="V432" s="171">
        <v>135.24</v>
      </c>
      <c r="W432" s="171">
        <v>110.07000000000001</v>
      </c>
      <c r="X432" s="171">
        <v>96.31</v>
      </c>
      <c r="Y432" s="171">
        <v>73.5</v>
      </c>
      <c r="Z432" s="171">
        <v>60</v>
      </c>
      <c r="AA432" s="171">
        <v>70.92</v>
      </c>
      <c r="AB432" s="171">
        <v>142.78</v>
      </c>
      <c r="AC432" s="171">
        <v>60</v>
      </c>
      <c r="AD432" s="171">
        <v>46.57</v>
      </c>
      <c r="AF432" s="171">
        <f t="shared" si="20"/>
        <v>2007</v>
      </c>
      <c r="AG432" s="171">
        <f t="shared" si="21"/>
        <v>4</v>
      </c>
      <c r="AH432" s="700">
        <f>SUMIF(D$3:$AA432,"&lt;="&amp;$AH$1)/COUNTIF(D$3:$AA432,"&lt;="&amp;$AH$1)</f>
        <v>28.319400756143612</v>
      </c>
    </row>
    <row r="433" spans="2:34" x14ac:dyDescent="0.25">
      <c r="B433" s="910">
        <v>39433</v>
      </c>
      <c r="C433" s="581">
        <f t="shared" si="19"/>
        <v>12</v>
      </c>
      <c r="D433" s="171">
        <v>46</v>
      </c>
      <c r="E433" s="171">
        <v>40.1</v>
      </c>
      <c r="F433" s="171">
        <v>40</v>
      </c>
      <c r="G433" s="171">
        <v>30.79</v>
      </c>
      <c r="H433" s="171">
        <v>31.990000000000002</v>
      </c>
      <c r="I433" s="171">
        <v>39.96</v>
      </c>
      <c r="J433" s="171">
        <v>64.19</v>
      </c>
      <c r="K433" s="171">
        <v>107.92</v>
      </c>
      <c r="L433" s="171">
        <v>115.17</v>
      </c>
      <c r="M433" s="171">
        <v>115.33</v>
      </c>
      <c r="N433" s="171">
        <v>102.06</v>
      </c>
      <c r="O433" s="171">
        <v>102.03</v>
      </c>
      <c r="P433" s="171">
        <v>99.990000000000009</v>
      </c>
      <c r="Q433" s="171">
        <v>90.55</v>
      </c>
      <c r="R433" s="171">
        <v>86.04</v>
      </c>
      <c r="S433" s="171">
        <v>85.23</v>
      </c>
      <c r="T433" s="171">
        <v>88.31</v>
      </c>
      <c r="U433" s="171">
        <v>226.9</v>
      </c>
      <c r="V433" s="171">
        <v>110.12</v>
      </c>
      <c r="W433" s="171">
        <v>72.2</v>
      </c>
      <c r="X433" s="171">
        <v>70</v>
      </c>
      <c r="Y433" s="171">
        <v>52.38</v>
      </c>
      <c r="Z433" s="171">
        <v>41.800000000000004</v>
      </c>
      <c r="AA433" s="171">
        <v>46</v>
      </c>
      <c r="AB433" s="171">
        <v>226.9</v>
      </c>
      <c r="AC433" s="171">
        <v>41.800000000000004</v>
      </c>
      <c r="AD433" s="171">
        <v>42.38</v>
      </c>
      <c r="AF433" s="171">
        <f t="shared" si="20"/>
        <v>2007</v>
      </c>
      <c r="AG433" s="171">
        <f t="shared" si="21"/>
        <v>6</v>
      </c>
      <c r="AH433" s="700">
        <f>SUMIF(D$3:$AA433,"&lt;="&amp;$AH$1)/COUNTIF(D$3:$AA433,"&lt;="&amp;$AH$1)</f>
        <v>28.329733761329248</v>
      </c>
    </row>
    <row r="434" spans="2:34" x14ac:dyDescent="0.25">
      <c r="B434" s="910">
        <v>39434</v>
      </c>
      <c r="C434" s="581">
        <f t="shared" si="19"/>
        <v>12</v>
      </c>
      <c r="D434" s="171">
        <v>47.9</v>
      </c>
      <c r="E434" s="171">
        <v>40</v>
      </c>
      <c r="F434" s="171">
        <v>37.800000000000004</v>
      </c>
      <c r="G434" s="171">
        <v>34</v>
      </c>
      <c r="H434" s="171">
        <v>28.5</v>
      </c>
      <c r="I434" s="171">
        <v>43.39</v>
      </c>
      <c r="J434" s="171">
        <v>60</v>
      </c>
      <c r="K434" s="171">
        <v>119.99000000000001</v>
      </c>
      <c r="L434" s="171">
        <v>110.09</v>
      </c>
      <c r="M434" s="171">
        <v>116.5</v>
      </c>
      <c r="N434" s="171">
        <v>101.05</v>
      </c>
      <c r="O434" s="171">
        <v>95.960000000000008</v>
      </c>
      <c r="P434" s="171">
        <v>94.86</v>
      </c>
      <c r="Q434" s="171">
        <v>85.98</v>
      </c>
      <c r="R434" s="171">
        <v>81.92</v>
      </c>
      <c r="S434" s="171">
        <v>78.900000000000006</v>
      </c>
      <c r="T434" s="171">
        <v>95.91</v>
      </c>
      <c r="U434" s="171">
        <v>195.8</v>
      </c>
      <c r="V434" s="171">
        <v>263.37</v>
      </c>
      <c r="W434" s="171">
        <v>137.70000000000002</v>
      </c>
      <c r="X434" s="171">
        <v>95</v>
      </c>
      <c r="Y434" s="171">
        <v>70</v>
      </c>
      <c r="Z434" s="171">
        <v>49.4</v>
      </c>
      <c r="AA434" s="171">
        <v>59.07</v>
      </c>
      <c r="AB434" s="171">
        <v>263.37</v>
      </c>
      <c r="AC434" s="171">
        <v>49.4</v>
      </c>
      <c r="AD434" s="171">
        <v>43.83</v>
      </c>
      <c r="AF434" s="171">
        <f t="shared" si="20"/>
        <v>2007</v>
      </c>
      <c r="AG434" s="171">
        <f t="shared" si="21"/>
        <v>4</v>
      </c>
      <c r="AH434" s="700">
        <f>SUMIF(D$3:$AA434,"&lt;="&amp;$AH$1)/COUNTIF(D$3:$AA434,"&lt;="&amp;$AH$1)</f>
        <v>28.334824528301827</v>
      </c>
    </row>
    <row r="435" spans="2:34" x14ac:dyDescent="0.25">
      <c r="B435" s="910">
        <v>39435</v>
      </c>
      <c r="C435" s="581">
        <f t="shared" si="19"/>
        <v>12</v>
      </c>
      <c r="D435" s="171">
        <v>58.36</v>
      </c>
      <c r="E435" s="171">
        <v>45.01</v>
      </c>
      <c r="F435" s="171">
        <v>41</v>
      </c>
      <c r="G435" s="171">
        <v>40.72</v>
      </c>
      <c r="H435" s="171">
        <v>41.96</v>
      </c>
      <c r="I435" s="171">
        <v>49</v>
      </c>
      <c r="J435" s="171">
        <v>70.81</v>
      </c>
      <c r="K435" s="171">
        <v>130</v>
      </c>
      <c r="L435" s="171">
        <v>122.77</v>
      </c>
      <c r="M435" s="171">
        <v>130</v>
      </c>
      <c r="N435" s="171">
        <v>129.59</v>
      </c>
      <c r="O435" s="171">
        <v>155.06</v>
      </c>
      <c r="P435" s="171">
        <v>119.81</v>
      </c>
      <c r="Q435" s="171">
        <v>108.95</v>
      </c>
      <c r="R435" s="171">
        <v>95.49</v>
      </c>
      <c r="S435" s="171">
        <v>98.08</v>
      </c>
      <c r="T435" s="171">
        <v>125</v>
      </c>
      <c r="U435" s="171">
        <v>237.70000000000002</v>
      </c>
      <c r="V435" s="171">
        <v>246.5</v>
      </c>
      <c r="W435" s="171">
        <v>110</v>
      </c>
      <c r="X435" s="171">
        <v>100</v>
      </c>
      <c r="Y435" s="171">
        <v>71.5</v>
      </c>
      <c r="Z435" s="171">
        <v>58</v>
      </c>
      <c r="AA435" s="171">
        <v>58.35</v>
      </c>
      <c r="AB435" s="171">
        <v>246.5</v>
      </c>
      <c r="AC435" s="171">
        <v>58</v>
      </c>
      <c r="AD435" s="171">
        <v>50.65</v>
      </c>
      <c r="AF435" s="171">
        <f t="shared" si="20"/>
        <v>2007</v>
      </c>
      <c r="AG435" s="171">
        <f t="shared" si="21"/>
        <v>3</v>
      </c>
      <c r="AH435" s="700">
        <f>SUMIF(D$3:$AA435,"&lt;="&amp;$AH$1)/COUNTIF(D$3:$AA435,"&lt;="&amp;$AH$1)</f>
        <v>28.342117669243763</v>
      </c>
    </row>
    <row r="436" spans="2:34" x14ac:dyDescent="0.25">
      <c r="B436" s="910">
        <v>39436</v>
      </c>
      <c r="C436" s="581">
        <f t="shared" si="19"/>
        <v>12</v>
      </c>
      <c r="D436" s="171">
        <v>60</v>
      </c>
      <c r="E436" s="171">
        <v>50</v>
      </c>
      <c r="F436" s="171">
        <v>43</v>
      </c>
      <c r="G436" s="171">
        <v>41</v>
      </c>
      <c r="H436" s="171">
        <v>43</v>
      </c>
      <c r="I436" s="171">
        <v>52.89</v>
      </c>
      <c r="J436" s="171">
        <v>72.3</v>
      </c>
      <c r="K436" s="171">
        <v>148.77000000000001</v>
      </c>
      <c r="L436" s="171">
        <v>227.13</v>
      </c>
      <c r="M436" s="171">
        <v>164.93</v>
      </c>
      <c r="N436" s="171">
        <v>145.20000000000002</v>
      </c>
      <c r="O436" s="171">
        <v>140</v>
      </c>
      <c r="P436" s="171">
        <v>125</v>
      </c>
      <c r="Q436" s="171">
        <v>109.54</v>
      </c>
      <c r="R436" s="171">
        <v>83.92</v>
      </c>
      <c r="S436" s="171">
        <v>77.92</v>
      </c>
      <c r="T436" s="171">
        <v>86.9</v>
      </c>
      <c r="U436" s="171">
        <v>187.09</v>
      </c>
      <c r="V436" s="171">
        <v>349.49</v>
      </c>
      <c r="W436" s="171">
        <v>136.18</v>
      </c>
      <c r="X436" s="171">
        <v>102.67</v>
      </c>
      <c r="Y436" s="171">
        <v>76.41</v>
      </c>
      <c r="Z436" s="171">
        <v>70</v>
      </c>
      <c r="AA436" s="171">
        <v>64.180000000000007</v>
      </c>
      <c r="AB436" s="171">
        <v>349.49</v>
      </c>
      <c r="AC436" s="171">
        <v>70</v>
      </c>
      <c r="AD436" s="171">
        <v>53.300000000000004</v>
      </c>
      <c r="AF436" s="171">
        <f t="shared" si="20"/>
        <v>2007</v>
      </c>
      <c r="AG436" s="171">
        <f t="shared" si="21"/>
        <v>1</v>
      </c>
      <c r="AH436" s="700">
        <f>SUMIF(D$3:$AA436,"&lt;="&amp;$AH$1)/COUNTIF(D$3:$AA436,"&lt;="&amp;$AH$1)</f>
        <v>28.344504147812913</v>
      </c>
    </row>
    <row r="437" spans="2:34" x14ac:dyDescent="0.25">
      <c r="B437" s="910">
        <v>39437</v>
      </c>
      <c r="C437" s="581">
        <f t="shared" si="19"/>
        <v>12</v>
      </c>
      <c r="D437" s="171">
        <v>52.410000000000004</v>
      </c>
      <c r="E437" s="171">
        <v>43</v>
      </c>
      <c r="F437" s="171">
        <v>40</v>
      </c>
      <c r="G437" s="171">
        <v>39.92</v>
      </c>
      <c r="H437" s="171">
        <v>40.08</v>
      </c>
      <c r="I437" s="171">
        <v>49.93</v>
      </c>
      <c r="J437" s="171">
        <v>63.57</v>
      </c>
      <c r="K437" s="171">
        <v>109</v>
      </c>
      <c r="L437" s="171">
        <v>139.9</v>
      </c>
      <c r="M437" s="171">
        <v>250</v>
      </c>
      <c r="N437" s="171">
        <v>300</v>
      </c>
      <c r="O437" s="171">
        <v>229.65</v>
      </c>
      <c r="P437" s="171">
        <v>130.34</v>
      </c>
      <c r="Q437" s="171">
        <v>105.31</v>
      </c>
      <c r="R437" s="171">
        <v>97.600000000000009</v>
      </c>
      <c r="S437" s="171">
        <v>75</v>
      </c>
      <c r="T437" s="171">
        <v>93.64</v>
      </c>
      <c r="U437" s="171">
        <v>150</v>
      </c>
      <c r="V437" s="171">
        <v>145.26</v>
      </c>
      <c r="W437" s="171">
        <v>78.02</v>
      </c>
      <c r="X437" s="171">
        <v>72.42</v>
      </c>
      <c r="Y437" s="171">
        <v>52</v>
      </c>
      <c r="Z437" s="171">
        <v>51</v>
      </c>
      <c r="AA437" s="171">
        <v>60</v>
      </c>
      <c r="AB437" s="171">
        <v>300</v>
      </c>
      <c r="AC437" s="171">
        <v>51</v>
      </c>
      <c r="AD437" s="171">
        <v>48.61</v>
      </c>
      <c r="AF437" s="171">
        <f t="shared" si="20"/>
        <v>2007</v>
      </c>
      <c r="AG437" s="171">
        <f t="shared" si="21"/>
        <v>3</v>
      </c>
      <c r="AH437" s="700">
        <f>SUMIF(D$3:$AA437,"&lt;="&amp;$AH$1)/COUNTIF(D$3:$AA437,"&lt;="&amp;$AH$1)</f>
        <v>28.351092896174801</v>
      </c>
    </row>
    <row r="438" spans="2:34" x14ac:dyDescent="0.25">
      <c r="B438" s="910">
        <v>39440</v>
      </c>
      <c r="C438" s="581">
        <f t="shared" si="19"/>
        <v>12</v>
      </c>
      <c r="D438" s="171">
        <v>46</v>
      </c>
      <c r="E438" s="171">
        <v>36</v>
      </c>
      <c r="F438" s="171">
        <v>33</v>
      </c>
      <c r="G438" s="171">
        <v>28</v>
      </c>
      <c r="H438" s="171">
        <v>29.5</v>
      </c>
      <c r="I438" s="171">
        <v>29.5</v>
      </c>
      <c r="J438" s="171">
        <v>36</v>
      </c>
      <c r="K438" s="171">
        <v>43</v>
      </c>
      <c r="L438" s="171">
        <v>66.95</v>
      </c>
      <c r="M438" s="171">
        <v>74.960000000000008</v>
      </c>
      <c r="N438" s="171">
        <v>80.989999999999995</v>
      </c>
      <c r="O438" s="171">
        <v>84.91</v>
      </c>
      <c r="P438" s="171">
        <v>81.36</v>
      </c>
      <c r="Q438" s="171">
        <v>74.930000000000007</v>
      </c>
      <c r="R438" s="171">
        <v>68.97</v>
      </c>
      <c r="S438" s="171">
        <v>66.95</v>
      </c>
      <c r="T438" s="171">
        <v>69.94</v>
      </c>
      <c r="U438" s="171">
        <v>83.95</v>
      </c>
      <c r="V438" s="171">
        <v>86.960000000000008</v>
      </c>
      <c r="W438" s="171">
        <v>78.91</v>
      </c>
      <c r="X438" s="171">
        <v>68.95</v>
      </c>
      <c r="Y438" s="171">
        <v>43</v>
      </c>
      <c r="Z438" s="171">
        <v>23</v>
      </c>
      <c r="AA438" s="171">
        <v>36</v>
      </c>
      <c r="AB438" s="171">
        <v>86.960000000000008</v>
      </c>
      <c r="AC438" s="171">
        <v>23</v>
      </c>
      <c r="AD438" s="171">
        <v>34.25</v>
      </c>
      <c r="AF438" s="171">
        <f t="shared" si="20"/>
        <v>2007</v>
      </c>
      <c r="AG438" s="171">
        <f t="shared" si="21"/>
        <v>8</v>
      </c>
      <c r="AH438" s="700">
        <f>SUMIF(D$3:$AA438,"&lt;="&amp;$AH$1)/COUNTIF(D$3:$AA438,"&lt;="&amp;$AH$1)</f>
        <v>28.355644402633995</v>
      </c>
    </row>
    <row r="439" spans="2:34" x14ac:dyDescent="0.25">
      <c r="B439" s="910">
        <v>39441</v>
      </c>
      <c r="C439" s="581">
        <f t="shared" si="19"/>
        <v>12</v>
      </c>
      <c r="D439" s="171">
        <v>50</v>
      </c>
      <c r="E439" s="171">
        <v>30</v>
      </c>
      <c r="F439" s="171">
        <v>0.88</v>
      </c>
      <c r="G439" s="171">
        <v>0.01</v>
      </c>
      <c r="H439" s="171">
        <v>0.01</v>
      </c>
      <c r="I439" s="171">
        <v>0.01</v>
      </c>
      <c r="J439" s="171">
        <v>4</v>
      </c>
      <c r="K439" s="171">
        <v>29.5</v>
      </c>
      <c r="L439" s="171">
        <v>24.080000000000002</v>
      </c>
      <c r="M439" s="171">
        <v>33.9</v>
      </c>
      <c r="N439" s="171">
        <v>37.97</v>
      </c>
      <c r="O439" s="171">
        <v>39.980000000000004</v>
      </c>
      <c r="P439" s="171">
        <v>41.95</v>
      </c>
      <c r="Q439" s="171">
        <v>37.800000000000004</v>
      </c>
      <c r="R439" s="171">
        <v>33.03</v>
      </c>
      <c r="S439" s="171">
        <v>31.900000000000002</v>
      </c>
      <c r="T439" s="171">
        <v>31.900000000000002</v>
      </c>
      <c r="U439" s="171">
        <v>43.5</v>
      </c>
      <c r="V439" s="171">
        <v>48.15</v>
      </c>
      <c r="W439" s="171">
        <v>49.97</v>
      </c>
      <c r="X439" s="171">
        <v>49.99</v>
      </c>
      <c r="Y439" s="171">
        <v>69.97</v>
      </c>
      <c r="Z439" s="171">
        <v>73.95</v>
      </c>
      <c r="AA439" s="171">
        <v>61.980000000000004</v>
      </c>
      <c r="AB439" s="171">
        <v>73.95</v>
      </c>
      <c r="AC439" s="171">
        <v>29.5</v>
      </c>
      <c r="AD439" s="171">
        <v>18.36</v>
      </c>
      <c r="AF439" s="171">
        <f t="shared" si="20"/>
        <v>2007</v>
      </c>
      <c r="AG439" s="171">
        <f t="shared" si="21"/>
        <v>16</v>
      </c>
      <c r="AH439" s="700">
        <f>SUMIF(D$3:$AA439,"&lt;="&amp;$AH$1)/COUNTIF(D$3:$AA439,"&lt;="&amp;$AH$1)</f>
        <v>28.341243669105175</v>
      </c>
    </row>
    <row r="440" spans="2:34" x14ac:dyDescent="0.25">
      <c r="B440" s="910">
        <v>39442</v>
      </c>
      <c r="C440" s="581">
        <f t="shared" si="19"/>
        <v>12</v>
      </c>
      <c r="D440" s="171">
        <v>23.98</v>
      </c>
      <c r="E440" s="171">
        <v>31.95</v>
      </c>
      <c r="F440" s="171">
        <v>24.080000000000002</v>
      </c>
      <c r="G440" s="171">
        <v>13.92</v>
      </c>
      <c r="H440" s="171">
        <v>9.93</v>
      </c>
      <c r="I440" s="171">
        <v>15.450000000000001</v>
      </c>
      <c r="J440" s="171">
        <v>21.990000000000002</v>
      </c>
      <c r="K440" s="171">
        <v>34.99</v>
      </c>
      <c r="L440" s="171">
        <v>43</v>
      </c>
      <c r="M440" s="171">
        <v>50.42</v>
      </c>
      <c r="N440" s="171">
        <v>65.94</v>
      </c>
      <c r="O440" s="171">
        <v>66.95</v>
      </c>
      <c r="P440" s="171">
        <v>66.95</v>
      </c>
      <c r="Q440" s="171">
        <v>58.76</v>
      </c>
      <c r="R440" s="171">
        <v>53.92</v>
      </c>
      <c r="S440" s="171">
        <v>49.95</v>
      </c>
      <c r="T440" s="171">
        <v>52.06</v>
      </c>
      <c r="U440" s="171">
        <v>66.95</v>
      </c>
      <c r="V440" s="171">
        <v>83</v>
      </c>
      <c r="W440" s="171">
        <v>72.430000000000007</v>
      </c>
      <c r="X440" s="171">
        <v>65.98</v>
      </c>
      <c r="Y440" s="171">
        <v>55.99</v>
      </c>
      <c r="Z440" s="171">
        <v>61.26</v>
      </c>
      <c r="AA440" s="171">
        <v>49.99</v>
      </c>
      <c r="AB440" s="171">
        <v>83</v>
      </c>
      <c r="AC440" s="171">
        <v>34.99</v>
      </c>
      <c r="AD440" s="171">
        <v>23.91</v>
      </c>
      <c r="AF440" s="171">
        <f t="shared" si="20"/>
        <v>2007</v>
      </c>
      <c r="AG440" s="171">
        <f t="shared" si="21"/>
        <v>8</v>
      </c>
      <c r="AH440" s="700">
        <f>SUMIF(D$3:$AA440,"&lt;="&amp;$AH$1)/COUNTIF(D$3:$AA440,"&lt;="&amp;$AH$1)</f>
        <v>28.331796216519891</v>
      </c>
    </row>
    <row r="441" spans="2:34" x14ac:dyDescent="0.25">
      <c r="B441" s="910">
        <v>39443</v>
      </c>
      <c r="C441" s="581">
        <f t="shared" si="19"/>
        <v>12</v>
      </c>
      <c r="D441" s="171">
        <v>57.27</v>
      </c>
      <c r="E441" s="171">
        <v>38</v>
      </c>
      <c r="F441" s="171">
        <v>20</v>
      </c>
      <c r="G441" s="171">
        <v>18</v>
      </c>
      <c r="H441" s="171">
        <v>5</v>
      </c>
      <c r="I441" s="171">
        <v>4.3</v>
      </c>
      <c r="J441" s="171">
        <v>28.5</v>
      </c>
      <c r="K441" s="171">
        <v>35.72</v>
      </c>
      <c r="L441" s="171">
        <v>55</v>
      </c>
      <c r="M441" s="171">
        <v>66.960000000000008</v>
      </c>
      <c r="N441" s="171">
        <v>66.95</v>
      </c>
      <c r="O441" s="171">
        <v>74.97</v>
      </c>
      <c r="P441" s="171">
        <v>77.460000000000008</v>
      </c>
      <c r="Q441" s="171">
        <v>77.91</v>
      </c>
      <c r="R441" s="171">
        <v>77.92</v>
      </c>
      <c r="S441" s="171">
        <v>71.97</v>
      </c>
      <c r="T441" s="171">
        <v>74.95</v>
      </c>
      <c r="U441" s="171">
        <v>80.94</v>
      </c>
      <c r="V441" s="171">
        <v>84.89</v>
      </c>
      <c r="W441" s="171">
        <v>83.98</v>
      </c>
      <c r="X441" s="171">
        <v>64.930000000000007</v>
      </c>
      <c r="Y441" s="171">
        <v>44.93</v>
      </c>
      <c r="Z441" s="171">
        <v>39.68</v>
      </c>
      <c r="AA441" s="171">
        <v>44.93</v>
      </c>
      <c r="AB441" s="171">
        <v>84.89</v>
      </c>
      <c r="AC441" s="171">
        <v>39.68</v>
      </c>
      <c r="AD441" s="171">
        <v>27</v>
      </c>
      <c r="AF441" s="171">
        <f t="shared" si="20"/>
        <v>2007</v>
      </c>
      <c r="AG441" s="171">
        <f t="shared" si="21"/>
        <v>8</v>
      </c>
      <c r="AH441" s="700">
        <f>SUMIF(D$3:$AA441,"&lt;="&amp;$AH$1)/COUNTIF(D$3:$AA441,"&lt;="&amp;$AH$1)</f>
        <v>28.324791471853317</v>
      </c>
    </row>
    <row r="442" spans="2:34" x14ac:dyDescent="0.25">
      <c r="B442" s="910">
        <v>39444</v>
      </c>
      <c r="C442" s="581">
        <f t="shared" si="19"/>
        <v>12</v>
      </c>
      <c r="D442" s="171">
        <v>22.09</v>
      </c>
      <c r="E442" s="171">
        <v>13.58</v>
      </c>
      <c r="F442" s="171">
        <v>8.6</v>
      </c>
      <c r="G442" s="171">
        <v>11</v>
      </c>
      <c r="H442" s="171">
        <v>16</v>
      </c>
      <c r="I442" s="171">
        <v>29.93</v>
      </c>
      <c r="J442" s="171">
        <v>35.83</v>
      </c>
      <c r="K442" s="171">
        <v>39.99</v>
      </c>
      <c r="L442" s="171">
        <v>58.77</v>
      </c>
      <c r="M442" s="171">
        <v>66.95</v>
      </c>
      <c r="N442" s="171">
        <v>67.08</v>
      </c>
      <c r="O442" s="171">
        <v>66.960000000000008</v>
      </c>
      <c r="P442" s="171">
        <v>66.960000000000008</v>
      </c>
      <c r="Q442" s="171">
        <v>63.96</v>
      </c>
      <c r="R442" s="171">
        <v>56.85</v>
      </c>
      <c r="S442" s="171">
        <v>57.28</v>
      </c>
      <c r="T442" s="171">
        <v>62.06</v>
      </c>
      <c r="U442" s="171">
        <v>76.05</v>
      </c>
      <c r="V442" s="171">
        <v>84.12</v>
      </c>
      <c r="W442" s="171">
        <v>80.290000000000006</v>
      </c>
      <c r="X442" s="171">
        <v>66.960000000000008</v>
      </c>
      <c r="Y442" s="171">
        <v>48.9</v>
      </c>
      <c r="Z442" s="171">
        <v>45</v>
      </c>
      <c r="AA442" s="171">
        <v>58</v>
      </c>
      <c r="AB442" s="171">
        <v>84.12</v>
      </c>
      <c r="AC442" s="171">
        <v>35.83</v>
      </c>
      <c r="AD442" s="171">
        <v>24.38</v>
      </c>
      <c r="AF442" s="171">
        <f t="shared" si="20"/>
        <v>2007</v>
      </c>
      <c r="AG442" s="171">
        <f t="shared" si="21"/>
        <v>8</v>
      </c>
      <c r="AH442" s="700">
        <f>SUMIF(D$3:$AA442,"&lt;="&amp;$AH$1)/COUNTIF(D$3:$AA442,"&lt;="&amp;$AH$1)</f>
        <v>28.315533146591903</v>
      </c>
    </row>
    <row r="443" spans="2:34" x14ac:dyDescent="0.25">
      <c r="B443" s="910">
        <v>39447</v>
      </c>
      <c r="C443" s="581">
        <f t="shared" si="19"/>
        <v>12</v>
      </c>
      <c r="D443" s="171">
        <v>37.99</v>
      </c>
      <c r="E443" s="171">
        <v>33.94</v>
      </c>
      <c r="F443" s="171">
        <v>31.94</v>
      </c>
      <c r="G443" s="171">
        <v>25.91</v>
      </c>
      <c r="H443" s="171">
        <v>12</v>
      </c>
      <c r="I443" s="171">
        <v>26</v>
      </c>
      <c r="J443" s="171">
        <v>27.94</v>
      </c>
      <c r="K443" s="171">
        <v>33.99</v>
      </c>
      <c r="L443" s="171">
        <v>47.24</v>
      </c>
      <c r="M443" s="171">
        <v>55.97</v>
      </c>
      <c r="N443" s="171">
        <v>60</v>
      </c>
      <c r="O443" s="171">
        <v>62.980000000000004</v>
      </c>
      <c r="P443" s="171">
        <v>64.180000000000007</v>
      </c>
      <c r="Q443" s="171">
        <v>64.19</v>
      </c>
      <c r="R443" s="171">
        <v>59.07</v>
      </c>
      <c r="S443" s="171">
        <v>54</v>
      </c>
      <c r="T443" s="171">
        <v>57.95</v>
      </c>
      <c r="U443" s="171">
        <v>71</v>
      </c>
      <c r="V443" s="171">
        <v>81.98</v>
      </c>
      <c r="W443" s="171">
        <v>65.91</v>
      </c>
      <c r="X443" s="171">
        <v>55.93</v>
      </c>
      <c r="Y443" s="171">
        <v>45</v>
      </c>
      <c r="Z443" s="171">
        <v>46.550000000000004</v>
      </c>
      <c r="AA443" s="171">
        <v>48</v>
      </c>
      <c r="AB443" s="171">
        <v>81.98</v>
      </c>
      <c r="AC443" s="171">
        <v>33.99</v>
      </c>
      <c r="AD443" s="171">
        <v>30.47</v>
      </c>
      <c r="AF443" s="171">
        <f t="shared" si="20"/>
        <v>2007</v>
      </c>
      <c r="AG443" s="171">
        <f t="shared" si="21"/>
        <v>8</v>
      </c>
      <c r="AH443" s="700">
        <f>SUMIF(D$3:$AA443,"&lt;="&amp;$AH$1)/COUNTIF(D$3:$AA443,"&lt;="&amp;$AH$1)</f>
        <v>28.31612716762999</v>
      </c>
    </row>
    <row r="444" spans="2:34" x14ac:dyDescent="0.25">
      <c r="B444" s="910">
        <v>39448</v>
      </c>
      <c r="C444" s="581">
        <f t="shared" si="19"/>
        <v>1</v>
      </c>
      <c r="D444" s="171">
        <v>71.19</v>
      </c>
      <c r="E444" s="171">
        <v>65.099999999999994</v>
      </c>
      <c r="F444" s="171">
        <v>55</v>
      </c>
      <c r="G444" s="171">
        <v>47.65</v>
      </c>
      <c r="H444" s="171">
        <v>44.99</v>
      </c>
      <c r="I444" s="171">
        <v>44</v>
      </c>
      <c r="J444" s="171">
        <v>32.42</v>
      </c>
      <c r="K444" s="171">
        <v>26.94</v>
      </c>
      <c r="L444" s="171">
        <v>32.97</v>
      </c>
      <c r="M444" s="171">
        <v>40</v>
      </c>
      <c r="N444" s="171">
        <v>45</v>
      </c>
      <c r="O444" s="171">
        <v>49.99</v>
      </c>
      <c r="P444" s="171">
        <v>58.4</v>
      </c>
      <c r="Q444" s="171">
        <v>50.96</v>
      </c>
      <c r="R444" s="171">
        <v>47.99</v>
      </c>
      <c r="S444" s="171">
        <v>47.9</v>
      </c>
      <c r="T444" s="171">
        <v>47.050000000000004</v>
      </c>
      <c r="U444" s="171">
        <v>62.800000000000004</v>
      </c>
      <c r="V444" s="171">
        <v>78</v>
      </c>
      <c r="W444" s="171">
        <v>80.94</v>
      </c>
      <c r="X444" s="171">
        <v>81.010000000000005</v>
      </c>
      <c r="Y444" s="171">
        <v>73</v>
      </c>
      <c r="Z444" s="171">
        <v>77.960000000000008</v>
      </c>
      <c r="AA444" s="171">
        <v>71.260000000000005</v>
      </c>
      <c r="AB444" s="171">
        <v>81.010000000000005</v>
      </c>
      <c r="AC444" s="171">
        <v>26.94</v>
      </c>
      <c r="AD444" s="171">
        <v>53.95</v>
      </c>
      <c r="AF444" s="171">
        <f t="shared" si="20"/>
        <v>2008</v>
      </c>
      <c r="AG444" s="171">
        <f t="shared" si="21"/>
        <v>4</v>
      </c>
      <c r="AH444" s="700">
        <f>SUMIF(D$3:$AA444,"&lt;="&amp;$AH$1)/COUNTIF(D$3:$AA444,"&lt;="&amp;$AH$1)</f>
        <v>28.31967952301093</v>
      </c>
    </row>
    <row r="445" spans="2:34" x14ac:dyDescent="0.25">
      <c r="B445" s="910">
        <v>39449</v>
      </c>
      <c r="C445" s="581">
        <f t="shared" si="19"/>
        <v>1</v>
      </c>
      <c r="D445" s="171">
        <v>54</v>
      </c>
      <c r="E445" s="171">
        <v>47.06</v>
      </c>
      <c r="F445" s="171">
        <v>49.88</v>
      </c>
      <c r="G445" s="171">
        <v>36</v>
      </c>
      <c r="H445" s="171">
        <v>36.230000000000004</v>
      </c>
      <c r="I445" s="171">
        <v>45.94</v>
      </c>
      <c r="J445" s="171">
        <v>49.96</v>
      </c>
      <c r="K445" s="171">
        <v>65.06</v>
      </c>
      <c r="L445" s="171">
        <v>71.95</v>
      </c>
      <c r="M445" s="171">
        <v>81.960000000000008</v>
      </c>
      <c r="N445" s="171">
        <v>85.98</v>
      </c>
      <c r="O445" s="171">
        <v>89.9</v>
      </c>
      <c r="P445" s="171">
        <v>95.25</v>
      </c>
      <c r="Q445" s="171">
        <v>87.99</v>
      </c>
      <c r="R445" s="171">
        <v>85.93</v>
      </c>
      <c r="S445" s="171">
        <v>81.960000000000008</v>
      </c>
      <c r="T445" s="171">
        <v>84.600000000000009</v>
      </c>
      <c r="U445" s="171">
        <v>95.990000000000009</v>
      </c>
      <c r="V445" s="171">
        <v>99.92</v>
      </c>
      <c r="W445" s="171">
        <v>95.91</v>
      </c>
      <c r="X445" s="171">
        <v>93.95</v>
      </c>
      <c r="Y445" s="171">
        <v>72.430000000000007</v>
      </c>
      <c r="Z445" s="171">
        <v>51.2</v>
      </c>
      <c r="AA445" s="171">
        <v>75.98</v>
      </c>
      <c r="AB445" s="171">
        <v>93.95</v>
      </c>
      <c r="AC445" s="171">
        <v>51.2</v>
      </c>
      <c r="AD445" s="171">
        <v>49.38</v>
      </c>
      <c r="AF445" s="171">
        <f t="shared" si="20"/>
        <v>2008</v>
      </c>
      <c r="AG445" s="171">
        <f t="shared" si="21"/>
        <v>2</v>
      </c>
      <c r="AH445" s="700">
        <f>SUMIF(D$3:$AA445,"&lt;="&amp;$AH$1)/COUNTIF(D$3:$AA445,"&lt;="&amp;$AH$1)</f>
        <v>28.322583348854472</v>
      </c>
    </row>
    <row r="446" spans="2:34" x14ac:dyDescent="0.25">
      <c r="B446" s="910">
        <v>39450</v>
      </c>
      <c r="C446" s="581">
        <f t="shared" si="19"/>
        <v>1</v>
      </c>
      <c r="D446" s="171">
        <v>70.78</v>
      </c>
      <c r="E446" s="171">
        <v>61.99</v>
      </c>
      <c r="F446" s="171">
        <v>50</v>
      </c>
      <c r="G446" s="171">
        <v>54</v>
      </c>
      <c r="H446" s="171">
        <v>46.33</v>
      </c>
      <c r="I446" s="171">
        <v>62.82</v>
      </c>
      <c r="J446" s="171">
        <v>69.070000000000007</v>
      </c>
      <c r="K446" s="171">
        <v>61</v>
      </c>
      <c r="L446" s="171">
        <v>97.97</v>
      </c>
      <c r="M446" s="171">
        <v>95.93</v>
      </c>
      <c r="N446" s="171">
        <v>91.97</v>
      </c>
      <c r="O446" s="171">
        <v>93.91</v>
      </c>
      <c r="P446" s="171">
        <v>91.960000000000008</v>
      </c>
      <c r="Q446" s="171">
        <v>93.98</v>
      </c>
      <c r="R446" s="171">
        <v>87.99</v>
      </c>
      <c r="S446" s="171">
        <v>90.37</v>
      </c>
      <c r="T446" s="171">
        <v>99.320000000000007</v>
      </c>
      <c r="U446" s="171">
        <v>200</v>
      </c>
      <c r="V446" s="171">
        <v>187.95000000000002</v>
      </c>
      <c r="W446" s="171">
        <v>125.94</v>
      </c>
      <c r="X446" s="171">
        <v>99</v>
      </c>
      <c r="Y446" s="171">
        <v>65</v>
      </c>
      <c r="Z446" s="171">
        <v>55</v>
      </c>
      <c r="AA446" s="171">
        <v>87.93</v>
      </c>
      <c r="AB446" s="171">
        <v>200</v>
      </c>
      <c r="AC446" s="171">
        <v>55</v>
      </c>
      <c r="AD446" s="171">
        <v>62.870000000000005</v>
      </c>
      <c r="AF446" s="171">
        <f t="shared" si="20"/>
        <v>2008</v>
      </c>
      <c r="AG446" s="171">
        <f t="shared" si="21"/>
        <v>0</v>
      </c>
      <c r="AH446" s="700">
        <f>SUMIF(D$3:$AA446,"&lt;="&amp;$AH$1)/COUNTIF(D$3:$AA446,"&lt;="&amp;$AH$1)</f>
        <v>28.322583348854472</v>
      </c>
    </row>
    <row r="447" spans="2:34" x14ac:dyDescent="0.25">
      <c r="B447" s="910">
        <v>39451</v>
      </c>
      <c r="C447" s="581">
        <f t="shared" si="19"/>
        <v>1</v>
      </c>
      <c r="D447" s="171">
        <v>71.989999999999995</v>
      </c>
      <c r="E447" s="171">
        <v>63</v>
      </c>
      <c r="F447" s="171">
        <v>60.660000000000004</v>
      </c>
      <c r="G447" s="171">
        <v>56.72</v>
      </c>
      <c r="H447" s="171">
        <v>48.11</v>
      </c>
      <c r="I447" s="171">
        <v>57.980000000000004</v>
      </c>
      <c r="J447" s="171">
        <v>67.44</v>
      </c>
      <c r="K447" s="171">
        <v>80</v>
      </c>
      <c r="L447" s="171">
        <v>88</v>
      </c>
      <c r="M447" s="171">
        <v>103.99000000000001</v>
      </c>
      <c r="N447" s="171">
        <v>103.71000000000001</v>
      </c>
      <c r="O447" s="171">
        <v>95.95</v>
      </c>
      <c r="P447" s="171">
        <v>91.960000000000008</v>
      </c>
      <c r="Q447" s="171">
        <v>87.99</v>
      </c>
      <c r="R447" s="171">
        <v>81.99</v>
      </c>
      <c r="S447" s="171">
        <v>81</v>
      </c>
      <c r="T447" s="171">
        <v>85.97</v>
      </c>
      <c r="U447" s="171">
        <v>130.21</v>
      </c>
      <c r="V447" s="171">
        <v>210.13</v>
      </c>
      <c r="W447" s="171">
        <v>79.989999999999995</v>
      </c>
      <c r="X447" s="171">
        <v>60.18</v>
      </c>
      <c r="Y447" s="171">
        <v>54</v>
      </c>
      <c r="Z447" s="171">
        <v>50</v>
      </c>
      <c r="AA447" s="171">
        <v>71.98</v>
      </c>
      <c r="AB447" s="171">
        <v>210.13</v>
      </c>
      <c r="AC447" s="171">
        <v>50</v>
      </c>
      <c r="AD447" s="171">
        <v>62.24</v>
      </c>
      <c r="AF447" s="171">
        <f t="shared" si="20"/>
        <v>2008</v>
      </c>
      <c r="AG447" s="171">
        <f t="shared" si="21"/>
        <v>0</v>
      </c>
      <c r="AH447" s="700">
        <f>SUMIF(D$3:$AA447,"&lt;="&amp;$AH$1)/COUNTIF(D$3:$AA447,"&lt;="&amp;$AH$1)</f>
        <v>28.322583348854472</v>
      </c>
    </row>
    <row r="448" spans="2:34" x14ac:dyDescent="0.25">
      <c r="B448" s="910">
        <v>39454</v>
      </c>
      <c r="C448" s="581">
        <f t="shared" si="19"/>
        <v>1</v>
      </c>
      <c r="D448" s="171">
        <v>30</v>
      </c>
      <c r="E448" s="171">
        <v>23.84</v>
      </c>
      <c r="F448" s="171">
        <v>23.990000000000002</v>
      </c>
      <c r="G448" s="171">
        <v>21.01</v>
      </c>
      <c r="H448" s="171">
        <v>15.01</v>
      </c>
      <c r="I448" s="171">
        <v>27.060000000000002</v>
      </c>
      <c r="J448" s="171">
        <v>46</v>
      </c>
      <c r="K448" s="171">
        <v>77.92</v>
      </c>
      <c r="L448" s="171">
        <v>79.97</v>
      </c>
      <c r="M448" s="171">
        <v>81.210000000000008</v>
      </c>
      <c r="N448" s="171">
        <v>81.94</v>
      </c>
      <c r="O448" s="171">
        <v>78.09</v>
      </c>
      <c r="P448" s="171">
        <v>79.63</v>
      </c>
      <c r="Q448" s="171">
        <v>80</v>
      </c>
      <c r="R448" s="171">
        <v>79.680000000000007</v>
      </c>
      <c r="S448" s="171">
        <v>73.989999999999995</v>
      </c>
      <c r="T448" s="171">
        <v>65.95</v>
      </c>
      <c r="U448" s="171">
        <v>81.92</v>
      </c>
      <c r="V448" s="171">
        <v>90</v>
      </c>
      <c r="W448" s="171">
        <v>83.98</v>
      </c>
      <c r="X448" s="171">
        <v>75</v>
      </c>
      <c r="Y448" s="171">
        <v>54.300000000000004</v>
      </c>
      <c r="Z448" s="171">
        <v>45.19</v>
      </c>
      <c r="AA448" s="171">
        <v>55.93</v>
      </c>
      <c r="AB448" s="171">
        <v>90</v>
      </c>
      <c r="AC448" s="171">
        <v>45.19</v>
      </c>
      <c r="AD448" s="171">
        <v>30.36</v>
      </c>
      <c r="AF448" s="171">
        <f t="shared" si="20"/>
        <v>2008</v>
      </c>
      <c r="AG448" s="171">
        <f t="shared" si="21"/>
        <v>6</v>
      </c>
      <c r="AH448" s="700">
        <f>SUMIF(D$3:$AA448,"&lt;="&amp;$AH$1)/COUNTIF(D$3:$AA448,"&lt;="&amp;$AH$1)</f>
        <v>28.317183255813891</v>
      </c>
    </row>
    <row r="449" spans="2:34" x14ac:dyDescent="0.25">
      <c r="B449" s="910">
        <v>39455</v>
      </c>
      <c r="C449" s="581">
        <f t="shared" si="19"/>
        <v>1</v>
      </c>
      <c r="D449" s="171">
        <v>51.97</v>
      </c>
      <c r="E449" s="171">
        <v>49.9</v>
      </c>
      <c r="F449" s="171">
        <v>49.9</v>
      </c>
      <c r="G449" s="171">
        <v>36</v>
      </c>
      <c r="H449" s="171">
        <v>34</v>
      </c>
      <c r="I449" s="171">
        <v>49.910000000000004</v>
      </c>
      <c r="J449" s="171">
        <v>61.99</v>
      </c>
      <c r="K449" s="171">
        <v>88.01</v>
      </c>
      <c r="L449" s="171">
        <v>89.17</v>
      </c>
      <c r="M449" s="171">
        <v>93.91</v>
      </c>
      <c r="N449" s="171">
        <v>94.2</v>
      </c>
      <c r="O449" s="171">
        <v>91.9</v>
      </c>
      <c r="P449" s="171">
        <v>88.91</v>
      </c>
      <c r="Q449" s="171">
        <v>85.13</v>
      </c>
      <c r="R449" s="171">
        <v>83.64</v>
      </c>
      <c r="S449" s="171">
        <v>80.010000000000005</v>
      </c>
      <c r="T449" s="171">
        <v>83.93</v>
      </c>
      <c r="U449" s="171">
        <v>96.570000000000007</v>
      </c>
      <c r="V449" s="171">
        <v>109.93</v>
      </c>
      <c r="W449" s="171">
        <v>90.3</v>
      </c>
      <c r="X449" s="171">
        <v>71.5</v>
      </c>
      <c r="Y449" s="171">
        <v>60</v>
      </c>
      <c r="Z449" s="171">
        <v>52.300000000000004</v>
      </c>
      <c r="AA449" s="171">
        <v>54.93</v>
      </c>
      <c r="AB449" s="171">
        <v>109.93</v>
      </c>
      <c r="AC449" s="171">
        <v>52.300000000000004</v>
      </c>
      <c r="AD449" s="171">
        <v>48.58</v>
      </c>
      <c r="AF449" s="171">
        <f t="shared" si="20"/>
        <v>2008</v>
      </c>
      <c r="AG449" s="171">
        <f t="shared" si="21"/>
        <v>2</v>
      </c>
      <c r="AH449" s="700">
        <f>SUMIF(D$3:$AA449,"&lt;="&amp;$AH$1)/COUNTIF(D$3:$AA449,"&lt;="&amp;$AH$1)</f>
        <v>28.319668960386771</v>
      </c>
    </row>
    <row r="450" spans="2:34" x14ac:dyDescent="0.25">
      <c r="B450" s="910">
        <v>39456</v>
      </c>
      <c r="C450" s="581">
        <f t="shared" si="19"/>
        <v>1</v>
      </c>
      <c r="D450" s="171">
        <v>50</v>
      </c>
      <c r="E450" s="171">
        <v>45.44</v>
      </c>
      <c r="F450" s="171">
        <v>42.35</v>
      </c>
      <c r="G450" s="171">
        <v>33.910000000000004</v>
      </c>
      <c r="H450" s="171">
        <v>26.310000000000002</v>
      </c>
      <c r="I450" s="171">
        <v>45.94</v>
      </c>
      <c r="J450" s="171">
        <v>52.36</v>
      </c>
      <c r="K450" s="171">
        <v>80.010000000000005</v>
      </c>
      <c r="L450" s="171">
        <v>86</v>
      </c>
      <c r="M450" s="171">
        <v>89.93</v>
      </c>
      <c r="N450" s="171">
        <v>86</v>
      </c>
      <c r="O450" s="171">
        <v>88.09</v>
      </c>
      <c r="P450" s="171">
        <v>83</v>
      </c>
      <c r="Q450" s="171">
        <v>81.91</v>
      </c>
      <c r="R450" s="171">
        <v>81</v>
      </c>
      <c r="S450" s="171">
        <v>78.23</v>
      </c>
      <c r="T450" s="171">
        <v>78.59</v>
      </c>
      <c r="U450" s="171">
        <v>89.99</v>
      </c>
      <c r="V450" s="171">
        <v>99.92</v>
      </c>
      <c r="W450" s="171">
        <v>91.5</v>
      </c>
      <c r="X450" s="171">
        <v>71.960000000000008</v>
      </c>
      <c r="Y450" s="171">
        <v>61.2</v>
      </c>
      <c r="Z450" s="171">
        <v>54</v>
      </c>
      <c r="AA450" s="171">
        <v>53.95</v>
      </c>
      <c r="AB450" s="171">
        <v>99.92</v>
      </c>
      <c r="AC450" s="171">
        <v>54</v>
      </c>
      <c r="AD450" s="171">
        <v>43.78</v>
      </c>
      <c r="AF450" s="171">
        <f t="shared" si="20"/>
        <v>2008</v>
      </c>
      <c r="AG450" s="171">
        <f t="shared" si="21"/>
        <v>3</v>
      </c>
      <c r="AH450" s="700">
        <f>SUMIF(D$3:$AA450,"&lt;="&amp;$AH$1)/COUNTIF(D$3:$AA450,"&lt;="&amp;$AH$1)</f>
        <v>28.322942379182095</v>
      </c>
    </row>
    <row r="451" spans="2:34" x14ac:dyDescent="0.25">
      <c r="B451" s="910">
        <v>39457</v>
      </c>
      <c r="C451" s="581">
        <f t="shared" si="19"/>
        <v>1</v>
      </c>
      <c r="D451" s="171">
        <v>56</v>
      </c>
      <c r="E451" s="171">
        <v>48.59</v>
      </c>
      <c r="F451" s="171">
        <v>43.93</v>
      </c>
      <c r="G451" s="171">
        <v>35.97</v>
      </c>
      <c r="H451" s="171">
        <v>32.03</v>
      </c>
      <c r="I451" s="171">
        <v>44</v>
      </c>
      <c r="J451" s="171">
        <v>53.95</v>
      </c>
      <c r="K451" s="171">
        <v>75.95</v>
      </c>
      <c r="L451" s="171">
        <v>81.91</v>
      </c>
      <c r="M451" s="171">
        <v>83.91</v>
      </c>
      <c r="N451" s="171">
        <v>85.89</v>
      </c>
      <c r="O451" s="171">
        <v>83.94</v>
      </c>
      <c r="P451" s="171">
        <v>77.78</v>
      </c>
      <c r="Q451" s="171">
        <v>75.95</v>
      </c>
      <c r="R451" s="171">
        <v>75.91</v>
      </c>
      <c r="S451" s="171">
        <v>74.94</v>
      </c>
      <c r="T451" s="171">
        <v>73.650000000000006</v>
      </c>
      <c r="U451" s="171">
        <v>86.01</v>
      </c>
      <c r="V451" s="171">
        <v>95.45</v>
      </c>
      <c r="W451" s="171">
        <v>87.9</v>
      </c>
      <c r="X451" s="171">
        <v>87.3</v>
      </c>
      <c r="Y451" s="171">
        <v>64.010000000000005</v>
      </c>
      <c r="Z451" s="171">
        <v>56.6</v>
      </c>
      <c r="AA451" s="171">
        <v>63.2</v>
      </c>
      <c r="AB451" s="171">
        <v>95.45</v>
      </c>
      <c r="AC451" s="171">
        <v>53.95</v>
      </c>
      <c r="AD451" s="171">
        <v>47.21</v>
      </c>
      <c r="AF451" s="171">
        <f t="shared" si="20"/>
        <v>2008</v>
      </c>
      <c r="AG451" s="171">
        <f t="shared" si="21"/>
        <v>2</v>
      </c>
      <c r="AH451" s="700">
        <f>SUMIF(D$3:$AA451,"&lt;="&amp;$AH$1)/COUNTIF(D$3:$AA451,"&lt;="&amp;$AH$1)</f>
        <v>28.325052025269354</v>
      </c>
    </row>
    <row r="452" spans="2:34" x14ac:dyDescent="0.25">
      <c r="B452" s="910">
        <v>39458</v>
      </c>
      <c r="C452" s="581">
        <f t="shared" ref="C452:C515" si="22">MONTH(B452)</f>
        <v>1</v>
      </c>
      <c r="D452" s="171">
        <v>49.92</v>
      </c>
      <c r="E452" s="171">
        <v>46.78</v>
      </c>
      <c r="F452" s="171">
        <v>41.51</v>
      </c>
      <c r="G452" s="171">
        <v>34.67</v>
      </c>
      <c r="H452" s="171">
        <v>31</v>
      </c>
      <c r="I452" s="171">
        <v>45.01</v>
      </c>
      <c r="J452" s="171">
        <v>61.03</v>
      </c>
      <c r="K452" s="171">
        <v>82.100000000000009</v>
      </c>
      <c r="L452" s="171">
        <v>85.94</v>
      </c>
      <c r="M452" s="171">
        <v>86</v>
      </c>
      <c r="N452" s="171">
        <v>89.94</v>
      </c>
      <c r="O452" s="171">
        <v>88.7</v>
      </c>
      <c r="P452" s="171">
        <v>80.989999999999995</v>
      </c>
      <c r="Q452" s="171">
        <v>76.7</v>
      </c>
      <c r="R452" s="171">
        <v>75.820000000000007</v>
      </c>
      <c r="S452" s="171">
        <v>73</v>
      </c>
      <c r="T452" s="171">
        <v>70</v>
      </c>
      <c r="U452" s="171">
        <v>87</v>
      </c>
      <c r="V452" s="171">
        <v>89.92</v>
      </c>
      <c r="W452" s="171">
        <v>78.41</v>
      </c>
      <c r="X452" s="171">
        <v>74</v>
      </c>
      <c r="Y452" s="171">
        <v>61.19</v>
      </c>
      <c r="Z452" s="171">
        <v>62.36</v>
      </c>
      <c r="AA452" s="171">
        <v>61.2</v>
      </c>
      <c r="AB452" s="171">
        <v>89.94</v>
      </c>
      <c r="AC452" s="171">
        <v>61.19</v>
      </c>
      <c r="AD452" s="171">
        <v>46.39</v>
      </c>
      <c r="AF452" s="171">
        <f t="shared" ref="AF452:AF515" si="23">YEAR(B452)</f>
        <v>2008</v>
      </c>
      <c r="AG452" s="171">
        <f t="shared" ref="AG452:AG515" si="24">COUNTIF(D452:AA452,"&lt;="&amp;$AH$1)</f>
        <v>3</v>
      </c>
      <c r="AH452" s="700">
        <f>SUMIF(D$3:$AA452,"&lt;="&amp;$AH$1)/COUNTIF(D$3:$AA452,"&lt;="&amp;$AH$1)</f>
        <v>28.329175487465125</v>
      </c>
    </row>
    <row r="453" spans="2:34" x14ac:dyDescent="0.25">
      <c r="B453" s="910">
        <v>39461</v>
      </c>
      <c r="C453" s="581">
        <f t="shared" si="22"/>
        <v>1</v>
      </c>
      <c r="D453" s="171">
        <v>45</v>
      </c>
      <c r="E453" s="171">
        <v>43</v>
      </c>
      <c r="F453" s="171">
        <v>39.980000000000004</v>
      </c>
      <c r="G453" s="171">
        <v>26.91</v>
      </c>
      <c r="H453" s="171">
        <v>13.96</v>
      </c>
      <c r="I453" s="171">
        <v>38.950000000000003</v>
      </c>
      <c r="J453" s="171">
        <v>55.980000000000004</v>
      </c>
      <c r="K453" s="171">
        <v>79.91</v>
      </c>
      <c r="L453" s="171">
        <v>83.9</v>
      </c>
      <c r="M453" s="171">
        <v>84.26</v>
      </c>
      <c r="N453" s="171">
        <v>85.34</v>
      </c>
      <c r="O453" s="171">
        <v>81</v>
      </c>
      <c r="P453" s="171">
        <v>81.91</v>
      </c>
      <c r="Q453" s="171">
        <v>79.94</v>
      </c>
      <c r="R453" s="171">
        <v>76</v>
      </c>
      <c r="S453" s="171">
        <v>72.010000000000005</v>
      </c>
      <c r="T453" s="171">
        <v>70.210000000000008</v>
      </c>
      <c r="U453" s="171">
        <v>83.2</v>
      </c>
      <c r="V453" s="171">
        <v>93.69</v>
      </c>
      <c r="W453" s="171">
        <v>87.11</v>
      </c>
      <c r="X453" s="171">
        <v>84.25</v>
      </c>
      <c r="Y453" s="171">
        <v>63.7</v>
      </c>
      <c r="Z453" s="171">
        <v>60.94</v>
      </c>
      <c r="AA453" s="171">
        <v>57.910000000000004</v>
      </c>
      <c r="AB453" s="171">
        <v>93.69</v>
      </c>
      <c r="AC453" s="171">
        <v>60.94</v>
      </c>
      <c r="AD453" s="171">
        <v>40.21</v>
      </c>
      <c r="AF453" s="171">
        <f t="shared" si="23"/>
        <v>2008</v>
      </c>
      <c r="AG453" s="171">
        <f t="shared" si="24"/>
        <v>4</v>
      </c>
      <c r="AH453" s="700">
        <f>SUMIF(D$3:$AA453,"&lt;="&amp;$AH$1)/COUNTIF(D$3:$AA453,"&lt;="&amp;$AH$1)</f>
        <v>28.330378548895844</v>
      </c>
    </row>
    <row r="454" spans="2:34" x14ac:dyDescent="0.25">
      <c r="B454" s="910">
        <v>39462</v>
      </c>
      <c r="C454" s="581">
        <f t="shared" si="22"/>
        <v>1</v>
      </c>
      <c r="D454" s="171">
        <v>52.54</v>
      </c>
      <c r="E454" s="171">
        <v>47.95</v>
      </c>
      <c r="F454" s="171">
        <v>45.95</v>
      </c>
      <c r="G454" s="171">
        <v>37.1</v>
      </c>
      <c r="H454" s="171">
        <v>35.020000000000003</v>
      </c>
      <c r="I454" s="171">
        <v>46.78</v>
      </c>
      <c r="J454" s="171">
        <v>59</v>
      </c>
      <c r="K454" s="171">
        <v>89.93</v>
      </c>
      <c r="L454" s="171">
        <v>85.94</v>
      </c>
      <c r="M454" s="171">
        <v>88.100000000000009</v>
      </c>
      <c r="N454" s="171">
        <v>89.93</v>
      </c>
      <c r="O454" s="171">
        <v>83.76</v>
      </c>
      <c r="P454" s="171">
        <v>83.91</v>
      </c>
      <c r="Q454" s="171">
        <v>82.7</v>
      </c>
      <c r="R454" s="171">
        <v>82.01</v>
      </c>
      <c r="S454" s="171">
        <v>80</v>
      </c>
      <c r="T454" s="171">
        <v>81</v>
      </c>
      <c r="U454" s="171">
        <v>87.04</v>
      </c>
      <c r="V454" s="171">
        <v>94</v>
      </c>
      <c r="W454" s="171">
        <v>83.92</v>
      </c>
      <c r="X454" s="171">
        <v>74.010000000000005</v>
      </c>
      <c r="Y454" s="171">
        <v>57.2</v>
      </c>
      <c r="Z454" s="171">
        <v>55.95</v>
      </c>
      <c r="AA454" s="171">
        <v>54.79</v>
      </c>
      <c r="AB454" s="171">
        <v>94</v>
      </c>
      <c r="AC454" s="171">
        <v>55.95</v>
      </c>
      <c r="AD454" s="171">
        <v>47.39</v>
      </c>
      <c r="AF454" s="171">
        <f t="shared" si="23"/>
        <v>2008</v>
      </c>
      <c r="AG454" s="171">
        <f t="shared" si="24"/>
        <v>2</v>
      </c>
      <c r="AH454" s="700">
        <f>SUMIF(D$3:$AA454,"&lt;="&amp;$AH$1)/COUNTIF(D$3:$AA454,"&lt;="&amp;$AH$1)</f>
        <v>28.333246150992341</v>
      </c>
    </row>
    <row r="455" spans="2:34" x14ac:dyDescent="0.25">
      <c r="B455" s="910">
        <v>39463</v>
      </c>
      <c r="C455" s="581">
        <f t="shared" si="22"/>
        <v>1</v>
      </c>
      <c r="D455" s="171">
        <v>53.93</v>
      </c>
      <c r="E455" s="171">
        <v>46.78</v>
      </c>
      <c r="F455" s="171">
        <v>35.5</v>
      </c>
      <c r="G455" s="171">
        <v>25.01</v>
      </c>
      <c r="H455" s="171">
        <v>27.47</v>
      </c>
      <c r="I455" s="171">
        <v>44</v>
      </c>
      <c r="J455" s="171">
        <v>52.51</v>
      </c>
      <c r="K455" s="171">
        <v>80</v>
      </c>
      <c r="L455" s="171">
        <v>85.95</v>
      </c>
      <c r="M455" s="171">
        <v>84.9</v>
      </c>
      <c r="N455" s="171">
        <v>84</v>
      </c>
      <c r="O455" s="171">
        <v>83</v>
      </c>
      <c r="P455" s="171">
        <v>83</v>
      </c>
      <c r="Q455" s="171">
        <v>80.14</v>
      </c>
      <c r="R455" s="171">
        <v>81.100000000000009</v>
      </c>
      <c r="S455" s="171">
        <v>79.98</v>
      </c>
      <c r="T455" s="171">
        <v>79.28</v>
      </c>
      <c r="U455" s="171">
        <v>89.84</v>
      </c>
      <c r="V455" s="171">
        <v>98.05</v>
      </c>
      <c r="W455" s="171">
        <v>91.9</v>
      </c>
      <c r="X455" s="171">
        <v>87.31</v>
      </c>
      <c r="Y455" s="171">
        <v>71.989999999999995</v>
      </c>
      <c r="Z455" s="171">
        <v>64</v>
      </c>
      <c r="AA455" s="171">
        <v>63.49</v>
      </c>
      <c r="AB455" s="171">
        <v>98.05</v>
      </c>
      <c r="AC455" s="171">
        <v>64</v>
      </c>
      <c r="AD455" s="171">
        <v>43.59</v>
      </c>
      <c r="AF455" s="171">
        <f t="shared" si="23"/>
        <v>2008</v>
      </c>
      <c r="AG455" s="171">
        <f t="shared" si="24"/>
        <v>3</v>
      </c>
      <c r="AH455" s="700">
        <f>SUMIF(D$3:$AA455,"&lt;="&amp;$AH$1)/COUNTIF(D$3:$AA455,"&lt;="&amp;$AH$1)</f>
        <v>28.333798665183487</v>
      </c>
    </row>
    <row r="456" spans="2:34" x14ac:dyDescent="0.25">
      <c r="B456" s="910">
        <v>39464</v>
      </c>
      <c r="C456" s="581">
        <f t="shared" si="22"/>
        <v>1</v>
      </c>
      <c r="D456" s="171">
        <v>57.17</v>
      </c>
      <c r="E456" s="171">
        <v>49.870000000000005</v>
      </c>
      <c r="F456" s="171">
        <v>46.03</v>
      </c>
      <c r="G456" s="171">
        <v>41.03</v>
      </c>
      <c r="H456" s="171">
        <v>41</v>
      </c>
      <c r="I456" s="171">
        <v>51</v>
      </c>
      <c r="J456" s="171">
        <v>61.26</v>
      </c>
      <c r="K456" s="171">
        <v>98.39</v>
      </c>
      <c r="L456" s="171">
        <v>99</v>
      </c>
      <c r="M456" s="171">
        <v>101.10000000000001</v>
      </c>
      <c r="N456" s="171">
        <v>100.44</v>
      </c>
      <c r="O456" s="171">
        <v>97.5</v>
      </c>
      <c r="P456" s="171">
        <v>90.51</v>
      </c>
      <c r="Q456" s="171">
        <v>90.5</v>
      </c>
      <c r="R456" s="171">
        <v>91.94</v>
      </c>
      <c r="S456" s="171">
        <v>90.45</v>
      </c>
      <c r="T456" s="171">
        <v>91.42</v>
      </c>
      <c r="U456" s="171">
        <v>104.78</v>
      </c>
      <c r="V456" s="171">
        <v>116.71000000000001</v>
      </c>
      <c r="W456" s="171">
        <v>93</v>
      </c>
      <c r="X456" s="171">
        <v>77.930000000000007</v>
      </c>
      <c r="Y456" s="171">
        <v>63.980000000000004</v>
      </c>
      <c r="Z456" s="171">
        <v>58.32</v>
      </c>
      <c r="AA456" s="171">
        <v>54.08</v>
      </c>
      <c r="AB456" s="171">
        <v>116.71000000000001</v>
      </c>
      <c r="AC456" s="171">
        <v>58.32</v>
      </c>
      <c r="AD456" s="171">
        <v>50.18</v>
      </c>
      <c r="AF456" s="171">
        <f t="shared" si="23"/>
        <v>2008</v>
      </c>
      <c r="AG456" s="171">
        <f t="shared" si="24"/>
        <v>2</v>
      </c>
      <c r="AH456" s="700">
        <f>SUMIF(D$3:$AA456,"&lt;="&amp;$AH$1)/COUNTIF(D$3:$AA456,"&lt;="&amp;$AH$1)</f>
        <v>28.338498888065182</v>
      </c>
    </row>
    <row r="457" spans="2:34" x14ac:dyDescent="0.25">
      <c r="B457" s="910">
        <v>39465</v>
      </c>
      <c r="C457" s="581">
        <f t="shared" si="22"/>
        <v>1</v>
      </c>
      <c r="D457" s="171">
        <v>49.95</v>
      </c>
      <c r="E457" s="171">
        <v>46.77</v>
      </c>
      <c r="F457" s="171">
        <v>38</v>
      </c>
      <c r="G457" s="171">
        <v>29.6</v>
      </c>
      <c r="H457" s="171">
        <v>29.94</v>
      </c>
      <c r="I457" s="171">
        <v>42.7</v>
      </c>
      <c r="J457" s="171">
        <v>55.97</v>
      </c>
      <c r="K457" s="171">
        <v>76.650000000000006</v>
      </c>
      <c r="L457" s="171">
        <v>81.960000000000008</v>
      </c>
      <c r="M457" s="171">
        <v>83.100000000000009</v>
      </c>
      <c r="N457" s="171">
        <v>83.09</v>
      </c>
      <c r="O457" s="171">
        <v>84.7</v>
      </c>
      <c r="P457" s="171">
        <v>81.91</v>
      </c>
      <c r="Q457" s="171">
        <v>78.010000000000005</v>
      </c>
      <c r="R457" s="171">
        <v>73.989999999999995</v>
      </c>
      <c r="S457" s="171">
        <v>69</v>
      </c>
      <c r="T457" s="171">
        <v>67.67</v>
      </c>
      <c r="U457" s="171">
        <v>75.53</v>
      </c>
      <c r="V457" s="171">
        <v>81.92</v>
      </c>
      <c r="W457" s="171">
        <v>75.989999999999995</v>
      </c>
      <c r="X457" s="171">
        <v>61.26</v>
      </c>
      <c r="Y457" s="171">
        <v>50.51</v>
      </c>
      <c r="Z457" s="171">
        <v>50.13</v>
      </c>
      <c r="AA457" s="171">
        <v>53.92</v>
      </c>
      <c r="AB457" s="171">
        <v>84.7</v>
      </c>
      <c r="AC457" s="171">
        <v>50.13</v>
      </c>
      <c r="AD457" s="171">
        <v>43.36</v>
      </c>
      <c r="AF457" s="171">
        <f t="shared" si="23"/>
        <v>2008</v>
      </c>
      <c r="AG457" s="171">
        <f t="shared" si="24"/>
        <v>3</v>
      </c>
      <c r="AH457" s="700">
        <f>SUMIF(D$3:$AA457,"&lt;="&amp;$AH$1)/COUNTIF(D$3:$AA457,"&lt;="&amp;$AH$1)</f>
        <v>28.340818670124047</v>
      </c>
    </row>
    <row r="458" spans="2:34" x14ac:dyDescent="0.25">
      <c r="B458" s="910">
        <v>39468</v>
      </c>
      <c r="C458" s="581">
        <f t="shared" si="22"/>
        <v>1</v>
      </c>
      <c r="D458" s="171">
        <v>30</v>
      </c>
      <c r="E458" s="171">
        <v>17</v>
      </c>
      <c r="F458" s="171">
        <v>17.91</v>
      </c>
      <c r="G458" s="171">
        <v>11.97</v>
      </c>
      <c r="H458" s="171">
        <v>11.94</v>
      </c>
      <c r="I458" s="171">
        <v>11.91</v>
      </c>
      <c r="J458" s="171">
        <v>45</v>
      </c>
      <c r="K458" s="171">
        <v>71.210000000000008</v>
      </c>
      <c r="L458" s="171">
        <v>77.92</v>
      </c>
      <c r="M458" s="171">
        <v>78.59</v>
      </c>
      <c r="N458" s="171">
        <v>90</v>
      </c>
      <c r="O458" s="171">
        <v>100</v>
      </c>
      <c r="P458" s="171">
        <v>77.91</v>
      </c>
      <c r="Q458" s="171">
        <v>80</v>
      </c>
      <c r="R458" s="171">
        <v>74.97</v>
      </c>
      <c r="S458" s="171">
        <v>64.87</v>
      </c>
      <c r="T458" s="171">
        <v>63</v>
      </c>
      <c r="U458" s="171">
        <v>80</v>
      </c>
      <c r="V458" s="171">
        <v>82</v>
      </c>
      <c r="W458" s="171">
        <v>75.97</v>
      </c>
      <c r="X458" s="171">
        <v>64</v>
      </c>
      <c r="Y458" s="171">
        <v>52.53</v>
      </c>
      <c r="Z458" s="171">
        <v>51.97</v>
      </c>
      <c r="AA458" s="171">
        <v>49.97</v>
      </c>
      <c r="AB458" s="171">
        <v>100</v>
      </c>
      <c r="AC458" s="171">
        <v>51.97</v>
      </c>
      <c r="AD458" s="171">
        <v>24.46</v>
      </c>
      <c r="AF458" s="171">
        <f t="shared" si="23"/>
        <v>2008</v>
      </c>
      <c r="AG458" s="171">
        <f t="shared" si="24"/>
        <v>6</v>
      </c>
      <c r="AH458" s="700">
        <f>SUMIF(D$3:$AA458,"&lt;="&amp;$AH$1)/COUNTIF(D$3:$AA458,"&lt;="&amp;$AH$1)</f>
        <v>28.32799444958367</v>
      </c>
    </row>
    <row r="459" spans="2:34" x14ac:dyDescent="0.25">
      <c r="B459" s="910">
        <v>39469</v>
      </c>
      <c r="C459" s="581">
        <f t="shared" si="22"/>
        <v>1</v>
      </c>
      <c r="D459" s="171">
        <v>44.02</v>
      </c>
      <c r="E459" s="171">
        <v>38.6</v>
      </c>
      <c r="F459" s="171">
        <v>33.56</v>
      </c>
      <c r="G459" s="171">
        <v>31.29</v>
      </c>
      <c r="H459" s="171">
        <v>32</v>
      </c>
      <c r="I459" s="171">
        <v>43.07</v>
      </c>
      <c r="J459" s="171">
        <v>51.95</v>
      </c>
      <c r="K459" s="171">
        <v>75.5</v>
      </c>
      <c r="L459" s="171">
        <v>75.86</v>
      </c>
      <c r="M459" s="171">
        <v>76</v>
      </c>
      <c r="N459" s="171">
        <v>77.8</v>
      </c>
      <c r="O459" s="171">
        <v>78.5</v>
      </c>
      <c r="P459" s="171">
        <v>75</v>
      </c>
      <c r="Q459" s="171">
        <v>73.59</v>
      </c>
      <c r="R459" s="171">
        <v>71.7</v>
      </c>
      <c r="S459" s="171">
        <v>67.930000000000007</v>
      </c>
      <c r="T459" s="171">
        <v>69.5</v>
      </c>
      <c r="U459" s="171">
        <v>80</v>
      </c>
      <c r="V459" s="171">
        <v>91.37</v>
      </c>
      <c r="W459" s="171">
        <v>84.36</v>
      </c>
      <c r="X459" s="171">
        <v>77.900000000000006</v>
      </c>
      <c r="Y459" s="171">
        <v>64</v>
      </c>
      <c r="Z459" s="171">
        <v>62.440000000000005</v>
      </c>
      <c r="AA459" s="171">
        <v>61.940000000000005</v>
      </c>
      <c r="AB459" s="171">
        <v>91.37</v>
      </c>
      <c r="AC459" s="171">
        <v>62.440000000000005</v>
      </c>
      <c r="AD459" s="171">
        <v>42.050000000000004</v>
      </c>
      <c r="AF459" s="171">
        <f t="shared" si="23"/>
        <v>2008</v>
      </c>
      <c r="AG459" s="171">
        <f t="shared" si="24"/>
        <v>4</v>
      </c>
      <c r="AH459" s="700">
        <f>SUMIF(D$3:$AA459,"&lt;="&amp;$AH$1)/COUNTIF(D$3:$AA459,"&lt;="&amp;$AH$1)</f>
        <v>28.332087261970742</v>
      </c>
    </row>
    <row r="460" spans="2:34" x14ac:dyDescent="0.25">
      <c r="B460" s="910">
        <v>39470</v>
      </c>
      <c r="C460" s="581">
        <f t="shared" si="22"/>
        <v>1</v>
      </c>
      <c r="D460" s="171">
        <v>53.92</v>
      </c>
      <c r="E460" s="171">
        <v>46</v>
      </c>
      <c r="F460" s="171">
        <v>43</v>
      </c>
      <c r="G460" s="171">
        <v>37.800000000000004</v>
      </c>
      <c r="H460" s="171">
        <v>37.090000000000003</v>
      </c>
      <c r="I460" s="171">
        <v>48</v>
      </c>
      <c r="J460" s="171">
        <v>52</v>
      </c>
      <c r="K460" s="171">
        <v>77.16</v>
      </c>
      <c r="L460" s="171">
        <v>81.260000000000005</v>
      </c>
      <c r="M460" s="171">
        <v>83.09</v>
      </c>
      <c r="N460" s="171">
        <v>82.01</v>
      </c>
      <c r="O460" s="171">
        <v>81.98</v>
      </c>
      <c r="P460" s="171">
        <v>79.900000000000006</v>
      </c>
      <c r="Q460" s="171">
        <v>78</v>
      </c>
      <c r="R460" s="171">
        <v>73.989999999999995</v>
      </c>
      <c r="S460" s="171">
        <v>71.5</v>
      </c>
      <c r="T460" s="171">
        <v>73.400000000000006</v>
      </c>
      <c r="U460" s="171">
        <v>85.31</v>
      </c>
      <c r="V460" s="171">
        <v>93.210000000000008</v>
      </c>
      <c r="W460" s="171">
        <v>82.39</v>
      </c>
      <c r="X460" s="171">
        <v>69.94</v>
      </c>
      <c r="Y460" s="171">
        <v>55.980000000000004</v>
      </c>
      <c r="Z460" s="171">
        <v>57.910000000000004</v>
      </c>
      <c r="AA460" s="171">
        <v>49</v>
      </c>
      <c r="AB460" s="171">
        <v>93.210000000000008</v>
      </c>
      <c r="AC460" s="171">
        <v>55.980000000000004</v>
      </c>
      <c r="AD460" s="171">
        <v>45.85</v>
      </c>
      <c r="AF460" s="171">
        <f t="shared" si="23"/>
        <v>2008</v>
      </c>
      <c r="AG460" s="171">
        <f t="shared" si="24"/>
        <v>2</v>
      </c>
      <c r="AH460" s="700">
        <f>SUMIF(D$3:$AA460,"&lt;="&amp;$AH$1)/COUNTIF(D$3:$AA460,"&lt;="&amp;$AH$1)</f>
        <v>28.335455553502076</v>
      </c>
    </row>
    <row r="461" spans="2:34" x14ac:dyDescent="0.25">
      <c r="B461" s="910">
        <v>39471</v>
      </c>
      <c r="C461" s="581">
        <f t="shared" si="22"/>
        <v>1</v>
      </c>
      <c r="D461" s="171">
        <v>47.95</v>
      </c>
      <c r="E461" s="171">
        <v>42.07</v>
      </c>
      <c r="F461" s="171">
        <v>37.92</v>
      </c>
      <c r="G461" s="171">
        <v>32</v>
      </c>
      <c r="H461" s="171">
        <v>30</v>
      </c>
      <c r="I461" s="171">
        <v>44</v>
      </c>
      <c r="J461" s="171">
        <v>53.980000000000004</v>
      </c>
      <c r="K461" s="171">
        <v>75.25</v>
      </c>
      <c r="L461" s="171">
        <v>76.489999999999995</v>
      </c>
      <c r="M461" s="171">
        <v>76.650000000000006</v>
      </c>
      <c r="N461" s="171">
        <v>76.2</v>
      </c>
      <c r="O461" s="171">
        <v>77.61</v>
      </c>
      <c r="P461" s="171">
        <v>74.06</v>
      </c>
      <c r="Q461" s="171">
        <v>71.989999999999995</v>
      </c>
      <c r="R461" s="171">
        <v>65.820000000000007</v>
      </c>
      <c r="S461" s="171">
        <v>62.04</v>
      </c>
      <c r="T461" s="171">
        <v>61.300000000000004</v>
      </c>
      <c r="U461" s="171">
        <v>74</v>
      </c>
      <c r="V461" s="171">
        <v>83</v>
      </c>
      <c r="W461" s="171">
        <v>78.02</v>
      </c>
      <c r="X461" s="171">
        <v>67.98</v>
      </c>
      <c r="Y461" s="171">
        <v>53.99</v>
      </c>
      <c r="Z461" s="171">
        <v>55.39</v>
      </c>
      <c r="AA461" s="171">
        <v>57.32</v>
      </c>
      <c r="AB461" s="171">
        <v>83</v>
      </c>
      <c r="AC461" s="171">
        <v>53.99</v>
      </c>
      <c r="AD461" s="171">
        <v>43.15</v>
      </c>
      <c r="AF461" s="171">
        <f t="shared" si="23"/>
        <v>2008</v>
      </c>
      <c r="AG461" s="171">
        <f t="shared" si="24"/>
        <v>4</v>
      </c>
      <c r="AH461" s="700">
        <f>SUMIF(D$3:$AA461,"&lt;="&amp;$AH$1)/COUNTIF(D$3:$AA461,"&lt;="&amp;$AH$1)</f>
        <v>28.340746075715558</v>
      </c>
    </row>
    <row r="462" spans="2:34" x14ac:dyDescent="0.25">
      <c r="B462" s="910">
        <v>39472</v>
      </c>
      <c r="C462" s="581">
        <f t="shared" si="22"/>
        <v>1</v>
      </c>
      <c r="D462" s="171">
        <v>53.97</v>
      </c>
      <c r="E462" s="171">
        <v>47.96</v>
      </c>
      <c r="F462" s="171">
        <v>44.94</v>
      </c>
      <c r="G462" s="171">
        <v>32.26</v>
      </c>
      <c r="H462" s="171">
        <v>30.09</v>
      </c>
      <c r="I462" s="171">
        <v>46.84</v>
      </c>
      <c r="J462" s="171">
        <v>52.13</v>
      </c>
      <c r="K462" s="171">
        <v>68.97</v>
      </c>
      <c r="L462" s="171">
        <v>77.930000000000007</v>
      </c>
      <c r="M462" s="171">
        <v>80.900000000000006</v>
      </c>
      <c r="N462" s="171">
        <v>81.8</v>
      </c>
      <c r="O462" s="171">
        <v>81.31</v>
      </c>
      <c r="P462" s="171">
        <v>77.900000000000006</v>
      </c>
      <c r="Q462" s="171">
        <v>71.92</v>
      </c>
      <c r="R462" s="171">
        <v>62.14</v>
      </c>
      <c r="S462" s="171">
        <v>56.99</v>
      </c>
      <c r="T462" s="171">
        <v>59.9</v>
      </c>
      <c r="U462" s="171">
        <v>68.98</v>
      </c>
      <c r="V462" s="171">
        <v>83.960000000000008</v>
      </c>
      <c r="W462" s="171">
        <v>77.960000000000008</v>
      </c>
      <c r="X462" s="171">
        <v>71.95</v>
      </c>
      <c r="Y462" s="171">
        <v>64</v>
      </c>
      <c r="Z462" s="171">
        <v>64.070000000000007</v>
      </c>
      <c r="AA462" s="171">
        <v>64.070000000000007</v>
      </c>
      <c r="AB462" s="171">
        <v>83.960000000000008</v>
      </c>
      <c r="AC462" s="171">
        <v>56.99</v>
      </c>
      <c r="AD462" s="171">
        <v>46.53</v>
      </c>
      <c r="AF462" s="171">
        <f t="shared" si="23"/>
        <v>2008</v>
      </c>
      <c r="AG462" s="171">
        <f t="shared" si="24"/>
        <v>2</v>
      </c>
      <c r="AH462" s="700">
        <f>SUMIF(D$3:$AA462,"&lt;="&amp;$AH$1)/COUNTIF(D$3:$AA462,"&lt;="&amp;$AH$1)</f>
        <v>28.341792505076565</v>
      </c>
    </row>
    <row r="463" spans="2:34" x14ac:dyDescent="0.25">
      <c r="B463" s="910">
        <v>39475</v>
      </c>
      <c r="C463" s="581">
        <f t="shared" si="22"/>
        <v>1</v>
      </c>
      <c r="D463" s="171">
        <v>65.989999999999995</v>
      </c>
      <c r="E463" s="171">
        <v>60.22</v>
      </c>
      <c r="F463" s="171">
        <v>53.980000000000004</v>
      </c>
      <c r="G463" s="171">
        <v>51.1</v>
      </c>
      <c r="H463" s="171">
        <v>49.28</v>
      </c>
      <c r="I463" s="171">
        <v>59.01</v>
      </c>
      <c r="J463" s="171">
        <v>66.11</v>
      </c>
      <c r="K463" s="171">
        <v>89.97</v>
      </c>
      <c r="L463" s="171">
        <v>104.01</v>
      </c>
      <c r="M463" s="171">
        <v>102.06</v>
      </c>
      <c r="N463" s="171">
        <v>102.04</v>
      </c>
      <c r="O463" s="171">
        <v>100.01</v>
      </c>
      <c r="P463" s="171">
        <v>94.9</v>
      </c>
      <c r="Q463" s="171">
        <v>93.91</v>
      </c>
      <c r="R463" s="171">
        <v>87.960000000000008</v>
      </c>
      <c r="S463" s="171">
        <v>83.51</v>
      </c>
      <c r="T463" s="171">
        <v>83.68</v>
      </c>
      <c r="U463" s="171">
        <v>97</v>
      </c>
      <c r="V463" s="171">
        <v>120.74000000000001</v>
      </c>
      <c r="W463" s="171">
        <v>104.02</v>
      </c>
      <c r="X463" s="171">
        <v>83.95</v>
      </c>
      <c r="Y463" s="171">
        <v>73.97</v>
      </c>
      <c r="Z463" s="171">
        <v>74.8</v>
      </c>
      <c r="AA463" s="171">
        <v>71</v>
      </c>
      <c r="AB463" s="171">
        <v>120.74000000000001</v>
      </c>
      <c r="AC463" s="171">
        <v>73.97</v>
      </c>
      <c r="AD463" s="171">
        <v>59.59</v>
      </c>
      <c r="AF463" s="171">
        <f t="shared" si="23"/>
        <v>2008</v>
      </c>
      <c r="AG463" s="171">
        <f t="shared" si="24"/>
        <v>0</v>
      </c>
      <c r="AH463" s="700">
        <f>SUMIF(D$3:$AA463,"&lt;="&amp;$AH$1)/COUNTIF(D$3:$AA463,"&lt;="&amp;$AH$1)</f>
        <v>28.341792505076565</v>
      </c>
    </row>
    <row r="464" spans="2:34" x14ac:dyDescent="0.25">
      <c r="B464" s="910">
        <v>39476</v>
      </c>
      <c r="C464" s="581">
        <f t="shared" si="22"/>
        <v>1</v>
      </c>
      <c r="D464" s="171">
        <v>54.96</v>
      </c>
      <c r="E464" s="171">
        <v>50.2</v>
      </c>
      <c r="F464" s="171">
        <v>44.96</v>
      </c>
      <c r="G464" s="171">
        <v>39.25</v>
      </c>
      <c r="H464" s="171">
        <v>33.6</v>
      </c>
      <c r="I464" s="171">
        <v>50</v>
      </c>
      <c r="J464" s="171">
        <v>64.2</v>
      </c>
      <c r="K464" s="171">
        <v>89</v>
      </c>
      <c r="L464" s="171">
        <v>91.820000000000007</v>
      </c>
      <c r="M464" s="171">
        <v>91.2</v>
      </c>
      <c r="N464" s="171">
        <v>90</v>
      </c>
      <c r="O464" s="171">
        <v>88.8</v>
      </c>
      <c r="P464" s="171">
        <v>87.9</v>
      </c>
      <c r="Q464" s="171">
        <v>84.26</v>
      </c>
      <c r="R464" s="171">
        <v>80.88</v>
      </c>
      <c r="S464" s="171">
        <v>76</v>
      </c>
      <c r="T464" s="171">
        <v>78.06</v>
      </c>
      <c r="U464" s="171">
        <v>83.8</v>
      </c>
      <c r="V464" s="171">
        <v>105.01</v>
      </c>
      <c r="W464" s="171">
        <v>90</v>
      </c>
      <c r="X464" s="171">
        <v>81.95</v>
      </c>
      <c r="Y464" s="171">
        <v>63.92</v>
      </c>
      <c r="Z464" s="171">
        <v>63.940000000000005</v>
      </c>
      <c r="AA464" s="171">
        <v>57.2</v>
      </c>
      <c r="AB464" s="171">
        <v>105.01</v>
      </c>
      <c r="AC464" s="171">
        <v>63.92</v>
      </c>
      <c r="AD464" s="171">
        <v>49.300000000000004</v>
      </c>
      <c r="AF464" s="171">
        <f t="shared" si="23"/>
        <v>2008</v>
      </c>
      <c r="AG464" s="171">
        <f t="shared" si="24"/>
        <v>2</v>
      </c>
      <c r="AH464" s="700">
        <f>SUMIF(D$3:$AA464,"&lt;="&amp;$AH$1)/COUNTIF(D$3:$AA464,"&lt;="&amp;$AH$1)</f>
        <v>28.344775788890896</v>
      </c>
    </row>
    <row r="465" spans="2:34" x14ac:dyDescent="0.25">
      <c r="B465" s="910">
        <v>39477</v>
      </c>
      <c r="C465" s="581">
        <f t="shared" si="22"/>
        <v>1</v>
      </c>
      <c r="D465" s="171">
        <v>50.49</v>
      </c>
      <c r="E465" s="171">
        <v>48.82</v>
      </c>
      <c r="F465" s="171">
        <v>45.99</v>
      </c>
      <c r="G465" s="171">
        <v>43.01</v>
      </c>
      <c r="H465" s="171">
        <v>41.1</v>
      </c>
      <c r="I465" s="171">
        <v>49</v>
      </c>
      <c r="J465" s="171">
        <v>55.980000000000004</v>
      </c>
      <c r="K465" s="171">
        <v>84.65</v>
      </c>
      <c r="L465" s="171">
        <v>82.06</v>
      </c>
      <c r="M465" s="171">
        <v>83.5</v>
      </c>
      <c r="N465" s="171">
        <v>83.8</v>
      </c>
      <c r="O465" s="171">
        <v>85.06</v>
      </c>
      <c r="P465" s="171">
        <v>81.8</v>
      </c>
      <c r="Q465" s="171">
        <v>78.37</v>
      </c>
      <c r="R465" s="171">
        <v>73.45</v>
      </c>
      <c r="S465" s="171">
        <v>71.25</v>
      </c>
      <c r="T465" s="171">
        <v>71.83</v>
      </c>
      <c r="U465" s="171">
        <v>80</v>
      </c>
      <c r="V465" s="171">
        <v>89.51</v>
      </c>
      <c r="W465" s="171">
        <v>85.01</v>
      </c>
      <c r="X465" s="171">
        <v>79.989999999999995</v>
      </c>
      <c r="Y465" s="171">
        <v>65.95</v>
      </c>
      <c r="Z465" s="171">
        <v>61.95</v>
      </c>
      <c r="AA465" s="171">
        <v>59.99</v>
      </c>
      <c r="AB465" s="171">
        <v>89.51</v>
      </c>
      <c r="AC465" s="171">
        <v>61.95</v>
      </c>
      <c r="AD465" s="171">
        <v>49.300000000000004</v>
      </c>
      <c r="AF465" s="171">
        <f t="shared" si="23"/>
        <v>2008</v>
      </c>
      <c r="AG465" s="171">
        <f t="shared" si="24"/>
        <v>1</v>
      </c>
      <c r="AH465" s="700">
        <f>SUMIF(D$3:$AA465,"&lt;="&amp;$AH$1)/COUNTIF(D$3:$AA465,"&lt;="&amp;$AH$1)</f>
        <v>28.347129151291469</v>
      </c>
    </row>
    <row r="466" spans="2:34" x14ac:dyDescent="0.25">
      <c r="B466" s="910">
        <v>39478</v>
      </c>
      <c r="C466" s="581">
        <f t="shared" si="22"/>
        <v>1</v>
      </c>
      <c r="D466" s="171">
        <v>64</v>
      </c>
      <c r="E466" s="171">
        <v>55.980000000000004</v>
      </c>
      <c r="F466" s="171">
        <v>49.92</v>
      </c>
      <c r="G466" s="171">
        <v>38.53</v>
      </c>
      <c r="H466" s="171">
        <v>39.44</v>
      </c>
      <c r="I466" s="171">
        <v>50.01</v>
      </c>
      <c r="J466" s="171">
        <v>58.75</v>
      </c>
      <c r="K466" s="171">
        <v>75.94</v>
      </c>
      <c r="L466" s="171">
        <v>80.5</v>
      </c>
      <c r="M466" s="171">
        <v>85.94</v>
      </c>
      <c r="N466" s="171">
        <v>85.91</v>
      </c>
      <c r="O466" s="171">
        <v>89.98</v>
      </c>
      <c r="P466" s="171">
        <v>82.08</v>
      </c>
      <c r="Q466" s="171">
        <v>79.98</v>
      </c>
      <c r="R466" s="171">
        <v>79.94</v>
      </c>
      <c r="S466" s="171">
        <v>71.95</v>
      </c>
      <c r="T466" s="171">
        <v>73.91</v>
      </c>
      <c r="U466" s="171">
        <v>75.94</v>
      </c>
      <c r="V466" s="171">
        <v>96.48</v>
      </c>
      <c r="W466" s="171">
        <v>93.98</v>
      </c>
      <c r="X466" s="171">
        <v>79.989999999999995</v>
      </c>
      <c r="Y466" s="171">
        <v>64.930000000000007</v>
      </c>
      <c r="Z466" s="171">
        <v>61.99</v>
      </c>
      <c r="AA466" s="171">
        <v>59.95</v>
      </c>
      <c r="AB466" s="171">
        <v>96.48</v>
      </c>
      <c r="AC466" s="171">
        <v>61.99</v>
      </c>
      <c r="AD466" s="171">
        <v>52.07</v>
      </c>
      <c r="AF466" s="171">
        <f t="shared" si="23"/>
        <v>2008</v>
      </c>
      <c r="AG466" s="171">
        <f t="shared" si="24"/>
        <v>2</v>
      </c>
      <c r="AH466" s="700">
        <f>SUMIF(D$3:$AA466,"&lt;="&amp;$AH$1)/COUNTIF(D$3:$AA466,"&lt;="&amp;$AH$1)</f>
        <v>28.351053116930981</v>
      </c>
    </row>
    <row r="467" spans="2:34" x14ac:dyDescent="0.25">
      <c r="B467" s="910">
        <v>39479</v>
      </c>
      <c r="C467" s="581">
        <f t="shared" si="22"/>
        <v>2</v>
      </c>
      <c r="D467" s="171">
        <v>62.81</v>
      </c>
      <c r="E467" s="171">
        <v>55.980000000000004</v>
      </c>
      <c r="F467" s="171">
        <v>49.980000000000004</v>
      </c>
      <c r="G467" s="171">
        <v>41.85</v>
      </c>
      <c r="H467" s="171">
        <v>35</v>
      </c>
      <c r="I467" s="171">
        <v>50</v>
      </c>
      <c r="J467" s="171">
        <v>67.900000000000006</v>
      </c>
      <c r="K467" s="171">
        <v>87.92</v>
      </c>
      <c r="L467" s="171">
        <v>83.76</v>
      </c>
      <c r="M467" s="171">
        <v>83.95</v>
      </c>
      <c r="N467" s="171">
        <v>81.97</v>
      </c>
      <c r="O467" s="171">
        <v>81.99</v>
      </c>
      <c r="P467" s="171">
        <v>81.900000000000006</v>
      </c>
      <c r="Q467" s="171">
        <v>81.91</v>
      </c>
      <c r="R467" s="171">
        <v>77.930000000000007</v>
      </c>
      <c r="S467" s="171">
        <v>65.489999999999995</v>
      </c>
      <c r="T467" s="171">
        <v>67.95</v>
      </c>
      <c r="U467" s="171">
        <v>70.760000000000005</v>
      </c>
      <c r="V467" s="171">
        <v>85.99</v>
      </c>
      <c r="W467" s="171">
        <v>81.510000000000005</v>
      </c>
      <c r="X467" s="171">
        <v>73.91</v>
      </c>
      <c r="Y467" s="171">
        <v>61.25</v>
      </c>
      <c r="Z467" s="171">
        <v>59.93</v>
      </c>
      <c r="AA467" s="171">
        <v>63.9</v>
      </c>
      <c r="AB467" s="171">
        <v>87.92</v>
      </c>
      <c r="AC467" s="171">
        <v>59.93</v>
      </c>
      <c r="AD467" s="171">
        <v>53.43</v>
      </c>
      <c r="AF467" s="171">
        <f t="shared" si="23"/>
        <v>2008</v>
      </c>
      <c r="AG467" s="171">
        <f t="shared" si="24"/>
        <v>2</v>
      </c>
      <c r="AH467" s="700">
        <f>SUMIF(D$3:$AA467,"&lt;="&amp;$AH$1)/COUNTIF(D$3:$AA467,"&lt;="&amp;$AH$1)</f>
        <v>28.354767699115001</v>
      </c>
    </row>
    <row r="468" spans="2:34" x14ac:dyDescent="0.25">
      <c r="B468" s="910">
        <v>39482</v>
      </c>
      <c r="C468" s="581">
        <f t="shared" si="22"/>
        <v>2</v>
      </c>
      <c r="D468" s="171">
        <v>38</v>
      </c>
      <c r="E468" s="171">
        <v>40</v>
      </c>
      <c r="F468" s="171">
        <v>39.74</v>
      </c>
      <c r="G468" s="171">
        <v>28</v>
      </c>
      <c r="H468" s="171">
        <v>26.41</v>
      </c>
      <c r="I468" s="171">
        <v>34.47</v>
      </c>
      <c r="J468" s="171">
        <v>48.1</v>
      </c>
      <c r="K468" s="171">
        <v>71.900000000000006</v>
      </c>
      <c r="L468" s="171">
        <v>71.900000000000006</v>
      </c>
      <c r="M468" s="171">
        <v>73</v>
      </c>
      <c r="N468" s="171">
        <v>73.94</v>
      </c>
      <c r="O468" s="171">
        <v>75.98</v>
      </c>
      <c r="P468" s="171">
        <v>70.790000000000006</v>
      </c>
      <c r="Q468" s="171">
        <v>70.78</v>
      </c>
      <c r="R468" s="171">
        <v>65.61</v>
      </c>
      <c r="S468" s="171">
        <v>59.870000000000005</v>
      </c>
      <c r="T468" s="171">
        <v>61.47</v>
      </c>
      <c r="U468" s="171">
        <v>64.930000000000007</v>
      </c>
      <c r="V468" s="171">
        <v>79.989999999999995</v>
      </c>
      <c r="W468" s="171">
        <v>80</v>
      </c>
      <c r="X468" s="171">
        <v>76.2</v>
      </c>
      <c r="Y468" s="171">
        <v>59.97</v>
      </c>
      <c r="Z468" s="171">
        <v>59</v>
      </c>
      <c r="AA468" s="171">
        <v>55.97</v>
      </c>
      <c r="AB468" s="171">
        <v>80</v>
      </c>
      <c r="AC468" s="171">
        <v>59</v>
      </c>
      <c r="AD468" s="171">
        <v>38.840000000000003</v>
      </c>
      <c r="AF468" s="171">
        <f t="shared" si="23"/>
        <v>2008</v>
      </c>
      <c r="AG468" s="171">
        <f t="shared" si="24"/>
        <v>6</v>
      </c>
      <c r="AH468" s="700">
        <f>SUMIF(D$3:$AA468,"&lt;="&amp;$AH$1)/COUNTIF(D$3:$AA468,"&lt;="&amp;$AH$1)</f>
        <v>28.361488029465889</v>
      </c>
    </row>
    <row r="469" spans="2:34" x14ac:dyDescent="0.25">
      <c r="B469" s="910">
        <v>39483</v>
      </c>
      <c r="C469" s="581">
        <f t="shared" si="22"/>
        <v>2</v>
      </c>
      <c r="D469" s="171">
        <v>51.51</v>
      </c>
      <c r="E469" s="171">
        <v>47.38</v>
      </c>
      <c r="F469" s="171">
        <v>42</v>
      </c>
      <c r="G469" s="171">
        <v>39</v>
      </c>
      <c r="H469" s="171">
        <v>37</v>
      </c>
      <c r="I469" s="171">
        <v>47.06</v>
      </c>
      <c r="J469" s="171">
        <v>54.01</v>
      </c>
      <c r="K469" s="171">
        <v>71.19</v>
      </c>
      <c r="L469" s="171">
        <v>73.92</v>
      </c>
      <c r="M469" s="171">
        <v>75</v>
      </c>
      <c r="N469" s="171">
        <v>74</v>
      </c>
      <c r="O469" s="171">
        <v>79.92</v>
      </c>
      <c r="P469" s="171">
        <v>75.91</v>
      </c>
      <c r="Q469" s="171">
        <v>69.56</v>
      </c>
      <c r="R469" s="171">
        <v>63.730000000000004</v>
      </c>
      <c r="S469" s="171">
        <v>60.67</v>
      </c>
      <c r="T469" s="171">
        <v>58</v>
      </c>
      <c r="U469" s="171">
        <v>66.010000000000005</v>
      </c>
      <c r="V469" s="171">
        <v>77.489999999999995</v>
      </c>
      <c r="W469" s="171">
        <v>73.930000000000007</v>
      </c>
      <c r="X469" s="171">
        <v>62.01</v>
      </c>
      <c r="Y469" s="171">
        <v>50</v>
      </c>
      <c r="Z469" s="171">
        <v>53.93</v>
      </c>
      <c r="AA469" s="171">
        <v>49.99</v>
      </c>
      <c r="AB469" s="171">
        <v>79.92</v>
      </c>
      <c r="AC469" s="171">
        <v>50</v>
      </c>
      <c r="AD469" s="171">
        <v>45.99</v>
      </c>
      <c r="AF469" s="171">
        <f t="shared" si="23"/>
        <v>2008</v>
      </c>
      <c r="AG469" s="171">
        <f t="shared" si="24"/>
        <v>3</v>
      </c>
      <c r="AH469" s="700">
        <f>SUMIF(D$3:$AA469,"&lt;="&amp;$AH$1)/COUNTIF(D$3:$AA469,"&lt;="&amp;$AH$1)</f>
        <v>28.367546475243838</v>
      </c>
    </row>
    <row r="470" spans="2:34" x14ac:dyDescent="0.25">
      <c r="B470" s="910">
        <v>39484</v>
      </c>
      <c r="C470" s="581">
        <f t="shared" si="22"/>
        <v>2</v>
      </c>
      <c r="D470" s="171">
        <v>43.92</v>
      </c>
      <c r="E470" s="171">
        <v>39.01</v>
      </c>
      <c r="F470" s="171">
        <v>31.94</v>
      </c>
      <c r="G470" s="171">
        <v>15.18</v>
      </c>
      <c r="H470" s="171">
        <v>23.1</v>
      </c>
      <c r="I470" s="171">
        <v>33.67</v>
      </c>
      <c r="J470" s="171">
        <v>42.37</v>
      </c>
      <c r="K470" s="171">
        <v>61.01</v>
      </c>
      <c r="L470" s="171">
        <v>65.94</v>
      </c>
      <c r="M470" s="171">
        <v>71.3</v>
      </c>
      <c r="N470" s="171">
        <v>71.91</v>
      </c>
      <c r="O470" s="171">
        <v>72.010000000000005</v>
      </c>
      <c r="P470" s="171">
        <v>69.91</v>
      </c>
      <c r="Q470" s="171">
        <v>65.92</v>
      </c>
      <c r="R470" s="171">
        <v>61.93</v>
      </c>
      <c r="S470" s="171">
        <v>59.96</v>
      </c>
      <c r="T470" s="171">
        <v>55.9</v>
      </c>
      <c r="U470" s="171">
        <v>67.5</v>
      </c>
      <c r="V470" s="171">
        <v>77.94</v>
      </c>
      <c r="W470" s="171">
        <v>71.290000000000006</v>
      </c>
      <c r="X470" s="171">
        <v>61.95</v>
      </c>
      <c r="Y470" s="171">
        <v>49.93</v>
      </c>
      <c r="Z470" s="171">
        <v>51.910000000000004</v>
      </c>
      <c r="AA470" s="171">
        <v>47.75</v>
      </c>
      <c r="AB470" s="171">
        <v>77.94</v>
      </c>
      <c r="AC470" s="171">
        <v>49.93</v>
      </c>
      <c r="AD470" s="171">
        <v>34.619999999999997</v>
      </c>
      <c r="AF470" s="171">
        <f t="shared" si="23"/>
        <v>2008</v>
      </c>
      <c r="AG470" s="171">
        <f t="shared" si="24"/>
        <v>6</v>
      </c>
      <c r="AH470" s="700">
        <f>SUMIF(D$3:$AA470,"&lt;="&amp;$AH$1)/COUNTIF(D$3:$AA470,"&lt;="&amp;$AH$1)</f>
        <v>28.370316234601912</v>
      </c>
    </row>
    <row r="471" spans="2:34" x14ac:dyDescent="0.25">
      <c r="B471" s="910">
        <v>39485</v>
      </c>
      <c r="C471" s="581">
        <f t="shared" si="22"/>
        <v>2</v>
      </c>
      <c r="D471" s="171">
        <v>53.94</v>
      </c>
      <c r="E471" s="171">
        <v>47.09</v>
      </c>
      <c r="F471" s="171">
        <v>46</v>
      </c>
      <c r="G471" s="171">
        <v>35.99</v>
      </c>
      <c r="H471" s="171">
        <v>36.85</v>
      </c>
      <c r="I471" s="171">
        <v>44.21</v>
      </c>
      <c r="J471" s="171">
        <v>54.24</v>
      </c>
      <c r="K471" s="171">
        <v>71.94</v>
      </c>
      <c r="L471" s="171">
        <v>80</v>
      </c>
      <c r="M471" s="171">
        <v>79.989999999999995</v>
      </c>
      <c r="N471" s="171">
        <v>77.900000000000006</v>
      </c>
      <c r="O471" s="171">
        <v>77.94</v>
      </c>
      <c r="P471" s="171">
        <v>74.95</v>
      </c>
      <c r="Q471" s="171">
        <v>72.850000000000009</v>
      </c>
      <c r="R471" s="171">
        <v>67.960000000000008</v>
      </c>
      <c r="S471" s="171">
        <v>62</v>
      </c>
      <c r="T471" s="171">
        <v>63.97</v>
      </c>
      <c r="U471" s="171">
        <v>73.989999999999995</v>
      </c>
      <c r="V471" s="171">
        <v>88.100000000000009</v>
      </c>
      <c r="W471" s="171">
        <v>85.11</v>
      </c>
      <c r="X471" s="171">
        <v>73.92</v>
      </c>
      <c r="Y471" s="171">
        <v>57.4</v>
      </c>
      <c r="Z471" s="171">
        <v>55.97</v>
      </c>
      <c r="AA471" s="171">
        <v>55.910000000000004</v>
      </c>
      <c r="AB471" s="171">
        <v>88.100000000000009</v>
      </c>
      <c r="AC471" s="171">
        <v>55.97</v>
      </c>
      <c r="AD471" s="171">
        <v>46.78</v>
      </c>
      <c r="AF471" s="171">
        <f t="shared" si="23"/>
        <v>2008</v>
      </c>
      <c r="AG471" s="171">
        <f t="shared" si="24"/>
        <v>2</v>
      </c>
      <c r="AH471" s="700">
        <f>SUMIF(D$3:$AA471,"&lt;="&amp;$AH$1)/COUNTIF(D$3:$AA471,"&lt;="&amp;$AH$1)</f>
        <v>28.373275133247525</v>
      </c>
    </row>
    <row r="472" spans="2:34" x14ac:dyDescent="0.25">
      <c r="B472" s="910">
        <v>39486</v>
      </c>
      <c r="C472" s="581">
        <f t="shared" si="22"/>
        <v>2</v>
      </c>
      <c r="D472" s="171">
        <v>58.02</v>
      </c>
      <c r="E472" s="171">
        <v>49</v>
      </c>
      <c r="F472" s="171">
        <v>47.300000000000004</v>
      </c>
      <c r="G472" s="171">
        <v>44.87</v>
      </c>
      <c r="H472" s="171">
        <v>44.99</v>
      </c>
      <c r="I472" s="171">
        <v>53.99</v>
      </c>
      <c r="J472" s="171">
        <v>60.68</v>
      </c>
      <c r="K472" s="171">
        <v>80.28</v>
      </c>
      <c r="L472" s="171">
        <v>82.99</v>
      </c>
      <c r="M472" s="171">
        <v>84.34</v>
      </c>
      <c r="N472" s="171">
        <v>83.94</v>
      </c>
      <c r="O472" s="171">
        <v>80.95</v>
      </c>
      <c r="P472" s="171">
        <v>75.570000000000007</v>
      </c>
      <c r="Q472" s="171">
        <v>71.31</v>
      </c>
      <c r="R472" s="171">
        <v>65.95</v>
      </c>
      <c r="S472" s="171">
        <v>59.99</v>
      </c>
      <c r="T472" s="171">
        <v>59.980000000000004</v>
      </c>
      <c r="U472" s="171">
        <v>69.960000000000008</v>
      </c>
      <c r="V472" s="171">
        <v>85</v>
      </c>
      <c r="W472" s="171">
        <v>82.01</v>
      </c>
      <c r="X472" s="171">
        <v>70.760000000000005</v>
      </c>
      <c r="Y472" s="171">
        <v>59.910000000000004</v>
      </c>
      <c r="Z472" s="171">
        <v>59.31</v>
      </c>
      <c r="AA472" s="171">
        <v>59.94</v>
      </c>
      <c r="AB472" s="171">
        <v>85</v>
      </c>
      <c r="AC472" s="171">
        <v>59.31</v>
      </c>
      <c r="AD472" s="171">
        <v>52.35</v>
      </c>
      <c r="AF472" s="171">
        <f t="shared" si="23"/>
        <v>2008</v>
      </c>
      <c r="AG472" s="171">
        <f t="shared" si="24"/>
        <v>0</v>
      </c>
      <c r="AH472" s="700">
        <f>SUMIF(D$3:$AA472,"&lt;="&amp;$AH$1)/COUNTIF(D$3:$AA472,"&lt;="&amp;$AH$1)</f>
        <v>28.373275133247525</v>
      </c>
    </row>
    <row r="473" spans="2:34" x14ac:dyDescent="0.25">
      <c r="B473" s="910">
        <v>39489</v>
      </c>
      <c r="C473" s="581">
        <f t="shared" si="22"/>
        <v>2</v>
      </c>
      <c r="D473" s="171">
        <v>55.480000000000004</v>
      </c>
      <c r="E473" s="171">
        <v>46.81</v>
      </c>
      <c r="F473" s="171">
        <v>46</v>
      </c>
      <c r="G473" s="171">
        <v>41.99</v>
      </c>
      <c r="H473" s="171">
        <v>43.88</v>
      </c>
      <c r="I473" s="171">
        <v>50.92</v>
      </c>
      <c r="J473" s="171">
        <v>58.7</v>
      </c>
      <c r="K473" s="171">
        <v>79.460000000000008</v>
      </c>
      <c r="L473" s="171">
        <v>84.44</v>
      </c>
      <c r="M473" s="171">
        <v>86.99</v>
      </c>
      <c r="N473" s="171">
        <v>85.44</v>
      </c>
      <c r="O473" s="171">
        <v>88.48</v>
      </c>
      <c r="P473" s="171">
        <v>80.5</v>
      </c>
      <c r="Q473" s="171">
        <v>76</v>
      </c>
      <c r="R473" s="171">
        <v>71.960000000000008</v>
      </c>
      <c r="S473" s="171">
        <v>65.040000000000006</v>
      </c>
      <c r="T473" s="171">
        <v>61.42</v>
      </c>
      <c r="U473" s="171">
        <v>70.680000000000007</v>
      </c>
      <c r="V473" s="171">
        <v>86.97</v>
      </c>
      <c r="W473" s="171">
        <v>86</v>
      </c>
      <c r="X473" s="171">
        <v>78.05</v>
      </c>
      <c r="Y473" s="171">
        <v>66.94</v>
      </c>
      <c r="Z473" s="171">
        <v>63.2</v>
      </c>
      <c r="AA473" s="171">
        <v>60.67</v>
      </c>
      <c r="AB473" s="171">
        <v>88.48</v>
      </c>
      <c r="AC473" s="171">
        <v>61.42</v>
      </c>
      <c r="AD473" s="171">
        <v>50.56</v>
      </c>
      <c r="AF473" s="171">
        <f t="shared" si="23"/>
        <v>2008</v>
      </c>
      <c r="AG473" s="171">
        <f t="shared" si="24"/>
        <v>1</v>
      </c>
      <c r="AH473" s="700">
        <f>SUMIF(D$3:$AA473,"&lt;="&amp;$AH$1)/COUNTIF(D$3:$AA473,"&lt;="&amp;$AH$1)</f>
        <v>28.37577728776181</v>
      </c>
    </row>
    <row r="474" spans="2:34" x14ac:dyDescent="0.25">
      <c r="B474" s="910">
        <v>39490</v>
      </c>
      <c r="C474" s="581">
        <f t="shared" si="22"/>
        <v>2</v>
      </c>
      <c r="D474" s="171">
        <v>53.94</v>
      </c>
      <c r="E474" s="171">
        <v>52</v>
      </c>
      <c r="F474" s="171">
        <v>49.92</v>
      </c>
      <c r="G474" s="171">
        <v>48</v>
      </c>
      <c r="H474" s="171">
        <v>46</v>
      </c>
      <c r="I474" s="171">
        <v>51.99</v>
      </c>
      <c r="J474" s="171">
        <v>62.01</v>
      </c>
      <c r="K474" s="171">
        <v>85</v>
      </c>
      <c r="L474" s="171">
        <v>84.39</v>
      </c>
      <c r="M474" s="171">
        <v>87.74</v>
      </c>
      <c r="N474" s="171">
        <v>86.58</v>
      </c>
      <c r="O474" s="171">
        <v>85.73</v>
      </c>
      <c r="P474" s="171">
        <v>79.010000000000005</v>
      </c>
      <c r="Q474" s="171">
        <v>75.97</v>
      </c>
      <c r="R474" s="171">
        <v>71.400000000000006</v>
      </c>
      <c r="S474" s="171">
        <v>68.3</v>
      </c>
      <c r="T474" s="171">
        <v>69.77</v>
      </c>
      <c r="U474" s="171">
        <v>76.2</v>
      </c>
      <c r="V474" s="171">
        <v>89.94</v>
      </c>
      <c r="W474" s="171">
        <v>85.98</v>
      </c>
      <c r="X474" s="171">
        <v>78</v>
      </c>
      <c r="Y474" s="171">
        <v>64.81</v>
      </c>
      <c r="Z474" s="171">
        <v>63.71</v>
      </c>
      <c r="AA474" s="171">
        <v>58.1</v>
      </c>
      <c r="AB474" s="171">
        <v>89.94</v>
      </c>
      <c r="AC474" s="171">
        <v>63.71</v>
      </c>
      <c r="AD474" s="171">
        <v>52.74</v>
      </c>
      <c r="AF474" s="171">
        <f t="shared" si="23"/>
        <v>2008</v>
      </c>
      <c r="AG474" s="171">
        <f t="shared" si="24"/>
        <v>0</v>
      </c>
      <c r="AH474" s="700">
        <f>SUMIF(D$3:$AA474,"&lt;="&amp;$AH$1)/COUNTIF(D$3:$AA474,"&lt;="&amp;$AH$1)</f>
        <v>28.37577728776181</v>
      </c>
    </row>
    <row r="475" spans="2:34" x14ac:dyDescent="0.25">
      <c r="B475" s="910">
        <v>39491</v>
      </c>
      <c r="C475" s="581">
        <f t="shared" si="22"/>
        <v>2</v>
      </c>
      <c r="D475" s="171">
        <v>52.88</v>
      </c>
      <c r="E475" s="171">
        <v>50.9</v>
      </c>
      <c r="F475" s="171">
        <v>49.93</v>
      </c>
      <c r="G475" s="171">
        <v>45.550000000000004</v>
      </c>
      <c r="H475" s="171">
        <v>44.96</v>
      </c>
      <c r="I475" s="171">
        <v>49.99</v>
      </c>
      <c r="J475" s="171">
        <v>59.94</v>
      </c>
      <c r="K475" s="171">
        <v>78.710000000000008</v>
      </c>
      <c r="L475" s="171">
        <v>80.820000000000007</v>
      </c>
      <c r="M475" s="171">
        <v>82.460000000000008</v>
      </c>
      <c r="N475" s="171">
        <v>81.460000000000008</v>
      </c>
      <c r="O475" s="171">
        <v>82.2</v>
      </c>
      <c r="P475" s="171">
        <v>76.86</v>
      </c>
      <c r="Q475" s="171">
        <v>76</v>
      </c>
      <c r="R475" s="171">
        <v>71.350000000000009</v>
      </c>
      <c r="S475" s="171">
        <v>66.75</v>
      </c>
      <c r="T475" s="171">
        <v>64</v>
      </c>
      <c r="U475" s="171">
        <v>74.5</v>
      </c>
      <c r="V475" s="171">
        <v>89</v>
      </c>
      <c r="W475" s="171">
        <v>79.989999999999995</v>
      </c>
      <c r="X475" s="171">
        <v>74.989999999999995</v>
      </c>
      <c r="Y475" s="171">
        <v>61.2</v>
      </c>
      <c r="Z475" s="171">
        <v>61.49</v>
      </c>
      <c r="AA475" s="171">
        <v>56.49</v>
      </c>
      <c r="AB475" s="171">
        <v>89</v>
      </c>
      <c r="AC475" s="171">
        <v>61.2</v>
      </c>
      <c r="AD475" s="171">
        <v>51.33</v>
      </c>
      <c r="AF475" s="171">
        <f t="shared" si="23"/>
        <v>2008</v>
      </c>
      <c r="AG475" s="171">
        <f t="shared" si="24"/>
        <v>0</v>
      </c>
      <c r="AH475" s="700">
        <f>SUMIF(D$3:$AA475,"&lt;="&amp;$AH$1)/COUNTIF(D$3:$AA475,"&lt;="&amp;$AH$1)</f>
        <v>28.37577728776181</v>
      </c>
    </row>
    <row r="476" spans="2:34" x14ac:dyDescent="0.25">
      <c r="B476" s="910">
        <v>39492</v>
      </c>
      <c r="C476" s="581">
        <f t="shared" si="22"/>
        <v>2</v>
      </c>
      <c r="D476" s="171">
        <v>54</v>
      </c>
      <c r="E476" s="171">
        <v>51.08</v>
      </c>
      <c r="F476" s="171">
        <v>49.96</v>
      </c>
      <c r="G476" s="171">
        <v>49.94</v>
      </c>
      <c r="H476" s="171">
        <v>49.26</v>
      </c>
      <c r="I476" s="171">
        <v>53.230000000000004</v>
      </c>
      <c r="J476" s="171">
        <v>64.89</v>
      </c>
      <c r="K476" s="171">
        <v>82.45</v>
      </c>
      <c r="L476" s="171">
        <v>81.99</v>
      </c>
      <c r="M476" s="171">
        <v>84</v>
      </c>
      <c r="N476" s="171">
        <v>83.33</v>
      </c>
      <c r="O476" s="171">
        <v>83.18</v>
      </c>
      <c r="P476" s="171">
        <v>78.75</v>
      </c>
      <c r="Q476" s="171">
        <v>75</v>
      </c>
      <c r="R476" s="171">
        <v>72.09</v>
      </c>
      <c r="S476" s="171">
        <v>67.930000000000007</v>
      </c>
      <c r="T476" s="171">
        <v>64</v>
      </c>
      <c r="U476" s="171">
        <v>74</v>
      </c>
      <c r="V476" s="171">
        <v>86.2</v>
      </c>
      <c r="W476" s="171">
        <v>83.93</v>
      </c>
      <c r="X476" s="171">
        <v>76</v>
      </c>
      <c r="Y476" s="171">
        <v>65.040000000000006</v>
      </c>
      <c r="Z476" s="171">
        <v>62.02</v>
      </c>
      <c r="AA476" s="171">
        <v>57.06</v>
      </c>
      <c r="AB476" s="171">
        <v>86.2</v>
      </c>
      <c r="AC476" s="171">
        <v>62.02</v>
      </c>
      <c r="AD476" s="171">
        <v>53.68</v>
      </c>
      <c r="AF476" s="171">
        <f t="shared" si="23"/>
        <v>2008</v>
      </c>
      <c r="AG476" s="171">
        <f t="shared" si="24"/>
        <v>0</v>
      </c>
      <c r="AH476" s="700">
        <f>SUMIF(D$3:$AA476,"&lt;="&amp;$AH$1)/COUNTIF(D$3:$AA476,"&lt;="&amp;$AH$1)</f>
        <v>28.37577728776181</v>
      </c>
    </row>
    <row r="477" spans="2:34" x14ac:dyDescent="0.25">
      <c r="B477" s="910">
        <v>39493</v>
      </c>
      <c r="C477" s="581">
        <f t="shared" si="22"/>
        <v>2</v>
      </c>
      <c r="D477" s="171">
        <v>57</v>
      </c>
      <c r="E477" s="171">
        <v>53.6</v>
      </c>
      <c r="F477" s="171">
        <v>51</v>
      </c>
      <c r="G477" s="171">
        <v>49.93</v>
      </c>
      <c r="H477" s="171">
        <v>48.47</v>
      </c>
      <c r="I477" s="171">
        <v>53.99</v>
      </c>
      <c r="J477" s="171">
        <v>65</v>
      </c>
      <c r="K477" s="171">
        <v>81.93</v>
      </c>
      <c r="L477" s="171">
        <v>82.960000000000008</v>
      </c>
      <c r="M477" s="171">
        <v>87.3</v>
      </c>
      <c r="N477" s="171">
        <v>85.02</v>
      </c>
      <c r="O477" s="171">
        <v>84</v>
      </c>
      <c r="P477" s="171">
        <v>76.03</v>
      </c>
      <c r="Q477" s="171">
        <v>74.33</v>
      </c>
      <c r="R477" s="171">
        <v>70.100000000000009</v>
      </c>
      <c r="S477" s="171">
        <v>62.89</v>
      </c>
      <c r="T477" s="171">
        <v>60.97</v>
      </c>
      <c r="U477" s="171">
        <v>61.910000000000004</v>
      </c>
      <c r="V477" s="171">
        <v>79.92</v>
      </c>
      <c r="W477" s="171">
        <v>81.88</v>
      </c>
      <c r="X477" s="171">
        <v>73.92</v>
      </c>
      <c r="Y477" s="171">
        <v>64.19</v>
      </c>
      <c r="Z477" s="171">
        <v>60.4</v>
      </c>
      <c r="AA477" s="171">
        <v>64</v>
      </c>
      <c r="AB477" s="171">
        <v>87.3</v>
      </c>
      <c r="AC477" s="171">
        <v>60.4</v>
      </c>
      <c r="AD477" s="171">
        <v>55.370000000000005</v>
      </c>
      <c r="AF477" s="171">
        <f t="shared" si="23"/>
        <v>2008</v>
      </c>
      <c r="AG477" s="171">
        <f t="shared" si="24"/>
        <v>0</v>
      </c>
      <c r="AH477" s="700">
        <f>SUMIF(D$3:$AA477,"&lt;="&amp;$AH$1)/COUNTIF(D$3:$AA477,"&lt;="&amp;$AH$1)</f>
        <v>28.37577728776181</v>
      </c>
    </row>
    <row r="478" spans="2:34" x14ac:dyDescent="0.25">
      <c r="B478" s="910">
        <v>39496</v>
      </c>
      <c r="C478" s="581">
        <f t="shared" si="22"/>
        <v>2</v>
      </c>
      <c r="D478" s="171">
        <v>64.05</v>
      </c>
      <c r="E478" s="171">
        <v>49.96</v>
      </c>
      <c r="F478" s="171">
        <v>46</v>
      </c>
      <c r="G478" s="171">
        <v>46</v>
      </c>
      <c r="H478" s="171">
        <v>49</v>
      </c>
      <c r="I478" s="171">
        <v>53</v>
      </c>
      <c r="J478" s="171">
        <v>67.92</v>
      </c>
      <c r="K478" s="171">
        <v>87.9</v>
      </c>
      <c r="L478" s="171">
        <v>93</v>
      </c>
      <c r="M478" s="171">
        <v>100</v>
      </c>
      <c r="N478" s="171">
        <v>86.91</v>
      </c>
      <c r="O478" s="171">
        <v>85.460000000000008</v>
      </c>
      <c r="P478" s="171">
        <v>81.95</v>
      </c>
      <c r="Q478" s="171">
        <v>77.91</v>
      </c>
      <c r="R478" s="171">
        <v>72.84</v>
      </c>
      <c r="S478" s="171">
        <v>65.989999999999995</v>
      </c>
      <c r="T478" s="171">
        <v>64.39</v>
      </c>
      <c r="U478" s="171">
        <v>71.25</v>
      </c>
      <c r="V478" s="171">
        <v>88</v>
      </c>
      <c r="W478" s="171">
        <v>87.95</v>
      </c>
      <c r="X478" s="171">
        <v>75.92</v>
      </c>
      <c r="Y478" s="171">
        <v>63.96</v>
      </c>
      <c r="Z478" s="171">
        <v>59.93</v>
      </c>
      <c r="AA478" s="171">
        <v>61.93</v>
      </c>
      <c r="AB478" s="171">
        <v>100</v>
      </c>
      <c r="AC478" s="171">
        <v>59.93</v>
      </c>
      <c r="AD478" s="171">
        <v>54.730000000000004</v>
      </c>
      <c r="AF478" s="171">
        <f t="shared" si="23"/>
        <v>2008</v>
      </c>
      <c r="AG478" s="171">
        <f t="shared" si="24"/>
        <v>0</v>
      </c>
      <c r="AH478" s="700">
        <f>SUMIF(D$3:$AA478,"&lt;="&amp;$AH$1)/COUNTIF(D$3:$AA478,"&lt;="&amp;$AH$1)</f>
        <v>28.37577728776181</v>
      </c>
    </row>
    <row r="479" spans="2:34" x14ac:dyDescent="0.25">
      <c r="B479" s="910">
        <v>39497</v>
      </c>
      <c r="C479" s="581">
        <f t="shared" si="22"/>
        <v>2</v>
      </c>
      <c r="D479" s="171">
        <v>53.99</v>
      </c>
      <c r="E479" s="171">
        <v>53.25</v>
      </c>
      <c r="F479" s="171">
        <v>54.93</v>
      </c>
      <c r="G479" s="171">
        <v>51.5</v>
      </c>
      <c r="H479" s="171">
        <v>51.26</v>
      </c>
      <c r="I479" s="171">
        <v>56.54</v>
      </c>
      <c r="J479" s="171">
        <v>68.900000000000006</v>
      </c>
      <c r="K479" s="171">
        <v>84.43</v>
      </c>
      <c r="L479" s="171">
        <v>88.33</v>
      </c>
      <c r="M479" s="171">
        <v>89.95</v>
      </c>
      <c r="N479" s="171">
        <v>88.850000000000009</v>
      </c>
      <c r="O479" s="171">
        <v>87.98</v>
      </c>
      <c r="P479" s="171">
        <v>83.4</v>
      </c>
      <c r="Q479" s="171">
        <v>79.92</v>
      </c>
      <c r="R479" s="171">
        <v>75.09</v>
      </c>
      <c r="S479" s="171">
        <v>71.27</v>
      </c>
      <c r="T479" s="171">
        <v>72.350000000000009</v>
      </c>
      <c r="U479" s="171">
        <v>73.989999999999995</v>
      </c>
      <c r="V479" s="171">
        <v>94.210000000000008</v>
      </c>
      <c r="W479" s="171">
        <v>95.95</v>
      </c>
      <c r="X479" s="171">
        <v>79.95</v>
      </c>
      <c r="Y479" s="171">
        <v>65.960000000000008</v>
      </c>
      <c r="Z479" s="171">
        <v>63.45</v>
      </c>
      <c r="AA479" s="171">
        <v>63.97</v>
      </c>
      <c r="AB479" s="171">
        <v>95.95</v>
      </c>
      <c r="AC479" s="171">
        <v>63.45</v>
      </c>
      <c r="AD479" s="171">
        <v>56.79</v>
      </c>
      <c r="AF479" s="171">
        <f t="shared" si="23"/>
        <v>2008</v>
      </c>
      <c r="AG479" s="171">
        <f t="shared" si="24"/>
        <v>0</v>
      </c>
      <c r="AH479" s="700">
        <f>SUMIF(D$3:$AA479,"&lt;="&amp;$AH$1)/COUNTIF(D$3:$AA479,"&lt;="&amp;$AH$1)</f>
        <v>28.37577728776181</v>
      </c>
    </row>
    <row r="480" spans="2:34" x14ac:dyDescent="0.25">
      <c r="B480" s="910">
        <v>39498</v>
      </c>
      <c r="C480" s="581">
        <f t="shared" si="22"/>
        <v>2</v>
      </c>
      <c r="D480" s="171">
        <v>59.1</v>
      </c>
      <c r="E480" s="171">
        <v>55.93</v>
      </c>
      <c r="F480" s="171">
        <v>54.6</v>
      </c>
      <c r="G480" s="171">
        <v>53.88</v>
      </c>
      <c r="H480" s="171">
        <v>51.93</v>
      </c>
      <c r="I480" s="171">
        <v>54.04</v>
      </c>
      <c r="J480" s="171">
        <v>63.1</v>
      </c>
      <c r="K480" s="171">
        <v>92.13</v>
      </c>
      <c r="L480" s="171">
        <v>84.49</v>
      </c>
      <c r="M480" s="171">
        <v>89</v>
      </c>
      <c r="N480" s="171">
        <v>88</v>
      </c>
      <c r="O480" s="171">
        <v>88.42</v>
      </c>
      <c r="P480" s="171">
        <v>84.65</v>
      </c>
      <c r="Q480" s="171">
        <v>81.98</v>
      </c>
      <c r="R480" s="171">
        <v>79</v>
      </c>
      <c r="S480" s="171">
        <v>75.5</v>
      </c>
      <c r="T480" s="171">
        <v>74</v>
      </c>
      <c r="U480" s="171">
        <v>78</v>
      </c>
      <c r="V480" s="171">
        <v>100.7</v>
      </c>
      <c r="W480" s="171">
        <v>97.990000000000009</v>
      </c>
      <c r="X480" s="171">
        <v>87</v>
      </c>
      <c r="Y480" s="171">
        <v>67.930000000000007</v>
      </c>
      <c r="Z480" s="171">
        <v>64.099999999999994</v>
      </c>
      <c r="AA480" s="171">
        <v>59.45</v>
      </c>
      <c r="AB480" s="171">
        <v>100.7</v>
      </c>
      <c r="AC480" s="171">
        <v>64.099999999999994</v>
      </c>
      <c r="AD480" s="171">
        <v>56.5</v>
      </c>
      <c r="AF480" s="171">
        <f t="shared" si="23"/>
        <v>2008</v>
      </c>
      <c r="AG480" s="171">
        <f t="shared" si="24"/>
        <v>0</v>
      </c>
      <c r="AH480" s="700">
        <f>SUMIF(D$3:$AA480,"&lt;="&amp;$AH$1)/COUNTIF(D$3:$AA480,"&lt;="&amp;$AH$1)</f>
        <v>28.37577728776181</v>
      </c>
    </row>
    <row r="481" spans="2:34" x14ac:dyDescent="0.25">
      <c r="B481" s="910">
        <v>39499</v>
      </c>
      <c r="C481" s="581">
        <f t="shared" si="22"/>
        <v>2</v>
      </c>
      <c r="D481" s="171">
        <v>51.96</v>
      </c>
      <c r="E481" s="171">
        <v>55.910000000000004</v>
      </c>
      <c r="F481" s="171">
        <v>52.67</v>
      </c>
      <c r="G481" s="171">
        <v>47.93</v>
      </c>
      <c r="H481" s="171">
        <v>45.84</v>
      </c>
      <c r="I481" s="171">
        <v>50.75</v>
      </c>
      <c r="J481" s="171">
        <v>57.6</v>
      </c>
      <c r="K481" s="171">
        <v>75.25</v>
      </c>
      <c r="L481" s="171">
        <v>77.97</v>
      </c>
      <c r="M481" s="171">
        <v>83.04</v>
      </c>
      <c r="N481" s="171">
        <v>79</v>
      </c>
      <c r="O481" s="171">
        <v>81.650000000000006</v>
      </c>
      <c r="P481" s="171">
        <v>77.63</v>
      </c>
      <c r="Q481" s="171">
        <v>75.900000000000006</v>
      </c>
      <c r="R481" s="171">
        <v>71.2</v>
      </c>
      <c r="S481" s="171">
        <v>64.7</v>
      </c>
      <c r="T481" s="171">
        <v>62</v>
      </c>
      <c r="U481" s="171">
        <v>66.03</v>
      </c>
      <c r="V481" s="171">
        <v>85.05</v>
      </c>
      <c r="W481" s="171">
        <v>79.510000000000005</v>
      </c>
      <c r="X481" s="171">
        <v>68.02</v>
      </c>
      <c r="Y481" s="171">
        <v>59</v>
      </c>
      <c r="Z481" s="171">
        <v>51</v>
      </c>
      <c r="AA481" s="171">
        <v>57.19</v>
      </c>
      <c r="AB481" s="171">
        <v>85.05</v>
      </c>
      <c r="AC481" s="171">
        <v>51</v>
      </c>
      <c r="AD481" s="171">
        <v>52.480000000000004</v>
      </c>
      <c r="AF481" s="171">
        <f t="shared" si="23"/>
        <v>2008</v>
      </c>
      <c r="AG481" s="171">
        <f t="shared" si="24"/>
        <v>0</v>
      </c>
      <c r="AH481" s="700">
        <f>SUMIF(D$3:$AA481,"&lt;="&amp;$AH$1)/COUNTIF(D$3:$AA481,"&lt;="&amp;$AH$1)</f>
        <v>28.37577728776181</v>
      </c>
    </row>
    <row r="482" spans="2:34" x14ac:dyDescent="0.25">
      <c r="B482" s="910">
        <v>39500</v>
      </c>
      <c r="C482" s="581">
        <f t="shared" si="22"/>
        <v>2</v>
      </c>
      <c r="D482" s="171">
        <v>55.120000000000005</v>
      </c>
      <c r="E482" s="171">
        <v>50</v>
      </c>
      <c r="F482" s="171">
        <v>50</v>
      </c>
      <c r="G482" s="171">
        <v>43.99</v>
      </c>
      <c r="H482" s="171">
        <v>36.08</v>
      </c>
      <c r="I482" s="171">
        <v>49.96</v>
      </c>
      <c r="J482" s="171">
        <v>58.99</v>
      </c>
      <c r="K482" s="171">
        <v>71.290000000000006</v>
      </c>
      <c r="L482" s="171">
        <v>77.070000000000007</v>
      </c>
      <c r="M482" s="171">
        <v>99.960000000000008</v>
      </c>
      <c r="N482" s="171">
        <v>80.12</v>
      </c>
      <c r="O482" s="171">
        <v>84.93</v>
      </c>
      <c r="P482" s="171">
        <v>75.930000000000007</v>
      </c>
      <c r="Q482" s="171">
        <v>73.98</v>
      </c>
      <c r="R482" s="171">
        <v>69.94</v>
      </c>
      <c r="S482" s="171">
        <v>61.980000000000004</v>
      </c>
      <c r="T482" s="171">
        <v>61.92</v>
      </c>
      <c r="U482" s="171">
        <v>56</v>
      </c>
      <c r="V482" s="171">
        <v>71.930000000000007</v>
      </c>
      <c r="W482" s="171">
        <v>73.960000000000008</v>
      </c>
      <c r="X482" s="171">
        <v>69.91</v>
      </c>
      <c r="Y482" s="171">
        <v>61.96</v>
      </c>
      <c r="Z482" s="171">
        <v>51</v>
      </c>
      <c r="AA482" s="171">
        <v>63.910000000000004</v>
      </c>
      <c r="AB482" s="171">
        <v>99.960000000000008</v>
      </c>
      <c r="AC482" s="171">
        <v>51</v>
      </c>
      <c r="AD482" s="171">
        <v>51.01</v>
      </c>
      <c r="AF482" s="171">
        <f t="shared" si="23"/>
        <v>2008</v>
      </c>
      <c r="AG482" s="171">
        <f t="shared" si="24"/>
        <v>1</v>
      </c>
      <c r="AH482" s="700">
        <f>SUMIF(D$3:$AA482,"&lt;="&amp;$AH$1)/COUNTIF(D$3:$AA482,"&lt;="&amp;$AH$1)</f>
        <v>28.377192724600359</v>
      </c>
    </row>
    <row r="483" spans="2:34" x14ac:dyDescent="0.25">
      <c r="B483" s="910">
        <v>39503</v>
      </c>
      <c r="C483" s="581">
        <f t="shared" si="22"/>
        <v>2</v>
      </c>
      <c r="D483" s="171">
        <v>42.800000000000004</v>
      </c>
      <c r="E483" s="171">
        <v>33.99</v>
      </c>
      <c r="F483" s="171">
        <v>31.990000000000002</v>
      </c>
      <c r="G483" s="171">
        <v>29.990000000000002</v>
      </c>
      <c r="H483" s="171">
        <v>30</v>
      </c>
      <c r="I483" s="171">
        <v>33.68</v>
      </c>
      <c r="J483" s="171">
        <v>56.17</v>
      </c>
      <c r="K483" s="171">
        <v>69.91</v>
      </c>
      <c r="L483" s="171">
        <v>73.710000000000008</v>
      </c>
      <c r="M483" s="171">
        <v>76.2</v>
      </c>
      <c r="N483" s="171">
        <v>76.350000000000009</v>
      </c>
      <c r="O483" s="171">
        <v>77.45</v>
      </c>
      <c r="P483" s="171">
        <v>77.41</v>
      </c>
      <c r="Q483" s="171">
        <v>73</v>
      </c>
      <c r="R483" s="171">
        <v>72.460000000000008</v>
      </c>
      <c r="S483" s="171">
        <v>63.71</v>
      </c>
      <c r="T483" s="171">
        <v>62.480000000000004</v>
      </c>
      <c r="U483" s="171">
        <v>63.81</v>
      </c>
      <c r="V483" s="171">
        <v>80.010000000000005</v>
      </c>
      <c r="W483" s="171">
        <v>79.960000000000008</v>
      </c>
      <c r="X483" s="171">
        <v>73.72</v>
      </c>
      <c r="Y483" s="171">
        <v>60</v>
      </c>
      <c r="Z483" s="171">
        <v>55.230000000000004</v>
      </c>
      <c r="AA483" s="171">
        <v>55.230000000000004</v>
      </c>
      <c r="AB483" s="171">
        <v>80.010000000000005</v>
      </c>
      <c r="AC483" s="171">
        <v>55.230000000000004</v>
      </c>
      <c r="AD483" s="171">
        <v>39.230000000000004</v>
      </c>
      <c r="AF483" s="171">
        <f t="shared" si="23"/>
        <v>2008</v>
      </c>
      <c r="AG483" s="171">
        <f t="shared" si="24"/>
        <v>5</v>
      </c>
      <c r="AH483" s="700">
        <f>SUMIF(D$3:$AA483,"&lt;="&amp;$AH$1)/COUNTIF(D$3:$AA483,"&lt;="&amp;$AH$1)</f>
        <v>28.380453377386146</v>
      </c>
    </row>
    <row r="484" spans="2:34" x14ac:dyDescent="0.25">
      <c r="B484" s="910">
        <v>39504</v>
      </c>
      <c r="C484" s="581">
        <f t="shared" si="22"/>
        <v>2</v>
      </c>
      <c r="D484" s="171">
        <v>50</v>
      </c>
      <c r="E484" s="171">
        <v>47.95</v>
      </c>
      <c r="F484" s="171">
        <v>44.93</v>
      </c>
      <c r="G484" s="171">
        <v>36.29</v>
      </c>
      <c r="H484" s="171">
        <v>36</v>
      </c>
      <c r="I484" s="171">
        <v>49.26</v>
      </c>
      <c r="J484" s="171">
        <v>53.93</v>
      </c>
      <c r="K484" s="171">
        <v>67.930000000000007</v>
      </c>
      <c r="L484" s="171">
        <v>70.2</v>
      </c>
      <c r="M484" s="171">
        <v>93</v>
      </c>
      <c r="N484" s="171">
        <v>99.960000000000008</v>
      </c>
      <c r="O484" s="171">
        <v>100</v>
      </c>
      <c r="P484" s="171">
        <v>71.19</v>
      </c>
      <c r="Q484" s="171">
        <v>73.91</v>
      </c>
      <c r="R484" s="171">
        <v>71.19</v>
      </c>
      <c r="S484" s="171">
        <v>64.099999999999994</v>
      </c>
      <c r="T484" s="171">
        <v>59.97</v>
      </c>
      <c r="U484" s="171">
        <v>62</v>
      </c>
      <c r="V484" s="171">
        <v>74</v>
      </c>
      <c r="W484" s="171">
        <v>77.930000000000007</v>
      </c>
      <c r="X484" s="171">
        <v>67.92</v>
      </c>
      <c r="Y484" s="171">
        <v>55.97</v>
      </c>
      <c r="Z484" s="171">
        <v>52.84</v>
      </c>
      <c r="AA484" s="171">
        <v>57.95</v>
      </c>
      <c r="AB484" s="171">
        <v>100</v>
      </c>
      <c r="AC484" s="171">
        <v>52.84</v>
      </c>
      <c r="AD484" s="171">
        <v>47.04</v>
      </c>
      <c r="AF484" s="171">
        <f t="shared" si="23"/>
        <v>2008</v>
      </c>
      <c r="AG484" s="171">
        <f t="shared" si="24"/>
        <v>2</v>
      </c>
      <c r="AH484" s="700">
        <f>SUMIF(D$3:$AA484,"&lt;="&amp;$AH$1)/COUNTIF(D$3:$AA484,"&lt;="&amp;$AH$1)</f>
        <v>28.383302752293531</v>
      </c>
    </row>
    <row r="485" spans="2:34" x14ac:dyDescent="0.25">
      <c r="B485" s="910">
        <v>39505</v>
      </c>
      <c r="C485" s="581">
        <f t="shared" si="22"/>
        <v>2</v>
      </c>
      <c r="D485" s="171">
        <v>51.92</v>
      </c>
      <c r="E485" s="171">
        <v>49.93</v>
      </c>
      <c r="F485" s="171">
        <v>43.99</v>
      </c>
      <c r="G485" s="171">
        <v>23.18</v>
      </c>
      <c r="H485" s="171">
        <v>21.97</v>
      </c>
      <c r="I485" s="171">
        <v>44.99</v>
      </c>
      <c r="J485" s="171">
        <v>53.93</v>
      </c>
      <c r="K485" s="171">
        <v>65.95</v>
      </c>
      <c r="L485" s="171">
        <v>71.2</v>
      </c>
      <c r="M485" s="171">
        <v>90</v>
      </c>
      <c r="N485" s="171">
        <v>80.31</v>
      </c>
      <c r="O485" s="171">
        <v>80</v>
      </c>
      <c r="P485" s="171">
        <v>73.98</v>
      </c>
      <c r="Q485" s="171">
        <v>70.100000000000009</v>
      </c>
      <c r="R485" s="171">
        <v>65.94</v>
      </c>
      <c r="S485" s="171">
        <v>61.99</v>
      </c>
      <c r="T485" s="171">
        <v>61.1</v>
      </c>
      <c r="U485" s="171">
        <v>61.92</v>
      </c>
      <c r="V485" s="171">
        <v>75.92</v>
      </c>
      <c r="W485" s="171">
        <v>81.5</v>
      </c>
      <c r="X485" s="171">
        <v>73.97</v>
      </c>
      <c r="Y485" s="171">
        <v>57.980000000000004</v>
      </c>
      <c r="Z485" s="171">
        <v>60</v>
      </c>
      <c r="AA485" s="171">
        <v>61.95</v>
      </c>
      <c r="AB485" s="171">
        <v>90</v>
      </c>
      <c r="AC485" s="171">
        <v>60</v>
      </c>
      <c r="AD485" s="171">
        <v>43.980000000000004</v>
      </c>
      <c r="AF485" s="171">
        <f t="shared" si="23"/>
        <v>2008</v>
      </c>
      <c r="AG485" s="171">
        <f t="shared" si="24"/>
        <v>2</v>
      </c>
      <c r="AH485" s="700">
        <f>SUMIF(D$3:$AA485,"&lt;="&amp;$AH$1)/COUNTIF(D$3:$AA485,"&lt;="&amp;$AH$1)</f>
        <v>28.381172046955196</v>
      </c>
    </row>
    <row r="486" spans="2:34" x14ac:dyDescent="0.25">
      <c r="B486" s="910">
        <v>39506</v>
      </c>
      <c r="C486" s="581">
        <f t="shared" si="22"/>
        <v>2</v>
      </c>
      <c r="D486" s="171">
        <v>59.92</v>
      </c>
      <c r="E486" s="171">
        <v>55.97</v>
      </c>
      <c r="F486" s="171">
        <v>53.5</v>
      </c>
      <c r="G486" s="171">
        <v>46.69</v>
      </c>
      <c r="H486" s="171">
        <v>39.99</v>
      </c>
      <c r="I486" s="171">
        <v>50</v>
      </c>
      <c r="J486" s="171">
        <v>61.97</v>
      </c>
      <c r="K486" s="171">
        <v>77.92</v>
      </c>
      <c r="L486" s="171">
        <v>79.960000000000008</v>
      </c>
      <c r="M486" s="171">
        <v>83</v>
      </c>
      <c r="N486" s="171">
        <v>82.59</v>
      </c>
      <c r="O486" s="171">
        <v>89.3</v>
      </c>
      <c r="P486" s="171">
        <v>80</v>
      </c>
      <c r="Q486" s="171">
        <v>80.790000000000006</v>
      </c>
      <c r="R486" s="171">
        <v>77</v>
      </c>
      <c r="S486" s="171">
        <v>71.91</v>
      </c>
      <c r="T486" s="171">
        <v>69.95</v>
      </c>
      <c r="U486" s="171">
        <v>72</v>
      </c>
      <c r="V486" s="171">
        <v>89.3</v>
      </c>
      <c r="W486" s="171">
        <v>86.68</v>
      </c>
      <c r="X486" s="171">
        <v>77.61</v>
      </c>
      <c r="Y486" s="171">
        <v>63.01</v>
      </c>
      <c r="Z486" s="171">
        <v>63.96</v>
      </c>
      <c r="AA486" s="171">
        <v>59.92</v>
      </c>
      <c r="AB486" s="171">
        <v>89.3</v>
      </c>
      <c r="AC486" s="171">
        <v>63.01</v>
      </c>
      <c r="AD486" s="171">
        <v>53.49</v>
      </c>
      <c r="AF486" s="171">
        <f t="shared" si="23"/>
        <v>2008</v>
      </c>
      <c r="AG486" s="171">
        <f t="shared" si="24"/>
        <v>1</v>
      </c>
      <c r="AH486" s="700">
        <f>SUMIF(D$3:$AA486,"&lt;="&amp;$AH$1)/COUNTIF(D$3:$AA486,"&lt;="&amp;$AH$1)</f>
        <v>28.383300935264941</v>
      </c>
    </row>
    <row r="487" spans="2:34" x14ac:dyDescent="0.25">
      <c r="B487" s="910">
        <v>39507</v>
      </c>
      <c r="C487" s="581">
        <f t="shared" si="22"/>
        <v>2</v>
      </c>
      <c r="D487" s="171">
        <v>54.730000000000004</v>
      </c>
      <c r="E487" s="171">
        <v>49.97</v>
      </c>
      <c r="F487" s="171">
        <v>47.910000000000004</v>
      </c>
      <c r="G487" s="171">
        <v>39.97</v>
      </c>
      <c r="H487" s="171">
        <v>41.050000000000004</v>
      </c>
      <c r="I487" s="171">
        <v>50</v>
      </c>
      <c r="J487" s="171">
        <v>61.01</v>
      </c>
      <c r="K487" s="171">
        <v>80</v>
      </c>
      <c r="L487" s="171">
        <v>82</v>
      </c>
      <c r="M487" s="171">
        <v>94</v>
      </c>
      <c r="N487" s="171">
        <v>90</v>
      </c>
      <c r="O487" s="171">
        <v>86.78</v>
      </c>
      <c r="P487" s="171">
        <v>75.989999999999995</v>
      </c>
      <c r="Q487" s="171">
        <v>73.989999999999995</v>
      </c>
      <c r="R487" s="171">
        <v>67.930000000000007</v>
      </c>
      <c r="S487" s="171">
        <v>63.97</v>
      </c>
      <c r="T487" s="171">
        <v>59.94</v>
      </c>
      <c r="U487" s="171">
        <v>55.92</v>
      </c>
      <c r="V487" s="171">
        <v>68.88</v>
      </c>
      <c r="W487" s="171">
        <v>74.239999999999995</v>
      </c>
      <c r="X487" s="171">
        <v>62.4</v>
      </c>
      <c r="Y487" s="171">
        <v>49</v>
      </c>
      <c r="Z487" s="171">
        <v>49.93</v>
      </c>
      <c r="AA487" s="171">
        <v>47.1</v>
      </c>
      <c r="AB487" s="171">
        <v>94</v>
      </c>
      <c r="AC487" s="171">
        <v>49</v>
      </c>
      <c r="AD487" s="171">
        <v>48.97</v>
      </c>
      <c r="AF487" s="171">
        <f t="shared" si="23"/>
        <v>2008</v>
      </c>
      <c r="AG487" s="171">
        <f t="shared" si="24"/>
        <v>2</v>
      </c>
      <c r="AH487" s="700">
        <f>SUMIF(D$3:$AA487,"&lt;="&amp;$AH$1)/COUNTIF(D$3:$AA487,"&lt;="&amp;$AH$1)</f>
        <v>28.387747021081523</v>
      </c>
    </row>
    <row r="488" spans="2:34" x14ac:dyDescent="0.25">
      <c r="B488" s="910">
        <v>39510</v>
      </c>
      <c r="C488" s="581">
        <f t="shared" si="22"/>
        <v>3</v>
      </c>
      <c r="D488" s="171">
        <v>49.88</v>
      </c>
      <c r="E488" s="171">
        <v>33</v>
      </c>
      <c r="F488" s="171">
        <v>29.93</v>
      </c>
      <c r="G488" s="171">
        <v>28.37</v>
      </c>
      <c r="H488" s="171">
        <v>22.01</v>
      </c>
      <c r="I488" s="171">
        <v>34</v>
      </c>
      <c r="J488" s="171">
        <v>55</v>
      </c>
      <c r="K488" s="171">
        <v>75.92</v>
      </c>
      <c r="L488" s="171">
        <v>78.39</v>
      </c>
      <c r="M488" s="171">
        <v>78.489999999999995</v>
      </c>
      <c r="N488" s="171">
        <v>78.78</v>
      </c>
      <c r="O488" s="171">
        <v>77.989999999999995</v>
      </c>
      <c r="P488" s="171">
        <v>75</v>
      </c>
      <c r="Q488" s="171">
        <v>74.070000000000007</v>
      </c>
      <c r="R488" s="171">
        <v>74.03</v>
      </c>
      <c r="S488" s="171">
        <v>63.92</v>
      </c>
      <c r="T488" s="171">
        <v>64</v>
      </c>
      <c r="U488" s="171">
        <v>65</v>
      </c>
      <c r="V488" s="171">
        <v>83.03</v>
      </c>
      <c r="W488" s="171">
        <v>92.93</v>
      </c>
      <c r="X488" s="171">
        <v>112.19</v>
      </c>
      <c r="Y488" s="171">
        <v>85</v>
      </c>
      <c r="Z488" s="171">
        <v>77.960000000000008</v>
      </c>
      <c r="AA488" s="171">
        <v>71.27</v>
      </c>
      <c r="AB488" s="171">
        <v>112.19</v>
      </c>
      <c r="AC488" s="171">
        <v>63.92</v>
      </c>
      <c r="AD488" s="171">
        <v>40.43</v>
      </c>
      <c r="AF488" s="171">
        <f t="shared" si="23"/>
        <v>2008</v>
      </c>
      <c r="AG488" s="171">
        <f t="shared" si="24"/>
        <v>5</v>
      </c>
      <c r="AH488" s="700">
        <f>SUMIF(D$3:$AA488,"&lt;="&amp;$AH$1)/COUNTIF(D$3:$AA488,"&lt;="&amp;$AH$1)</f>
        <v>28.388730769230715</v>
      </c>
    </row>
    <row r="489" spans="2:34" x14ac:dyDescent="0.25">
      <c r="B489" s="910">
        <v>39511</v>
      </c>
      <c r="C489" s="581">
        <f t="shared" si="22"/>
        <v>3</v>
      </c>
      <c r="D489" s="171">
        <v>53</v>
      </c>
      <c r="E489" s="171">
        <v>48.11</v>
      </c>
      <c r="F489" s="171">
        <v>42.35</v>
      </c>
      <c r="G489" s="171">
        <v>38.57</v>
      </c>
      <c r="H489" s="171">
        <v>41.01</v>
      </c>
      <c r="I489" s="171">
        <v>49.26</v>
      </c>
      <c r="J489" s="171">
        <v>63.910000000000004</v>
      </c>
      <c r="K489" s="171">
        <v>79.930000000000007</v>
      </c>
      <c r="L489" s="171">
        <v>84</v>
      </c>
      <c r="M489" s="171">
        <v>84</v>
      </c>
      <c r="N489" s="171">
        <v>79.2</v>
      </c>
      <c r="O489" s="171">
        <v>79.8</v>
      </c>
      <c r="P489" s="171">
        <v>81.95</v>
      </c>
      <c r="Q489" s="171">
        <v>76.61</v>
      </c>
      <c r="R489" s="171">
        <v>73.77</v>
      </c>
      <c r="S489" s="171">
        <v>69.960000000000008</v>
      </c>
      <c r="T489" s="171">
        <v>67.86</v>
      </c>
      <c r="U489" s="171">
        <v>64.95</v>
      </c>
      <c r="V489" s="171">
        <v>83.91</v>
      </c>
      <c r="W489" s="171">
        <v>89</v>
      </c>
      <c r="X489" s="171">
        <v>73.989999999999995</v>
      </c>
      <c r="Y489" s="171">
        <v>60.72</v>
      </c>
      <c r="Z489" s="171">
        <v>57</v>
      </c>
      <c r="AA489" s="171">
        <v>55.97</v>
      </c>
      <c r="AB489" s="171">
        <v>89</v>
      </c>
      <c r="AC489" s="171">
        <v>57</v>
      </c>
      <c r="AD489" s="171">
        <v>49.02</v>
      </c>
      <c r="AF489" s="171">
        <f t="shared" si="23"/>
        <v>2008</v>
      </c>
      <c r="AG489" s="171">
        <f t="shared" si="24"/>
        <v>3</v>
      </c>
      <c r="AH489" s="700">
        <f>SUMIF(D$3:$AA489,"&lt;="&amp;$AH$1)/COUNTIF(D$3:$AA489,"&lt;="&amp;$AH$1)</f>
        <v>28.395460369760155</v>
      </c>
    </row>
    <row r="490" spans="2:34" x14ac:dyDescent="0.25">
      <c r="B490" s="910">
        <v>39512</v>
      </c>
      <c r="C490" s="581">
        <f t="shared" si="22"/>
        <v>3</v>
      </c>
      <c r="D490" s="171">
        <v>59.95</v>
      </c>
      <c r="E490" s="171">
        <v>50</v>
      </c>
      <c r="F490" s="171">
        <v>49.93</v>
      </c>
      <c r="G490" s="171">
        <v>43.85</v>
      </c>
      <c r="H490" s="171">
        <v>42.86</v>
      </c>
      <c r="I490" s="171">
        <v>55</v>
      </c>
      <c r="J490" s="171">
        <v>64.86</v>
      </c>
      <c r="K490" s="171">
        <v>81.25</v>
      </c>
      <c r="L490" s="171">
        <v>81</v>
      </c>
      <c r="M490" s="171">
        <v>83.58</v>
      </c>
      <c r="N490" s="171">
        <v>84.960000000000008</v>
      </c>
      <c r="O490" s="171">
        <v>86.320000000000007</v>
      </c>
      <c r="P490" s="171">
        <v>82.78</v>
      </c>
      <c r="Q490" s="171">
        <v>80</v>
      </c>
      <c r="R490" s="171">
        <v>77</v>
      </c>
      <c r="S490" s="171">
        <v>71.11</v>
      </c>
      <c r="T490" s="171">
        <v>67.989999999999995</v>
      </c>
      <c r="U490" s="171">
        <v>69</v>
      </c>
      <c r="V490" s="171">
        <v>84.460000000000008</v>
      </c>
      <c r="W490" s="171">
        <v>87</v>
      </c>
      <c r="X490" s="171">
        <v>79</v>
      </c>
      <c r="Y490" s="171">
        <v>64.960000000000008</v>
      </c>
      <c r="Z490" s="171">
        <v>55</v>
      </c>
      <c r="AA490" s="171">
        <v>61.19</v>
      </c>
      <c r="AB490" s="171">
        <v>87</v>
      </c>
      <c r="AC490" s="171">
        <v>55</v>
      </c>
      <c r="AD490" s="171">
        <v>53.46</v>
      </c>
      <c r="AF490" s="171">
        <f t="shared" si="23"/>
        <v>2008</v>
      </c>
      <c r="AG490" s="171">
        <f t="shared" si="24"/>
        <v>0</v>
      </c>
      <c r="AH490" s="700">
        <f>SUMIF(D$3:$AA490,"&lt;="&amp;$AH$1)/COUNTIF(D$3:$AA490,"&lt;="&amp;$AH$1)</f>
        <v>28.395460369760155</v>
      </c>
    </row>
    <row r="491" spans="2:34" x14ac:dyDescent="0.25">
      <c r="B491" s="910">
        <v>39513</v>
      </c>
      <c r="C491" s="581">
        <f t="shared" si="22"/>
        <v>3</v>
      </c>
      <c r="D491" s="171">
        <v>47</v>
      </c>
      <c r="E491" s="171">
        <v>46</v>
      </c>
      <c r="F491" s="171">
        <v>46</v>
      </c>
      <c r="G491" s="171">
        <v>46</v>
      </c>
      <c r="H491" s="171">
        <v>46</v>
      </c>
      <c r="I491" s="171">
        <v>46.42</v>
      </c>
      <c r="J491" s="171">
        <v>52.69</v>
      </c>
      <c r="K491" s="171">
        <v>67.180000000000007</v>
      </c>
      <c r="L491" s="171">
        <v>70.56</v>
      </c>
      <c r="M491" s="171">
        <v>99.93</v>
      </c>
      <c r="N491" s="171">
        <v>92</v>
      </c>
      <c r="O491" s="171">
        <v>90</v>
      </c>
      <c r="P491" s="171">
        <v>74.930000000000007</v>
      </c>
      <c r="Q491" s="171">
        <v>79.960000000000008</v>
      </c>
      <c r="R491" s="171">
        <v>73.03</v>
      </c>
      <c r="S491" s="171">
        <v>66.81</v>
      </c>
      <c r="T491" s="171">
        <v>65.44</v>
      </c>
      <c r="U491" s="171">
        <v>64.11</v>
      </c>
      <c r="V491" s="171">
        <v>77.210000000000008</v>
      </c>
      <c r="W491" s="171">
        <v>86</v>
      </c>
      <c r="X491" s="171">
        <v>67.77</v>
      </c>
      <c r="Y491" s="171">
        <v>54.58</v>
      </c>
      <c r="Z491" s="171">
        <v>52.300000000000004</v>
      </c>
      <c r="AA491" s="171">
        <v>51</v>
      </c>
      <c r="AB491" s="171">
        <v>99.93</v>
      </c>
      <c r="AC491" s="171">
        <v>52.300000000000004</v>
      </c>
      <c r="AD491" s="171">
        <v>47.64</v>
      </c>
      <c r="AF491" s="171">
        <f t="shared" si="23"/>
        <v>2008</v>
      </c>
      <c r="AG491" s="171">
        <f t="shared" si="24"/>
        <v>0</v>
      </c>
      <c r="AH491" s="700">
        <f>SUMIF(D$3:$AA491,"&lt;="&amp;$AH$1)/COUNTIF(D$3:$AA491,"&lt;="&amp;$AH$1)</f>
        <v>28.395460369760155</v>
      </c>
    </row>
    <row r="492" spans="2:34" x14ac:dyDescent="0.25">
      <c r="B492" s="910">
        <v>39514</v>
      </c>
      <c r="C492" s="581">
        <f t="shared" si="22"/>
        <v>3</v>
      </c>
      <c r="D492" s="171">
        <v>56.1</v>
      </c>
      <c r="E492" s="171">
        <v>51</v>
      </c>
      <c r="F492" s="171">
        <v>48.5</v>
      </c>
      <c r="G492" s="171">
        <v>43.980000000000004</v>
      </c>
      <c r="H492" s="171">
        <v>43.1</v>
      </c>
      <c r="I492" s="171">
        <v>52</v>
      </c>
      <c r="J492" s="171">
        <v>60</v>
      </c>
      <c r="K492" s="171">
        <v>74</v>
      </c>
      <c r="L492" s="171">
        <v>77.91</v>
      </c>
      <c r="M492" s="171">
        <v>81.5</v>
      </c>
      <c r="N492" s="171">
        <v>80.430000000000007</v>
      </c>
      <c r="O492" s="171">
        <v>81</v>
      </c>
      <c r="P492" s="171">
        <v>77.460000000000008</v>
      </c>
      <c r="Q492" s="171">
        <v>74.070000000000007</v>
      </c>
      <c r="R492" s="171">
        <v>70.100000000000009</v>
      </c>
      <c r="S492" s="171">
        <v>65.070000000000007</v>
      </c>
      <c r="T492" s="171">
        <v>63.910000000000004</v>
      </c>
      <c r="U492" s="171">
        <v>66</v>
      </c>
      <c r="V492" s="171">
        <v>78.94</v>
      </c>
      <c r="W492" s="171">
        <v>82</v>
      </c>
      <c r="X492" s="171">
        <v>75.94</v>
      </c>
      <c r="Y492" s="171">
        <v>59.93</v>
      </c>
      <c r="Z492" s="171">
        <v>55</v>
      </c>
      <c r="AA492" s="171">
        <v>55</v>
      </c>
      <c r="AB492" s="171">
        <v>82</v>
      </c>
      <c r="AC492" s="171">
        <v>55</v>
      </c>
      <c r="AD492" s="171">
        <v>51.21</v>
      </c>
      <c r="AF492" s="171">
        <f t="shared" si="23"/>
        <v>2008</v>
      </c>
      <c r="AG492" s="171">
        <f t="shared" si="24"/>
        <v>0</v>
      </c>
      <c r="AH492" s="700">
        <f>SUMIF(D$3:$AA492,"&lt;="&amp;$AH$1)/COUNTIF(D$3:$AA492,"&lt;="&amp;$AH$1)</f>
        <v>28.395460369760155</v>
      </c>
    </row>
    <row r="493" spans="2:34" x14ac:dyDescent="0.25">
      <c r="B493" s="910">
        <v>39517</v>
      </c>
      <c r="C493" s="581">
        <f t="shared" si="22"/>
        <v>3</v>
      </c>
      <c r="D493" s="171">
        <v>46</v>
      </c>
      <c r="E493" s="171">
        <v>41.5</v>
      </c>
      <c r="F493" s="171">
        <v>33</v>
      </c>
      <c r="G493" s="171">
        <v>31.48</v>
      </c>
      <c r="H493" s="171">
        <v>33</v>
      </c>
      <c r="I493" s="171">
        <v>44.96</v>
      </c>
      <c r="J493" s="171">
        <v>54.59</v>
      </c>
      <c r="K493" s="171">
        <v>63</v>
      </c>
      <c r="L493" s="171">
        <v>82.97</v>
      </c>
      <c r="M493" s="171">
        <v>89.94</v>
      </c>
      <c r="N493" s="171">
        <v>83.01</v>
      </c>
      <c r="O493" s="171">
        <v>83.01</v>
      </c>
      <c r="P493" s="171">
        <v>81.91</v>
      </c>
      <c r="Q493" s="171">
        <v>81.92</v>
      </c>
      <c r="R493" s="171">
        <v>81.93</v>
      </c>
      <c r="S493" s="171">
        <v>81.95</v>
      </c>
      <c r="T493" s="171">
        <v>70</v>
      </c>
      <c r="U493" s="171">
        <v>63.980000000000004</v>
      </c>
      <c r="V493" s="171">
        <v>79.97</v>
      </c>
      <c r="W493" s="171">
        <v>87.94</v>
      </c>
      <c r="X493" s="171">
        <v>80</v>
      </c>
      <c r="Y493" s="171">
        <v>51.120000000000005</v>
      </c>
      <c r="Z493" s="171">
        <v>45.6</v>
      </c>
      <c r="AA493" s="171">
        <v>44.93</v>
      </c>
      <c r="AB493" s="171">
        <v>89.94</v>
      </c>
      <c r="AC493" s="171">
        <v>45.6</v>
      </c>
      <c r="AD493" s="171">
        <v>41.18</v>
      </c>
      <c r="AF493" s="171">
        <f t="shared" si="23"/>
        <v>2008</v>
      </c>
      <c r="AG493" s="171">
        <f t="shared" si="24"/>
        <v>4</v>
      </c>
      <c r="AH493" s="700">
        <f>SUMIF(D$3:$AA493,"&lt;="&amp;$AH$1)/COUNTIF(D$3:$AA493,"&lt;="&amp;$AH$1)</f>
        <v>28.40010609109196</v>
      </c>
    </row>
    <row r="494" spans="2:34" x14ac:dyDescent="0.25">
      <c r="B494" s="910">
        <v>39518</v>
      </c>
      <c r="C494" s="581">
        <f t="shared" si="22"/>
        <v>3</v>
      </c>
      <c r="D494" s="171">
        <v>49</v>
      </c>
      <c r="E494" s="171">
        <v>49</v>
      </c>
      <c r="F494" s="171">
        <v>48.1</v>
      </c>
      <c r="G494" s="171">
        <v>32.630000000000003</v>
      </c>
      <c r="H494" s="171">
        <v>31.970000000000002</v>
      </c>
      <c r="I494" s="171">
        <v>53.910000000000004</v>
      </c>
      <c r="J494" s="171">
        <v>59.94</v>
      </c>
      <c r="K494" s="171">
        <v>74.710000000000008</v>
      </c>
      <c r="L494" s="171">
        <v>84.92</v>
      </c>
      <c r="M494" s="171">
        <v>78</v>
      </c>
      <c r="N494" s="171">
        <v>82</v>
      </c>
      <c r="O494" s="171">
        <v>82.97</v>
      </c>
      <c r="P494" s="171">
        <v>84</v>
      </c>
      <c r="Q494" s="171">
        <v>83.99</v>
      </c>
      <c r="R494" s="171">
        <v>81.900000000000006</v>
      </c>
      <c r="S494" s="171">
        <v>67.08</v>
      </c>
      <c r="T494" s="171">
        <v>65.06</v>
      </c>
      <c r="U494" s="171">
        <v>64.09</v>
      </c>
      <c r="V494" s="171">
        <v>77.460000000000008</v>
      </c>
      <c r="W494" s="171">
        <v>84</v>
      </c>
      <c r="X494" s="171">
        <v>69</v>
      </c>
      <c r="Y494" s="171">
        <v>59.95</v>
      </c>
      <c r="Z494" s="171">
        <v>53.82</v>
      </c>
      <c r="AA494" s="171">
        <v>57.980000000000004</v>
      </c>
      <c r="AB494" s="171">
        <v>84.92</v>
      </c>
      <c r="AC494" s="171">
        <v>53.82</v>
      </c>
      <c r="AD494" s="171">
        <v>47.82</v>
      </c>
      <c r="AF494" s="171">
        <f t="shared" si="23"/>
        <v>2008</v>
      </c>
      <c r="AG494" s="171">
        <f t="shared" si="24"/>
        <v>2</v>
      </c>
      <c r="AH494" s="700">
        <f>SUMIF(D$3:$AA494,"&lt;="&amp;$AH$1)/COUNTIF(D$3:$AA494,"&lt;="&amp;$AH$1)</f>
        <v>28.401532272810339</v>
      </c>
    </row>
    <row r="495" spans="2:34" x14ac:dyDescent="0.25">
      <c r="B495" s="910">
        <v>39519</v>
      </c>
      <c r="C495" s="581">
        <f t="shared" si="22"/>
        <v>3</v>
      </c>
      <c r="D495" s="171">
        <v>51.96</v>
      </c>
      <c r="E495" s="171">
        <v>49.81</v>
      </c>
      <c r="F495" s="171">
        <v>45.980000000000004</v>
      </c>
      <c r="G495" s="171">
        <v>29.97</v>
      </c>
      <c r="H495" s="171">
        <v>29.91</v>
      </c>
      <c r="I495" s="171">
        <v>45.910000000000004</v>
      </c>
      <c r="J495" s="171">
        <v>50.13</v>
      </c>
      <c r="K495" s="171">
        <v>61.980000000000004</v>
      </c>
      <c r="L495" s="171">
        <v>71.989999999999995</v>
      </c>
      <c r="M495" s="171">
        <v>93</v>
      </c>
      <c r="N495" s="171">
        <v>99.960000000000008</v>
      </c>
      <c r="O495" s="171">
        <v>80</v>
      </c>
      <c r="P495" s="171">
        <v>73.989999999999995</v>
      </c>
      <c r="Q495" s="171">
        <v>100</v>
      </c>
      <c r="R495" s="171">
        <v>99.990000000000009</v>
      </c>
      <c r="S495" s="171">
        <v>76.900000000000006</v>
      </c>
      <c r="T495" s="171">
        <v>63.910000000000004</v>
      </c>
      <c r="U495" s="171">
        <v>61.940000000000005</v>
      </c>
      <c r="V495" s="171">
        <v>71.97</v>
      </c>
      <c r="W495" s="171">
        <v>87.960000000000008</v>
      </c>
      <c r="X495" s="171">
        <v>82.99</v>
      </c>
      <c r="Y495" s="171">
        <v>63.940000000000005</v>
      </c>
      <c r="Z495" s="171">
        <v>50</v>
      </c>
      <c r="AA495" s="171">
        <v>66</v>
      </c>
      <c r="AB495" s="171">
        <v>100</v>
      </c>
      <c r="AC495" s="171">
        <v>50</v>
      </c>
      <c r="AD495" s="171">
        <v>46.21</v>
      </c>
      <c r="AF495" s="171">
        <f t="shared" si="23"/>
        <v>2008</v>
      </c>
      <c r="AG495" s="171">
        <f t="shared" si="24"/>
        <v>2</v>
      </c>
      <c r="AH495" s="700">
        <f>SUMIF(D$3:$AA495,"&lt;="&amp;$AH$1)/COUNTIF(D$3:$AA495,"&lt;="&amp;$AH$1)</f>
        <v>28.402094681045469</v>
      </c>
    </row>
    <row r="496" spans="2:34" x14ac:dyDescent="0.25">
      <c r="B496" s="910">
        <v>39520</v>
      </c>
      <c r="C496" s="581">
        <f t="shared" si="22"/>
        <v>3</v>
      </c>
      <c r="D496" s="171">
        <v>54.47</v>
      </c>
      <c r="E496" s="171">
        <v>49.93</v>
      </c>
      <c r="F496" s="171">
        <v>42.49</v>
      </c>
      <c r="G496" s="171">
        <v>31.98</v>
      </c>
      <c r="H496" s="171">
        <v>24.93</v>
      </c>
      <c r="I496" s="171">
        <v>48.11</v>
      </c>
      <c r="J496" s="171">
        <v>64.930000000000007</v>
      </c>
      <c r="K496" s="171">
        <v>79.94</v>
      </c>
      <c r="L496" s="171">
        <v>73.14</v>
      </c>
      <c r="M496" s="171">
        <v>77.760000000000005</v>
      </c>
      <c r="N496" s="171">
        <v>77.95</v>
      </c>
      <c r="O496" s="171">
        <v>125</v>
      </c>
      <c r="P496" s="171">
        <v>82.97</v>
      </c>
      <c r="Q496" s="171">
        <v>100</v>
      </c>
      <c r="R496" s="171">
        <v>82.97</v>
      </c>
      <c r="S496" s="171">
        <v>70.850000000000009</v>
      </c>
      <c r="T496" s="171">
        <v>65.989999999999995</v>
      </c>
      <c r="U496" s="171">
        <v>65.53</v>
      </c>
      <c r="V496" s="171">
        <v>76.17</v>
      </c>
      <c r="W496" s="171">
        <v>93</v>
      </c>
      <c r="X496" s="171">
        <v>79.92</v>
      </c>
      <c r="Y496" s="171">
        <v>61.93</v>
      </c>
      <c r="Z496" s="171">
        <v>60.44</v>
      </c>
      <c r="AA496" s="171">
        <v>57.92</v>
      </c>
      <c r="AB496" s="171">
        <v>125</v>
      </c>
      <c r="AC496" s="171">
        <v>60.44</v>
      </c>
      <c r="AD496" s="171">
        <v>46.85</v>
      </c>
      <c r="AF496" s="171">
        <f t="shared" si="23"/>
        <v>2008</v>
      </c>
      <c r="AG496" s="171">
        <f t="shared" si="24"/>
        <v>3</v>
      </c>
      <c r="AH496" s="700">
        <f>SUMIF(D$3:$AA496,"&lt;="&amp;$AH$1)/COUNTIF(D$3:$AA496,"&lt;="&amp;$AH$1)</f>
        <v>28.404687614176058</v>
      </c>
    </row>
    <row r="497" spans="2:34" x14ac:dyDescent="0.25">
      <c r="B497" s="910">
        <v>39521</v>
      </c>
      <c r="C497" s="581">
        <f t="shared" si="22"/>
        <v>3</v>
      </c>
      <c r="D497" s="171">
        <v>52.06</v>
      </c>
      <c r="E497" s="171">
        <v>49.93</v>
      </c>
      <c r="F497" s="171">
        <v>43.93</v>
      </c>
      <c r="G497" s="171">
        <v>36.1</v>
      </c>
      <c r="H497" s="171">
        <v>36</v>
      </c>
      <c r="I497" s="171">
        <v>49.97</v>
      </c>
      <c r="J497" s="171">
        <v>56.79</v>
      </c>
      <c r="K497" s="171">
        <v>69.92</v>
      </c>
      <c r="L497" s="171">
        <v>73.94</v>
      </c>
      <c r="M497" s="171">
        <v>82.97</v>
      </c>
      <c r="N497" s="171">
        <v>76.760000000000005</v>
      </c>
      <c r="O497" s="171">
        <v>100</v>
      </c>
      <c r="P497" s="171">
        <v>93</v>
      </c>
      <c r="Q497" s="171">
        <v>99.93</v>
      </c>
      <c r="R497" s="171">
        <v>82.97</v>
      </c>
      <c r="S497" s="171">
        <v>65</v>
      </c>
      <c r="T497" s="171">
        <v>59</v>
      </c>
      <c r="U497" s="171">
        <v>58</v>
      </c>
      <c r="V497" s="171">
        <v>65.94</v>
      </c>
      <c r="W497" s="171">
        <v>75.5</v>
      </c>
      <c r="X497" s="171">
        <v>71.7</v>
      </c>
      <c r="Y497" s="171">
        <v>58.82</v>
      </c>
      <c r="Z497" s="171">
        <v>59</v>
      </c>
      <c r="AA497" s="171">
        <v>56.050000000000004</v>
      </c>
      <c r="AB497" s="171">
        <v>100</v>
      </c>
      <c r="AC497" s="171">
        <v>58</v>
      </c>
      <c r="AD497" s="171">
        <v>47.6</v>
      </c>
      <c r="AF497" s="171">
        <f t="shared" si="23"/>
        <v>2008</v>
      </c>
      <c r="AG497" s="171">
        <f t="shared" si="24"/>
        <v>2</v>
      </c>
      <c r="AH497" s="700">
        <f>SUMIF(D$3:$AA497,"&lt;="&amp;$AH$1)/COUNTIF(D$3:$AA497,"&lt;="&amp;$AH$1)</f>
        <v>28.407479912344733</v>
      </c>
    </row>
    <row r="498" spans="2:34" x14ac:dyDescent="0.25">
      <c r="B498" s="910">
        <v>39524</v>
      </c>
      <c r="C498" s="581">
        <f t="shared" si="22"/>
        <v>3</v>
      </c>
      <c r="D498" s="171">
        <v>34.64</v>
      </c>
      <c r="E498" s="171">
        <v>23.6</v>
      </c>
      <c r="F498" s="171">
        <v>23.68</v>
      </c>
      <c r="G498" s="171">
        <v>15.81</v>
      </c>
      <c r="H498" s="171">
        <v>23.900000000000002</v>
      </c>
      <c r="I498" s="171">
        <v>33.910000000000004</v>
      </c>
      <c r="J498" s="171">
        <v>48.1</v>
      </c>
      <c r="K498" s="171">
        <v>66.83</v>
      </c>
      <c r="L498" s="171">
        <v>71.75</v>
      </c>
      <c r="M498" s="171">
        <v>72.75</v>
      </c>
      <c r="N498" s="171">
        <v>73.989999999999995</v>
      </c>
      <c r="O498" s="171">
        <v>75.94</v>
      </c>
      <c r="P498" s="171">
        <v>74.960000000000008</v>
      </c>
      <c r="Q498" s="171">
        <v>72.510000000000005</v>
      </c>
      <c r="R498" s="171">
        <v>69.960000000000008</v>
      </c>
      <c r="S498" s="171">
        <v>68</v>
      </c>
      <c r="T498" s="171">
        <v>65.849999999999994</v>
      </c>
      <c r="U498" s="171">
        <v>65.900000000000006</v>
      </c>
      <c r="V498" s="171">
        <v>71.25</v>
      </c>
      <c r="W498" s="171">
        <v>87.94</v>
      </c>
      <c r="X498" s="171">
        <v>81.91</v>
      </c>
      <c r="Y498" s="171">
        <v>67.930000000000007</v>
      </c>
      <c r="Z498" s="171">
        <v>58</v>
      </c>
      <c r="AA498" s="171">
        <v>58.32</v>
      </c>
      <c r="AB498" s="171">
        <v>87.94</v>
      </c>
      <c r="AC498" s="171">
        <v>58</v>
      </c>
      <c r="AD498" s="171">
        <v>32.74</v>
      </c>
      <c r="AF498" s="171">
        <f t="shared" si="23"/>
        <v>2008</v>
      </c>
      <c r="AG498" s="171">
        <f t="shared" si="24"/>
        <v>6</v>
      </c>
      <c r="AH498" s="700">
        <f>SUMIF(D$3:$AA498,"&lt;="&amp;$AH$1)/COUNTIF(D$3:$AA498,"&lt;="&amp;$AH$1)</f>
        <v>28.404761036118163</v>
      </c>
    </row>
    <row r="499" spans="2:34" x14ac:dyDescent="0.25">
      <c r="B499" s="910">
        <v>39525</v>
      </c>
      <c r="C499" s="581">
        <f t="shared" si="22"/>
        <v>3</v>
      </c>
      <c r="D499" s="171">
        <v>49.99</v>
      </c>
      <c r="E499" s="171">
        <v>45.95</v>
      </c>
      <c r="F499" s="171">
        <v>45.910000000000004</v>
      </c>
      <c r="G499" s="171">
        <v>35.230000000000004</v>
      </c>
      <c r="H499" s="171">
        <v>33.980000000000004</v>
      </c>
      <c r="I499" s="171">
        <v>49.72</v>
      </c>
      <c r="J499" s="171">
        <v>59.95</v>
      </c>
      <c r="K499" s="171">
        <v>74.11</v>
      </c>
      <c r="L499" s="171">
        <v>76.19</v>
      </c>
      <c r="M499" s="171">
        <v>81.010000000000005</v>
      </c>
      <c r="N499" s="171">
        <v>85.51</v>
      </c>
      <c r="O499" s="171">
        <v>85.94</v>
      </c>
      <c r="P499" s="171">
        <v>85.12</v>
      </c>
      <c r="Q499" s="171">
        <v>81.97</v>
      </c>
      <c r="R499" s="171">
        <v>79.989999999999995</v>
      </c>
      <c r="S499" s="171">
        <v>70.320000000000007</v>
      </c>
      <c r="T499" s="171">
        <v>65.77</v>
      </c>
      <c r="U499" s="171">
        <v>64.400000000000006</v>
      </c>
      <c r="V499" s="171">
        <v>73.5</v>
      </c>
      <c r="W499" s="171">
        <v>90.41</v>
      </c>
      <c r="X499" s="171">
        <v>87.9</v>
      </c>
      <c r="Y499" s="171">
        <v>61</v>
      </c>
      <c r="Z499" s="171">
        <v>50</v>
      </c>
      <c r="AA499" s="171">
        <v>53.46</v>
      </c>
      <c r="AB499" s="171">
        <v>90.41</v>
      </c>
      <c r="AC499" s="171">
        <v>50</v>
      </c>
      <c r="AD499" s="171">
        <v>46.77</v>
      </c>
      <c r="AF499" s="171">
        <f t="shared" si="23"/>
        <v>2008</v>
      </c>
      <c r="AG499" s="171">
        <f t="shared" si="24"/>
        <v>2</v>
      </c>
      <c r="AH499" s="700">
        <f>SUMIF(D$3:$AA499,"&lt;="&amp;$AH$1)/COUNTIF(D$3:$AA499,"&lt;="&amp;$AH$1)</f>
        <v>28.407022246535337</v>
      </c>
    </row>
    <row r="500" spans="2:34" x14ac:dyDescent="0.25">
      <c r="B500" s="910">
        <v>39526</v>
      </c>
      <c r="C500" s="581">
        <f t="shared" si="22"/>
        <v>3</v>
      </c>
      <c r="D500" s="171">
        <v>52</v>
      </c>
      <c r="E500" s="171">
        <v>47.5</v>
      </c>
      <c r="F500" s="171">
        <v>46</v>
      </c>
      <c r="G500" s="171">
        <v>41.980000000000004</v>
      </c>
      <c r="H500" s="171">
        <v>41</v>
      </c>
      <c r="I500" s="171">
        <v>49.93</v>
      </c>
      <c r="J500" s="171">
        <v>57.1</v>
      </c>
      <c r="K500" s="171">
        <v>73.63</v>
      </c>
      <c r="L500" s="171">
        <v>81.73</v>
      </c>
      <c r="M500" s="171">
        <v>85.51</v>
      </c>
      <c r="N500" s="171">
        <v>81.3</v>
      </c>
      <c r="O500" s="171">
        <v>81.02</v>
      </c>
      <c r="P500" s="171">
        <v>77.28</v>
      </c>
      <c r="Q500" s="171">
        <v>73.44</v>
      </c>
      <c r="R500" s="171">
        <v>73.72</v>
      </c>
      <c r="S500" s="171">
        <v>68.5</v>
      </c>
      <c r="T500" s="171">
        <v>66.5</v>
      </c>
      <c r="U500" s="171">
        <v>68.08</v>
      </c>
      <c r="V500" s="171">
        <v>79.989999999999995</v>
      </c>
      <c r="W500" s="171">
        <v>96</v>
      </c>
      <c r="X500" s="171">
        <v>82.56</v>
      </c>
      <c r="Y500" s="171">
        <v>65</v>
      </c>
      <c r="Z500" s="171">
        <v>57</v>
      </c>
      <c r="AA500" s="171">
        <v>53.01</v>
      </c>
      <c r="AB500" s="171">
        <v>96</v>
      </c>
      <c r="AC500" s="171">
        <v>57</v>
      </c>
      <c r="AD500" s="171">
        <v>48.56</v>
      </c>
      <c r="AF500" s="171">
        <f t="shared" si="23"/>
        <v>2008</v>
      </c>
      <c r="AG500" s="171">
        <f t="shared" si="24"/>
        <v>2</v>
      </c>
      <c r="AH500" s="700">
        <f>SUMIF(D$3:$AA500,"&lt;="&amp;$AH$1)/COUNTIF(D$3:$AA500,"&lt;="&amp;$AH$1)</f>
        <v>28.41179183375862</v>
      </c>
    </row>
    <row r="501" spans="2:34" x14ac:dyDescent="0.25">
      <c r="B501" s="910">
        <v>39527</v>
      </c>
      <c r="C501" s="581">
        <f t="shared" si="22"/>
        <v>3</v>
      </c>
      <c r="D501" s="171">
        <v>53.5</v>
      </c>
      <c r="E501" s="171">
        <v>50</v>
      </c>
      <c r="F501" s="171">
        <v>48.01</v>
      </c>
      <c r="G501" s="171">
        <v>48</v>
      </c>
      <c r="H501" s="171">
        <v>48.7</v>
      </c>
      <c r="I501" s="171">
        <v>53.57</v>
      </c>
      <c r="J501" s="171">
        <v>58</v>
      </c>
      <c r="K501" s="171">
        <v>69</v>
      </c>
      <c r="L501" s="171">
        <v>76.960000000000008</v>
      </c>
      <c r="M501" s="171">
        <v>85.94</v>
      </c>
      <c r="N501" s="171">
        <v>83.38</v>
      </c>
      <c r="O501" s="171">
        <v>81.56</v>
      </c>
      <c r="P501" s="171">
        <v>77.98</v>
      </c>
      <c r="Q501" s="171">
        <v>83.52</v>
      </c>
      <c r="R501" s="171">
        <v>75.680000000000007</v>
      </c>
      <c r="S501" s="171">
        <v>83.02</v>
      </c>
      <c r="T501" s="171">
        <v>80.06</v>
      </c>
      <c r="U501" s="171">
        <v>78</v>
      </c>
      <c r="V501" s="171">
        <v>72.150000000000006</v>
      </c>
      <c r="W501" s="171">
        <v>109.91</v>
      </c>
      <c r="X501" s="171">
        <v>81.56</v>
      </c>
      <c r="Y501" s="171">
        <v>53.17</v>
      </c>
      <c r="Z501" s="171">
        <v>47.86</v>
      </c>
      <c r="AA501" s="171">
        <v>53.370000000000005</v>
      </c>
      <c r="AB501" s="171">
        <v>109.91</v>
      </c>
      <c r="AC501" s="171">
        <v>47.86</v>
      </c>
      <c r="AD501" s="171">
        <v>51.64</v>
      </c>
      <c r="AF501" s="171">
        <f t="shared" si="23"/>
        <v>2008</v>
      </c>
      <c r="AG501" s="171">
        <f t="shared" si="24"/>
        <v>0</v>
      </c>
      <c r="AH501" s="700">
        <f>SUMIF(D$3:$AA501,"&lt;="&amp;$AH$1)/COUNTIF(D$3:$AA501,"&lt;="&amp;$AH$1)</f>
        <v>28.41179183375862</v>
      </c>
    </row>
    <row r="502" spans="2:34" x14ac:dyDescent="0.25">
      <c r="B502" s="910">
        <v>39528</v>
      </c>
      <c r="C502" s="581">
        <f t="shared" si="22"/>
        <v>3</v>
      </c>
      <c r="D502" s="171">
        <v>44.93</v>
      </c>
      <c r="E502" s="171">
        <v>41.25</v>
      </c>
      <c r="F502" s="171">
        <v>44.96</v>
      </c>
      <c r="G502" s="171">
        <v>40</v>
      </c>
      <c r="H502" s="171">
        <v>35.92</v>
      </c>
      <c r="I502" s="171">
        <v>49.96</v>
      </c>
      <c r="J502" s="171">
        <v>46</v>
      </c>
      <c r="K502" s="171">
        <v>52.2</v>
      </c>
      <c r="L502" s="171">
        <v>77.930000000000007</v>
      </c>
      <c r="M502" s="171">
        <v>79.960000000000008</v>
      </c>
      <c r="N502" s="171">
        <v>79.94</v>
      </c>
      <c r="O502" s="171">
        <v>75.97</v>
      </c>
      <c r="P502" s="171">
        <v>73.97</v>
      </c>
      <c r="Q502" s="171">
        <v>71.91</v>
      </c>
      <c r="R502" s="171">
        <v>71.100000000000009</v>
      </c>
      <c r="S502" s="171">
        <v>64.19</v>
      </c>
      <c r="T502" s="171">
        <v>59.96</v>
      </c>
      <c r="U502" s="171">
        <v>59.910000000000004</v>
      </c>
      <c r="V502" s="171">
        <v>65</v>
      </c>
      <c r="W502" s="171">
        <v>83.76</v>
      </c>
      <c r="X502" s="171">
        <v>79.960000000000008</v>
      </c>
      <c r="Y502" s="171">
        <v>66.02</v>
      </c>
      <c r="Z502" s="171">
        <v>53</v>
      </c>
      <c r="AA502" s="171">
        <v>59.95</v>
      </c>
      <c r="AB502" s="171">
        <v>83.76</v>
      </c>
      <c r="AC502" s="171">
        <v>52.2</v>
      </c>
      <c r="AD502" s="171">
        <v>45.37</v>
      </c>
      <c r="AF502" s="171">
        <f t="shared" si="23"/>
        <v>2008</v>
      </c>
      <c r="AG502" s="171">
        <f t="shared" si="24"/>
        <v>3</v>
      </c>
      <c r="AH502" s="700">
        <f>SUMIF(D$3:$AA502,"&lt;="&amp;$AH$1)/COUNTIF(D$3:$AA502,"&lt;="&amp;$AH$1)</f>
        <v>28.41760976498448</v>
      </c>
    </row>
    <row r="503" spans="2:34" x14ac:dyDescent="0.25">
      <c r="B503" s="910">
        <v>39531</v>
      </c>
      <c r="C503" s="581">
        <f t="shared" si="22"/>
        <v>3</v>
      </c>
      <c r="D503" s="171">
        <v>63.17</v>
      </c>
      <c r="E503" s="171">
        <v>55</v>
      </c>
      <c r="F503" s="171">
        <v>54.06</v>
      </c>
      <c r="G503" s="171">
        <v>45.95</v>
      </c>
      <c r="H503" s="171">
        <v>43.910000000000004</v>
      </c>
      <c r="I503" s="171">
        <v>45.95</v>
      </c>
      <c r="J503" s="171">
        <v>30.59</v>
      </c>
      <c r="K503" s="171">
        <v>36.83</v>
      </c>
      <c r="L503" s="171">
        <v>51.34</v>
      </c>
      <c r="M503" s="171">
        <v>53.15</v>
      </c>
      <c r="N503" s="171">
        <v>58.02</v>
      </c>
      <c r="O503" s="171">
        <v>60.02</v>
      </c>
      <c r="P503" s="171">
        <v>62.09</v>
      </c>
      <c r="Q503" s="171">
        <v>54.08</v>
      </c>
      <c r="R503" s="171">
        <v>45.01</v>
      </c>
      <c r="S503" s="171">
        <v>46.06</v>
      </c>
      <c r="T503" s="171">
        <v>39</v>
      </c>
      <c r="U503" s="171">
        <v>45.97</v>
      </c>
      <c r="V503" s="171">
        <v>56.83</v>
      </c>
      <c r="W503" s="171">
        <v>70.070000000000007</v>
      </c>
      <c r="X503" s="171">
        <v>84.5</v>
      </c>
      <c r="Y503" s="171">
        <v>79.930000000000007</v>
      </c>
      <c r="Z503" s="171">
        <v>81.94</v>
      </c>
      <c r="AA503" s="171">
        <v>65</v>
      </c>
      <c r="AB503" s="171">
        <v>84.5</v>
      </c>
      <c r="AC503" s="171">
        <v>36.83</v>
      </c>
      <c r="AD503" s="171">
        <v>45.37</v>
      </c>
      <c r="AF503" s="171">
        <f t="shared" si="23"/>
        <v>2008</v>
      </c>
      <c r="AG503" s="171">
        <f t="shared" si="24"/>
        <v>3</v>
      </c>
      <c r="AH503" s="700">
        <f>SUMIF(D$3:$AA503,"&lt;="&amp;$AH$1)/COUNTIF(D$3:$AA503,"&lt;="&amp;$AH$1)</f>
        <v>28.421463947560049</v>
      </c>
    </row>
    <row r="504" spans="2:34" x14ac:dyDescent="0.25">
      <c r="B504" s="910">
        <v>39532</v>
      </c>
      <c r="C504" s="581">
        <f t="shared" si="22"/>
        <v>3</v>
      </c>
      <c r="D504" s="171">
        <v>38.93</v>
      </c>
      <c r="E504" s="171">
        <v>41.5</v>
      </c>
      <c r="F504" s="171">
        <v>31</v>
      </c>
      <c r="G504" s="171">
        <v>30</v>
      </c>
      <c r="H504" s="171">
        <v>25.490000000000002</v>
      </c>
      <c r="I504" s="171">
        <v>35</v>
      </c>
      <c r="J504" s="171">
        <v>50</v>
      </c>
      <c r="K504" s="171">
        <v>67</v>
      </c>
      <c r="L504" s="171">
        <v>80</v>
      </c>
      <c r="M504" s="171">
        <v>111</v>
      </c>
      <c r="N504" s="171">
        <v>97.95</v>
      </c>
      <c r="O504" s="171">
        <v>84.5</v>
      </c>
      <c r="P504" s="171">
        <v>84.5</v>
      </c>
      <c r="Q504" s="171">
        <v>72.600000000000009</v>
      </c>
      <c r="R504" s="171">
        <v>71.91</v>
      </c>
      <c r="S504" s="171">
        <v>70.47</v>
      </c>
      <c r="T504" s="171">
        <v>62.97</v>
      </c>
      <c r="U504" s="171">
        <v>61.46</v>
      </c>
      <c r="V504" s="171">
        <v>65.91</v>
      </c>
      <c r="W504" s="171">
        <v>83.94</v>
      </c>
      <c r="X504" s="171">
        <v>79.460000000000008</v>
      </c>
      <c r="Y504" s="171">
        <v>62.980000000000004</v>
      </c>
      <c r="Z504" s="171">
        <v>53.14</v>
      </c>
      <c r="AA504" s="171">
        <v>61.49</v>
      </c>
      <c r="AB504" s="171">
        <v>111</v>
      </c>
      <c r="AC504" s="171">
        <v>53.14</v>
      </c>
      <c r="AD504" s="171">
        <v>39.18</v>
      </c>
      <c r="AF504" s="171">
        <f t="shared" si="23"/>
        <v>2008</v>
      </c>
      <c r="AG504" s="171">
        <f t="shared" si="24"/>
        <v>6</v>
      </c>
      <c r="AH504" s="700">
        <f>SUMIF(D$3:$AA504,"&lt;="&amp;$AH$1)/COUNTIF(D$3:$AA504,"&lt;="&amp;$AH$1)</f>
        <v>28.427173517642739</v>
      </c>
    </row>
    <row r="505" spans="2:34" x14ac:dyDescent="0.25">
      <c r="B505" s="910">
        <v>39533</v>
      </c>
      <c r="C505" s="581">
        <f t="shared" si="22"/>
        <v>3</v>
      </c>
      <c r="D505" s="171">
        <v>64</v>
      </c>
      <c r="E505" s="171">
        <v>53.77</v>
      </c>
      <c r="F505" s="171">
        <v>50</v>
      </c>
      <c r="G505" s="171">
        <v>42</v>
      </c>
      <c r="H505" s="171">
        <v>43</v>
      </c>
      <c r="I505" s="171">
        <v>52</v>
      </c>
      <c r="J505" s="171">
        <v>65.010000000000005</v>
      </c>
      <c r="K505" s="171">
        <v>79</v>
      </c>
      <c r="L505" s="171">
        <v>84.51</v>
      </c>
      <c r="M505" s="171">
        <v>87.960000000000008</v>
      </c>
      <c r="N505" s="171">
        <v>80.12</v>
      </c>
      <c r="O505" s="171">
        <v>84.51</v>
      </c>
      <c r="P505" s="171">
        <v>81.99</v>
      </c>
      <c r="Q505" s="171">
        <v>85.92</v>
      </c>
      <c r="R505" s="171">
        <v>78</v>
      </c>
      <c r="S505" s="171">
        <v>71.3</v>
      </c>
      <c r="T505" s="171">
        <v>71.180000000000007</v>
      </c>
      <c r="U505" s="171">
        <v>69.400000000000006</v>
      </c>
      <c r="V505" s="171">
        <v>84.51</v>
      </c>
      <c r="W505" s="171">
        <v>105.97</v>
      </c>
      <c r="X505" s="171">
        <v>81.960000000000008</v>
      </c>
      <c r="Y505" s="171">
        <v>67.400000000000006</v>
      </c>
      <c r="Z505" s="171">
        <v>62.89</v>
      </c>
      <c r="AA505" s="171">
        <v>65.989999999999995</v>
      </c>
      <c r="AB505" s="171">
        <v>105.97</v>
      </c>
      <c r="AC505" s="171">
        <v>62.89</v>
      </c>
      <c r="AD505" s="171">
        <v>54.47</v>
      </c>
      <c r="AF505" s="171">
        <f t="shared" si="23"/>
        <v>2008</v>
      </c>
      <c r="AG505" s="171">
        <f t="shared" si="24"/>
        <v>1</v>
      </c>
      <c r="AH505" s="700">
        <f>SUMIF(D$3:$AA505,"&lt;="&amp;$AH$1)/COUNTIF(D$3:$AA505,"&lt;="&amp;$AH$1)</f>
        <v>28.429641753045967</v>
      </c>
    </row>
    <row r="506" spans="2:34" x14ac:dyDescent="0.25">
      <c r="B506" s="910">
        <v>39534</v>
      </c>
      <c r="C506" s="581">
        <f t="shared" si="22"/>
        <v>3</v>
      </c>
      <c r="D506" s="171">
        <v>53.1</v>
      </c>
      <c r="E506" s="171">
        <v>51.01</v>
      </c>
      <c r="F506" s="171">
        <v>49.95</v>
      </c>
      <c r="G506" s="171">
        <v>43</v>
      </c>
      <c r="H506" s="171">
        <v>45.95</v>
      </c>
      <c r="I506" s="171">
        <v>54.96</v>
      </c>
      <c r="J506" s="171">
        <v>64</v>
      </c>
      <c r="K506" s="171">
        <v>75.010000000000005</v>
      </c>
      <c r="L506" s="171">
        <v>82.62</v>
      </c>
      <c r="M506" s="171">
        <v>83.77</v>
      </c>
      <c r="N506" s="171">
        <v>84.51</v>
      </c>
      <c r="O506" s="171">
        <v>87.86</v>
      </c>
      <c r="P506" s="171">
        <v>85</v>
      </c>
      <c r="Q506" s="171">
        <v>84.5</v>
      </c>
      <c r="R506" s="171">
        <v>84.5</v>
      </c>
      <c r="S506" s="171">
        <v>79.34</v>
      </c>
      <c r="T506" s="171">
        <v>71.260000000000005</v>
      </c>
      <c r="U506" s="171">
        <v>71.97</v>
      </c>
      <c r="V506" s="171">
        <v>85</v>
      </c>
      <c r="W506" s="171">
        <v>92.97</v>
      </c>
      <c r="X506" s="171">
        <v>86.99</v>
      </c>
      <c r="Y506" s="171">
        <v>73.8</v>
      </c>
      <c r="Z506" s="171">
        <v>71.5</v>
      </c>
      <c r="AA506" s="171">
        <v>62.97</v>
      </c>
      <c r="AB506" s="171">
        <v>92.97</v>
      </c>
      <c r="AC506" s="171">
        <v>71.260000000000005</v>
      </c>
      <c r="AD506" s="171">
        <v>53.120000000000005</v>
      </c>
      <c r="AF506" s="171">
        <f t="shared" si="23"/>
        <v>2008</v>
      </c>
      <c r="AG506" s="171">
        <f t="shared" si="24"/>
        <v>0</v>
      </c>
      <c r="AH506" s="700">
        <f>SUMIF(D$3:$AA506,"&lt;="&amp;$AH$1)/COUNTIF(D$3:$AA506,"&lt;="&amp;$AH$1)</f>
        <v>28.429641753045967</v>
      </c>
    </row>
    <row r="507" spans="2:34" x14ac:dyDescent="0.25">
      <c r="B507" s="910">
        <v>39535</v>
      </c>
      <c r="C507" s="581">
        <f t="shared" si="22"/>
        <v>3</v>
      </c>
      <c r="D507" s="171">
        <v>53.96</v>
      </c>
      <c r="E507" s="171">
        <v>51.5</v>
      </c>
      <c r="F507" s="171">
        <v>50.01</v>
      </c>
      <c r="G507" s="171">
        <v>45.94</v>
      </c>
      <c r="H507" s="171">
        <v>46.99</v>
      </c>
      <c r="I507" s="171">
        <v>51.9</v>
      </c>
      <c r="J507" s="171">
        <v>61.980000000000004</v>
      </c>
      <c r="K507" s="171">
        <v>82.2</v>
      </c>
      <c r="L507" s="171">
        <v>82.09</v>
      </c>
      <c r="M507" s="171">
        <v>83.5</v>
      </c>
      <c r="N507" s="171">
        <v>85.93</v>
      </c>
      <c r="O507" s="171">
        <v>84</v>
      </c>
      <c r="P507" s="171">
        <v>79.08</v>
      </c>
      <c r="Q507" s="171">
        <v>70.38</v>
      </c>
      <c r="R507" s="171">
        <v>66.86</v>
      </c>
      <c r="S507" s="171">
        <v>61.92</v>
      </c>
      <c r="T507" s="171">
        <v>57.88</v>
      </c>
      <c r="U507" s="171">
        <v>56</v>
      </c>
      <c r="V507" s="171">
        <v>63.99</v>
      </c>
      <c r="W507" s="171">
        <v>74.5</v>
      </c>
      <c r="X507" s="171">
        <v>75.989999999999995</v>
      </c>
      <c r="Y507" s="171">
        <v>61.19</v>
      </c>
      <c r="Z507" s="171">
        <v>53.89</v>
      </c>
      <c r="AA507" s="171">
        <v>60</v>
      </c>
      <c r="AB507" s="171">
        <v>85.93</v>
      </c>
      <c r="AC507" s="171">
        <v>53.89</v>
      </c>
      <c r="AD507" s="171">
        <v>52.78</v>
      </c>
      <c r="AF507" s="171">
        <f t="shared" si="23"/>
        <v>2008</v>
      </c>
      <c r="AG507" s="171">
        <f t="shared" si="24"/>
        <v>0</v>
      </c>
      <c r="AH507" s="700">
        <f>SUMIF(D$3:$AA507,"&lt;="&amp;$AH$1)/COUNTIF(D$3:$AA507,"&lt;="&amp;$AH$1)</f>
        <v>28.429641753045967</v>
      </c>
    </row>
    <row r="508" spans="2:34" x14ac:dyDescent="0.25">
      <c r="B508" s="910">
        <v>39538</v>
      </c>
      <c r="C508" s="581">
        <f t="shared" si="22"/>
        <v>3</v>
      </c>
      <c r="D508" s="171">
        <v>69.960000000000008</v>
      </c>
      <c r="E508" s="171">
        <v>54.96</v>
      </c>
      <c r="F508" s="171">
        <v>51.96</v>
      </c>
      <c r="G508" s="171">
        <v>47.37</v>
      </c>
      <c r="H508" s="171">
        <v>47.9</v>
      </c>
      <c r="I508" s="171">
        <v>52.09</v>
      </c>
      <c r="J508" s="171">
        <v>63</v>
      </c>
      <c r="K508" s="171">
        <v>81.99</v>
      </c>
      <c r="L508" s="171">
        <v>83.960000000000008</v>
      </c>
      <c r="M508" s="171">
        <v>89.48</v>
      </c>
      <c r="N508" s="171">
        <v>91.86</v>
      </c>
      <c r="O508" s="171">
        <v>96</v>
      </c>
      <c r="P508" s="171">
        <v>91.36</v>
      </c>
      <c r="Q508" s="171">
        <v>90.350000000000009</v>
      </c>
      <c r="R508" s="171">
        <v>85.2</v>
      </c>
      <c r="S508" s="171">
        <v>81.7</v>
      </c>
      <c r="T508" s="171">
        <v>80</v>
      </c>
      <c r="U508" s="171">
        <v>75.900000000000006</v>
      </c>
      <c r="V508" s="171">
        <v>71.56</v>
      </c>
      <c r="W508" s="171">
        <v>80.540000000000006</v>
      </c>
      <c r="X508" s="171">
        <v>86.08</v>
      </c>
      <c r="Y508" s="171">
        <v>79.91</v>
      </c>
      <c r="Z508" s="171">
        <v>75.94</v>
      </c>
      <c r="AA508" s="171">
        <v>68.52</v>
      </c>
      <c r="AB508" s="171">
        <v>96</v>
      </c>
      <c r="AC508" s="171">
        <v>71.56</v>
      </c>
      <c r="AD508" s="171">
        <v>56.97</v>
      </c>
      <c r="AF508" s="171">
        <f t="shared" si="23"/>
        <v>2008</v>
      </c>
      <c r="AG508" s="171">
        <f t="shared" si="24"/>
        <v>0</v>
      </c>
      <c r="AH508" s="700">
        <f>SUMIF(D$3:$AA508,"&lt;="&amp;$AH$1)/COUNTIF(D$3:$AA508,"&lt;="&amp;$AH$1)</f>
        <v>28.429641753045967</v>
      </c>
    </row>
    <row r="509" spans="2:34" x14ac:dyDescent="0.25">
      <c r="B509" s="910">
        <v>39539</v>
      </c>
      <c r="C509" s="581">
        <f t="shared" si="22"/>
        <v>4</v>
      </c>
      <c r="D509" s="171">
        <v>57.18</v>
      </c>
      <c r="E509" s="171">
        <v>52.370000000000005</v>
      </c>
      <c r="F509" s="171">
        <v>50.2</v>
      </c>
      <c r="G509" s="171">
        <v>47.67</v>
      </c>
      <c r="H509" s="171">
        <v>43.85</v>
      </c>
      <c r="I509" s="171">
        <v>52.49</v>
      </c>
      <c r="J509" s="171">
        <v>61.96</v>
      </c>
      <c r="K509" s="171">
        <v>83.94</v>
      </c>
      <c r="L509" s="171">
        <v>104</v>
      </c>
      <c r="M509" s="171">
        <v>100</v>
      </c>
      <c r="N509" s="171">
        <v>95.91</v>
      </c>
      <c r="O509" s="171">
        <v>96.9</v>
      </c>
      <c r="P509" s="171">
        <v>85</v>
      </c>
      <c r="Q509" s="171">
        <v>77.260000000000005</v>
      </c>
      <c r="R509" s="171">
        <v>78</v>
      </c>
      <c r="S509" s="171">
        <v>77.94</v>
      </c>
      <c r="T509" s="171">
        <v>68</v>
      </c>
      <c r="U509" s="171">
        <v>64.5</v>
      </c>
      <c r="V509" s="171">
        <v>67.989999999999995</v>
      </c>
      <c r="W509" s="171">
        <v>67.95</v>
      </c>
      <c r="X509" s="171">
        <v>71.97</v>
      </c>
      <c r="Y509" s="171">
        <v>71.930000000000007</v>
      </c>
      <c r="Z509" s="171">
        <v>59</v>
      </c>
      <c r="AA509" s="171">
        <v>57.9</v>
      </c>
      <c r="AB509" s="171">
        <v>104</v>
      </c>
      <c r="AC509" s="171">
        <v>59</v>
      </c>
      <c r="AD509" s="171">
        <v>52.95</v>
      </c>
      <c r="AF509" s="171">
        <f t="shared" si="23"/>
        <v>2008</v>
      </c>
      <c r="AG509" s="171">
        <f t="shared" si="24"/>
        <v>0</v>
      </c>
      <c r="AH509" s="700">
        <f>SUMIF(D$3:$AA509,"&lt;="&amp;$AH$1)/COUNTIF(D$3:$AA509,"&lt;="&amp;$AH$1)</f>
        <v>28.429641753045967</v>
      </c>
    </row>
    <row r="510" spans="2:34" x14ac:dyDescent="0.25">
      <c r="B510" s="910">
        <v>39540</v>
      </c>
      <c r="C510" s="581">
        <f t="shared" si="22"/>
        <v>4</v>
      </c>
      <c r="D510" s="171">
        <v>49.46</v>
      </c>
      <c r="E510" s="171">
        <v>44.550000000000004</v>
      </c>
      <c r="F510" s="171">
        <v>41.52</v>
      </c>
      <c r="G510" s="171">
        <v>41.7</v>
      </c>
      <c r="H510" s="171">
        <v>43.75</v>
      </c>
      <c r="I510" s="171">
        <v>48.480000000000004</v>
      </c>
      <c r="J510" s="171">
        <v>55</v>
      </c>
      <c r="K510" s="171">
        <v>82</v>
      </c>
      <c r="L510" s="171">
        <v>86</v>
      </c>
      <c r="M510" s="171">
        <v>86.13</v>
      </c>
      <c r="N510" s="171">
        <v>87.73</v>
      </c>
      <c r="O510" s="171">
        <v>88.48</v>
      </c>
      <c r="P510" s="171">
        <v>81.56</v>
      </c>
      <c r="Q510" s="171">
        <v>79.39</v>
      </c>
      <c r="R510" s="171">
        <v>78.25</v>
      </c>
      <c r="S510" s="171">
        <v>75.12</v>
      </c>
      <c r="T510" s="171">
        <v>80.92</v>
      </c>
      <c r="U510" s="171">
        <v>69.98</v>
      </c>
      <c r="V510" s="171">
        <v>60</v>
      </c>
      <c r="W510" s="171">
        <v>64.960000000000008</v>
      </c>
      <c r="X510" s="171">
        <v>79.290000000000006</v>
      </c>
      <c r="Y510" s="171">
        <v>78.25</v>
      </c>
      <c r="Z510" s="171">
        <v>59</v>
      </c>
      <c r="AA510" s="171">
        <v>50.120000000000005</v>
      </c>
      <c r="AB510" s="171">
        <v>88.48</v>
      </c>
      <c r="AC510" s="171">
        <v>59</v>
      </c>
      <c r="AD510" s="171">
        <v>46.82</v>
      </c>
      <c r="AF510" s="171">
        <f t="shared" si="23"/>
        <v>2008</v>
      </c>
      <c r="AG510" s="171">
        <f t="shared" si="24"/>
        <v>2</v>
      </c>
      <c r="AH510" s="700">
        <f>SUMIF(D$3:$AA510,"&lt;="&amp;$AH$1)/COUNTIF(D$3:$AA510,"&lt;="&amp;$AH$1)</f>
        <v>28.434433739320081</v>
      </c>
    </row>
    <row r="511" spans="2:34" x14ac:dyDescent="0.25">
      <c r="B511" s="910">
        <v>39541</v>
      </c>
      <c r="C511" s="581">
        <f t="shared" si="22"/>
        <v>4</v>
      </c>
      <c r="D511" s="171">
        <v>50.33</v>
      </c>
      <c r="E511" s="171">
        <v>45.81</v>
      </c>
      <c r="F511" s="171">
        <v>44.07</v>
      </c>
      <c r="G511" s="171">
        <v>39.01</v>
      </c>
      <c r="H511" s="171">
        <v>42.49</v>
      </c>
      <c r="I511" s="171">
        <v>49.99</v>
      </c>
      <c r="J511" s="171">
        <v>60.83</v>
      </c>
      <c r="K511" s="171">
        <v>80.25</v>
      </c>
      <c r="L511" s="171">
        <v>83</v>
      </c>
      <c r="M511" s="171">
        <v>88</v>
      </c>
      <c r="N511" s="171">
        <v>91.600000000000009</v>
      </c>
      <c r="O511" s="171">
        <v>96</v>
      </c>
      <c r="P511" s="171">
        <v>84.93</v>
      </c>
      <c r="Q511" s="171">
        <v>81.7</v>
      </c>
      <c r="R511" s="171">
        <v>80.38</v>
      </c>
      <c r="S511" s="171">
        <v>78.100000000000009</v>
      </c>
      <c r="T511" s="171">
        <v>71.8</v>
      </c>
      <c r="U511" s="171">
        <v>70</v>
      </c>
      <c r="V511" s="171">
        <v>72.05</v>
      </c>
      <c r="W511" s="171">
        <v>74.86</v>
      </c>
      <c r="X511" s="171">
        <v>89</v>
      </c>
      <c r="Y511" s="171">
        <v>71.95</v>
      </c>
      <c r="Z511" s="171">
        <v>66.070000000000007</v>
      </c>
      <c r="AA511" s="171">
        <v>55</v>
      </c>
      <c r="AB511" s="171">
        <v>96</v>
      </c>
      <c r="AC511" s="171">
        <v>66.070000000000007</v>
      </c>
      <c r="AD511" s="171">
        <v>48.44</v>
      </c>
      <c r="AF511" s="171">
        <f t="shared" si="23"/>
        <v>2008</v>
      </c>
      <c r="AG511" s="171">
        <f t="shared" si="24"/>
        <v>2</v>
      </c>
      <c r="AH511" s="700">
        <f>SUMIF(D$3:$AA511,"&lt;="&amp;$AH$1)/COUNTIF(D$3:$AA511,"&lt;="&amp;$AH$1)</f>
        <v>28.43890968562598</v>
      </c>
    </row>
    <row r="512" spans="2:34" x14ac:dyDescent="0.25">
      <c r="B512" s="910">
        <v>39542</v>
      </c>
      <c r="C512" s="581">
        <f t="shared" si="22"/>
        <v>4</v>
      </c>
      <c r="D512" s="171">
        <v>63.08</v>
      </c>
      <c r="E512" s="171">
        <v>58</v>
      </c>
      <c r="F512" s="171">
        <v>53.92</v>
      </c>
      <c r="G512" s="171">
        <v>47</v>
      </c>
      <c r="H512" s="171">
        <v>50</v>
      </c>
      <c r="I512" s="171">
        <v>56</v>
      </c>
      <c r="J512" s="171">
        <v>68</v>
      </c>
      <c r="K512" s="171">
        <v>86</v>
      </c>
      <c r="L512" s="171">
        <v>99.990000000000009</v>
      </c>
      <c r="M512" s="171">
        <v>118.43</v>
      </c>
      <c r="N512" s="171">
        <v>120.74000000000001</v>
      </c>
      <c r="O512" s="171">
        <v>140</v>
      </c>
      <c r="P512" s="171">
        <v>91</v>
      </c>
      <c r="Q512" s="171">
        <v>85.3</v>
      </c>
      <c r="R512" s="171">
        <v>81.95</v>
      </c>
      <c r="S512" s="171">
        <v>72.260000000000005</v>
      </c>
      <c r="T512" s="171">
        <v>65.94</v>
      </c>
      <c r="U512" s="171">
        <v>72.2</v>
      </c>
      <c r="V512" s="171">
        <v>69.8</v>
      </c>
      <c r="W512" s="171">
        <v>69.91</v>
      </c>
      <c r="X512" s="171">
        <v>80.710000000000008</v>
      </c>
      <c r="Y512" s="171">
        <v>71.72</v>
      </c>
      <c r="Z512" s="171">
        <v>73.91</v>
      </c>
      <c r="AA512" s="171">
        <v>71.180000000000007</v>
      </c>
      <c r="AB512" s="171">
        <v>140</v>
      </c>
      <c r="AC512" s="171">
        <v>65.94</v>
      </c>
      <c r="AD512" s="171">
        <v>58.4</v>
      </c>
      <c r="AF512" s="171">
        <f t="shared" si="23"/>
        <v>2008</v>
      </c>
      <c r="AG512" s="171">
        <f t="shared" si="24"/>
        <v>0</v>
      </c>
      <c r="AH512" s="700">
        <f>SUMIF(D$3:$AA512,"&lt;="&amp;$AH$1)/COUNTIF(D$3:$AA512,"&lt;="&amp;$AH$1)</f>
        <v>28.43890968562598</v>
      </c>
    </row>
    <row r="513" spans="2:34" x14ac:dyDescent="0.25">
      <c r="B513" s="910">
        <v>39545</v>
      </c>
      <c r="C513" s="581">
        <f t="shared" si="22"/>
        <v>4</v>
      </c>
      <c r="D513" s="171">
        <v>66.03</v>
      </c>
      <c r="E513" s="171">
        <v>60.050000000000004</v>
      </c>
      <c r="F513" s="171">
        <v>54.08</v>
      </c>
      <c r="G513" s="171">
        <v>44.95</v>
      </c>
      <c r="H513" s="171">
        <v>45</v>
      </c>
      <c r="I513" s="171">
        <v>56.31</v>
      </c>
      <c r="J513" s="171">
        <v>63.24</v>
      </c>
      <c r="K513" s="171">
        <v>95</v>
      </c>
      <c r="L513" s="171">
        <v>120</v>
      </c>
      <c r="M513" s="171">
        <v>119.97</v>
      </c>
      <c r="N513" s="171">
        <v>95.12</v>
      </c>
      <c r="O513" s="171">
        <v>139</v>
      </c>
      <c r="P513" s="171">
        <v>90.12</v>
      </c>
      <c r="Q513" s="171">
        <v>90.12</v>
      </c>
      <c r="R513" s="171">
        <v>85.12</v>
      </c>
      <c r="S513" s="171">
        <v>85.25</v>
      </c>
      <c r="T513" s="171">
        <v>75</v>
      </c>
      <c r="U513" s="171">
        <v>78</v>
      </c>
      <c r="V513" s="171">
        <v>75.86</v>
      </c>
      <c r="W513" s="171">
        <v>80.710000000000008</v>
      </c>
      <c r="X513" s="171">
        <v>95.91</v>
      </c>
      <c r="Y513" s="171">
        <v>89.93</v>
      </c>
      <c r="Z513" s="171">
        <v>80.710000000000008</v>
      </c>
      <c r="AA513" s="171">
        <v>62</v>
      </c>
      <c r="AB513" s="171">
        <v>139</v>
      </c>
      <c r="AC513" s="171">
        <v>75</v>
      </c>
      <c r="AD513" s="171">
        <v>56.46</v>
      </c>
      <c r="AF513" s="171">
        <f t="shared" si="23"/>
        <v>2008</v>
      </c>
      <c r="AG513" s="171">
        <f t="shared" si="24"/>
        <v>0</v>
      </c>
      <c r="AH513" s="700">
        <f>SUMIF(D$3:$AA513,"&lt;="&amp;$AH$1)/COUNTIF(D$3:$AA513,"&lt;="&amp;$AH$1)</f>
        <v>28.43890968562598</v>
      </c>
    </row>
    <row r="514" spans="2:34" x14ac:dyDescent="0.25">
      <c r="B514" s="910">
        <v>39546</v>
      </c>
      <c r="C514" s="581">
        <f t="shared" si="22"/>
        <v>4</v>
      </c>
      <c r="D514" s="171">
        <v>56</v>
      </c>
      <c r="E514" s="171">
        <v>49.89</v>
      </c>
      <c r="F514" s="171">
        <v>48.75</v>
      </c>
      <c r="G514" s="171">
        <v>44.93</v>
      </c>
      <c r="H514" s="171">
        <v>49</v>
      </c>
      <c r="I514" s="171">
        <v>58</v>
      </c>
      <c r="J514" s="171">
        <v>71</v>
      </c>
      <c r="K514" s="171">
        <v>94.89</v>
      </c>
      <c r="L514" s="171">
        <v>100.12</v>
      </c>
      <c r="M514" s="171">
        <v>113.63</v>
      </c>
      <c r="N514" s="171">
        <v>120</v>
      </c>
      <c r="O514" s="171">
        <v>123.17</v>
      </c>
      <c r="P514" s="171">
        <v>97</v>
      </c>
      <c r="Q514" s="171">
        <v>96.490000000000009</v>
      </c>
      <c r="R514" s="171">
        <v>87</v>
      </c>
      <c r="S514" s="171">
        <v>91.69</v>
      </c>
      <c r="T514" s="171">
        <v>84</v>
      </c>
      <c r="U514" s="171">
        <v>78</v>
      </c>
      <c r="V514" s="171">
        <v>78.3</v>
      </c>
      <c r="W514" s="171">
        <v>83</v>
      </c>
      <c r="X514" s="171">
        <v>102.01</v>
      </c>
      <c r="Y514" s="171">
        <v>89.070000000000007</v>
      </c>
      <c r="Z514" s="171">
        <v>69.930000000000007</v>
      </c>
      <c r="AA514" s="171">
        <v>64.930000000000007</v>
      </c>
      <c r="AB514" s="171">
        <v>123.17</v>
      </c>
      <c r="AC514" s="171">
        <v>69.930000000000007</v>
      </c>
      <c r="AD514" s="171">
        <v>55.31</v>
      </c>
      <c r="AF514" s="171">
        <f t="shared" si="23"/>
        <v>2008</v>
      </c>
      <c r="AG514" s="171">
        <f t="shared" si="24"/>
        <v>0</v>
      </c>
      <c r="AH514" s="700">
        <f>SUMIF(D$3:$AA514,"&lt;="&amp;$AH$1)/COUNTIF(D$3:$AA514,"&lt;="&amp;$AH$1)</f>
        <v>28.43890968562598</v>
      </c>
    </row>
    <row r="515" spans="2:34" x14ac:dyDescent="0.25">
      <c r="B515" s="910">
        <v>39547</v>
      </c>
      <c r="C515" s="581">
        <f t="shared" si="22"/>
        <v>4</v>
      </c>
      <c r="D515" s="171">
        <v>59.5</v>
      </c>
      <c r="E515" s="171">
        <v>52.69</v>
      </c>
      <c r="F515" s="171">
        <v>50.120000000000005</v>
      </c>
      <c r="G515" s="171">
        <v>48</v>
      </c>
      <c r="H515" s="171">
        <v>51</v>
      </c>
      <c r="I515" s="171">
        <v>57.71</v>
      </c>
      <c r="J515" s="171">
        <v>74.5</v>
      </c>
      <c r="K515" s="171">
        <v>103</v>
      </c>
      <c r="L515" s="171">
        <v>137.96</v>
      </c>
      <c r="M515" s="171">
        <v>180</v>
      </c>
      <c r="N515" s="171">
        <v>148.19</v>
      </c>
      <c r="O515" s="171">
        <v>146.93</v>
      </c>
      <c r="P515" s="171">
        <v>140.91</v>
      </c>
      <c r="Q515" s="171">
        <v>134.93</v>
      </c>
      <c r="R515" s="171">
        <v>118.03</v>
      </c>
      <c r="S515" s="171">
        <v>98.960000000000008</v>
      </c>
      <c r="T515" s="171">
        <v>90.23</v>
      </c>
      <c r="U515" s="171">
        <v>80.86</v>
      </c>
      <c r="V515" s="171">
        <v>81.3</v>
      </c>
      <c r="W515" s="171">
        <v>81.3</v>
      </c>
      <c r="X515" s="171">
        <v>93</v>
      </c>
      <c r="Y515" s="171">
        <v>83</v>
      </c>
      <c r="Z515" s="171">
        <v>71</v>
      </c>
      <c r="AA515" s="171">
        <v>70.820000000000007</v>
      </c>
      <c r="AB515" s="171">
        <v>180</v>
      </c>
      <c r="AC515" s="171">
        <v>71</v>
      </c>
      <c r="AD515" s="171">
        <v>58.04</v>
      </c>
      <c r="AF515" s="171">
        <f t="shared" si="23"/>
        <v>2008</v>
      </c>
      <c r="AG515" s="171">
        <f t="shared" si="24"/>
        <v>0</v>
      </c>
      <c r="AH515" s="700">
        <f>SUMIF(D$3:$AA515,"&lt;="&amp;$AH$1)/COUNTIF(D$3:$AA515,"&lt;="&amp;$AH$1)</f>
        <v>28.43890968562598</v>
      </c>
    </row>
    <row r="516" spans="2:34" x14ac:dyDescent="0.25">
      <c r="B516" s="910">
        <v>39548</v>
      </c>
      <c r="C516" s="581">
        <f t="shared" ref="C516:C579" si="25">MONTH(B516)</f>
        <v>4</v>
      </c>
      <c r="D516" s="171">
        <v>62.03</v>
      </c>
      <c r="E516" s="171">
        <v>59.93</v>
      </c>
      <c r="F516" s="171">
        <v>55</v>
      </c>
      <c r="G516" s="171">
        <v>50.61</v>
      </c>
      <c r="H516" s="171">
        <v>51.18</v>
      </c>
      <c r="I516" s="171">
        <v>59</v>
      </c>
      <c r="J516" s="171">
        <v>74</v>
      </c>
      <c r="K516" s="171">
        <v>103</v>
      </c>
      <c r="L516" s="171">
        <v>123</v>
      </c>
      <c r="M516" s="171">
        <v>143.95000000000002</v>
      </c>
      <c r="N516" s="171">
        <v>146.96</v>
      </c>
      <c r="O516" s="171">
        <v>146</v>
      </c>
      <c r="P516" s="171">
        <v>132.61000000000001</v>
      </c>
      <c r="Q516" s="171">
        <v>123</v>
      </c>
      <c r="R516" s="171">
        <v>123</v>
      </c>
      <c r="S516" s="171">
        <v>100.56</v>
      </c>
      <c r="T516" s="171">
        <v>84.2</v>
      </c>
      <c r="U516" s="171">
        <v>87</v>
      </c>
      <c r="V516" s="171">
        <v>79.5</v>
      </c>
      <c r="W516" s="171">
        <v>79.5</v>
      </c>
      <c r="X516" s="171">
        <v>91.26</v>
      </c>
      <c r="Y516" s="171">
        <v>84.52</v>
      </c>
      <c r="Z516" s="171">
        <v>70.5</v>
      </c>
      <c r="AA516" s="171">
        <v>75.12</v>
      </c>
      <c r="AB516" s="171">
        <v>146.96</v>
      </c>
      <c r="AC516" s="171">
        <v>70.5</v>
      </c>
      <c r="AD516" s="171">
        <v>60.86</v>
      </c>
      <c r="AF516" s="171">
        <f t="shared" ref="AF516:AF579" si="26">YEAR(B516)</f>
        <v>2008</v>
      </c>
      <c r="AG516" s="171">
        <f t="shared" ref="AG516:AG579" si="27">COUNTIF(D516:AA516,"&lt;="&amp;$AH$1)</f>
        <v>0</v>
      </c>
      <c r="AH516" s="700">
        <f>SUMIF(D$3:$AA516,"&lt;="&amp;$AH$1)/COUNTIF(D$3:$AA516,"&lt;="&amp;$AH$1)</f>
        <v>28.43890968562598</v>
      </c>
    </row>
    <row r="517" spans="2:34" x14ac:dyDescent="0.25">
      <c r="B517" s="910">
        <v>39549</v>
      </c>
      <c r="C517" s="581">
        <f t="shared" si="25"/>
        <v>4</v>
      </c>
      <c r="D517" s="171">
        <v>80</v>
      </c>
      <c r="E517" s="171">
        <v>56.5</v>
      </c>
      <c r="F517" s="171">
        <v>51</v>
      </c>
      <c r="G517" s="171">
        <v>48</v>
      </c>
      <c r="H517" s="171">
        <v>51</v>
      </c>
      <c r="I517" s="171">
        <v>54.96</v>
      </c>
      <c r="J517" s="171">
        <v>77.73</v>
      </c>
      <c r="K517" s="171">
        <v>89.34</v>
      </c>
      <c r="L517" s="171">
        <v>119.93</v>
      </c>
      <c r="M517" s="171">
        <v>127.92</v>
      </c>
      <c r="N517" s="171">
        <v>127.96000000000001</v>
      </c>
      <c r="O517" s="171">
        <v>123.92</v>
      </c>
      <c r="P517" s="171">
        <v>117.92</v>
      </c>
      <c r="Q517" s="171">
        <v>100.03</v>
      </c>
      <c r="R517" s="171">
        <v>95.16</v>
      </c>
      <c r="S517" s="171">
        <v>85.48</v>
      </c>
      <c r="T517" s="171">
        <v>78.73</v>
      </c>
      <c r="U517" s="171">
        <v>73.97</v>
      </c>
      <c r="V517" s="171">
        <v>74.400000000000006</v>
      </c>
      <c r="W517" s="171">
        <v>74.2</v>
      </c>
      <c r="X517" s="171">
        <v>81.95</v>
      </c>
      <c r="Y517" s="171">
        <v>73.989999999999995</v>
      </c>
      <c r="Z517" s="171">
        <v>68</v>
      </c>
      <c r="AA517" s="171">
        <v>89</v>
      </c>
      <c r="AB517" s="171">
        <v>127.96000000000001</v>
      </c>
      <c r="AC517" s="171">
        <v>68</v>
      </c>
      <c r="AD517" s="171">
        <v>63.52</v>
      </c>
      <c r="AF517" s="171">
        <f t="shared" si="26"/>
        <v>2008</v>
      </c>
      <c r="AG517" s="171">
        <f t="shared" si="27"/>
        <v>0</v>
      </c>
      <c r="AH517" s="700">
        <f>SUMIF(D$3:$AA517,"&lt;="&amp;$AH$1)/COUNTIF(D$3:$AA517,"&lt;="&amp;$AH$1)</f>
        <v>28.43890968562598</v>
      </c>
    </row>
    <row r="518" spans="2:34" x14ac:dyDescent="0.25">
      <c r="B518" s="910">
        <v>39552</v>
      </c>
      <c r="C518" s="581">
        <f t="shared" si="25"/>
        <v>4</v>
      </c>
      <c r="D518" s="171">
        <v>49.050000000000004</v>
      </c>
      <c r="E518" s="171">
        <v>41</v>
      </c>
      <c r="F518" s="171">
        <v>37.380000000000003</v>
      </c>
      <c r="G518" s="171">
        <v>31.990000000000002</v>
      </c>
      <c r="H518" s="171">
        <v>30.05</v>
      </c>
      <c r="I518" s="171">
        <v>49.13</v>
      </c>
      <c r="J518" s="171">
        <v>51.5</v>
      </c>
      <c r="K518" s="171">
        <v>83.960000000000008</v>
      </c>
      <c r="L518" s="171">
        <v>104.89</v>
      </c>
      <c r="M518" s="171">
        <v>125</v>
      </c>
      <c r="N518" s="171">
        <v>131.96</v>
      </c>
      <c r="O518" s="171">
        <v>146.04</v>
      </c>
      <c r="P518" s="171">
        <v>120.07000000000001</v>
      </c>
      <c r="Q518" s="171">
        <v>113.01</v>
      </c>
      <c r="R518" s="171">
        <v>110.98</v>
      </c>
      <c r="S518" s="171">
        <v>90.01</v>
      </c>
      <c r="T518" s="171">
        <v>89.94</v>
      </c>
      <c r="U518" s="171">
        <v>74.94</v>
      </c>
      <c r="V518" s="171">
        <v>69.290000000000006</v>
      </c>
      <c r="W518" s="171">
        <v>73.94</v>
      </c>
      <c r="X518" s="171">
        <v>82.88</v>
      </c>
      <c r="Y518" s="171">
        <v>79.78</v>
      </c>
      <c r="Z518" s="171">
        <v>63.06</v>
      </c>
      <c r="AA518" s="171">
        <v>60.09</v>
      </c>
      <c r="AB518" s="171">
        <v>146.04</v>
      </c>
      <c r="AC518" s="171">
        <v>63.06</v>
      </c>
      <c r="AD518" s="171">
        <v>43.77</v>
      </c>
      <c r="AF518" s="171">
        <f t="shared" si="26"/>
        <v>2008</v>
      </c>
      <c r="AG518" s="171">
        <f t="shared" si="27"/>
        <v>4</v>
      </c>
      <c r="AH518" s="700">
        <f>SUMIF(D$3:$AA518,"&lt;="&amp;$AH$1)/COUNTIF(D$3:$AA518,"&lt;="&amp;$AH$1)</f>
        <v>28.443751588886826</v>
      </c>
    </row>
    <row r="519" spans="2:34" x14ac:dyDescent="0.25">
      <c r="B519" s="910">
        <v>39553</v>
      </c>
      <c r="C519" s="581">
        <f t="shared" si="25"/>
        <v>4</v>
      </c>
      <c r="D519" s="171">
        <v>61.6</v>
      </c>
      <c r="E519" s="171">
        <v>55.6</v>
      </c>
      <c r="F519" s="171">
        <v>50</v>
      </c>
      <c r="G519" s="171">
        <v>50</v>
      </c>
      <c r="H519" s="171">
        <v>51</v>
      </c>
      <c r="I519" s="171">
        <v>57.27</v>
      </c>
      <c r="J519" s="171">
        <v>73.97</v>
      </c>
      <c r="K519" s="171">
        <v>100</v>
      </c>
      <c r="L519" s="171">
        <v>125.97</v>
      </c>
      <c r="M519" s="171">
        <v>137.97</v>
      </c>
      <c r="N519" s="171">
        <v>133.46</v>
      </c>
      <c r="O519" s="171">
        <v>130</v>
      </c>
      <c r="P519" s="171">
        <v>115.66</v>
      </c>
      <c r="Q519" s="171">
        <v>107.66</v>
      </c>
      <c r="R519" s="171">
        <v>97.5</v>
      </c>
      <c r="S519" s="171">
        <v>93.02</v>
      </c>
      <c r="T519" s="171">
        <v>85.460000000000008</v>
      </c>
      <c r="U519" s="171">
        <v>77.960000000000008</v>
      </c>
      <c r="V519" s="171">
        <v>77</v>
      </c>
      <c r="W519" s="171">
        <v>77.52</v>
      </c>
      <c r="X519" s="171">
        <v>89</v>
      </c>
      <c r="Y519" s="171">
        <v>85.99</v>
      </c>
      <c r="Z519" s="171">
        <v>83.99</v>
      </c>
      <c r="AA519" s="171">
        <v>75.94</v>
      </c>
      <c r="AB519" s="171">
        <v>137.97</v>
      </c>
      <c r="AC519" s="171">
        <v>77</v>
      </c>
      <c r="AD519" s="171">
        <v>59.42</v>
      </c>
      <c r="AF519" s="171">
        <f t="shared" si="26"/>
        <v>2008</v>
      </c>
      <c r="AG519" s="171">
        <f t="shared" si="27"/>
        <v>0</v>
      </c>
      <c r="AH519" s="700">
        <f>SUMIF(D$3:$AA519,"&lt;="&amp;$AH$1)/COUNTIF(D$3:$AA519,"&lt;="&amp;$AH$1)</f>
        <v>28.443751588886826</v>
      </c>
    </row>
    <row r="520" spans="2:34" x14ac:dyDescent="0.25">
      <c r="B520" s="910">
        <v>39554</v>
      </c>
      <c r="C520" s="581">
        <f t="shared" si="25"/>
        <v>4</v>
      </c>
      <c r="D520" s="171">
        <v>60.79</v>
      </c>
      <c r="E520" s="171">
        <v>54.660000000000004</v>
      </c>
      <c r="F520" s="171">
        <v>54.33</v>
      </c>
      <c r="G520" s="171">
        <v>49.5</v>
      </c>
      <c r="H520" s="171">
        <v>48.99</v>
      </c>
      <c r="I520" s="171">
        <v>54</v>
      </c>
      <c r="J520" s="171">
        <v>70</v>
      </c>
      <c r="K520" s="171">
        <v>94.88</v>
      </c>
      <c r="L520" s="171">
        <v>126</v>
      </c>
      <c r="M520" s="171">
        <v>158.93</v>
      </c>
      <c r="N520" s="171">
        <v>128.18</v>
      </c>
      <c r="O520" s="171">
        <v>131.14000000000001</v>
      </c>
      <c r="P520" s="171">
        <v>108.78</v>
      </c>
      <c r="Q520" s="171">
        <v>99.76</v>
      </c>
      <c r="R520" s="171">
        <v>96.97</v>
      </c>
      <c r="S520" s="171">
        <v>85.22</v>
      </c>
      <c r="T520" s="171">
        <v>80.820000000000007</v>
      </c>
      <c r="U520" s="171">
        <v>75</v>
      </c>
      <c r="V520" s="171">
        <v>75.42</v>
      </c>
      <c r="W520" s="171">
        <v>80</v>
      </c>
      <c r="X520" s="171">
        <v>85.92</v>
      </c>
      <c r="Y520" s="171">
        <v>78.650000000000006</v>
      </c>
      <c r="Z520" s="171">
        <v>68.92</v>
      </c>
      <c r="AA520" s="171">
        <v>60</v>
      </c>
      <c r="AB520" s="171">
        <v>158.93</v>
      </c>
      <c r="AC520" s="171">
        <v>68.92</v>
      </c>
      <c r="AD520" s="171">
        <v>56.53</v>
      </c>
      <c r="AF520" s="171">
        <f t="shared" si="26"/>
        <v>2008</v>
      </c>
      <c r="AG520" s="171">
        <f t="shared" si="27"/>
        <v>0</v>
      </c>
      <c r="AH520" s="700">
        <f>SUMIF(D$3:$AA520,"&lt;="&amp;$AH$1)/COUNTIF(D$3:$AA520,"&lt;="&amp;$AH$1)</f>
        <v>28.443751588886826</v>
      </c>
    </row>
    <row r="521" spans="2:34" x14ac:dyDescent="0.25">
      <c r="B521" s="910">
        <v>39555</v>
      </c>
      <c r="C521" s="581">
        <f t="shared" si="25"/>
        <v>4</v>
      </c>
      <c r="D521" s="171">
        <v>62.93</v>
      </c>
      <c r="E521" s="171">
        <v>55</v>
      </c>
      <c r="F521" s="171">
        <v>50</v>
      </c>
      <c r="G521" s="171">
        <v>48</v>
      </c>
      <c r="H521" s="171">
        <v>49.04</v>
      </c>
      <c r="I521" s="171">
        <v>54.52</v>
      </c>
      <c r="J521" s="171">
        <v>64.33</v>
      </c>
      <c r="K521" s="171">
        <v>83</v>
      </c>
      <c r="L521" s="171">
        <v>100.75</v>
      </c>
      <c r="M521" s="171">
        <v>100.97</v>
      </c>
      <c r="N521" s="171">
        <v>116.76</v>
      </c>
      <c r="O521" s="171">
        <v>114.13</v>
      </c>
      <c r="P521" s="171">
        <v>92</v>
      </c>
      <c r="Q521" s="171">
        <v>88</v>
      </c>
      <c r="R521" s="171">
        <v>88.8</v>
      </c>
      <c r="S521" s="171">
        <v>82.66</v>
      </c>
      <c r="T521" s="171">
        <v>75.94</v>
      </c>
      <c r="U521" s="171">
        <v>74.510000000000005</v>
      </c>
      <c r="V521" s="171">
        <v>81.25</v>
      </c>
      <c r="W521" s="171">
        <v>77</v>
      </c>
      <c r="X521" s="171">
        <v>79</v>
      </c>
      <c r="Y521" s="171">
        <v>74.040000000000006</v>
      </c>
      <c r="Z521" s="171">
        <v>69</v>
      </c>
      <c r="AA521" s="171">
        <v>69</v>
      </c>
      <c r="AB521" s="171">
        <v>116.76</v>
      </c>
      <c r="AC521" s="171">
        <v>69</v>
      </c>
      <c r="AD521" s="171">
        <v>56.6</v>
      </c>
      <c r="AF521" s="171">
        <f t="shared" si="26"/>
        <v>2008</v>
      </c>
      <c r="AG521" s="171">
        <f t="shared" si="27"/>
        <v>0</v>
      </c>
      <c r="AH521" s="700">
        <f>SUMIF(D$3:$AA521,"&lt;="&amp;$AH$1)/COUNTIF(D$3:$AA521,"&lt;="&amp;$AH$1)</f>
        <v>28.443751588886826</v>
      </c>
    </row>
    <row r="522" spans="2:34" x14ac:dyDescent="0.25">
      <c r="B522" s="910">
        <v>39556</v>
      </c>
      <c r="C522" s="581">
        <f t="shared" si="25"/>
        <v>4</v>
      </c>
      <c r="D522" s="171">
        <v>58.1</v>
      </c>
      <c r="E522" s="171">
        <v>56.56</v>
      </c>
      <c r="F522" s="171">
        <v>52.95</v>
      </c>
      <c r="G522" s="171">
        <v>46</v>
      </c>
      <c r="H522" s="171">
        <v>46.5</v>
      </c>
      <c r="I522" s="171">
        <v>56.61</v>
      </c>
      <c r="J522" s="171">
        <v>67.010000000000005</v>
      </c>
      <c r="K522" s="171">
        <v>85</v>
      </c>
      <c r="L522" s="171">
        <v>99.68</v>
      </c>
      <c r="M522" s="171">
        <v>122</v>
      </c>
      <c r="N522" s="171">
        <v>122</v>
      </c>
      <c r="O522" s="171">
        <v>111.82000000000001</v>
      </c>
      <c r="P522" s="171">
        <v>98.43</v>
      </c>
      <c r="Q522" s="171">
        <v>85.99</v>
      </c>
      <c r="R522" s="171">
        <v>80</v>
      </c>
      <c r="S522" s="171">
        <v>78.34</v>
      </c>
      <c r="T522" s="171">
        <v>74.28</v>
      </c>
      <c r="U522" s="171">
        <v>73</v>
      </c>
      <c r="V522" s="171">
        <v>68.97</v>
      </c>
      <c r="W522" s="171">
        <v>68.91</v>
      </c>
      <c r="X522" s="171">
        <v>71.710000000000008</v>
      </c>
      <c r="Y522" s="171">
        <v>67.2</v>
      </c>
      <c r="Z522" s="171">
        <v>59.480000000000004</v>
      </c>
      <c r="AA522" s="171">
        <v>64.930000000000007</v>
      </c>
      <c r="AB522" s="171">
        <v>122</v>
      </c>
      <c r="AC522" s="171">
        <v>59.480000000000004</v>
      </c>
      <c r="AD522" s="171">
        <v>56.08</v>
      </c>
      <c r="AF522" s="171">
        <f t="shared" si="26"/>
        <v>2008</v>
      </c>
      <c r="AG522" s="171">
        <f t="shared" si="27"/>
        <v>0</v>
      </c>
      <c r="AH522" s="700">
        <f>SUMIF(D$3:$AA522,"&lt;="&amp;$AH$1)/COUNTIF(D$3:$AA522,"&lt;="&amp;$AH$1)</f>
        <v>28.443751588886826</v>
      </c>
    </row>
    <row r="523" spans="2:34" x14ac:dyDescent="0.25">
      <c r="B523" s="910">
        <v>39559</v>
      </c>
      <c r="C523" s="581">
        <f t="shared" si="25"/>
        <v>4</v>
      </c>
      <c r="D523" s="171">
        <v>46.92</v>
      </c>
      <c r="E523" s="171">
        <v>44.17</v>
      </c>
      <c r="F523" s="171">
        <v>36.1</v>
      </c>
      <c r="G523" s="171">
        <v>27</v>
      </c>
      <c r="H523" s="171">
        <v>25</v>
      </c>
      <c r="I523" s="171">
        <v>37.4</v>
      </c>
      <c r="J523" s="171">
        <v>55.550000000000004</v>
      </c>
      <c r="K523" s="171">
        <v>80.739999999999995</v>
      </c>
      <c r="L523" s="171">
        <v>89.26</v>
      </c>
      <c r="M523" s="171">
        <v>97</v>
      </c>
      <c r="N523" s="171">
        <v>100.64</v>
      </c>
      <c r="O523" s="171">
        <v>105.04</v>
      </c>
      <c r="P523" s="171">
        <v>98.4</v>
      </c>
      <c r="Q523" s="171">
        <v>93</v>
      </c>
      <c r="R523" s="171">
        <v>94</v>
      </c>
      <c r="S523" s="171">
        <v>87.02</v>
      </c>
      <c r="T523" s="171">
        <v>72.09</v>
      </c>
      <c r="U523" s="171">
        <v>71.180000000000007</v>
      </c>
      <c r="V523" s="171">
        <v>69.3</v>
      </c>
      <c r="W523" s="171">
        <v>68.650000000000006</v>
      </c>
      <c r="X523" s="171">
        <v>75</v>
      </c>
      <c r="Y523" s="171">
        <v>71.95</v>
      </c>
      <c r="Z523" s="171">
        <v>72.05</v>
      </c>
      <c r="AA523" s="171">
        <v>70.12</v>
      </c>
      <c r="AB523" s="171">
        <v>100.64</v>
      </c>
      <c r="AC523" s="171">
        <v>72.05</v>
      </c>
      <c r="AD523" s="171">
        <v>42.78</v>
      </c>
      <c r="AF523" s="171">
        <f t="shared" si="26"/>
        <v>2008</v>
      </c>
      <c r="AG523" s="171">
        <f t="shared" si="27"/>
        <v>4</v>
      </c>
      <c r="AH523" s="700">
        <f>SUMIF(D$3:$AA523,"&lt;="&amp;$AH$1)/COUNTIF(D$3:$AA523,"&lt;="&amp;$AH$1)</f>
        <v>28.445879150789285</v>
      </c>
    </row>
    <row r="524" spans="2:34" x14ac:dyDescent="0.25">
      <c r="B524" s="910">
        <v>39560</v>
      </c>
      <c r="C524" s="581">
        <f t="shared" si="25"/>
        <v>4</v>
      </c>
      <c r="D524" s="171">
        <v>55</v>
      </c>
      <c r="E524" s="171">
        <v>50.19</v>
      </c>
      <c r="F524" s="171">
        <v>46.01</v>
      </c>
      <c r="G524" s="171">
        <v>36.1</v>
      </c>
      <c r="H524" s="171">
        <v>40.01</v>
      </c>
      <c r="I524" s="171">
        <v>51.31</v>
      </c>
      <c r="J524" s="171">
        <v>62</v>
      </c>
      <c r="K524" s="171">
        <v>82</v>
      </c>
      <c r="L524" s="171">
        <v>90.100000000000009</v>
      </c>
      <c r="M524" s="171">
        <v>95.33</v>
      </c>
      <c r="N524" s="171">
        <v>94</v>
      </c>
      <c r="O524" s="171">
        <v>95</v>
      </c>
      <c r="P524" s="171">
        <v>84</v>
      </c>
      <c r="Q524" s="171">
        <v>76.05</v>
      </c>
      <c r="R524" s="171">
        <v>78.510000000000005</v>
      </c>
      <c r="S524" s="171">
        <v>79.320000000000007</v>
      </c>
      <c r="T524" s="171">
        <v>88.8</v>
      </c>
      <c r="U524" s="171">
        <v>75.12</v>
      </c>
      <c r="V524" s="171">
        <v>68.489999999999995</v>
      </c>
      <c r="W524" s="171">
        <v>68.09</v>
      </c>
      <c r="X524" s="171">
        <v>75</v>
      </c>
      <c r="Y524" s="171">
        <v>72</v>
      </c>
      <c r="Z524" s="171">
        <v>61.64</v>
      </c>
      <c r="AA524" s="171">
        <v>64.930000000000007</v>
      </c>
      <c r="AB524" s="171">
        <v>95.33</v>
      </c>
      <c r="AC524" s="171">
        <v>61.64</v>
      </c>
      <c r="AD524" s="171">
        <v>50.69</v>
      </c>
      <c r="AF524" s="171">
        <f t="shared" si="26"/>
        <v>2008</v>
      </c>
      <c r="AG524" s="171">
        <f t="shared" si="27"/>
        <v>2</v>
      </c>
      <c r="AH524" s="700">
        <f>SUMIF(D$3:$AA524,"&lt;="&amp;$AH$1)/COUNTIF(D$3:$AA524,"&lt;="&amp;$AH$1)</f>
        <v>28.449365136948987</v>
      </c>
    </row>
    <row r="525" spans="2:34" x14ac:dyDescent="0.25">
      <c r="B525" s="910">
        <v>39561</v>
      </c>
      <c r="C525" s="581">
        <f t="shared" si="25"/>
        <v>4</v>
      </c>
      <c r="D525" s="171">
        <v>57.2</v>
      </c>
      <c r="E525" s="171">
        <v>50.410000000000004</v>
      </c>
      <c r="F525" s="171">
        <v>45.03</v>
      </c>
      <c r="G525" s="171">
        <v>42.06</v>
      </c>
      <c r="H525" s="171">
        <v>45</v>
      </c>
      <c r="I525" s="171">
        <v>52.15</v>
      </c>
      <c r="J525" s="171">
        <v>62.86</v>
      </c>
      <c r="K525" s="171">
        <v>77.900000000000006</v>
      </c>
      <c r="L525" s="171">
        <v>91.75</v>
      </c>
      <c r="M525" s="171">
        <v>106</v>
      </c>
      <c r="N525" s="171">
        <v>108.9</v>
      </c>
      <c r="O525" s="171">
        <v>110.5</v>
      </c>
      <c r="P525" s="171">
        <v>97.100000000000009</v>
      </c>
      <c r="Q525" s="171">
        <v>97.01</v>
      </c>
      <c r="R525" s="171">
        <v>100.01</v>
      </c>
      <c r="S525" s="171">
        <v>89.100000000000009</v>
      </c>
      <c r="T525" s="171">
        <v>79.930000000000007</v>
      </c>
      <c r="U525" s="171">
        <v>74.930000000000007</v>
      </c>
      <c r="V525" s="171">
        <v>73</v>
      </c>
      <c r="W525" s="171">
        <v>67</v>
      </c>
      <c r="X525" s="171">
        <v>73</v>
      </c>
      <c r="Y525" s="171">
        <v>74.42</v>
      </c>
      <c r="Z525" s="171">
        <v>69.960000000000008</v>
      </c>
      <c r="AA525" s="171">
        <v>75.100000000000009</v>
      </c>
      <c r="AB525" s="171">
        <v>110.5</v>
      </c>
      <c r="AC525" s="171">
        <v>67</v>
      </c>
      <c r="AD525" s="171">
        <v>53.730000000000004</v>
      </c>
      <c r="AF525" s="171">
        <f t="shared" si="26"/>
        <v>2008</v>
      </c>
      <c r="AG525" s="171">
        <f t="shared" si="27"/>
        <v>1</v>
      </c>
      <c r="AH525" s="700">
        <f>SUMIF(D$3:$AA525,"&lt;="&amp;$AH$1)/COUNTIF(D$3:$AA525,"&lt;="&amp;$AH$1)</f>
        <v>28.451833514689838</v>
      </c>
    </row>
    <row r="526" spans="2:34" x14ac:dyDescent="0.25">
      <c r="B526" s="910">
        <v>39562</v>
      </c>
      <c r="C526" s="581">
        <f t="shared" si="25"/>
        <v>4</v>
      </c>
      <c r="D526" s="171">
        <v>55</v>
      </c>
      <c r="E526" s="171">
        <v>49.42</v>
      </c>
      <c r="F526" s="171">
        <v>40.800000000000004</v>
      </c>
      <c r="G526" s="171">
        <v>40.06</v>
      </c>
      <c r="H526" s="171">
        <v>43.980000000000004</v>
      </c>
      <c r="I526" s="171">
        <v>52.26</v>
      </c>
      <c r="J526" s="171">
        <v>60</v>
      </c>
      <c r="K526" s="171">
        <v>75</v>
      </c>
      <c r="L526" s="171">
        <v>86.070000000000007</v>
      </c>
      <c r="M526" s="171">
        <v>91.25</v>
      </c>
      <c r="N526" s="171">
        <v>91.97</v>
      </c>
      <c r="O526" s="171">
        <v>95.4</v>
      </c>
      <c r="P526" s="171">
        <v>83.81</v>
      </c>
      <c r="Q526" s="171">
        <v>82.54</v>
      </c>
      <c r="R526" s="171">
        <v>78.900000000000006</v>
      </c>
      <c r="S526" s="171">
        <v>76</v>
      </c>
      <c r="T526" s="171">
        <v>90</v>
      </c>
      <c r="U526" s="171">
        <v>78.06</v>
      </c>
      <c r="V526" s="171">
        <v>70.930000000000007</v>
      </c>
      <c r="W526" s="171">
        <v>64.849999999999994</v>
      </c>
      <c r="X526" s="171">
        <v>68.31</v>
      </c>
      <c r="Y526" s="171">
        <v>65.960000000000008</v>
      </c>
      <c r="Z526" s="171">
        <v>61.33</v>
      </c>
      <c r="AA526" s="171">
        <v>55.92</v>
      </c>
      <c r="AB526" s="171">
        <v>95.4</v>
      </c>
      <c r="AC526" s="171">
        <v>61.33</v>
      </c>
      <c r="AD526" s="171">
        <v>49.68</v>
      </c>
      <c r="AF526" s="171">
        <f t="shared" si="26"/>
        <v>2008</v>
      </c>
      <c r="AG526" s="171">
        <f t="shared" si="27"/>
        <v>2</v>
      </c>
      <c r="AH526" s="700">
        <f>SUMIF(D$3:$AA526,"&lt;="&amp;$AH$1)/COUNTIF(D$3:$AA526,"&lt;="&amp;$AH$1)</f>
        <v>28.456176577229833</v>
      </c>
    </row>
    <row r="527" spans="2:34" x14ac:dyDescent="0.25">
      <c r="B527" s="910">
        <v>39563</v>
      </c>
      <c r="C527" s="581">
        <f t="shared" si="25"/>
        <v>4</v>
      </c>
      <c r="D527" s="171">
        <v>50.11</v>
      </c>
      <c r="E527" s="171">
        <v>45.54</v>
      </c>
      <c r="F527" s="171">
        <v>43.1</v>
      </c>
      <c r="G527" s="171">
        <v>38</v>
      </c>
      <c r="H527" s="171">
        <v>39.93</v>
      </c>
      <c r="I527" s="171">
        <v>46.22</v>
      </c>
      <c r="J527" s="171">
        <v>53.910000000000004</v>
      </c>
      <c r="K527" s="171">
        <v>74.930000000000007</v>
      </c>
      <c r="L527" s="171">
        <v>84.54</v>
      </c>
      <c r="M527" s="171">
        <v>96</v>
      </c>
      <c r="N527" s="171">
        <v>125</v>
      </c>
      <c r="O527" s="171">
        <v>175</v>
      </c>
      <c r="P527" s="171">
        <v>90</v>
      </c>
      <c r="Q527" s="171">
        <v>100</v>
      </c>
      <c r="R527" s="171">
        <v>115</v>
      </c>
      <c r="S527" s="171">
        <v>90</v>
      </c>
      <c r="T527" s="171">
        <v>81.39</v>
      </c>
      <c r="U527" s="171">
        <v>80.960000000000008</v>
      </c>
      <c r="V527" s="171">
        <v>77.27</v>
      </c>
      <c r="W527" s="171">
        <v>63</v>
      </c>
      <c r="X527" s="171">
        <v>69.13</v>
      </c>
      <c r="Y527" s="171">
        <v>70</v>
      </c>
      <c r="Z527" s="171">
        <v>71</v>
      </c>
      <c r="AA527" s="171">
        <v>60.03</v>
      </c>
      <c r="AB527" s="171">
        <v>175</v>
      </c>
      <c r="AC527" s="171">
        <v>63</v>
      </c>
      <c r="AD527" s="171">
        <v>47.1</v>
      </c>
      <c r="AF527" s="171">
        <f t="shared" si="26"/>
        <v>2008</v>
      </c>
      <c r="AG527" s="171">
        <f t="shared" si="27"/>
        <v>2</v>
      </c>
      <c r="AH527" s="700">
        <f>SUMIF(D$3:$AA527,"&lt;="&amp;$AH$1)/COUNTIF(D$3:$AA527,"&lt;="&amp;$AH$1)</f>
        <v>28.45998550199343</v>
      </c>
    </row>
    <row r="528" spans="2:34" x14ac:dyDescent="0.25">
      <c r="B528" s="910">
        <v>39566</v>
      </c>
      <c r="C528" s="581">
        <f t="shared" si="25"/>
        <v>4</v>
      </c>
      <c r="D528" s="171">
        <v>29.13</v>
      </c>
      <c r="E528" s="171">
        <v>17.98</v>
      </c>
      <c r="F528" s="171">
        <v>13.97</v>
      </c>
      <c r="G528" s="171">
        <v>11</v>
      </c>
      <c r="H528" s="171">
        <v>9.9700000000000006</v>
      </c>
      <c r="I528" s="171">
        <v>13.92</v>
      </c>
      <c r="J528" s="171">
        <v>44.7</v>
      </c>
      <c r="K528" s="171">
        <v>56</v>
      </c>
      <c r="L528" s="171">
        <v>71.400000000000006</v>
      </c>
      <c r="M528" s="171">
        <v>81.37</v>
      </c>
      <c r="N528" s="171">
        <v>82.5</v>
      </c>
      <c r="O528" s="171">
        <v>97</v>
      </c>
      <c r="P528" s="171">
        <v>109.93</v>
      </c>
      <c r="Q528" s="171">
        <v>128</v>
      </c>
      <c r="R528" s="171">
        <v>128</v>
      </c>
      <c r="S528" s="171">
        <v>114.93</v>
      </c>
      <c r="T528" s="171">
        <v>86.2</v>
      </c>
      <c r="U528" s="171">
        <v>81.61</v>
      </c>
      <c r="V528" s="171">
        <v>77</v>
      </c>
      <c r="W528" s="171">
        <v>79.489999999999995</v>
      </c>
      <c r="X528" s="171">
        <v>71.010000000000005</v>
      </c>
      <c r="Y528" s="171">
        <v>80</v>
      </c>
      <c r="Z528" s="171">
        <v>75.600000000000009</v>
      </c>
      <c r="AA528" s="171">
        <v>80</v>
      </c>
      <c r="AB528" s="171">
        <v>128</v>
      </c>
      <c r="AC528" s="171">
        <v>56</v>
      </c>
      <c r="AD528" s="171">
        <v>27.580000000000002</v>
      </c>
      <c r="AF528" s="171">
        <f t="shared" si="26"/>
        <v>2008</v>
      </c>
      <c r="AG528" s="171">
        <f t="shared" si="27"/>
        <v>6</v>
      </c>
      <c r="AH528" s="700">
        <f>SUMIF(D$3:$AA528,"&lt;="&amp;$AH$1)/COUNTIF(D$3:$AA528,"&lt;="&amp;$AH$1)</f>
        <v>28.4464464156408</v>
      </c>
    </row>
    <row r="529" spans="2:34" x14ac:dyDescent="0.25">
      <c r="B529" s="910">
        <v>39567</v>
      </c>
      <c r="C529" s="581">
        <f t="shared" si="25"/>
        <v>4</v>
      </c>
      <c r="D529" s="171">
        <v>57.21</v>
      </c>
      <c r="E529" s="171">
        <v>45.51</v>
      </c>
      <c r="F529" s="171">
        <v>39.96</v>
      </c>
      <c r="G529" s="171">
        <v>32.299999999999997</v>
      </c>
      <c r="H529" s="171">
        <v>38.9</v>
      </c>
      <c r="I529" s="171">
        <v>50.03</v>
      </c>
      <c r="J529" s="171">
        <v>60.44</v>
      </c>
      <c r="K529" s="171">
        <v>70</v>
      </c>
      <c r="L529" s="171">
        <v>88</v>
      </c>
      <c r="M529" s="171">
        <v>200</v>
      </c>
      <c r="N529" s="171">
        <v>200</v>
      </c>
      <c r="O529" s="171">
        <v>250.01000000000002</v>
      </c>
      <c r="P529" s="171">
        <v>130</v>
      </c>
      <c r="Q529" s="171">
        <v>93.710000000000008</v>
      </c>
      <c r="R529" s="171">
        <v>83.15</v>
      </c>
      <c r="S529" s="171">
        <v>78.22</v>
      </c>
      <c r="T529" s="171">
        <v>86.78</v>
      </c>
      <c r="U529" s="171">
        <v>70</v>
      </c>
      <c r="V529" s="171">
        <v>70</v>
      </c>
      <c r="W529" s="171">
        <v>66.39</v>
      </c>
      <c r="X529" s="171">
        <v>69.930000000000007</v>
      </c>
      <c r="Y529" s="171">
        <v>68.02</v>
      </c>
      <c r="Z529" s="171">
        <v>57.86</v>
      </c>
      <c r="AA529" s="171">
        <v>55.44</v>
      </c>
      <c r="AB529" s="171">
        <v>250.01000000000002</v>
      </c>
      <c r="AC529" s="171">
        <v>57.86</v>
      </c>
      <c r="AD529" s="171">
        <v>47.47</v>
      </c>
      <c r="AF529" s="171">
        <f t="shared" si="26"/>
        <v>2008</v>
      </c>
      <c r="AG529" s="171">
        <f t="shared" si="27"/>
        <v>3</v>
      </c>
      <c r="AH529" s="700">
        <f>SUMIF(D$3:$AA529,"&lt;="&amp;$AH$1)/COUNTIF(D$3:$AA529,"&lt;="&amp;$AH$1)</f>
        <v>28.451118147276958</v>
      </c>
    </row>
    <row r="530" spans="2:34" x14ac:dyDescent="0.25">
      <c r="B530" s="910">
        <v>39568</v>
      </c>
      <c r="C530" s="581">
        <f t="shared" si="25"/>
        <v>4</v>
      </c>
      <c r="D530" s="171">
        <v>50.03</v>
      </c>
      <c r="E530" s="171">
        <v>44.800000000000004</v>
      </c>
      <c r="F530" s="171">
        <v>33.75</v>
      </c>
      <c r="G530" s="171">
        <v>34.090000000000003</v>
      </c>
      <c r="H530" s="171">
        <v>36.5</v>
      </c>
      <c r="I530" s="171">
        <v>45.89</v>
      </c>
      <c r="J530" s="171">
        <v>57.26</v>
      </c>
      <c r="K530" s="171">
        <v>73.989999999999995</v>
      </c>
      <c r="L530" s="171">
        <v>75.100000000000009</v>
      </c>
      <c r="M530" s="171">
        <v>80.03</v>
      </c>
      <c r="N530" s="171">
        <v>86</v>
      </c>
      <c r="O530" s="171">
        <v>89.79</v>
      </c>
      <c r="P530" s="171">
        <v>81.2</v>
      </c>
      <c r="Q530" s="171">
        <v>75.53</v>
      </c>
      <c r="R530" s="171">
        <v>71.75</v>
      </c>
      <c r="S530" s="171">
        <v>66.150000000000006</v>
      </c>
      <c r="T530" s="171">
        <v>65.13</v>
      </c>
      <c r="U530" s="171">
        <v>63.910000000000004</v>
      </c>
      <c r="V530" s="171">
        <v>65</v>
      </c>
      <c r="W530" s="171">
        <v>65</v>
      </c>
      <c r="X530" s="171">
        <v>74.12</v>
      </c>
      <c r="Y530" s="171">
        <v>86</v>
      </c>
      <c r="Z530" s="171">
        <v>79.930000000000007</v>
      </c>
      <c r="AA530" s="171">
        <v>61.95</v>
      </c>
      <c r="AB530" s="171">
        <v>89.79</v>
      </c>
      <c r="AC530" s="171">
        <v>63.910000000000004</v>
      </c>
      <c r="AD530" s="171">
        <v>45.53</v>
      </c>
      <c r="AF530" s="171">
        <f t="shared" si="26"/>
        <v>2008</v>
      </c>
      <c r="AG530" s="171">
        <f t="shared" si="27"/>
        <v>3</v>
      </c>
      <c r="AH530" s="700">
        <f>SUMIF(D$3:$AA530,"&lt;="&amp;$AH$1)/COUNTIF(D$3:$AA530,"&lt;="&amp;$AH$1)</f>
        <v>28.454551537070479</v>
      </c>
    </row>
    <row r="531" spans="2:34" x14ac:dyDescent="0.25">
      <c r="B531" s="910">
        <v>39569</v>
      </c>
      <c r="C531" s="581">
        <f t="shared" si="25"/>
        <v>5</v>
      </c>
      <c r="D531" s="171">
        <v>54.01</v>
      </c>
      <c r="E531" s="171">
        <v>43.68</v>
      </c>
      <c r="F531" s="171">
        <v>30.05</v>
      </c>
      <c r="G531" s="171">
        <v>24</v>
      </c>
      <c r="H531" s="171">
        <v>21.93</v>
      </c>
      <c r="I531" s="171">
        <v>19</v>
      </c>
      <c r="J531" s="171">
        <v>16.809999999999999</v>
      </c>
      <c r="K531" s="171">
        <v>22.2</v>
      </c>
      <c r="L531" s="171">
        <v>39.99</v>
      </c>
      <c r="M531" s="171">
        <v>49.51</v>
      </c>
      <c r="N531" s="171">
        <v>49.870000000000005</v>
      </c>
      <c r="O531" s="171">
        <v>53.94</v>
      </c>
      <c r="P531" s="171">
        <v>56.03</v>
      </c>
      <c r="Q531" s="171">
        <v>50.95</v>
      </c>
      <c r="R531" s="171">
        <v>44.96</v>
      </c>
      <c r="S531" s="171">
        <v>43.58</v>
      </c>
      <c r="T531" s="171">
        <v>41.61</v>
      </c>
      <c r="U531" s="171">
        <v>50</v>
      </c>
      <c r="V531" s="171">
        <v>55.120000000000005</v>
      </c>
      <c r="W531" s="171">
        <v>55</v>
      </c>
      <c r="X531" s="171">
        <v>64.8</v>
      </c>
      <c r="Y531" s="171">
        <v>71.08</v>
      </c>
      <c r="Z531" s="171">
        <v>75</v>
      </c>
      <c r="AA531" s="171">
        <v>65.180000000000007</v>
      </c>
      <c r="AB531" s="171">
        <v>75</v>
      </c>
      <c r="AC531" s="171">
        <v>22.2</v>
      </c>
      <c r="AD531" s="171">
        <v>34.33</v>
      </c>
      <c r="AF531" s="171">
        <f t="shared" si="26"/>
        <v>2008</v>
      </c>
      <c r="AG531" s="171">
        <f t="shared" si="27"/>
        <v>8</v>
      </c>
      <c r="AH531" s="700">
        <f>SUMIF(D$3:$AA531,"&lt;="&amp;$AH$1)/COUNTIF(D$3:$AA531,"&lt;="&amp;$AH$1)</f>
        <v>28.45237630913682</v>
      </c>
    </row>
    <row r="532" spans="2:34" x14ac:dyDescent="0.25">
      <c r="B532" s="910">
        <v>39570</v>
      </c>
      <c r="C532" s="581">
        <f t="shared" si="25"/>
        <v>5</v>
      </c>
      <c r="D532" s="171">
        <v>56.44</v>
      </c>
      <c r="E532" s="171">
        <v>53.04</v>
      </c>
      <c r="F532" s="171">
        <v>35</v>
      </c>
      <c r="G532" s="171">
        <v>25.67</v>
      </c>
      <c r="H532" s="171">
        <v>30.05</v>
      </c>
      <c r="I532" s="171">
        <v>48.32</v>
      </c>
      <c r="J532" s="171">
        <v>56.59</v>
      </c>
      <c r="K532" s="171">
        <v>61.44</v>
      </c>
      <c r="L532" s="171">
        <v>64.930000000000007</v>
      </c>
      <c r="M532" s="171">
        <v>75.900000000000006</v>
      </c>
      <c r="N532" s="171">
        <v>75.430000000000007</v>
      </c>
      <c r="O532" s="171">
        <v>75.489999999999995</v>
      </c>
      <c r="P532" s="171">
        <v>76.86</v>
      </c>
      <c r="Q532" s="171">
        <v>73.900000000000006</v>
      </c>
      <c r="R532" s="171">
        <v>67.98</v>
      </c>
      <c r="S532" s="171">
        <v>62.49</v>
      </c>
      <c r="T532" s="171">
        <v>62.49</v>
      </c>
      <c r="U532" s="171">
        <v>61.92</v>
      </c>
      <c r="V532" s="171">
        <v>68.960000000000008</v>
      </c>
      <c r="W532" s="171">
        <v>67.91</v>
      </c>
      <c r="X532" s="171">
        <v>68</v>
      </c>
      <c r="Y532" s="171">
        <v>72.84</v>
      </c>
      <c r="Z532" s="171">
        <v>125</v>
      </c>
      <c r="AA532" s="171">
        <v>120</v>
      </c>
      <c r="AB532" s="171">
        <v>125</v>
      </c>
      <c r="AC532" s="171">
        <v>61.44</v>
      </c>
      <c r="AD532" s="171">
        <v>53.14</v>
      </c>
      <c r="AF532" s="171">
        <f t="shared" si="26"/>
        <v>2008</v>
      </c>
      <c r="AG532" s="171">
        <f t="shared" si="27"/>
        <v>3</v>
      </c>
      <c r="AH532" s="700">
        <f>SUMIF(D$3:$AA532,"&lt;="&amp;$AH$1)/COUNTIF(D$3:$AA532,"&lt;="&amp;$AH$1)</f>
        <v>28.453344161703612</v>
      </c>
    </row>
    <row r="533" spans="2:34" x14ac:dyDescent="0.25">
      <c r="B533" s="910">
        <v>39573</v>
      </c>
      <c r="C533" s="581">
        <f t="shared" si="25"/>
        <v>5</v>
      </c>
      <c r="D533" s="171">
        <v>50.68</v>
      </c>
      <c r="E533" s="171">
        <v>39.93</v>
      </c>
      <c r="F533" s="171">
        <v>32</v>
      </c>
      <c r="G533" s="171">
        <v>30.310000000000002</v>
      </c>
      <c r="H533" s="171">
        <v>21.96</v>
      </c>
      <c r="I533" s="171">
        <v>41.89</v>
      </c>
      <c r="J533" s="171">
        <v>57.230000000000004</v>
      </c>
      <c r="K533" s="171">
        <v>80</v>
      </c>
      <c r="L533" s="171">
        <v>79.930000000000007</v>
      </c>
      <c r="M533" s="171">
        <v>100</v>
      </c>
      <c r="N533" s="171">
        <v>110.05</v>
      </c>
      <c r="O533" s="171">
        <v>138</v>
      </c>
      <c r="P533" s="171">
        <v>100</v>
      </c>
      <c r="Q533" s="171">
        <v>138</v>
      </c>
      <c r="R533" s="171">
        <v>138</v>
      </c>
      <c r="S533" s="171">
        <v>100.12</v>
      </c>
      <c r="T533" s="171">
        <v>100</v>
      </c>
      <c r="U533" s="171">
        <v>80.12</v>
      </c>
      <c r="V533" s="171">
        <v>74.12</v>
      </c>
      <c r="W533" s="171">
        <v>69.91</v>
      </c>
      <c r="X533" s="171">
        <v>69.53</v>
      </c>
      <c r="Y533" s="171">
        <v>70</v>
      </c>
      <c r="Z533" s="171">
        <v>90</v>
      </c>
      <c r="AA533" s="171">
        <v>85.12</v>
      </c>
      <c r="AB533" s="171">
        <v>138</v>
      </c>
      <c r="AC533" s="171">
        <v>69.53</v>
      </c>
      <c r="AD533" s="171">
        <v>44.89</v>
      </c>
      <c r="AF533" s="171">
        <f t="shared" si="26"/>
        <v>2008</v>
      </c>
      <c r="AG533" s="171">
        <f t="shared" si="27"/>
        <v>5</v>
      </c>
      <c r="AH533" s="700">
        <f>SUMIF(D$3:$AA533,"&lt;="&amp;$AH$1)/COUNTIF(D$3:$AA533,"&lt;="&amp;$AH$1)</f>
        <v>28.457639740353358</v>
      </c>
    </row>
    <row r="534" spans="2:34" x14ac:dyDescent="0.25">
      <c r="B534" s="910">
        <v>39574</v>
      </c>
      <c r="C534" s="581">
        <f t="shared" si="25"/>
        <v>5</v>
      </c>
      <c r="D534" s="171">
        <v>80</v>
      </c>
      <c r="E534" s="171">
        <v>57.71</v>
      </c>
      <c r="F534" s="171">
        <v>39.96</v>
      </c>
      <c r="G534" s="171">
        <v>34.82</v>
      </c>
      <c r="H534" s="171">
        <v>39.99</v>
      </c>
      <c r="I534" s="171">
        <v>50</v>
      </c>
      <c r="J534" s="171">
        <v>68</v>
      </c>
      <c r="K534" s="171">
        <v>87.94</v>
      </c>
      <c r="L534" s="171">
        <v>104.17</v>
      </c>
      <c r="M534" s="171">
        <v>180</v>
      </c>
      <c r="N534" s="171">
        <v>140</v>
      </c>
      <c r="O534" s="171">
        <v>180</v>
      </c>
      <c r="P534" s="171">
        <v>140</v>
      </c>
      <c r="Q534" s="171">
        <v>160</v>
      </c>
      <c r="R534" s="171">
        <v>140</v>
      </c>
      <c r="S534" s="171">
        <v>120</v>
      </c>
      <c r="T534" s="171">
        <v>104.17</v>
      </c>
      <c r="U534" s="171">
        <v>136</v>
      </c>
      <c r="V534" s="171">
        <v>75.8</v>
      </c>
      <c r="W534" s="171">
        <v>70</v>
      </c>
      <c r="X534" s="171">
        <v>70.16</v>
      </c>
      <c r="Y534" s="171">
        <v>74.960000000000008</v>
      </c>
      <c r="Z534" s="171">
        <v>89.56</v>
      </c>
      <c r="AA534" s="171">
        <v>80</v>
      </c>
      <c r="AB534" s="171">
        <v>180</v>
      </c>
      <c r="AC534" s="171">
        <v>70</v>
      </c>
      <c r="AD534" s="171">
        <v>56.31</v>
      </c>
      <c r="AF534" s="171">
        <f t="shared" si="26"/>
        <v>2008</v>
      </c>
      <c r="AG534" s="171">
        <f t="shared" si="27"/>
        <v>3</v>
      </c>
      <c r="AH534" s="700">
        <f>SUMIF(D$3:$AA534,"&lt;="&amp;$AH$1)/COUNTIF(D$3:$AA534,"&lt;="&amp;$AH$1)</f>
        <v>28.462937466210075</v>
      </c>
    </row>
    <row r="535" spans="2:34" x14ac:dyDescent="0.25">
      <c r="B535" s="910">
        <v>39575</v>
      </c>
      <c r="C535" s="581">
        <f t="shared" si="25"/>
        <v>5</v>
      </c>
      <c r="D535" s="171">
        <v>54.660000000000004</v>
      </c>
      <c r="E535" s="171">
        <v>44.4</v>
      </c>
      <c r="F535" s="171">
        <v>35.9</v>
      </c>
      <c r="G535" s="171">
        <v>30.05</v>
      </c>
      <c r="H535" s="171">
        <v>32.19</v>
      </c>
      <c r="I535" s="171">
        <v>46</v>
      </c>
      <c r="J535" s="171">
        <v>56.74</v>
      </c>
      <c r="K535" s="171">
        <v>80</v>
      </c>
      <c r="L535" s="171">
        <v>109.17</v>
      </c>
      <c r="M535" s="171">
        <v>140</v>
      </c>
      <c r="N535" s="171">
        <v>160</v>
      </c>
      <c r="O535" s="171">
        <v>180</v>
      </c>
      <c r="P535" s="171">
        <v>160</v>
      </c>
      <c r="Q535" s="171">
        <v>180</v>
      </c>
      <c r="R535" s="171">
        <v>140</v>
      </c>
      <c r="S535" s="171">
        <v>150</v>
      </c>
      <c r="T535" s="171">
        <v>134</v>
      </c>
      <c r="U535" s="171">
        <v>97.95</v>
      </c>
      <c r="V535" s="171">
        <v>84.93</v>
      </c>
      <c r="W535" s="171">
        <v>74.930000000000007</v>
      </c>
      <c r="X535" s="171">
        <v>72.739999999999995</v>
      </c>
      <c r="Y535" s="171">
        <v>79.960000000000008</v>
      </c>
      <c r="Z535" s="171">
        <v>100</v>
      </c>
      <c r="AA535" s="171">
        <v>90</v>
      </c>
      <c r="AB535" s="171">
        <v>180</v>
      </c>
      <c r="AC535" s="171">
        <v>72.739999999999995</v>
      </c>
      <c r="AD535" s="171">
        <v>48.74</v>
      </c>
      <c r="AF535" s="171">
        <f t="shared" si="26"/>
        <v>2008</v>
      </c>
      <c r="AG535" s="171">
        <f t="shared" si="27"/>
        <v>3</v>
      </c>
      <c r="AH535" s="700">
        <f>SUMIF(D$3:$AA535,"&lt;="&amp;$AH$1)/COUNTIF(D$3:$AA535,"&lt;="&amp;$AH$1)</f>
        <v>28.465234149855853</v>
      </c>
    </row>
    <row r="536" spans="2:34" x14ac:dyDescent="0.25">
      <c r="B536" s="910">
        <v>39576</v>
      </c>
      <c r="C536" s="581">
        <f t="shared" si="25"/>
        <v>5</v>
      </c>
      <c r="D536" s="171">
        <v>56.57</v>
      </c>
      <c r="E536" s="171">
        <v>49.93</v>
      </c>
      <c r="F536" s="171">
        <v>37.94</v>
      </c>
      <c r="G536" s="171">
        <v>30.16</v>
      </c>
      <c r="H536" s="171">
        <v>32.57</v>
      </c>
      <c r="I536" s="171">
        <v>50</v>
      </c>
      <c r="J536" s="171">
        <v>58.47</v>
      </c>
      <c r="K536" s="171">
        <v>76.489999999999995</v>
      </c>
      <c r="L536" s="171">
        <v>125</v>
      </c>
      <c r="M536" s="171">
        <v>160</v>
      </c>
      <c r="N536" s="171">
        <v>180</v>
      </c>
      <c r="O536" s="171">
        <v>200</v>
      </c>
      <c r="P536" s="171">
        <v>186.01</v>
      </c>
      <c r="Q536" s="171">
        <v>200</v>
      </c>
      <c r="R536" s="171">
        <v>200</v>
      </c>
      <c r="S536" s="171">
        <v>150</v>
      </c>
      <c r="T536" s="171">
        <v>125</v>
      </c>
      <c r="U536" s="171">
        <v>160</v>
      </c>
      <c r="V536" s="171">
        <v>89.99</v>
      </c>
      <c r="W536" s="171">
        <v>76.09</v>
      </c>
      <c r="X536" s="171">
        <v>74.930000000000007</v>
      </c>
      <c r="Y536" s="171">
        <v>75</v>
      </c>
      <c r="Z536" s="171">
        <v>89.960000000000008</v>
      </c>
      <c r="AA536" s="171">
        <v>90</v>
      </c>
      <c r="AB536" s="171">
        <v>200</v>
      </c>
      <c r="AC536" s="171">
        <v>74.930000000000007</v>
      </c>
      <c r="AD536" s="171">
        <v>50.71</v>
      </c>
      <c r="AF536" s="171">
        <f t="shared" si="26"/>
        <v>2008</v>
      </c>
      <c r="AG536" s="171">
        <f t="shared" si="27"/>
        <v>3</v>
      </c>
      <c r="AH536" s="700">
        <f>SUMIF(D$3:$AA536,"&lt;="&amp;$AH$1)/COUNTIF(D$3:$AA536,"&lt;="&amp;$AH$1)</f>
        <v>28.467983798379784</v>
      </c>
    </row>
    <row r="537" spans="2:34" x14ac:dyDescent="0.25">
      <c r="B537" s="910">
        <v>39577</v>
      </c>
      <c r="C537" s="581">
        <f t="shared" si="25"/>
        <v>5</v>
      </c>
      <c r="D537" s="171">
        <v>58.06</v>
      </c>
      <c r="E537" s="171">
        <v>46</v>
      </c>
      <c r="F537" s="171">
        <v>36.450000000000003</v>
      </c>
      <c r="G537" s="171">
        <v>28.3</v>
      </c>
      <c r="H537" s="171">
        <v>26.03</v>
      </c>
      <c r="I537" s="171">
        <v>41.7</v>
      </c>
      <c r="J537" s="171">
        <v>52</v>
      </c>
      <c r="K537" s="171">
        <v>76.19</v>
      </c>
      <c r="L537" s="171">
        <v>107.5</v>
      </c>
      <c r="M537" s="171">
        <v>110.05</v>
      </c>
      <c r="N537" s="171">
        <v>140</v>
      </c>
      <c r="O537" s="171">
        <v>150</v>
      </c>
      <c r="P537" s="171">
        <v>120</v>
      </c>
      <c r="Q537" s="171">
        <v>110.05</v>
      </c>
      <c r="R537" s="171">
        <v>109.93</v>
      </c>
      <c r="S537" s="171">
        <v>107.5</v>
      </c>
      <c r="T537" s="171">
        <v>80</v>
      </c>
      <c r="U537" s="171">
        <v>82.61</v>
      </c>
      <c r="V537" s="171">
        <v>64.540000000000006</v>
      </c>
      <c r="W537" s="171">
        <v>60</v>
      </c>
      <c r="X537" s="171">
        <v>62</v>
      </c>
      <c r="Y537" s="171">
        <v>63.33</v>
      </c>
      <c r="Z537" s="171">
        <v>75</v>
      </c>
      <c r="AA537" s="171">
        <v>63.34</v>
      </c>
      <c r="AB537" s="171">
        <v>150</v>
      </c>
      <c r="AC537" s="171">
        <v>60</v>
      </c>
      <c r="AD537" s="171">
        <v>43.99</v>
      </c>
      <c r="AF537" s="171">
        <f t="shared" si="26"/>
        <v>2008</v>
      </c>
      <c r="AG537" s="171">
        <f t="shared" si="27"/>
        <v>4</v>
      </c>
      <c r="AH537" s="700">
        <f>SUMIF(D$3:$AA537,"&lt;="&amp;$AH$1)/COUNTIF(D$3:$AA537,"&lt;="&amp;$AH$1)</f>
        <v>28.471331174671651</v>
      </c>
    </row>
    <row r="538" spans="2:34" x14ac:dyDescent="0.25">
      <c r="B538" s="910">
        <v>39580</v>
      </c>
      <c r="C538" s="581">
        <f t="shared" si="25"/>
        <v>5</v>
      </c>
      <c r="D538" s="171">
        <v>24.02</v>
      </c>
      <c r="E538" s="171">
        <v>18.059999999999999</v>
      </c>
      <c r="F538" s="171">
        <v>9.16</v>
      </c>
      <c r="G538" s="171">
        <v>8.17</v>
      </c>
      <c r="H538" s="171">
        <v>9.02</v>
      </c>
      <c r="I538" s="171">
        <v>9.01</v>
      </c>
      <c r="J538" s="171">
        <v>7.0600000000000005</v>
      </c>
      <c r="K538" s="171">
        <v>20.6</v>
      </c>
      <c r="L538" s="171">
        <v>40.06</v>
      </c>
      <c r="M538" s="171">
        <v>46</v>
      </c>
      <c r="N538" s="171">
        <v>54.96</v>
      </c>
      <c r="O538" s="171">
        <v>62</v>
      </c>
      <c r="P538" s="171">
        <v>63.17</v>
      </c>
      <c r="Q538" s="171">
        <v>53.69</v>
      </c>
      <c r="R538" s="171">
        <v>46.39</v>
      </c>
      <c r="S538" s="171">
        <v>44.53</v>
      </c>
      <c r="T538" s="171">
        <v>43</v>
      </c>
      <c r="U538" s="171">
        <v>55.550000000000004</v>
      </c>
      <c r="V538" s="171">
        <v>61.36</v>
      </c>
      <c r="W538" s="171">
        <v>65</v>
      </c>
      <c r="X538" s="171">
        <v>67</v>
      </c>
      <c r="Y538" s="171">
        <v>75.28</v>
      </c>
      <c r="Z538" s="171">
        <v>75.12</v>
      </c>
      <c r="AA538" s="171">
        <v>56.74</v>
      </c>
      <c r="AB538" s="171">
        <v>75.28</v>
      </c>
      <c r="AC538" s="171">
        <v>20.6</v>
      </c>
      <c r="AD538" s="171">
        <v>17.98</v>
      </c>
      <c r="AF538" s="171">
        <f t="shared" si="26"/>
        <v>2008</v>
      </c>
      <c r="AG538" s="171">
        <f t="shared" si="27"/>
        <v>9</v>
      </c>
      <c r="AH538" s="700">
        <f>SUMIF(D$3:$AA538,"&lt;="&amp;$AH$1)/COUNTIF(D$3:$AA538,"&lt;="&amp;$AH$1)</f>
        <v>28.451381106321787</v>
      </c>
    </row>
    <row r="539" spans="2:34" x14ac:dyDescent="0.25">
      <c r="B539" s="910">
        <v>39581</v>
      </c>
      <c r="C539" s="581">
        <f t="shared" si="25"/>
        <v>5</v>
      </c>
      <c r="D539" s="171">
        <v>37</v>
      </c>
      <c r="E539" s="171">
        <v>25.98</v>
      </c>
      <c r="F539" s="171">
        <v>17.97</v>
      </c>
      <c r="G539" s="171">
        <v>13.89</v>
      </c>
      <c r="H539" s="171">
        <v>18</v>
      </c>
      <c r="I539" s="171">
        <v>35.79</v>
      </c>
      <c r="J539" s="171">
        <v>55.92</v>
      </c>
      <c r="K539" s="171">
        <v>71.180000000000007</v>
      </c>
      <c r="L539" s="171">
        <v>79.960000000000008</v>
      </c>
      <c r="M539" s="171">
        <v>85.95</v>
      </c>
      <c r="N539" s="171">
        <v>118.15</v>
      </c>
      <c r="O539" s="171">
        <v>150</v>
      </c>
      <c r="P539" s="171">
        <v>120</v>
      </c>
      <c r="Q539" s="171">
        <v>120</v>
      </c>
      <c r="R539" s="171">
        <v>108</v>
      </c>
      <c r="S539" s="171">
        <v>85</v>
      </c>
      <c r="T539" s="171">
        <v>78.75</v>
      </c>
      <c r="U539" s="171">
        <v>65.3</v>
      </c>
      <c r="V539" s="171">
        <v>65.3</v>
      </c>
      <c r="W539" s="171">
        <v>60.89</v>
      </c>
      <c r="X539" s="171">
        <v>62.99</v>
      </c>
      <c r="Y539" s="171">
        <v>65.69</v>
      </c>
      <c r="Z539" s="171">
        <v>64.08</v>
      </c>
      <c r="AA539" s="171">
        <v>57.93</v>
      </c>
      <c r="AB539" s="171">
        <v>150</v>
      </c>
      <c r="AC539" s="171">
        <v>60.89</v>
      </c>
      <c r="AD539" s="171">
        <v>32.81</v>
      </c>
      <c r="AF539" s="171">
        <f t="shared" si="26"/>
        <v>2008</v>
      </c>
      <c r="AG539" s="171">
        <f t="shared" si="27"/>
        <v>6</v>
      </c>
      <c r="AH539" s="700">
        <f>SUMIF(D$3:$AA539,"&lt;="&amp;$AH$1)/COUNTIF(D$3:$AA539,"&lt;="&amp;$AH$1)</f>
        <v>28.447420165051984</v>
      </c>
    </row>
    <row r="540" spans="2:34" x14ac:dyDescent="0.25">
      <c r="B540" s="910">
        <v>39582</v>
      </c>
      <c r="C540" s="581">
        <f t="shared" si="25"/>
        <v>5</v>
      </c>
      <c r="D540" s="171">
        <v>48.15</v>
      </c>
      <c r="E540" s="171">
        <v>39.01</v>
      </c>
      <c r="F540" s="171">
        <v>31.67</v>
      </c>
      <c r="G540" s="171">
        <v>26.95</v>
      </c>
      <c r="H540" s="171">
        <v>32.090000000000003</v>
      </c>
      <c r="I540" s="171">
        <v>44.64</v>
      </c>
      <c r="J540" s="171">
        <v>53.980000000000004</v>
      </c>
      <c r="K540" s="171">
        <v>72.320000000000007</v>
      </c>
      <c r="L540" s="171">
        <v>84</v>
      </c>
      <c r="M540" s="171">
        <v>97.5</v>
      </c>
      <c r="N540" s="171">
        <v>97.5</v>
      </c>
      <c r="O540" s="171">
        <v>128</v>
      </c>
      <c r="P540" s="171">
        <v>100</v>
      </c>
      <c r="Q540" s="171">
        <v>125</v>
      </c>
      <c r="R540" s="171">
        <v>108</v>
      </c>
      <c r="S540" s="171">
        <v>100</v>
      </c>
      <c r="T540" s="171">
        <v>96</v>
      </c>
      <c r="U540" s="171">
        <v>88.5</v>
      </c>
      <c r="V540" s="171">
        <v>71.12</v>
      </c>
      <c r="W540" s="171">
        <v>68.900000000000006</v>
      </c>
      <c r="X540" s="171">
        <v>67.78</v>
      </c>
      <c r="Y540" s="171">
        <v>70</v>
      </c>
      <c r="Z540" s="171">
        <v>71.14</v>
      </c>
      <c r="AA540" s="171">
        <v>61.26</v>
      </c>
      <c r="AB540" s="171">
        <v>128</v>
      </c>
      <c r="AC540" s="171">
        <v>67.78</v>
      </c>
      <c r="AD540" s="171">
        <v>42.22</v>
      </c>
      <c r="AF540" s="171">
        <f t="shared" si="26"/>
        <v>2008</v>
      </c>
      <c r="AG540" s="171">
        <f t="shared" si="27"/>
        <v>4</v>
      </c>
      <c r="AH540" s="700">
        <f>SUMIF(D$3:$AA540,"&lt;="&amp;$AH$1)/COUNTIF(D$3:$AA540,"&lt;="&amp;$AH$1)</f>
        <v>28.450276084618103</v>
      </c>
    </row>
    <row r="541" spans="2:34" x14ac:dyDescent="0.25">
      <c r="B541" s="910">
        <v>39583</v>
      </c>
      <c r="C541" s="581">
        <f t="shared" si="25"/>
        <v>5</v>
      </c>
      <c r="D541" s="171">
        <v>50</v>
      </c>
      <c r="E541" s="171">
        <v>42.09</v>
      </c>
      <c r="F541" s="171">
        <v>37</v>
      </c>
      <c r="G541" s="171">
        <v>30.7</v>
      </c>
      <c r="H541" s="171">
        <v>32.980000000000004</v>
      </c>
      <c r="I541" s="171">
        <v>46.58</v>
      </c>
      <c r="J541" s="171">
        <v>57.92</v>
      </c>
      <c r="K541" s="171">
        <v>76.77</v>
      </c>
      <c r="L541" s="171">
        <v>82.76</v>
      </c>
      <c r="M541" s="171">
        <v>90.58</v>
      </c>
      <c r="N541" s="171">
        <v>108</v>
      </c>
      <c r="O541" s="171">
        <v>135</v>
      </c>
      <c r="P541" s="171">
        <v>118.58</v>
      </c>
      <c r="Q541" s="171">
        <v>119.93</v>
      </c>
      <c r="R541" s="171">
        <v>100.5</v>
      </c>
      <c r="S541" s="171">
        <v>97.5</v>
      </c>
      <c r="T541" s="171">
        <v>79.960000000000008</v>
      </c>
      <c r="U541" s="171">
        <v>76.42</v>
      </c>
      <c r="V541" s="171">
        <v>74.930000000000007</v>
      </c>
      <c r="W541" s="171">
        <v>70.09</v>
      </c>
      <c r="X541" s="171">
        <v>66.87</v>
      </c>
      <c r="Y541" s="171">
        <v>67.790000000000006</v>
      </c>
      <c r="Z541" s="171">
        <v>69.989999999999995</v>
      </c>
      <c r="AA541" s="171">
        <v>60</v>
      </c>
      <c r="AB541" s="171">
        <v>135</v>
      </c>
      <c r="AC541" s="171">
        <v>66.87</v>
      </c>
      <c r="AD541" s="171">
        <v>44.660000000000004</v>
      </c>
      <c r="AF541" s="171">
        <f t="shared" si="26"/>
        <v>2008</v>
      </c>
      <c r="AG541" s="171">
        <f t="shared" si="27"/>
        <v>4</v>
      </c>
      <c r="AH541" s="700">
        <f>SUMIF(D$3:$AA541,"&lt;="&amp;$AH$1)/COUNTIF(D$3:$AA541,"&lt;="&amp;$AH$1)</f>
        <v>28.455465782873485</v>
      </c>
    </row>
    <row r="542" spans="2:34" x14ac:dyDescent="0.25">
      <c r="B542" s="910">
        <v>39584</v>
      </c>
      <c r="C542" s="581">
        <f t="shared" si="25"/>
        <v>5</v>
      </c>
      <c r="D542" s="171">
        <v>53.59</v>
      </c>
      <c r="E542" s="171">
        <v>47.28</v>
      </c>
      <c r="F542" s="171">
        <v>38.020000000000003</v>
      </c>
      <c r="G542" s="171">
        <v>30.8</v>
      </c>
      <c r="H542" s="171">
        <v>32</v>
      </c>
      <c r="I542" s="171">
        <v>46.31</v>
      </c>
      <c r="J542" s="171">
        <v>59</v>
      </c>
      <c r="K542" s="171">
        <v>79.5</v>
      </c>
      <c r="L542" s="171">
        <v>81.58</v>
      </c>
      <c r="M542" s="171">
        <v>103.24000000000001</v>
      </c>
      <c r="N542" s="171">
        <v>100</v>
      </c>
      <c r="O542" s="171">
        <v>100</v>
      </c>
      <c r="P542" s="171">
        <v>91.56</v>
      </c>
      <c r="Q542" s="171">
        <v>86.39</v>
      </c>
      <c r="R542" s="171">
        <v>90</v>
      </c>
      <c r="S542" s="171">
        <v>77.5</v>
      </c>
      <c r="T542" s="171">
        <v>100</v>
      </c>
      <c r="U542" s="171">
        <v>77.81</v>
      </c>
      <c r="V542" s="171">
        <v>70</v>
      </c>
      <c r="W542" s="171">
        <v>65.989999999999995</v>
      </c>
      <c r="X542" s="171">
        <v>61.82</v>
      </c>
      <c r="Y542" s="171">
        <v>64.040000000000006</v>
      </c>
      <c r="Z542" s="171">
        <v>63.39</v>
      </c>
      <c r="AA542" s="171">
        <v>57.77</v>
      </c>
      <c r="AB542" s="171">
        <v>103.24000000000001</v>
      </c>
      <c r="AC542" s="171">
        <v>61.82</v>
      </c>
      <c r="AD542" s="171">
        <v>45.6</v>
      </c>
      <c r="AF542" s="171">
        <f t="shared" si="26"/>
        <v>2008</v>
      </c>
      <c r="AG542" s="171">
        <f t="shared" si="27"/>
        <v>3</v>
      </c>
      <c r="AH542" s="700">
        <f>SUMIF(D$3:$AA542,"&lt;="&amp;$AH$1)/COUNTIF(D$3:$AA542,"&lt;="&amp;$AH$1)</f>
        <v>28.458232766338366</v>
      </c>
    </row>
    <row r="543" spans="2:34" x14ac:dyDescent="0.25">
      <c r="B543" s="910">
        <v>39587</v>
      </c>
      <c r="C543" s="581">
        <f t="shared" si="25"/>
        <v>5</v>
      </c>
      <c r="D543" s="171">
        <v>47.29</v>
      </c>
      <c r="E543" s="171">
        <v>33.53</v>
      </c>
      <c r="F543" s="171">
        <v>30</v>
      </c>
      <c r="G543" s="171">
        <v>20.96</v>
      </c>
      <c r="H543" s="171">
        <v>22.59</v>
      </c>
      <c r="I543" s="171">
        <v>36.33</v>
      </c>
      <c r="J543" s="171">
        <v>54.39</v>
      </c>
      <c r="K543" s="171">
        <v>80.94</v>
      </c>
      <c r="L543" s="171">
        <v>85.77</v>
      </c>
      <c r="M543" s="171">
        <v>91.26</v>
      </c>
      <c r="N543" s="171">
        <v>95.5</v>
      </c>
      <c r="O543" s="171">
        <v>102</v>
      </c>
      <c r="P543" s="171">
        <v>111</v>
      </c>
      <c r="Q543" s="171">
        <v>92.92</v>
      </c>
      <c r="R543" s="171">
        <v>89.94</v>
      </c>
      <c r="S543" s="171">
        <v>85.3</v>
      </c>
      <c r="T543" s="171">
        <v>80.960000000000008</v>
      </c>
      <c r="U543" s="171">
        <v>74.95</v>
      </c>
      <c r="V543" s="171">
        <v>74.98</v>
      </c>
      <c r="W543" s="171">
        <v>70.09</v>
      </c>
      <c r="X543" s="171">
        <v>70</v>
      </c>
      <c r="Y543" s="171">
        <v>68.94</v>
      </c>
      <c r="Z543" s="171">
        <v>69.06</v>
      </c>
      <c r="AA543" s="171">
        <v>61.5</v>
      </c>
      <c r="AB543" s="171">
        <v>111</v>
      </c>
      <c r="AC543" s="171">
        <v>68.94</v>
      </c>
      <c r="AD543" s="171">
        <v>38.32</v>
      </c>
      <c r="AF543" s="171">
        <f t="shared" si="26"/>
        <v>2008</v>
      </c>
      <c r="AG543" s="171">
        <f t="shared" si="27"/>
        <v>5</v>
      </c>
      <c r="AH543" s="700">
        <f>SUMIF(D$3:$AA543,"&lt;="&amp;$AH$1)/COUNTIF(D$3:$AA543,"&lt;="&amp;$AH$1)</f>
        <v>28.458432915921243</v>
      </c>
    </row>
    <row r="544" spans="2:34" x14ac:dyDescent="0.25">
      <c r="B544" s="910">
        <v>39588</v>
      </c>
      <c r="C544" s="581">
        <f t="shared" si="25"/>
        <v>5</v>
      </c>
      <c r="D544" s="171">
        <v>51.09</v>
      </c>
      <c r="E544" s="171">
        <v>45.9</v>
      </c>
      <c r="F544" s="171">
        <v>39.06</v>
      </c>
      <c r="G544" s="171">
        <v>34.99</v>
      </c>
      <c r="H544" s="171">
        <v>33.31</v>
      </c>
      <c r="I544" s="171">
        <v>46.9</v>
      </c>
      <c r="J544" s="171">
        <v>69.040000000000006</v>
      </c>
      <c r="K544" s="171">
        <v>82.29</v>
      </c>
      <c r="L544" s="171">
        <v>92.93</v>
      </c>
      <c r="M544" s="171">
        <v>98.01</v>
      </c>
      <c r="N544" s="171">
        <v>105</v>
      </c>
      <c r="O544" s="171">
        <v>119.56</v>
      </c>
      <c r="P544" s="171">
        <v>98</v>
      </c>
      <c r="Q544" s="171">
        <v>95.58</v>
      </c>
      <c r="R544" s="171">
        <v>92.92</v>
      </c>
      <c r="S544" s="171">
        <v>87.5</v>
      </c>
      <c r="T544" s="171">
        <v>79.100000000000009</v>
      </c>
      <c r="U544" s="171">
        <v>74.06</v>
      </c>
      <c r="V544" s="171">
        <v>73.510000000000005</v>
      </c>
      <c r="W544" s="171">
        <v>71.180000000000007</v>
      </c>
      <c r="X544" s="171">
        <v>70.09</v>
      </c>
      <c r="Y544" s="171">
        <v>71.180000000000007</v>
      </c>
      <c r="Z544" s="171">
        <v>69.06</v>
      </c>
      <c r="AA544" s="171">
        <v>62.93</v>
      </c>
      <c r="AB544" s="171">
        <v>119.56</v>
      </c>
      <c r="AC544" s="171">
        <v>69.06</v>
      </c>
      <c r="AD544" s="171">
        <v>47.9</v>
      </c>
      <c r="AF544" s="171">
        <f t="shared" si="26"/>
        <v>2008</v>
      </c>
      <c r="AG544" s="171">
        <f t="shared" si="27"/>
        <v>3</v>
      </c>
      <c r="AH544" s="700">
        <f>SUMIF(D$3:$AA544,"&lt;="&amp;$AH$1)/COUNTIF(D$3:$AA544,"&lt;="&amp;$AH$1)</f>
        <v>28.462363668871756</v>
      </c>
    </row>
    <row r="545" spans="2:34" x14ac:dyDescent="0.25">
      <c r="B545" s="910">
        <v>39589</v>
      </c>
      <c r="C545" s="581">
        <f t="shared" si="25"/>
        <v>5</v>
      </c>
      <c r="D545" s="171">
        <v>50.230000000000004</v>
      </c>
      <c r="E545" s="171">
        <v>40.42</v>
      </c>
      <c r="F545" s="171">
        <v>33.65</v>
      </c>
      <c r="G545" s="171">
        <v>29.12</v>
      </c>
      <c r="H545" s="171">
        <v>28.77</v>
      </c>
      <c r="I545" s="171">
        <v>32.1</v>
      </c>
      <c r="J545" s="171">
        <v>53.35</v>
      </c>
      <c r="K545" s="171">
        <v>72.070000000000007</v>
      </c>
      <c r="L545" s="171">
        <v>88</v>
      </c>
      <c r="M545" s="171">
        <v>96.48</v>
      </c>
      <c r="N545" s="171">
        <v>98.9</v>
      </c>
      <c r="O545" s="171">
        <v>114.02</v>
      </c>
      <c r="P545" s="171">
        <v>94.06</v>
      </c>
      <c r="Q545" s="171">
        <v>88.05</v>
      </c>
      <c r="R545" s="171">
        <v>91.570000000000007</v>
      </c>
      <c r="S545" s="171">
        <v>84.99</v>
      </c>
      <c r="T545" s="171">
        <v>76.86</v>
      </c>
      <c r="U545" s="171">
        <v>71.62</v>
      </c>
      <c r="V545" s="171">
        <v>74.040000000000006</v>
      </c>
      <c r="W545" s="171">
        <v>72.040000000000006</v>
      </c>
      <c r="X545" s="171">
        <v>66.22</v>
      </c>
      <c r="Y545" s="171">
        <v>69.73</v>
      </c>
      <c r="Z545" s="171">
        <v>65.989999999999995</v>
      </c>
      <c r="AA545" s="171">
        <v>56.01</v>
      </c>
      <c r="AB545" s="171">
        <v>114.02</v>
      </c>
      <c r="AC545" s="171">
        <v>65.989999999999995</v>
      </c>
      <c r="AD545" s="171">
        <v>40.46</v>
      </c>
      <c r="AF545" s="171">
        <f t="shared" si="26"/>
        <v>2008</v>
      </c>
      <c r="AG545" s="171">
        <f t="shared" si="27"/>
        <v>5</v>
      </c>
      <c r="AH545" s="700">
        <f>SUMIF(D$3:$AA545,"&lt;="&amp;$AH$1)/COUNTIF(D$3:$AA545,"&lt;="&amp;$AH$1)</f>
        <v>28.466248660235753</v>
      </c>
    </row>
    <row r="546" spans="2:34" x14ac:dyDescent="0.25">
      <c r="B546" s="910">
        <v>39590</v>
      </c>
      <c r="C546" s="581">
        <f t="shared" si="25"/>
        <v>5</v>
      </c>
      <c r="D546" s="171">
        <v>52.97</v>
      </c>
      <c r="E546" s="171">
        <v>45</v>
      </c>
      <c r="F546" s="171">
        <v>37</v>
      </c>
      <c r="G546" s="171">
        <v>32.5</v>
      </c>
      <c r="H546" s="171">
        <v>29.63</v>
      </c>
      <c r="I546" s="171">
        <v>36.5</v>
      </c>
      <c r="J546" s="171">
        <v>45.99</v>
      </c>
      <c r="K546" s="171">
        <v>60.54</v>
      </c>
      <c r="L546" s="171">
        <v>71.73</v>
      </c>
      <c r="M546" s="171">
        <v>78</v>
      </c>
      <c r="N546" s="171">
        <v>80</v>
      </c>
      <c r="O546" s="171">
        <v>88.08</v>
      </c>
      <c r="P546" s="171">
        <v>81.99</v>
      </c>
      <c r="Q546" s="171">
        <v>75</v>
      </c>
      <c r="R546" s="171">
        <v>98.62</v>
      </c>
      <c r="S546" s="171">
        <v>94.93</v>
      </c>
      <c r="T546" s="171">
        <v>90</v>
      </c>
      <c r="U546" s="171">
        <v>75</v>
      </c>
      <c r="V546" s="171">
        <v>68</v>
      </c>
      <c r="W546" s="171">
        <v>65.09</v>
      </c>
      <c r="X546" s="171">
        <v>64</v>
      </c>
      <c r="Y546" s="171">
        <v>62.940000000000005</v>
      </c>
      <c r="Z546" s="171">
        <v>63.1</v>
      </c>
      <c r="AA546" s="171">
        <v>57.03</v>
      </c>
      <c r="AB546" s="171">
        <v>98.62</v>
      </c>
      <c r="AC546" s="171">
        <v>60.54</v>
      </c>
      <c r="AD546" s="171">
        <v>42.08</v>
      </c>
      <c r="AF546" s="171">
        <f t="shared" si="26"/>
        <v>2008</v>
      </c>
      <c r="AG546" s="171">
        <f t="shared" si="27"/>
        <v>4</v>
      </c>
      <c r="AH546" s="700">
        <f>SUMIF(D$3:$AA546,"&lt;="&amp;$AH$1)/COUNTIF(D$3:$AA546,"&lt;="&amp;$AH$1)</f>
        <v>28.470133880756826</v>
      </c>
    </row>
    <row r="547" spans="2:34" x14ac:dyDescent="0.25">
      <c r="B547" s="910">
        <v>39591</v>
      </c>
      <c r="C547" s="581">
        <f t="shared" si="25"/>
        <v>5</v>
      </c>
      <c r="D547" s="171">
        <v>50.980000000000004</v>
      </c>
      <c r="E547" s="171">
        <v>46.42</v>
      </c>
      <c r="F547" s="171">
        <v>31.93</v>
      </c>
      <c r="G547" s="171">
        <v>26.41</v>
      </c>
      <c r="H547" s="171">
        <v>29.27</v>
      </c>
      <c r="I547" s="171">
        <v>35.369999999999997</v>
      </c>
      <c r="J547" s="171">
        <v>52.52</v>
      </c>
      <c r="K547" s="171">
        <v>70</v>
      </c>
      <c r="L547" s="171">
        <v>77.92</v>
      </c>
      <c r="M547" s="171">
        <v>84</v>
      </c>
      <c r="N547" s="171">
        <v>87.93</v>
      </c>
      <c r="O547" s="171">
        <v>95</v>
      </c>
      <c r="P547" s="171">
        <v>96.070000000000007</v>
      </c>
      <c r="Q547" s="171">
        <v>83.95</v>
      </c>
      <c r="R547" s="171">
        <v>79.92</v>
      </c>
      <c r="S547" s="171">
        <v>74</v>
      </c>
      <c r="T547" s="171">
        <v>68.45</v>
      </c>
      <c r="U547" s="171">
        <v>68</v>
      </c>
      <c r="V547" s="171">
        <v>68.070000000000007</v>
      </c>
      <c r="W547" s="171">
        <v>66.260000000000005</v>
      </c>
      <c r="X547" s="171">
        <v>61.95</v>
      </c>
      <c r="Y547" s="171">
        <v>62.88</v>
      </c>
      <c r="Z547" s="171">
        <v>64.55</v>
      </c>
      <c r="AA547" s="171">
        <v>62.09</v>
      </c>
      <c r="AB547" s="171">
        <v>96.070000000000007</v>
      </c>
      <c r="AC547" s="171">
        <v>61.95</v>
      </c>
      <c r="AD547" s="171">
        <v>41.87</v>
      </c>
      <c r="AF547" s="171">
        <f t="shared" si="26"/>
        <v>2008</v>
      </c>
      <c r="AG547" s="171">
        <f t="shared" si="27"/>
        <v>4</v>
      </c>
      <c r="AH547" s="700">
        <f>SUMIF(D$3:$AA547,"&lt;="&amp;$AH$1)/COUNTIF(D$3:$AA547,"&lt;="&amp;$AH$1)</f>
        <v>28.47175704602207</v>
      </c>
    </row>
    <row r="548" spans="2:34" x14ac:dyDescent="0.25">
      <c r="B548" s="910">
        <v>39594</v>
      </c>
      <c r="C548" s="581">
        <f t="shared" si="25"/>
        <v>5</v>
      </c>
      <c r="D548" s="171">
        <v>40.700000000000003</v>
      </c>
      <c r="E548" s="171">
        <v>26</v>
      </c>
      <c r="F548" s="171">
        <v>16.02</v>
      </c>
      <c r="G548" s="171">
        <v>9.93</v>
      </c>
      <c r="H548" s="171">
        <v>10.5</v>
      </c>
      <c r="I548" s="171">
        <v>19.96</v>
      </c>
      <c r="J548" s="171">
        <v>49.660000000000004</v>
      </c>
      <c r="K548" s="171">
        <v>74.489999999999995</v>
      </c>
      <c r="L548" s="171">
        <v>80</v>
      </c>
      <c r="M548" s="171">
        <v>89.9</v>
      </c>
      <c r="N548" s="171">
        <v>90.62</v>
      </c>
      <c r="O548" s="171">
        <v>98.61</v>
      </c>
      <c r="P548" s="171">
        <v>95.8</v>
      </c>
      <c r="Q548" s="171">
        <v>91.99</v>
      </c>
      <c r="R548" s="171">
        <v>89</v>
      </c>
      <c r="S548" s="171">
        <v>83.7</v>
      </c>
      <c r="T548" s="171">
        <v>74</v>
      </c>
      <c r="U548" s="171">
        <v>71.820000000000007</v>
      </c>
      <c r="V548" s="171">
        <v>71.180000000000007</v>
      </c>
      <c r="W548" s="171">
        <v>70</v>
      </c>
      <c r="X548" s="171">
        <v>63.01</v>
      </c>
      <c r="Y548" s="171">
        <v>63.03</v>
      </c>
      <c r="Z548" s="171">
        <v>68</v>
      </c>
      <c r="AA548" s="171">
        <v>62.01</v>
      </c>
      <c r="AB548" s="171">
        <v>98.61</v>
      </c>
      <c r="AC548" s="171">
        <v>63.01</v>
      </c>
      <c r="AD548" s="171">
        <v>29.35</v>
      </c>
      <c r="AF548" s="171">
        <f t="shared" si="26"/>
        <v>2008</v>
      </c>
      <c r="AG548" s="171">
        <f t="shared" si="27"/>
        <v>6</v>
      </c>
      <c r="AH548" s="700">
        <f>SUMIF(D$3:$AA548,"&lt;="&amp;$AH$1)/COUNTIF(D$3:$AA548,"&lt;="&amp;$AH$1)</f>
        <v>28.463253741981415</v>
      </c>
    </row>
    <row r="549" spans="2:34" x14ac:dyDescent="0.25">
      <c r="B549" s="910">
        <v>39595</v>
      </c>
      <c r="C549" s="581">
        <f t="shared" si="25"/>
        <v>5</v>
      </c>
      <c r="D549" s="171">
        <v>50</v>
      </c>
      <c r="E549" s="171">
        <v>40.07</v>
      </c>
      <c r="F549" s="171">
        <v>28.52</v>
      </c>
      <c r="G549" s="171">
        <v>20.96</v>
      </c>
      <c r="H549" s="171">
        <v>23.990000000000002</v>
      </c>
      <c r="I549" s="171">
        <v>29.25</v>
      </c>
      <c r="J549" s="171">
        <v>48</v>
      </c>
      <c r="K549" s="171">
        <v>68.92</v>
      </c>
      <c r="L549" s="171">
        <v>78.28</v>
      </c>
      <c r="M549" s="171">
        <v>86.99</v>
      </c>
      <c r="N549" s="171">
        <v>92.01</v>
      </c>
      <c r="O549" s="171">
        <v>100.01</v>
      </c>
      <c r="P549" s="171">
        <v>93.08</v>
      </c>
      <c r="Q549" s="171">
        <v>87.06</v>
      </c>
      <c r="R549" s="171">
        <v>86.18</v>
      </c>
      <c r="S549" s="171">
        <v>76.16</v>
      </c>
      <c r="T549" s="171">
        <v>71.100000000000009</v>
      </c>
      <c r="U549" s="171">
        <v>69.08</v>
      </c>
      <c r="V549" s="171">
        <v>68</v>
      </c>
      <c r="W549" s="171">
        <v>64.3</v>
      </c>
      <c r="X549" s="171">
        <v>59.57</v>
      </c>
      <c r="Y549" s="171">
        <v>58.870000000000005</v>
      </c>
      <c r="Z549" s="171">
        <v>59.93</v>
      </c>
      <c r="AA549" s="171">
        <v>57</v>
      </c>
      <c r="AB549" s="171">
        <v>100.01</v>
      </c>
      <c r="AC549" s="171">
        <v>58.870000000000005</v>
      </c>
      <c r="AD549" s="171">
        <v>37.22</v>
      </c>
      <c r="AF549" s="171">
        <f t="shared" si="26"/>
        <v>2008</v>
      </c>
      <c r="AG549" s="171">
        <f t="shared" si="27"/>
        <v>5</v>
      </c>
      <c r="AH549" s="700">
        <f>SUMIF(D$3:$AA549,"&lt;="&amp;$AH$1)/COUNTIF(D$3:$AA549,"&lt;="&amp;$AH$1)</f>
        <v>28.463338080826009</v>
      </c>
    </row>
    <row r="550" spans="2:34" x14ac:dyDescent="0.25">
      <c r="B550" s="910">
        <v>39596</v>
      </c>
      <c r="C550" s="581">
        <f t="shared" si="25"/>
        <v>5</v>
      </c>
      <c r="D550" s="171">
        <v>46.4</v>
      </c>
      <c r="E550" s="171">
        <v>29.93</v>
      </c>
      <c r="F550" s="171">
        <v>19.97</v>
      </c>
      <c r="G550" s="171">
        <v>10.01</v>
      </c>
      <c r="H550" s="171">
        <v>9.16</v>
      </c>
      <c r="I550" s="171">
        <v>20.32</v>
      </c>
      <c r="J550" s="171">
        <v>45</v>
      </c>
      <c r="K550" s="171">
        <v>68</v>
      </c>
      <c r="L550" s="171">
        <v>76.010000000000005</v>
      </c>
      <c r="M550" s="171">
        <v>86.06</v>
      </c>
      <c r="N550" s="171">
        <v>90.3</v>
      </c>
      <c r="O550" s="171">
        <v>98.09</v>
      </c>
      <c r="P550" s="171">
        <v>98.02</v>
      </c>
      <c r="Q550" s="171">
        <v>96.04</v>
      </c>
      <c r="R550" s="171">
        <v>93.75</v>
      </c>
      <c r="S550" s="171">
        <v>76.02</v>
      </c>
      <c r="T550" s="171">
        <v>70.070000000000007</v>
      </c>
      <c r="U550" s="171">
        <v>63.57</v>
      </c>
      <c r="V550" s="171">
        <v>70.040000000000006</v>
      </c>
      <c r="W550" s="171">
        <v>64.099999999999994</v>
      </c>
      <c r="X550" s="171">
        <v>64</v>
      </c>
      <c r="Y550" s="171">
        <v>62.4</v>
      </c>
      <c r="Z550" s="171">
        <v>66.06</v>
      </c>
      <c r="AA550" s="171">
        <v>60</v>
      </c>
      <c r="AB550" s="171">
        <v>98.09</v>
      </c>
      <c r="AC550" s="171">
        <v>62.4</v>
      </c>
      <c r="AD550" s="171">
        <v>30.1</v>
      </c>
      <c r="AF550" s="171">
        <f t="shared" si="26"/>
        <v>2008</v>
      </c>
      <c r="AG550" s="171">
        <f t="shared" si="27"/>
        <v>5</v>
      </c>
      <c r="AH550" s="700">
        <f>SUMIF(D$3:$AA550,"&lt;="&amp;$AH$1)/COUNTIF(D$3:$AA550,"&lt;="&amp;$AH$1)</f>
        <v>28.453923870508664</v>
      </c>
    </row>
    <row r="551" spans="2:34" x14ac:dyDescent="0.25">
      <c r="B551" s="910">
        <v>39597</v>
      </c>
      <c r="C551" s="581">
        <f t="shared" si="25"/>
        <v>5</v>
      </c>
      <c r="D551" s="171">
        <v>56.13</v>
      </c>
      <c r="E551" s="171">
        <v>44.85</v>
      </c>
      <c r="F551" s="171">
        <v>32.03</v>
      </c>
      <c r="G551" s="171">
        <v>25.92</v>
      </c>
      <c r="H551" s="171">
        <v>27</v>
      </c>
      <c r="I551" s="171">
        <v>35</v>
      </c>
      <c r="J551" s="171">
        <v>51.96</v>
      </c>
      <c r="K551" s="171">
        <v>77.12</v>
      </c>
      <c r="L551" s="171">
        <v>83.56</v>
      </c>
      <c r="M551" s="171">
        <v>101.81</v>
      </c>
      <c r="N551" s="171">
        <v>108.04</v>
      </c>
      <c r="O551" s="171">
        <v>119.08</v>
      </c>
      <c r="P551" s="171">
        <v>106.68</v>
      </c>
      <c r="Q551" s="171">
        <v>98.29</v>
      </c>
      <c r="R551" s="171">
        <v>103.01</v>
      </c>
      <c r="S551" s="171">
        <v>88.4</v>
      </c>
      <c r="T551" s="171">
        <v>76.11</v>
      </c>
      <c r="U551" s="171">
        <v>75.02</v>
      </c>
      <c r="V551" s="171">
        <v>73</v>
      </c>
      <c r="W551" s="171">
        <v>71.16</v>
      </c>
      <c r="X551" s="171">
        <v>64.930000000000007</v>
      </c>
      <c r="Y551" s="171">
        <v>65</v>
      </c>
      <c r="Z551" s="171">
        <v>68.05</v>
      </c>
      <c r="AA551" s="171">
        <v>58.04</v>
      </c>
      <c r="AB551" s="171">
        <v>119.08</v>
      </c>
      <c r="AC551" s="171">
        <v>64.930000000000007</v>
      </c>
      <c r="AD551" s="171">
        <v>41.37</v>
      </c>
      <c r="AF551" s="171">
        <f t="shared" si="26"/>
        <v>2008</v>
      </c>
      <c r="AG551" s="171">
        <f t="shared" si="27"/>
        <v>4</v>
      </c>
      <c r="AH551" s="700">
        <f>SUMIF(D$3:$AA551,"&lt;="&amp;$AH$1)/COUNTIF(D$3:$AA551,"&lt;="&amp;$AH$1)</f>
        <v>28.455014219694224</v>
      </c>
    </row>
    <row r="552" spans="2:34" x14ac:dyDescent="0.25">
      <c r="B552" s="910">
        <v>39598</v>
      </c>
      <c r="C552" s="581">
        <f t="shared" si="25"/>
        <v>5</v>
      </c>
      <c r="D552" s="171">
        <v>50.75</v>
      </c>
      <c r="E552" s="171">
        <v>42.94</v>
      </c>
      <c r="F552" s="171">
        <v>28</v>
      </c>
      <c r="G552" s="171">
        <v>23</v>
      </c>
      <c r="H552" s="171">
        <v>25.26</v>
      </c>
      <c r="I552" s="171">
        <v>37.32</v>
      </c>
      <c r="J552" s="171">
        <v>57.79</v>
      </c>
      <c r="K552" s="171">
        <v>71.989999999999995</v>
      </c>
      <c r="L552" s="171">
        <v>84.11</v>
      </c>
      <c r="M552" s="171">
        <v>100</v>
      </c>
      <c r="N552" s="171">
        <v>110.97</v>
      </c>
      <c r="O552" s="171">
        <v>138.99</v>
      </c>
      <c r="P552" s="171">
        <v>103</v>
      </c>
      <c r="Q552" s="171">
        <v>91.29</v>
      </c>
      <c r="R552" s="171">
        <v>89</v>
      </c>
      <c r="S552" s="171">
        <v>82.51</v>
      </c>
      <c r="T552" s="171">
        <v>74.930000000000007</v>
      </c>
      <c r="U552" s="171">
        <v>72.63</v>
      </c>
      <c r="V552" s="171">
        <v>70.960000000000008</v>
      </c>
      <c r="W552" s="171">
        <v>69.040000000000006</v>
      </c>
      <c r="X552" s="171">
        <v>65.72</v>
      </c>
      <c r="Y552" s="171">
        <v>64.650000000000006</v>
      </c>
      <c r="Z552" s="171">
        <v>70</v>
      </c>
      <c r="AA552" s="171">
        <v>57.07</v>
      </c>
      <c r="AB552" s="171">
        <v>138.99</v>
      </c>
      <c r="AC552" s="171">
        <v>64.650000000000006</v>
      </c>
      <c r="AD552" s="171">
        <v>40.270000000000003</v>
      </c>
      <c r="AF552" s="171">
        <f t="shared" si="26"/>
        <v>2008</v>
      </c>
      <c r="AG552" s="171">
        <f t="shared" si="27"/>
        <v>4</v>
      </c>
      <c r="AH552" s="700">
        <f>SUMIF(D$3:$AA552,"&lt;="&amp;$AH$1)/COUNTIF(D$3:$AA552,"&lt;="&amp;$AH$1)</f>
        <v>28.454971580817002</v>
      </c>
    </row>
    <row r="553" spans="2:34" x14ac:dyDescent="0.25">
      <c r="B553" s="910">
        <v>39601</v>
      </c>
      <c r="C553" s="581">
        <f t="shared" si="25"/>
        <v>6</v>
      </c>
      <c r="D553" s="171">
        <v>44</v>
      </c>
      <c r="E553" s="171">
        <v>34</v>
      </c>
      <c r="F553" s="171">
        <v>20</v>
      </c>
      <c r="G553" s="171">
        <v>15.01</v>
      </c>
      <c r="H553" s="171">
        <v>16.27</v>
      </c>
      <c r="I553" s="171">
        <v>22.43</v>
      </c>
      <c r="J553" s="171">
        <v>44.96</v>
      </c>
      <c r="K553" s="171">
        <v>72.070000000000007</v>
      </c>
      <c r="L553" s="171">
        <v>72.100000000000009</v>
      </c>
      <c r="M553" s="171">
        <v>90.04</v>
      </c>
      <c r="N553" s="171">
        <v>102.07000000000001</v>
      </c>
      <c r="O553" s="171">
        <v>150.08000000000001</v>
      </c>
      <c r="P553" s="171">
        <v>114.09</v>
      </c>
      <c r="Q553" s="171">
        <v>105.02</v>
      </c>
      <c r="R553" s="171">
        <v>96.51</v>
      </c>
      <c r="S553" s="171">
        <v>88</v>
      </c>
      <c r="T553" s="171">
        <v>87.350000000000009</v>
      </c>
      <c r="U553" s="171">
        <v>78.510000000000005</v>
      </c>
      <c r="V553" s="171">
        <v>74.33</v>
      </c>
      <c r="W553" s="171">
        <v>72.070000000000007</v>
      </c>
      <c r="X553" s="171">
        <v>74.930000000000007</v>
      </c>
      <c r="Y553" s="171">
        <v>71.11</v>
      </c>
      <c r="Z553" s="171">
        <v>78.05</v>
      </c>
      <c r="AA553" s="171">
        <v>63.04</v>
      </c>
      <c r="AB553" s="171">
        <v>150.08000000000001</v>
      </c>
      <c r="AC553" s="171">
        <v>71.11</v>
      </c>
      <c r="AD553" s="171">
        <v>32.46</v>
      </c>
      <c r="AF553" s="171">
        <f t="shared" si="26"/>
        <v>2008</v>
      </c>
      <c r="AG553" s="171">
        <f t="shared" si="27"/>
        <v>5</v>
      </c>
      <c r="AH553" s="700">
        <f>SUMIF(D$3:$AA553,"&lt;="&amp;$AH$1)/COUNTIF(D$3:$AA553,"&lt;="&amp;$AH$1)</f>
        <v>28.448837622005275</v>
      </c>
    </row>
    <row r="554" spans="2:34" x14ac:dyDescent="0.25">
      <c r="B554" s="910">
        <v>39602</v>
      </c>
      <c r="C554" s="581">
        <f t="shared" si="25"/>
        <v>6</v>
      </c>
      <c r="D554" s="171">
        <v>53.15</v>
      </c>
      <c r="E554" s="171">
        <v>44.92</v>
      </c>
      <c r="F554" s="171">
        <v>30</v>
      </c>
      <c r="G554" s="171">
        <v>20.900000000000002</v>
      </c>
      <c r="H554" s="171">
        <v>26.61</v>
      </c>
      <c r="I554" s="171">
        <v>35</v>
      </c>
      <c r="J554" s="171">
        <v>58.28</v>
      </c>
      <c r="K554" s="171">
        <v>94.29</v>
      </c>
      <c r="L554" s="171">
        <v>108.07000000000001</v>
      </c>
      <c r="M554" s="171">
        <v>132.05000000000001</v>
      </c>
      <c r="N554" s="171">
        <v>149.9</v>
      </c>
      <c r="O554" s="171">
        <v>190.01</v>
      </c>
      <c r="P554" s="171">
        <v>159.09</v>
      </c>
      <c r="Q554" s="171">
        <v>134</v>
      </c>
      <c r="R554" s="171">
        <v>135.91</v>
      </c>
      <c r="S554" s="171">
        <v>124.45</v>
      </c>
      <c r="T554" s="171">
        <v>105.09</v>
      </c>
      <c r="U554" s="171">
        <v>96.62</v>
      </c>
      <c r="V554" s="171">
        <v>92.27</v>
      </c>
      <c r="W554" s="171">
        <v>79.59</v>
      </c>
      <c r="X554" s="171">
        <v>77</v>
      </c>
      <c r="Y554" s="171">
        <v>71.100000000000009</v>
      </c>
      <c r="Z554" s="171">
        <v>78.64</v>
      </c>
      <c r="AA554" s="171">
        <v>69.400000000000006</v>
      </c>
      <c r="AB554" s="171">
        <v>190.01</v>
      </c>
      <c r="AC554" s="171">
        <v>71.100000000000009</v>
      </c>
      <c r="AD554" s="171">
        <v>42.28</v>
      </c>
      <c r="AF554" s="171">
        <f t="shared" si="26"/>
        <v>2008</v>
      </c>
      <c r="AG554" s="171">
        <f t="shared" si="27"/>
        <v>4</v>
      </c>
      <c r="AH554" s="700">
        <f>SUMIF(D$3:$AA554,"&lt;="&amp;$AH$1)/COUNTIF(D$3:$AA554,"&lt;="&amp;$AH$1)</f>
        <v>28.448609682567778</v>
      </c>
    </row>
    <row r="555" spans="2:34" x14ac:dyDescent="0.25">
      <c r="B555" s="910">
        <v>39603</v>
      </c>
      <c r="C555" s="581">
        <f t="shared" si="25"/>
        <v>6</v>
      </c>
      <c r="D555" s="171">
        <v>60</v>
      </c>
      <c r="E555" s="171">
        <v>49.72</v>
      </c>
      <c r="F555" s="171">
        <v>39.800000000000004</v>
      </c>
      <c r="G555" s="171">
        <v>31.93</v>
      </c>
      <c r="H555" s="171">
        <v>39</v>
      </c>
      <c r="I555" s="171">
        <v>50.93</v>
      </c>
      <c r="J555" s="171">
        <v>62.61</v>
      </c>
      <c r="K555" s="171">
        <v>96.89</v>
      </c>
      <c r="L555" s="171">
        <v>107.9</v>
      </c>
      <c r="M555" s="171">
        <v>136.53</v>
      </c>
      <c r="N555" s="171">
        <v>165.02</v>
      </c>
      <c r="O555" s="171">
        <v>193.45000000000002</v>
      </c>
      <c r="P555" s="171">
        <v>162.01</v>
      </c>
      <c r="Q555" s="171">
        <v>153.01</v>
      </c>
      <c r="R555" s="171">
        <v>136.68</v>
      </c>
      <c r="S555" s="171">
        <v>110.97</v>
      </c>
      <c r="T555" s="171">
        <v>97</v>
      </c>
      <c r="U555" s="171">
        <v>83.11</v>
      </c>
      <c r="V555" s="171">
        <v>81.47</v>
      </c>
      <c r="W555" s="171">
        <v>74.930000000000007</v>
      </c>
      <c r="X555" s="171">
        <v>76.75</v>
      </c>
      <c r="Y555" s="171">
        <v>72.5</v>
      </c>
      <c r="Z555" s="171">
        <v>75.760000000000005</v>
      </c>
      <c r="AA555" s="171">
        <v>62.74</v>
      </c>
      <c r="AB555" s="171">
        <v>193.45000000000002</v>
      </c>
      <c r="AC555" s="171">
        <v>72.5</v>
      </c>
      <c r="AD555" s="171">
        <v>49.59</v>
      </c>
      <c r="AF555" s="171">
        <f t="shared" si="26"/>
        <v>2008</v>
      </c>
      <c r="AG555" s="171">
        <f t="shared" si="27"/>
        <v>3</v>
      </c>
      <c r="AH555" s="700">
        <f>SUMIF(D$3:$AA555,"&lt;="&amp;$AH$1)/COUNTIF(D$3:$AA555,"&lt;="&amp;$AH$1)</f>
        <v>28.453108826657157</v>
      </c>
    </row>
    <row r="556" spans="2:34" x14ac:dyDescent="0.25">
      <c r="B556" s="910">
        <v>39604</v>
      </c>
      <c r="C556" s="581">
        <f t="shared" si="25"/>
        <v>6</v>
      </c>
      <c r="D556" s="171">
        <v>57.64</v>
      </c>
      <c r="E556" s="171">
        <v>45.12</v>
      </c>
      <c r="F556" s="171">
        <v>38</v>
      </c>
      <c r="G556" s="171">
        <v>34</v>
      </c>
      <c r="H556" s="171">
        <v>38</v>
      </c>
      <c r="I556" s="171">
        <v>39.450000000000003</v>
      </c>
      <c r="J556" s="171">
        <v>58.51</v>
      </c>
      <c r="K556" s="171">
        <v>80.06</v>
      </c>
      <c r="L556" s="171">
        <v>102</v>
      </c>
      <c r="M556" s="171">
        <v>147.05000000000001</v>
      </c>
      <c r="N556" s="171">
        <v>160</v>
      </c>
      <c r="O556" s="171">
        <v>165.07</v>
      </c>
      <c r="P556" s="171">
        <v>146.33000000000001</v>
      </c>
      <c r="Q556" s="171">
        <v>120.95</v>
      </c>
      <c r="R556" s="171">
        <v>118.02</v>
      </c>
      <c r="S556" s="171">
        <v>117.02</v>
      </c>
      <c r="T556" s="171">
        <v>106.33</v>
      </c>
      <c r="U556" s="171">
        <v>92.67</v>
      </c>
      <c r="V556" s="171">
        <v>87.04</v>
      </c>
      <c r="W556" s="171">
        <v>79.989999999999995</v>
      </c>
      <c r="X556" s="171">
        <v>75.570000000000007</v>
      </c>
      <c r="Y556" s="171">
        <v>69.03</v>
      </c>
      <c r="Z556" s="171">
        <v>73.5</v>
      </c>
      <c r="AA556" s="171">
        <v>63.07</v>
      </c>
      <c r="AB556" s="171">
        <v>165.07</v>
      </c>
      <c r="AC556" s="171">
        <v>69.03</v>
      </c>
      <c r="AD556" s="171">
        <v>46.72</v>
      </c>
      <c r="AF556" s="171">
        <f t="shared" si="26"/>
        <v>2008</v>
      </c>
      <c r="AG556" s="171">
        <f t="shared" si="27"/>
        <v>4</v>
      </c>
      <c r="AH556" s="700">
        <f>SUMIF(D$3:$AA556,"&lt;="&amp;$AH$1)/COUNTIF(D$3:$AA556,"&lt;="&amp;$AH$1)</f>
        <v>28.459420828905365</v>
      </c>
    </row>
    <row r="557" spans="2:34" x14ac:dyDescent="0.25">
      <c r="B557" s="910">
        <v>39605</v>
      </c>
      <c r="C557" s="581">
        <f t="shared" si="25"/>
        <v>6</v>
      </c>
      <c r="D557" s="171">
        <v>61.44</v>
      </c>
      <c r="E557" s="171">
        <v>46</v>
      </c>
      <c r="F557" s="171">
        <v>36.520000000000003</v>
      </c>
      <c r="G557" s="171">
        <v>31.91</v>
      </c>
      <c r="H557" s="171">
        <v>35.160000000000004</v>
      </c>
      <c r="I557" s="171">
        <v>38.75</v>
      </c>
      <c r="J557" s="171">
        <v>57.33</v>
      </c>
      <c r="K557" s="171">
        <v>76</v>
      </c>
      <c r="L557" s="171">
        <v>86.350000000000009</v>
      </c>
      <c r="M557" s="171">
        <v>110.69</v>
      </c>
      <c r="N557" s="171">
        <v>133.22</v>
      </c>
      <c r="O557" s="171">
        <v>150.56</v>
      </c>
      <c r="P557" s="171">
        <v>125.5</v>
      </c>
      <c r="Q557" s="171">
        <v>108.37</v>
      </c>
      <c r="R557" s="171">
        <v>104.11</v>
      </c>
      <c r="S557" s="171">
        <v>93.03</v>
      </c>
      <c r="T557" s="171">
        <v>84.93</v>
      </c>
      <c r="U557" s="171">
        <v>75.960000000000008</v>
      </c>
      <c r="V557" s="171">
        <v>71.97</v>
      </c>
      <c r="W557" s="171">
        <v>71.19</v>
      </c>
      <c r="X557" s="171">
        <v>70.75</v>
      </c>
      <c r="Y557" s="171">
        <v>67.599999999999994</v>
      </c>
      <c r="Z557" s="171">
        <v>71.180000000000007</v>
      </c>
      <c r="AA557" s="171">
        <v>64.23</v>
      </c>
      <c r="AB557" s="171">
        <v>150.56</v>
      </c>
      <c r="AC557" s="171">
        <v>67.599999999999994</v>
      </c>
      <c r="AD557" s="171">
        <v>46.42</v>
      </c>
      <c r="AF557" s="171">
        <f t="shared" si="26"/>
        <v>2008</v>
      </c>
      <c r="AG557" s="171">
        <f t="shared" si="27"/>
        <v>4</v>
      </c>
      <c r="AH557" s="700">
        <f>SUMIF(D$3:$AA557,"&lt;="&amp;$AH$1)/COUNTIF(D$3:$AA557,"&lt;="&amp;$AH$1)</f>
        <v>28.464465486725608</v>
      </c>
    </row>
    <row r="558" spans="2:34" x14ac:dyDescent="0.25">
      <c r="B558" s="910">
        <v>39608</v>
      </c>
      <c r="C558" s="581">
        <f t="shared" si="25"/>
        <v>6</v>
      </c>
      <c r="D558" s="171">
        <v>59.93</v>
      </c>
      <c r="E558" s="171">
        <v>51</v>
      </c>
      <c r="F558" s="171">
        <v>44.99</v>
      </c>
      <c r="G558" s="171">
        <v>39.300000000000004</v>
      </c>
      <c r="H558" s="171">
        <v>40.46</v>
      </c>
      <c r="I558" s="171">
        <v>48.25</v>
      </c>
      <c r="J558" s="171">
        <v>75</v>
      </c>
      <c r="K558" s="171">
        <v>106.5</v>
      </c>
      <c r="L558" s="171">
        <v>98.39</v>
      </c>
      <c r="M558" s="171">
        <v>137.97999999999999</v>
      </c>
      <c r="N558" s="171">
        <v>160</v>
      </c>
      <c r="O558" s="171">
        <v>200</v>
      </c>
      <c r="P558" s="171">
        <v>168.05</v>
      </c>
      <c r="Q558" s="171">
        <v>142.91</v>
      </c>
      <c r="R558" s="171">
        <v>134</v>
      </c>
      <c r="S558" s="171">
        <v>126.03</v>
      </c>
      <c r="T558" s="171">
        <v>108</v>
      </c>
      <c r="U558" s="171">
        <v>97.710000000000008</v>
      </c>
      <c r="V558" s="171">
        <v>85.92</v>
      </c>
      <c r="W558" s="171">
        <v>77</v>
      </c>
      <c r="X558" s="171">
        <v>80</v>
      </c>
      <c r="Y558" s="171">
        <v>71.540000000000006</v>
      </c>
      <c r="Z558" s="171">
        <v>83.58</v>
      </c>
      <c r="AA558" s="171">
        <v>70</v>
      </c>
      <c r="AB558" s="171">
        <v>200</v>
      </c>
      <c r="AC558" s="171">
        <v>71.540000000000006</v>
      </c>
      <c r="AD558" s="171">
        <v>53.620000000000005</v>
      </c>
      <c r="AF558" s="171">
        <f t="shared" si="26"/>
        <v>2008</v>
      </c>
      <c r="AG558" s="171">
        <f t="shared" si="27"/>
        <v>2</v>
      </c>
      <c r="AH558" s="700">
        <f>SUMIF(D$3:$AA558,"&lt;="&amp;$AH$1)/COUNTIF(D$3:$AA558,"&lt;="&amp;$AH$1)</f>
        <v>28.468504953998526</v>
      </c>
    </row>
    <row r="559" spans="2:34" x14ac:dyDescent="0.25">
      <c r="B559" s="910">
        <v>39609</v>
      </c>
      <c r="C559" s="581">
        <f t="shared" si="25"/>
        <v>6</v>
      </c>
      <c r="D559" s="171">
        <v>72.62</v>
      </c>
      <c r="E559" s="171">
        <v>55.79</v>
      </c>
      <c r="F559" s="171">
        <v>50.04</v>
      </c>
      <c r="G559" s="171">
        <v>42.53</v>
      </c>
      <c r="H559" s="171">
        <v>45.99</v>
      </c>
      <c r="I559" s="171">
        <v>48.26</v>
      </c>
      <c r="J559" s="171">
        <v>70.2</v>
      </c>
      <c r="K559" s="171">
        <v>78</v>
      </c>
      <c r="L559" s="171">
        <v>110</v>
      </c>
      <c r="M559" s="171">
        <v>141.39000000000001</v>
      </c>
      <c r="N559" s="171">
        <v>173.44</v>
      </c>
      <c r="O559" s="171">
        <v>172.01</v>
      </c>
      <c r="P559" s="171">
        <v>152.03</v>
      </c>
      <c r="Q559" s="171">
        <v>130.16</v>
      </c>
      <c r="R559" s="171">
        <v>132</v>
      </c>
      <c r="S559" s="171">
        <v>116.10000000000001</v>
      </c>
      <c r="T559" s="171">
        <v>112.06</v>
      </c>
      <c r="U559" s="171">
        <v>98.490000000000009</v>
      </c>
      <c r="V559" s="171">
        <v>96.01</v>
      </c>
      <c r="W559" s="171">
        <v>83</v>
      </c>
      <c r="X559" s="171">
        <v>84.93</v>
      </c>
      <c r="Y559" s="171">
        <v>82.22</v>
      </c>
      <c r="Z559" s="171">
        <v>73.92</v>
      </c>
      <c r="AA559" s="171">
        <v>64.88</v>
      </c>
      <c r="AB559" s="171">
        <v>173.44</v>
      </c>
      <c r="AC559" s="171">
        <v>73.92</v>
      </c>
      <c r="AD559" s="171">
        <v>56.29</v>
      </c>
      <c r="AF559" s="171">
        <f t="shared" si="26"/>
        <v>2008</v>
      </c>
      <c r="AG559" s="171">
        <f t="shared" si="27"/>
        <v>1</v>
      </c>
      <c r="AH559" s="700">
        <f>SUMIF(D$3:$AA559,"&lt;="&amp;$AH$1)/COUNTIF(D$3:$AA559,"&lt;="&amp;$AH$1)</f>
        <v>28.470992393419365</v>
      </c>
    </row>
    <row r="560" spans="2:34" x14ac:dyDescent="0.25">
      <c r="B560" s="910">
        <v>39610</v>
      </c>
      <c r="C560" s="581">
        <f t="shared" si="25"/>
        <v>6</v>
      </c>
      <c r="D560" s="171">
        <v>54.34</v>
      </c>
      <c r="E560" s="171">
        <v>50.870000000000005</v>
      </c>
      <c r="F560" s="171">
        <v>41.93</v>
      </c>
      <c r="G560" s="171">
        <v>38</v>
      </c>
      <c r="H560" s="171">
        <v>35</v>
      </c>
      <c r="I560" s="171">
        <v>36</v>
      </c>
      <c r="J560" s="171">
        <v>50.07</v>
      </c>
      <c r="K560" s="171">
        <v>78.5</v>
      </c>
      <c r="L560" s="171">
        <v>89.960000000000008</v>
      </c>
      <c r="M560" s="171">
        <v>110</v>
      </c>
      <c r="N560" s="171">
        <v>114</v>
      </c>
      <c r="O560" s="171">
        <v>130.16</v>
      </c>
      <c r="P560" s="171">
        <v>113.10000000000001</v>
      </c>
      <c r="Q560" s="171">
        <v>112.83</v>
      </c>
      <c r="R560" s="171">
        <v>107.45</v>
      </c>
      <c r="S560" s="171">
        <v>101.03</v>
      </c>
      <c r="T560" s="171">
        <v>91.72</v>
      </c>
      <c r="U560" s="171">
        <v>84.25</v>
      </c>
      <c r="V560" s="171">
        <v>78.09</v>
      </c>
      <c r="W560" s="171">
        <v>76.91</v>
      </c>
      <c r="X560" s="171">
        <v>73.010000000000005</v>
      </c>
      <c r="Y560" s="171">
        <v>72.070000000000007</v>
      </c>
      <c r="Z560" s="171">
        <v>75.03</v>
      </c>
      <c r="AA560" s="171">
        <v>73.67</v>
      </c>
      <c r="AB560" s="171">
        <v>130.16</v>
      </c>
      <c r="AC560" s="171">
        <v>72.070000000000007</v>
      </c>
      <c r="AD560" s="171">
        <v>47.49</v>
      </c>
      <c r="AF560" s="171">
        <f t="shared" si="26"/>
        <v>2008</v>
      </c>
      <c r="AG560" s="171">
        <f t="shared" si="27"/>
        <v>4</v>
      </c>
      <c r="AH560" s="700">
        <f>SUMIF(D$3:$AA560,"&lt;="&amp;$AH$1)/COUNTIF(D$3:$AA560,"&lt;="&amp;$AH$1)</f>
        <v>28.477541099522657</v>
      </c>
    </row>
    <row r="561" spans="2:34" x14ac:dyDescent="0.25">
      <c r="B561" s="910">
        <v>39611</v>
      </c>
      <c r="C561" s="581">
        <f t="shared" si="25"/>
        <v>6</v>
      </c>
      <c r="D561" s="171">
        <v>57.26</v>
      </c>
      <c r="E561" s="171">
        <v>48.11</v>
      </c>
      <c r="F561" s="171">
        <v>39.770000000000003</v>
      </c>
      <c r="G561" s="171">
        <v>36.03</v>
      </c>
      <c r="H561" s="171">
        <v>33.07</v>
      </c>
      <c r="I561" s="171">
        <v>40.49</v>
      </c>
      <c r="J561" s="171">
        <v>51.300000000000004</v>
      </c>
      <c r="K561" s="171">
        <v>77.070000000000007</v>
      </c>
      <c r="L561" s="171">
        <v>86.95</v>
      </c>
      <c r="M561" s="171">
        <v>101.39</v>
      </c>
      <c r="N561" s="171">
        <v>117.99000000000001</v>
      </c>
      <c r="O561" s="171">
        <v>131.72</v>
      </c>
      <c r="P561" s="171">
        <v>111.48</v>
      </c>
      <c r="Q561" s="171">
        <v>104.99000000000001</v>
      </c>
      <c r="R561" s="171">
        <v>101.06</v>
      </c>
      <c r="S561" s="171">
        <v>95.01</v>
      </c>
      <c r="T561" s="171">
        <v>88.4</v>
      </c>
      <c r="U561" s="171">
        <v>83.84</v>
      </c>
      <c r="V561" s="171">
        <v>80.06</v>
      </c>
      <c r="W561" s="171">
        <v>73.260000000000005</v>
      </c>
      <c r="X561" s="171">
        <v>72.02</v>
      </c>
      <c r="Y561" s="171">
        <v>69.77</v>
      </c>
      <c r="Z561" s="171">
        <v>71.650000000000006</v>
      </c>
      <c r="AA561" s="171">
        <v>63.99</v>
      </c>
      <c r="AB561" s="171">
        <v>131.72</v>
      </c>
      <c r="AC561" s="171">
        <v>69.77</v>
      </c>
      <c r="AD561" s="171">
        <v>46.25</v>
      </c>
      <c r="AF561" s="171">
        <f t="shared" si="26"/>
        <v>2008</v>
      </c>
      <c r="AG561" s="171">
        <f t="shared" si="27"/>
        <v>4</v>
      </c>
      <c r="AH561" s="700">
        <f>SUMIF(D$3:$AA561,"&lt;="&amp;$AH$1)/COUNTIF(D$3:$AA561,"&lt;="&amp;$AH$1)</f>
        <v>28.483803214979623</v>
      </c>
    </row>
    <row r="562" spans="2:34" x14ac:dyDescent="0.25">
      <c r="B562" s="910">
        <v>39612</v>
      </c>
      <c r="C562" s="581">
        <f t="shared" si="25"/>
        <v>6</v>
      </c>
      <c r="D562" s="171">
        <v>57.18</v>
      </c>
      <c r="E562" s="171">
        <v>48.03</v>
      </c>
      <c r="F562" s="171">
        <v>39.590000000000003</v>
      </c>
      <c r="G562" s="171">
        <v>38.94</v>
      </c>
      <c r="H562" s="171">
        <v>39.54</v>
      </c>
      <c r="I562" s="171">
        <v>42.62</v>
      </c>
      <c r="J562" s="171">
        <v>57.58</v>
      </c>
      <c r="K562" s="171">
        <v>75.2</v>
      </c>
      <c r="L562" s="171">
        <v>87.58</v>
      </c>
      <c r="M562" s="171">
        <v>106</v>
      </c>
      <c r="N562" s="171">
        <v>117.01</v>
      </c>
      <c r="O562" s="171">
        <v>141.08000000000001</v>
      </c>
      <c r="P562" s="171">
        <v>112.2</v>
      </c>
      <c r="Q562" s="171">
        <v>101.55</v>
      </c>
      <c r="R562" s="171">
        <v>94.93</v>
      </c>
      <c r="S562" s="171">
        <v>85</v>
      </c>
      <c r="T562" s="171">
        <v>74.63</v>
      </c>
      <c r="U562" s="171">
        <v>71.930000000000007</v>
      </c>
      <c r="V562" s="171">
        <v>67.45</v>
      </c>
      <c r="W562" s="171">
        <v>66.08</v>
      </c>
      <c r="X562" s="171">
        <v>66.64</v>
      </c>
      <c r="Y562" s="171">
        <v>67.540000000000006</v>
      </c>
      <c r="Z562" s="171">
        <v>72.03</v>
      </c>
      <c r="AA562" s="171">
        <v>66.08</v>
      </c>
      <c r="AB562" s="171">
        <v>141.08000000000001</v>
      </c>
      <c r="AC562" s="171">
        <v>66.08</v>
      </c>
      <c r="AD562" s="171">
        <v>48.69</v>
      </c>
      <c r="AF562" s="171">
        <f t="shared" si="26"/>
        <v>2008</v>
      </c>
      <c r="AG562" s="171">
        <f t="shared" si="27"/>
        <v>3</v>
      </c>
      <c r="AH562" s="700">
        <f>SUMIF(D$3:$AA562,"&lt;="&amp;$AH$1)/COUNTIF(D$3:$AA562,"&lt;="&amp;$AH$1)</f>
        <v>28.489562146892595</v>
      </c>
    </row>
    <row r="563" spans="2:34" x14ac:dyDescent="0.25">
      <c r="B563" s="910">
        <v>39615</v>
      </c>
      <c r="C563" s="581">
        <f t="shared" si="25"/>
        <v>6</v>
      </c>
      <c r="D563" s="171">
        <v>55.4</v>
      </c>
      <c r="E563" s="171">
        <v>42.800000000000004</v>
      </c>
      <c r="F563" s="171">
        <v>37.700000000000003</v>
      </c>
      <c r="G563" s="171">
        <v>30.64</v>
      </c>
      <c r="H563" s="171">
        <v>28.5</v>
      </c>
      <c r="I563" s="171">
        <v>27.79</v>
      </c>
      <c r="J563" s="171">
        <v>37.1</v>
      </c>
      <c r="K563" s="171">
        <v>69.09</v>
      </c>
      <c r="L563" s="171">
        <v>84.24</v>
      </c>
      <c r="M563" s="171">
        <v>110.01</v>
      </c>
      <c r="N563" s="171">
        <v>125</v>
      </c>
      <c r="O563" s="171">
        <v>125</v>
      </c>
      <c r="P563" s="171">
        <v>111.8</v>
      </c>
      <c r="Q563" s="171">
        <v>110.01</v>
      </c>
      <c r="R563" s="171">
        <v>108.94</v>
      </c>
      <c r="S563" s="171">
        <v>87.02</v>
      </c>
      <c r="T563" s="171">
        <v>85.01</v>
      </c>
      <c r="U563" s="171">
        <v>79.05</v>
      </c>
      <c r="V563" s="171">
        <v>75</v>
      </c>
      <c r="W563" s="171">
        <v>71</v>
      </c>
      <c r="X563" s="171">
        <v>72</v>
      </c>
      <c r="Y563" s="171">
        <v>71.100000000000009</v>
      </c>
      <c r="Z563" s="171">
        <v>61.84</v>
      </c>
      <c r="AA563" s="171">
        <v>56.58</v>
      </c>
      <c r="AB563" s="171">
        <v>125</v>
      </c>
      <c r="AC563" s="171">
        <v>61.84</v>
      </c>
      <c r="AD563" s="171">
        <v>39.56</v>
      </c>
      <c r="AF563" s="171">
        <f t="shared" si="26"/>
        <v>2008</v>
      </c>
      <c r="AG563" s="171">
        <f t="shared" si="27"/>
        <v>5</v>
      </c>
      <c r="AH563" s="700">
        <f>SUMIF(D$3:$AA563,"&lt;="&amp;$AH$1)/COUNTIF(D$3:$AA563,"&lt;="&amp;$AH$1)</f>
        <v>28.492963485623513</v>
      </c>
    </row>
    <row r="564" spans="2:34" x14ac:dyDescent="0.25">
      <c r="B564" s="910">
        <v>39616</v>
      </c>
      <c r="C564" s="581">
        <f t="shared" si="25"/>
        <v>6</v>
      </c>
      <c r="D564" s="171">
        <v>65.83</v>
      </c>
      <c r="E564" s="171">
        <v>50.7</v>
      </c>
      <c r="F564" s="171">
        <v>38.770000000000003</v>
      </c>
      <c r="G564" s="171">
        <v>37.880000000000003</v>
      </c>
      <c r="H564" s="171">
        <v>40</v>
      </c>
      <c r="I564" s="171">
        <v>43.94</v>
      </c>
      <c r="J564" s="171">
        <v>60.08</v>
      </c>
      <c r="K564" s="171">
        <v>84.93</v>
      </c>
      <c r="L564" s="171">
        <v>95.44</v>
      </c>
      <c r="M564" s="171">
        <v>109.71000000000001</v>
      </c>
      <c r="N564" s="171">
        <v>128.01</v>
      </c>
      <c r="O564" s="171">
        <v>143.92000000000002</v>
      </c>
      <c r="P564" s="171">
        <v>129</v>
      </c>
      <c r="Q564" s="171">
        <v>117.32000000000001</v>
      </c>
      <c r="R564" s="171">
        <v>108.51</v>
      </c>
      <c r="S564" s="171">
        <v>107.12</v>
      </c>
      <c r="T564" s="171">
        <v>97</v>
      </c>
      <c r="U564" s="171">
        <v>92.4</v>
      </c>
      <c r="V564" s="171">
        <v>83.61</v>
      </c>
      <c r="W564" s="171">
        <v>71.960000000000008</v>
      </c>
      <c r="X564" s="171">
        <v>72.010000000000005</v>
      </c>
      <c r="Y564" s="171">
        <v>68.92</v>
      </c>
      <c r="Z564" s="171">
        <v>75.06</v>
      </c>
      <c r="AA564" s="171">
        <v>67.83</v>
      </c>
      <c r="AB564" s="171">
        <v>143.92000000000002</v>
      </c>
      <c r="AC564" s="171">
        <v>68.92</v>
      </c>
      <c r="AD564" s="171">
        <v>50.63</v>
      </c>
      <c r="AF564" s="171">
        <f t="shared" si="26"/>
        <v>2008</v>
      </c>
      <c r="AG564" s="171">
        <f t="shared" si="27"/>
        <v>3</v>
      </c>
      <c r="AH564" s="700">
        <f>SUMIF(D$3:$AA564,"&lt;="&amp;$AH$1)/COUNTIF(D$3:$AA564,"&lt;="&amp;$AH$1)</f>
        <v>28.498459097320115</v>
      </c>
    </row>
    <row r="565" spans="2:34" x14ac:dyDescent="0.25">
      <c r="B565" s="910">
        <v>39617</v>
      </c>
      <c r="C565" s="581">
        <f t="shared" si="25"/>
        <v>6</v>
      </c>
      <c r="D565" s="171">
        <v>55.04</v>
      </c>
      <c r="E565" s="171">
        <v>43.54</v>
      </c>
      <c r="F565" s="171">
        <v>40</v>
      </c>
      <c r="G565" s="171">
        <v>38</v>
      </c>
      <c r="H565" s="171">
        <v>38.71</v>
      </c>
      <c r="I565" s="171">
        <v>40.56</v>
      </c>
      <c r="J565" s="171">
        <v>51.300000000000004</v>
      </c>
      <c r="K565" s="171">
        <v>62.5</v>
      </c>
      <c r="L565" s="171">
        <v>80.960000000000008</v>
      </c>
      <c r="M565" s="171">
        <v>100.01</v>
      </c>
      <c r="N565" s="171">
        <v>105</v>
      </c>
      <c r="O565" s="171">
        <v>108.3</v>
      </c>
      <c r="P565" s="171">
        <v>101.37</v>
      </c>
      <c r="Q565" s="171">
        <v>97.01</v>
      </c>
      <c r="R565" s="171">
        <v>94.5</v>
      </c>
      <c r="S565" s="171">
        <v>84.42</v>
      </c>
      <c r="T565" s="171">
        <v>85</v>
      </c>
      <c r="U565" s="171">
        <v>79.58</v>
      </c>
      <c r="V565" s="171">
        <v>71.180000000000007</v>
      </c>
      <c r="W565" s="171">
        <v>69</v>
      </c>
      <c r="X565" s="171">
        <v>72.02</v>
      </c>
      <c r="Y565" s="171">
        <v>71.260000000000005</v>
      </c>
      <c r="Z565" s="171">
        <v>75.03</v>
      </c>
      <c r="AA565" s="171">
        <v>63.410000000000004</v>
      </c>
      <c r="AB565" s="171">
        <v>108.3</v>
      </c>
      <c r="AC565" s="171">
        <v>62.5</v>
      </c>
      <c r="AD565" s="171">
        <v>46.32</v>
      </c>
      <c r="AF565" s="171">
        <f t="shared" si="26"/>
        <v>2008</v>
      </c>
      <c r="AG565" s="171">
        <f t="shared" si="27"/>
        <v>4</v>
      </c>
      <c r="AH565" s="700">
        <f>SUMIF(D$3:$AA565,"&lt;="&amp;$AH$1)/COUNTIF(D$3:$AA565,"&lt;="&amp;$AH$1)</f>
        <v>28.506083509513687</v>
      </c>
    </row>
    <row r="566" spans="2:34" x14ac:dyDescent="0.25">
      <c r="B566" s="910">
        <v>39618</v>
      </c>
      <c r="C566" s="581">
        <f t="shared" si="25"/>
        <v>6</v>
      </c>
      <c r="D566" s="171">
        <v>64.099999999999994</v>
      </c>
      <c r="E566" s="171">
        <v>53</v>
      </c>
      <c r="F566" s="171">
        <v>39.590000000000003</v>
      </c>
      <c r="G566" s="171">
        <v>36.6</v>
      </c>
      <c r="H566" s="171">
        <v>37</v>
      </c>
      <c r="I566" s="171">
        <v>46</v>
      </c>
      <c r="J566" s="171">
        <v>60.660000000000004</v>
      </c>
      <c r="K566" s="171">
        <v>84.93</v>
      </c>
      <c r="L566" s="171">
        <v>82.5</v>
      </c>
      <c r="M566" s="171">
        <v>94.05</v>
      </c>
      <c r="N566" s="171">
        <v>99.03</v>
      </c>
      <c r="O566" s="171">
        <v>103</v>
      </c>
      <c r="P566" s="171">
        <v>90.08</v>
      </c>
      <c r="Q566" s="171">
        <v>87.710000000000008</v>
      </c>
      <c r="R566" s="171">
        <v>90.76</v>
      </c>
      <c r="S566" s="171">
        <v>91.11</v>
      </c>
      <c r="T566" s="171">
        <v>80</v>
      </c>
      <c r="U566" s="171">
        <v>76.69</v>
      </c>
      <c r="V566" s="171">
        <v>72.7</v>
      </c>
      <c r="W566" s="171">
        <v>71</v>
      </c>
      <c r="X566" s="171">
        <v>71.960000000000008</v>
      </c>
      <c r="Y566" s="171">
        <v>68</v>
      </c>
      <c r="Z566" s="171">
        <v>75.84</v>
      </c>
      <c r="AA566" s="171">
        <v>64.790000000000006</v>
      </c>
      <c r="AB566" s="171">
        <v>103</v>
      </c>
      <c r="AC566" s="171">
        <v>68</v>
      </c>
      <c r="AD566" s="171">
        <v>50.22</v>
      </c>
      <c r="AF566" s="171">
        <f t="shared" si="26"/>
        <v>2008</v>
      </c>
      <c r="AG566" s="171">
        <f t="shared" si="27"/>
        <v>3</v>
      </c>
      <c r="AH566" s="700">
        <f>SUMIF(D$3:$AA566,"&lt;="&amp;$AH$1)/COUNTIF(D$3:$AA566,"&lt;="&amp;$AH$1)</f>
        <v>28.510956154252455</v>
      </c>
    </row>
    <row r="567" spans="2:34" x14ac:dyDescent="0.25">
      <c r="B567" s="910">
        <v>39619</v>
      </c>
      <c r="C567" s="581">
        <f t="shared" si="25"/>
        <v>6</v>
      </c>
      <c r="D567" s="171">
        <v>64.12</v>
      </c>
      <c r="E567" s="171">
        <v>50.57</v>
      </c>
      <c r="F567" s="171">
        <v>43</v>
      </c>
      <c r="G567" s="171">
        <v>34</v>
      </c>
      <c r="H567" s="171">
        <v>35.85</v>
      </c>
      <c r="I567" s="171">
        <v>45.75</v>
      </c>
      <c r="J567" s="171">
        <v>62</v>
      </c>
      <c r="K567" s="171">
        <v>85.9</v>
      </c>
      <c r="L567" s="171">
        <v>83</v>
      </c>
      <c r="M567" s="171">
        <v>102.9</v>
      </c>
      <c r="N567" s="171">
        <v>104.37</v>
      </c>
      <c r="O567" s="171">
        <v>110</v>
      </c>
      <c r="P567" s="171">
        <v>105.11</v>
      </c>
      <c r="Q567" s="171">
        <v>88.06</v>
      </c>
      <c r="R567" s="171">
        <v>88.45</v>
      </c>
      <c r="S567" s="171">
        <v>76.850000000000009</v>
      </c>
      <c r="T567" s="171">
        <v>84.93</v>
      </c>
      <c r="U567" s="171">
        <v>98.75</v>
      </c>
      <c r="V567" s="171">
        <v>79.22</v>
      </c>
      <c r="W567" s="171">
        <v>74.94</v>
      </c>
      <c r="X567" s="171">
        <v>76.45</v>
      </c>
      <c r="Y567" s="171">
        <v>71.97</v>
      </c>
      <c r="Z567" s="171">
        <v>76.45</v>
      </c>
      <c r="AA567" s="171">
        <v>73.25</v>
      </c>
      <c r="AB567" s="171">
        <v>110</v>
      </c>
      <c r="AC567" s="171">
        <v>71.97</v>
      </c>
      <c r="AD567" s="171">
        <v>51.07</v>
      </c>
      <c r="AF567" s="171">
        <f t="shared" si="26"/>
        <v>2008</v>
      </c>
      <c r="AG567" s="171">
        <f t="shared" si="27"/>
        <v>2</v>
      </c>
      <c r="AH567" s="700">
        <f>SUMIF(D$3:$AA567,"&lt;="&amp;$AH$1)/COUNTIF(D$3:$AA567,"&lt;="&amp;$AH$1)</f>
        <v>28.513214222848035</v>
      </c>
    </row>
    <row r="568" spans="2:34" x14ac:dyDescent="0.25">
      <c r="B568" s="910">
        <v>39622</v>
      </c>
      <c r="C568" s="581">
        <f t="shared" si="25"/>
        <v>6</v>
      </c>
      <c r="D568" s="171">
        <v>44.97</v>
      </c>
      <c r="E568" s="171">
        <v>29.18</v>
      </c>
      <c r="F568" s="171">
        <v>14.98</v>
      </c>
      <c r="G568" s="171">
        <v>9.18</v>
      </c>
      <c r="H568" s="171">
        <v>9.76</v>
      </c>
      <c r="I568" s="171">
        <v>13.13</v>
      </c>
      <c r="J568" s="171">
        <v>29.94</v>
      </c>
      <c r="K568" s="171">
        <v>75</v>
      </c>
      <c r="L568" s="171">
        <v>83.600000000000009</v>
      </c>
      <c r="M568" s="171">
        <v>99</v>
      </c>
      <c r="N568" s="171">
        <v>100.01</v>
      </c>
      <c r="O568" s="171">
        <v>128.32</v>
      </c>
      <c r="P568" s="171">
        <v>108.08</v>
      </c>
      <c r="Q568" s="171">
        <v>105.03</v>
      </c>
      <c r="R568" s="171">
        <v>126.08</v>
      </c>
      <c r="S568" s="171">
        <v>101.81</v>
      </c>
      <c r="T568" s="171">
        <v>117.05</v>
      </c>
      <c r="U568" s="171">
        <v>100.05</v>
      </c>
      <c r="V568" s="171">
        <v>85.26</v>
      </c>
      <c r="W568" s="171">
        <v>79</v>
      </c>
      <c r="X568" s="171">
        <v>78</v>
      </c>
      <c r="Y568" s="171">
        <v>70</v>
      </c>
      <c r="Z568" s="171">
        <v>75.03</v>
      </c>
      <c r="AA568" s="171">
        <v>71</v>
      </c>
      <c r="AB568" s="171">
        <v>128.32</v>
      </c>
      <c r="AC568" s="171">
        <v>70</v>
      </c>
      <c r="AD568" s="171">
        <v>27.77</v>
      </c>
      <c r="AF568" s="171">
        <f t="shared" si="26"/>
        <v>2008</v>
      </c>
      <c r="AG568" s="171">
        <f t="shared" si="27"/>
        <v>6</v>
      </c>
      <c r="AH568" s="700">
        <f>SUMIF(D$3:$AA568,"&lt;="&amp;$AH$1)/COUNTIF(D$3:$AA568,"&lt;="&amp;$AH$1)</f>
        <v>28.501800597854704</v>
      </c>
    </row>
    <row r="569" spans="2:34" x14ac:dyDescent="0.25">
      <c r="B569" s="910">
        <v>39623</v>
      </c>
      <c r="C569" s="581">
        <f t="shared" si="25"/>
        <v>6</v>
      </c>
      <c r="D569" s="171">
        <v>68.28</v>
      </c>
      <c r="E569" s="171">
        <v>59.910000000000004</v>
      </c>
      <c r="F569" s="171">
        <v>50.01</v>
      </c>
      <c r="G569" s="171">
        <v>39.950000000000003</v>
      </c>
      <c r="H569" s="171">
        <v>40.21</v>
      </c>
      <c r="I569" s="171">
        <v>47.71</v>
      </c>
      <c r="J569" s="171">
        <v>70</v>
      </c>
      <c r="K569" s="171">
        <v>84.600000000000009</v>
      </c>
      <c r="L569" s="171">
        <v>110</v>
      </c>
      <c r="M569" s="171">
        <v>138.01</v>
      </c>
      <c r="N569" s="171">
        <v>158.21</v>
      </c>
      <c r="O569" s="171">
        <v>173.69</v>
      </c>
      <c r="P569" s="171">
        <v>148.51</v>
      </c>
      <c r="Q569" s="171">
        <v>138.03</v>
      </c>
      <c r="R569" s="171">
        <v>140.01</v>
      </c>
      <c r="S569" s="171">
        <v>130.13</v>
      </c>
      <c r="T569" s="171">
        <v>111.95</v>
      </c>
      <c r="U569" s="171">
        <v>101</v>
      </c>
      <c r="V569" s="171">
        <v>97.95</v>
      </c>
      <c r="W569" s="171">
        <v>87</v>
      </c>
      <c r="X569" s="171">
        <v>79.92</v>
      </c>
      <c r="Y569" s="171">
        <v>74.960000000000008</v>
      </c>
      <c r="Z569" s="171">
        <v>81.47</v>
      </c>
      <c r="AA569" s="171">
        <v>69.48</v>
      </c>
      <c r="AB569" s="171">
        <v>173.69</v>
      </c>
      <c r="AC569" s="171">
        <v>74.960000000000008</v>
      </c>
      <c r="AD569" s="171">
        <v>55.69</v>
      </c>
      <c r="AF569" s="171">
        <f t="shared" si="26"/>
        <v>2008</v>
      </c>
      <c r="AG569" s="171">
        <f t="shared" si="27"/>
        <v>2</v>
      </c>
      <c r="AH569" s="700">
        <f>SUMIF(D$3:$AA569,"&lt;="&amp;$AH$1)/COUNTIF(D$3:$AA569,"&lt;="&amp;$AH$1)</f>
        <v>28.505870979082388</v>
      </c>
    </row>
    <row r="570" spans="2:34" x14ac:dyDescent="0.25">
      <c r="B570" s="910">
        <v>39624</v>
      </c>
      <c r="C570" s="581">
        <f t="shared" si="25"/>
        <v>6</v>
      </c>
      <c r="D570" s="171">
        <v>62.1</v>
      </c>
      <c r="E570" s="171">
        <v>56.92</v>
      </c>
      <c r="F570" s="171">
        <v>49.39</v>
      </c>
      <c r="G570" s="171">
        <v>42.99</v>
      </c>
      <c r="H570" s="171">
        <v>38.51</v>
      </c>
      <c r="I570" s="171">
        <v>44.97</v>
      </c>
      <c r="J570" s="171">
        <v>60.96</v>
      </c>
      <c r="K570" s="171">
        <v>77.92</v>
      </c>
      <c r="L570" s="171">
        <v>94.100000000000009</v>
      </c>
      <c r="M570" s="171">
        <v>121.99000000000001</v>
      </c>
      <c r="N570" s="171">
        <v>155.97999999999999</v>
      </c>
      <c r="O570" s="171">
        <v>180.1</v>
      </c>
      <c r="P570" s="171">
        <v>142.70000000000002</v>
      </c>
      <c r="Q570" s="171">
        <v>150.80000000000001</v>
      </c>
      <c r="R570" s="171">
        <v>149.99</v>
      </c>
      <c r="S570" s="171">
        <v>125.4</v>
      </c>
      <c r="T570" s="171">
        <v>103.04</v>
      </c>
      <c r="U570" s="171">
        <v>94</v>
      </c>
      <c r="V570" s="171">
        <v>93</v>
      </c>
      <c r="W570" s="171">
        <v>77.960000000000008</v>
      </c>
      <c r="X570" s="171">
        <v>77.12</v>
      </c>
      <c r="Y570" s="171">
        <v>70.739999999999995</v>
      </c>
      <c r="Z570" s="171">
        <v>75.08</v>
      </c>
      <c r="AA570" s="171">
        <v>69.989999999999995</v>
      </c>
      <c r="AB570" s="171">
        <v>180.1</v>
      </c>
      <c r="AC570" s="171">
        <v>70.739999999999995</v>
      </c>
      <c r="AD570" s="171">
        <v>53.230000000000004</v>
      </c>
      <c r="AF570" s="171">
        <f t="shared" si="26"/>
        <v>2008</v>
      </c>
      <c r="AG570" s="171">
        <f t="shared" si="27"/>
        <v>1</v>
      </c>
      <c r="AH570" s="700">
        <f>SUMIF(D$3:$AA570,"&lt;="&amp;$AH$1)/COUNTIF(D$3:$AA570,"&lt;="&amp;$AH$1)</f>
        <v>28.507629173989404</v>
      </c>
    </row>
    <row r="571" spans="2:34" x14ac:dyDescent="0.25">
      <c r="B571" s="910">
        <v>39625</v>
      </c>
      <c r="C571" s="581">
        <f t="shared" si="25"/>
        <v>6</v>
      </c>
      <c r="D571" s="171">
        <v>65.97</v>
      </c>
      <c r="E571" s="171">
        <v>58.01</v>
      </c>
      <c r="F571" s="171">
        <v>49.43</v>
      </c>
      <c r="G571" s="171">
        <v>49</v>
      </c>
      <c r="H571" s="171">
        <v>48.06</v>
      </c>
      <c r="I571" s="171">
        <v>56.410000000000004</v>
      </c>
      <c r="J571" s="171">
        <v>70.989999999999995</v>
      </c>
      <c r="K571" s="171">
        <v>92.69</v>
      </c>
      <c r="L571" s="171">
        <v>95.7</v>
      </c>
      <c r="M571" s="171">
        <v>118.01</v>
      </c>
      <c r="N571" s="171">
        <v>150</v>
      </c>
      <c r="O571" s="171">
        <v>180</v>
      </c>
      <c r="P571" s="171">
        <v>137.31</v>
      </c>
      <c r="Q571" s="171">
        <v>140.05000000000001</v>
      </c>
      <c r="R571" s="171">
        <v>149.31</v>
      </c>
      <c r="S571" s="171">
        <v>123.86</v>
      </c>
      <c r="T571" s="171">
        <v>98.38</v>
      </c>
      <c r="U571" s="171">
        <v>97.01</v>
      </c>
      <c r="V571" s="171">
        <v>89.75</v>
      </c>
      <c r="W571" s="171">
        <v>83.95</v>
      </c>
      <c r="X571" s="171">
        <v>79.7</v>
      </c>
      <c r="Y571" s="171">
        <v>73.72</v>
      </c>
      <c r="Z571" s="171">
        <v>79.97</v>
      </c>
      <c r="AA571" s="171">
        <v>69.08</v>
      </c>
      <c r="AB571" s="171">
        <v>180</v>
      </c>
      <c r="AC571" s="171">
        <v>73.72</v>
      </c>
      <c r="AD571" s="171">
        <v>58.370000000000005</v>
      </c>
      <c r="AF571" s="171">
        <f t="shared" si="26"/>
        <v>2008</v>
      </c>
      <c r="AG571" s="171">
        <f t="shared" si="27"/>
        <v>0</v>
      </c>
      <c r="AH571" s="700">
        <f>SUMIF(D$3:$AA571,"&lt;="&amp;$AH$1)/COUNTIF(D$3:$AA571,"&lt;="&amp;$AH$1)</f>
        <v>28.507629173989404</v>
      </c>
    </row>
    <row r="572" spans="2:34" x14ac:dyDescent="0.25">
      <c r="B572" s="910">
        <v>39626</v>
      </c>
      <c r="C572" s="581">
        <f t="shared" si="25"/>
        <v>6</v>
      </c>
      <c r="D572" s="171">
        <v>68.3</v>
      </c>
      <c r="E572" s="171">
        <v>60.02</v>
      </c>
      <c r="F572" s="171">
        <v>50</v>
      </c>
      <c r="G572" s="171">
        <v>45.11</v>
      </c>
      <c r="H572" s="171">
        <v>44.94</v>
      </c>
      <c r="I572" s="171">
        <v>47.95</v>
      </c>
      <c r="J572" s="171">
        <v>65.900000000000006</v>
      </c>
      <c r="K572" s="171">
        <v>82.24</v>
      </c>
      <c r="L572" s="171">
        <v>86.94</v>
      </c>
      <c r="M572" s="171">
        <v>110.94</v>
      </c>
      <c r="N572" s="171">
        <v>128</v>
      </c>
      <c r="O572" s="171">
        <v>165.06</v>
      </c>
      <c r="P572" s="171">
        <v>122.96000000000001</v>
      </c>
      <c r="Q572" s="171">
        <v>116</v>
      </c>
      <c r="R572" s="171">
        <v>116</v>
      </c>
      <c r="S572" s="171">
        <v>102.08</v>
      </c>
      <c r="T572" s="171">
        <v>92.850000000000009</v>
      </c>
      <c r="U572" s="171">
        <v>89.09</v>
      </c>
      <c r="V572" s="171">
        <v>89.65</v>
      </c>
      <c r="W572" s="171">
        <v>80.55</v>
      </c>
      <c r="X572" s="171">
        <v>79.06</v>
      </c>
      <c r="Y572" s="171">
        <v>74.61</v>
      </c>
      <c r="Z572" s="171">
        <v>80</v>
      </c>
      <c r="AA572" s="171">
        <v>75.03</v>
      </c>
      <c r="AB572" s="171">
        <v>165.06</v>
      </c>
      <c r="AC572" s="171">
        <v>74.61</v>
      </c>
      <c r="AD572" s="171">
        <v>57.160000000000004</v>
      </c>
      <c r="AF572" s="171">
        <f t="shared" si="26"/>
        <v>2008</v>
      </c>
      <c r="AG572" s="171">
        <f t="shared" si="27"/>
        <v>0</v>
      </c>
      <c r="AH572" s="700">
        <f>SUMIF(D$3:$AA572,"&lt;="&amp;$AH$1)/COUNTIF(D$3:$AA572,"&lt;="&amp;$AH$1)</f>
        <v>28.507629173989404</v>
      </c>
    </row>
    <row r="573" spans="2:34" x14ac:dyDescent="0.25">
      <c r="B573" s="910">
        <v>39629</v>
      </c>
      <c r="C573" s="581">
        <f t="shared" si="25"/>
        <v>6</v>
      </c>
      <c r="D573" s="171">
        <v>55.5</v>
      </c>
      <c r="E573" s="171">
        <v>49.94</v>
      </c>
      <c r="F573" s="171">
        <v>46.45</v>
      </c>
      <c r="G573" s="171">
        <v>38.340000000000003</v>
      </c>
      <c r="H573" s="171">
        <v>35.590000000000003</v>
      </c>
      <c r="I573" s="171">
        <v>43.12</v>
      </c>
      <c r="J573" s="171">
        <v>67.3</v>
      </c>
      <c r="K573" s="171">
        <v>96.5</v>
      </c>
      <c r="L573" s="171">
        <v>100.98</v>
      </c>
      <c r="M573" s="171">
        <v>114.04</v>
      </c>
      <c r="N573" s="171">
        <v>126.04</v>
      </c>
      <c r="O573" s="171">
        <v>168</v>
      </c>
      <c r="P573" s="171">
        <v>156</v>
      </c>
      <c r="Q573" s="171">
        <v>136.33000000000001</v>
      </c>
      <c r="R573" s="171">
        <v>130</v>
      </c>
      <c r="S573" s="171">
        <v>125</v>
      </c>
      <c r="T573" s="171">
        <v>112.51</v>
      </c>
      <c r="U573" s="171">
        <v>102.05</v>
      </c>
      <c r="V573" s="171">
        <v>96</v>
      </c>
      <c r="W573" s="171">
        <v>92</v>
      </c>
      <c r="X573" s="171">
        <v>85</v>
      </c>
      <c r="Y573" s="171">
        <v>84</v>
      </c>
      <c r="Z573" s="171">
        <v>85.100000000000009</v>
      </c>
      <c r="AA573" s="171">
        <v>78.010000000000005</v>
      </c>
      <c r="AB573" s="171">
        <v>168</v>
      </c>
      <c r="AC573" s="171">
        <v>84</v>
      </c>
      <c r="AD573" s="171">
        <v>51.78</v>
      </c>
      <c r="AF573" s="171">
        <f t="shared" si="26"/>
        <v>2008</v>
      </c>
      <c r="AG573" s="171">
        <f t="shared" si="27"/>
        <v>2</v>
      </c>
      <c r="AH573" s="700">
        <f>SUMIF(D$3:$AA573,"&lt;="&amp;$AH$1)/COUNTIF(D$3:$AA573,"&lt;="&amp;$AH$1)</f>
        <v>28.510600843288774</v>
      </c>
    </row>
    <row r="574" spans="2:34" x14ac:dyDescent="0.25">
      <c r="B574" s="910">
        <v>39630</v>
      </c>
      <c r="C574" s="581">
        <f t="shared" si="25"/>
        <v>7</v>
      </c>
      <c r="D574" s="171">
        <v>72.260000000000005</v>
      </c>
      <c r="E574" s="171">
        <v>61.38</v>
      </c>
      <c r="F574" s="171">
        <v>54.93</v>
      </c>
      <c r="G574" s="171">
        <v>49.93</v>
      </c>
      <c r="H574" s="171">
        <v>50</v>
      </c>
      <c r="I574" s="171">
        <v>55</v>
      </c>
      <c r="J574" s="171">
        <v>71.960000000000008</v>
      </c>
      <c r="K574" s="171">
        <v>99.5</v>
      </c>
      <c r="L574" s="171">
        <v>114.31</v>
      </c>
      <c r="M574" s="171">
        <v>149.96</v>
      </c>
      <c r="N574" s="171">
        <v>162.43</v>
      </c>
      <c r="O574" s="171">
        <v>184</v>
      </c>
      <c r="P574" s="171">
        <v>171.03</v>
      </c>
      <c r="Q574" s="171">
        <v>172.28</v>
      </c>
      <c r="R574" s="171">
        <v>164.04</v>
      </c>
      <c r="S574" s="171">
        <v>159.08000000000001</v>
      </c>
      <c r="T574" s="171">
        <v>141.54</v>
      </c>
      <c r="U574" s="171">
        <v>123.02</v>
      </c>
      <c r="V574" s="171">
        <v>111.77</v>
      </c>
      <c r="W574" s="171">
        <v>99.070000000000007</v>
      </c>
      <c r="X574" s="171">
        <v>86</v>
      </c>
      <c r="Y574" s="171">
        <v>77.95</v>
      </c>
      <c r="Z574" s="171">
        <v>87.12</v>
      </c>
      <c r="AA574" s="171">
        <v>79.78</v>
      </c>
      <c r="AB574" s="171">
        <v>184</v>
      </c>
      <c r="AC574" s="171">
        <v>77.95</v>
      </c>
      <c r="AD574" s="171">
        <v>61.9</v>
      </c>
      <c r="AF574" s="171">
        <f t="shared" si="26"/>
        <v>2008</v>
      </c>
      <c r="AG574" s="171">
        <f t="shared" si="27"/>
        <v>0</v>
      </c>
      <c r="AH574" s="700">
        <f>SUMIF(D$3:$AA574,"&lt;="&amp;$AH$1)/COUNTIF(D$3:$AA574,"&lt;="&amp;$AH$1)</f>
        <v>28.510600843288774</v>
      </c>
    </row>
    <row r="575" spans="2:34" x14ac:dyDescent="0.25">
      <c r="B575" s="910">
        <v>39631</v>
      </c>
      <c r="C575" s="581">
        <f t="shared" si="25"/>
        <v>7</v>
      </c>
      <c r="D575" s="171">
        <v>65.91</v>
      </c>
      <c r="E575" s="171">
        <v>57.28</v>
      </c>
      <c r="F575" s="171">
        <v>51.6</v>
      </c>
      <c r="G575" s="171">
        <v>46</v>
      </c>
      <c r="H575" s="171">
        <v>45.99</v>
      </c>
      <c r="I575" s="171">
        <v>52.5</v>
      </c>
      <c r="J575" s="171">
        <v>65</v>
      </c>
      <c r="K575" s="171">
        <v>87.06</v>
      </c>
      <c r="L575" s="171">
        <v>109.75</v>
      </c>
      <c r="M575" s="171">
        <v>141.06</v>
      </c>
      <c r="N575" s="171">
        <v>156.07</v>
      </c>
      <c r="O575" s="171">
        <v>175</v>
      </c>
      <c r="P575" s="171">
        <v>145.19</v>
      </c>
      <c r="Q575" s="171">
        <v>151.25</v>
      </c>
      <c r="R575" s="171">
        <v>156.02000000000001</v>
      </c>
      <c r="S575" s="171">
        <v>133</v>
      </c>
      <c r="T575" s="171">
        <v>125</v>
      </c>
      <c r="U575" s="171">
        <v>113</v>
      </c>
      <c r="V575" s="171">
        <v>100.77</v>
      </c>
      <c r="W575" s="171">
        <v>88.47</v>
      </c>
      <c r="X575" s="171">
        <v>83.91</v>
      </c>
      <c r="Y575" s="171">
        <v>77.92</v>
      </c>
      <c r="Z575" s="171">
        <v>79.95</v>
      </c>
      <c r="AA575" s="171">
        <v>70.48</v>
      </c>
      <c r="AB575" s="171">
        <v>175</v>
      </c>
      <c r="AC575" s="171">
        <v>77.92</v>
      </c>
      <c r="AD575" s="171">
        <v>56.85</v>
      </c>
      <c r="AF575" s="171">
        <f t="shared" si="26"/>
        <v>2008</v>
      </c>
      <c r="AG575" s="171">
        <f t="shared" si="27"/>
        <v>0</v>
      </c>
      <c r="AH575" s="700">
        <f>SUMIF(D$3:$AA575,"&lt;="&amp;$AH$1)/COUNTIF(D$3:$AA575,"&lt;="&amp;$AH$1)</f>
        <v>28.510600843288774</v>
      </c>
    </row>
    <row r="576" spans="2:34" x14ac:dyDescent="0.25">
      <c r="B576" s="910">
        <v>39632</v>
      </c>
      <c r="C576" s="581">
        <f t="shared" si="25"/>
        <v>7</v>
      </c>
      <c r="D576" s="171">
        <v>62.64</v>
      </c>
      <c r="E576" s="171">
        <v>54.03</v>
      </c>
      <c r="F576" s="171">
        <v>50.29</v>
      </c>
      <c r="G576" s="171">
        <v>39.340000000000003</v>
      </c>
      <c r="H576" s="171">
        <v>39.5</v>
      </c>
      <c r="I576" s="171">
        <v>49.99</v>
      </c>
      <c r="J576" s="171">
        <v>60.99</v>
      </c>
      <c r="K576" s="171">
        <v>88.02</v>
      </c>
      <c r="L576" s="171">
        <v>108</v>
      </c>
      <c r="M576" s="171">
        <v>140.03</v>
      </c>
      <c r="N576" s="171">
        <v>154.05000000000001</v>
      </c>
      <c r="O576" s="171">
        <v>176.07</v>
      </c>
      <c r="P576" s="171">
        <v>131.79</v>
      </c>
      <c r="Q576" s="171">
        <v>126</v>
      </c>
      <c r="R576" s="171">
        <v>148.46</v>
      </c>
      <c r="S576" s="171">
        <v>128.13</v>
      </c>
      <c r="T576" s="171">
        <v>113.33</v>
      </c>
      <c r="U576" s="171">
        <v>101.75</v>
      </c>
      <c r="V576" s="171">
        <v>93.100000000000009</v>
      </c>
      <c r="W576" s="171">
        <v>77</v>
      </c>
      <c r="X576" s="171">
        <v>76.98</v>
      </c>
      <c r="Y576" s="171">
        <v>72.67</v>
      </c>
      <c r="Z576" s="171">
        <v>80.070000000000007</v>
      </c>
      <c r="AA576" s="171">
        <v>68.81</v>
      </c>
      <c r="AB576" s="171">
        <v>176.07</v>
      </c>
      <c r="AC576" s="171">
        <v>72.67</v>
      </c>
      <c r="AD576" s="171">
        <v>53.2</v>
      </c>
      <c r="AF576" s="171">
        <f t="shared" si="26"/>
        <v>2008</v>
      </c>
      <c r="AG576" s="171">
        <f t="shared" si="27"/>
        <v>2</v>
      </c>
      <c r="AH576" s="700">
        <f>SUMIF(D$3:$AA576,"&lt;="&amp;$AH$1)/COUNTIF(D$3:$AA576,"&lt;="&amp;$AH$1)</f>
        <v>28.514432736213507</v>
      </c>
    </row>
    <row r="577" spans="2:34" x14ac:dyDescent="0.25">
      <c r="B577" s="910">
        <v>39633</v>
      </c>
      <c r="C577" s="581">
        <f t="shared" si="25"/>
        <v>7</v>
      </c>
      <c r="D577" s="171">
        <v>64.25</v>
      </c>
      <c r="E577" s="171">
        <v>57.17</v>
      </c>
      <c r="F577" s="171">
        <v>50.19</v>
      </c>
      <c r="G577" s="171">
        <v>34</v>
      </c>
      <c r="H577" s="171">
        <v>32.299999999999997</v>
      </c>
      <c r="I577" s="171">
        <v>49.89</v>
      </c>
      <c r="J577" s="171">
        <v>63.17</v>
      </c>
      <c r="K577" s="171">
        <v>87.100000000000009</v>
      </c>
      <c r="L577" s="171">
        <v>105.10000000000001</v>
      </c>
      <c r="M577" s="171">
        <v>117.10000000000001</v>
      </c>
      <c r="N577" s="171">
        <v>138.41</v>
      </c>
      <c r="O577" s="171">
        <v>159.5</v>
      </c>
      <c r="P577" s="171">
        <v>126</v>
      </c>
      <c r="Q577" s="171">
        <v>117.04</v>
      </c>
      <c r="R577" s="171">
        <v>115</v>
      </c>
      <c r="S577" s="171">
        <v>106</v>
      </c>
      <c r="T577" s="171">
        <v>96.05</v>
      </c>
      <c r="U577" s="171">
        <v>88.5</v>
      </c>
      <c r="V577" s="171">
        <v>85.15</v>
      </c>
      <c r="W577" s="171">
        <v>80</v>
      </c>
      <c r="X577" s="171">
        <v>77.850000000000009</v>
      </c>
      <c r="Y577" s="171">
        <v>75.010000000000005</v>
      </c>
      <c r="Z577" s="171">
        <v>81.09</v>
      </c>
      <c r="AA577" s="171">
        <v>73.61</v>
      </c>
      <c r="AB577" s="171">
        <v>159.5</v>
      </c>
      <c r="AC577" s="171">
        <v>75.010000000000005</v>
      </c>
      <c r="AD577" s="171">
        <v>53.07</v>
      </c>
      <c r="AF577" s="171">
        <f t="shared" si="26"/>
        <v>2008</v>
      </c>
      <c r="AG577" s="171">
        <f t="shared" si="27"/>
        <v>2</v>
      </c>
      <c r="AH577" s="700">
        <f>SUMIF(D$3:$AA577,"&lt;="&amp;$AH$1)/COUNTIF(D$3:$AA577,"&lt;="&amp;$AH$1)</f>
        <v>28.516060393258371</v>
      </c>
    </row>
    <row r="578" spans="2:34" x14ac:dyDescent="0.25">
      <c r="B578" s="910">
        <v>39636</v>
      </c>
      <c r="C578" s="581">
        <f t="shared" si="25"/>
        <v>7</v>
      </c>
      <c r="D578" s="171">
        <v>40</v>
      </c>
      <c r="E578" s="171">
        <v>22.5</v>
      </c>
      <c r="F578" s="171">
        <v>16.850000000000001</v>
      </c>
      <c r="G578" s="171">
        <v>18.96</v>
      </c>
      <c r="H578" s="171">
        <v>19.98</v>
      </c>
      <c r="I578" s="171">
        <v>14.94</v>
      </c>
      <c r="J578" s="171">
        <v>49.89</v>
      </c>
      <c r="K578" s="171">
        <v>72.58</v>
      </c>
      <c r="L578" s="171">
        <v>82.570000000000007</v>
      </c>
      <c r="M578" s="171">
        <v>94.97</v>
      </c>
      <c r="N578" s="171">
        <v>100.03</v>
      </c>
      <c r="O578" s="171">
        <v>122.55</v>
      </c>
      <c r="P578" s="171">
        <v>107.55</v>
      </c>
      <c r="Q578" s="171">
        <v>107</v>
      </c>
      <c r="R578" s="171">
        <v>106.93</v>
      </c>
      <c r="S578" s="171">
        <v>95.08</v>
      </c>
      <c r="T578" s="171">
        <v>87.59</v>
      </c>
      <c r="U578" s="171">
        <v>87</v>
      </c>
      <c r="V578" s="171">
        <v>85</v>
      </c>
      <c r="W578" s="171">
        <v>80.070000000000007</v>
      </c>
      <c r="X578" s="171">
        <v>75.09</v>
      </c>
      <c r="Y578" s="171">
        <v>70.040000000000006</v>
      </c>
      <c r="Z578" s="171">
        <v>80.08</v>
      </c>
      <c r="AA578" s="171">
        <v>75</v>
      </c>
      <c r="AB578" s="171">
        <v>122.55</v>
      </c>
      <c r="AC578" s="171">
        <v>70.040000000000006</v>
      </c>
      <c r="AD578" s="171">
        <v>32.26</v>
      </c>
      <c r="AF578" s="171">
        <f t="shared" si="26"/>
        <v>2008</v>
      </c>
      <c r="AG578" s="171">
        <f t="shared" si="27"/>
        <v>6</v>
      </c>
      <c r="AH578" s="700">
        <f>SUMIF(D$3:$AA578,"&lt;="&amp;$AH$1)/COUNTIF(D$3:$AA578,"&lt;="&amp;$AH$1)</f>
        <v>28.509419501929095</v>
      </c>
    </row>
    <row r="579" spans="2:34" x14ac:dyDescent="0.25">
      <c r="B579" s="910">
        <v>39637</v>
      </c>
      <c r="C579" s="581">
        <f t="shared" si="25"/>
        <v>7</v>
      </c>
      <c r="D579" s="171">
        <v>58.870000000000005</v>
      </c>
      <c r="E579" s="171">
        <v>49.910000000000004</v>
      </c>
      <c r="F579" s="171">
        <v>42.61</v>
      </c>
      <c r="G579" s="171">
        <v>31</v>
      </c>
      <c r="H579" s="171">
        <v>33.730000000000004</v>
      </c>
      <c r="I579" s="171">
        <v>42.36</v>
      </c>
      <c r="J579" s="171">
        <v>57.35</v>
      </c>
      <c r="K579" s="171">
        <v>79</v>
      </c>
      <c r="L579" s="171">
        <v>79.010000000000005</v>
      </c>
      <c r="M579" s="171">
        <v>90.69</v>
      </c>
      <c r="N579" s="171">
        <v>101.75</v>
      </c>
      <c r="O579" s="171">
        <v>114.43</v>
      </c>
      <c r="P579" s="171">
        <v>100</v>
      </c>
      <c r="Q579" s="171">
        <v>100.01</v>
      </c>
      <c r="R579" s="171">
        <v>96.02</v>
      </c>
      <c r="S579" s="171">
        <v>94.99</v>
      </c>
      <c r="T579" s="171">
        <v>86</v>
      </c>
      <c r="U579" s="171">
        <v>83.5</v>
      </c>
      <c r="V579" s="171">
        <v>78.040000000000006</v>
      </c>
      <c r="W579" s="171">
        <v>72.070000000000007</v>
      </c>
      <c r="X579" s="171">
        <v>75.06</v>
      </c>
      <c r="Y579" s="171">
        <v>75</v>
      </c>
      <c r="Z579" s="171">
        <v>78.91</v>
      </c>
      <c r="AA579" s="171">
        <v>69.070000000000007</v>
      </c>
      <c r="AB579" s="171">
        <v>114.43</v>
      </c>
      <c r="AC579" s="171">
        <v>72.070000000000007</v>
      </c>
      <c r="AD579" s="171">
        <v>48.11</v>
      </c>
      <c r="AF579" s="171">
        <f t="shared" si="26"/>
        <v>2008</v>
      </c>
      <c r="AG579" s="171">
        <f t="shared" si="27"/>
        <v>3</v>
      </c>
      <c r="AH579" s="700">
        <f>SUMIF(D$3:$AA579,"&lt;="&amp;$AH$1)/COUNTIF(D$3:$AA579,"&lt;="&amp;$AH$1)</f>
        <v>28.51319894829092</v>
      </c>
    </row>
    <row r="580" spans="2:34" x14ac:dyDescent="0.25">
      <c r="B580" s="910">
        <v>39638</v>
      </c>
      <c r="C580" s="581">
        <f t="shared" ref="C580:C643" si="28">MONTH(B580)</f>
        <v>7</v>
      </c>
      <c r="D580" s="171">
        <v>63.980000000000004</v>
      </c>
      <c r="E580" s="171">
        <v>51</v>
      </c>
      <c r="F580" s="171">
        <v>40.46</v>
      </c>
      <c r="G580" s="171">
        <v>35.42</v>
      </c>
      <c r="H580" s="171">
        <v>32.82</v>
      </c>
      <c r="I580" s="171">
        <v>43.75</v>
      </c>
      <c r="J580" s="171">
        <v>62.99</v>
      </c>
      <c r="K580" s="171">
        <v>79.59</v>
      </c>
      <c r="L580" s="171">
        <v>81.25</v>
      </c>
      <c r="M580" s="171">
        <v>94.53</v>
      </c>
      <c r="N580" s="171">
        <v>101.06</v>
      </c>
      <c r="O580" s="171">
        <v>110</v>
      </c>
      <c r="P580" s="171">
        <v>100.01</v>
      </c>
      <c r="Q580" s="171">
        <v>98.740000000000009</v>
      </c>
      <c r="R580" s="171">
        <v>97</v>
      </c>
      <c r="S580" s="171">
        <v>93.25</v>
      </c>
      <c r="T580" s="171">
        <v>87.04</v>
      </c>
      <c r="U580" s="171">
        <v>84.5</v>
      </c>
      <c r="V580" s="171">
        <v>83.05</v>
      </c>
      <c r="W580" s="171">
        <v>77.95</v>
      </c>
      <c r="X580" s="171">
        <v>74.98</v>
      </c>
      <c r="Y580" s="171">
        <v>75.210000000000008</v>
      </c>
      <c r="Z580" s="171">
        <v>79.070000000000007</v>
      </c>
      <c r="AA580" s="171">
        <v>72.05</v>
      </c>
      <c r="AB580" s="171">
        <v>110</v>
      </c>
      <c r="AC580" s="171">
        <v>74.98</v>
      </c>
      <c r="AD580" s="171">
        <v>50.31</v>
      </c>
      <c r="AF580" s="171">
        <f t="shared" ref="AF580:AF643" si="29">YEAR(B580)</f>
        <v>2008</v>
      </c>
      <c r="AG580" s="171">
        <f t="shared" ref="AG580:AG643" si="30">COUNTIF(D580:AA580,"&lt;="&amp;$AH$1)</f>
        <v>3</v>
      </c>
      <c r="AH580" s="700">
        <f>SUMIF(D$3:$AA580,"&lt;="&amp;$AH$1)/COUNTIF(D$3:$AA580,"&lt;="&amp;$AH$1)</f>
        <v>28.517256482130293</v>
      </c>
    </row>
    <row r="581" spans="2:34" x14ac:dyDescent="0.25">
      <c r="B581" s="910">
        <v>39639</v>
      </c>
      <c r="C581" s="581">
        <f t="shared" si="28"/>
        <v>7</v>
      </c>
      <c r="D581" s="171">
        <v>62.9</v>
      </c>
      <c r="E581" s="171">
        <v>61</v>
      </c>
      <c r="F581" s="171">
        <v>46.2</v>
      </c>
      <c r="G581" s="171">
        <v>38.96</v>
      </c>
      <c r="H581" s="171">
        <v>37.03</v>
      </c>
      <c r="I581" s="171">
        <v>49.01</v>
      </c>
      <c r="J581" s="171">
        <v>65.599999999999994</v>
      </c>
      <c r="K581" s="171">
        <v>83.99</v>
      </c>
      <c r="L581" s="171">
        <v>92.98</v>
      </c>
      <c r="M581" s="171">
        <v>105.25</v>
      </c>
      <c r="N581" s="171">
        <v>106</v>
      </c>
      <c r="O581" s="171">
        <v>120.08</v>
      </c>
      <c r="P581" s="171">
        <v>108.75</v>
      </c>
      <c r="Q581" s="171">
        <v>107.54</v>
      </c>
      <c r="R581" s="171">
        <v>105.03</v>
      </c>
      <c r="S581" s="171">
        <v>99.06</v>
      </c>
      <c r="T581" s="171">
        <v>93.05</v>
      </c>
      <c r="U581" s="171">
        <v>88.01</v>
      </c>
      <c r="V581" s="171">
        <v>89</v>
      </c>
      <c r="W581" s="171">
        <v>84.08</v>
      </c>
      <c r="X581" s="171">
        <v>77.97</v>
      </c>
      <c r="Y581" s="171">
        <v>75.08</v>
      </c>
      <c r="Z581" s="171">
        <v>81.09</v>
      </c>
      <c r="AA581" s="171">
        <v>75.040000000000006</v>
      </c>
      <c r="AB581" s="171">
        <v>120.08</v>
      </c>
      <c r="AC581" s="171">
        <v>75.08</v>
      </c>
      <c r="AD581" s="171">
        <v>54.47</v>
      </c>
      <c r="AF581" s="171">
        <f t="shared" si="29"/>
        <v>2008</v>
      </c>
      <c r="AG581" s="171">
        <f t="shared" si="30"/>
        <v>2</v>
      </c>
      <c r="AH581" s="700">
        <f>SUMIF(D$3:$AA581,"&lt;="&amp;$AH$1)/COUNTIF(D$3:$AA581,"&lt;="&amp;$AH$1)</f>
        <v>28.520576182136551</v>
      </c>
    </row>
    <row r="582" spans="2:34" x14ac:dyDescent="0.25">
      <c r="B582" s="910">
        <v>39640</v>
      </c>
      <c r="C582" s="581">
        <f t="shared" si="28"/>
        <v>7</v>
      </c>
      <c r="D582" s="171">
        <v>69.36</v>
      </c>
      <c r="E582" s="171">
        <v>61.52</v>
      </c>
      <c r="F582" s="171">
        <v>59.13</v>
      </c>
      <c r="G582" s="171">
        <v>46.44</v>
      </c>
      <c r="H582" s="171">
        <v>45</v>
      </c>
      <c r="I582" s="171">
        <v>53.01</v>
      </c>
      <c r="J582" s="171">
        <v>64.97</v>
      </c>
      <c r="K582" s="171">
        <v>86.53</v>
      </c>
      <c r="L582" s="171">
        <v>87.54</v>
      </c>
      <c r="M582" s="171">
        <v>96.01</v>
      </c>
      <c r="N582" s="171">
        <v>100.51</v>
      </c>
      <c r="O582" s="171">
        <v>114.01</v>
      </c>
      <c r="P582" s="171">
        <v>101.2</v>
      </c>
      <c r="Q582" s="171">
        <v>95</v>
      </c>
      <c r="R582" s="171">
        <v>93.070000000000007</v>
      </c>
      <c r="S582" s="171">
        <v>87</v>
      </c>
      <c r="T582" s="171">
        <v>81.100000000000009</v>
      </c>
      <c r="U582" s="171">
        <v>79.55</v>
      </c>
      <c r="V582" s="171">
        <v>79</v>
      </c>
      <c r="W582" s="171">
        <v>75.5</v>
      </c>
      <c r="X582" s="171">
        <v>76.94</v>
      </c>
      <c r="Y582" s="171">
        <v>74.75</v>
      </c>
      <c r="Z582" s="171">
        <v>80.040000000000006</v>
      </c>
      <c r="AA582" s="171">
        <v>75</v>
      </c>
      <c r="AB582" s="171">
        <v>114.01</v>
      </c>
      <c r="AC582" s="171">
        <v>74.75</v>
      </c>
      <c r="AD582" s="171">
        <v>59.300000000000004</v>
      </c>
      <c r="AF582" s="171">
        <f t="shared" si="29"/>
        <v>2008</v>
      </c>
      <c r="AG582" s="171">
        <f t="shared" si="30"/>
        <v>0</v>
      </c>
      <c r="AH582" s="700">
        <f>SUMIF(D$3:$AA582,"&lt;="&amp;$AH$1)/COUNTIF(D$3:$AA582,"&lt;="&amp;$AH$1)</f>
        <v>28.520576182136551</v>
      </c>
    </row>
    <row r="583" spans="2:34" x14ac:dyDescent="0.25">
      <c r="B583" s="910">
        <v>39643</v>
      </c>
      <c r="C583" s="581">
        <f t="shared" si="28"/>
        <v>7</v>
      </c>
      <c r="D583" s="171">
        <v>55.57</v>
      </c>
      <c r="E583" s="171">
        <v>43.9</v>
      </c>
      <c r="F583" s="171">
        <v>33</v>
      </c>
      <c r="G583" s="171">
        <v>31.1</v>
      </c>
      <c r="H583" s="171">
        <v>33</v>
      </c>
      <c r="I583" s="171">
        <v>36</v>
      </c>
      <c r="J583" s="171">
        <v>62.7</v>
      </c>
      <c r="K583" s="171">
        <v>75.930000000000007</v>
      </c>
      <c r="L583" s="171">
        <v>79.930000000000007</v>
      </c>
      <c r="M583" s="171">
        <v>80.7</v>
      </c>
      <c r="N583" s="171">
        <v>89</v>
      </c>
      <c r="O583" s="171">
        <v>97.75</v>
      </c>
      <c r="P583" s="171">
        <v>90.25</v>
      </c>
      <c r="Q583" s="171">
        <v>94</v>
      </c>
      <c r="R583" s="171">
        <v>99</v>
      </c>
      <c r="S583" s="171">
        <v>96.5</v>
      </c>
      <c r="T583" s="171">
        <v>95.25</v>
      </c>
      <c r="U583" s="171">
        <v>91</v>
      </c>
      <c r="V583" s="171">
        <v>76.67</v>
      </c>
      <c r="W583" s="171">
        <v>73.92</v>
      </c>
      <c r="X583" s="171">
        <v>70.98</v>
      </c>
      <c r="Y583" s="171">
        <v>68.930000000000007</v>
      </c>
      <c r="Z583" s="171">
        <v>76.02</v>
      </c>
      <c r="AA583" s="171">
        <v>70.7</v>
      </c>
      <c r="AB583" s="171">
        <v>99</v>
      </c>
      <c r="AC583" s="171">
        <v>68.930000000000007</v>
      </c>
      <c r="AD583" s="171">
        <v>45.75</v>
      </c>
      <c r="AF583" s="171">
        <f t="shared" si="29"/>
        <v>2008</v>
      </c>
      <c r="AG583" s="171">
        <f t="shared" si="30"/>
        <v>4</v>
      </c>
      <c r="AH583" s="700">
        <f>SUMIF(D$3:$AA583,"&lt;="&amp;$AH$1)/COUNTIF(D$3:$AA583,"&lt;="&amp;$AH$1)</f>
        <v>28.523904445222211</v>
      </c>
    </row>
    <row r="584" spans="2:34" x14ac:dyDescent="0.25">
      <c r="B584" s="910">
        <v>39644</v>
      </c>
      <c r="C584" s="581">
        <f t="shared" si="28"/>
        <v>7</v>
      </c>
      <c r="D584" s="171">
        <v>63.18</v>
      </c>
      <c r="E584" s="171">
        <v>54.94</v>
      </c>
      <c r="F584" s="171">
        <v>44.93</v>
      </c>
      <c r="G584" s="171">
        <v>35</v>
      </c>
      <c r="H584" s="171">
        <v>37.21</v>
      </c>
      <c r="I584" s="171">
        <v>49.06</v>
      </c>
      <c r="J584" s="171">
        <v>65.510000000000005</v>
      </c>
      <c r="K584" s="171">
        <v>90</v>
      </c>
      <c r="L584" s="171">
        <v>86.93</v>
      </c>
      <c r="M584" s="171">
        <v>99.570000000000007</v>
      </c>
      <c r="N584" s="171">
        <v>105.5</v>
      </c>
      <c r="O584" s="171">
        <v>124.65</v>
      </c>
      <c r="P584" s="171">
        <v>110.06</v>
      </c>
      <c r="Q584" s="171">
        <v>102.60000000000001</v>
      </c>
      <c r="R584" s="171">
        <v>102.57000000000001</v>
      </c>
      <c r="S584" s="171">
        <v>96</v>
      </c>
      <c r="T584" s="171">
        <v>89.56</v>
      </c>
      <c r="U584" s="171">
        <v>84.850000000000009</v>
      </c>
      <c r="V584" s="171">
        <v>85.5</v>
      </c>
      <c r="W584" s="171">
        <v>75.100000000000009</v>
      </c>
      <c r="X584" s="171">
        <v>79.960000000000008</v>
      </c>
      <c r="Y584" s="171">
        <v>75.320000000000007</v>
      </c>
      <c r="Z584" s="171">
        <v>79.820000000000007</v>
      </c>
      <c r="AA584" s="171">
        <v>70.06</v>
      </c>
      <c r="AB584" s="171">
        <v>124.65</v>
      </c>
      <c r="AC584" s="171">
        <v>75.100000000000009</v>
      </c>
      <c r="AD584" s="171">
        <v>52.49</v>
      </c>
      <c r="AF584" s="171">
        <f t="shared" si="29"/>
        <v>2008</v>
      </c>
      <c r="AG584" s="171">
        <f t="shared" si="30"/>
        <v>2</v>
      </c>
      <c r="AH584" s="700">
        <f>SUMIF(D$3:$AA584,"&lt;="&amp;$AH$1)/COUNTIF(D$3:$AA584,"&lt;="&amp;$AH$1)</f>
        <v>28.526557032890079</v>
      </c>
    </row>
    <row r="585" spans="2:34" x14ac:dyDescent="0.25">
      <c r="B585" s="910">
        <v>39645</v>
      </c>
      <c r="C585" s="581">
        <f t="shared" si="28"/>
        <v>7</v>
      </c>
      <c r="D585" s="171">
        <v>52.44</v>
      </c>
      <c r="E585" s="171">
        <v>45.5</v>
      </c>
      <c r="F585" s="171">
        <v>32</v>
      </c>
      <c r="G585" s="171">
        <v>28.5</v>
      </c>
      <c r="H585" s="171">
        <v>30.060000000000002</v>
      </c>
      <c r="I585" s="171">
        <v>38.82</v>
      </c>
      <c r="J585" s="171">
        <v>54.31</v>
      </c>
      <c r="K585" s="171">
        <v>78.06</v>
      </c>
      <c r="L585" s="171">
        <v>84</v>
      </c>
      <c r="M585" s="171">
        <v>92.09</v>
      </c>
      <c r="N585" s="171">
        <v>98.5</v>
      </c>
      <c r="O585" s="171">
        <v>107.41</v>
      </c>
      <c r="P585" s="171">
        <v>100.88</v>
      </c>
      <c r="Q585" s="171">
        <v>98.09</v>
      </c>
      <c r="R585" s="171">
        <v>95.86</v>
      </c>
      <c r="S585" s="171">
        <v>88.100000000000009</v>
      </c>
      <c r="T585" s="171">
        <v>85</v>
      </c>
      <c r="U585" s="171">
        <v>79.75</v>
      </c>
      <c r="V585" s="171">
        <v>80</v>
      </c>
      <c r="W585" s="171">
        <v>72.760000000000005</v>
      </c>
      <c r="X585" s="171">
        <v>71.790000000000006</v>
      </c>
      <c r="Y585" s="171">
        <v>68.210000000000008</v>
      </c>
      <c r="Z585" s="171">
        <v>75.62</v>
      </c>
      <c r="AA585" s="171">
        <v>67.05</v>
      </c>
      <c r="AB585" s="171">
        <v>107.41</v>
      </c>
      <c r="AC585" s="171">
        <v>68.210000000000008</v>
      </c>
      <c r="AD585" s="171">
        <v>43.58</v>
      </c>
      <c r="AF585" s="171">
        <f t="shared" si="29"/>
        <v>2008</v>
      </c>
      <c r="AG585" s="171">
        <f t="shared" si="30"/>
        <v>4</v>
      </c>
      <c r="AH585" s="700">
        <f>SUMIF(D$3:$AA585,"&lt;="&amp;$AH$1)/COUNTIF(D$3:$AA585,"&lt;="&amp;$AH$1)</f>
        <v>28.529227272727219</v>
      </c>
    </row>
    <row r="586" spans="2:34" x14ac:dyDescent="0.25">
      <c r="B586" s="910">
        <v>39646</v>
      </c>
      <c r="C586" s="581">
        <f t="shared" si="28"/>
        <v>7</v>
      </c>
      <c r="D586" s="171">
        <v>60.1</v>
      </c>
      <c r="E586" s="171">
        <v>53.74</v>
      </c>
      <c r="F586" s="171">
        <v>40.03</v>
      </c>
      <c r="G586" s="171">
        <v>34</v>
      </c>
      <c r="H586" s="171">
        <v>33.25</v>
      </c>
      <c r="I586" s="171">
        <v>43.81</v>
      </c>
      <c r="J586" s="171">
        <v>61.52</v>
      </c>
      <c r="K586" s="171">
        <v>74.91</v>
      </c>
      <c r="L586" s="171">
        <v>85.26</v>
      </c>
      <c r="M586" s="171">
        <v>96.070000000000007</v>
      </c>
      <c r="N586" s="171">
        <v>104.62</v>
      </c>
      <c r="O586" s="171">
        <v>120.07000000000001</v>
      </c>
      <c r="P586" s="171">
        <v>102.75</v>
      </c>
      <c r="Q586" s="171">
        <v>101</v>
      </c>
      <c r="R586" s="171">
        <v>100</v>
      </c>
      <c r="S586" s="171">
        <v>92.78</v>
      </c>
      <c r="T586" s="171">
        <v>87.93</v>
      </c>
      <c r="U586" s="171">
        <v>83.13</v>
      </c>
      <c r="V586" s="171">
        <v>83.28</v>
      </c>
      <c r="W586" s="171">
        <v>76.63</v>
      </c>
      <c r="X586" s="171">
        <v>73.47</v>
      </c>
      <c r="Y586" s="171">
        <v>68.75</v>
      </c>
      <c r="Z586" s="171">
        <v>74.400000000000006</v>
      </c>
      <c r="AA586" s="171">
        <v>67.75</v>
      </c>
      <c r="AB586" s="171">
        <v>120.07000000000001</v>
      </c>
      <c r="AC586" s="171">
        <v>68.75</v>
      </c>
      <c r="AD586" s="171">
        <v>49.28</v>
      </c>
      <c r="AF586" s="171">
        <f t="shared" si="29"/>
        <v>2008</v>
      </c>
      <c r="AG586" s="171">
        <f t="shared" si="30"/>
        <v>3</v>
      </c>
      <c r="AH586" s="700">
        <f>SUMIF(D$3:$AA586,"&lt;="&amp;$AH$1)/COUNTIF(D$3:$AA586,"&lt;="&amp;$AH$1)</f>
        <v>28.533017648086616</v>
      </c>
    </row>
    <row r="587" spans="2:34" x14ac:dyDescent="0.25">
      <c r="B587" s="910">
        <v>39647</v>
      </c>
      <c r="C587" s="581">
        <f t="shared" si="28"/>
        <v>7</v>
      </c>
      <c r="D587" s="171">
        <v>66.27</v>
      </c>
      <c r="E587" s="171">
        <v>59.300000000000004</v>
      </c>
      <c r="F587" s="171">
        <v>46.75</v>
      </c>
      <c r="G587" s="171">
        <v>36</v>
      </c>
      <c r="H587" s="171">
        <v>35.1</v>
      </c>
      <c r="I587" s="171">
        <v>49.94</v>
      </c>
      <c r="J587" s="171">
        <v>62.5</v>
      </c>
      <c r="K587" s="171">
        <v>75.070000000000007</v>
      </c>
      <c r="L587" s="171">
        <v>84.06</v>
      </c>
      <c r="M587" s="171">
        <v>95.100000000000009</v>
      </c>
      <c r="N587" s="171">
        <v>98.05</v>
      </c>
      <c r="O587" s="171">
        <v>110.01</v>
      </c>
      <c r="P587" s="171">
        <v>98.03</v>
      </c>
      <c r="Q587" s="171">
        <v>94</v>
      </c>
      <c r="R587" s="171">
        <v>92.05</v>
      </c>
      <c r="S587" s="171">
        <v>85.26</v>
      </c>
      <c r="T587" s="171">
        <v>79.02</v>
      </c>
      <c r="U587" s="171">
        <v>78.02</v>
      </c>
      <c r="V587" s="171">
        <v>76.03</v>
      </c>
      <c r="W587" s="171">
        <v>72.03</v>
      </c>
      <c r="X587" s="171">
        <v>72.3</v>
      </c>
      <c r="Y587" s="171">
        <v>69.930000000000007</v>
      </c>
      <c r="Z587" s="171">
        <v>75.25</v>
      </c>
      <c r="AA587" s="171">
        <v>68.430000000000007</v>
      </c>
      <c r="AB587" s="171">
        <v>110.01</v>
      </c>
      <c r="AC587" s="171">
        <v>69.930000000000007</v>
      </c>
      <c r="AD587" s="171">
        <v>53.04</v>
      </c>
      <c r="AF587" s="171">
        <f t="shared" si="29"/>
        <v>2008</v>
      </c>
      <c r="AG587" s="171">
        <f t="shared" si="30"/>
        <v>2</v>
      </c>
      <c r="AH587" s="700">
        <f>SUMIF(D$3:$AA587,"&lt;="&amp;$AH$1)/COUNTIF(D$3:$AA587,"&lt;="&amp;$AH$1)</f>
        <v>28.535468995633135</v>
      </c>
    </row>
    <row r="588" spans="2:34" x14ac:dyDescent="0.25">
      <c r="B588" s="910">
        <v>39650</v>
      </c>
      <c r="C588" s="581">
        <f t="shared" si="28"/>
        <v>7</v>
      </c>
      <c r="D588" s="171">
        <v>35.01</v>
      </c>
      <c r="E588" s="171">
        <v>12.06</v>
      </c>
      <c r="F588" s="171">
        <v>8.94</v>
      </c>
      <c r="G588" s="171">
        <v>7.9</v>
      </c>
      <c r="H588" s="171">
        <v>7.8</v>
      </c>
      <c r="I588" s="171">
        <v>11.94</v>
      </c>
      <c r="J588" s="171">
        <v>29.04</v>
      </c>
      <c r="K588" s="171">
        <v>63</v>
      </c>
      <c r="L588" s="171">
        <v>69.930000000000007</v>
      </c>
      <c r="M588" s="171">
        <v>78</v>
      </c>
      <c r="N588" s="171">
        <v>79.7</v>
      </c>
      <c r="O588" s="171">
        <v>85.100000000000009</v>
      </c>
      <c r="P588" s="171">
        <v>82</v>
      </c>
      <c r="Q588" s="171">
        <v>79.78</v>
      </c>
      <c r="R588" s="171">
        <v>76</v>
      </c>
      <c r="S588" s="171">
        <v>74.94</v>
      </c>
      <c r="T588" s="171">
        <v>72.42</v>
      </c>
      <c r="U588" s="171">
        <v>69.900000000000006</v>
      </c>
      <c r="V588" s="171">
        <v>70.97</v>
      </c>
      <c r="W588" s="171">
        <v>68.989999999999995</v>
      </c>
      <c r="X588" s="171">
        <v>69.5</v>
      </c>
      <c r="Y588" s="171">
        <v>64.42</v>
      </c>
      <c r="Z588" s="171">
        <v>70</v>
      </c>
      <c r="AA588" s="171">
        <v>58.370000000000005</v>
      </c>
      <c r="AB588" s="171">
        <v>85.100000000000009</v>
      </c>
      <c r="AC588" s="171">
        <v>63</v>
      </c>
      <c r="AD588" s="171">
        <v>21.38</v>
      </c>
      <c r="AF588" s="171">
        <f t="shared" si="29"/>
        <v>2008</v>
      </c>
      <c r="AG588" s="171">
        <f t="shared" si="30"/>
        <v>7</v>
      </c>
      <c r="AH588" s="700">
        <f>SUMIF(D$3:$AA588,"&lt;="&amp;$AH$1)/COUNTIF(D$3:$AA588,"&lt;="&amp;$AH$1)</f>
        <v>28.5202808792742</v>
      </c>
    </row>
    <row r="589" spans="2:34" x14ac:dyDescent="0.25">
      <c r="B589" s="910">
        <v>39651</v>
      </c>
      <c r="C589" s="581">
        <f t="shared" si="28"/>
        <v>7</v>
      </c>
      <c r="D589" s="171">
        <v>57.06</v>
      </c>
      <c r="E589" s="171">
        <v>48.13</v>
      </c>
      <c r="F589" s="171">
        <v>36.61</v>
      </c>
      <c r="G589" s="171">
        <v>30.3</v>
      </c>
      <c r="H589" s="171">
        <v>28</v>
      </c>
      <c r="I589" s="171">
        <v>46</v>
      </c>
      <c r="J589" s="171">
        <v>55.74</v>
      </c>
      <c r="K589" s="171">
        <v>71.010000000000005</v>
      </c>
      <c r="L589" s="171">
        <v>80</v>
      </c>
      <c r="M589" s="171">
        <v>90</v>
      </c>
      <c r="N589" s="171">
        <v>96.09</v>
      </c>
      <c r="O589" s="171">
        <v>103.97</v>
      </c>
      <c r="P589" s="171">
        <v>96.070000000000007</v>
      </c>
      <c r="Q589" s="171">
        <v>90.17</v>
      </c>
      <c r="R589" s="171">
        <v>91.5</v>
      </c>
      <c r="S589" s="171">
        <v>85.11</v>
      </c>
      <c r="T589" s="171">
        <v>84.58</v>
      </c>
      <c r="U589" s="171">
        <v>81.98</v>
      </c>
      <c r="V589" s="171">
        <v>81.5</v>
      </c>
      <c r="W589" s="171">
        <v>76.760000000000005</v>
      </c>
      <c r="X589" s="171">
        <v>73.900000000000006</v>
      </c>
      <c r="Y589" s="171">
        <v>70.12</v>
      </c>
      <c r="Z589" s="171">
        <v>74.010000000000005</v>
      </c>
      <c r="AA589" s="171">
        <v>66.47</v>
      </c>
      <c r="AB589" s="171">
        <v>103.97</v>
      </c>
      <c r="AC589" s="171">
        <v>70.12</v>
      </c>
      <c r="AD589" s="171">
        <v>46.04</v>
      </c>
      <c r="AF589" s="171">
        <f t="shared" si="29"/>
        <v>2008</v>
      </c>
      <c r="AG589" s="171">
        <f t="shared" si="30"/>
        <v>3</v>
      </c>
      <c r="AH589" s="700">
        <f>SUMIF(D$3:$AA589,"&lt;="&amp;$AH$1)/COUNTIF(D$3:$AA589,"&lt;="&amp;$AH$1)</f>
        <v>28.521911072362631</v>
      </c>
    </row>
    <row r="590" spans="2:34" x14ac:dyDescent="0.25">
      <c r="B590" s="910">
        <v>39652</v>
      </c>
      <c r="C590" s="581">
        <f t="shared" si="28"/>
        <v>7</v>
      </c>
      <c r="D590" s="171">
        <v>59.28</v>
      </c>
      <c r="E590" s="171">
        <v>53</v>
      </c>
      <c r="F590" s="171">
        <v>35.93</v>
      </c>
      <c r="G590" s="171">
        <v>34</v>
      </c>
      <c r="H590" s="171">
        <v>35</v>
      </c>
      <c r="I590" s="171">
        <v>40.11</v>
      </c>
      <c r="J590" s="171">
        <v>51</v>
      </c>
      <c r="K590" s="171">
        <v>64.680000000000007</v>
      </c>
      <c r="L590" s="171">
        <v>74.08</v>
      </c>
      <c r="M590" s="171">
        <v>86.100000000000009</v>
      </c>
      <c r="N590" s="171">
        <v>93.5</v>
      </c>
      <c r="O590" s="171">
        <v>105.14</v>
      </c>
      <c r="P590" s="171">
        <v>92.04</v>
      </c>
      <c r="Q590" s="171">
        <v>88.72</v>
      </c>
      <c r="R590" s="171">
        <v>91.4</v>
      </c>
      <c r="S590" s="171">
        <v>87.350000000000009</v>
      </c>
      <c r="T590" s="171">
        <v>85.25</v>
      </c>
      <c r="U590" s="171">
        <v>80.78</v>
      </c>
      <c r="V590" s="171">
        <v>74.460000000000008</v>
      </c>
      <c r="W590" s="171">
        <v>70.08</v>
      </c>
      <c r="X590" s="171">
        <v>68.22</v>
      </c>
      <c r="Y590" s="171">
        <v>67.94</v>
      </c>
      <c r="Z590" s="171">
        <v>72.010000000000005</v>
      </c>
      <c r="AA590" s="171">
        <v>60.97</v>
      </c>
      <c r="AB590" s="171">
        <v>105.14</v>
      </c>
      <c r="AC590" s="171">
        <v>64.680000000000007</v>
      </c>
      <c r="AD590" s="171">
        <v>46.160000000000004</v>
      </c>
      <c r="AF590" s="171">
        <f t="shared" si="29"/>
        <v>2008</v>
      </c>
      <c r="AG590" s="171">
        <f t="shared" si="30"/>
        <v>4</v>
      </c>
      <c r="AH590" s="700">
        <f>SUMIF(D$3:$AA590,"&lt;="&amp;$AH$1)/COUNTIF(D$3:$AA590,"&lt;="&amp;$AH$1)</f>
        <v>28.527304408433466</v>
      </c>
    </row>
    <row r="591" spans="2:34" x14ac:dyDescent="0.25">
      <c r="B591" s="910">
        <v>39653</v>
      </c>
      <c r="C591" s="581">
        <f t="shared" si="28"/>
        <v>7</v>
      </c>
      <c r="D591" s="171">
        <v>55.93</v>
      </c>
      <c r="E591" s="171">
        <v>45.93</v>
      </c>
      <c r="F591" s="171">
        <v>34.980000000000004</v>
      </c>
      <c r="G591" s="171">
        <v>28.11</v>
      </c>
      <c r="H591" s="171">
        <v>29.36</v>
      </c>
      <c r="I591" s="171">
        <v>41</v>
      </c>
      <c r="J591" s="171">
        <v>54.06</v>
      </c>
      <c r="K591" s="171">
        <v>72.42</v>
      </c>
      <c r="L591" s="171">
        <v>71.100000000000009</v>
      </c>
      <c r="M591" s="171">
        <v>82.9</v>
      </c>
      <c r="N591" s="171">
        <v>87.98</v>
      </c>
      <c r="O591" s="171">
        <v>95.95</v>
      </c>
      <c r="P591" s="171">
        <v>88.01</v>
      </c>
      <c r="Q591" s="171">
        <v>88</v>
      </c>
      <c r="R591" s="171">
        <v>85.5</v>
      </c>
      <c r="S591" s="171">
        <v>84.25</v>
      </c>
      <c r="T591" s="171">
        <v>79.45</v>
      </c>
      <c r="U591" s="171">
        <v>76.38</v>
      </c>
      <c r="V591" s="171">
        <v>77.430000000000007</v>
      </c>
      <c r="W591" s="171">
        <v>72.5</v>
      </c>
      <c r="X591" s="171">
        <v>72.03</v>
      </c>
      <c r="Y591" s="171">
        <v>69.900000000000006</v>
      </c>
      <c r="Z591" s="171">
        <v>74</v>
      </c>
      <c r="AA591" s="171">
        <v>62.660000000000004</v>
      </c>
      <c r="AB591" s="171">
        <v>95.95</v>
      </c>
      <c r="AC591" s="171">
        <v>69.900000000000006</v>
      </c>
      <c r="AD591" s="171">
        <v>44</v>
      </c>
      <c r="AF591" s="171">
        <f t="shared" si="29"/>
        <v>2008</v>
      </c>
      <c r="AG591" s="171">
        <f t="shared" si="30"/>
        <v>4</v>
      </c>
      <c r="AH591" s="700">
        <f>SUMIF(D$3:$AA591,"&lt;="&amp;$AH$1)/COUNTIF(D$3:$AA591,"&lt;="&amp;$AH$1)</f>
        <v>28.530672122583955</v>
      </c>
    </row>
    <row r="592" spans="2:34" x14ac:dyDescent="0.25">
      <c r="B592" s="910">
        <v>39654</v>
      </c>
      <c r="C592" s="581">
        <f t="shared" si="28"/>
        <v>7</v>
      </c>
      <c r="D592" s="171">
        <v>61</v>
      </c>
      <c r="E592" s="171">
        <v>52.77</v>
      </c>
      <c r="F592" s="171">
        <v>38.5</v>
      </c>
      <c r="G592" s="171">
        <v>33</v>
      </c>
      <c r="H592" s="171">
        <v>32.26</v>
      </c>
      <c r="I592" s="171">
        <v>41.01</v>
      </c>
      <c r="J592" s="171">
        <v>57.25</v>
      </c>
      <c r="K592" s="171">
        <v>69</v>
      </c>
      <c r="L592" s="171">
        <v>71.17</v>
      </c>
      <c r="M592" s="171">
        <v>84.5</v>
      </c>
      <c r="N592" s="171">
        <v>85</v>
      </c>
      <c r="O592" s="171">
        <v>94.5</v>
      </c>
      <c r="P592" s="171">
        <v>91</v>
      </c>
      <c r="Q592" s="171">
        <v>88.01</v>
      </c>
      <c r="R592" s="171">
        <v>85.26</v>
      </c>
      <c r="S592" s="171">
        <v>82.51</v>
      </c>
      <c r="T592" s="171">
        <v>76.16</v>
      </c>
      <c r="U592" s="171">
        <v>75.25</v>
      </c>
      <c r="V592" s="171">
        <v>75.010000000000005</v>
      </c>
      <c r="W592" s="171">
        <v>71.989999999999995</v>
      </c>
      <c r="X592" s="171">
        <v>70.010000000000005</v>
      </c>
      <c r="Y592" s="171">
        <v>68.25</v>
      </c>
      <c r="Z592" s="171">
        <v>72.210000000000008</v>
      </c>
      <c r="AA592" s="171">
        <v>67.7</v>
      </c>
      <c r="AB592" s="171">
        <v>94.5</v>
      </c>
      <c r="AC592" s="171">
        <v>68.25</v>
      </c>
      <c r="AD592" s="171">
        <v>47.94</v>
      </c>
      <c r="AF592" s="171">
        <f t="shared" si="29"/>
        <v>2008</v>
      </c>
      <c r="AG592" s="171">
        <f t="shared" si="30"/>
        <v>4</v>
      </c>
      <c r="AH592" s="700">
        <f>SUMIF(D$3:$AA592,"&lt;="&amp;$AH$1)/COUNTIF(D$3:$AA592,"&lt;="&amp;$AH$1)</f>
        <v>28.536004872107128</v>
      </c>
    </row>
    <row r="593" spans="2:34" x14ac:dyDescent="0.25">
      <c r="B593" s="910">
        <v>39657</v>
      </c>
      <c r="C593" s="581">
        <f t="shared" si="28"/>
        <v>7</v>
      </c>
      <c r="D593" s="171">
        <v>54</v>
      </c>
      <c r="E593" s="171">
        <v>47.92</v>
      </c>
      <c r="F593" s="171">
        <v>38.06</v>
      </c>
      <c r="G593" s="171">
        <v>34.5</v>
      </c>
      <c r="H593" s="171">
        <v>30.71</v>
      </c>
      <c r="I593" s="171">
        <v>37</v>
      </c>
      <c r="J593" s="171">
        <v>54.95</v>
      </c>
      <c r="K593" s="171">
        <v>72</v>
      </c>
      <c r="L593" s="171">
        <v>79.930000000000007</v>
      </c>
      <c r="M593" s="171">
        <v>87.03</v>
      </c>
      <c r="N593" s="171">
        <v>94.93</v>
      </c>
      <c r="O593" s="171">
        <v>105.36</v>
      </c>
      <c r="P593" s="171">
        <v>99.070000000000007</v>
      </c>
      <c r="Q593" s="171">
        <v>93.08</v>
      </c>
      <c r="R593" s="171">
        <v>91.29</v>
      </c>
      <c r="S593" s="171">
        <v>87.02</v>
      </c>
      <c r="T593" s="171">
        <v>84.06</v>
      </c>
      <c r="U593" s="171">
        <v>81.03</v>
      </c>
      <c r="V593" s="171">
        <v>80.739999999999995</v>
      </c>
      <c r="W593" s="171">
        <v>78</v>
      </c>
      <c r="X593" s="171">
        <v>78.06</v>
      </c>
      <c r="Y593" s="171">
        <v>75.100000000000009</v>
      </c>
      <c r="Z593" s="171">
        <v>75.040000000000006</v>
      </c>
      <c r="AA593" s="171">
        <v>69.070000000000007</v>
      </c>
      <c r="AB593" s="171">
        <v>105.36</v>
      </c>
      <c r="AC593" s="171">
        <v>72</v>
      </c>
      <c r="AD593" s="171">
        <v>45.78</v>
      </c>
      <c r="AF593" s="171">
        <f t="shared" si="29"/>
        <v>2008</v>
      </c>
      <c r="AG593" s="171">
        <f t="shared" si="30"/>
        <v>4</v>
      </c>
      <c r="AH593" s="700">
        <f>SUMIF(D$3:$AA593,"&lt;="&amp;$AH$1)/COUNTIF(D$3:$AA593,"&lt;="&amp;$AH$1)</f>
        <v>28.54054773082936</v>
      </c>
    </row>
    <row r="594" spans="2:34" x14ac:dyDescent="0.25">
      <c r="B594" s="910">
        <v>39658</v>
      </c>
      <c r="C594" s="581">
        <f t="shared" si="28"/>
        <v>7</v>
      </c>
      <c r="D594" s="171">
        <v>53.910000000000004</v>
      </c>
      <c r="E594" s="171">
        <v>49</v>
      </c>
      <c r="F594" s="171">
        <v>37.51</v>
      </c>
      <c r="G594" s="171">
        <v>31.54</v>
      </c>
      <c r="H594" s="171">
        <v>32.299999999999997</v>
      </c>
      <c r="I594" s="171">
        <v>48.11</v>
      </c>
      <c r="J594" s="171">
        <v>57.75</v>
      </c>
      <c r="K594" s="171">
        <v>77.400000000000006</v>
      </c>
      <c r="L594" s="171">
        <v>82.3</v>
      </c>
      <c r="M594" s="171">
        <v>92.600000000000009</v>
      </c>
      <c r="N594" s="171">
        <v>95.78</v>
      </c>
      <c r="O594" s="171">
        <v>109.7</v>
      </c>
      <c r="P594" s="171">
        <v>102</v>
      </c>
      <c r="Q594" s="171">
        <v>96</v>
      </c>
      <c r="R594" s="171">
        <v>95.41</v>
      </c>
      <c r="S594" s="171">
        <v>89.5</v>
      </c>
      <c r="T594" s="171">
        <v>83.960000000000008</v>
      </c>
      <c r="U594" s="171">
        <v>80</v>
      </c>
      <c r="V594" s="171">
        <v>80.010000000000005</v>
      </c>
      <c r="W594" s="171">
        <v>71.7</v>
      </c>
      <c r="X594" s="171">
        <v>71.930000000000007</v>
      </c>
      <c r="Y594" s="171">
        <v>70.489999999999995</v>
      </c>
      <c r="Z594" s="171">
        <v>72</v>
      </c>
      <c r="AA594" s="171">
        <v>63.04</v>
      </c>
      <c r="AB594" s="171">
        <v>109.7</v>
      </c>
      <c r="AC594" s="171">
        <v>70.489999999999995</v>
      </c>
      <c r="AD594" s="171">
        <v>46.65</v>
      </c>
      <c r="AF594" s="171">
        <f t="shared" si="29"/>
        <v>2008</v>
      </c>
      <c r="AG594" s="171">
        <f t="shared" si="30"/>
        <v>3</v>
      </c>
      <c r="AH594" s="700">
        <f>SUMIF(D$3:$AA594,"&lt;="&amp;$AH$1)/COUNTIF(D$3:$AA594,"&lt;="&amp;$AH$1)</f>
        <v>28.543281195689897</v>
      </c>
    </row>
    <row r="595" spans="2:34" x14ac:dyDescent="0.25">
      <c r="B595" s="910">
        <v>39659</v>
      </c>
      <c r="C595" s="581">
        <f t="shared" si="28"/>
        <v>7</v>
      </c>
      <c r="D595" s="171">
        <v>61.65</v>
      </c>
      <c r="E595" s="171">
        <v>56.96</v>
      </c>
      <c r="F595" s="171">
        <v>48.910000000000004</v>
      </c>
      <c r="G595" s="171">
        <v>40.160000000000004</v>
      </c>
      <c r="H595" s="171">
        <v>41.5</v>
      </c>
      <c r="I595" s="171">
        <v>54.03</v>
      </c>
      <c r="J595" s="171">
        <v>68.75</v>
      </c>
      <c r="K595" s="171">
        <v>80</v>
      </c>
      <c r="L595" s="171">
        <v>82.28</v>
      </c>
      <c r="M595" s="171">
        <v>91.72</v>
      </c>
      <c r="N595" s="171">
        <v>100</v>
      </c>
      <c r="O595" s="171">
        <v>111.75</v>
      </c>
      <c r="P595" s="171">
        <v>103.5</v>
      </c>
      <c r="Q595" s="171">
        <v>101</v>
      </c>
      <c r="R595" s="171">
        <v>99.5</v>
      </c>
      <c r="S595" s="171">
        <v>96.08</v>
      </c>
      <c r="T595" s="171">
        <v>85.67</v>
      </c>
      <c r="U595" s="171">
        <v>83.14</v>
      </c>
      <c r="V595" s="171">
        <v>83.38</v>
      </c>
      <c r="W595" s="171">
        <v>75.100000000000009</v>
      </c>
      <c r="X595" s="171">
        <v>72.75</v>
      </c>
      <c r="Y595" s="171">
        <v>69.930000000000007</v>
      </c>
      <c r="Z595" s="171">
        <v>74.290000000000006</v>
      </c>
      <c r="AA595" s="171">
        <v>64.91</v>
      </c>
      <c r="AB595" s="171">
        <v>111.75</v>
      </c>
      <c r="AC595" s="171">
        <v>69.930000000000007</v>
      </c>
      <c r="AD595" s="171">
        <v>54.61</v>
      </c>
      <c r="AF595" s="171">
        <f t="shared" si="29"/>
        <v>2008</v>
      </c>
      <c r="AG595" s="171">
        <f t="shared" si="30"/>
        <v>2</v>
      </c>
      <c r="AH595" s="700">
        <f>SUMIF(D$3:$AA595,"&lt;="&amp;$AH$1)/COUNTIF(D$3:$AA595,"&lt;="&amp;$AH$1)</f>
        <v>28.54755038220981</v>
      </c>
    </row>
    <row r="596" spans="2:34" x14ac:dyDescent="0.25">
      <c r="B596" s="910">
        <v>39660</v>
      </c>
      <c r="C596" s="581">
        <f t="shared" si="28"/>
        <v>7</v>
      </c>
      <c r="D596" s="171">
        <v>59.9</v>
      </c>
      <c r="E596" s="171">
        <v>54.25</v>
      </c>
      <c r="F596" s="171">
        <v>45</v>
      </c>
      <c r="G596" s="171">
        <v>41.75</v>
      </c>
      <c r="H596" s="171">
        <v>42.5</v>
      </c>
      <c r="I596" s="171">
        <v>54.11</v>
      </c>
      <c r="J596" s="171">
        <v>60.39</v>
      </c>
      <c r="K596" s="171">
        <v>68.3</v>
      </c>
      <c r="L596" s="171">
        <v>74.98</v>
      </c>
      <c r="M596" s="171">
        <v>83.47</v>
      </c>
      <c r="N596" s="171">
        <v>92.06</v>
      </c>
      <c r="O596" s="171">
        <v>103</v>
      </c>
      <c r="P596" s="171">
        <v>96.100000000000009</v>
      </c>
      <c r="Q596" s="171">
        <v>94.08</v>
      </c>
      <c r="R596" s="171">
        <v>95.63</v>
      </c>
      <c r="S596" s="171">
        <v>91.01</v>
      </c>
      <c r="T596" s="171">
        <v>84.070000000000007</v>
      </c>
      <c r="U596" s="171">
        <v>79.010000000000005</v>
      </c>
      <c r="V596" s="171">
        <v>77.540000000000006</v>
      </c>
      <c r="W596" s="171">
        <v>71.989999999999995</v>
      </c>
      <c r="X596" s="171">
        <v>72.58</v>
      </c>
      <c r="Y596" s="171">
        <v>70</v>
      </c>
      <c r="Z596" s="171">
        <v>70.710000000000008</v>
      </c>
      <c r="AA596" s="171">
        <v>65.210000000000008</v>
      </c>
      <c r="AB596" s="171">
        <v>103</v>
      </c>
      <c r="AC596" s="171">
        <v>68.3</v>
      </c>
      <c r="AD596" s="171">
        <v>52.89</v>
      </c>
      <c r="AF596" s="171">
        <f t="shared" si="29"/>
        <v>2008</v>
      </c>
      <c r="AG596" s="171">
        <f t="shared" si="30"/>
        <v>2</v>
      </c>
      <c r="AH596" s="700">
        <f>SUMIF(D$3:$AA596,"&lt;="&amp;$AH$1)/COUNTIF(D$3:$AA596,"&lt;="&amp;$AH$1)</f>
        <v>28.552266411948533</v>
      </c>
    </row>
    <row r="597" spans="2:34" x14ac:dyDescent="0.25">
      <c r="B597" s="910">
        <v>39661</v>
      </c>
      <c r="C597" s="581">
        <f t="shared" si="28"/>
        <v>8</v>
      </c>
      <c r="D597" s="171">
        <v>57</v>
      </c>
      <c r="E597" s="171">
        <v>53.14</v>
      </c>
      <c r="F597" s="171">
        <v>44.14</v>
      </c>
      <c r="G597" s="171">
        <v>41</v>
      </c>
      <c r="H597" s="171">
        <v>41</v>
      </c>
      <c r="I597" s="171">
        <v>50.65</v>
      </c>
      <c r="J597" s="171">
        <v>58.02</v>
      </c>
      <c r="K597" s="171">
        <v>65.400000000000006</v>
      </c>
      <c r="L597" s="171">
        <v>72.680000000000007</v>
      </c>
      <c r="M597" s="171">
        <v>84.54</v>
      </c>
      <c r="N597" s="171">
        <v>85</v>
      </c>
      <c r="O597" s="171">
        <v>92.01</v>
      </c>
      <c r="P597" s="171">
        <v>93.01</v>
      </c>
      <c r="Q597" s="171">
        <v>81</v>
      </c>
      <c r="R597" s="171">
        <v>79.5</v>
      </c>
      <c r="S597" s="171">
        <v>75.08</v>
      </c>
      <c r="T597" s="171">
        <v>72.5</v>
      </c>
      <c r="U597" s="171">
        <v>73.11</v>
      </c>
      <c r="V597" s="171">
        <v>71.88</v>
      </c>
      <c r="W597" s="171">
        <v>69.44</v>
      </c>
      <c r="X597" s="171">
        <v>72.260000000000005</v>
      </c>
      <c r="Y597" s="171">
        <v>74.739999999999995</v>
      </c>
      <c r="Z597" s="171">
        <v>81</v>
      </c>
      <c r="AA597" s="171">
        <v>69.040000000000006</v>
      </c>
      <c r="AB597" s="171">
        <v>93.01</v>
      </c>
      <c r="AC597" s="171">
        <v>65.400000000000006</v>
      </c>
      <c r="AD597" s="171">
        <v>51.75</v>
      </c>
      <c r="AF597" s="171">
        <f t="shared" si="29"/>
        <v>2008</v>
      </c>
      <c r="AG597" s="171">
        <f t="shared" si="30"/>
        <v>2</v>
      </c>
      <c r="AH597" s="700">
        <f>SUMIF(D$3:$AA597,"&lt;="&amp;$AH$1)/COUNTIF(D$3:$AA597,"&lt;="&amp;$AH$1)</f>
        <v>28.556588541666606</v>
      </c>
    </row>
    <row r="598" spans="2:34" x14ac:dyDescent="0.25">
      <c r="B598" s="910">
        <v>39664</v>
      </c>
      <c r="C598" s="581">
        <f t="shared" si="28"/>
        <v>8</v>
      </c>
      <c r="D598" s="171">
        <v>40</v>
      </c>
      <c r="E598" s="171">
        <v>39.910000000000004</v>
      </c>
      <c r="F598" s="171">
        <v>35.58</v>
      </c>
      <c r="G598" s="171">
        <v>25</v>
      </c>
      <c r="H598" s="171">
        <v>25</v>
      </c>
      <c r="I598" s="171">
        <v>29.88</v>
      </c>
      <c r="J598" s="171">
        <v>44.4</v>
      </c>
      <c r="K598" s="171">
        <v>54</v>
      </c>
      <c r="L598" s="171">
        <v>68.61</v>
      </c>
      <c r="M598" s="171">
        <v>72.03</v>
      </c>
      <c r="N598" s="171">
        <v>77</v>
      </c>
      <c r="O598" s="171">
        <v>84</v>
      </c>
      <c r="P598" s="171">
        <v>81.400000000000006</v>
      </c>
      <c r="Q598" s="171">
        <v>78.05</v>
      </c>
      <c r="R598" s="171">
        <v>76.09</v>
      </c>
      <c r="S598" s="171">
        <v>74.600000000000009</v>
      </c>
      <c r="T598" s="171">
        <v>70.08</v>
      </c>
      <c r="U598" s="171">
        <v>66.06</v>
      </c>
      <c r="V598" s="171">
        <v>67.989999999999995</v>
      </c>
      <c r="W598" s="171">
        <v>66.849999999999994</v>
      </c>
      <c r="X598" s="171">
        <v>68.08</v>
      </c>
      <c r="Y598" s="171">
        <v>66.08</v>
      </c>
      <c r="Z598" s="171">
        <v>70.040000000000006</v>
      </c>
      <c r="AA598" s="171">
        <v>56.01</v>
      </c>
      <c r="AB598" s="171">
        <v>84</v>
      </c>
      <c r="AC598" s="171">
        <v>54</v>
      </c>
      <c r="AD598" s="171">
        <v>36.97</v>
      </c>
      <c r="AF598" s="171">
        <f t="shared" si="29"/>
        <v>2008</v>
      </c>
      <c r="AG598" s="171">
        <f t="shared" si="30"/>
        <v>6</v>
      </c>
      <c r="AH598" s="700">
        <f>SUMIF(D$3:$AA598,"&lt;="&amp;$AH$1)/COUNTIF(D$3:$AA598,"&lt;="&amp;$AH$1)</f>
        <v>28.560756156781071</v>
      </c>
    </row>
    <row r="599" spans="2:34" x14ac:dyDescent="0.25">
      <c r="B599" s="910">
        <v>39665</v>
      </c>
      <c r="C599" s="581">
        <f t="shared" si="28"/>
        <v>8</v>
      </c>
      <c r="D599" s="171">
        <v>39.64</v>
      </c>
      <c r="E599" s="171">
        <v>31.95</v>
      </c>
      <c r="F599" s="171">
        <v>33.54</v>
      </c>
      <c r="G599" s="171">
        <v>33</v>
      </c>
      <c r="H599" s="171">
        <v>33.5</v>
      </c>
      <c r="I599" s="171">
        <v>36</v>
      </c>
      <c r="J599" s="171">
        <v>35.81</v>
      </c>
      <c r="K599" s="171">
        <v>48.43</v>
      </c>
      <c r="L599" s="171">
        <v>61.22</v>
      </c>
      <c r="M599" s="171">
        <v>71</v>
      </c>
      <c r="N599" s="171">
        <v>75</v>
      </c>
      <c r="O599" s="171">
        <v>83.3</v>
      </c>
      <c r="P599" s="171">
        <v>78.100000000000009</v>
      </c>
      <c r="Q599" s="171">
        <v>74.989999999999995</v>
      </c>
      <c r="R599" s="171">
        <v>71.19</v>
      </c>
      <c r="S599" s="171">
        <v>71.97</v>
      </c>
      <c r="T599" s="171">
        <v>68.25</v>
      </c>
      <c r="U599" s="171">
        <v>69.03</v>
      </c>
      <c r="V599" s="171">
        <v>65.81</v>
      </c>
      <c r="W599" s="171">
        <v>59.93</v>
      </c>
      <c r="X599" s="171">
        <v>65.11</v>
      </c>
      <c r="Y599" s="171">
        <v>65.61</v>
      </c>
      <c r="Z599" s="171">
        <v>67.06</v>
      </c>
      <c r="AA599" s="171">
        <v>60.04</v>
      </c>
      <c r="AB599" s="171">
        <v>83.3</v>
      </c>
      <c r="AC599" s="171">
        <v>48.43</v>
      </c>
      <c r="AD599" s="171">
        <v>37.94</v>
      </c>
      <c r="AF599" s="171">
        <f t="shared" si="29"/>
        <v>2008</v>
      </c>
      <c r="AG599" s="171">
        <f t="shared" si="30"/>
        <v>7</v>
      </c>
      <c r="AH599" s="700">
        <f>SUMIF(D$3:$AA599,"&lt;="&amp;$AH$1)/COUNTIF(D$3:$AA599,"&lt;="&amp;$AH$1)</f>
        <v>28.5682937813961</v>
      </c>
    </row>
    <row r="600" spans="2:34" x14ac:dyDescent="0.25">
      <c r="B600" s="910">
        <v>39666</v>
      </c>
      <c r="C600" s="581">
        <f t="shared" si="28"/>
        <v>8</v>
      </c>
      <c r="D600" s="171">
        <v>44.46</v>
      </c>
      <c r="E600" s="171">
        <v>24</v>
      </c>
      <c r="F600" s="171">
        <v>26.96</v>
      </c>
      <c r="G600" s="171">
        <v>25.85</v>
      </c>
      <c r="H600" s="171">
        <v>27.5</v>
      </c>
      <c r="I600" s="171">
        <v>31.54</v>
      </c>
      <c r="J600" s="171">
        <v>45</v>
      </c>
      <c r="K600" s="171">
        <v>60.67</v>
      </c>
      <c r="L600" s="171">
        <v>69</v>
      </c>
      <c r="M600" s="171">
        <v>77.28</v>
      </c>
      <c r="N600" s="171">
        <v>85.26</v>
      </c>
      <c r="O600" s="171">
        <v>92.06</v>
      </c>
      <c r="P600" s="171">
        <v>91.93</v>
      </c>
      <c r="Q600" s="171">
        <v>88.47</v>
      </c>
      <c r="R600" s="171">
        <v>86.99</v>
      </c>
      <c r="S600" s="171">
        <v>82.01</v>
      </c>
      <c r="T600" s="171">
        <v>75.53</v>
      </c>
      <c r="U600" s="171">
        <v>72.02</v>
      </c>
      <c r="V600" s="171">
        <v>75.69</v>
      </c>
      <c r="W600" s="171">
        <v>69.989999999999995</v>
      </c>
      <c r="X600" s="171">
        <v>69</v>
      </c>
      <c r="Y600" s="171">
        <v>69.44</v>
      </c>
      <c r="Z600" s="171">
        <v>71.19</v>
      </c>
      <c r="AA600" s="171">
        <v>62.550000000000004</v>
      </c>
      <c r="AB600" s="171">
        <v>92.06</v>
      </c>
      <c r="AC600" s="171">
        <v>60.67</v>
      </c>
      <c r="AD600" s="171">
        <v>35.980000000000004</v>
      </c>
      <c r="AF600" s="171">
        <f t="shared" si="29"/>
        <v>2008</v>
      </c>
      <c r="AG600" s="171">
        <f t="shared" si="30"/>
        <v>5</v>
      </c>
      <c r="AH600" s="700">
        <f>SUMIF(D$3:$AA600,"&lt;="&amp;$AH$1)/COUNTIF(D$3:$AA600,"&lt;="&amp;$AH$1)</f>
        <v>28.567083766008945</v>
      </c>
    </row>
    <row r="601" spans="2:34" x14ac:dyDescent="0.25">
      <c r="B601" s="910">
        <v>39667</v>
      </c>
      <c r="C601" s="581">
        <f t="shared" si="28"/>
        <v>8</v>
      </c>
      <c r="D601" s="171">
        <v>53</v>
      </c>
      <c r="E601" s="171">
        <v>41.28</v>
      </c>
      <c r="F601" s="171">
        <v>38.5</v>
      </c>
      <c r="G601" s="171">
        <v>38</v>
      </c>
      <c r="H601" s="171">
        <v>37.03</v>
      </c>
      <c r="I601" s="171">
        <v>41.17</v>
      </c>
      <c r="J601" s="171">
        <v>49</v>
      </c>
      <c r="K601" s="171">
        <v>63.18</v>
      </c>
      <c r="L601" s="171">
        <v>65.75</v>
      </c>
      <c r="M601" s="171">
        <v>72.25</v>
      </c>
      <c r="N601" s="171">
        <v>77</v>
      </c>
      <c r="O601" s="171">
        <v>88.03</v>
      </c>
      <c r="P601" s="171">
        <v>87.2</v>
      </c>
      <c r="Q601" s="171">
        <v>83.86</v>
      </c>
      <c r="R601" s="171">
        <v>81.900000000000006</v>
      </c>
      <c r="S601" s="171">
        <v>77.5</v>
      </c>
      <c r="T601" s="171">
        <v>71</v>
      </c>
      <c r="U601" s="171">
        <v>66.11</v>
      </c>
      <c r="V601" s="171">
        <v>69.3</v>
      </c>
      <c r="W601" s="171">
        <v>64.930000000000007</v>
      </c>
      <c r="X601" s="171">
        <v>60.980000000000004</v>
      </c>
      <c r="Y601" s="171">
        <v>63.29</v>
      </c>
      <c r="Z601" s="171">
        <v>67</v>
      </c>
      <c r="AA601" s="171">
        <v>54</v>
      </c>
      <c r="AB601" s="171">
        <v>88.03</v>
      </c>
      <c r="AC601" s="171">
        <v>60.980000000000004</v>
      </c>
      <c r="AD601" s="171">
        <v>44</v>
      </c>
      <c r="AF601" s="171">
        <f t="shared" si="29"/>
        <v>2008</v>
      </c>
      <c r="AG601" s="171">
        <f t="shared" si="30"/>
        <v>5</v>
      </c>
      <c r="AH601" s="700">
        <f>SUMIF(D$3:$AA601,"&lt;="&amp;$AH$1)/COUNTIF(D$3:$AA601,"&lt;="&amp;$AH$1)</f>
        <v>28.576273560435709</v>
      </c>
    </row>
    <row r="602" spans="2:34" x14ac:dyDescent="0.25">
      <c r="B602" s="910">
        <v>39668</v>
      </c>
      <c r="C602" s="581">
        <f t="shared" si="28"/>
        <v>8</v>
      </c>
      <c r="D602" s="171">
        <v>42</v>
      </c>
      <c r="E602" s="171">
        <v>30</v>
      </c>
      <c r="F602" s="171">
        <v>27.650000000000002</v>
      </c>
      <c r="G602" s="171">
        <v>25.5</v>
      </c>
      <c r="H602" s="171">
        <v>26.62</v>
      </c>
      <c r="I602" s="171">
        <v>29</v>
      </c>
      <c r="J602" s="171">
        <v>43.38</v>
      </c>
      <c r="K602" s="171">
        <v>57</v>
      </c>
      <c r="L602" s="171">
        <v>62</v>
      </c>
      <c r="M602" s="171">
        <v>70.81</v>
      </c>
      <c r="N602" s="171">
        <v>73.260000000000005</v>
      </c>
      <c r="O602" s="171">
        <v>80.48</v>
      </c>
      <c r="P602" s="171">
        <v>78.100000000000009</v>
      </c>
      <c r="Q602" s="171">
        <v>73.47</v>
      </c>
      <c r="R602" s="171">
        <v>70.2</v>
      </c>
      <c r="S602" s="171">
        <v>63.42</v>
      </c>
      <c r="T602" s="171">
        <v>57.410000000000004</v>
      </c>
      <c r="U602" s="171">
        <v>54.300000000000004</v>
      </c>
      <c r="V602" s="171">
        <v>56</v>
      </c>
      <c r="W602" s="171">
        <v>54.96</v>
      </c>
      <c r="X602" s="171">
        <v>58.78</v>
      </c>
      <c r="Y602" s="171">
        <v>60.910000000000004</v>
      </c>
      <c r="Z602" s="171">
        <v>61.52</v>
      </c>
      <c r="AA602" s="171">
        <v>56</v>
      </c>
      <c r="AB602" s="171">
        <v>80.48</v>
      </c>
      <c r="AC602" s="171">
        <v>54.300000000000004</v>
      </c>
      <c r="AD602" s="171">
        <v>35.020000000000003</v>
      </c>
      <c r="AF602" s="171">
        <f t="shared" si="29"/>
        <v>2008</v>
      </c>
      <c r="AG602" s="171">
        <f t="shared" si="30"/>
        <v>6</v>
      </c>
      <c r="AH602" s="700">
        <f>SUMIF(D$3:$AA602,"&lt;="&amp;$AH$1)/COUNTIF(D$3:$AA602,"&lt;="&amp;$AH$1)</f>
        <v>28.577882190360977</v>
      </c>
    </row>
    <row r="603" spans="2:34" x14ac:dyDescent="0.25">
      <c r="B603" s="910">
        <v>39671</v>
      </c>
      <c r="C603" s="581">
        <f t="shared" si="28"/>
        <v>8</v>
      </c>
      <c r="D603" s="171">
        <v>36</v>
      </c>
      <c r="E603" s="171">
        <v>30.990000000000002</v>
      </c>
      <c r="F603" s="171">
        <v>32.03</v>
      </c>
      <c r="G603" s="171">
        <v>29.5</v>
      </c>
      <c r="H603" s="171">
        <v>26.5</v>
      </c>
      <c r="I603" s="171">
        <v>35</v>
      </c>
      <c r="J603" s="171">
        <v>53.82</v>
      </c>
      <c r="K603" s="171">
        <v>57</v>
      </c>
      <c r="L603" s="171">
        <v>65.12</v>
      </c>
      <c r="M603" s="171">
        <v>76.290000000000006</v>
      </c>
      <c r="N603" s="171">
        <v>77.960000000000008</v>
      </c>
      <c r="O603" s="171">
        <v>85.26</v>
      </c>
      <c r="P603" s="171">
        <v>85.13</v>
      </c>
      <c r="Q603" s="171">
        <v>83.91</v>
      </c>
      <c r="R603" s="171">
        <v>82.03</v>
      </c>
      <c r="S603" s="171">
        <v>75</v>
      </c>
      <c r="T603" s="171">
        <v>72</v>
      </c>
      <c r="U603" s="171">
        <v>73.2</v>
      </c>
      <c r="V603" s="171">
        <v>70.11</v>
      </c>
      <c r="W603" s="171">
        <v>71.100000000000009</v>
      </c>
      <c r="X603" s="171">
        <v>72</v>
      </c>
      <c r="Y603" s="171">
        <v>73.5</v>
      </c>
      <c r="Z603" s="171">
        <v>68.31</v>
      </c>
      <c r="AA603" s="171">
        <v>61.51</v>
      </c>
      <c r="AB603" s="171">
        <v>85.26</v>
      </c>
      <c r="AC603" s="171">
        <v>57</v>
      </c>
      <c r="AD603" s="171">
        <v>38.17</v>
      </c>
      <c r="AF603" s="171">
        <f t="shared" si="29"/>
        <v>2008</v>
      </c>
      <c r="AG603" s="171">
        <f t="shared" si="30"/>
        <v>6</v>
      </c>
      <c r="AH603" s="700">
        <f>SUMIF(D$3:$AA603,"&lt;="&amp;$AH$1)/COUNTIF(D$3:$AA603,"&lt;="&amp;$AH$1)</f>
        <v>28.5810836928386</v>
      </c>
    </row>
    <row r="604" spans="2:34" x14ac:dyDescent="0.25">
      <c r="B604" s="910">
        <v>39672</v>
      </c>
      <c r="C604" s="581">
        <f t="shared" si="28"/>
        <v>8</v>
      </c>
      <c r="D604" s="171">
        <v>51.03</v>
      </c>
      <c r="E604" s="171">
        <v>50.85</v>
      </c>
      <c r="F604" s="171">
        <v>45</v>
      </c>
      <c r="G604" s="171">
        <v>38.81</v>
      </c>
      <c r="H604" s="171">
        <v>39.550000000000004</v>
      </c>
      <c r="I604" s="171">
        <v>45.36</v>
      </c>
      <c r="J604" s="171">
        <v>62</v>
      </c>
      <c r="K604" s="171">
        <v>73</v>
      </c>
      <c r="L604" s="171">
        <v>72</v>
      </c>
      <c r="M604" s="171">
        <v>75</v>
      </c>
      <c r="N604" s="171">
        <v>82.100000000000009</v>
      </c>
      <c r="O604" s="171">
        <v>85.26</v>
      </c>
      <c r="P604" s="171">
        <v>82.99</v>
      </c>
      <c r="Q604" s="171">
        <v>80</v>
      </c>
      <c r="R604" s="171">
        <v>77.989999999999995</v>
      </c>
      <c r="S604" s="171">
        <v>74</v>
      </c>
      <c r="T604" s="171">
        <v>67.37</v>
      </c>
      <c r="U604" s="171">
        <v>66.31</v>
      </c>
      <c r="V604" s="171">
        <v>64.150000000000006</v>
      </c>
      <c r="W604" s="171">
        <v>62.980000000000004</v>
      </c>
      <c r="X604" s="171">
        <v>63.38</v>
      </c>
      <c r="Y604" s="171">
        <v>66.739999999999995</v>
      </c>
      <c r="Z604" s="171">
        <v>64.13</v>
      </c>
      <c r="AA604" s="171">
        <v>50.06</v>
      </c>
      <c r="AB604" s="171">
        <v>85.26</v>
      </c>
      <c r="AC604" s="171">
        <v>62.980000000000004</v>
      </c>
      <c r="AD604" s="171">
        <v>47.83</v>
      </c>
      <c r="AF604" s="171">
        <f t="shared" si="29"/>
        <v>2008</v>
      </c>
      <c r="AG604" s="171">
        <f t="shared" si="30"/>
        <v>2</v>
      </c>
      <c r="AH604" s="700">
        <f>SUMIF(D$3:$AA604,"&lt;="&amp;$AH$1)/COUNTIF(D$3:$AA604,"&lt;="&amp;$AH$1)</f>
        <v>28.584740382956646</v>
      </c>
    </row>
    <row r="605" spans="2:34" x14ac:dyDescent="0.25">
      <c r="B605" s="910">
        <v>39673</v>
      </c>
      <c r="C605" s="581">
        <f t="shared" si="28"/>
        <v>8</v>
      </c>
      <c r="D605" s="171">
        <v>27.7</v>
      </c>
      <c r="E605" s="171">
        <v>21.11</v>
      </c>
      <c r="F605" s="171">
        <v>21.330000000000002</v>
      </c>
      <c r="G605" s="171">
        <v>15.33</v>
      </c>
      <c r="H605" s="171">
        <v>16.45</v>
      </c>
      <c r="I605" s="171">
        <v>22.8</v>
      </c>
      <c r="J605" s="171">
        <v>49.11</v>
      </c>
      <c r="K605" s="171">
        <v>59</v>
      </c>
      <c r="L605" s="171">
        <v>62.800000000000004</v>
      </c>
      <c r="M605" s="171">
        <v>65.22</v>
      </c>
      <c r="N605" s="171">
        <v>67.5</v>
      </c>
      <c r="O605" s="171">
        <v>74.33</v>
      </c>
      <c r="P605" s="171">
        <v>73.86</v>
      </c>
      <c r="Q605" s="171">
        <v>70.52</v>
      </c>
      <c r="R605" s="171">
        <v>68.03</v>
      </c>
      <c r="S605" s="171">
        <v>63.17</v>
      </c>
      <c r="T605" s="171">
        <v>62.03</v>
      </c>
      <c r="U605" s="171">
        <v>60.22</v>
      </c>
      <c r="V605" s="171">
        <v>57.2</v>
      </c>
      <c r="W605" s="171">
        <v>56.56</v>
      </c>
      <c r="X605" s="171">
        <v>56.01</v>
      </c>
      <c r="Y605" s="171">
        <v>60.22</v>
      </c>
      <c r="Z605" s="171">
        <v>55.550000000000004</v>
      </c>
      <c r="AA605" s="171">
        <v>42.09</v>
      </c>
      <c r="AB605" s="171">
        <v>74.33</v>
      </c>
      <c r="AC605" s="171">
        <v>55.550000000000004</v>
      </c>
      <c r="AD605" s="171">
        <v>26.990000000000002</v>
      </c>
      <c r="AF605" s="171">
        <f t="shared" si="29"/>
        <v>2008</v>
      </c>
      <c r="AG605" s="171">
        <f t="shared" si="30"/>
        <v>7</v>
      </c>
      <c r="AH605" s="700">
        <f>SUMIF(D$3:$AA605,"&lt;="&amp;$AH$1)/COUNTIF(D$3:$AA605,"&lt;="&amp;$AH$1)</f>
        <v>28.579005858028882</v>
      </c>
    </row>
    <row r="606" spans="2:34" x14ac:dyDescent="0.25">
      <c r="B606" s="910">
        <v>39674</v>
      </c>
      <c r="C606" s="581">
        <f t="shared" si="28"/>
        <v>8</v>
      </c>
      <c r="D606" s="171">
        <v>26</v>
      </c>
      <c r="E606" s="171">
        <v>14</v>
      </c>
      <c r="F606" s="171">
        <v>9.14</v>
      </c>
      <c r="G606" s="171">
        <v>9.120000000000001</v>
      </c>
      <c r="H606" s="171">
        <v>9.11</v>
      </c>
      <c r="I606" s="171">
        <v>9.1300000000000008</v>
      </c>
      <c r="J606" s="171">
        <v>46.160000000000004</v>
      </c>
      <c r="K606" s="171">
        <v>58.78</v>
      </c>
      <c r="L606" s="171">
        <v>59.54</v>
      </c>
      <c r="M606" s="171">
        <v>68.3</v>
      </c>
      <c r="N606" s="171">
        <v>69.11</v>
      </c>
      <c r="O606" s="171">
        <v>77.510000000000005</v>
      </c>
      <c r="P606" s="171">
        <v>75.510000000000005</v>
      </c>
      <c r="Q606" s="171">
        <v>79.930000000000007</v>
      </c>
      <c r="R606" s="171">
        <v>75</v>
      </c>
      <c r="S606" s="171">
        <v>80</v>
      </c>
      <c r="T606" s="171">
        <v>69.960000000000008</v>
      </c>
      <c r="U606" s="171">
        <v>72</v>
      </c>
      <c r="V606" s="171">
        <v>68.680000000000007</v>
      </c>
      <c r="W606" s="171">
        <v>65.44</v>
      </c>
      <c r="X606" s="171">
        <v>70</v>
      </c>
      <c r="Y606" s="171">
        <v>76.84</v>
      </c>
      <c r="Z606" s="171">
        <v>68</v>
      </c>
      <c r="AA606" s="171">
        <v>53</v>
      </c>
      <c r="AB606" s="171">
        <v>80</v>
      </c>
      <c r="AC606" s="171">
        <v>58.78</v>
      </c>
      <c r="AD606" s="171">
        <v>21.96</v>
      </c>
      <c r="AF606" s="171">
        <f t="shared" si="29"/>
        <v>2008</v>
      </c>
      <c r="AG606" s="171">
        <f t="shared" si="30"/>
        <v>6</v>
      </c>
      <c r="AH606" s="700">
        <f>SUMIF(D$3:$AA606,"&lt;="&amp;$AH$1)/COUNTIF(D$3:$AA606,"&lt;="&amp;$AH$1)</f>
        <v>28.562659208261557</v>
      </c>
    </row>
    <row r="607" spans="2:34" x14ac:dyDescent="0.25">
      <c r="B607" s="910">
        <v>39675</v>
      </c>
      <c r="C607" s="581">
        <f t="shared" si="28"/>
        <v>8</v>
      </c>
      <c r="D607" s="171">
        <v>53.07</v>
      </c>
      <c r="E607" s="171">
        <v>46</v>
      </c>
      <c r="F607" s="171">
        <v>39</v>
      </c>
      <c r="G607" s="171">
        <v>34</v>
      </c>
      <c r="H607" s="171">
        <v>30</v>
      </c>
      <c r="I607" s="171">
        <v>30</v>
      </c>
      <c r="J607" s="171">
        <v>7.96</v>
      </c>
      <c r="K607" s="171">
        <v>30</v>
      </c>
      <c r="L607" s="171">
        <v>35</v>
      </c>
      <c r="M607" s="171">
        <v>44.28</v>
      </c>
      <c r="N607" s="171">
        <v>50</v>
      </c>
      <c r="O607" s="171">
        <v>47</v>
      </c>
      <c r="P607" s="171">
        <v>57.2</v>
      </c>
      <c r="Q607" s="171">
        <v>52.51</v>
      </c>
      <c r="R607" s="171">
        <v>54.96</v>
      </c>
      <c r="S607" s="171">
        <v>59.93</v>
      </c>
      <c r="T607" s="171">
        <v>60</v>
      </c>
      <c r="U607" s="171">
        <v>64</v>
      </c>
      <c r="V607" s="171">
        <v>63.870000000000005</v>
      </c>
      <c r="W607" s="171">
        <v>69.400000000000006</v>
      </c>
      <c r="X607" s="171">
        <v>76</v>
      </c>
      <c r="Y607" s="171">
        <v>85.5</v>
      </c>
      <c r="Z607" s="171">
        <v>75.5</v>
      </c>
      <c r="AA607" s="171">
        <v>49.95</v>
      </c>
      <c r="AB607" s="171">
        <v>85.5</v>
      </c>
      <c r="AC607" s="171">
        <v>30</v>
      </c>
      <c r="AD607" s="171">
        <v>60.95</v>
      </c>
      <c r="AF607" s="171">
        <f t="shared" si="29"/>
        <v>2008</v>
      </c>
      <c r="AG607" s="171">
        <f t="shared" si="30"/>
        <v>7</v>
      </c>
      <c r="AH607" s="700">
        <f>SUMIF(D$3:$AA607,"&lt;="&amp;$AH$1)/COUNTIF(D$3:$AA607,"&lt;="&amp;$AH$1)</f>
        <v>28.563694344163594</v>
      </c>
    </row>
    <row r="608" spans="2:34" x14ac:dyDescent="0.25">
      <c r="B608" s="910">
        <v>39678</v>
      </c>
      <c r="C608" s="581">
        <f t="shared" si="28"/>
        <v>8</v>
      </c>
      <c r="D608" s="171">
        <v>53</v>
      </c>
      <c r="E608" s="171">
        <v>50</v>
      </c>
      <c r="F608" s="171">
        <v>40.590000000000003</v>
      </c>
      <c r="G608" s="171">
        <v>39.54</v>
      </c>
      <c r="H608" s="171">
        <v>36</v>
      </c>
      <c r="I608" s="171">
        <v>40.9</v>
      </c>
      <c r="J608" s="171">
        <v>48</v>
      </c>
      <c r="K608" s="171">
        <v>70</v>
      </c>
      <c r="L608" s="171">
        <v>71.930000000000007</v>
      </c>
      <c r="M608" s="171">
        <v>79.94</v>
      </c>
      <c r="N608" s="171">
        <v>83.93</v>
      </c>
      <c r="O608" s="171">
        <v>93.92</v>
      </c>
      <c r="P608" s="171">
        <v>81.28</v>
      </c>
      <c r="Q608" s="171">
        <v>82.05</v>
      </c>
      <c r="R608" s="171">
        <v>79.710000000000008</v>
      </c>
      <c r="S608" s="171">
        <v>78.710000000000008</v>
      </c>
      <c r="T608" s="171">
        <v>75.91</v>
      </c>
      <c r="U608" s="171">
        <v>75.900000000000006</v>
      </c>
      <c r="V608" s="171">
        <v>75.989999999999995</v>
      </c>
      <c r="W608" s="171">
        <v>74.31</v>
      </c>
      <c r="X608" s="171">
        <v>70.88</v>
      </c>
      <c r="Y608" s="171">
        <v>74.11</v>
      </c>
      <c r="Z608" s="171">
        <v>71.180000000000007</v>
      </c>
      <c r="AA608" s="171">
        <v>61.75</v>
      </c>
      <c r="AB608" s="171">
        <v>93.92</v>
      </c>
      <c r="AC608" s="171">
        <v>70</v>
      </c>
      <c r="AD608" s="171">
        <v>46.22</v>
      </c>
      <c r="AF608" s="171">
        <f t="shared" si="29"/>
        <v>2008</v>
      </c>
      <c r="AG608" s="171">
        <f t="shared" si="30"/>
        <v>4</v>
      </c>
      <c r="AH608" s="700">
        <f>SUMIF(D$3:$AA608,"&lt;="&amp;$AH$1)/COUNTIF(D$3:$AA608,"&lt;="&amp;$AH$1)</f>
        <v>28.571042776155235</v>
      </c>
    </row>
    <row r="609" spans="2:34" x14ac:dyDescent="0.25">
      <c r="B609" s="910">
        <v>39679</v>
      </c>
      <c r="C609" s="581">
        <f t="shared" si="28"/>
        <v>8</v>
      </c>
      <c r="D609" s="171">
        <v>53</v>
      </c>
      <c r="E609" s="171">
        <v>50</v>
      </c>
      <c r="F609" s="171">
        <v>40.590000000000003</v>
      </c>
      <c r="G609" s="171">
        <v>39.54</v>
      </c>
      <c r="H609" s="171">
        <v>36</v>
      </c>
      <c r="I609" s="171">
        <v>40.9</v>
      </c>
      <c r="J609" s="171">
        <v>48</v>
      </c>
      <c r="K609" s="171">
        <v>70</v>
      </c>
      <c r="L609" s="171">
        <v>71.930000000000007</v>
      </c>
      <c r="M609" s="171">
        <v>79.94</v>
      </c>
      <c r="N609" s="171">
        <v>83.93</v>
      </c>
      <c r="O609" s="171">
        <v>93.92</v>
      </c>
      <c r="P609" s="171">
        <v>81.28</v>
      </c>
      <c r="Q609" s="171">
        <v>82.05</v>
      </c>
      <c r="R609" s="171">
        <v>79.710000000000008</v>
      </c>
      <c r="S609" s="171">
        <v>78.710000000000008</v>
      </c>
      <c r="T609" s="171">
        <v>75.91</v>
      </c>
      <c r="U609" s="171">
        <v>75.900000000000006</v>
      </c>
      <c r="V609" s="171">
        <v>75.989999999999995</v>
      </c>
      <c r="W609" s="171">
        <v>74.31</v>
      </c>
      <c r="X609" s="171">
        <v>70.88</v>
      </c>
      <c r="Y609" s="171">
        <v>74.11</v>
      </c>
      <c r="Z609" s="171">
        <v>71.180000000000007</v>
      </c>
      <c r="AA609" s="171">
        <v>61.75</v>
      </c>
      <c r="AB609" s="171">
        <v>93.92</v>
      </c>
      <c r="AC609" s="171">
        <v>70</v>
      </c>
      <c r="AD609" s="171">
        <v>46.22</v>
      </c>
      <c r="AF609" s="171">
        <f t="shared" si="29"/>
        <v>2008</v>
      </c>
      <c r="AG609" s="171">
        <f t="shared" si="30"/>
        <v>4</v>
      </c>
      <c r="AH609" s="700">
        <f>SUMIF(D$3:$AA609,"&lt;="&amp;$AH$1)/COUNTIF(D$3:$AA609,"&lt;="&amp;$AH$1)</f>
        <v>28.578381115879765</v>
      </c>
    </row>
    <row r="610" spans="2:34" x14ac:dyDescent="0.25">
      <c r="B610" s="910">
        <v>39680</v>
      </c>
      <c r="C610" s="581">
        <f t="shared" si="28"/>
        <v>8</v>
      </c>
      <c r="D610" s="171">
        <v>48.5</v>
      </c>
      <c r="E610" s="171">
        <v>47</v>
      </c>
      <c r="F610" s="171">
        <v>39</v>
      </c>
      <c r="G610" s="171">
        <v>31.89</v>
      </c>
      <c r="H610" s="171">
        <v>34.24</v>
      </c>
      <c r="I610" s="171">
        <v>41.13</v>
      </c>
      <c r="J610" s="171">
        <v>55.550000000000004</v>
      </c>
      <c r="K610" s="171">
        <v>65.91</v>
      </c>
      <c r="L610" s="171">
        <v>69.03</v>
      </c>
      <c r="M610" s="171">
        <v>76</v>
      </c>
      <c r="N610" s="171">
        <v>77.960000000000008</v>
      </c>
      <c r="O610" s="171">
        <v>91</v>
      </c>
      <c r="P610" s="171">
        <v>80.430000000000007</v>
      </c>
      <c r="Q610" s="171">
        <v>80</v>
      </c>
      <c r="R610" s="171">
        <v>78</v>
      </c>
      <c r="S610" s="171">
        <v>76</v>
      </c>
      <c r="T610" s="171">
        <v>72</v>
      </c>
      <c r="U610" s="171">
        <v>70.5</v>
      </c>
      <c r="V610" s="171">
        <v>69.52</v>
      </c>
      <c r="W610" s="171">
        <v>69.05</v>
      </c>
      <c r="X610" s="171">
        <v>73.31</v>
      </c>
      <c r="Y610" s="171">
        <v>74.850000000000009</v>
      </c>
      <c r="Z610" s="171">
        <v>69.05</v>
      </c>
      <c r="AA610" s="171">
        <v>62.32</v>
      </c>
      <c r="AB610" s="171">
        <v>91</v>
      </c>
      <c r="AC610" s="171">
        <v>65.91</v>
      </c>
      <c r="AD610" s="171">
        <v>44.95</v>
      </c>
      <c r="AF610" s="171">
        <f t="shared" si="29"/>
        <v>2008</v>
      </c>
      <c r="AG610" s="171">
        <f t="shared" si="30"/>
        <v>4</v>
      </c>
      <c r="AH610" s="700">
        <f>SUMIF(D$3:$AA610,"&lt;="&amp;$AH$1)/COUNTIF(D$3:$AA610,"&lt;="&amp;$AH$1)</f>
        <v>28.583861725853428</v>
      </c>
    </row>
    <row r="611" spans="2:34" x14ac:dyDescent="0.25">
      <c r="B611" s="910">
        <v>39681</v>
      </c>
      <c r="C611" s="581">
        <f t="shared" si="28"/>
        <v>8</v>
      </c>
      <c r="D611" s="171">
        <v>53</v>
      </c>
      <c r="E611" s="171">
        <v>42.980000000000004</v>
      </c>
      <c r="F611" s="171">
        <v>34.57</v>
      </c>
      <c r="G611" s="171">
        <v>25.97</v>
      </c>
      <c r="H611" s="171">
        <v>28.18</v>
      </c>
      <c r="I611" s="171">
        <v>43</v>
      </c>
      <c r="J611" s="171">
        <v>60.17</v>
      </c>
      <c r="K611" s="171">
        <v>70.900000000000006</v>
      </c>
      <c r="L611" s="171">
        <v>76.88</v>
      </c>
      <c r="M611" s="171">
        <v>81.150000000000006</v>
      </c>
      <c r="N611" s="171">
        <v>85.98</v>
      </c>
      <c r="O611" s="171">
        <v>94.93</v>
      </c>
      <c r="P611" s="171">
        <v>90.01</v>
      </c>
      <c r="Q611" s="171">
        <v>89.22</v>
      </c>
      <c r="R611" s="171">
        <v>86.78</v>
      </c>
      <c r="S611" s="171">
        <v>85.04</v>
      </c>
      <c r="T611" s="171">
        <v>80.22</v>
      </c>
      <c r="U611" s="171">
        <v>79.42</v>
      </c>
      <c r="V611" s="171">
        <v>80.22</v>
      </c>
      <c r="W611" s="171">
        <v>79.3</v>
      </c>
      <c r="X611" s="171">
        <v>78.22</v>
      </c>
      <c r="Y611" s="171">
        <v>80.010000000000005</v>
      </c>
      <c r="Z611" s="171">
        <v>75.100000000000009</v>
      </c>
      <c r="AA611" s="171">
        <v>69</v>
      </c>
      <c r="AB611" s="171">
        <v>94.93</v>
      </c>
      <c r="AC611" s="171">
        <v>70.900000000000006</v>
      </c>
      <c r="AD611" s="171">
        <v>44.61</v>
      </c>
      <c r="AF611" s="171">
        <f t="shared" si="29"/>
        <v>2008</v>
      </c>
      <c r="AG611" s="171">
        <f t="shared" si="30"/>
        <v>3</v>
      </c>
      <c r="AH611" s="700">
        <f>SUMIF(D$3:$AA611,"&lt;="&amp;$AH$1)/COUNTIF(D$3:$AA611,"&lt;="&amp;$AH$1)</f>
        <v>28.584370713305837</v>
      </c>
    </row>
    <row r="612" spans="2:34" x14ac:dyDescent="0.25">
      <c r="B612" s="910">
        <v>39682</v>
      </c>
      <c r="C612" s="581">
        <f t="shared" si="28"/>
        <v>8</v>
      </c>
      <c r="D612" s="171">
        <v>63.980000000000004</v>
      </c>
      <c r="E612" s="171">
        <v>49.19</v>
      </c>
      <c r="F612" s="171">
        <v>44</v>
      </c>
      <c r="G612" s="171">
        <v>44</v>
      </c>
      <c r="H612" s="171">
        <v>43.76</v>
      </c>
      <c r="I612" s="171">
        <v>51</v>
      </c>
      <c r="J612" s="171">
        <v>62</v>
      </c>
      <c r="K612" s="171">
        <v>73.36</v>
      </c>
      <c r="L612" s="171">
        <v>78.600000000000009</v>
      </c>
      <c r="M612" s="171">
        <v>87.09</v>
      </c>
      <c r="N612" s="171">
        <v>89.3</v>
      </c>
      <c r="O612" s="171">
        <v>96.47</v>
      </c>
      <c r="P612" s="171">
        <v>93.19</v>
      </c>
      <c r="Q612" s="171">
        <v>88</v>
      </c>
      <c r="R612" s="171">
        <v>85.16</v>
      </c>
      <c r="S612" s="171">
        <v>81.81</v>
      </c>
      <c r="T612" s="171">
        <v>76.5</v>
      </c>
      <c r="U612" s="171">
        <v>77.31</v>
      </c>
      <c r="V612" s="171">
        <v>77.3</v>
      </c>
      <c r="W612" s="171">
        <v>75.91</v>
      </c>
      <c r="X612" s="171">
        <v>75.48</v>
      </c>
      <c r="Y612" s="171">
        <v>75.650000000000006</v>
      </c>
      <c r="Z612" s="171">
        <v>72.12</v>
      </c>
      <c r="AA612" s="171">
        <v>62.96</v>
      </c>
      <c r="AB612" s="171">
        <v>96.47</v>
      </c>
      <c r="AC612" s="171">
        <v>72.12</v>
      </c>
      <c r="AD612" s="171">
        <v>52.61</v>
      </c>
      <c r="AF612" s="171">
        <f t="shared" si="29"/>
        <v>2008</v>
      </c>
      <c r="AG612" s="171">
        <f t="shared" si="30"/>
        <v>0</v>
      </c>
      <c r="AH612" s="700">
        <f>SUMIF(D$3:$AA612,"&lt;="&amp;$AH$1)/COUNTIF(D$3:$AA612,"&lt;="&amp;$AH$1)</f>
        <v>28.584370713305837</v>
      </c>
    </row>
    <row r="613" spans="2:34" x14ac:dyDescent="0.25">
      <c r="B613" s="910">
        <v>39685</v>
      </c>
      <c r="C613" s="581">
        <f t="shared" si="28"/>
        <v>8</v>
      </c>
      <c r="D613" s="171">
        <v>59</v>
      </c>
      <c r="E613" s="171">
        <v>52.870000000000005</v>
      </c>
      <c r="F613" s="171">
        <v>46.17</v>
      </c>
      <c r="G613" s="171">
        <v>40</v>
      </c>
      <c r="H613" s="171">
        <v>44</v>
      </c>
      <c r="I613" s="171">
        <v>45.53</v>
      </c>
      <c r="J613" s="171">
        <v>55.92</v>
      </c>
      <c r="K613" s="171">
        <v>75.94</v>
      </c>
      <c r="L613" s="171">
        <v>72.760000000000005</v>
      </c>
      <c r="M613" s="171">
        <v>82.03</v>
      </c>
      <c r="N613" s="171">
        <v>88.5</v>
      </c>
      <c r="O613" s="171">
        <v>97.54</v>
      </c>
      <c r="P613" s="171">
        <v>92.06</v>
      </c>
      <c r="Q613" s="171">
        <v>94.070000000000007</v>
      </c>
      <c r="R613" s="171">
        <v>96.51</v>
      </c>
      <c r="S613" s="171">
        <v>91</v>
      </c>
      <c r="T613" s="171">
        <v>86.52</v>
      </c>
      <c r="U613" s="171">
        <v>82.08</v>
      </c>
      <c r="V613" s="171">
        <v>82</v>
      </c>
      <c r="W613" s="171">
        <v>78.02</v>
      </c>
      <c r="X613" s="171">
        <v>83.9</v>
      </c>
      <c r="Y613" s="171">
        <v>85.16</v>
      </c>
      <c r="Z613" s="171">
        <v>75.75</v>
      </c>
      <c r="AA613" s="171">
        <v>70.600000000000009</v>
      </c>
      <c r="AB613" s="171">
        <v>97.54</v>
      </c>
      <c r="AC613" s="171">
        <v>72.760000000000005</v>
      </c>
      <c r="AD613" s="171">
        <v>51.76</v>
      </c>
      <c r="AF613" s="171">
        <f t="shared" si="29"/>
        <v>2008</v>
      </c>
      <c r="AG613" s="171">
        <f t="shared" si="30"/>
        <v>1</v>
      </c>
      <c r="AH613" s="700">
        <f>SUMIF(D$3:$AA613,"&lt;="&amp;$AH$1)/COUNTIF(D$3:$AA613,"&lt;="&amp;$AH$1)</f>
        <v>28.586327790159377</v>
      </c>
    </row>
    <row r="614" spans="2:34" x14ac:dyDescent="0.25">
      <c r="B614" s="910">
        <v>39686</v>
      </c>
      <c r="C614" s="581">
        <f t="shared" si="28"/>
        <v>8</v>
      </c>
      <c r="D614" s="171">
        <v>65</v>
      </c>
      <c r="E614" s="171">
        <v>59.49</v>
      </c>
      <c r="F614" s="171">
        <v>57</v>
      </c>
      <c r="G614" s="171">
        <v>49.47</v>
      </c>
      <c r="H614" s="171">
        <v>51.02</v>
      </c>
      <c r="I614" s="171">
        <v>59.31</v>
      </c>
      <c r="J614" s="171">
        <v>70</v>
      </c>
      <c r="K614" s="171">
        <v>86.95</v>
      </c>
      <c r="L614" s="171">
        <v>93</v>
      </c>
      <c r="M614" s="171">
        <v>100</v>
      </c>
      <c r="N614" s="171">
        <v>103.65</v>
      </c>
      <c r="O614" s="171">
        <v>110.04</v>
      </c>
      <c r="P614" s="171">
        <v>105.3</v>
      </c>
      <c r="Q614" s="171">
        <v>99.44</v>
      </c>
      <c r="R614" s="171">
        <v>94.44</v>
      </c>
      <c r="S614" s="171">
        <v>92.34</v>
      </c>
      <c r="T614" s="171">
        <v>89.960000000000008</v>
      </c>
      <c r="U614" s="171">
        <v>89.570000000000007</v>
      </c>
      <c r="V614" s="171">
        <v>86</v>
      </c>
      <c r="W614" s="171">
        <v>83</v>
      </c>
      <c r="X614" s="171">
        <v>84.5</v>
      </c>
      <c r="Y614" s="171">
        <v>83.94</v>
      </c>
      <c r="Z614" s="171">
        <v>77</v>
      </c>
      <c r="AA614" s="171">
        <v>68.930000000000007</v>
      </c>
      <c r="AB614" s="171">
        <v>110.04</v>
      </c>
      <c r="AC614" s="171">
        <v>77</v>
      </c>
      <c r="AD614" s="171">
        <v>60.03</v>
      </c>
      <c r="AF614" s="171">
        <f t="shared" si="29"/>
        <v>2008</v>
      </c>
      <c r="AG614" s="171">
        <f t="shared" si="30"/>
        <v>0</v>
      </c>
      <c r="AH614" s="700">
        <f>SUMIF(D$3:$AA614,"&lt;="&amp;$AH$1)/COUNTIF(D$3:$AA614,"&lt;="&amp;$AH$1)</f>
        <v>28.586327790159377</v>
      </c>
    </row>
    <row r="615" spans="2:34" x14ac:dyDescent="0.25">
      <c r="B615" s="910">
        <v>39687</v>
      </c>
      <c r="C615" s="581">
        <f t="shared" si="28"/>
        <v>8</v>
      </c>
      <c r="D615" s="171">
        <v>66.849999999999994</v>
      </c>
      <c r="E615" s="171">
        <v>58.93</v>
      </c>
      <c r="F615" s="171">
        <v>53.83</v>
      </c>
      <c r="G615" s="171">
        <v>48.11</v>
      </c>
      <c r="H615" s="171">
        <v>49.54</v>
      </c>
      <c r="I615" s="171">
        <v>57.38</v>
      </c>
      <c r="J615" s="171">
        <v>63.39</v>
      </c>
      <c r="K615" s="171">
        <v>79.2</v>
      </c>
      <c r="L615" s="171">
        <v>86.78</v>
      </c>
      <c r="M615" s="171">
        <v>92.08</v>
      </c>
      <c r="N615" s="171">
        <v>95.49</v>
      </c>
      <c r="O615" s="171">
        <v>104.31</v>
      </c>
      <c r="P615" s="171">
        <v>99.4</v>
      </c>
      <c r="Q615" s="171">
        <v>99.25</v>
      </c>
      <c r="R615" s="171">
        <v>99.820000000000007</v>
      </c>
      <c r="S615" s="171">
        <v>96.34</v>
      </c>
      <c r="T615" s="171">
        <v>92.03</v>
      </c>
      <c r="U615" s="171">
        <v>91.37</v>
      </c>
      <c r="V615" s="171">
        <v>91.01</v>
      </c>
      <c r="W615" s="171">
        <v>86.94</v>
      </c>
      <c r="X615" s="171">
        <v>88</v>
      </c>
      <c r="Y615" s="171">
        <v>88.25</v>
      </c>
      <c r="Z615" s="171">
        <v>80</v>
      </c>
      <c r="AA615" s="171">
        <v>72.97</v>
      </c>
      <c r="AB615" s="171">
        <v>104.31</v>
      </c>
      <c r="AC615" s="171">
        <v>79.2</v>
      </c>
      <c r="AD615" s="171">
        <v>58.88</v>
      </c>
      <c r="AF615" s="171">
        <f t="shared" si="29"/>
        <v>2008</v>
      </c>
      <c r="AG615" s="171">
        <f t="shared" si="30"/>
        <v>0</v>
      </c>
      <c r="AH615" s="700">
        <f>SUMIF(D$3:$AA615,"&lt;="&amp;$AH$1)/COUNTIF(D$3:$AA615,"&lt;="&amp;$AH$1)</f>
        <v>28.586327790159377</v>
      </c>
    </row>
    <row r="616" spans="2:34" x14ac:dyDescent="0.25">
      <c r="B616" s="910">
        <v>39688</v>
      </c>
      <c r="C616" s="581">
        <f t="shared" si="28"/>
        <v>8</v>
      </c>
      <c r="D616" s="171">
        <v>66.88</v>
      </c>
      <c r="E616" s="171">
        <v>64</v>
      </c>
      <c r="F616" s="171">
        <v>58</v>
      </c>
      <c r="G616" s="171">
        <v>54.83</v>
      </c>
      <c r="H616" s="171">
        <v>53.5</v>
      </c>
      <c r="I616" s="171">
        <v>59.93</v>
      </c>
      <c r="J616" s="171">
        <v>74.8</v>
      </c>
      <c r="K616" s="171">
        <v>93.570000000000007</v>
      </c>
      <c r="L616" s="171">
        <v>98</v>
      </c>
      <c r="M616" s="171">
        <v>101</v>
      </c>
      <c r="N616" s="171">
        <v>102.33</v>
      </c>
      <c r="O616" s="171">
        <v>108.24000000000001</v>
      </c>
      <c r="P616" s="171">
        <v>102.41</v>
      </c>
      <c r="Q616" s="171">
        <v>103</v>
      </c>
      <c r="R616" s="171">
        <v>100</v>
      </c>
      <c r="S616" s="171">
        <v>96</v>
      </c>
      <c r="T616" s="171">
        <v>91.5</v>
      </c>
      <c r="U616" s="171">
        <v>89.4</v>
      </c>
      <c r="V616" s="171">
        <v>86.44</v>
      </c>
      <c r="W616" s="171">
        <v>88.45</v>
      </c>
      <c r="X616" s="171">
        <v>94.54</v>
      </c>
      <c r="Y616" s="171">
        <v>91.29</v>
      </c>
      <c r="Z616" s="171">
        <v>86.2</v>
      </c>
      <c r="AA616" s="171">
        <v>74.8</v>
      </c>
      <c r="AB616" s="171">
        <v>108.24000000000001</v>
      </c>
      <c r="AC616" s="171">
        <v>86.2</v>
      </c>
      <c r="AD616" s="171">
        <v>63.34</v>
      </c>
      <c r="AF616" s="171">
        <f t="shared" si="29"/>
        <v>2008</v>
      </c>
      <c r="AG616" s="171">
        <f t="shared" si="30"/>
        <v>0</v>
      </c>
      <c r="AH616" s="700">
        <f>SUMIF(D$3:$AA616,"&lt;="&amp;$AH$1)/COUNTIF(D$3:$AA616,"&lt;="&amp;$AH$1)</f>
        <v>28.586327790159377</v>
      </c>
    </row>
    <row r="617" spans="2:34" x14ac:dyDescent="0.25">
      <c r="B617" s="910">
        <v>39689</v>
      </c>
      <c r="C617" s="581">
        <f t="shared" si="28"/>
        <v>8</v>
      </c>
      <c r="D617" s="171">
        <v>71</v>
      </c>
      <c r="E617" s="171">
        <v>64.599999999999994</v>
      </c>
      <c r="F617" s="171">
        <v>61.01</v>
      </c>
      <c r="G617" s="171">
        <v>56</v>
      </c>
      <c r="H617" s="171">
        <v>57</v>
      </c>
      <c r="I617" s="171">
        <v>64.09</v>
      </c>
      <c r="J617" s="171">
        <v>80.150000000000006</v>
      </c>
      <c r="K617" s="171">
        <v>94.100000000000009</v>
      </c>
      <c r="L617" s="171">
        <v>102.7</v>
      </c>
      <c r="M617" s="171">
        <v>107.08</v>
      </c>
      <c r="N617" s="171">
        <v>111.13</v>
      </c>
      <c r="O617" s="171">
        <v>118.60000000000001</v>
      </c>
      <c r="P617" s="171">
        <v>109.66</v>
      </c>
      <c r="Q617" s="171">
        <v>106.69</v>
      </c>
      <c r="R617" s="171">
        <v>111.01</v>
      </c>
      <c r="S617" s="171">
        <v>104.89</v>
      </c>
      <c r="T617" s="171">
        <v>99.88</v>
      </c>
      <c r="U617" s="171">
        <v>99.19</v>
      </c>
      <c r="V617" s="171">
        <v>96.2</v>
      </c>
      <c r="W617" s="171">
        <v>92.29</v>
      </c>
      <c r="X617" s="171">
        <v>95.63</v>
      </c>
      <c r="Y617" s="171">
        <v>93.710000000000008</v>
      </c>
      <c r="Z617" s="171">
        <v>87.69</v>
      </c>
      <c r="AA617" s="171">
        <v>82.31</v>
      </c>
      <c r="AB617" s="171">
        <v>118.60000000000001</v>
      </c>
      <c r="AC617" s="171">
        <v>87.69</v>
      </c>
      <c r="AD617" s="171">
        <v>67.02</v>
      </c>
      <c r="AF617" s="171">
        <f t="shared" si="29"/>
        <v>2008</v>
      </c>
      <c r="AG617" s="171">
        <f t="shared" si="30"/>
        <v>0</v>
      </c>
      <c r="AH617" s="700">
        <f>SUMIF(D$3:$AA617,"&lt;="&amp;$AH$1)/COUNTIF(D$3:$AA617,"&lt;="&amp;$AH$1)</f>
        <v>28.586327790159377</v>
      </c>
    </row>
    <row r="618" spans="2:34" x14ac:dyDescent="0.25">
      <c r="B618" s="910">
        <v>39692</v>
      </c>
      <c r="C618" s="581">
        <f t="shared" si="28"/>
        <v>9</v>
      </c>
      <c r="D618" s="171">
        <v>63</v>
      </c>
      <c r="E618" s="171">
        <v>64.31</v>
      </c>
      <c r="F618" s="171">
        <v>58</v>
      </c>
      <c r="G618" s="171">
        <v>53.910000000000004</v>
      </c>
      <c r="H618" s="171">
        <v>51.44</v>
      </c>
      <c r="I618" s="171">
        <v>60.68</v>
      </c>
      <c r="J618" s="171">
        <v>70.400000000000006</v>
      </c>
      <c r="K618" s="171">
        <v>86.98</v>
      </c>
      <c r="L618" s="171">
        <v>102</v>
      </c>
      <c r="M618" s="171">
        <v>98.8</v>
      </c>
      <c r="N618" s="171">
        <v>111</v>
      </c>
      <c r="O618" s="171">
        <v>138.5</v>
      </c>
      <c r="P618" s="171">
        <v>114</v>
      </c>
      <c r="Q618" s="171">
        <v>116</v>
      </c>
      <c r="R618" s="171">
        <v>105</v>
      </c>
      <c r="S618" s="171">
        <v>95</v>
      </c>
      <c r="T618" s="171">
        <v>89.3</v>
      </c>
      <c r="U618" s="171">
        <v>84.93</v>
      </c>
      <c r="V618" s="171">
        <v>76.31</v>
      </c>
      <c r="W618" s="171">
        <v>77.900000000000006</v>
      </c>
      <c r="X618" s="171">
        <v>90</v>
      </c>
      <c r="Y618" s="171">
        <v>87</v>
      </c>
      <c r="Z618" s="171">
        <v>77.2</v>
      </c>
      <c r="AA618" s="171">
        <v>72.73</v>
      </c>
      <c r="AB618" s="171">
        <v>138.5</v>
      </c>
      <c r="AC618" s="171">
        <v>76.31</v>
      </c>
      <c r="AD618" s="171">
        <v>61.81</v>
      </c>
      <c r="AF618" s="171">
        <f t="shared" si="29"/>
        <v>2008</v>
      </c>
      <c r="AG618" s="171">
        <f t="shared" si="30"/>
        <v>0</v>
      </c>
      <c r="AH618" s="700">
        <f>SUMIF(D$3:$AA618,"&lt;="&amp;$AH$1)/COUNTIF(D$3:$AA618,"&lt;="&amp;$AH$1)</f>
        <v>28.586327790159377</v>
      </c>
    </row>
    <row r="619" spans="2:34" x14ac:dyDescent="0.25">
      <c r="B619" s="910">
        <v>39693</v>
      </c>
      <c r="C619" s="581">
        <f t="shared" si="28"/>
        <v>9</v>
      </c>
      <c r="D619" s="171">
        <v>69.010000000000005</v>
      </c>
      <c r="E619" s="171">
        <v>62.79</v>
      </c>
      <c r="F619" s="171">
        <v>60</v>
      </c>
      <c r="G619" s="171">
        <v>56.25</v>
      </c>
      <c r="H619" s="171">
        <v>54.71</v>
      </c>
      <c r="I619" s="171">
        <v>61.76</v>
      </c>
      <c r="J619" s="171">
        <v>72.36</v>
      </c>
      <c r="K619" s="171">
        <v>95</v>
      </c>
      <c r="L619" s="171">
        <v>110.73</v>
      </c>
      <c r="M619" s="171">
        <v>116</v>
      </c>
      <c r="N619" s="171">
        <v>125.43</v>
      </c>
      <c r="O619" s="171">
        <v>143.20000000000002</v>
      </c>
      <c r="P619" s="171">
        <v>122.21000000000001</v>
      </c>
      <c r="Q619" s="171">
        <v>113.75</v>
      </c>
      <c r="R619" s="171">
        <v>111.99000000000001</v>
      </c>
      <c r="S619" s="171">
        <v>105.66</v>
      </c>
      <c r="T619" s="171">
        <v>96.070000000000007</v>
      </c>
      <c r="U619" s="171">
        <v>97.600000000000009</v>
      </c>
      <c r="V619" s="171">
        <v>93</v>
      </c>
      <c r="W619" s="171">
        <v>93</v>
      </c>
      <c r="X619" s="171">
        <v>94.93</v>
      </c>
      <c r="Y619" s="171">
        <v>90.23</v>
      </c>
      <c r="Z619" s="171">
        <v>85</v>
      </c>
      <c r="AA619" s="171">
        <v>76.56</v>
      </c>
      <c r="AB619" s="171">
        <v>143.20000000000002</v>
      </c>
      <c r="AC619" s="171">
        <v>85</v>
      </c>
      <c r="AD619" s="171">
        <v>64.180000000000007</v>
      </c>
      <c r="AF619" s="171">
        <f t="shared" si="29"/>
        <v>2008</v>
      </c>
      <c r="AG619" s="171">
        <f t="shared" si="30"/>
        <v>0</v>
      </c>
      <c r="AH619" s="700">
        <f>SUMIF(D$3:$AA619,"&lt;="&amp;$AH$1)/COUNTIF(D$3:$AA619,"&lt;="&amp;$AH$1)</f>
        <v>28.586327790159377</v>
      </c>
    </row>
    <row r="620" spans="2:34" x14ac:dyDescent="0.25">
      <c r="B620" s="910">
        <v>39694</v>
      </c>
      <c r="C620" s="581">
        <f t="shared" si="28"/>
        <v>9</v>
      </c>
      <c r="D620" s="171">
        <v>63.17</v>
      </c>
      <c r="E620" s="171">
        <v>58.9</v>
      </c>
      <c r="F620" s="171">
        <v>56.97</v>
      </c>
      <c r="G620" s="171">
        <v>52.56</v>
      </c>
      <c r="H620" s="171">
        <v>50.78</v>
      </c>
      <c r="I620" s="171">
        <v>59.56</v>
      </c>
      <c r="J620" s="171">
        <v>76.42</v>
      </c>
      <c r="K620" s="171">
        <v>90</v>
      </c>
      <c r="L620" s="171">
        <v>102.77</v>
      </c>
      <c r="M620" s="171">
        <v>103.51</v>
      </c>
      <c r="N620" s="171">
        <v>109</v>
      </c>
      <c r="O620" s="171">
        <v>115</v>
      </c>
      <c r="P620" s="171">
        <v>99</v>
      </c>
      <c r="Q620" s="171">
        <v>98.73</v>
      </c>
      <c r="R620" s="171">
        <v>97</v>
      </c>
      <c r="S620" s="171">
        <v>93.48</v>
      </c>
      <c r="T620" s="171">
        <v>91.64</v>
      </c>
      <c r="U620" s="171">
        <v>92.08</v>
      </c>
      <c r="V620" s="171">
        <v>91.72</v>
      </c>
      <c r="W620" s="171">
        <v>90.13</v>
      </c>
      <c r="X620" s="171">
        <v>96</v>
      </c>
      <c r="Y620" s="171">
        <v>90</v>
      </c>
      <c r="Z620" s="171">
        <v>80</v>
      </c>
      <c r="AA620" s="171">
        <v>74</v>
      </c>
      <c r="AB620" s="171">
        <v>115</v>
      </c>
      <c r="AC620" s="171">
        <v>80</v>
      </c>
      <c r="AD620" s="171">
        <v>61.54</v>
      </c>
      <c r="AF620" s="171">
        <f t="shared" si="29"/>
        <v>2008</v>
      </c>
      <c r="AG620" s="171">
        <f t="shared" si="30"/>
        <v>0</v>
      </c>
      <c r="AH620" s="700">
        <f>SUMIF(D$3:$AA620,"&lt;="&amp;$AH$1)/COUNTIF(D$3:$AA620,"&lt;="&amp;$AH$1)</f>
        <v>28.586327790159377</v>
      </c>
    </row>
    <row r="621" spans="2:34" x14ac:dyDescent="0.25">
      <c r="B621" s="910">
        <v>39695</v>
      </c>
      <c r="C621" s="581">
        <f t="shared" si="28"/>
        <v>9</v>
      </c>
      <c r="D621" s="171">
        <v>68.03</v>
      </c>
      <c r="E621" s="171">
        <v>64.150000000000006</v>
      </c>
      <c r="F621" s="171">
        <v>60.800000000000004</v>
      </c>
      <c r="G621" s="171">
        <v>57</v>
      </c>
      <c r="H621" s="171">
        <v>56.01</v>
      </c>
      <c r="I621" s="171">
        <v>62</v>
      </c>
      <c r="J621" s="171">
        <v>75.790000000000006</v>
      </c>
      <c r="K621" s="171">
        <v>96.5</v>
      </c>
      <c r="L621" s="171">
        <v>103</v>
      </c>
      <c r="M621" s="171">
        <v>109.48</v>
      </c>
      <c r="N621" s="171">
        <v>113.52</v>
      </c>
      <c r="O621" s="171">
        <v>123.03</v>
      </c>
      <c r="P621" s="171">
        <v>115.93</v>
      </c>
      <c r="Q621" s="171">
        <v>115.93</v>
      </c>
      <c r="R621" s="171">
        <v>109.69</v>
      </c>
      <c r="S621" s="171">
        <v>103.47</v>
      </c>
      <c r="T621" s="171">
        <v>98.39</v>
      </c>
      <c r="U621" s="171">
        <v>99.240000000000009</v>
      </c>
      <c r="V621" s="171">
        <v>98.76</v>
      </c>
      <c r="W621" s="171">
        <v>98.2</v>
      </c>
      <c r="X621" s="171">
        <v>99.3</v>
      </c>
      <c r="Y621" s="171">
        <v>93.09</v>
      </c>
      <c r="Z621" s="171">
        <v>83.09</v>
      </c>
      <c r="AA621" s="171">
        <v>72.900000000000006</v>
      </c>
      <c r="AB621" s="171">
        <v>123.03</v>
      </c>
      <c r="AC621" s="171">
        <v>83.09</v>
      </c>
      <c r="AD621" s="171">
        <v>64.58</v>
      </c>
      <c r="AF621" s="171">
        <f t="shared" si="29"/>
        <v>2008</v>
      </c>
      <c r="AG621" s="171">
        <f t="shared" si="30"/>
        <v>0</v>
      </c>
      <c r="AH621" s="700">
        <f>SUMIF(D$3:$AA621,"&lt;="&amp;$AH$1)/COUNTIF(D$3:$AA621,"&lt;="&amp;$AH$1)</f>
        <v>28.586327790159377</v>
      </c>
    </row>
    <row r="622" spans="2:34" x14ac:dyDescent="0.25">
      <c r="B622" s="910">
        <v>39696</v>
      </c>
      <c r="C622" s="581">
        <f t="shared" si="28"/>
        <v>9</v>
      </c>
      <c r="D622" s="171">
        <v>70.12</v>
      </c>
      <c r="E622" s="171">
        <v>65</v>
      </c>
      <c r="F622" s="171">
        <v>62</v>
      </c>
      <c r="G622" s="171">
        <v>59.86</v>
      </c>
      <c r="H622" s="171">
        <v>60</v>
      </c>
      <c r="I622" s="171">
        <v>65.55</v>
      </c>
      <c r="J622" s="171">
        <v>81.350000000000009</v>
      </c>
      <c r="K622" s="171">
        <v>103.81</v>
      </c>
      <c r="L622" s="171">
        <v>121.76</v>
      </c>
      <c r="M622" s="171">
        <v>134.99</v>
      </c>
      <c r="N622" s="171">
        <v>143.01</v>
      </c>
      <c r="O622" s="171">
        <v>156.56</v>
      </c>
      <c r="P622" s="171">
        <v>130.54</v>
      </c>
      <c r="Q622" s="171">
        <v>123.74000000000001</v>
      </c>
      <c r="R622" s="171">
        <v>121</v>
      </c>
      <c r="S622" s="171">
        <v>112.86</v>
      </c>
      <c r="T622" s="171">
        <v>105.04</v>
      </c>
      <c r="U622" s="171">
        <v>105.65</v>
      </c>
      <c r="V622" s="171">
        <v>108.36</v>
      </c>
      <c r="W622" s="171">
        <v>107.97</v>
      </c>
      <c r="X622" s="171">
        <v>102.92</v>
      </c>
      <c r="Y622" s="171">
        <v>94.19</v>
      </c>
      <c r="Z622" s="171">
        <v>85.29</v>
      </c>
      <c r="AA622" s="171">
        <v>72.570000000000007</v>
      </c>
      <c r="AB622" s="171">
        <v>156.56</v>
      </c>
      <c r="AC622" s="171">
        <v>85.29</v>
      </c>
      <c r="AD622" s="171">
        <v>67.06</v>
      </c>
      <c r="AF622" s="171">
        <f t="shared" si="29"/>
        <v>2008</v>
      </c>
      <c r="AG622" s="171">
        <f t="shared" si="30"/>
        <v>0</v>
      </c>
      <c r="AH622" s="700">
        <f>SUMIF(D$3:$AA622,"&lt;="&amp;$AH$1)/COUNTIF(D$3:$AA622,"&lt;="&amp;$AH$1)</f>
        <v>28.586327790159377</v>
      </c>
    </row>
    <row r="623" spans="2:34" x14ac:dyDescent="0.25">
      <c r="B623" s="910">
        <v>39699</v>
      </c>
      <c r="C623" s="581">
        <f t="shared" si="28"/>
        <v>9</v>
      </c>
      <c r="D623" s="171">
        <v>61.54</v>
      </c>
      <c r="E623" s="171">
        <v>50</v>
      </c>
      <c r="F623" s="171">
        <v>50.22</v>
      </c>
      <c r="G623" s="171">
        <v>47.5</v>
      </c>
      <c r="H623" s="171">
        <v>50</v>
      </c>
      <c r="I623" s="171">
        <v>56.47</v>
      </c>
      <c r="J623" s="171">
        <v>74.930000000000007</v>
      </c>
      <c r="K623" s="171">
        <v>97</v>
      </c>
      <c r="L623" s="171">
        <v>115</v>
      </c>
      <c r="M623" s="171">
        <v>112.37</v>
      </c>
      <c r="N623" s="171">
        <v>128.93</v>
      </c>
      <c r="O623" s="171">
        <v>137.97999999999999</v>
      </c>
      <c r="P623" s="171">
        <v>112</v>
      </c>
      <c r="Q623" s="171">
        <v>116.5</v>
      </c>
      <c r="R623" s="171">
        <v>116.5</v>
      </c>
      <c r="S623" s="171">
        <v>106.25</v>
      </c>
      <c r="T623" s="171">
        <v>96.01</v>
      </c>
      <c r="U623" s="171">
        <v>96</v>
      </c>
      <c r="V623" s="171">
        <v>94.93</v>
      </c>
      <c r="W623" s="171">
        <v>98</v>
      </c>
      <c r="X623" s="171">
        <v>102.09</v>
      </c>
      <c r="Y623" s="171">
        <v>92.570000000000007</v>
      </c>
      <c r="Z623" s="171">
        <v>78.900000000000006</v>
      </c>
      <c r="AA623" s="171">
        <v>68.87</v>
      </c>
      <c r="AB623" s="171">
        <v>137.97999999999999</v>
      </c>
      <c r="AC623" s="171">
        <v>78.900000000000006</v>
      </c>
      <c r="AD623" s="171">
        <v>57.44</v>
      </c>
      <c r="AF623" s="171">
        <f t="shared" si="29"/>
        <v>2008</v>
      </c>
      <c r="AG623" s="171">
        <f t="shared" si="30"/>
        <v>0</v>
      </c>
      <c r="AH623" s="700">
        <f>SUMIF(D$3:$AA623,"&lt;="&amp;$AH$1)/COUNTIF(D$3:$AA623,"&lt;="&amp;$AH$1)</f>
        <v>28.586327790159377</v>
      </c>
    </row>
    <row r="624" spans="2:34" x14ac:dyDescent="0.25">
      <c r="B624" s="910">
        <v>39700</v>
      </c>
      <c r="C624" s="581">
        <f t="shared" si="28"/>
        <v>9</v>
      </c>
      <c r="D624" s="171">
        <v>65</v>
      </c>
      <c r="E624" s="171">
        <v>64</v>
      </c>
      <c r="F624" s="171">
        <v>60</v>
      </c>
      <c r="G624" s="171">
        <v>54.21</v>
      </c>
      <c r="H624" s="171">
        <v>54.71</v>
      </c>
      <c r="I624" s="171">
        <v>61.9</v>
      </c>
      <c r="J624" s="171">
        <v>75.960000000000008</v>
      </c>
      <c r="K624" s="171">
        <v>95</v>
      </c>
      <c r="L624" s="171">
        <v>114.45</v>
      </c>
      <c r="M624" s="171">
        <v>124.43</v>
      </c>
      <c r="N624" s="171">
        <v>139.26</v>
      </c>
      <c r="O624" s="171">
        <v>164.51</v>
      </c>
      <c r="P624" s="171">
        <v>129</v>
      </c>
      <c r="Q624" s="171">
        <v>126.21000000000001</v>
      </c>
      <c r="R624" s="171">
        <v>123.12</v>
      </c>
      <c r="S624" s="171">
        <v>113.66</v>
      </c>
      <c r="T624" s="171">
        <v>103.88</v>
      </c>
      <c r="U624" s="171">
        <v>99.960000000000008</v>
      </c>
      <c r="V624" s="171">
        <v>98.51</v>
      </c>
      <c r="W624" s="171">
        <v>97.03</v>
      </c>
      <c r="X624" s="171">
        <v>106.25</v>
      </c>
      <c r="Y624" s="171">
        <v>96.25</v>
      </c>
      <c r="Z624" s="171">
        <v>81.400000000000006</v>
      </c>
      <c r="AA624" s="171">
        <v>72.710000000000008</v>
      </c>
      <c r="AB624" s="171">
        <v>164.51</v>
      </c>
      <c r="AC624" s="171">
        <v>81.400000000000006</v>
      </c>
      <c r="AD624" s="171">
        <v>63.56</v>
      </c>
      <c r="AF624" s="171">
        <f t="shared" si="29"/>
        <v>2008</v>
      </c>
      <c r="AG624" s="171">
        <f t="shared" si="30"/>
        <v>0</v>
      </c>
      <c r="AH624" s="700">
        <f>SUMIF(D$3:$AA624,"&lt;="&amp;$AH$1)/COUNTIF(D$3:$AA624,"&lt;="&amp;$AH$1)</f>
        <v>28.586327790159377</v>
      </c>
    </row>
    <row r="625" spans="2:34" x14ac:dyDescent="0.25">
      <c r="B625" s="910">
        <v>39701</v>
      </c>
      <c r="C625" s="581">
        <f t="shared" si="28"/>
        <v>9</v>
      </c>
      <c r="D625" s="171">
        <v>67.599999999999994</v>
      </c>
      <c r="E625" s="171">
        <v>62.88</v>
      </c>
      <c r="F625" s="171">
        <v>59.88</v>
      </c>
      <c r="G625" s="171">
        <v>58.5</v>
      </c>
      <c r="H625" s="171">
        <v>59.57</v>
      </c>
      <c r="I625" s="171">
        <v>63.64</v>
      </c>
      <c r="J625" s="171">
        <v>82.67</v>
      </c>
      <c r="K625" s="171">
        <v>102.84</v>
      </c>
      <c r="L625" s="171">
        <v>112.31</v>
      </c>
      <c r="M625" s="171">
        <v>119.09</v>
      </c>
      <c r="N625" s="171">
        <v>133.05000000000001</v>
      </c>
      <c r="O625" s="171">
        <v>145.79</v>
      </c>
      <c r="P625" s="171">
        <v>128.5</v>
      </c>
      <c r="Q625" s="171">
        <v>125.01</v>
      </c>
      <c r="R625" s="171">
        <v>127.08</v>
      </c>
      <c r="S625" s="171">
        <v>115.47</v>
      </c>
      <c r="T625" s="171">
        <v>108.31</v>
      </c>
      <c r="U625" s="171">
        <v>105</v>
      </c>
      <c r="V625" s="171">
        <v>103.02</v>
      </c>
      <c r="W625" s="171">
        <v>104.19</v>
      </c>
      <c r="X625" s="171">
        <v>108.46000000000001</v>
      </c>
      <c r="Y625" s="171">
        <v>95.98</v>
      </c>
      <c r="Z625" s="171">
        <v>85.25</v>
      </c>
      <c r="AA625" s="171">
        <v>75.53</v>
      </c>
      <c r="AB625" s="171">
        <v>145.79</v>
      </c>
      <c r="AC625" s="171">
        <v>85.25</v>
      </c>
      <c r="AD625" s="171">
        <v>66.28</v>
      </c>
      <c r="AF625" s="171">
        <f t="shared" si="29"/>
        <v>2008</v>
      </c>
      <c r="AG625" s="171">
        <f t="shared" si="30"/>
        <v>0</v>
      </c>
      <c r="AH625" s="700">
        <f>SUMIF(D$3:$AA625,"&lt;="&amp;$AH$1)/COUNTIF(D$3:$AA625,"&lt;="&amp;$AH$1)</f>
        <v>28.586327790159377</v>
      </c>
    </row>
    <row r="626" spans="2:34" x14ac:dyDescent="0.25">
      <c r="B626" s="910">
        <v>39702</v>
      </c>
      <c r="C626" s="581">
        <f t="shared" si="28"/>
        <v>9</v>
      </c>
      <c r="D626" s="171">
        <v>70</v>
      </c>
      <c r="E626" s="171">
        <v>65.3</v>
      </c>
      <c r="F626" s="171">
        <v>65.95</v>
      </c>
      <c r="G626" s="171">
        <v>62</v>
      </c>
      <c r="H626" s="171">
        <v>64.17</v>
      </c>
      <c r="I626" s="171">
        <v>66.88</v>
      </c>
      <c r="J626" s="171">
        <v>84.94</v>
      </c>
      <c r="K626" s="171">
        <v>101</v>
      </c>
      <c r="L626" s="171">
        <v>116.79</v>
      </c>
      <c r="M626" s="171">
        <v>126.09</v>
      </c>
      <c r="N626" s="171">
        <v>139.80000000000001</v>
      </c>
      <c r="O626" s="171">
        <v>158.38</v>
      </c>
      <c r="P626" s="171">
        <v>141.70000000000002</v>
      </c>
      <c r="Q626" s="171">
        <v>134.49</v>
      </c>
      <c r="R626" s="171">
        <v>132.22</v>
      </c>
      <c r="S626" s="171">
        <v>121.68</v>
      </c>
      <c r="T626" s="171">
        <v>113.14</v>
      </c>
      <c r="U626" s="171">
        <v>106.10000000000001</v>
      </c>
      <c r="V626" s="171">
        <v>105</v>
      </c>
      <c r="W626" s="171">
        <v>107.49000000000001</v>
      </c>
      <c r="X626" s="171">
        <v>115.68</v>
      </c>
      <c r="Y626" s="171">
        <v>95.990000000000009</v>
      </c>
      <c r="Z626" s="171">
        <v>82.86</v>
      </c>
      <c r="AA626" s="171">
        <v>75.210000000000008</v>
      </c>
      <c r="AB626" s="171">
        <v>158.38</v>
      </c>
      <c r="AC626" s="171">
        <v>82.86</v>
      </c>
      <c r="AD626" s="171">
        <v>69.31</v>
      </c>
      <c r="AF626" s="171">
        <f t="shared" si="29"/>
        <v>2008</v>
      </c>
      <c r="AG626" s="171">
        <f t="shared" si="30"/>
        <v>0</v>
      </c>
      <c r="AH626" s="700">
        <f>SUMIF(D$3:$AA626,"&lt;="&amp;$AH$1)/COUNTIF(D$3:$AA626,"&lt;="&amp;$AH$1)</f>
        <v>28.586327790159377</v>
      </c>
    </row>
    <row r="627" spans="2:34" x14ac:dyDescent="0.25">
      <c r="B627" s="910">
        <v>39703</v>
      </c>
      <c r="C627" s="581">
        <f t="shared" si="28"/>
        <v>9</v>
      </c>
      <c r="D627" s="171">
        <v>65.989999999999995</v>
      </c>
      <c r="E627" s="171">
        <v>61.07</v>
      </c>
      <c r="F627" s="171">
        <v>59.800000000000004</v>
      </c>
      <c r="G627" s="171">
        <v>58.300000000000004</v>
      </c>
      <c r="H627" s="171">
        <v>59.42</v>
      </c>
      <c r="I627" s="171">
        <v>61.51</v>
      </c>
      <c r="J627" s="171">
        <v>75.5</v>
      </c>
      <c r="K627" s="171">
        <v>95.990000000000009</v>
      </c>
      <c r="L627" s="171">
        <v>105.08</v>
      </c>
      <c r="M627" s="171">
        <v>113.44</v>
      </c>
      <c r="N627" s="171">
        <v>118.3</v>
      </c>
      <c r="O627" s="171">
        <v>135.19</v>
      </c>
      <c r="P627" s="171">
        <v>117.5</v>
      </c>
      <c r="Q627" s="171">
        <v>111.75</v>
      </c>
      <c r="R627" s="171">
        <v>105.68</v>
      </c>
      <c r="S627" s="171">
        <v>99.960000000000008</v>
      </c>
      <c r="T627" s="171">
        <v>95.83</v>
      </c>
      <c r="U627" s="171">
        <v>90.25</v>
      </c>
      <c r="V627" s="171">
        <v>90.18</v>
      </c>
      <c r="W627" s="171">
        <v>87.34</v>
      </c>
      <c r="X627" s="171">
        <v>93.19</v>
      </c>
      <c r="Y627" s="171">
        <v>82.9</v>
      </c>
      <c r="Z627" s="171">
        <v>74.290000000000006</v>
      </c>
      <c r="AA627" s="171">
        <v>70.09</v>
      </c>
      <c r="AB627" s="171">
        <v>135.19</v>
      </c>
      <c r="AC627" s="171">
        <v>74.290000000000006</v>
      </c>
      <c r="AD627" s="171">
        <v>63.96</v>
      </c>
      <c r="AF627" s="171">
        <f t="shared" si="29"/>
        <v>2008</v>
      </c>
      <c r="AG627" s="171">
        <f t="shared" si="30"/>
        <v>0</v>
      </c>
      <c r="AH627" s="700">
        <f>SUMIF(D$3:$AA627,"&lt;="&amp;$AH$1)/COUNTIF(D$3:$AA627,"&lt;="&amp;$AH$1)</f>
        <v>28.586327790159377</v>
      </c>
    </row>
    <row r="628" spans="2:34" x14ac:dyDescent="0.25">
      <c r="B628" s="910">
        <v>39706</v>
      </c>
      <c r="C628" s="581">
        <f t="shared" si="28"/>
        <v>9</v>
      </c>
      <c r="D628" s="171">
        <v>64.290000000000006</v>
      </c>
      <c r="E628" s="171">
        <v>56</v>
      </c>
      <c r="F628" s="171">
        <v>49.94</v>
      </c>
      <c r="G628" s="171">
        <v>50</v>
      </c>
      <c r="H628" s="171">
        <v>54</v>
      </c>
      <c r="I628" s="171">
        <v>61.72</v>
      </c>
      <c r="J628" s="171">
        <v>84.59</v>
      </c>
      <c r="K628" s="171">
        <v>119</v>
      </c>
      <c r="L628" s="171">
        <v>125.56</v>
      </c>
      <c r="M628" s="171">
        <v>135.34</v>
      </c>
      <c r="N628" s="171">
        <v>144.88</v>
      </c>
      <c r="O628" s="171">
        <v>161.72</v>
      </c>
      <c r="P628" s="171">
        <v>136.03</v>
      </c>
      <c r="Q628" s="171">
        <v>133</v>
      </c>
      <c r="R628" s="171">
        <v>130</v>
      </c>
      <c r="S628" s="171">
        <v>117.76</v>
      </c>
      <c r="T628" s="171">
        <v>109.33</v>
      </c>
      <c r="U628" s="171">
        <v>108</v>
      </c>
      <c r="V628" s="171">
        <v>103</v>
      </c>
      <c r="W628" s="171">
        <v>104.05</v>
      </c>
      <c r="X628" s="171">
        <v>113.44</v>
      </c>
      <c r="Y628" s="171">
        <v>100.61</v>
      </c>
      <c r="Z628" s="171">
        <v>89.72</v>
      </c>
      <c r="AA628" s="171">
        <v>77.62</v>
      </c>
      <c r="AB628" s="171">
        <v>161.72</v>
      </c>
      <c r="AC628" s="171">
        <v>89.72</v>
      </c>
      <c r="AD628" s="171">
        <v>62.27</v>
      </c>
      <c r="AF628" s="171">
        <f t="shared" si="29"/>
        <v>2008</v>
      </c>
      <c r="AG628" s="171">
        <f t="shared" si="30"/>
        <v>0</v>
      </c>
      <c r="AH628" s="700">
        <f>SUMIF(D$3:$AA628,"&lt;="&amp;$AH$1)/COUNTIF(D$3:$AA628,"&lt;="&amp;$AH$1)</f>
        <v>28.586327790159377</v>
      </c>
    </row>
    <row r="629" spans="2:34" x14ac:dyDescent="0.25">
      <c r="B629" s="910">
        <v>39707</v>
      </c>
      <c r="C629" s="581">
        <f t="shared" si="28"/>
        <v>9</v>
      </c>
      <c r="D629" s="171">
        <v>70.44</v>
      </c>
      <c r="E629" s="171">
        <v>63</v>
      </c>
      <c r="F629" s="171">
        <v>58</v>
      </c>
      <c r="G629" s="171">
        <v>56.5</v>
      </c>
      <c r="H629" s="171">
        <v>57.64</v>
      </c>
      <c r="I629" s="171">
        <v>64.070000000000007</v>
      </c>
      <c r="J629" s="171">
        <v>83.62</v>
      </c>
      <c r="K629" s="171">
        <v>115.29</v>
      </c>
      <c r="L629" s="171">
        <v>128.5</v>
      </c>
      <c r="M629" s="171">
        <v>136.07</v>
      </c>
      <c r="N629" s="171">
        <v>148.49</v>
      </c>
      <c r="O629" s="171">
        <v>167.20000000000002</v>
      </c>
      <c r="P629" s="171">
        <v>135.54</v>
      </c>
      <c r="Q629" s="171">
        <v>134.24</v>
      </c>
      <c r="R629" s="171">
        <v>135</v>
      </c>
      <c r="S629" s="171">
        <v>129.87</v>
      </c>
      <c r="T629" s="171">
        <v>116.16</v>
      </c>
      <c r="U629" s="171">
        <v>110.37</v>
      </c>
      <c r="V629" s="171">
        <v>110.98</v>
      </c>
      <c r="W629" s="171">
        <v>118.01</v>
      </c>
      <c r="X629" s="171">
        <v>117.33</v>
      </c>
      <c r="Y629" s="171">
        <v>98.820000000000007</v>
      </c>
      <c r="Z629" s="171">
        <v>86.56</v>
      </c>
      <c r="AA629" s="171">
        <v>78.989999999999995</v>
      </c>
      <c r="AB629" s="171">
        <v>167.20000000000002</v>
      </c>
      <c r="AC629" s="171">
        <v>86.56</v>
      </c>
      <c r="AD629" s="171">
        <v>66.53</v>
      </c>
      <c r="AF629" s="171">
        <f t="shared" si="29"/>
        <v>2008</v>
      </c>
      <c r="AG629" s="171">
        <f t="shared" si="30"/>
        <v>0</v>
      </c>
      <c r="AH629" s="700">
        <f>SUMIF(D$3:$AA629,"&lt;="&amp;$AH$1)/COUNTIF(D$3:$AA629,"&lt;="&amp;$AH$1)</f>
        <v>28.586327790159377</v>
      </c>
    </row>
    <row r="630" spans="2:34" x14ac:dyDescent="0.25">
      <c r="B630" s="910">
        <v>39708</v>
      </c>
      <c r="C630" s="581">
        <f t="shared" si="28"/>
        <v>9</v>
      </c>
      <c r="D630" s="171">
        <v>69.53</v>
      </c>
      <c r="E630" s="171">
        <v>63</v>
      </c>
      <c r="F630" s="171">
        <v>60.120000000000005</v>
      </c>
      <c r="G630" s="171">
        <v>58.85</v>
      </c>
      <c r="H630" s="171">
        <v>56.26</v>
      </c>
      <c r="I630" s="171">
        <v>61.14</v>
      </c>
      <c r="J630" s="171">
        <v>77</v>
      </c>
      <c r="K630" s="171">
        <v>119</v>
      </c>
      <c r="L630" s="171">
        <v>132.94999999999999</v>
      </c>
      <c r="M630" s="171">
        <v>145</v>
      </c>
      <c r="N630" s="171">
        <v>150.01</v>
      </c>
      <c r="O630" s="171">
        <v>158.12</v>
      </c>
      <c r="P630" s="171">
        <v>137.84</v>
      </c>
      <c r="Q630" s="171">
        <v>128.51</v>
      </c>
      <c r="R630" s="171">
        <v>123.01</v>
      </c>
      <c r="S630" s="171">
        <v>118.59</v>
      </c>
      <c r="T630" s="171">
        <v>107.51</v>
      </c>
      <c r="U630" s="171">
        <v>106</v>
      </c>
      <c r="V630" s="171">
        <v>99.960000000000008</v>
      </c>
      <c r="W630" s="171">
        <v>116.15</v>
      </c>
      <c r="X630" s="171">
        <v>115.74000000000001</v>
      </c>
      <c r="Y630" s="171">
        <v>85.26</v>
      </c>
      <c r="Z630" s="171">
        <v>77</v>
      </c>
      <c r="AA630" s="171">
        <v>71.47</v>
      </c>
      <c r="AB630" s="171">
        <v>158.12</v>
      </c>
      <c r="AC630" s="171">
        <v>77</v>
      </c>
      <c r="AD630" s="171">
        <v>64.67</v>
      </c>
      <c r="AF630" s="171">
        <f t="shared" si="29"/>
        <v>2008</v>
      </c>
      <c r="AG630" s="171">
        <f t="shared" si="30"/>
        <v>0</v>
      </c>
      <c r="AH630" s="700">
        <f>SUMIF(D$3:$AA630,"&lt;="&amp;$AH$1)/COUNTIF(D$3:$AA630,"&lt;="&amp;$AH$1)</f>
        <v>28.586327790159377</v>
      </c>
    </row>
    <row r="631" spans="2:34" x14ac:dyDescent="0.25">
      <c r="B631" s="910">
        <v>39709</v>
      </c>
      <c r="C631" s="581">
        <f t="shared" si="28"/>
        <v>9</v>
      </c>
      <c r="D631" s="171">
        <v>68.040000000000006</v>
      </c>
      <c r="E631" s="171">
        <v>61.13</v>
      </c>
      <c r="F631" s="171">
        <v>57.1</v>
      </c>
      <c r="G631" s="171">
        <v>52</v>
      </c>
      <c r="H631" s="171">
        <v>51</v>
      </c>
      <c r="I631" s="171">
        <v>59.6</v>
      </c>
      <c r="J631" s="171">
        <v>82.72</v>
      </c>
      <c r="K631" s="171">
        <v>110.65</v>
      </c>
      <c r="L631" s="171">
        <v>123</v>
      </c>
      <c r="M631" s="171">
        <v>125.60000000000001</v>
      </c>
      <c r="N631" s="171">
        <v>128.54</v>
      </c>
      <c r="O631" s="171">
        <v>138.89000000000001</v>
      </c>
      <c r="P631" s="171">
        <v>126.82000000000001</v>
      </c>
      <c r="Q631" s="171">
        <v>126.4</v>
      </c>
      <c r="R631" s="171">
        <v>130.44</v>
      </c>
      <c r="S631" s="171">
        <v>117.61</v>
      </c>
      <c r="T631" s="171">
        <v>105</v>
      </c>
      <c r="U631" s="171">
        <v>103.46000000000001</v>
      </c>
      <c r="V631" s="171">
        <v>102.39</v>
      </c>
      <c r="W631" s="171">
        <v>110.5</v>
      </c>
      <c r="X631" s="171">
        <v>110.36</v>
      </c>
      <c r="Y631" s="171">
        <v>85.26</v>
      </c>
      <c r="Z631" s="171">
        <v>85.26</v>
      </c>
      <c r="AA631" s="171">
        <v>74.100000000000009</v>
      </c>
      <c r="AB631" s="171">
        <v>138.89000000000001</v>
      </c>
      <c r="AC631" s="171">
        <v>85.26</v>
      </c>
      <c r="AD631" s="171">
        <v>63.21</v>
      </c>
      <c r="AF631" s="171">
        <f t="shared" si="29"/>
        <v>2008</v>
      </c>
      <c r="AG631" s="171">
        <f t="shared" si="30"/>
        <v>0</v>
      </c>
      <c r="AH631" s="700">
        <f>SUMIF(D$3:$AA631,"&lt;="&amp;$AH$1)/COUNTIF(D$3:$AA631,"&lt;="&amp;$AH$1)</f>
        <v>28.586327790159377</v>
      </c>
    </row>
    <row r="632" spans="2:34" x14ac:dyDescent="0.25">
      <c r="B632" s="910">
        <v>39710</v>
      </c>
      <c r="C632" s="581">
        <f t="shared" si="28"/>
        <v>9</v>
      </c>
      <c r="D632" s="171">
        <v>72.2</v>
      </c>
      <c r="E632" s="171">
        <v>64</v>
      </c>
      <c r="F632" s="171">
        <v>58.67</v>
      </c>
      <c r="G632" s="171">
        <v>55.01</v>
      </c>
      <c r="H632" s="171">
        <v>54.07</v>
      </c>
      <c r="I632" s="171">
        <v>62.7</v>
      </c>
      <c r="J632" s="171">
        <v>81.73</v>
      </c>
      <c r="K632" s="171">
        <v>109.9</v>
      </c>
      <c r="L632" s="171">
        <v>121.93</v>
      </c>
      <c r="M632" s="171">
        <v>125.11</v>
      </c>
      <c r="N632" s="171">
        <v>124.28</v>
      </c>
      <c r="O632" s="171">
        <v>130.44</v>
      </c>
      <c r="P632" s="171">
        <v>121.36</v>
      </c>
      <c r="Q632" s="171">
        <v>120.89</v>
      </c>
      <c r="R632" s="171">
        <v>116.25</v>
      </c>
      <c r="S632" s="171">
        <v>102.56</v>
      </c>
      <c r="T632" s="171">
        <v>92.99</v>
      </c>
      <c r="U632" s="171">
        <v>91.72</v>
      </c>
      <c r="V632" s="171">
        <v>90.51</v>
      </c>
      <c r="W632" s="171">
        <v>102</v>
      </c>
      <c r="X632" s="171">
        <v>102.42</v>
      </c>
      <c r="Y632" s="171">
        <v>87.63</v>
      </c>
      <c r="Z632" s="171">
        <v>79.45</v>
      </c>
      <c r="AA632" s="171">
        <v>73</v>
      </c>
      <c r="AB632" s="171">
        <v>130.44</v>
      </c>
      <c r="AC632" s="171">
        <v>79.45</v>
      </c>
      <c r="AD632" s="171">
        <v>65.17</v>
      </c>
      <c r="AF632" s="171">
        <f t="shared" si="29"/>
        <v>2008</v>
      </c>
      <c r="AG632" s="171">
        <f t="shared" si="30"/>
        <v>0</v>
      </c>
      <c r="AH632" s="700">
        <f>SUMIF(D$3:$AA632,"&lt;="&amp;$AH$1)/COUNTIF(D$3:$AA632,"&lt;="&amp;$AH$1)</f>
        <v>28.586327790159377</v>
      </c>
    </row>
    <row r="633" spans="2:34" x14ac:dyDescent="0.25">
      <c r="B633" s="910">
        <v>39713</v>
      </c>
      <c r="C633" s="581">
        <f t="shared" si="28"/>
        <v>9</v>
      </c>
      <c r="D633" s="171">
        <v>66</v>
      </c>
      <c r="E633" s="171">
        <v>57.25</v>
      </c>
      <c r="F633" s="171">
        <v>50</v>
      </c>
      <c r="G633" s="171">
        <v>50</v>
      </c>
      <c r="H633" s="171">
        <v>50</v>
      </c>
      <c r="I633" s="171">
        <v>59.78</v>
      </c>
      <c r="J633" s="171">
        <v>80.680000000000007</v>
      </c>
      <c r="K633" s="171">
        <v>106.17</v>
      </c>
      <c r="L633" s="171">
        <v>114.75</v>
      </c>
      <c r="M633" s="171">
        <v>120.72</v>
      </c>
      <c r="N633" s="171">
        <v>125.8</v>
      </c>
      <c r="O633" s="171">
        <v>125.81</v>
      </c>
      <c r="P633" s="171">
        <v>118</v>
      </c>
      <c r="Q633" s="171">
        <v>112.3</v>
      </c>
      <c r="R633" s="171">
        <v>115.05</v>
      </c>
      <c r="S633" s="171">
        <v>107.53</v>
      </c>
      <c r="T633" s="171">
        <v>102.54</v>
      </c>
      <c r="U633" s="171">
        <v>99.97</v>
      </c>
      <c r="V633" s="171">
        <v>103</v>
      </c>
      <c r="W633" s="171">
        <v>109.93</v>
      </c>
      <c r="X633" s="171">
        <v>108.92</v>
      </c>
      <c r="Y633" s="171">
        <v>89.77</v>
      </c>
      <c r="Z633" s="171">
        <v>79.39</v>
      </c>
      <c r="AA633" s="171">
        <v>71</v>
      </c>
      <c r="AB633" s="171">
        <v>125.81</v>
      </c>
      <c r="AC633" s="171">
        <v>79.39</v>
      </c>
      <c r="AD633" s="171">
        <v>60.59</v>
      </c>
      <c r="AF633" s="171">
        <f t="shared" si="29"/>
        <v>2008</v>
      </c>
      <c r="AG633" s="171">
        <f t="shared" si="30"/>
        <v>0</v>
      </c>
      <c r="AH633" s="700">
        <f>SUMIF(D$3:$AA633,"&lt;="&amp;$AH$1)/COUNTIF(D$3:$AA633,"&lt;="&amp;$AH$1)</f>
        <v>28.586327790159377</v>
      </c>
    </row>
    <row r="634" spans="2:34" x14ac:dyDescent="0.25">
      <c r="B634" s="910">
        <v>39714</v>
      </c>
      <c r="C634" s="581">
        <f t="shared" si="28"/>
        <v>9</v>
      </c>
      <c r="D634" s="171">
        <v>67.94</v>
      </c>
      <c r="E634" s="171">
        <v>61.5</v>
      </c>
      <c r="F634" s="171">
        <v>57.52</v>
      </c>
      <c r="G634" s="171">
        <v>54.99</v>
      </c>
      <c r="H634" s="171">
        <v>55.04</v>
      </c>
      <c r="I634" s="171">
        <v>63.03</v>
      </c>
      <c r="J634" s="171">
        <v>78.83</v>
      </c>
      <c r="K634" s="171">
        <v>106</v>
      </c>
      <c r="L634" s="171">
        <v>119.04</v>
      </c>
      <c r="M634" s="171">
        <v>127.84</v>
      </c>
      <c r="N634" s="171">
        <v>129.84</v>
      </c>
      <c r="O634" s="171">
        <v>135.5</v>
      </c>
      <c r="P634" s="171">
        <v>118</v>
      </c>
      <c r="Q634" s="171">
        <v>112.38</v>
      </c>
      <c r="R634" s="171">
        <v>115.29</v>
      </c>
      <c r="S634" s="171">
        <v>104.69</v>
      </c>
      <c r="T634" s="171">
        <v>98.04</v>
      </c>
      <c r="U634" s="171">
        <v>97.03</v>
      </c>
      <c r="V634" s="171">
        <v>96.06</v>
      </c>
      <c r="W634" s="171">
        <v>111.98</v>
      </c>
      <c r="X634" s="171">
        <v>102.99000000000001</v>
      </c>
      <c r="Y634" s="171">
        <v>90.39</v>
      </c>
      <c r="Z634" s="171">
        <v>84.33</v>
      </c>
      <c r="AA634" s="171">
        <v>72.5</v>
      </c>
      <c r="AB634" s="171">
        <v>135.5</v>
      </c>
      <c r="AC634" s="171">
        <v>84.33</v>
      </c>
      <c r="AD634" s="171">
        <v>63.92</v>
      </c>
      <c r="AF634" s="171">
        <f t="shared" si="29"/>
        <v>2008</v>
      </c>
      <c r="AG634" s="171">
        <f t="shared" si="30"/>
        <v>0</v>
      </c>
      <c r="AH634" s="700">
        <f>SUMIF(D$3:$AA634,"&lt;="&amp;$AH$1)/COUNTIF(D$3:$AA634,"&lt;="&amp;$AH$1)</f>
        <v>28.586327790159377</v>
      </c>
    </row>
    <row r="635" spans="2:34" x14ac:dyDescent="0.25">
      <c r="B635" s="910">
        <v>39715</v>
      </c>
      <c r="C635" s="581">
        <f t="shared" si="28"/>
        <v>9</v>
      </c>
      <c r="D635" s="171">
        <v>71.19</v>
      </c>
      <c r="E635" s="171">
        <v>64.69</v>
      </c>
      <c r="F635" s="171">
        <v>58.410000000000004</v>
      </c>
      <c r="G635" s="171">
        <v>56.31</v>
      </c>
      <c r="H635" s="171">
        <v>54</v>
      </c>
      <c r="I635" s="171">
        <v>64.66</v>
      </c>
      <c r="J635" s="171">
        <v>90</v>
      </c>
      <c r="K635" s="171">
        <v>116.11</v>
      </c>
      <c r="L635" s="171">
        <v>144.44</v>
      </c>
      <c r="M635" s="171">
        <v>147.86000000000001</v>
      </c>
      <c r="N635" s="171">
        <v>146.67000000000002</v>
      </c>
      <c r="O635" s="171">
        <v>151.63</v>
      </c>
      <c r="P635" s="171">
        <v>139.17000000000002</v>
      </c>
      <c r="Q635" s="171">
        <v>129.06</v>
      </c>
      <c r="R635" s="171">
        <v>134.92000000000002</v>
      </c>
      <c r="S635" s="171">
        <v>118.53</v>
      </c>
      <c r="T635" s="171">
        <v>112.53</v>
      </c>
      <c r="U635" s="171">
        <v>108.58</v>
      </c>
      <c r="V635" s="171">
        <v>113.02</v>
      </c>
      <c r="W635" s="171">
        <v>129</v>
      </c>
      <c r="X635" s="171">
        <v>118.33</v>
      </c>
      <c r="Y635" s="171">
        <v>100</v>
      </c>
      <c r="Z635" s="171">
        <v>89.05</v>
      </c>
      <c r="AA635" s="171">
        <v>77.42</v>
      </c>
      <c r="AB635" s="171">
        <v>151.63</v>
      </c>
      <c r="AC635" s="171">
        <v>89.05</v>
      </c>
      <c r="AD635" s="171">
        <v>67.08</v>
      </c>
      <c r="AF635" s="171">
        <f t="shared" si="29"/>
        <v>2008</v>
      </c>
      <c r="AG635" s="171">
        <f t="shared" si="30"/>
        <v>0</v>
      </c>
      <c r="AH635" s="700">
        <f>SUMIF(D$3:$AA635,"&lt;="&amp;$AH$1)/COUNTIF(D$3:$AA635,"&lt;="&amp;$AH$1)</f>
        <v>28.586327790159377</v>
      </c>
    </row>
    <row r="636" spans="2:34" x14ac:dyDescent="0.25">
      <c r="B636" s="910">
        <v>39716</v>
      </c>
      <c r="C636" s="581">
        <f t="shared" si="28"/>
        <v>9</v>
      </c>
      <c r="D636" s="171">
        <v>67.14</v>
      </c>
      <c r="E636" s="171">
        <v>61.42</v>
      </c>
      <c r="F636" s="171">
        <v>57.54</v>
      </c>
      <c r="G636" s="171">
        <v>56.21</v>
      </c>
      <c r="H636" s="171">
        <v>57.59</v>
      </c>
      <c r="I636" s="171">
        <v>65</v>
      </c>
      <c r="J636" s="171">
        <v>85.26</v>
      </c>
      <c r="K636" s="171">
        <v>119.03</v>
      </c>
      <c r="L636" s="171">
        <v>125.55</v>
      </c>
      <c r="M636" s="171">
        <v>127</v>
      </c>
      <c r="N636" s="171">
        <v>127.62</v>
      </c>
      <c r="O636" s="171">
        <v>128.96</v>
      </c>
      <c r="P636" s="171">
        <v>118.98</v>
      </c>
      <c r="Q636" s="171">
        <v>112.44</v>
      </c>
      <c r="R636" s="171">
        <v>114.76</v>
      </c>
      <c r="S636" s="171">
        <v>105.7</v>
      </c>
      <c r="T636" s="171">
        <v>98.320000000000007</v>
      </c>
      <c r="U636" s="171">
        <v>96.86</v>
      </c>
      <c r="V636" s="171">
        <v>102.87</v>
      </c>
      <c r="W636" s="171">
        <v>120.17</v>
      </c>
      <c r="X636" s="171">
        <v>112.3</v>
      </c>
      <c r="Y636" s="171">
        <v>92.14</v>
      </c>
      <c r="Z636" s="171">
        <v>82.83</v>
      </c>
      <c r="AA636" s="171">
        <v>69.460000000000008</v>
      </c>
      <c r="AB636" s="171">
        <v>128.96</v>
      </c>
      <c r="AC636" s="171">
        <v>82.83</v>
      </c>
      <c r="AD636" s="171">
        <v>64.95</v>
      </c>
      <c r="AF636" s="171">
        <f t="shared" si="29"/>
        <v>2008</v>
      </c>
      <c r="AG636" s="171">
        <f t="shared" si="30"/>
        <v>0</v>
      </c>
      <c r="AH636" s="700">
        <f>SUMIF(D$3:$AA636,"&lt;="&amp;$AH$1)/COUNTIF(D$3:$AA636,"&lt;="&amp;$AH$1)</f>
        <v>28.586327790159377</v>
      </c>
    </row>
    <row r="637" spans="2:34" x14ac:dyDescent="0.25">
      <c r="B637" s="910">
        <v>39717</v>
      </c>
      <c r="C637" s="581">
        <f t="shared" si="28"/>
        <v>9</v>
      </c>
      <c r="D637" s="171">
        <v>70.55</v>
      </c>
      <c r="E637" s="171">
        <v>65</v>
      </c>
      <c r="F637" s="171">
        <v>61.690000000000005</v>
      </c>
      <c r="G637" s="171">
        <v>58.25</v>
      </c>
      <c r="H637" s="171">
        <v>57.31</v>
      </c>
      <c r="I637" s="171">
        <v>70</v>
      </c>
      <c r="J637" s="171">
        <v>85.34</v>
      </c>
      <c r="K637" s="171">
        <v>123.5</v>
      </c>
      <c r="L637" s="171">
        <v>129.87</v>
      </c>
      <c r="M637" s="171">
        <v>135.38</v>
      </c>
      <c r="N637" s="171">
        <v>135.22999999999999</v>
      </c>
      <c r="O637" s="171">
        <v>136</v>
      </c>
      <c r="P637" s="171">
        <v>124</v>
      </c>
      <c r="Q637" s="171">
        <v>119.15</v>
      </c>
      <c r="R637" s="171">
        <v>114.28</v>
      </c>
      <c r="S637" s="171">
        <v>103.4</v>
      </c>
      <c r="T637" s="171">
        <v>99.13</v>
      </c>
      <c r="U637" s="171">
        <v>96.51</v>
      </c>
      <c r="V637" s="171">
        <v>98.17</v>
      </c>
      <c r="W637" s="171">
        <v>112.83</v>
      </c>
      <c r="X637" s="171">
        <v>110.26</v>
      </c>
      <c r="Y637" s="171">
        <v>95</v>
      </c>
      <c r="Z637" s="171">
        <v>88.43</v>
      </c>
      <c r="AA637" s="171">
        <v>82.11</v>
      </c>
      <c r="AB637" s="171">
        <v>136</v>
      </c>
      <c r="AC637" s="171">
        <v>88.43</v>
      </c>
      <c r="AD637" s="171">
        <v>68.78</v>
      </c>
      <c r="AF637" s="171">
        <f t="shared" si="29"/>
        <v>2008</v>
      </c>
      <c r="AG637" s="171">
        <f t="shared" si="30"/>
        <v>0</v>
      </c>
      <c r="AH637" s="700">
        <f>SUMIF(D$3:$AA637,"&lt;="&amp;$AH$1)/COUNTIF(D$3:$AA637,"&lt;="&amp;$AH$1)</f>
        <v>28.586327790159377</v>
      </c>
    </row>
    <row r="638" spans="2:34" x14ac:dyDescent="0.25">
      <c r="B638" s="910">
        <v>39720</v>
      </c>
      <c r="C638" s="581">
        <f t="shared" si="28"/>
        <v>9</v>
      </c>
      <c r="D638" s="171">
        <v>70.960000000000008</v>
      </c>
      <c r="E638" s="171">
        <v>66</v>
      </c>
      <c r="F638" s="171">
        <v>61.730000000000004</v>
      </c>
      <c r="G638" s="171">
        <v>57.25</v>
      </c>
      <c r="H638" s="171">
        <v>58.85</v>
      </c>
      <c r="I638" s="171">
        <v>67.33</v>
      </c>
      <c r="J638" s="171">
        <v>86.23</v>
      </c>
      <c r="K638" s="171">
        <v>124.01</v>
      </c>
      <c r="L638" s="171">
        <v>134.01</v>
      </c>
      <c r="M638" s="171">
        <v>148.03</v>
      </c>
      <c r="N638" s="171">
        <v>148.71</v>
      </c>
      <c r="O638" s="171">
        <v>152</v>
      </c>
      <c r="P638" s="171">
        <v>131.04</v>
      </c>
      <c r="Q638" s="171">
        <v>133.02000000000001</v>
      </c>
      <c r="R638" s="171">
        <v>125.97</v>
      </c>
      <c r="S638" s="171">
        <v>119.94</v>
      </c>
      <c r="T638" s="171">
        <v>116.95</v>
      </c>
      <c r="U638" s="171">
        <v>113.92</v>
      </c>
      <c r="V638" s="171">
        <v>115.7</v>
      </c>
      <c r="W638" s="171">
        <v>140.99</v>
      </c>
      <c r="X638" s="171">
        <v>124.01</v>
      </c>
      <c r="Y638" s="171">
        <v>105</v>
      </c>
      <c r="Z638" s="171">
        <v>92</v>
      </c>
      <c r="AA638" s="171">
        <v>75</v>
      </c>
      <c r="AB638" s="171">
        <v>152</v>
      </c>
      <c r="AC638" s="171">
        <v>92</v>
      </c>
      <c r="AD638" s="171">
        <v>67.92</v>
      </c>
      <c r="AF638" s="171">
        <f t="shared" si="29"/>
        <v>2008</v>
      </c>
      <c r="AG638" s="171">
        <f t="shared" si="30"/>
        <v>0</v>
      </c>
      <c r="AH638" s="700">
        <f>SUMIF(D$3:$AA638,"&lt;="&amp;$AH$1)/COUNTIF(D$3:$AA638,"&lt;="&amp;$AH$1)</f>
        <v>28.586327790159377</v>
      </c>
    </row>
    <row r="639" spans="2:34" x14ac:dyDescent="0.25">
      <c r="B639" s="910">
        <v>39721</v>
      </c>
      <c r="C639" s="581">
        <f t="shared" si="28"/>
        <v>9</v>
      </c>
      <c r="D639" s="171">
        <v>65.42</v>
      </c>
      <c r="E639" s="171">
        <v>60.19</v>
      </c>
      <c r="F639" s="171">
        <v>57.17</v>
      </c>
      <c r="G639" s="171">
        <v>50</v>
      </c>
      <c r="H639" s="171">
        <v>49.660000000000004</v>
      </c>
      <c r="I639" s="171">
        <v>59.33</v>
      </c>
      <c r="J639" s="171">
        <v>84.93</v>
      </c>
      <c r="K639" s="171">
        <v>100</v>
      </c>
      <c r="L639" s="171">
        <v>113</v>
      </c>
      <c r="M639" s="171">
        <v>117</v>
      </c>
      <c r="N639" s="171">
        <v>119</v>
      </c>
      <c r="O639" s="171">
        <v>118.67</v>
      </c>
      <c r="P639" s="171">
        <v>112.38</v>
      </c>
      <c r="Q639" s="171">
        <v>111.5</v>
      </c>
      <c r="R639" s="171">
        <v>107</v>
      </c>
      <c r="S639" s="171">
        <v>101</v>
      </c>
      <c r="T639" s="171">
        <v>97.03</v>
      </c>
      <c r="U639" s="171">
        <v>97</v>
      </c>
      <c r="V639" s="171">
        <v>96</v>
      </c>
      <c r="W639" s="171">
        <v>113.8</v>
      </c>
      <c r="X639" s="171">
        <v>112</v>
      </c>
      <c r="Y639" s="171">
        <v>87.34</v>
      </c>
      <c r="Z639" s="171">
        <v>78</v>
      </c>
      <c r="AA639" s="171">
        <v>67.150000000000006</v>
      </c>
      <c r="AB639" s="171">
        <v>119</v>
      </c>
      <c r="AC639" s="171">
        <v>78</v>
      </c>
      <c r="AD639" s="171">
        <v>61.730000000000004</v>
      </c>
      <c r="AF639" s="171">
        <f t="shared" si="29"/>
        <v>2008</v>
      </c>
      <c r="AG639" s="171">
        <f t="shared" si="30"/>
        <v>0</v>
      </c>
      <c r="AH639" s="700">
        <f>SUMIF(D$3:$AA639,"&lt;="&amp;$AH$1)/COUNTIF(D$3:$AA639,"&lt;="&amp;$AH$1)</f>
        <v>28.586327790159377</v>
      </c>
    </row>
    <row r="640" spans="2:34" x14ac:dyDescent="0.25">
      <c r="B640" s="910">
        <v>39722</v>
      </c>
      <c r="C640" s="581">
        <f t="shared" si="28"/>
        <v>10</v>
      </c>
      <c r="D640" s="171">
        <v>56.33</v>
      </c>
      <c r="E640" s="171">
        <v>62</v>
      </c>
      <c r="F640" s="171">
        <v>52</v>
      </c>
      <c r="G640" s="171">
        <v>45</v>
      </c>
      <c r="H640" s="171">
        <v>44.28</v>
      </c>
      <c r="I640" s="171">
        <v>58</v>
      </c>
      <c r="J640" s="171">
        <v>72.040000000000006</v>
      </c>
      <c r="K640" s="171">
        <v>90</v>
      </c>
      <c r="L640" s="171">
        <v>99</v>
      </c>
      <c r="M640" s="171">
        <v>102</v>
      </c>
      <c r="N640" s="171">
        <v>103</v>
      </c>
      <c r="O640" s="171">
        <v>106</v>
      </c>
      <c r="P640" s="171">
        <v>99</v>
      </c>
      <c r="Q640" s="171">
        <v>96</v>
      </c>
      <c r="R640" s="171">
        <v>94</v>
      </c>
      <c r="S640" s="171">
        <v>90.710000000000008</v>
      </c>
      <c r="T640" s="171">
        <v>86.05</v>
      </c>
      <c r="U640" s="171">
        <v>81</v>
      </c>
      <c r="V640" s="171">
        <v>81</v>
      </c>
      <c r="W640" s="171">
        <v>98</v>
      </c>
      <c r="X640" s="171">
        <v>99.93</v>
      </c>
      <c r="Y640" s="171">
        <v>79.33</v>
      </c>
      <c r="Z640" s="171">
        <v>67.02</v>
      </c>
      <c r="AA640" s="171">
        <v>73.790000000000006</v>
      </c>
      <c r="AB640" s="171">
        <v>106</v>
      </c>
      <c r="AC640" s="171">
        <v>67.02</v>
      </c>
      <c r="AD640" s="171">
        <v>57.93</v>
      </c>
      <c r="AF640" s="171">
        <f t="shared" si="29"/>
        <v>2008</v>
      </c>
      <c r="AG640" s="171">
        <f t="shared" si="30"/>
        <v>0</v>
      </c>
      <c r="AH640" s="700">
        <f>SUMIF(D$3:$AA640,"&lt;="&amp;$AH$1)/COUNTIF(D$3:$AA640,"&lt;="&amp;$AH$1)</f>
        <v>28.586327790159377</v>
      </c>
    </row>
    <row r="641" spans="2:34" x14ac:dyDescent="0.25">
      <c r="B641" s="910">
        <v>39723</v>
      </c>
      <c r="C641" s="581">
        <f t="shared" si="28"/>
        <v>10</v>
      </c>
      <c r="D641" s="171">
        <v>56.33</v>
      </c>
      <c r="E641" s="171">
        <v>62</v>
      </c>
      <c r="F641" s="171">
        <v>52</v>
      </c>
      <c r="G641" s="171">
        <v>45</v>
      </c>
      <c r="H641" s="171">
        <v>44.28</v>
      </c>
      <c r="I641" s="171">
        <v>58</v>
      </c>
      <c r="J641" s="171">
        <v>72.040000000000006</v>
      </c>
      <c r="K641" s="171">
        <v>90</v>
      </c>
      <c r="L641" s="171">
        <v>99</v>
      </c>
      <c r="M641" s="171">
        <v>102</v>
      </c>
      <c r="N641" s="171">
        <v>103</v>
      </c>
      <c r="O641" s="171">
        <v>106</v>
      </c>
      <c r="P641" s="171">
        <v>99</v>
      </c>
      <c r="Q641" s="171">
        <v>96</v>
      </c>
      <c r="R641" s="171">
        <v>94</v>
      </c>
      <c r="S641" s="171">
        <v>90.710000000000008</v>
      </c>
      <c r="T641" s="171">
        <v>86.05</v>
      </c>
      <c r="U641" s="171">
        <v>81</v>
      </c>
      <c r="V641" s="171">
        <v>81</v>
      </c>
      <c r="W641" s="171">
        <v>98</v>
      </c>
      <c r="X641" s="171">
        <v>99.93</v>
      </c>
      <c r="Y641" s="171">
        <v>79.33</v>
      </c>
      <c r="Z641" s="171">
        <v>67.02</v>
      </c>
      <c r="AA641" s="171">
        <v>73.790000000000006</v>
      </c>
      <c r="AB641" s="171">
        <v>106</v>
      </c>
      <c r="AC641" s="171">
        <v>67.02</v>
      </c>
      <c r="AD641" s="171">
        <v>57.93</v>
      </c>
      <c r="AF641" s="171">
        <f t="shared" si="29"/>
        <v>2008</v>
      </c>
      <c r="AG641" s="171">
        <f t="shared" si="30"/>
        <v>0</v>
      </c>
      <c r="AH641" s="700">
        <f>SUMIF(D$3:$AA641,"&lt;="&amp;$AH$1)/COUNTIF(D$3:$AA641,"&lt;="&amp;$AH$1)</f>
        <v>28.586327790159377</v>
      </c>
    </row>
    <row r="642" spans="2:34" x14ac:dyDescent="0.25">
      <c r="B642" s="910">
        <v>39724</v>
      </c>
      <c r="C642" s="581">
        <f t="shared" si="28"/>
        <v>10</v>
      </c>
      <c r="D642" s="171">
        <v>78.400000000000006</v>
      </c>
      <c r="E642" s="171">
        <v>63</v>
      </c>
      <c r="F642" s="171">
        <v>60.6</v>
      </c>
      <c r="G642" s="171">
        <v>47</v>
      </c>
      <c r="H642" s="171">
        <v>54.64</v>
      </c>
      <c r="I642" s="171">
        <v>62.82</v>
      </c>
      <c r="J642" s="171">
        <v>80.040000000000006</v>
      </c>
      <c r="K642" s="171">
        <v>90</v>
      </c>
      <c r="L642" s="171">
        <v>115</v>
      </c>
      <c r="M642" s="171">
        <v>127.57000000000001</v>
      </c>
      <c r="N642" s="171">
        <v>126.82000000000001</v>
      </c>
      <c r="O642" s="171">
        <v>126.52</v>
      </c>
      <c r="P642" s="171">
        <v>110.12</v>
      </c>
      <c r="Q642" s="171">
        <v>100</v>
      </c>
      <c r="R642" s="171">
        <v>92.5</v>
      </c>
      <c r="S642" s="171">
        <v>85.95</v>
      </c>
      <c r="T642" s="171">
        <v>80.42</v>
      </c>
      <c r="U642" s="171">
        <v>80</v>
      </c>
      <c r="V642" s="171">
        <v>85</v>
      </c>
      <c r="W642" s="171">
        <v>106</v>
      </c>
      <c r="X642" s="171">
        <v>103.87</v>
      </c>
      <c r="Y642" s="171">
        <v>78.55</v>
      </c>
      <c r="Z642" s="171">
        <v>70.97</v>
      </c>
      <c r="AA642" s="171">
        <v>66.010000000000005</v>
      </c>
      <c r="AB642" s="171">
        <v>127.57000000000001</v>
      </c>
      <c r="AC642" s="171">
        <v>70.97</v>
      </c>
      <c r="AD642" s="171">
        <v>64.06</v>
      </c>
      <c r="AF642" s="171">
        <f t="shared" si="29"/>
        <v>2008</v>
      </c>
      <c r="AG642" s="171">
        <f t="shared" si="30"/>
        <v>0</v>
      </c>
      <c r="AH642" s="700">
        <f>SUMIF(D$3:$AA642,"&lt;="&amp;$AH$1)/COUNTIF(D$3:$AA642,"&lt;="&amp;$AH$1)</f>
        <v>28.586327790159377</v>
      </c>
    </row>
    <row r="643" spans="2:34" x14ac:dyDescent="0.25">
      <c r="B643" s="910">
        <v>39727</v>
      </c>
      <c r="C643" s="581">
        <f t="shared" si="28"/>
        <v>10</v>
      </c>
      <c r="D643" s="171">
        <v>57</v>
      </c>
      <c r="E643" s="171">
        <v>52.53</v>
      </c>
      <c r="F643" s="171">
        <v>50.120000000000005</v>
      </c>
      <c r="G643" s="171">
        <v>42</v>
      </c>
      <c r="H643" s="171">
        <v>41</v>
      </c>
      <c r="I643" s="171">
        <v>46.62</v>
      </c>
      <c r="J643" s="171">
        <v>75</v>
      </c>
      <c r="K643" s="171">
        <v>120.25</v>
      </c>
      <c r="L643" s="171">
        <v>138</v>
      </c>
      <c r="M643" s="171">
        <v>136.46</v>
      </c>
      <c r="N643" s="171">
        <v>136.49</v>
      </c>
      <c r="O643" s="171">
        <v>136.14000000000001</v>
      </c>
      <c r="P643" s="171">
        <v>134</v>
      </c>
      <c r="Q643" s="171">
        <v>130.03</v>
      </c>
      <c r="R643" s="171">
        <v>125.09</v>
      </c>
      <c r="S643" s="171">
        <v>120.75</v>
      </c>
      <c r="T643" s="171">
        <v>118.86</v>
      </c>
      <c r="U643" s="171">
        <v>113.04</v>
      </c>
      <c r="V643" s="171">
        <v>126.01</v>
      </c>
      <c r="W643" s="171">
        <v>140.62</v>
      </c>
      <c r="X643" s="171">
        <v>124.71000000000001</v>
      </c>
      <c r="Y643" s="171">
        <v>114</v>
      </c>
      <c r="Z643" s="171">
        <v>102</v>
      </c>
      <c r="AA643" s="171">
        <v>97.990000000000009</v>
      </c>
      <c r="AB643" s="171">
        <v>140.62</v>
      </c>
      <c r="AC643" s="171">
        <v>102</v>
      </c>
      <c r="AD643" s="171">
        <v>57.78</v>
      </c>
      <c r="AF643" s="171">
        <f t="shared" si="29"/>
        <v>2008</v>
      </c>
      <c r="AG643" s="171">
        <f t="shared" si="30"/>
        <v>2</v>
      </c>
      <c r="AH643" s="700">
        <f>SUMIF(D$3:$AA643,"&lt;="&amp;$AH$1)/COUNTIF(D$3:$AA643,"&lt;="&amp;$AH$1)</f>
        <v>28.590754070265575</v>
      </c>
    </row>
    <row r="644" spans="2:34" x14ac:dyDescent="0.25">
      <c r="B644" s="910">
        <v>39728</v>
      </c>
      <c r="C644" s="581">
        <f t="shared" ref="C644:C707" si="31">MONTH(B644)</f>
        <v>10</v>
      </c>
      <c r="D644" s="171">
        <v>74.100000000000009</v>
      </c>
      <c r="E644" s="171">
        <v>63.6</v>
      </c>
      <c r="F644" s="171">
        <v>59.9</v>
      </c>
      <c r="G644" s="171">
        <v>59.300000000000004</v>
      </c>
      <c r="H644" s="171">
        <v>63</v>
      </c>
      <c r="I644" s="171">
        <v>66.12</v>
      </c>
      <c r="J644" s="171">
        <v>89.03</v>
      </c>
      <c r="K644" s="171">
        <v>114.27</v>
      </c>
      <c r="L644" s="171">
        <v>150</v>
      </c>
      <c r="M644" s="171">
        <v>150.70000000000002</v>
      </c>
      <c r="N644" s="171">
        <v>154</v>
      </c>
      <c r="O644" s="171">
        <v>175</v>
      </c>
      <c r="P644" s="171">
        <v>136</v>
      </c>
      <c r="Q644" s="171">
        <v>134.28</v>
      </c>
      <c r="R644" s="171">
        <v>133.65</v>
      </c>
      <c r="S644" s="171">
        <v>131.19</v>
      </c>
      <c r="T644" s="171">
        <v>127.27</v>
      </c>
      <c r="U644" s="171">
        <v>125.9</v>
      </c>
      <c r="V644" s="171">
        <v>131.13</v>
      </c>
      <c r="W644" s="171">
        <v>163.25</v>
      </c>
      <c r="X644" s="171">
        <v>136</v>
      </c>
      <c r="Y644" s="171">
        <v>107.89</v>
      </c>
      <c r="Z644" s="171">
        <v>85.25</v>
      </c>
      <c r="AA644" s="171">
        <v>76.94</v>
      </c>
      <c r="AB644" s="171">
        <v>175</v>
      </c>
      <c r="AC644" s="171">
        <v>85.25</v>
      </c>
      <c r="AD644" s="171">
        <v>69</v>
      </c>
      <c r="AF644" s="171">
        <f t="shared" ref="AF644:AF707" si="32">YEAR(B644)</f>
        <v>2008</v>
      </c>
      <c r="AG644" s="171">
        <f t="shared" ref="AG644:AG707" si="33">COUNTIF(D644:AA644,"&lt;="&amp;$AH$1)</f>
        <v>0</v>
      </c>
      <c r="AH644" s="700">
        <f>SUMIF(D$3:$AA644,"&lt;="&amp;$AH$1)/COUNTIF(D$3:$AA644,"&lt;="&amp;$AH$1)</f>
        <v>28.590754070265575</v>
      </c>
    </row>
    <row r="645" spans="2:34" x14ac:dyDescent="0.25">
      <c r="B645" s="910">
        <v>39729</v>
      </c>
      <c r="C645" s="581">
        <f t="shared" si="31"/>
        <v>10</v>
      </c>
      <c r="D645" s="171">
        <v>68.03</v>
      </c>
      <c r="E645" s="171">
        <v>61.25</v>
      </c>
      <c r="F645" s="171">
        <v>63.58</v>
      </c>
      <c r="G645" s="171">
        <v>58.77</v>
      </c>
      <c r="H645" s="171">
        <v>57.550000000000004</v>
      </c>
      <c r="I645" s="171">
        <v>64</v>
      </c>
      <c r="J645" s="171">
        <v>82.99</v>
      </c>
      <c r="K645" s="171">
        <v>127</v>
      </c>
      <c r="L645" s="171">
        <v>151.22</v>
      </c>
      <c r="M645" s="171">
        <v>170</v>
      </c>
      <c r="N645" s="171">
        <v>157.96</v>
      </c>
      <c r="O645" s="171">
        <v>160.04</v>
      </c>
      <c r="P645" s="171">
        <v>153.97999999999999</v>
      </c>
      <c r="Q645" s="171">
        <v>144</v>
      </c>
      <c r="R645" s="171">
        <v>140.01</v>
      </c>
      <c r="S645" s="171">
        <v>135.52000000000001</v>
      </c>
      <c r="T645" s="171">
        <v>128.72</v>
      </c>
      <c r="U645" s="171">
        <v>122.64</v>
      </c>
      <c r="V645" s="171">
        <v>137</v>
      </c>
      <c r="W645" s="171">
        <v>161</v>
      </c>
      <c r="X645" s="171">
        <v>139</v>
      </c>
      <c r="Y645" s="171">
        <v>104.99000000000001</v>
      </c>
      <c r="Z645" s="171">
        <v>89.93</v>
      </c>
      <c r="AA645" s="171">
        <v>82.02</v>
      </c>
      <c r="AB645" s="171">
        <v>170</v>
      </c>
      <c r="AC645" s="171">
        <v>89.93</v>
      </c>
      <c r="AD645" s="171">
        <v>67.27</v>
      </c>
      <c r="AF645" s="171">
        <f t="shared" si="32"/>
        <v>2008</v>
      </c>
      <c r="AG645" s="171">
        <f t="shared" si="33"/>
        <v>0</v>
      </c>
      <c r="AH645" s="700">
        <f>SUMIF(D$3:$AA645,"&lt;="&amp;$AH$1)/COUNTIF(D$3:$AA645,"&lt;="&amp;$AH$1)</f>
        <v>28.590754070265575</v>
      </c>
    </row>
    <row r="646" spans="2:34" x14ac:dyDescent="0.25">
      <c r="B646" s="910">
        <v>39730</v>
      </c>
      <c r="C646" s="581">
        <f t="shared" si="31"/>
        <v>10</v>
      </c>
      <c r="D646" s="171">
        <v>69</v>
      </c>
      <c r="E646" s="171">
        <v>65.48</v>
      </c>
      <c r="F646" s="171">
        <v>56.99</v>
      </c>
      <c r="G646" s="171">
        <v>57</v>
      </c>
      <c r="H646" s="171">
        <v>60</v>
      </c>
      <c r="I646" s="171">
        <v>62.690000000000005</v>
      </c>
      <c r="J646" s="171">
        <v>88.28</v>
      </c>
      <c r="K646" s="171">
        <v>135.09</v>
      </c>
      <c r="L646" s="171">
        <v>160.51</v>
      </c>
      <c r="M646" s="171">
        <v>170.46</v>
      </c>
      <c r="N646" s="171">
        <v>157.1</v>
      </c>
      <c r="O646" s="171">
        <v>171.91</v>
      </c>
      <c r="P646" s="171">
        <v>163</v>
      </c>
      <c r="Q646" s="171">
        <v>154.02000000000001</v>
      </c>
      <c r="R646" s="171">
        <v>143.22999999999999</v>
      </c>
      <c r="S646" s="171">
        <v>141</v>
      </c>
      <c r="T646" s="171">
        <v>134.51</v>
      </c>
      <c r="U646" s="171">
        <v>132</v>
      </c>
      <c r="V646" s="171">
        <v>134.29</v>
      </c>
      <c r="W646" s="171">
        <v>165.15</v>
      </c>
      <c r="X646" s="171">
        <v>134</v>
      </c>
      <c r="Y646" s="171">
        <v>115.72</v>
      </c>
      <c r="Z646" s="171">
        <v>87.59</v>
      </c>
      <c r="AA646" s="171">
        <v>87.18</v>
      </c>
      <c r="AB646" s="171">
        <v>171.91</v>
      </c>
      <c r="AC646" s="171">
        <v>87.59</v>
      </c>
      <c r="AD646" s="171">
        <v>68.33</v>
      </c>
      <c r="AF646" s="171">
        <f t="shared" si="32"/>
        <v>2008</v>
      </c>
      <c r="AG646" s="171">
        <f t="shared" si="33"/>
        <v>0</v>
      </c>
      <c r="AH646" s="700">
        <f>SUMIF(D$3:$AA646,"&lt;="&amp;$AH$1)/COUNTIF(D$3:$AA646,"&lt;="&amp;$AH$1)</f>
        <v>28.590754070265575</v>
      </c>
    </row>
    <row r="647" spans="2:34" x14ac:dyDescent="0.25">
      <c r="B647" s="910">
        <v>39731</v>
      </c>
      <c r="C647" s="581">
        <f t="shared" si="31"/>
        <v>10</v>
      </c>
      <c r="D647" s="171">
        <v>70.62</v>
      </c>
      <c r="E647" s="171">
        <v>64.930000000000007</v>
      </c>
      <c r="F647" s="171">
        <v>58</v>
      </c>
      <c r="G647" s="171">
        <v>56.230000000000004</v>
      </c>
      <c r="H647" s="171">
        <v>56.68</v>
      </c>
      <c r="I647" s="171">
        <v>64.930000000000007</v>
      </c>
      <c r="J647" s="171">
        <v>87.36</v>
      </c>
      <c r="K647" s="171">
        <v>125</v>
      </c>
      <c r="L647" s="171">
        <v>137.5</v>
      </c>
      <c r="M647" s="171">
        <v>138.01</v>
      </c>
      <c r="N647" s="171">
        <v>138.01</v>
      </c>
      <c r="O647" s="171">
        <v>138</v>
      </c>
      <c r="P647" s="171">
        <v>130.80000000000001</v>
      </c>
      <c r="Q647" s="171">
        <v>125.34</v>
      </c>
      <c r="R647" s="171">
        <v>121.74000000000001</v>
      </c>
      <c r="S647" s="171">
        <v>112.48</v>
      </c>
      <c r="T647" s="171">
        <v>104</v>
      </c>
      <c r="U647" s="171">
        <v>103</v>
      </c>
      <c r="V647" s="171">
        <v>105.41</v>
      </c>
      <c r="W647" s="171">
        <v>130.80000000000001</v>
      </c>
      <c r="X647" s="171">
        <v>109.54</v>
      </c>
      <c r="Y647" s="171">
        <v>89.960000000000008</v>
      </c>
      <c r="Z647" s="171">
        <v>73.070000000000007</v>
      </c>
      <c r="AA647" s="171">
        <v>78.47</v>
      </c>
      <c r="AB647" s="171">
        <v>138.01</v>
      </c>
      <c r="AC647" s="171">
        <v>73.070000000000007</v>
      </c>
      <c r="AD647" s="171">
        <v>67.150000000000006</v>
      </c>
      <c r="AF647" s="171">
        <f t="shared" si="32"/>
        <v>2008</v>
      </c>
      <c r="AG647" s="171">
        <f t="shared" si="33"/>
        <v>0</v>
      </c>
      <c r="AH647" s="700">
        <f>SUMIF(D$3:$AA647,"&lt;="&amp;$AH$1)/COUNTIF(D$3:$AA647,"&lt;="&amp;$AH$1)</f>
        <v>28.590754070265575</v>
      </c>
    </row>
    <row r="648" spans="2:34" x14ac:dyDescent="0.25">
      <c r="B648" s="910">
        <v>39734</v>
      </c>
      <c r="C648" s="581">
        <f t="shared" si="31"/>
        <v>10</v>
      </c>
      <c r="D648" s="171">
        <v>54</v>
      </c>
      <c r="E648" s="171">
        <v>48.9</v>
      </c>
      <c r="F648" s="171">
        <v>45</v>
      </c>
      <c r="G648" s="171">
        <v>45</v>
      </c>
      <c r="H648" s="171">
        <v>44</v>
      </c>
      <c r="I648" s="171">
        <v>49.61</v>
      </c>
      <c r="J648" s="171">
        <v>69.930000000000007</v>
      </c>
      <c r="K648" s="171">
        <v>115.34</v>
      </c>
      <c r="L648" s="171">
        <v>120.04</v>
      </c>
      <c r="M648" s="171">
        <v>123.66</v>
      </c>
      <c r="N648" s="171">
        <v>118.93</v>
      </c>
      <c r="O648" s="171">
        <v>120</v>
      </c>
      <c r="P648" s="171">
        <v>118.08</v>
      </c>
      <c r="Q648" s="171">
        <v>115.76</v>
      </c>
      <c r="R648" s="171">
        <v>116.44</v>
      </c>
      <c r="S648" s="171">
        <v>113.82000000000001</v>
      </c>
      <c r="T648" s="171">
        <v>108.09</v>
      </c>
      <c r="U648" s="171">
        <v>104.34</v>
      </c>
      <c r="V648" s="171">
        <v>111.2</v>
      </c>
      <c r="W648" s="171">
        <v>134.75</v>
      </c>
      <c r="X648" s="171">
        <v>122.44</v>
      </c>
      <c r="Y648" s="171">
        <v>90.59</v>
      </c>
      <c r="Z648" s="171">
        <v>79.930000000000007</v>
      </c>
      <c r="AA648" s="171">
        <v>74.19</v>
      </c>
      <c r="AB648" s="171">
        <v>134.75</v>
      </c>
      <c r="AC648" s="171">
        <v>79.930000000000007</v>
      </c>
      <c r="AD648" s="171">
        <v>53.83</v>
      </c>
      <c r="AF648" s="171">
        <f t="shared" si="32"/>
        <v>2008</v>
      </c>
      <c r="AG648" s="171">
        <f t="shared" si="33"/>
        <v>0</v>
      </c>
      <c r="AH648" s="700">
        <f>SUMIF(D$3:$AA648,"&lt;="&amp;$AH$1)/COUNTIF(D$3:$AA648,"&lt;="&amp;$AH$1)</f>
        <v>28.590754070265575</v>
      </c>
    </row>
    <row r="649" spans="2:34" x14ac:dyDescent="0.25">
      <c r="B649" s="910">
        <v>39735</v>
      </c>
      <c r="C649" s="581">
        <f t="shared" si="31"/>
        <v>10</v>
      </c>
      <c r="D649" s="171">
        <v>57.2</v>
      </c>
      <c r="E649" s="171">
        <v>53</v>
      </c>
      <c r="F649" s="171">
        <v>47.5</v>
      </c>
      <c r="G649" s="171">
        <v>47</v>
      </c>
      <c r="H649" s="171">
        <v>45.78</v>
      </c>
      <c r="I649" s="171">
        <v>58.370000000000005</v>
      </c>
      <c r="J649" s="171">
        <v>75.19</v>
      </c>
      <c r="K649" s="171">
        <v>125.19</v>
      </c>
      <c r="L649" s="171">
        <v>123.95</v>
      </c>
      <c r="M649" s="171">
        <v>122.9</v>
      </c>
      <c r="N649" s="171">
        <v>126.3</v>
      </c>
      <c r="O649" s="171">
        <v>121.74000000000001</v>
      </c>
      <c r="P649" s="171">
        <v>122.47</v>
      </c>
      <c r="Q649" s="171">
        <v>122.5</v>
      </c>
      <c r="R649" s="171">
        <v>121.22</v>
      </c>
      <c r="S649" s="171">
        <v>111.13</v>
      </c>
      <c r="T649" s="171">
        <v>110.16</v>
      </c>
      <c r="U649" s="171">
        <v>109.34</v>
      </c>
      <c r="V649" s="171">
        <v>112.23</v>
      </c>
      <c r="W649" s="171">
        <v>127.64</v>
      </c>
      <c r="X649" s="171">
        <v>121</v>
      </c>
      <c r="Y649" s="171">
        <v>92.09</v>
      </c>
      <c r="Z649" s="171">
        <v>71.680000000000007</v>
      </c>
      <c r="AA649" s="171">
        <v>65.31</v>
      </c>
      <c r="AB649" s="171">
        <v>127.64</v>
      </c>
      <c r="AC649" s="171">
        <v>71.680000000000007</v>
      </c>
      <c r="AD649" s="171">
        <v>56.17</v>
      </c>
      <c r="AF649" s="171">
        <f t="shared" si="32"/>
        <v>2008</v>
      </c>
      <c r="AG649" s="171">
        <f t="shared" si="33"/>
        <v>0</v>
      </c>
      <c r="AH649" s="700">
        <f>SUMIF(D$3:$AA649,"&lt;="&amp;$AH$1)/COUNTIF(D$3:$AA649,"&lt;="&amp;$AH$1)</f>
        <v>28.590754070265575</v>
      </c>
    </row>
    <row r="650" spans="2:34" x14ac:dyDescent="0.25">
      <c r="B650" s="910">
        <v>39736</v>
      </c>
      <c r="C650" s="581">
        <f t="shared" si="31"/>
        <v>10</v>
      </c>
      <c r="D650" s="171">
        <v>61.76</v>
      </c>
      <c r="E650" s="171">
        <v>55.54</v>
      </c>
      <c r="F650" s="171">
        <v>51.86</v>
      </c>
      <c r="G650" s="171">
        <v>47</v>
      </c>
      <c r="H650" s="171">
        <v>46.76</v>
      </c>
      <c r="I650" s="171">
        <v>57.38</v>
      </c>
      <c r="J650" s="171">
        <v>74.69</v>
      </c>
      <c r="K650" s="171">
        <v>117.04</v>
      </c>
      <c r="L650" s="171">
        <v>109.93</v>
      </c>
      <c r="M650" s="171">
        <v>115.34</v>
      </c>
      <c r="N650" s="171">
        <v>115.52</v>
      </c>
      <c r="O650" s="171">
        <v>113.69</v>
      </c>
      <c r="P650" s="171">
        <v>110.12</v>
      </c>
      <c r="Q650" s="171">
        <v>112</v>
      </c>
      <c r="R650" s="171">
        <v>104.53</v>
      </c>
      <c r="S650" s="171">
        <v>100</v>
      </c>
      <c r="T650" s="171">
        <v>99.01</v>
      </c>
      <c r="U650" s="171">
        <v>94.74</v>
      </c>
      <c r="V650" s="171">
        <v>103.3</v>
      </c>
      <c r="W650" s="171">
        <v>119</v>
      </c>
      <c r="X650" s="171">
        <v>107.52</v>
      </c>
      <c r="Y650" s="171">
        <v>86.320000000000007</v>
      </c>
      <c r="Z650" s="171">
        <v>73</v>
      </c>
      <c r="AA650" s="171">
        <v>79.150000000000006</v>
      </c>
      <c r="AB650" s="171">
        <v>119</v>
      </c>
      <c r="AC650" s="171">
        <v>73</v>
      </c>
      <c r="AD650" s="171">
        <v>59.27</v>
      </c>
      <c r="AF650" s="171">
        <f t="shared" si="32"/>
        <v>2008</v>
      </c>
      <c r="AG650" s="171">
        <f t="shared" si="33"/>
        <v>0</v>
      </c>
      <c r="AH650" s="700">
        <f>SUMIF(D$3:$AA650,"&lt;="&amp;$AH$1)/COUNTIF(D$3:$AA650,"&lt;="&amp;$AH$1)</f>
        <v>28.590754070265575</v>
      </c>
    </row>
    <row r="651" spans="2:34" x14ac:dyDescent="0.25">
      <c r="B651" s="910">
        <v>39737</v>
      </c>
      <c r="C651" s="581">
        <f t="shared" si="31"/>
        <v>10</v>
      </c>
      <c r="D651" s="171">
        <v>58</v>
      </c>
      <c r="E651" s="171">
        <v>52.52</v>
      </c>
      <c r="F651" s="171">
        <v>44.59</v>
      </c>
      <c r="G651" s="171">
        <v>39.81</v>
      </c>
      <c r="H651" s="171">
        <v>39.04</v>
      </c>
      <c r="I651" s="171">
        <v>54.52</v>
      </c>
      <c r="J651" s="171">
        <v>68.56</v>
      </c>
      <c r="K651" s="171">
        <v>107</v>
      </c>
      <c r="L651" s="171">
        <v>103</v>
      </c>
      <c r="M651" s="171">
        <v>106</v>
      </c>
      <c r="N651" s="171">
        <v>102.68</v>
      </c>
      <c r="O651" s="171">
        <v>108.03</v>
      </c>
      <c r="P651" s="171">
        <v>100</v>
      </c>
      <c r="Q651" s="171">
        <v>101.49000000000001</v>
      </c>
      <c r="R651" s="171">
        <v>97.15</v>
      </c>
      <c r="S651" s="171">
        <v>89.93</v>
      </c>
      <c r="T651" s="171">
        <v>86</v>
      </c>
      <c r="U651" s="171">
        <v>82.820000000000007</v>
      </c>
      <c r="V651" s="171">
        <v>98.100000000000009</v>
      </c>
      <c r="W651" s="171">
        <v>115.71000000000001</v>
      </c>
      <c r="X651" s="171">
        <v>104.97</v>
      </c>
      <c r="Y651" s="171">
        <v>75</v>
      </c>
      <c r="Z651" s="171">
        <v>65</v>
      </c>
      <c r="AA651" s="171">
        <v>60</v>
      </c>
      <c r="AB651" s="171">
        <v>115.71000000000001</v>
      </c>
      <c r="AC651" s="171">
        <v>65</v>
      </c>
      <c r="AD651" s="171">
        <v>52.13</v>
      </c>
      <c r="AF651" s="171">
        <f t="shared" si="32"/>
        <v>2008</v>
      </c>
      <c r="AG651" s="171">
        <f t="shared" si="33"/>
        <v>2</v>
      </c>
      <c r="AH651" s="700">
        <f>SUMIF(D$3:$AA651,"&lt;="&amp;$AH$1)/COUNTIF(D$3:$AA651,"&lt;="&amp;$AH$1)</f>
        <v>28.594466335446231</v>
      </c>
    </row>
    <row r="652" spans="2:34" x14ac:dyDescent="0.25">
      <c r="B652" s="910">
        <v>39738</v>
      </c>
      <c r="C652" s="581">
        <f t="shared" si="31"/>
        <v>10</v>
      </c>
      <c r="D652" s="171">
        <v>54</v>
      </c>
      <c r="E652" s="171">
        <v>50.39</v>
      </c>
      <c r="F652" s="171">
        <v>47.96</v>
      </c>
      <c r="G652" s="171">
        <v>44.410000000000004</v>
      </c>
      <c r="H652" s="171">
        <v>45.62</v>
      </c>
      <c r="I652" s="171">
        <v>56</v>
      </c>
      <c r="J652" s="171">
        <v>71.38</v>
      </c>
      <c r="K652" s="171">
        <v>103.02</v>
      </c>
      <c r="L652" s="171">
        <v>100</v>
      </c>
      <c r="M652" s="171">
        <v>103.3</v>
      </c>
      <c r="N652" s="171">
        <v>105.36</v>
      </c>
      <c r="O652" s="171">
        <v>106.33</v>
      </c>
      <c r="P652" s="171">
        <v>104.93</v>
      </c>
      <c r="Q652" s="171">
        <v>101</v>
      </c>
      <c r="R652" s="171">
        <v>96.05</v>
      </c>
      <c r="S652" s="171">
        <v>86</v>
      </c>
      <c r="T652" s="171">
        <v>82.34</v>
      </c>
      <c r="U652" s="171">
        <v>81</v>
      </c>
      <c r="V652" s="171">
        <v>99.93</v>
      </c>
      <c r="W652" s="171">
        <v>121.55</v>
      </c>
      <c r="X652" s="171">
        <v>111</v>
      </c>
      <c r="Y652" s="171">
        <v>76</v>
      </c>
      <c r="Z652" s="171">
        <v>70</v>
      </c>
      <c r="AA652" s="171">
        <v>63.33</v>
      </c>
      <c r="AB652" s="171">
        <v>121.55</v>
      </c>
      <c r="AC652" s="171">
        <v>70</v>
      </c>
      <c r="AD652" s="171">
        <v>54.14</v>
      </c>
      <c r="AF652" s="171">
        <f t="shared" si="32"/>
        <v>2008</v>
      </c>
      <c r="AG652" s="171">
        <f t="shared" si="33"/>
        <v>0</v>
      </c>
      <c r="AH652" s="700">
        <f>SUMIF(D$3:$AA652,"&lt;="&amp;$AH$1)/COUNTIF(D$3:$AA652,"&lt;="&amp;$AH$1)</f>
        <v>28.594466335446231</v>
      </c>
    </row>
    <row r="653" spans="2:34" x14ac:dyDescent="0.25">
      <c r="B653" s="910">
        <v>39741</v>
      </c>
      <c r="C653" s="581">
        <f t="shared" si="31"/>
        <v>10</v>
      </c>
      <c r="D653" s="171">
        <v>45.94</v>
      </c>
      <c r="E653" s="171">
        <v>43.31</v>
      </c>
      <c r="F653" s="171">
        <v>37.340000000000003</v>
      </c>
      <c r="G653" s="171">
        <v>19.95</v>
      </c>
      <c r="H653" s="171">
        <v>30.19</v>
      </c>
      <c r="I653" s="171">
        <v>45.77</v>
      </c>
      <c r="J653" s="171">
        <v>67</v>
      </c>
      <c r="K653" s="171">
        <v>96.37</v>
      </c>
      <c r="L653" s="171">
        <v>91.87</v>
      </c>
      <c r="M653" s="171">
        <v>91</v>
      </c>
      <c r="N653" s="171">
        <v>92</v>
      </c>
      <c r="O653" s="171">
        <v>93.210000000000008</v>
      </c>
      <c r="P653" s="171">
        <v>81.97</v>
      </c>
      <c r="Q653" s="171">
        <v>75.63</v>
      </c>
      <c r="R653" s="171">
        <v>70.12</v>
      </c>
      <c r="S653" s="171">
        <v>70.73</v>
      </c>
      <c r="T653" s="171">
        <v>63.45</v>
      </c>
      <c r="U653" s="171">
        <v>64.31</v>
      </c>
      <c r="V653" s="171">
        <v>78.62</v>
      </c>
      <c r="W653" s="171">
        <v>95.52</v>
      </c>
      <c r="X653" s="171">
        <v>79.56</v>
      </c>
      <c r="Y653" s="171">
        <v>59.480000000000004</v>
      </c>
      <c r="Z653" s="171">
        <v>52.42</v>
      </c>
      <c r="AA653" s="171">
        <v>52</v>
      </c>
      <c r="AB653" s="171">
        <v>96.37</v>
      </c>
      <c r="AC653" s="171">
        <v>52.42</v>
      </c>
      <c r="AD653" s="171">
        <v>42.69</v>
      </c>
      <c r="AF653" s="171">
        <f t="shared" si="32"/>
        <v>2008</v>
      </c>
      <c r="AG653" s="171">
        <f t="shared" si="33"/>
        <v>3</v>
      </c>
      <c r="AH653" s="700">
        <f>SUMIF(D$3:$AA653,"&lt;="&amp;$AH$1)/COUNTIF(D$3:$AA653,"&lt;="&amp;$AH$1)</f>
        <v>28.594756849315008</v>
      </c>
    </row>
    <row r="654" spans="2:34" x14ac:dyDescent="0.25">
      <c r="B654" s="910">
        <v>39742</v>
      </c>
      <c r="C654" s="581">
        <f t="shared" si="31"/>
        <v>10</v>
      </c>
      <c r="D654" s="171">
        <v>52.08</v>
      </c>
      <c r="E654" s="171">
        <v>40.06</v>
      </c>
      <c r="F654" s="171">
        <v>40.32</v>
      </c>
      <c r="G654" s="171">
        <v>34</v>
      </c>
      <c r="H654" s="171">
        <v>36.32</v>
      </c>
      <c r="I654" s="171">
        <v>48.78</v>
      </c>
      <c r="J654" s="171">
        <v>65.8</v>
      </c>
      <c r="K654" s="171">
        <v>100</v>
      </c>
      <c r="L654" s="171">
        <v>106.59</v>
      </c>
      <c r="M654" s="171">
        <v>106.32000000000001</v>
      </c>
      <c r="N654" s="171">
        <v>106.8</v>
      </c>
      <c r="O654" s="171">
        <v>107</v>
      </c>
      <c r="P654" s="171">
        <v>105</v>
      </c>
      <c r="Q654" s="171">
        <v>105.35000000000001</v>
      </c>
      <c r="R654" s="171">
        <v>99.600000000000009</v>
      </c>
      <c r="S654" s="171">
        <v>86.850000000000009</v>
      </c>
      <c r="T654" s="171">
        <v>86.79</v>
      </c>
      <c r="U654" s="171">
        <v>83.19</v>
      </c>
      <c r="V654" s="171">
        <v>96.2</v>
      </c>
      <c r="W654" s="171">
        <v>114.68</v>
      </c>
      <c r="X654" s="171">
        <v>100</v>
      </c>
      <c r="Y654" s="171">
        <v>80.989999999999995</v>
      </c>
      <c r="Z654" s="171">
        <v>63.03</v>
      </c>
      <c r="AA654" s="171">
        <v>61.7</v>
      </c>
      <c r="AB654" s="171">
        <v>114.68</v>
      </c>
      <c r="AC654" s="171">
        <v>63.03</v>
      </c>
      <c r="AD654" s="171">
        <v>47.38</v>
      </c>
      <c r="AF654" s="171">
        <f t="shared" si="32"/>
        <v>2008</v>
      </c>
      <c r="AG654" s="171">
        <f t="shared" si="33"/>
        <v>4</v>
      </c>
      <c r="AH654" s="700">
        <f>SUMIF(D$3:$AA654,"&lt;="&amp;$AH$1)/COUNTIF(D$3:$AA654,"&lt;="&amp;$AH$1)</f>
        <v>28.600971937029374</v>
      </c>
    </row>
    <row r="655" spans="2:34" x14ac:dyDescent="0.25">
      <c r="B655" s="910">
        <v>39743</v>
      </c>
      <c r="C655" s="581">
        <f t="shared" si="31"/>
        <v>10</v>
      </c>
      <c r="D655" s="171">
        <v>64.7</v>
      </c>
      <c r="E655" s="171">
        <v>55.21</v>
      </c>
      <c r="F655" s="171">
        <v>52.53</v>
      </c>
      <c r="G655" s="171">
        <v>42.65</v>
      </c>
      <c r="H655" s="171">
        <v>44.28</v>
      </c>
      <c r="I655" s="171">
        <v>59.57</v>
      </c>
      <c r="J655" s="171">
        <v>79</v>
      </c>
      <c r="K655" s="171">
        <v>120.33</v>
      </c>
      <c r="L655" s="171">
        <v>120.26</v>
      </c>
      <c r="M655" s="171">
        <v>129.06</v>
      </c>
      <c r="N655" s="171">
        <v>126.66</v>
      </c>
      <c r="O655" s="171">
        <v>131.86000000000001</v>
      </c>
      <c r="P655" s="171">
        <v>126.71000000000001</v>
      </c>
      <c r="Q655" s="171">
        <v>124.59</v>
      </c>
      <c r="R655" s="171">
        <v>121.85000000000001</v>
      </c>
      <c r="S655" s="171">
        <v>118.01</v>
      </c>
      <c r="T655" s="171">
        <v>114</v>
      </c>
      <c r="U655" s="171">
        <v>111.46000000000001</v>
      </c>
      <c r="V655" s="171">
        <v>127</v>
      </c>
      <c r="W655" s="171">
        <v>145.71</v>
      </c>
      <c r="X655" s="171">
        <v>110.65</v>
      </c>
      <c r="Y655" s="171">
        <v>91</v>
      </c>
      <c r="Z655" s="171">
        <v>77</v>
      </c>
      <c r="AA655" s="171">
        <v>65</v>
      </c>
      <c r="AB655" s="171">
        <v>145.71</v>
      </c>
      <c r="AC655" s="171">
        <v>77</v>
      </c>
      <c r="AD655" s="171">
        <v>57.870000000000005</v>
      </c>
      <c r="AF655" s="171">
        <f t="shared" si="32"/>
        <v>2008</v>
      </c>
      <c r="AG655" s="171">
        <f t="shared" si="33"/>
        <v>0</v>
      </c>
      <c r="AH655" s="700">
        <f>SUMIF(D$3:$AA655,"&lt;="&amp;$AH$1)/COUNTIF(D$3:$AA655,"&lt;="&amp;$AH$1)</f>
        <v>28.600971937029374</v>
      </c>
    </row>
    <row r="656" spans="2:34" x14ac:dyDescent="0.25">
      <c r="B656" s="910">
        <v>39744</v>
      </c>
      <c r="C656" s="581">
        <f t="shared" si="31"/>
        <v>10</v>
      </c>
      <c r="D656" s="171">
        <v>64.62</v>
      </c>
      <c r="E656" s="171">
        <v>54.59</v>
      </c>
      <c r="F656" s="171">
        <v>47.04</v>
      </c>
      <c r="G656" s="171">
        <v>41.910000000000004</v>
      </c>
      <c r="H656" s="171">
        <v>43</v>
      </c>
      <c r="I656" s="171">
        <v>56.32</v>
      </c>
      <c r="J656" s="171">
        <v>80.5</v>
      </c>
      <c r="K656" s="171">
        <v>129</v>
      </c>
      <c r="L656" s="171">
        <v>127.68</v>
      </c>
      <c r="M656" s="171">
        <v>135.24</v>
      </c>
      <c r="N656" s="171">
        <v>134.92000000000002</v>
      </c>
      <c r="O656" s="171">
        <v>136.05000000000001</v>
      </c>
      <c r="P656" s="171">
        <v>120.01</v>
      </c>
      <c r="Q656" s="171">
        <v>120.27</v>
      </c>
      <c r="R656" s="171">
        <v>117.52</v>
      </c>
      <c r="S656" s="171">
        <v>109.79</v>
      </c>
      <c r="T656" s="171">
        <v>109</v>
      </c>
      <c r="U656" s="171">
        <v>106.98</v>
      </c>
      <c r="V656" s="171">
        <v>122.27</v>
      </c>
      <c r="W656" s="171">
        <v>139.93</v>
      </c>
      <c r="X656" s="171">
        <v>104</v>
      </c>
      <c r="Y656" s="171">
        <v>79</v>
      </c>
      <c r="Z656" s="171">
        <v>68.790000000000006</v>
      </c>
      <c r="AA656" s="171">
        <v>59</v>
      </c>
      <c r="AB656" s="171">
        <v>139.93</v>
      </c>
      <c r="AC656" s="171">
        <v>68.790000000000006</v>
      </c>
      <c r="AD656" s="171">
        <v>55.870000000000005</v>
      </c>
      <c r="AF656" s="171">
        <f t="shared" si="32"/>
        <v>2008</v>
      </c>
      <c r="AG656" s="171">
        <f t="shared" si="33"/>
        <v>1</v>
      </c>
      <c r="AH656" s="700">
        <f>SUMIF(D$3:$AA656,"&lt;="&amp;$AH$1)/COUNTIF(D$3:$AA656,"&lt;="&amp;$AH$1)</f>
        <v>28.603248930709952</v>
      </c>
    </row>
    <row r="657" spans="2:34" x14ac:dyDescent="0.25">
      <c r="B657" s="910">
        <v>39745</v>
      </c>
      <c r="C657" s="581">
        <f t="shared" si="31"/>
        <v>10</v>
      </c>
      <c r="D657" s="171">
        <v>58.31</v>
      </c>
      <c r="E657" s="171">
        <v>51.9</v>
      </c>
      <c r="F657" s="171">
        <v>45.75</v>
      </c>
      <c r="G657" s="171">
        <v>43</v>
      </c>
      <c r="H657" s="171">
        <v>43</v>
      </c>
      <c r="I657" s="171">
        <v>52.39</v>
      </c>
      <c r="J657" s="171">
        <v>76</v>
      </c>
      <c r="K657" s="171">
        <v>106.25</v>
      </c>
      <c r="L657" s="171">
        <v>114.75</v>
      </c>
      <c r="M657" s="171">
        <v>118</v>
      </c>
      <c r="N657" s="171">
        <v>116.07000000000001</v>
      </c>
      <c r="O657" s="171">
        <v>109.35000000000001</v>
      </c>
      <c r="P657" s="171">
        <v>107.14</v>
      </c>
      <c r="Q657" s="171">
        <v>104.45</v>
      </c>
      <c r="R657" s="171">
        <v>99.33</v>
      </c>
      <c r="S657" s="171">
        <v>94.08</v>
      </c>
      <c r="T657" s="171">
        <v>88</v>
      </c>
      <c r="U657" s="171">
        <v>87.05</v>
      </c>
      <c r="V657" s="171">
        <v>106.11</v>
      </c>
      <c r="W657" s="171">
        <v>118.94</v>
      </c>
      <c r="X657" s="171">
        <v>92.65</v>
      </c>
      <c r="Y657" s="171">
        <v>73.650000000000006</v>
      </c>
      <c r="Z657" s="171">
        <v>68</v>
      </c>
      <c r="AA657" s="171">
        <v>64</v>
      </c>
      <c r="AB657" s="171">
        <v>118.94</v>
      </c>
      <c r="AC657" s="171">
        <v>68</v>
      </c>
      <c r="AD657" s="171">
        <v>54.29</v>
      </c>
      <c r="AF657" s="171">
        <f t="shared" si="32"/>
        <v>2008</v>
      </c>
      <c r="AG657" s="171">
        <f t="shared" si="33"/>
        <v>0</v>
      </c>
      <c r="AH657" s="700">
        <f>SUMIF(D$3:$AA657,"&lt;="&amp;$AH$1)/COUNTIF(D$3:$AA657,"&lt;="&amp;$AH$1)</f>
        <v>28.603248930709952</v>
      </c>
    </row>
    <row r="658" spans="2:34" x14ac:dyDescent="0.25">
      <c r="B658" s="910">
        <v>39748</v>
      </c>
      <c r="C658" s="581">
        <f t="shared" si="31"/>
        <v>10</v>
      </c>
      <c r="D658" s="171">
        <v>49.410000000000004</v>
      </c>
      <c r="E658" s="171">
        <v>46.18</v>
      </c>
      <c r="F658" s="171">
        <v>38.01</v>
      </c>
      <c r="G658" s="171">
        <v>36.160000000000004</v>
      </c>
      <c r="H658" s="171">
        <v>35</v>
      </c>
      <c r="I658" s="171">
        <v>45.56</v>
      </c>
      <c r="J658" s="171">
        <v>79.03</v>
      </c>
      <c r="K658" s="171">
        <v>108.29</v>
      </c>
      <c r="L658" s="171">
        <v>109</v>
      </c>
      <c r="M658" s="171">
        <v>104.01</v>
      </c>
      <c r="N658" s="171">
        <v>102.32000000000001</v>
      </c>
      <c r="O658" s="171">
        <v>109.92</v>
      </c>
      <c r="P658" s="171">
        <v>109</v>
      </c>
      <c r="Q658" s="171">
        <v>100</v>
      </c>
      <c r="R658" s="171">
        <v>96.820000000000007</v>
      </c>
      <c r="S658" s="171">
        <v>87.28</v>
      </c>
      <c r="T658" s="171">
        <v>91.08</v>
      </c>
      <c r="U658" s="171">
        <v>119</v>
      </c>
      <c r="V658" s="171">
        <v>145.79</v>
      </c>
      <c r="W658" s="171">
        <v>124</v>
      </c>
      <c r="X658" s="171">
        <v>101.8</v>
      </c>
      <c r="Y658" s="171">
        <v>78.100000000000009</v>
      </c>
      <c r="Z658" s="171">
        <v>68.7</v>
      </c>
      <c r="AA658" s="171">
        <v>64.930000000000007</v>
      </c>
      <c r="AB658" s="171">
        <v>145.79</v>
      </c>
      <c r="AC658" s="171">
        <v>68.7</v>
      </c>
      <c r="AD658" s="171">
        <v>49.28</v>
      </c>
      <c r="AF658" s="171">
        <f t="shared" si="32"/>
        <v>2008</v>
      </c>
      <c r="AG658" s="171">
        <f t="shared" si="33"/>
        <v>3</v>
      </c>
      <c r="AH658" s="700">
        <f>SUMIF(D$3:$AA658,"&lt;="&amp;$AH$1)/COUNTIF(D$3:$AA658,"&lt;="&amp;$AH$1)</f>
        <v>28.607243502051929</v>
      </c>
    </row>
    <row r="659" spans="2:34" x14ac:dyDescent="0.25">
      <c r="B659" s="910">
        <v>39749</v>
      </c>
      <c r="C659" s="581">
        <f t="shared" si="31"/>
        <v>10</v>
      </c>
      <c r="D659" s="171">
        <v>58</v>
      </c>
      <c r="E659" s="171">
        <v>51.75</v>
      </c>
      <c r="F659" s="171">
        <v>45</v>
      </c>
      <c r="G659" s="171">
        <v>44.29</v>
      </c>
      <c r="H659" s="171">
        <v>46.78</v>
      </c>
      <c r="I659" s="171">
        <v>58.7</v>
      </c>
      <c r="J659" s="171">
        <v>87.99</v>
      </c>
      <c r="K659" s="171">
        <v>117.71000000000001</v>
      </c>
      <c r="L659" s="171">
        <v>117.56</v>
      </c>
      <c r="M659" s="171">
        <v>121.52</v>
      </c>
      <c r="N659" s="171">
        <v>128.09</v>
      </c>
      <c r="O659" s="171">
        <v>132.53</v>
      </c>
      <c r="P659" s="171">
        <v>126.13000000000001</v>
      </c>
      <c r="Q659" s="171">
        <v>120.78</v>
      </c>
      <c r="R659" s="171">
        <v>120.7</v>
      </c>
      <c r="S659" s="171">
        <v>117.22</v>
      </c>
      <c r="T659" s="171">
        <v>120.86</v>
      </c>
      <c r="U659" s="171">
        <v>146.05000000000001</v>
      </c>
      <c r="V659" s="171">
        <v>195.33</v>
      </c>
      <c r="W659" s="171">
        <v>150</v>
      </c>
      <c r="X659" s="171">
        <v>113.38</v>
      </c>
      <c r="Y659" s="171">
        <v>84.22</v>
      </c>
      <c r="Z659" s="171">
        <v>72.7</v>
      </c>
      <c r="AA659" s="171">
        <v>63</v>
      </c>
      <c r="AB659" s="171">
        <v>195.33</v>
      </c>
      <c r="AC659" s="171">
        <v>72.7</v>
      </c>
      <c r="AD659" s="171">
        <v>56.94</v>
      </c>
      <c r="AF659" s="171">
        <f t="shared" si="32"/>
        <v>2008</v>
      </c>
      <c r="AG659" s="171">
        <f t="shared" si="33"/>
        <v>0</v>
      </c>
      <c r="AH659" s="700">
        <f>SUMIF(D$3:$AA659,"&lt;="&amp;$AH$1)/COUNTIF(D$3:$AA659,"&lt;="&amp;$AH$1)</f>
        <v>28.607243502051929</v>
      </c>
    </row>
    <row r="660" spans="2:34" x14ac:dyDescent="0.25">
      <c r="B660" s="910">
        <v>39750</v>
      </c>
      <c r="C660" s="581">
        <f t="shared" si="31"/>
        <v>10</v>
      </c>
      <c r="D660" s="171">
        <v>65</v>
      </c>
      <c r="E660" s="171">
        <v>57.99</v>
      </c>
      <c r="F660" s="171">
        <v>50.03</v>
      </c>
      <c r="G660" s="171">
        <v>46.36</v>
      </c>
      <c r="H660" s="171">
        <v>46.62</v>
      </c>
      <c r="I660" s="171">
        <v>53</v>
      </c>
      <c r="J660" s="171">
        <v>76.260000000000005</v>
      </c>
      <c r="K660" s="171">
        <v>114.79</v>
      </c>
      <c r="L660" s="171">
        <v>118.09</v>
      </c>
      <c r="M660" s="171">
        <v>117</v>
      </c>
      <c r="N660" s="171">
        <v>121</v>
      </c>
      <c r="O660" s="171">
        <v>123.43</v>
      </c>
      <c r="P660" s="171">
        <v>118</v>
      </c>
      <c r="Q660" s="171">
        <v>120.01</v>
      </c>
      <c r="R660" s="171">
        <v>119.11</v>
      </c>
      <c r="S660" s="171">
        <v>115.27</v>
      </c>
      <c r="T660" s="171">
        <v>120</v>
      </c>
      <c r="U660" s="171">
        <v>153.33000000000001</v>
      </c>
      <c r="V660" s="171">
        <v>179</v>
      </c>
      <c r="W660" s="171">
        <v>152.86000000000001</v>
      </c>
      <c r="X660" s="171">
        <v>118.03</v>
      </c>
      <c r="Y660" s="171">
        <v>78</v>
      </c>
      <c r="Z660" s="171">
        <v>71</v>
      </c>
      <c r="AA660" s="171">
        <v>64</v>
      </c>
      <c r="AB660" s="171">
        <v>179</v>
      </c>
      <c r="AC660" s="171">
        <v>71</v>
      </c>
      <c r="AD660" s="171">
        <v>57.410000000000004</v>
      </c>
      <c r="AF660" s="171">
        <f t="shared" si="32"/>
        <v>2008</v>
      </c>
      <c r="AG660" s="171">
        <f t="shared" si="33"/>
        <v>0</v>
      </c>
      <c r="AH660" s="700">
        <f>SUMIF(D$3:$AA660,"&lt;="&amp;$AH$1)/COUNTIF(D$3:$AA660,"&lt;="&amp;$AH$1)</f>
        <v>28.607243502051929</v>
      </c>
    </row>
    <row r="661" spans="2:34" x14ac:dyDescent="0.25">
      <c r="B661" s="910">
        <v>39751</v>
      </c>
      <c r="C661" s="581">
        <f t="shared" si="31"/>
        <v>10</v>
      </c>
      <c r="D661" s="171">
        <v>59.85</v>
      </c>
      <c r="E661" s="171">
        <v>53.01</v>
      </c>
      <c r="F661" s="171">
        <v>47.46</v>
      </c>
      <c r="G661" s="171">
        <v>41</v>
      </c>
      <c r="H661" s="171">
        <v>42.97</v>
      </c>
      <c r="I661" s="171">
        <v>54</v>
      </c>
      <c r="J661" s="171">
        <v>80</v>
      </c>
      <c r="K661" s="171">
        <v>113.35000000000001</v>
      </c>
      <c r="L661" s="171">
        <v>119.54</v>
      </c>
      <c r="M661" s="171">
        <v>120.01</v>
      </c>
      <c r="N661" s="171">
        <v>119.38</v>
      </c>
      <c r="O661" s="171">
        <v>120.86</v>
      </c>
      <c r="P661" s="171">
        <v>117.73</v>
      </c>
      <c r="Q661" s="171">
        <v>117.5</v>
      </c>
      <c r="R661" s="171">
        <v>115.92</v>
      </c>
      <c r="S661" s="171">
        <v>110.33</v>
      </c>
      <c r="T661" s="171">
        <v>110.64</v>
      </c>
      <c r="U661" s="171">
        <v>125.06</v>
      </c>
      <c r="V661" s="171">
        <v>141.44</v>
      </c>
      <c r="W661" s="171">
        <v>132.34</v>
      </c>
      <c r="X661" s="171">
        <v>102.36</v>
      </c>
      <c r="Y661" s="171">
        <v>78</v>
      </c>
      <c r="Z661" s="171">
        <v>70</v>
      </c>
      <c r="AA661" s="171">
        <v>65</v>
      </c>
      <c r="AB661" s="171">
        <v>141.44</v>
      </c>
      <c r="AC661" s="171">
        <v>70</v>
      </c>
      <c r="AD661" s="171">
        <v>55.410000000000004</v>
      </c>
      <c r="AF661" s="171">
        <f t="shared" si="32"/>
        <v>2008</v>
      </c>
      <c r="AG661" s="171">
        <f t="shared" si="33"/>
        <v>1</v>
      </c>
      <c r="AH661" s="700">
        <f>SUMIF(D$3:$AA661,"&lt;="&amp;$AH$1)/COUNTIF(D$3:$AA661,"&lt;="&amp;$AH$1)</f>
        <v>28.609362284151082</v>
      </c>
    </row>
    <row r="662" spans="2:34" x14ac:dyDescent="0.25">
      <c r="B662" s="910">
        <v>39752</v>
      </c>
      <c r="C662" s="581">
        <f t="shared" si="31"/>
        <v>10</v>
      </c>
      <c r="D662" s="171">
        <v>60</v>
      </c>
      <c r="E662" s="171">
        <v>56.95</v>
      </c>
      <c r="F662" s="171">
        <v>52</v>
      </c>
      <c r="G662" s="171">
        <v>48</v>
      </c>
      <c r="H662" s="171">
        <v>48.2</v>
      </c>
      <c r="I662" s="171">
        <v>58</v>
      </c>
      <c r="J662" s="171">
        <v>73.41</v>
      </c>
      <c r="K662" s="171">
        <v>101.25</v>
      </c>
      <c r="L662" s="171">
        <v>117.19</v>
      </c>
      <c r="M662" s="171">
        <v>121.01</v>
      </c>
      <c r="N662" s="171">
        <v>120.35000000000001</v>
      </c>
      <c r="O662" s="171">
        <v>122.5</v>
      </c>
      <c r="P662" s="171">
        <v>114</v>
      </c>
      <c r="Q662" s="171">
        <v>105</v>
      </c>
      <c r="R662" s="171">
        <v>104.93</v>
      </c>
      <c r="S662" s="171">
        <v>94.600000000000009</v>
      </c>
      <c r="T662" s="171">
        <v>91</v>
      </c>
      <c r="U662" s="171">
        <v>110</v>
      </c>
      <c r="V662" s="171">
        <v>120.14</v>
      </c>
      <c r="W662" s="171">
        <v>105.03</v>
      </c>
      <c r="X662" s="171">
        <v>92</v>
      </c>
      <c r="Y662" s="171">
        <v>69.900000000000006</v>
      </c>
      <c r="Z662" s="171">
        <v>64.5</v>
      </c>
      <c r="AA662" s="171">
        <v>60</v>
      </c>
      <c r="AB662" s="171">
        <v>122.5</v>
      </c>
      <c r="AC662" s="171">
        <v>64.5</v>
      </c>
      <c r="AD662" s="171">
        <v>57.07</v>
      </c>
      <c r="AF662" s="171">
        <f t="shared" si="32"/>
        <v>2008</v>
      </c>
      <c r="AG662" s="171">
        <f t="shared" si="33"/>
        <v>0</v>
      </c>
      <c r="AH662" s="700">
        <f>SUMIF(D$3:$AA662,"&lt;="&amp;$AH$1)/COUNTIF(D$3:$AA662,"&lt;="&amp;$AH$1)</f>
        <v>28.609362284151082</v>
      </c>
    </row>
    <row r="663" spans="2:34" x14ac:dyDescent="0.25">
      <c r="B663" s="910">
        <v>39755</v>
      </c>
      <c r="C663" s="581">
        <f t="shared" si="31"/>
        <v>11</v>
      </c>
      <c r="D663" s="171">
        <v>44.81</v>
      </c>
      <c r="E663" s="171">
        <v>35.4</v>
      </c>
      <c r="F663" s="171">
        <v>38</v>
      </c>
      <c r="G663" s="171">
        <v>37.89</v>
      </c>
      <c r="H663" s="171">
        <v>38.99</v>
      </c>
      <c r="I663" s="171">
        <v>35.020000000000003</v>
      </c>
      <c r="J663" s="171">
        <v>51</v>
      </c>
      <c r="K663" s="171">
        <v>85.2</v>
      </c>
      <c r="L663" s="171">
        <v>97</v>
      </c>
      <c r="M663" s="171">
        <v>97.53</v>
      </c>
      <c r="N663" s="171">
        <v>98.990000000000009</v>
      </c>
      <c r="O663" s="171">
        <v>102.48</v>
      </c>
      <c r="P663" s="171">
        <v>99.960000000000008</v>
      </c>
      <c r="Q663" s="171">
        <v>94.9</v>
      </c>
      <c r="R663" s="171">
        <v>95.2</v>
      </c>
      <c r="S663" s="171">
        <v>84.93</v>
      </c>
      <c r="T663" s="171">
        <v>86.4</v>
      </c>
      <c r="U663" s="171">
        <v>123</v>
      </c>
      <c r="V663" s="171">
        <v>125.26</v>
      </c>
      <c r="W663" s="171">
        <v>102.45</v>
      </c>
      <c r="X663" s="171">
        <v>85</v>
      </c>
      <c r="Y663" s="171">
        <v>69.19</v>
      </c>
      <c r="Z663" s="171">
        <v>66.710000000000008</v>
      </c>
      <c r="AA663" s="171">
        <v>59.32</v>
      </c>
      <c r="AB663" s="171">
        <v>125.26</v>
      </c>
      <c r="AC663" s="171">
        <v>66.710000000000008</v>
      </c>
      <c r="AD663" s="171">
        <v>42.550000000000004</v>
      </c>
      <c r="AF663" s="171">
        <f t="shared" si="32"/>
        <v>2008</v>
      </c>
      <c r="AG663" s="171">
        <f t="shared" si="33"/>
        <v>5</v>
      </c>
      <c r="AH663" s="700">
        <f>SUMIF(D$3:$AA663,"&lt;="&amp;$AH$1)/COUNTIF(D$3:$AA663,"&lt;="&amp;$AH$1)</f>
        <v>28.616580116159835</v>
      </c>
    </row>
    <row r="664" spans="2:34" x14ac:dyDescent="0.25">
      <c r="B664" s="910">
        <v>39756</v>
      </c>
      <c r="C664" s="581">
        <f t="shared" si="31"/>
        <v>11</v>
      </c>
      <c r="D664" s="171">
        <v>47.67</v>
      </c>
      <c r="E664" s="171">
        <v>42.76</v>
      </c>
      <c r="F664" s="171">
        <v>44.88</v>
      </c>
      <c r="G664" s="171">
        <v>39.39</v>
      </c>
      <c r="H664" s="171">
        <v>39.03</v>
      </c>
      <c r="I664" s="171">
        <v>45.99</v>
      </c>
      <c r="J664" s="171">
        <v>64.430000000000007</v>
      </c>
      <c r="K664" s="171">
        <v>98.490000000000009</v>
      </c>
      <c r="L664" s="171">
        <v>104.32000000000001</v>
      </c>
      <c r="M664" s="171">
        <v>109.31</v>
      </c>
      <c r="N664" s="171">
        <v>108.12</v>
      </c>
      <c r="O664" s="171">
        <v>113.63</v>
      </c>
      <c r="P664" s="171">
        <v>109</v>
      </c>
      <c r="Q664" s="171">
        <v>102.44</v>
      </c>
      <c r="R664" s="171">
        <v>100</v>
      </c>
      <c r="S664" s="171">
        <v>95.76</v>
      </c>
      <c r="T664" s="171">
        <v>97</v>
      </c>
      <c r="U664" s="171">
        <v>116.14</v>
      </c>
      <c r="V664" s="171">
        <v>150.14000000000001</v>
      </c>
      <c r="W664" s="171">
        <v>119.09</v>
      </c>
      <c r="X664" s="171">
        <v>92.12</v>
      </c>
      <c r="Y664" s="171">
        <v>69</v>
      </c>
      <c r="Z664" s="171">
        <v>64.599999999999994</v>
      </c>
      <c r="AA664" s="171">
        <v>55.46</v>
      </c>
      <c r="AB664" s="171">
        <v>150.14000000000001</v>
      </c>
      <c r="AC664" s="171">
        <v>64.599999999999994</v>
      </c>
      <c r="AD664" s="171">
        <v>47.45</v>
      </c>
      <c r="AF664" s="171">
        <f t="shared" si="32"/>
        <v>2008</v>
      </c>
      <c r="AG664" s="171">
        <f t="shared" si="33"/>
        <v>2</v>
      </c>
      <c r="AH664" s="700">
        <f>SUMIF(D$3:$AA664,"&lt;="&amp;$AH$1)/COUNTIF(D$3:$AA664,"&lt;="&amp;$AH$1)</f>
        <v>28.620198087431639</v>
      </c>
    </row>
    <row r="665" spans="2:34" x14ac:dyDescent="0.25">
      <c r="B665" s="910">
        <v>39757</v>
      </c>
      <c r="C665" s="581">
        <f t="shared" si="31"/>
        <v>11</v>
      </c>
      <c r="D665" s="171">
        <v>40.130000000000003</v>
      </c>
      <c r="E665" s="171">
        <v>30.970000000000002</v>
      </c>
      <c r="F665" s="171">
        <v>22</v>
      </c>
      <c r="G665" s="171">
        <v>20</v>
      </c>
      <c r="H665" s="171">
        <v>20</v>
      </c>
      <c r="I665" s="171">
        <v>32.99</v>
      </c>
      <c r="J665" s="171">
        <v>56</v>
      </c>
      <c r="K665" s="171">
        <v>72.36</v>
      </c>
      <c r="L665" s="171">
        <v>88.94</v>
      </c>
      <c r="M665" s="171">
        <v>94</v>
      </c>
      <c r="N665" s="171">
        <v>96</v>
      </c>
      <c r="O665" s="171">
        <v>98.06</v>
      </c>
      <c r="P665" s="171">
        <v>92.14</v>
      </c>
      <c r="Q665" s="171">
        <v>91.41</v>
      </c>
      <c r="R665" s="171">
        <v>92.94</v>
      </c>
      <c r="S665" s="171">
        <v>87.22</v>
      </c>
      <c r="T665" s="171">
        <v>89</v>
      </c>
      <c r="U665" s="171">
        <v>105.01</v>
      </c>
      <c r="V665" s="171">
        <v>119</v>
      </c>
      <c r="W665" s="171">
        <v>100.7</v>
      </c>
      <c r="X665" s="171">
        <v>85.19</v>
      </c>
      <c r="Y665" s="171">
        <v>67.03</v>
      </c>
      <c r="Z665" s="171">
        <v>60</v>
      </c>
      <c r="AA665" s="171">
        <v>60</v>
      </c>
      <c r="AB665" s="171">
        <v>119</v>
      </c>
      <c r="AC665" s="171">
        <v>60</v>
      </c>
      <c r="AD665" s="171">
        <v>35.26</v>
      </c>
      <c r="AF665" s="171">
        <f t="shared" si="32"/>
        <v>2008</v>
      </c>
      <c r="AG665" s="171">
        <f t="shared" si="33"/>
        <v>6</v>
      </c>
      <c r="AH665" s="700">
        <f>SUMIF(D$3:$AA665,"&lt;="&amp;$AH$1)/COUNTIF(D$3:$AA665,"&lt;="&amp;$AH$1)</f>
        <v>28.619237461617143</v>
      </c>
    </row>
    <row r="666" spans="2:34" x14ac:dyDescent="0.25">
      <c r="B666" s="910">
        <v>39758</v>
      </c>
      <c r="C666" s="581">
        <f t="shared" si="31"/>
        <v>11</v>
      </c>
      <c r="D666" s="171">
        <v>51.04</v>
      </c>
      <c r="E666" s="171">
        <v>47</v>
      </c>
      <c r="F666" s="171">
        <v>42.1</v>
      </c>
      <c r="G666" s="171">
        <v>34.46</v>
      </c>
      <c r="H666" s="171">
        <v>36</v>
      </c>
      <c r="I666" s="171">
        <v>49.67</v>
      </c>
      <c r="J666" s="171">
        <v>63.01</v>
      </c>
      <c r="K666" s="171">
        <v>84.74</v>
      </c>
      <c r="L666" s="171">
        <v>93.43</v>
      </c>
      <c r="M666" s="171">
        <v>94.93</v>
      </c>
      <c r="N666" s="171">
        <v>98.23</v>
      </c>
      <c r="O666" s="171">
        <v>104.97</v>
      </c>
      <c r="P666" s="171">
        <v>95.59</v>
      </c>
      <c r="Q666" s="171">
        <v>93.23</v>
      </c>
      <c r="R666" s="171">
        <v>93.49</v>
      </c>
      <c r="S666" s="171">
        <v>89.97</v>
      </c>
      <c r="T666" s="171">
        <v>93.05</v>
      </c>
      <c r="U666" s="171">
        <v>113.04</v>
      </c>
      <c r="V666" s="171">
        <v>135</v>
      </c>
      <c r="W666" s="171">
        <v>106.52</v>
      </c>
      <c r="X666" s="171">
        <v>96.02</v>
      </c>
      <c r="Y666" s="171">
        <v>75.260000000000005</v>
      </c>
      <c r="Z666" s="171">
        <v>69</v>
      </c>
      <c r="AA666" s="171">
        <v>60</v>
      </c>
      <c r="AB666" s="171">
        <v>135</v>
      </c>
      <c r="AC666" s="171">
        <v>69</v>
      </c>
      <c r="AD666" s="171">
        <v>47.910000000000004</v>
      </c>
      <c r="AF666" s="171">
        <f t="shared" si="32"/>
        <v>2008</v>
      </c>
      <c r="AG666" s="171">
        <f t="shared" si="33"/>
        <v>3</v>
      </c>
      <c r="AH666" s="700">
        <f>SUMIF(D$3:$AA666,"&lt;="&amp;$AH$1)/COUNTIF(D$3:$AA666,"&lt;="&amp;$AH$1)</f>
        <v>28.623790281329867</v>
      </c>
    </row>
    <row r="667" spans="2:34" x14ac:dyDescent="0.25">
      <c r="B667" s="910">
        <v>39759</v>
      </c>
      <c r="C667" s="581">
        <f t="shared" si="31"/>
        <v>11</v>
      </c>
      <c r="D667" s="171">
        <v>53.08</v>
      </c>
      <c r="E667" s="171">
        <v>46.06</v>
      </c>
      <c r="F667" s="171">
        <v>43</v>
      </c>
      <c r="G667" s="171">
        <v>38.69</v>
      </c>
      <c r="H667" s="171">
        <v>39.92</v>
      </c>
      <c r="I667" s="171">
        <v>48.72</v>
      </c>
      <c r="J667" s="171">
        <v>63.82</v>
      </c>
      <c r="K667" s="171">
        <v>91.25</v>
      </c>
      <c r="L667" s="171">
        <v>96.5</v>
      </c>
      <c r="M667" s="171">
        <v>97.38</v>
      </c>
      <c r="N667" s="171">
        <v>100</v>
      </c>
      <c r="O667" s="171">
        <v>98.03</v>
      </c>
      <c r="P667" s="171">
        <v>92.05</v>
      </c>
      <c r="Q667" s="171">
        <v>92.74</v>
      </c>
      <c r="R667" s="171">
        <v>88.28</v>
      </c>
      <c r="S667" s="171">
        <v>79.8</v>
      </c>
      <c r="T667" s="171">
        <v>87.960000000000008</v>
      </c>
      <c r="U667" s="171">
        <v>109.5</v>
      </c>
      <c r="V667" s="171">
        <v>117.85000000000001</v>
      </c>
      <c r="W667" s="171">
        <v>101.72</v>
      </c>
      <c r="X667" s="171">
        <v>82.42</v>
      </c>
      <c r="Y667" s="171">
        <v>64.97</v>
      </c>
      <c r="Z667" s="171">
        <v>65</v>
      </c>
      <c r="AA667" s="171">
        <v>54.88</v>
      </c>
      <c r="AB667" s="171">
        <v>117.85000000000001</v>
      </c>
      <c r="AC667" s="171">
        <v>64.97</v>
      </c>
      <c r="AD667" s="171">
        <v>48.52</v>
      </c>
      <c r="AF667" s="171">
        <f t="shared" si="32"/>
        <v>2008</v>
      </c>
      <c r="AG667" s="171">
        <f t="shared" si="33"/>
        <v>2</v>
      </c>
      <c r="AH667" s="700">
        <f>SUMIF(D$3:$AA667,"&lt;="&amp;$AH$1)/COUNTIF(D$3:$AA667,"&lt;="&amp;$AH$1)</f>
        <v>28.627431395943361</v>
      </c>
    </row>
    <row r="668" spans="2:34" x14ac:dyDescent="0.25">
      <c r="B668" s="910">
        <v>39762</v>
      </c>
      <c r="C668" s="581">
        <f t="shared" si="31"/>
        <v>11</v>
      </c>
      <c r="D668" s="171">
        <v>36.17</v>
      </c>
      <c r="E668" s="171">
        <v>25.52</v>
      </c>
      <c r="F668" s="171">
        <v>13.9</v>
      </c>
      <c r="G668" s="171">
        <v>8.01</v>
      </c>
      <c r="H668" s="171">
        <v>8.84</v>
      </c>
      <c r="I668" s="171">
        <v>8.89</v>
      </c>
      <c r="J668" s="171">
        <v>28.060000000000002</v>
      </c>
      <c r="K668" s="171">
        <v>49.910000000000004</v>
      </c>
      <c r="L668" s="171">
        <v>69</v>
      </c>
      <c r="M668" s="171">
        <v>69.44</v>
      </c>
      <c r="N668" s="171">
        <v>63.53</v>
      </c>
      <c r="O668" s="171">
        <v>67.06</v>
      </c>
      <c r="P668" s="171">
        <v>67.59</v>
      </c>
      <c r="Q668" s="171">
        <v>65.3</v>
      </c>
      <c r="R668" s="171">
        <v>61.25</v>
      </c>
      <c r="S668" s="171">
        <v>58.910000000000004</v>
      </c>
      <c r="T668" s="171">
        <v>57.17</v>
      </c>
      <c r="U668" s="171">
        <v>75.239999999999995</v>
      </c>
      <c r="V668" s="171">
        <v>82.64</v>
      </c>
      <c r="W668" s="171">
        <v>76.900000000000006</v>
      </c>
      <c r="X668" s="171">
        <v>60.1</v>
      </c>
      <c r="Y668" s="171">
        <v>49.84</v>
      </c>
      <c r="Z668" s="171">
        <v>51.07</v>
      </c>
      <c r="AA668" s="171">
        <v>50.19</v>
      </c>
      <c r="AB668" s="171">
        <v>82.64</v>
      </c>
      <c r="AC668" s="171">
        <v>49.84</v>
      </c>
      <c r="AD668" s="171">
        <v>22.45</v>
      </c>
      <c r="AF668" s="171">
        <f t="shared" si="32"/>
        <v>2008</v>
      </c>
      <c r="AG668" s="171">
        <f t="shared" si="33"/>
        <v>7</v>
      </c>
      <c r="AH668" s="700">
        <f>SUMIF(D$3:$AA668,"&lt;="&amp;$AH$1)/COUNTIF(D$3:$AA668,"&lt;="&amp;$AH$1)</f>
        <v>28.615343888321366</v>
      </c>
    </row>
    <row r="669" spans="2:34" x14ac:dyDescent="0.25">
      <c r="B669" s="910">
        <v>39763</v>
      </c>
      <c r="C669" s="581">
        <f t="shared" si="31"/>
        <v>11</v>
      </c>
      <c r="D669" s="171">
        <v>19</v>
      </c>
      <c r="E669" s="171">
        <v>9.09</v>
      </c>
      <c r="F669" s="171">
        <v>9.07</v>
      </c>
      <c r="G669" s="171">
        <v>9.0500000000000007</v>
      </c>
      <c r="H669" s="171">
        <v>9.0400000000000009</v>
      </c>
      <c r="I669" s="171">
        <v>10.25</v>
      </c>
      <c r="J669" s="171">
        <v>45</v>
      </c>
      <c r="K669" s="171">
        <v>51.27</v>
      </c>
      <c r="L669" s="171">
        <v>52</v>
      </c>
      <c r="M669" s="171">
        <v>59.96</v>
      </c>
      <c r="N669" s="171">
        <v>67.09</v>
      </c>
      <c r="O669" s="171">
        <v>62.86</v>
      </c>
      <c r="P669" s="171">
        <v>70.3</v>
      </c>
      <c r="Q669" s="171">
        <v>65.010000000000005</v>
      </c>
      <c r="R669" s="171">
        <v>56.79</v>
      </c>
      <c r="S669" s="171">
        <v>52</v>
      </c>
      <c r="T669" s="171">
        <v>55</v>
      </c>
      <c r="U669" s="171">
        <v>80</v>
      </c>
      <c r="V669" s="171">
        <v>82.74</v>
      </c>
      <c r="W669" s="171">
        <v>78.83</v>
      </c>
      <c r="X669" s="171">
        <v>78.3</v>
      </c>
      <c r="Y669" s="171">
        <v>69.070000000000007</v>
      </c>
      <c r="Z669" s="171">
        <v>59.870000000000005</v>
      </c>
      <c r="AA669" s="171">
        <v>52</v>
      </c>
      <c r="AB669" s="171">
        <v>82.74</v>
      </c>
      <c r="AC669" s="171">
        <v>51.27</v>
      </c>
      <c r="AD669" s="171">
        <v>20.309999999999999</v>
      </c>
      <c r="AF669" s="171">
        <f t="shared" si="32"/>
        <v>2008</v>
      </c>
      <c r="AG669" s="171">
        <f t="shared" si="33"/>
        <v>6</v>
      </c>
      <c r="AH669" s="700">
        <f>SUMIF(D$3:$AA669,"&lt;="&amp;$AH$1)/COUNTIF(D$3:$AA669,"&lt;="&amp;$AH$1)</f>
        <v>28.597284013605393</v>
      </c>
    </row>
    <row r="670" spans="2:34" x14ac:dyDescent="0.25">
      <c r="B670" s="910">
        <v>39764</v>
      </c>
      <c r="C670" s="581">
        <f t="shared" si="31"/>
        <v>11</v>
      </c>
      <c r="D670" s="171">
        <v>47</v>
      </c>
      <c r="E670" s="171">
        <v>37.550000000000004</v>
      </c>
      <c r="F670" s="171">
        <v>31.85</v>
      </c>
      <c r="G670" s="171">
        <v>29.48</v>
      </c>
      <c r="H670" s="171">
        <v>33.76</v>
      </c>
      <c r="I670" s="171">
        <v>48.4</v>
      </c>
      <c r="J670" s="171">
        <v>64.77</v>
      </c>
      <c r="K670" s="171">
        <v>92.44</v>
      </c>
      <c r="L670" s="171">
        <v>89.5</v>
      </c>
      <c r="M670" s="171">
        <v>89.99</v>
      </c>
      <c r="N670" s="171">
        <v>90</v>
      </c>
      <c r="O670" s="171">
        <v>91.53</v>
      </c>
      <c r="P670" s="171">
        <v>87.08</v>
      </c>
      <c r="Q670" s="171">
        <v>89.38</v>
      </c>
      <c r="R670" s="171">
        <v>86.69</v>
      </c>
      <c r="S670" s="171">
        <v>85</v>
      </c>
      <c r="T670" s="171">
        <v>91.3</v>
      </c>
      <c r="U670" s="171">
        <v>115</v>
      </c>
      <c r="V670" s="171">
        <v>125.92</v>
      </c>
      <c r="W670" s="171">
        <v>108.8</v>
      </c>
      <c r="X670" s="171">
        <v>93.93</v>
      </c>
      <c r="Y670" s="171">
        <v>80</v>
      </c>
      <c r="Z670" s="171">
        <v>66.290000000000006</v>
      </c>
      <c r="AA670" s="171">
        <v>59</v>
      </c>
      <c r="AB670" s="171">
        <v>125.92</v>
      </c>
      <c r="AC670" s="171">
        <v>66.290000000000006</v>
      </c>
      <c r="AD670" s="171">
        <v>43.980000000000004</v>
      </c>
      <c r="AF670" s="171">
        <f t="shared" si="32"/>
        <v>2008</v>
      </c>
      <c r="AG670" s="171">
        <f t="shared" si="33"/>
        <v>4</v>
      </c>
      <c r="AH670" s="700">
        <f>SUMIF(D$3:$AA670,"&lt;="&amp;$AH$1)/COUNTIF(D$3:$AA670,"&lt;="&amp;$AH$1)</f>
        <v>28.600385791978198</v>
      </c>
    </row>
    <row r="671" spans="2:34" x14ac:dyDescent="0.25">
      <c r="B671" s="910">
        <v>39765</v>
      </c>
      <c r="C671" s="581">
        <f t="shared" si="31"/>
        <v>11</v>
      </c>
      <c r="D671" s="171">
        <v>55.81</v>
      </c>
      <c r="E671" s="171">
        <v>53.79</v>
      </c>
      <c r="F671" s="171">
        <v>48</v>
      </c>
      <c r="G671" s="171">
        <v>43.85</v>
      </c>
      <c r="H671" s="171">
        <v>43.5</v>
      </c>
      <c r="I671" s="171">
        <v>56.19</v>
      </c>
      <c r="J671" s="171">
        <v>69</v>
      </c>
      <c r="K671" s="171">
        <v>94.48</v>
      </c>
      <c r="L671" s="171">
        <v>93</v>
      </c>
      <c r="M671" s="171">
        <v>92.2</v>
      </c>
      <c r="N671" s="171">
        <v>94.3</v>
      </c>
      <c r="O671" s="171">
        <v>99</v>
      </c>
      <c r="P671" s="171">
        <v>92</v>
      </c>
      <c r="Q671" s="171">
        <v>92</v>
      </c>
      <c r="R671" s="171">
        <v>87.04</v>
      </c>
      <c r="S671" s="171">
        <v>84.100000000000009</v>
      </c>
      <c r="T671" s="171">
        <v>94.38</v>
      </c>
      <c r="U671" s="171">
        <v>112.01</v>
      </c>
      <c r="V671" s="171">
        <v>127.44</v>
      </c>
      <c r="W671" s="171">
        <v>107.86</v>
      </c>
      <c r="X671" s="171">
        <v>99</v>
      </c>
      <c r="Y671" s="171">
        <v>78</v>
      </c>
      <c r="Z671" s="171">
        <v>65</v>
      </c>
      <c r="AA671" s="171">
        <v>57</v>
      </c>
      <c r="AB671" s="171">
        <v>127.44</v>
      </c>
      <c r="AC671" s="171">
        <v>65</v>
      </c>
      <c r="AD671" s="171">
        <v>53.39</v>
      </c>
      <c r="AF671" s="171">
        <f t="shared" si="32"/>
        <v>2008</v>
      </c>
      <c r="AG671" s="171">
        <f t="shared" si="33"/>
        <v>0</v>
      </c>
      <c r="AH671" s="700">
        <f>SUMIF(D$3:$AA671,"&lt;="&amp;$AH$1)/COUNTIF(D$3:$AA671,"&lt;="&amp;$AH$1)</f>
        <v>28.600385791978198</v>
      </c>
    </row>
    <row r="672" spans="2:34" x14ac:dyDescent="0.25">
      <c r="B672" s="910">
        <v>39766</v>
      </c>
      <c r="C672" s="581">
        <f t="shared" si="31"/>
        <v>11</v>
      </c>
      <c r="D672" s="171">
        <v>56.34</v>
      </c>
      <c r="E672" s="171">
        <v>50.5</v>
      </c>
      <c r="F672" s="171">
        <v>45.5</v>
      </c>
      <c r="G672" s="171">
        <v>41.92</v>
      </c>
      <c r="H672" s="171">
        <v>42.04</v>
      </c>
      <c r="I672" s="171">
        <v>51.21</v>
      </c>
      <c r="J672" s="171">
        <v>65</v>
      </c>
      <c r="K672" s="171">
        <v>89.2</v>
      </c>
      <c r="L672" s="171">
        <v>88.95</v>
      </c>
      <c r="M672" s="171">
        <v>87.43</v>
      </c>
      <c r="N672" s="171">
        <v>86.94</v>
      </c>
      <c r="O672" s="171">
        <v>92</v>
      </c>
      <c r="P672" s="171">
        <v>89.210000000000008</v>
      </c>
      <c r="Q672" s="171">
        <v>90.65</v>
      </c>
      <c r="R672" s="171">
        <v>87.56</v>
      </c>
      <c r="S672" s="171">
        <v>79.930000000000007</v>
      </c>
      <c r="T672" s="171">
        <v>77</v>
      </c>
      <c r="U672" s="171">
        <v>89.89</v>
      </c>
      <c r="V672" s="171">
        <v>101.2</v>
      </c>
      <c r="W672" s="171">
        <v>85</v>
      </c>
      <c r="X672" s="171">
        <v>80.97</v>
      </c>
      <c r="Y672" s="171">
        <v>62.35</v>
      </c>
      <c r="Z672" s="171">
        <v>55</v>
      </c>
      <c r="AA672" s="171">
        <v>51.77</v>
      </c>
      <c r="AB672" s="171">
        <v>101.2</v>
      </c>
      <c r="AC672" s="171">
        <v>55</v>
      </c>
      <c r="AD672" s="171">
        <v>50.53</v>
      </c>
      <c r="AF672" s="171">
        <f t="shared" si="32"/>
        <v>2008</v>
      </c>
      <c r="AG672" s="171">
        <f t="shared" si="33"/>
        <v>2</v>
      </c>
      <c r="AH672" s="700">
        <f>SUMIF(D$3:$AA672,"&lt;="&amp;$AH$1)/COUNTIF(D$3:$AA672,"&lt;="&amp;$AH$1)</f>
        <v>28.604932042133832</v>
      </c>
    </row>
    <row r="673" spans="2:34" x14ac:dyDescent="0.25">
      <c r="B673" s="910">
        <v>39769</v>
      </c>
      <c r="C673" s="581">
        <f t="shared" si="31"/>
        <v>11</v>
      </c>
      <c r="D673" s="171">
        <v>40.090000000000003</v>
      </c>
      <c r="E673" s="171">
        <v>28.47</v>
      </c>
      <c r="F673" s="171">
        <v>27.84</v>
      </c>
      <c r="G673" s="171">
        <v>17.87</v>
      </c>
      <c r="H673" s="171">
        <v>30.150000000000002</v>
      </c>
      <c r="I673" s="171">
        <v>34.270000000000003</v>
      </c>
      <c r="J673" s="171">
        <v>57</v>
      </c>
      <c r="K673" s="171">
        <v>85</v>
      </c>
      <c r="L673" s="171">
        <v>85</v>
      </c>
      <c r="M673" s="171">
        <v>87.37</v>
      </c>
      <c r="N673" s="171">
        <v>88.97</v>
      </c>
      <c r="O673" s="171">
        <v>91</v>
      </c>
      <c r="P673" s="171">
        <v>87.72</v>
      </c>
      <c r="Q673" s="171">
        <v>86.23</v>
      </c>
      <c r="R673" s="171">
        <v>83.49</v>
      </c>
      <c r="S673" s="171">
        <v>78.210000000000008</v>
      </c>
      <c r="T673" s="171">
        <v>90</v>
      </c>
      <c r="U673" s="171">
        <v>107.12</v>
      </c>
      <c r="V673" s="171">
        <v>108.32000000000001</v>
      </c>
      <c r="W673" s="171">
        <v>87</v>
      </c>
      <c r="X673" s="171">
        <v>80</v>
      </c>
      <c r="Y673" s="171">
        <v>64.33</v>
      </c>
      <c r="Z673" s="171">
        <v>56.61</v>
      </c>
      <c r="AA673" s="171">
        <v>46.27</v>
      </c>
      <c r="AB673" s="171">
        <v>108.32000000000001</v>
      </c>
      <c r="AC673" s="171">
        <v>56.61</v>
      </c>
      <c r="AD673" s="171">
        <v>35.24</v>
      </c>
      <c r="AF673" s="171">
        <f t="shared" si="32"/>
        <v>2008</v>
      </c>
      <c r="AG673" s="171">
        <f t="shared" si="33"/>
        <v>6</v>
      </c>
      <c r="AH673" s="700">
        <f>SUMIF(D$3:$AA673,"&lt;="&amp;$AH$1)/COUNTIF(D$3:$AA673,"&lt;="&amp;$AH$1)</f>
        <v>28.606130346232131</v>
      </c>
    </row>
    <row r="674" spans="2:34" x14ac:dyDescent="0.25">
      <c r="B674" s="910">
        <v>39770</v>
      </c>
      <c r="C674" s="581">
        <f t="shared" si="31"/>
        <v>11</v>
      </c>
      <c r="D674" s="171">
        <v>47.95</v>
      </c>
      <c r="E674" s="171">
        <v>42.52</v>
      </c>
      <c r="F674" s="171">
        <v>41.61</v>
      </c>
      <c r="G674" s="171">
        <v>37.130000000000003</v>
      </c>
      <c r="H674" s="171">
        <v>34.46</v>
      </c>
      <c r="I674" s="171">
        <v>49.01</v>
      </c>
      <c r="J674" s="171">
        <v>62.230000000000004</v>
      </c>
      <c r="K674" s="171">
        <v>85.25</v>
      </c>
      <c r="L674" s="171">
        <v>85.98</v>
      </c>
      <c r="M674" s="171">
        <v>87.01</v>
      </c>
      <c r="N674" s="171">
        <v>89.350000000000009</v>
      </c>
      <c r="O674" s="171">
        <v>90.33</v>
      </c>
      <c r="P674" s="171">
        <v>91.52</v>
      </c>
      <c r="Q674" s="171">
        <v>91</v>
      </c>
      <c r="R674" s="171">
        <v>89.320000000000007</v>
      </c>
      <c r="S674" s="171">
        <v>80.989999999999995</v>
      </c>
      <c r="T674" s="171">
        <v>90.02</v>
      </c>
      <c r="U674" s="171">
        <v>101.10000000000001</v>
      </c>
      <c r="V674" s="171">
        <v>100.4</v>
      </c>
      <c r="W674" s="171">
        <v>83</v>
      </c>
      <c r="X674" s="171">
        <v>75.680000000000007</v>
      </c>
      <c r="Y674" s="171">
        <v>55</v>
      </c>
      <c r="Z674" s="171">
        <v>53.29</v>
      </c>
      <c r="AA674" s="171">
        <v>52.300000000000004</v>
      </c>
      <c r="AB674" s="171">
        <v>101.10000000000001</v>
      </c>
      <c r="AC674" s="171">
        <v>53.29</v>
      </c>
      <c r="AD674" s="171">
        <v>45.9</v>
      </c>
      <c r="AF674" s="171">
        <f t="shared" si="32"/>
        <v>2008</v>
      </c>
      <c r="AG674" s="171">
        <f t="shared" si="33"/>
        <v>4</v>
      </c>
      <c r="AH674" s="700">
        <f>SUMIF(D$3:$AA674,"&lt;="&amp;$AH$1)/COUNTIF(D$3:$AA674,"&lt;="&amp;$AH$1)</f>
        <v>28.613134328358157</v>
      </c>
    </row>
    <row r="675" spans="2:34" x14ac:dyDescent="0.25">
      <c r="B675" s="910">
        <v>39771</v>
      </c>
      <c r="C675" s="581">
        <f t="shared" si="31"/>
        <v>11</v>
      </c>
      <c r="D675" s="171">
        <v>49.52</v>
      </c>
      <c r="E675" s="171">
        <v>47.9</v>
      </c>
      <c r="F675" s="171">
        <v>46</v>
      </c>
      <c r="G675" s="171">
        <v>34.17</v>
      </c>
      <c r="H675" s="171">
        <v>31.02</v>
      </c>
      <c r="I675" s="171">
        <v>42.69</v>
      </c>
      <c r="J675" s="171">
        <v>50.33</v>
      </c>
      <c r="K675" s="171">
        <v>71</v>
      </c>
      <c r="L675" s="171">
        <v>71.58</v>
      </c>
      <c r="M675" s="171">
        <v>83.09</v>
      </c>
      <c r="N675" s="171">
        <v>83.37</v>
      </c>
      <c r="O675" s="171">
        <v>84.600000000000009</v>
      </c>
      <c r="P675" s="171">
        <v>85.92</v>
      </c>
      <c r="Q675" s="171">
        <v>80.84</v>
      </c>
      <c r="R675" s="171">
        <v>80</v>
      </c>
      <c r="S675" s="171">
        <v>74.48</v>
      </c>
      <c r="T675" s="171">
        <v>77.25</v>
      </c>
      <c r="U675" s="171">
        <v>89.97</v>
      </c>
      <c r="V675" s="171">
        <v>105.15</v>
      </c>
      <c r="W675" s="171">
        <v>89.99</v>
      </c>
      <c r="X675" s="171">
        <v>80.989999999999995</v>
      </c>
      <c r="Y675" s="171">
        <v>61.45</v>
      </c>
      <c r="Z675" s="171">
        <v>53</v>
      </c>
      <c r="AA675" s="171">
        <v>53.39</v>
      </c>
      <c r="AB675" s="171">
        <v>105.15</v>
      </c>
      <c r="AC675" s="171">
        <v>53</v>
      </c>
      <c r="AD675" s="171">
        <v>44.38</v>
      </c>
      <c r="AF675" s="171">
        <f t="shared" si="32"/>
        <v>2008</v>
      </c>
      <c r="AG675" s="171">
        <f t="shared" si="33"/>
        <v>2</v>
      </c>
      <c r="AH675" s="700">
        <f>SUMIF(D$3:$AA675,"&lt;="&amp;$AH$1)/COUNTIF(D$3:$AA675,"&lt;="&amp;$AH$1)</f>
        <v>28.614484571040979</v>
      </c>
    </row>
    <row r="676" spans="2:34" x14ac:dyDescent="0.25">
      <c r="B676" s="910">
        <v>39772</v>
      </c>
      <c r="C676" s="581">
        <f t="shared" si="31"/>
        <v>11</v>
      </c>
      <c r="D676" s="171">
        <v>53.92</v>
      </c>
      <c r="E676" s="171">
        <v>55</v>
      </c>
      <c r="F676" s="171">
        <v>43.81</v>
      </c>
      <c r="G676" s="171">
        <v>32.270000000000003</v>
      </c>
      <c r="H676" s="171">
        <v>30</v>
      </c>
      <c r="I676" s="171">
        <v>30.98</v>
      </c>
      <c r="J676" s="171">
        <v>53</v>
      </c>
      <c r="K676" s="171">
        <v>65</v>
      </c>
      <c r="L676" s="171">
        <v>74.09</v>
      </c>
      <c r="M676" s="171">
        <v>75.87</v>
      </c>
      <c r="N676" s="171">
        <v>74.5</v>
      </c>
      <c r="O676" s="171">
        <v>76.989999999999995</v>
      </c>
      <c r="P676" s="171">
        <v>77.44</v>
      </c>
      <c r="Q676" s="171">
        <v>76.48</v>
      </c>
      <c r="R676" s="171">
        <v>74.5</v>
      </c>
      <c r="S676" s="171">
        <v>66.77</v>
      </c>
      <c r="T676" s="171">
        <v>76.989999999999995</v>
      </c>
      <c r="U676" s="171">
        <v>91.210000000000008</v>
      </c>
      <c r="V676" s="171">
        <v>95</v>
      </c>
      <c r="W676" s="171">
        <v>79.930000000000007</v>
      </c>
      <c r="X676" s="171">
        <v>73.25</v>
      </c>
      <c r="Y676" s="171">
        <v>56.120000000000005</v>
      </c>
      <c r="Z676" s="171">
        <v>48.58</v>
      </c>
      <c r="AA676" s="171">
        <v>53</v>
      </c>
      <c r="AB676" s="171">
        <v>95</v>
      </c>
      <c r="AC676" s="171">
        <v>48.58</v>
      </c>
      <c r="AD676" s="171">
        <v>44</v>
      </c>
      <c r="AF676" s="171">
        <f t="shared" si="32"/>
        <v>2008</v>
      </c>
      <c r="AG676" s="171">
        <f t="shared" si="33"/>
        <v>3</v>
      </c>
      <c r="AH676" s="700">
        <f>SUMIF(D$3:$AA676,"&lt;="&amp;$AH$1)/COUNTIF(D$3:$AA676,"&lt;="&amp;$AH$1)</f>
        <v>28.615739705134672</v>
      </c>
    </row>
    <row r="677" spans="2:34" x14ac:dyDescent="0.25">
      <c r="B677" s="910">
        <v>39773</v>
      </c>
      <c r="C677" s="581">
        <f t="shared" si="31"/>
        <v>11</v>
      </c>
      <c r="D677" s="171">
        <v>48.14</v>
      </c>
      <c r="E677" s="171">
        <v>47.93</v>
      </c>
      <c r="F677" s="171">
        <v>45.84</v>
      </c>
      <c r="G677" s="171">
        <v>35</v>
      </c>
      <c r="H677" s="171">
        <v>31.95</v>
      </c>
      <c r="I677" s="171">
        <v>41</v>
      </c>
      <c r="J677" s="171">
        <v>55.050000000000004</v>
      </c>
      <c r="K677" s="171">
        <v>74.06</v>
      </c>
      <c r="L677" s="171">
        <v>75.989999999999995</v>
      </c>
      <c r="M677" s="171">
        <v>80</v>
      </c>
      <c r="N677" s="171">
        <v>78</v>
      </c>
      <c r="O677" s="171">
        <v>80.010000000000005</v>
      </c>
      <c r="P677" s="171">
        <v>72.64</v>
      </c>
      <c r="Q677" s="171">
        <v>72.02</v>
      </c>
      <c r="R677" s="171">
        <v>68.03</v>
      </c>
      <c r="S677" s="171">
        <v>60.07</v>
      </c>
      <c r="T677" s="171">
        <v>65</v>
      </c>
      <c r="U677" s="171">
        <v>81</v>
      </c>
      <c r="V677" s="171">
        <v>88.02</v>
      </c>
      <c r="W677" s="171">
        <v>70.600000000000009</v>
      </c>
      <c r="X677" s="171">
        <v>66</v>
      </c>
      <c r="Y677" s="171">
        <v>53.69</v>
      </c>
      <c r="Z677" s="171">
        <v>49.94</v>
      </c>
      <c r="AA677" s="171">
        <v>47</v>
      </c>
      <c r="AB677" s="171">
        <v>88.02</v>
      </c>
      <c r="AC677" s="171">
        <v>49.94</v>
      </c>
      <c r="AD677" s="171">
        <v>43.99</v>
      </c>
      <c r="AF677" s="171">
        <f t="shared" si="32"/>
        <v>2008</v>
      </c>
      <c r="AG677" s="171">
        <f t="shared" si="33"/>
        <v>3</v>
      </c>
      <c r="AH677" s="700">
        <f>SUMIF(D$3:$AA677,"&lt;="&amp;$AH$1)/COUNTIF(D$3:$AA677,"&lt;="&amp;$AH$1)</f>
        <v>28.619483401083961</v>
      </c>
    </row>
    <row r="678" spans="2:34" x14ac:dyDescent="0.25">
      <c r="B678" s="910">
        <v>39776</v>
      </c>
      <c r="C678" s="581">
        <f t="shared" si="31"/>
        <v>11</v>
      </c>
      <c r="D678" s="171">
        <v>48</v>
      </c>
      <c r="E678" s="171">
        <v>44.12</v>
      </c>
      <c r="F678" s="171">
        <v>33.61</v>
      </c>
      <c r="G678" s="171">
        <v>29.5</v>
      </c>
      <c r="H678" s="171">
        <v>25.57</v>
      </c>
      <c r="I678" s="171">
        <v>32.83</v>
      </c>
      <c r="J678" s="171">
        <v>63.84</v>
      </c>
      <c r="K678" s="171">
        <v>83.66</v>
      </c>
      <c r="L678" s="171">
        <v>88.54</v>
      </c>
      <c r="M678" s="171">
        <v>90</v>
      </c>
      <c r="N678" s="171">
        <v>89.27</v>
      </c>
      <c r="O678" s="171">
        <v>91</v>
      </c>
      <c r="P678" s="171">
        <v>89.29</v>
      </c>
      <c r="Q678" s="171">
        <v>89.77</v>
      </c>
      <c r="R678" s="171">
        <v>87.28</v>
      </c>
      <c r="S678" s="171">
        <v>83.49</v>
      </c>
      <c r="T678" s="171">
        <v>90</v>
      </c>
      <c r="U678" s="171">
        <v>113.66</v>
      </c>
      <c r="V678" s="171">
        <v>181.12</v>
      </c>
      <c r="W678" s="171">
        <v>105.81</v>
      </c>
      <c r="X678" s="171">
        <v>90.070000000000007</v>
      </c>
      <c r="Y678" s="171">
        <v>65.7</v>
      </c>
      <c r="Z678" s="171">
        <v>58</v>
      </c>
      <c r="AA678" s="171">
        <v>59.93</v>
      </c>
      <c r="AB678" s="171">
        <v>181.12</v>
      </c>
      <c r="AC678" s="171">
        <v>58</v>
      </c>
      <c r="AD678" s="171">
        <v>42.17</v>
      </c>
      <c r="AF678" s="171">
        <f t="shared" si="32"/>
        <v>2008</v>
      </c>
      <c r="AG678" s="171">
        <f t="shared" si="33"/>
        <v>4</v>
      </c>
      <c r="AH678" s="700">
        <f>SUMIF(D$3:$AA678,"&lt;="&amp;$AH$1)/COUNTIF(D$3:$AA678,"&lt;="&amp;$AH$1)</f>
        <v>28.620673662830008</v>
      </c>
    </row>
    <row r="679" spans="2:34" x14ac:dyDescent="0.25">
      <c r="B679" s="910">
        <v>39777</v>
      </c>
      <c r="C679" s="581">
        <f t="shared" si="31"/>
        <v>11</v>
      </c>
      <c r="D679" s="171">
        <v>56.800000000000004</v>
      </c>
      <c r="E679" s="171">
        <v>49.93</v>
      </c>
      <c r="F679" s="171">
        <v>47.32</v>
      </c>
      <c r="G679" s="171">
        <v>47.03</v>
      </c>
      <c r="H679" s="171">
        <v>48.38</v>
      </c>
      <c r="I679" s="171">
        <v>56</v>
      </c>
      <c r="J679" s="171">
        <v>82.710000000000008</v>
      </c>
      <c r="K679" s="171">
        <v>108</v>
      </c>
      <c r="L679" s="171">
        <v>101.16</v>
      </c>
      <c r="M679" s="171">
        <v>99.9</v>
      </c>
      <c r="N679" s="171">
        <v>100</v>
      </c>
      <c r="O679" s="171">
        <v>100.60000000000001</v>
      </c>
      <c r="P679" s="171">
        <v>94.460000000000008</v>
      </c>
      <c r="Q679" s="171">
        <v>92.01</v>
      </c>
      <c r="R679" s="171">
        <v>97.5</v>
      </c>
      <c r="S679" s="171">
        <v>94.12</v>
      </c>
      <c r="T679" s="171">
        <v>115</v>
      </c>
      <c r="U679" s="171">
        <v>190</v>
      </c>
      <c r="V679" s="171">
        <v>208.44</v>
      </c>
      <c r="W679" s="171">
        <v>102.86</v>
      </c>
      <c r="X679" s="171">
        <v>97.960000000000008</v>
      </c>
      <c r="Y679" s="171">
        <v>78</v>
      </c>
      <c r="Z679" s="171">
        <v>68.239999999999995</v>
      </c>
      <c r="AA679" s="171">
        <v>57.86</v>
      </c>
      <c r="AB679" s="171">
        <v>208.44</v>
      </c>
      <c r="AC679" s="171">
        <v>68.239999999999995</v>
      </c>
      <c r="AD679" s="171">
        <v>55.75</v>
      </c>
      <c r="AF679" s="171">
        <f t="shared" si="32"/>
        <v>2008</v>
      </c>
      <c r="AG679" s="171">
        <f t="shared" si="33"/>
        <v>0</v>
      </c>
      <c r="AH679" s="700">
        <f>SUMIF(D$3:$AA679,"&lt;="&amp;$AH$1)/COUNTIF(D$3:$AA679,"&lt;="&amp;$AH$1)</f>
        <v>28.620673662830008</v>
      </c>
    </row>
    <row r="680" spans="2:34" x14ac:dyDescent="0.25">
      <c r="B680" s="910">
        <v>39778</v>
      </c>
      <c r="C680" s="581">
        <f t="shared" si="31"/>
        <v>11</v>
      </c>
      <c r="D680" s="171">
        <v>55</v>
      </c>
      <c r="E680" s="171">
        <v>51.39</v>
      </c>
      <c r="F680" s="171">
        <v>49.93</v>
      </c>
      <c r="G680" s="171">
        <v>46.730000000000004</v>
      </c>
      <c r="H680" s="171">
        <v>46.4</v>
      </c>
      <c r="I680" s="171">
        <v>56.01</v>
      </c>
      <c r="J680" s="171">
        <v>72</v>
      </c>
      <c r="K680" s="171">
        <v>100</v>
      </c>
      <c r="L680" s="171">
        <v>100.17</v>
      </c>
      <c r="M680" s="171">
        <v>105.8</v>
      </c>
      <c r="N680" s="171">
        <v>96.95</v>
      </c>
      <c r="O680" s="171">
        <v>99.87</v>
      </c>
      <c r="P680" s="171">
        <v>92</v>
      </c>
      <c r="Q680" s="171">
        <v>90.01</v>
      </c>
      <c r="R680" s="171">
        <v>86.9</v>
      </c>
      <c r="S680" s="171">
        <v>83.29</v>
      </c>
      <c r="T680" s="171">
        <v>90.850000000000009</v>
      </c>
      <c r="U680" s="171">
        <v>112.05</v>
      </c>
      <c r="V680" s="171">
        <v>170</v>
      </c>
      <c r="W680" s="171">
        <v>104.79</v>
      </c>
      <c r="X680" s="171">
        <v>84.19</v>
      </c>
      <c r="Y680" s="171">
        <v>64.42</v>
      </c>
      <c r="Z680" s="171">
        <v>55</v>
      </c>
      <c r="AA680" s="171">
        <v>60</v>
      </c>
      <c r="AB680" s="171">
        <v>170</v>
      </c>
      <c r="AC680" s="171">
        <v>55</v>
      </c>
      <c r="AD680" s="171">
        <v>54.68</v>
      </c>
      <c r="AF680" s="171">
        <f t="shared" si="32"/>
        <v>2008</v>
      </c>
      <c r="AG680" s="171">
        <f t="shared" si="33"/>
        <v>0</v>
      </c>
      <c r="AH680" s="700">
        <f>SUMIF(D$3:$AA680,"&lt;="&amp;$AH$1)/COUNTIF(D$3:$AA680,"&lt;="&amp;$AH$1)</f>
        <v>28.620673662830008</v>
      </c>
    </row>
    <row r="681" spans="2:34" x14ac:dyDescent="0.25">
      <c r="B681" s="910">
        <v>39779</v>
      </c>
      <c r="C681" s="581">
        <f t="shared" si="31"/>
        <v>11</v>
      </c>
      <c r="D681" s="171">
        <v>54.93</v>
      </c>
      <c r="E681" s="171">
        <v>52.17</v>
      </c>
      <c r="F681" s="171">
        <v>51</v>
      </c>
      <c r="G681" s="171">
        <v>43.09</v>
      </c>
      <c r="H681" s="171">
        <v>42</v>
      </c>
      <c r="I681" s="171">
        <v>48.43</v>
      </c>
      <c r="J681" s="171">
        <v>60</v>
      </c>
      <c r="K681" s="171">
        <v>95</v>
      </c>
      <c r="L681" s="171">
        <v>84.01</v>
      </c>
      <c r="M681" s="171">
        <v>89</v>
      </c>
      <c r="N681" s="171">
        <v>91</v>
      </c>
      <c r="O681" s="171">
        <v>90.29</v>
      </c>
      <c r="P681" s="171">
        <v>82</v>
      </c>
      <c r="Q681" s="171">
        <v>78</v>
      </c>
      <c r="R681" s="171">
        <v>79</v>
      </c>
      <c r="S681" s="171">
        <v>75</v>
      </c>
      <c r="T681" s="171">
        <v>84.64</v>
      </c>
      <c r="U681" s="171">
        <v>103.59</v>
      </c>
      <c r="V681" s="171">
        <v>108</v>
      </c>
      <c r="W681" s="171">
        <v>81</v>
      </c>
      <c r="X681" s="171">
        <v>70</v>
      </c>
      <c r="Y681" s="171">
        <v>54</v>
      </c>
      <c r="Z681" s="171">
        <v>46.49</v>
      </c>
      <c r="AA681" s="171">
        <v>45</v>
      </c>
      <c r="AB681" s="171">
        <v>108</v>
      </c>
      <c r="AC681" s="171">
        <v>46.49</v>
      </c>
      <c r="AD681" s="171">
        <v>49.58</v>
      </c>
      <c r="AF681" s="171">
        <f t="shared" si="32"/>
        <v>2008</v>
      </c>
      <c r="AG681" s="171">
        <f t="shared" si="33"/>
        <v>1</v>
      </c>
      <c r="AH681" s="700">
        <f>SUMIF(D$3:$AA681,"&lt;="&amp;$AH$1)/COUNTIF(D$3:$AA681,"&lt;="&amp;$AH$1)</f>
        <v>28.62293789135212</v>
      </c>
    </row>
    <row r="682" spans="2:34" x14ac:dyDescent="0.25">
      <c r="B682" s="910">
        <v>39780</v>
      </c>
      <c r="C682" s="581">
        <f t="shared" si="31"/>
        <v>11</v>
      </c>
      <c r="D682" s="171">
        <v>44.5</v>
      </c>
      <c r="E682" s="171">
        <v>42.32</v>
      </c>
      <c r="F682" s="171">
        <v>40.800000000000004</v>
      </c>
      <c r="G682" s="171">
        <v>41.800000000000004</v>
      </c>
      <c r="H682" s="171">
        <v>43.99</v>
      </c>
      <c r="I682" s="171">
        <v>50.71</v>
      </c>
      <c r="J682" s="171">
        <v>67.540000000000006</v>
      </c>
      <c r="K682" s="171">
        <v>99.93</v>
      </c>
      <c r="L682" s="171">
        <v>100</v>
      </c>
      <c r="M682" s="171">
        <v>101.81</v>
      </c>
      <c r="N682" s="171">
        <v>99.97</v>
      </c>
      <c r="O682" s="171">
        <v>101.05</v>
      </c>
      <c r="P682" s="171">
        <v>98.94</v>
      </c>
      <c r="Q682" s="171">
        <v>95.04</v>
      </c>
      <c r="R682" s="171">
        <v>90.01</v>
      </c>
      <c r="S682" s="171">
        <v>85.12</v>
      </c>
      <c r="T682" s="171">
        <v>92.95</v>
      </c>
      <c r="U682" s="171">
        <v>112.46000000000001</v>
      </c>
      <c r="V682" s="171">
        <v>124.29</v>
      </c>
      <c r="W682" s="171">
        <v>100</v>
      </c>
      <c r="X682" s="171">
        <v>77.56</v>
      </c>
      <c r="Y682" s="171">
        <v>63.81</v>
      </c>
      <c r="Z682" s="171">
        <v>60</v>
      </c>
      <c r="AA682" s="171">
        <v>57</v>
      </c>
      <c r="AB682" s="171">
        <v>124.29</v>
      </c>
      <c r="AC682" s="171">
        <v>60</v>
      </c>
      <c r="AD682" s="171">
        <v>48.58</v>
      </c>
      <c r="AF682" s="171">
        <f t="shared" si="32"/>
        <v>2008</v>
      </c>
      <c r="AG682" s="171">
        <f t="shared" si="33"/>
        <v>3</v>
      </c>
      <c r="AH682" s="700">
        <f>SUMIF(D$3:$AA682,"&lt;="&amp;$AH$1)/COUNTIF(D$3:$AA682,"&lt;="&amp;$AH$1)</f>
        <v>28.629543301759078</v>
      </c>
    </row>
    <row r="683" spans="2:34" x14ac:dyDescent="0.25">
      <c r="B683" s="910">
        <v>39783</v>
      </c>
      <c r="C683" s="581">
        <f t="shared" si="31"/>
        <v>12</v>
      </c>
      <c r="D683" s="171">
        <v>54.97</v>
      </c>
      <c r="E683" s="171">
        <v>50.32</v>
      </c>
      <c r="F683" s="171">
        <v>46</v>
      </c>
      <c r="G683" s="171">
        <v>39.800000000000004</v>
      </c>
      <c r="H683" s="171">
        <v>39</v>
      </c>
      <c r="I683" s="171">
        <v>48</v>
      </c>
      <c r="J683" s="171">
        <v>64.070000000000007</v>
      </c>
      <c r="K683" s="171">
        <v>108</v>
      </c>
      <c r="L683" s="171">
        <v>100.35000000000001</v>
      </c>
      <c r="M683" s="171">
        <v>129.99</v>
      </c>
      <c r="N683" s="171">
        <v>113.85000000000001</v>
      </c>
      <c r="O683" s="171">
        <v>109</v>
      </c>
      <c r="P683" s="171">
        <v>101.11</v>
      </c>
      <c r="Q683" s="171">
        <v>100.05</v>
      </c>
      <c r="R683" s="171">
        <v>94.3</v>
      </c>
      <c r="S683" s="171">
        <v>87.68</v>
      </c>
      <c r="T683" s="171">
        <v>101</v>
      </c>
      <c r="U683" s="171">
        <v>139.42000000000002</v>
      </c>
      <c r="V683" s="171">
        <v>250</v>
      </c>
      <c r="W683" s="171">
        <v>123.09</v>
      </c>
      <c r="X683" s="171">
        <v>90.72</v>
      </c>
      <c r="Y683" s="171">
        <v>79</v>
      </c>
      <c r="Z683" s="171">
        <v>67</v>
      </c>
      <c r="AA683" s="171">
        <v>56</v>
      </c>
      <c r="AB683" s="171">
        <v>250</v>
      </c>
      <c r="AC683" s="171">
        <v>67</v>
      </c>
      <c r="AD683" s="171">
        <v>49.77</v>
      </c>
      <c r="AF683" s="171">
        <f t="shared" si="32"/>
        <v>2008</v>
      </c>
      <c r="AG683" s="171">
        <f t="shared" si="33"/>
        <v>2</v>
      </c>
      <c r="AH683" s="700">
        <f>SUMIF(D$3:$AA683,"&lt;="&amp;$AH$1)/COUNTIF(D$3:$AA683,"&lt;="&amp;$AH$1)</f>
        <v>28.633185661142992</v>
      </c>
    </row>
    <row r="684" spans="2:34" x14ac:dyDescent="0.25">
      <c r="B684" s="910">
        <v>39784</v>
      </c>
      <c r="C684" s="581">
        <f t="shared" si="31"/>
        <v>12</v>
      </c>
      <c r="D684" s="171">
        <v>55</v>
      </c>
      <c r="E684" s="171">
        <v>52.86</v>
      </c>
      <c r="F684" s="171">
        <v>48.57</v>
      </c>
      <c r="G684" s="171">
        <v>36.22</v>
      </c>
      <c r="H684" s="171">
        <v>33.93</v>
      </c>
      <c r="I684" s="171">
        <v>49</v>
      </c>
      <c r="J684" s="171">
        <v>59.54</v>
      </c>
      <c r="K684" s="171">
        <v>93.68</v>
      </c>
      <c r="L684" s="171">
        <v>94.05</v>
      </c>
      <c r="M684" s="171">
        <v>97.05</v>
      </c>
      <c r="N684" s="171">
        <v>96.94</v>
      </c>
      <c r="O684" s="171">
        <v>96.5</v>
      </c>
      <c r="P684" s="171">
        <v>92</v>
      </c>
      <c r="Q684" s="171">
        <v>87.61</v>
      </c>
      <c r="R684" s="171">
        <v>88.33</v>
      </c>
      <c r="S684" s="171">
        <v>83.24</v>
      </c>
      <c r="T684" s="171">
        <v>92.2</v>
      </c>
      <c r="U684" s="171">
        <v>112</v>
      </c>
      <c r="V684" s="171">
        <v>105</v>
      </c>
      <c r="W684" s="171">
        <v>90</v>
      </c>
      <c r="X684" s="171">
        <v>81</v>
      </c>
      <c r="Y684" s="171">
        <v>62</v>
      </c>
      <c r="Z684" s="171">
        <v>51</v>
      </c>
      <c r="AA684" s="171">
        <v>52</v>
      </c>
      <c r="AB684" s="171">
        <v>112</v>
      </c>
      <c r="AC684" s="171">
        <v>51</v>
      </c>
      <c r="AD684" s="171">
        <v>48.39</v>
      </c>
      <c r="AF684" s="171">
        <f t="shared" si="32"/>
        <v>2008</v>
      </c>
      <c r="AG684" s="171">
        <f t="shared" si="33"/>
        <v>2</v>
      </c>
      <c r="AH684" s="700">
        <f>SUMIF(D$3:$AA684,"&lt;="&amp;$AH$1)/COUNTIF(D$3:$AA684,"&lt;="&amp;$AH$1)</f>
        <v>28.635363421230501</v>
      </c>
    </row>
    <row r="685" spans="2:34" x14ac:dyDescent="0.25">
      <c r="B685" s="910">
        <v>39785</v>
      </c>
      <c r="C685" s="581">
        <f t="shared" si="31"/>
        <v>12</v>
      </c>
      <c r="D685" s="171">
        <v>46.01</v>
      </c>
      <c r="E685" s="171">
        <v>43.81</v>
      </c>
      <c r="F685" s="171">
        <v>46.75</v>
      </c>
      <c r="G685" s="171">
        <v>43.34</v>
      </c>
      <c r="H685" s="171">
        <v>40.01</v>
      </c>
      <c r="I685" s="171">
        <v>49.93</v>
      </c>
      <c r="J685" s="171">
        <v>60.01</v>
      </c>
      <c r="K685" s="171">
        <v>86.18</v>
      </c>
      <c r="L685" s="171">
        <v>90.5</v>
      </c>
      <c r="M685" s="171">
        <v>91.03</v>
      </c>
      <c r="N685" s="171">
        <v>87.55</v>
      </c>
      <c r="O685" s="171">
        <v>91.710000000000008</v>
      </c>
      <c r="P685" s="171">
        <v>91.08</v>
      </c>
      <c r="Q685" s="171">
        <v>91.01</v>
      </c>
      <c r="R685" s="171">
        <v>89</v>
      </c>
      <c r="S685" s="171">
        <v>84.570000000000007</v>
      </c>
      <c r="T685" s="171">
        <v>95.070000000000007</v>
      </c>
      <c r="U685" s="171">
        <v>112.87</v>
      </c>
      <c r="V685" s="171">
        <v>153.45000000000002</v>
      </c>
      <c r="W685" s="171">
        <v>101.2</v>
      </c>
      <c r="X685" s="171">
        <v>88</v>
      </c>
      <c r="Y685" s="171">
        <v>71.600000000000009</v>
      </c>
      <c r="Z685" s="171">
        <v>63.410000000000004</v>
      </c>
      <c r="AA685" s="171">
        <v>56</v>
      </c>
      <c r="AB685" s="171">
        <v>153.45000000000002</v>
      </c>
      <c r="AC685" s="171">
        <v>63.410000000000004</v>
      </c>
      <c r="AD685" s="171">
        <v>48.230000000000004</v>
      </c>
      <c r="AF685" s="171">
        <f t="shared" si="32"/>
        <v>2008</v>
      </c>
      <c r="AG685" s="171">
        <f t="shared" si="33"/>
        <v>1</v>
      </c>
      <c r="AH685" s="700">
        <f>SUMIF(D$3:$AA685,"&lt;="&amp;$AH$1)/COUNTIF(D$3:$AA685,"&lt;="&amp;$AH$1)</f>
        <v>28.637285786716184</v>
      </c>
    </row>
    <row r="686" spans="2:34" x14ac:dyDescent="0.25">
      <c r="B686" s="910">
        <v>39786</v>
      </c>
      <c r="C686" s="581">
        <f t="shared" si="31"/>
        <v>12</v>
      </c>
      <c r="D686" s="171">
        <v>48.21</v>
      </c>
      <c r="E686" s="171">
        <v>44.29</v>
      </c>
      <c r="F686" s="171">
        <v>45</v>
      </c>
      <c r="G686" s="171">
        <v>40.800000000000004</v>
      </c>
      <c r="H686" s="171">
        <v>40.76</v>
      </c>
      <c r="I686" s="171">
        <v>45.26</v>
      </c>
      <c r="J686" s="171">
        <v>55</v>
      </c>
      <c r="K686" s="171">
        <v>82</v>
      </c>
      <c r="L686" s="171">
        <v>85</v>
      </c>
      <c r="M686" s="171">
        <v>88.14</v>
      </c>
      <c r="N686" s="171">
        <v>86.460000000000008</v>
      </c>
      <c r="O686" s="171">
        <v>88</v>
      </c>
      <c r="P686" s="171">
        <v>82</v>
      </c>
      <c r="Q686" s="171">
        <v>80.5</v>
      </c>
      <c r="R686" s="171">
        <v>78</v>
      </c>
      <c r="S686" s="171">
        <v>74.070000000000007</v>
      </c>
      <c r="T686" s="171">
        <v>86.2</v>
      </c>
      <c r="U686" s="171">
        <v>97.79</v>
      </c>
      <c r="V686" s="171">
        <v>97.100000000000009</v>
      </c>
      <c r="W686" s="171">
        <v>87.01</v>
      </c>
      <c r="X686" s="171">
        <v>80.02</v>
      </c>
      <c r="Y686" s="171">
        <v>61.120000000000005</v>
      </c>
      <c r="Z686" s="171">
        <v>50.11</v>
      </c>
      <c r="AA686" s="171">
        <v>55.5</v>
      </c>
      <c r="AB686" s="171">
        <v>97.79</v>
      </c>
      <c r="AC686" s="171">
        <v>50.11</v>
      </c>
      <c r="AD686" s="171">
        <v>46.85</v>
      </c>
      <c r="AF686" s="171">
        <f t="shared" si="32"/>
        <v>2008</v>
      </c>
      <c r="AG686" s="171">
        <f t="shared" si="33"/>
        <v>2</v>
      </c>
      <c r="AH686" s="700">
        <f>SUMIF(D$3:$AA686,"&lt;="&amp;$AH$1)/COUNTIF(D$3:$AA686,"&lt;="&amp;$AH$1)</f>
        <v>28.641388748099281</v>
      </c>
    </row>
    <row r="687" spans="2:34" x14ac:dyDescent="0.25">
      <c r="B687" s="910">
        <v>39787</v>
      </c>
      <c r="C687" s="581">
        <f t="shared" si="31"/>
        <v>12</v>
      </c>
      <c r="D687" s="171">
        <v>47</v>
      </c>
      <c r="E687" s="171">
        <v>42.27</v>
      </c>
      <c r="F687" s="171">
        <v>36.5</v>
      </c>
      <c r="G687" s="171">
        <v>30</v>
      </c>
      <c r="H687" s="171">
        <v>29.990000000000002</v>
      </c>
      <c r="I687" s="171">
        <v>41.13</v>
      </c>
      <c r="J687" s="171">
        <v>58.71</v>
      </c>
      <c r="K687" s="171">
        <v>81.08</v>
      </c>
      <c r="L687" s="171">
        <v>80.739999999999995</v>
      </c>
      <c r="M687" s="171">
        <v>82.5</v>
      </c>
      <c r="N687" s="171">
        <v>82.5</v>
      </c>
      <c r="O687" s="171">
        <v>81.31</v>
      </c>
      <c r="P687" s="171">
        <v>78.95</v>
      </c>
      <c r="Q687" s="171">
        <v>74.2</v>
      </c>
      <c r="R687" s="171">
        <v>71.930000000000007</v>
      </c>
      <c r="S687" s="171">
        <v>63.26</v>
      </c>
      <c r="T687" s="171">
        <v>68</v>
      </c>
      <c r="U687" s="171">
        <v>88.09</v>
      </c>
      <c r="V687" s="171">
        <v>91.87</v>
      </c>
      <c r="W687" s="171">
        <v>85.05</v>
      </c>
      <c r="X687" s="171">
        <v>75</v>
      </c>
      <c r="Y687" s="171">
        <v>62</v>
      </c>
      <c r="Z687" s="171">
        <v>55.58</v>
      </c>
      <c r="AA687" s="171">
        <v>56</v>
      </c>
      <c r="AB687" s="171">
        <v>91.87</v>
      </c>
      <c r="AC687" s="171">
        <v>55.58</v>
      </c>
      <c r="AD687" s="171">
        <v>42.7</v>
      </c>
      <c r="AF687" s="171">
        <f t="shared" si="32"/>
        <v>2008</v>
      </c>
      <c r="AG687" s="171">
        <f t="shared" si="33"/>
        <v>5</v>
      </c>
      <c r="AH687" s="700">
        <f>SUMIF(D$3:$AA687,"&lt;="&amp;$AH$1)/COUNTIF(D$3:$AA687,"&lt;="&amp;$AH$1)</f>
        <v>28.647581026333498</v>
      </c>
    </row>
    <row r="688" spans="2:34" x14ac:dyDescent="0.25">
      <c r="B688" s="910">
        <v>39790</v>
      </c>
      <c r="C688" s="581">
        <f t="shared" si="31"/>
        <v>12</v>
      </c>
      <c r="D688" s="171">
        <v>47.96</v>
      </c>
      <c r="E688" s="171">
        <v>44.93</v>
      </c>
      <c r="F688" s="171">
        <v>47.49</v>
      </c>
      <c r="G688" s="171">
        <v>34.049999999999997</v>
      </c>
      <c r="H688" s="171">
        <v>31.62</v>
      </c>
      <c r="I688" s="171">
        <v>40</v>
      </c>
      <c r="J688" s="171">
        <v>55</v>
      </c>
      <c r="K688" s="171">
        <v>79</v>
      </c>
      <c r="L688" s="171">
        <v>81.38</v>
      </c>
      <c r="M688" s="171">
        <v>85.09</v>
      </c>
      <c r="N688" s="171">
        <v>85.350000000000009</v>
      </c>
      <c r="O688" s="171">
        <v>86.320000000000007</v>
      </c>
      <c r="P688" s="171">
        <v>86.79</v>
      </c>
      <c r="Q688" s="171">
        <v>83.66</v>
      </c>
      <c r="R688" s="171">
        <v>79.930000000000007</v>
      </c>
      <c r="S688" s="171">
        <v>74</v>
      </c>
      <c r="T688" s="171">
        <v>81.010000000000005</v>
      </c>
      <c r="U688" s="171">
        <v>99.15</v>
      </c>
      <c r="V688" s="171">
        <v>153.46</v>
      </c>
      <c r="W688" s="171">
        <v>103.05</v>
      </c>
      <c r="X688" s="171">
        <v>87.12</v>
      </c>
      <c r="Y688" s="171">
        <v>67.25</v>
      </c>
      <c r="Z688" s="171">
        <v>54.25</v>
      </c>
      <c r="AA688" s="171">
        <v>50</v>
      </c>
      <c r="AB688" s="171">
        <v>153.46</v>
      </c>
      <c r="AC688" s="171">
        <v>54.25</v>
      </c>
      <c r="AD688" s="171">
        <v>43.88</v>
      </c>
      <c r="AF688" s="171">
        <f t="shared" si="32"/>
        <v>2008</v>
      </c>
      <c r="AG688" s="171">
        <f t="shared" si="33"/>
        <v>3</v>
      </c>
      <c r="AH688" s="700">
        <f>SUMIF(D$3:$AA688,"&lt;="&amp;$AH$1)/COUNTIF(D$3:$AA688,"&lt;="&amp;$AH$1)</f>
        <v>28.650909397671608</v>
      </c>
    </row>
    <row r="689" spans="2:34" x14ac:dyDescent="0.25">
      <c r="B689" s="910">
        <v>39791</v>
      </c>
      <c r="C689" s="581">
        <f t="shared" si="31"/>
        <v>12</v>
      </c>
      <c r="D689" s="171">
        <v>50.22</v>
      </c>
      <c r="E689" s="171">
        <v>47.5</v>
      </c>
      <c r="F689" s="171">
        <v>46.27</v>
      </c>
      <c r="G689" s="171">
        <v>41.69</v>
      </c>
      <c r="H689" s="171">
        <v>35.660000000000004</v>
      </c>
      <c r="I689" s="171">
        <v>45.07</v>
      </c>
      <c r="J689" s="171">
        <v>62.85</v>
      </c>
      <c r="K689" s="171">
        <v>92.22</v>
      </c>
      <c r="L689" s="171">
        <v>89.04</v>
      </c>
      <c r="M689" s="171">
        <v>89.62</v>
      </c>
      <c r="N689" s="171">
        <v>88.52</v>
      </c>
      <c r="O689" s="171">
        <v>88.42</v>
      </c>
      <c r="P689" s="171">
        <v>86.98</v>
      </c>
      <c r="Q689" s="171">
        <v>86.58</v>
      </c>
      <c r="R689" s="171">
        <v>84.2</v>
      </c>
      <c r="S689" s="171">
        <v>81.010000000000005</v>
      </c>
      <c r="T689" s="171">
        <v>88.67</v>
      </c>
      <c r="U689" s="171">
        <v>123.78</v>
      </c>
      <c r="V689" s="171">
        <v>137.5</v>
      </c>
      <c r="W689" s="171">
        <v>97.34</v>
      </c>
      <c r="X689" s="171">
        <v>85.15</v>
      </c>
      <c r="Y689" s="171">
        <v>71.100000000000009</v>
      </c>
      <c r="Z689" s="171">
        <v>66.540000000000006</v>
      </c>
      <c r="AA689" s="171">
        <v>56</v>
      </c>
      <c r="AB689" s="171">
        <v>137.5</v>
      </c>
      <c r="AC689" s="171">
        <v>66.540000000000006</v>
      </c>
      <c r="AD689" s="171">
        <v>48.160000000000004</v>
      </c>
      <c r="AF689" s="171">
        <f t="shared" si="32"/>
        <v>2008</v>
      </c>
      <c r="AG689" s="171">
        <f t="shared" si="33"/>
        <v>2</v>
      </c>
      <c r="AH689" s="700">
        <f>SUMIF(D$3:$AA689,"&lt;="&amp;$AH$1)/COUNTIF(D$3:$AA689,"&lt;="&amp;$AH$1)</f>
        <v>28.654290774160842</v>
      </c>
    </row>
    <row r="690" spans="2:34" x14ac:dyDescent="0.25">
      <c r="B690" s="910">
        <v>39792</v>
      </c>
      <c r="C690" s="581">
        <f t="shared" si="31"/>
        <v>12</v>
      </c>
      <c r="D690" s="171">
        <v>51.9</v>
      </c>
      <c r="E690" s="171">
        <v>46.69</v>
      </c>
      <c r="F690" s="171">
        <v>43</v>
      </c>
      <c r="G690" s="171">
        <v>40.64</v>
      </c>
      <c r="H690" s="171">
        <v>39.17</v>
      </c>
      <c r="I690" s="171">
        <v>43.11</v>
      </c>
      <c r="J690" s="171">
        <v>62.21</v>
      </c>
      <c r="K690" s="171">
        <v>90.17</v>
      </c>
      <c r="L690" s="171">
        <v>89.03</v>
      </c>
      <c r="M690" s="171">
        <v>89.960000000000008</v>
      </c>
      <c r="N690" s="171">
        <v>89.75</v>
      </c>
      <c r="O690" s="171">
        <v>92.18</v>
      </c>
      <c r="P690" s="171">
        <v>89.47</v>
      </c>
      <c r="Q690" s="171">
        <v>88.92</v>
      </c>
      <c r="R690" s="171">
        <v>87.63</v>
      </c>
      <c r="S690" s="171">
        <v>81.58</v>
      </c>
      <c r="T690" s="171">
        <v>92.95</v>
      </c>
      <c r="U690" s="171">
        <v>150</v>
      </c>
      <c r="V690" s="171">
        <v>168.76</v>
      </c>
      <c r="W690" s="171">
        <v>102.84</v>
      </c>
      <c r="X690" s="171">
        <v>88.06</v>
      </c>
      <c r="Y690" s="171">
        <v>72.52</v>
      </c>
      <c r="Z690" s="171">
        <v>64.989999999999995</v>
      </c>
      <c r="AA690" s="171">
        <v>55</v>
      </c>
      <c r="AB690" s="171">
        <v>168.76</v>
      </c>
      <c r="AC690" s="171">
        <v>64.989999999999995</v>
      </c>
      <c r="AD690" s="171">
        <v>47.72</v>
      </c>
      <c r="AF690" s="171">
        <f t="shared" si="32"/>
        <v>2008</v>
      </c>
      <c r="AG690" s="171">
        <f t="shared" si="33"/>
        <v>2</v>
      </c>
      <c r="AH690" s="700">
        <f>SUMIF(D$3:$AA690,"&lt;="&amp;$AH$1)/COUNTIF(D$3:$AA690,"&lt;="&amp;$AH$1)</f>
        <v>28.658084640026917</v>
      </c>
    </row>
    <row r="691" spans="2:34" x14ac:dyDescent="0.25">
      <c r="B691" s="910">
        <v>39793</v>
      </c>
      <c r="C691" s="581">
        <f t="shared" si="31"/>
        <v>12</v>
      </c>
      <c r="D691" s="171">
        <v>49.96</v>
      </c>
      <c r="E691" s="171">
        <v>44.03</v>
      </c>
      <c r="F691" s="171">
        <v>43.35</v>
      </c>
      <c r="G691" s="171">
        <v>40.15</v>
      </c>
      <c r="H691" s="171">
        <v>40.07</v>
      </c>
      <c r="I691" s="171">
        <v>47.14</v>
      </c>
      <c r="J691" s="171">
        <v>62.34</v>
      </c>
      <c r="K691" s="171">
        <v>90.3</v>
      </c>
      <c r="L691" s="171">
        <v>92.12</v>
      </c>
      <c r="M691" s="171">
        <v>93</v>
      </c>
      <c r="N691" s="171">
        <v>91.54</v>
      </c>
      <c r="O691" s="171">
        <v>92.79</v>
      </c>
      <c r="P691" s="171">
        <v>91.39</v>
      </c>
      <c r="Q691" s="171">
        <v>90.23</v>
      </c>
      <c r="R691" s="171">
        <v>88.37</v>
      </c>
      <c r="S691" s="171">
        <v>82.2</v>
      </c>
      <c r="T691" s="171">
        <v>91.38</v>
      </c>
      <c r="U691" s="171">
        <v>156.6</v>
      </c>
      <c r="V691" s="171">
        <v>153.46</v>
      </c>
      <c r="W691" s="171">
        <v>100.11</v>
      </c>
      <c r="X691" s="171">
        <v>88.63</v>
      </c>
      <c r="Y691" s="171">
        <v>71.989999999999995</v>
      </c>
      <c r="Z691" s="171">
        <v>65</v>
      </c>
      <c r="AA691" s="171">
        <v>53.7</v>
      </c>
      <c r="AB691" s="171">
        <v>156.6</v>
      </c>
      <c r="AC691" s="171">
        <v>65</v>
      </c>
      <c r="AD691" s="171">
        <v>47.59</v>
      </c>
      <c r="AF691" s="171">
        <f t="shared" si="32"/>
        <v>2008</v>
      </c>
      <c r="AG691" s="171">
        <f t="shared" si="33"/>
        <v>2</v>
      </c>
      <c r="AH691" s="700">
        <f>SUMIF(D$3:$AA691,"&lt;="&amp;$AH$1)/COUNTIF(D$3:$AA691,"&lt;="&amp;$AH$1)</f>
        <v>28.661945053092811</v>
      </c>
    </row>
    <row r="692" spans="2:34" x14ac:dyDescent="0.25">
      <c r="B692" s="910">
        <v>39794</v>
      </c>
      <c r="C692" s="581">
        <f t="shared" si="31"/>
        <v>12</v>
      </c>
      <c r="D692" s="171">
        <v>49</v>
      </c>
      <c r="E692" s="171">
        <v>45</v>
      </c>
      <c r="F692" s="171">
        <v>45.81</v>
      </c>
      <c r="G692" s="171">
        <v>46</v>
      </c>
      <c r="H692" s="171">
        <v>44.99</v>
      </c>
      <c r="I692" s="171">
        <v>51</v>
      </c>
      <c r="J692" s="171">
        <v>67.13</v>
      </c>
      <c r="K692" s="171">
        <v>101.89</v>
      </c>
      <c r="L692" s="171">
        <v>103.57000000000001</v>
      </c>
      <c r="M692" s="171">
        <v>101.10000000000001</v>
      </c>
      <c r="N692" s="171">
        <v>102.14</v>
      </c>
      <c r="O692" s="171">
        <v>99.16</v>
      </c>
      <c r="P692" s="171">
        <v>94.63</v>
      </c>
      <c r="Q692" s="171">
        <v>90.28</v>
      </c>
      <c r="R692" s="171">
        <v>87.7</v>
      </c>
      <c r="S692" s="171">
        <v>82.9</v>
      </c>
      <c r="T692" s="171">
        <v>94.100000000000009</v>
      </c>
      <c r="U692" s="171">
        <v>122.47</v>
      </c>
      <c r="V692" s="171">
        <v>114.2</v>
      </c>
      <c r="W692" s="171">
        <v>81.99</v>
      </c>
      <c r="X692" s="171">
        <v>74.39</v>
      </c>
      <c r="Y692" s="171">
        <v>59</v>
      </c>
      <c r="Z692" s="171">
        <v>57.5</v>
      </c>
      <c r="AA692" s="171">
        <v>49.21</v>
      </c>
      <c r="AB692" s="171">
        <v>122.47</v>
      </c>
      <c r="AC692" s="171">
        <v>57.5</v>
      </c>
      <c r="AD692" s="171">
        <v>49.77</v>
      </c>
      <c r="AF692" s="171">
        <f t="shared" si="32"/>
        <v>2008</v>
      </c>
      <c r="AG692" s="171">
        <f t="shared" si="33"/>
        <v>0</v>
      </c>
      <c r="AH692" s="700">
        <f>SUMIF(D$3:$AA692,"&lt;="&amp;$AH$1)/COUNTIF(D$3:$AA692,"&lt;="&amp;$AH$1)</f>
        <v>28.661945053092811</v>
      </c>
    </row>
    <row r="693" spans="2:34" x14ac:dyDescent="0.25">
      <c r="B693" s="910">
        <v>39797</v>
      </c>
      <c r="C693" s="581">
        <f t="shared" si="31"/>
        <v>12</v>
      </c>
      <c r="D693" s="171">
        <v>36.69</v>
      </c>
      <c r="E693" s="171">
        <v>36.19</v>
      </c>
      <c r="F693" s="171">
        <v>36.78</v>
      </c>
      <c r="G693" s="171">
        <v>30.43</v>
      </c>
      <c r="H693" s="171">
        <v>26.66</v>
      </c>
      <c r="I693" s="171">
        <v>33.06</v>
      </c>
      <c r="J693" s="171">
        <v>48.550000000000004</v>
      </c>
      <c r="K693" s="171">
        <v>72.39</v>
      </c>
      <c r="L693" s="171">
        <v>83.49</v>
      </c>
      <c r="M693" s="171">
        <v>85.100000000000009</v>
      </c>
      <c r="N693" s="171">
        <v>85.16</v>
      </c>
      <c r="O693" s="171">
        <v>96</v>
      </c>
      <c r="P693" s="171">
        <v>88.49</v>
      </c>
      <c r="Q693" s="171">
        <v>86.2</v>
      </c>
      <c r="R693" s="171">
        <v>83.01</v>
      </c>
      <c r="S693" s="171">
        <v>76.430000000000007</v>
      </c>
      <c r="T693" s="171">
        <v>83.18</v>
      </c>
      <c r="U693" s="171">
        <v>125</v>
      </c>
      <c r="V693" s="171">
        <v>153.46</v>
      </c>
      <c r="W693" s="171">
        <v>88.34</v>
      </c>
      <c r="X693" s="171">
        <v>74.320000000000007</v>
      </c>
      <c r="Y693" s="171">
        <v>64</v>
      </c>
      <c r="Z693" s="171">
        <v>53</v>
      </c>
      <c r="AA693" s="171">
        <v>50</v>
      </c>
      <c r="AB693" s="171">
        <v>153.46</v>
      </c>
      <c r="AC693" s="171">
        <v>53</v>
      </c>
      <c r="AD693" s="171">
        <v>37.29</v>
      </c>
      <c r="AF693" s="171">
        <f t="shared" si="32"/>
        <v>2008</v>
      </c>
      <c r="AG693" s="171">
        <f t="shared" si="33"/>
        <v>6</v>
      </c>
      <c r="AH693" s="700">
        <f>SUMIF(D$3:$AA693,"&lt;="&amp;$AH$1)/COUNTIF(D$3:$AA693,"&lt;="&amp;$AH$1)</f>
        <v>28.666632429701913</v>
      </c>
    </row>
    <row r="694" spans="2:34" x14ac:dyDescent="0.25">
      <c r="B694" s="910">
        <v>39798</v>
      </c>
      <c r="C694" s="581">
        <f t="shared" si="31"/>
        <v>12</v>
      </c>
      <c r="D694" s="171">
        <v>49</v>
      </c>
      <c r="E694" s="171">
        <v>44.96</v>
      </c>
      <c r="F694" s="171">
        <v>40.700000000000003</v>
      </c>
      <c r="G694" s="171">
        <v>34</v>
      </c>
      <c r="H694" s="171">
        <v>33.840000000000003</v>
      </c>
      <c r="I694" s="171">
        <v>45</v>
      </c>
      <c r="J694" s="171">
        <v>59</v>
      </c>
      <c r="K694" s="171">
        <v>90.74</v>
      </c>
      <c r="L694" s="171">
        <v>85</v>
      </c>
      <c r="M694" s="171">
        <v>86.66</v>
      </c>
      <c r="N694" s="171">
        <v>90</v>
      </c>
      <c r="O694" s="171">
        <v>92</v>
      </c>
      <c r="P694" s="171">
        <v>88.48</v>
      </c>
      <c r="Q694" s="171">
        <v>82.210000000000008</v>
      </c>
      <c r="R694" s="171">
        <v>80.100000000000009</v>
      </c>
      <c r="S694" s="171">
        <v>76</v>
      </c>
      <c r="T694" s="171">
        <v>89</v>
      </c>
      <c r="U694" s="171">
        <v>138.6</v>
      </c>
      <c r="V694" s="171">
        <v>140</v>
      </c>
      <c r="W694" s="171">
        <v>87.51</v>
      </c>
      <c r="X694" s="171">
        <v>79.38</v>
      </c>
      <c r="Y694" s="171">
        <v>63</v>
      </c>
      <c r="Z694" s="171">
        <v>60.38</v>
      </c>
      <c r="AA694" s="171">
        <v>52.42</v>
      </c>
      <c r="AB694" s="171">
        <v>140</v>
      </c>
      <c r="AC694" s="171">
        <v>60.38</v>
      </c>
      <c r="AD694" s="171">
        <v>44.87</v>
      </c>
      <c r="AF694" s="171">
        <f t="shared" si="32"/>
        <v>2008</v>
      </c>
      <c r="AG694" s="171">
        <f t="shared" si="33"/>
        <v>3</v>
      </c>
      <c r="AH694" s="700">
        <f>SUMIF(D$3:$AA694,"&lt;="&amp;$AH$1)/COUNTIF(D$3:$AA694,"&lt;="&amp;$AH$1)</f>
        <v>28.670425782564735</v>
      </c>
    </row>
    <row r="695" spans="2:34" x14ac:dyDescent="0.25">
      <c r="B695" s="910">
        <v>39799</v>
      </c>
      <c r="C695" s="581">
        <f t="shared" si="31"/>
        <v>12</v>
      </c>
      <c r="D695" s="171">
        <v>49</v>
      </c>
      <c r="E695" s="171">
        <v>49.96</v>
      </c>
      <c r="F695" s="171">
        <v>46.52</v>
      </c>
      <c r="G695" s="171">
        <v>40.53</v>
      </c>
      <c r="H695" s="171">
        <v>38</v>
      </c>
      <c r="I695" s="171">
        <v>44</v>
      </c>
      <c r="J695" s="171">
        <v>54</v>
      </c>
      <c r="K695" s="171">
        <v>83.43</v>
      </c>
      <c r="L695" s="171">
        <v>84.64</v>
      </c>
      <c r="M695" s="171">
        <v>82.5</v>
      </c>
      <c r="N695" s="171">
        <v>84.43</v>
      </c>
      <c r="O695" s="171">
        <v>83.7</v>
      </c>
      <c r="P695" s="171">
        <v>80.69</v>
      </c>
      <c r="Q695" s="171">
        <v>79.930000000000007</v>
      </c>
      <c r="R695" s="171">
        <v>75</v>
      </c>
      <c r="S695" s="171">
        <v>68.489999999999995</v>
      </c>
      <c r="T695" s="171">
        <v>77.27</v>
      </c>
      <c r="U695" s="171">
        <v>94</v>
      </c>
      <c r="V695" s="171">
        <v>96.28</v>
      </c>
      <c r="W695" s="171">
        <v>79.930000000000007</v>
      </c>
      <c r="X695" s="171">
        <v>70</v>
      </c>
      <c r="Y695" s="171">
        <v>59</v>
      </c>
      <c r="Z695" s="171">
        <v>53.14</v>
      </c>
      <c r="AA695" s="171">
        <v>45</v>
      </c>
      <c r="AB695" s="171">
        <v>96.28</v>
      </c>
      <c r="AC695" s="171">
        <v>53.14</v>
      </c>
      <c r="AD695" s="171">
        <v>45.88</v>
      </c>
      <c r="AF695" s="171">
        <f t="shared" si="32"/>
        <v>2008</v>
      </c>
      <c r="AG695" s="171">
        <f t="shared" si="33"/>
        <v>2</v>
      </c>
      <c r="AH695" s="700">
        <f>SUMIF(D$3:$AA695,"&lt;="&amp;$AH$1)/COUNTIF(D$3:$AA695,"&lt;="&amp;$AH$1)</f>
        <v>28.673990578734802</v>
      </c>
    </row>
    <row r="696" spans="2:34" x14ac:dyDescent="0.25">
      <c r="B696" s="910">
        <v>39800</v>
      </c>
      <c r="C696" s="581">
        <f t="shared" si="31"/>
        <v>12</v>
      </c>
      <c r="D696" s="171">
        <v>45.71</v>
      </c>
      <c r="E696" s="171">
        <v>44</v>
      </c>
      <c r="F696" s="171">
        <v>40.49</v>
      </c>
      <c r="G696" s="171">
        <v>37.5</v>
      </c>
      <c r="H696" s="171">
        <v>37</v>
      </c>
      <c r="I696" s="171">
        <v>42.75</v>
      </c>
      <c r="J696" s="171">
        <v>55</v>
      </c>
      <c r="K696" s="171">
        <v>84.69</v>
      </c>
      <c r="L696" s="171">
        <v>80.7</v>
      </c>
      <c r="M696" s="171">
        <v>82.5</v>
      </c>
      <c r="N696" s="171">
        <v>82</v>
      </c>
      <c r="O696" s="171">
        <v>80.16</v>
      </c>
      <c r="P696" s="171">
        <v>74.260000000000005</v>
      </c>
      <c r="Q696" s="171">
        <v>74.3</v>
      </c>
      <c r="R696" s="171">
        <v>71</v>
      </c>
      <c r="S696" s="171">
        <v>65</v>
      </c>
      <c r="T696" s="171">
        <v>78.010000000000005</v>
      </c>
      <c r="U696" s="171">
        <v>89.93</v>
      </c>
      <c r="V696" s="171">
        <v>79.960000000000008</v>
      </c>
      <c r="W696" s="171">
        <v>74.25</v>
      </c>
      <c r="X696" s="171">
        <v>68.5</v>
      </c>
      <c r="Y696" s="171">
        <v>55</v>
      </c>
      <c r="Z696" s="171">
        <v>46.910000000000004</v>
      </c>
      <c r="AA696" s="171">
        <v>44.2</v>
      </c>
      <c r="AB696" s="171">
        <v>89.93</v>
      </c>
      <c r="AC696" s="171">
        <v>46.910000000000004</v>
      </c>
      <c r="AD696" s="171">
        <v>43.33</v>
      </c>
      <c r="AF696" s="171">
        <f t="shared" si="32"/>
        <v>2008</v>
      </c>
      <c r="AG696" s="171">
        <f t="shared" si="33"/>
        <v>3</v>
      </c>
      <c r="AH696" s="700">
        <f>SUMIF(D$3:$AA696,"&lt;="&amp;$AH$1)/COUNTIF(D$3:$AA696,"&lt;="&amp;$AH$1)</f>
        <v>28.678861610896192</v>
      </c>
    </row>
    <row r="697" spans="2:34" x14ac:dyDescent="0.25">
      <c r="B697" s="910">
        <v>39801</v>
      </c>
      <c r="C697" s="581">
        <f t="shared" si="31"/>
        <v>12</v>
      </c>
      <c r="D697" s="171">
        <v>37.67</v>
      </c>
      <c r="E697" s="171">
        <v>36.15</v>
      </c>
      <c r="F697" s="171">
        <v>38</v>
      </c>
      <c r="G697" s="171">
        <v>32.85</v>
      </c>
      <c r="H697" s="171">
        <v>28.13</v>
      </c>
      <c r="I697" s="171">
        <v>33.5</v>
      </c>
      <c r="J697" s="171">
        <v>45.12</v>
      </c>
      <c r="K697" s="171">
        <v>73.400000000000006</v>
      </c>
      <c r="L697" s="171">
        <v>69.930000000000007</v>
      </c>
      <c r="M697" s="171">
        <v>70.100000000000009</v>
      </c>
      <c r="N697" s="171">
        <v>67.040000000000006</v>
      </c>
      <c r="O697" s="171">
        <v>69.69</v>
      </c>
      <c r="P697" s="171">
        <v>67.75</v>
      </c>
      <c r="Q697" s="171">
        <v>65.599999999999994</v>
      </c>
      <c r="R697" s="171">
        <v>63.4</v>
      </c>
      <c r="S697" s="171">
        <v>55.54</v>
      </c>
      <c r="T697" s="171">
        <v>60</v>
      </c>
      <c r="U697" s="171">
        <v>72</v>
      </c>
      <c r="V697" s="171">
        <v>77.62</v>
      </c>
      <c r="W697" s="171">
        <v>69.97</v>
      </c>
      <c r="X697" s="171">
        <v>52.67</v>
      </c>
      <c r="Y697" s="171">
        <v>41.99</v>
      </c>
      <c r="Z697" s="171">
        <v>39.770000000000003</v>
      </c>
      <c r="AA697" s="171">
        <v>38.36</v>
      </c>
      <c r="AB697" s="171">
        <v>77.62</v>
      </c>
      <c r="AC697" s="171">
        <v>39.770000000000003</v>
      </c>
      <c r="AD697" s="171">
        <v>36.22</v>
      </c>
      <c r="AF697" s="171">
        <f t="shared" si="32"/>
        <v>2008</v>
      </c>
      <c r="AG697" s="171">
        <f t="shared" si="33"/>
        <v>9</v>
      </c>
      <c r="AH697" s="700">
        <f>SUMIF(D$3:$AA697,"&lt;="&amp;$AH$1)/COUNTIF(D$3:$AA697,"&lt;="&amp;$AH$1)</f>
        <v>28.690330758898529</v>
      </c>
    </row>
    <row r="698" spans="2:34" x14ac:dyDescent="0.25">
      <c r="B698" s="910">
        <v>39804</v>
      </c>
      <c r="C698" s="581">
        <f t="shared" si="31"/>
        <v>12</v>
      </c>
      <c r="D698" s="171">
        <v>9.0299999999999994</v>
      </c>
      <c r="E698" s="171">
        <v>10.38</v>
      </c>
      <c r="F698" s="171">
        <v>9.18</v>
      </c>
      <c r="G698" s="171">
        <v>9.09</v>
      </c>
      <c r="H698" s="171">
        <v>8.9600000000000009</v>
      </c>
      <c r="I698" s="171">
        <v>9.36</v>
      </c>
      <c r="J698" s="171">
        <v>16.12</v>
      </c>
      <c r="K698" s="171">
        <v>47.53</v>
      </c>
      <c r="L698" s="171">
        <v>55.300000000000004</v>
      </c>
      <c r="M698" s="171">
        <v>61.01</v>
      </c>
      <c r="N698" s="171">
        <v>61.5</v>
      </c>
      <c r="O698" s="171">
        <v>62.660000000000004</v>
      </c>
      <c r="P698" s="171">
        <v>57.99</v>
      </c>
      <c r="Q698" s="171">
        <v>56.25</v>
      </c>
      <c r="R698" s="171">
        <v>51.42</v>
      </c>
      <c r="S698" s="171">
        <v>49.5</v>
      </c>
      <c r="T698" s="171">
        <v>57.85</v>
      </c>
      <c r="U698" s="171">
        <v>81.55</v>
      </c>
      <c r="V698" s="171">
        <v>74.58</v>
      </c>
      <c r="W698" s="171">
        <v>73.27</v>
      </c>
      <c r="X698" s="171">
        <v>60.84</v>
      </c>
      <c r="Y698" s="171">
        <v>45</v>
      </c>
      <c r="Z698" s="171">
        <v>42.47</v>
      </c>
      <c r="AA698" s="171">
        <v>40.89</v>
      </c>
      <c r="AB698" s="171">
        <v>81.55</v>
      </c>
      <c r="AC698" s="171">
        <v>42.47</v>
      </c>
      <c r="AD698" s="171">
        <v>14.13</v>
      </c>
      <c r="AF698" s="171">
        <f t="shared" si="32"/>
        <v>2008</v>
      </c>
      <c r="AG698" s="171">
        <f t="shared" si="33"/>
        <v>9</v>
      </c>
      <c r="AH698" s="700">
        <f>SUMIF(D$3:$AA698,"&lt;="&amp;$AH$1)/COUNTIF(D$3:$AA698,"&lt;="&amp;$AH$1)</f>
        <v>28.673108130762717</v>
      </c>
    </row>
    <row r="699" spans="2:34" x14ac:dyDescent="0.25">
      <c r="B699" s="910">
        <v>39805</v>
      </c>
      <c r="C699" s="581">
        <f t="shared" si="31"/>
        <v>12</v>
      </c>
      <c r="D699" s="171">
        <v>29.39</v>
      </c>
      <c r="E699" s="171">
        <v>24.150000000000002</v>
      </c>
      <c r="F699" s="171">
        <v>16.510000000000002</v>
      </c>
      <c r="G699" s="171">
        <v>9.17</v>
      </c>
      <c r="H699" s="171">
        <v>9</v>
      </c>
      <c r="I699" s="171">
        <v>20.56</v>
      </c>
      <c r="J699" s="171">
        <v>32.090000000000003</v>
      </c>
      <c r="K699" s="171">
        <v>57.75</v>
      </c>
      <c r="L699" s="171">
        <v>49.97</v>
      </c>
      <c r="M699" s="171">
        <v>50.800000000000004</v>
      </c>
      <c r="N699" s="171">
        <v>52.7</v>
      </c>
      <c r="O699" s="171">
        <v>57</v>
      </c>
      <c r="P699" s="171">
        <v>57.1</v>
      </c>
      <c r="Q699" s="171">
        <v>57.71</v>
      </c>
      <c r="R699" s="171">
        <v>54.93</v>
      </c>
      <c r="S699" s="171">
        <v>50.6</v>
      </c>
      <c r="T699" s="171">
        <v>58</v>
      </c>
      <c r="U699" s="171">
        <v>75.25</v>
      </c>
      <c r="V699" s="171">
        <v>67.260000000000005</v>
      </c>
      <c r="W699" s="171">
        <v>62.24</v>
      </c>
      <c r="X699" s="171">
        <v>51.21</v>
      </c>
      <c r="Y699" s="171">
        <v>42.37</v>
      </c>
      <c r="Z699" s="171">
        <v>43.2</v>
      </c>
      <c r="AA699" s="171">
        <v>39.65</v>
      </c>
      <c r="AB699" s="171">
        <v>75.25</v>
      </c>
      <c r="AC699" s="171">
        <v>42.37</v>
      </c>
      <c r="AD699" s="171">
        <v>22.57</v>
      </c>
      <c r="AF699" s="171">
        <f t="shared" si="32"/>
        <v>2008</v>
      </c>
      <c r="AG699" s="171">
        <f t="shared" si="33"/>
        <v>9</v>
      </c>
      <c r="AH699" s="700">
        <f>SUMIF(D$3:$AA699,"&lt;="&amp;$AH$1)/COUNTIF(D$3:$AA699,"&lt;="&amp;$AH$1)</f>
        <v>28.667221292266426</v>
      </c>
    </row>
    <row r="700" spans="2:34" x14ac:dyDescent="0.25">
      <c r="B700" s="910">
        <v>39806</v>
      </c>
      <c r="C700" s="581">
        <f t="shared" si="31"/>
        <v>12</v>
      </c>
      <c r="D700" s="171">
        <v>11.4</v>
      </c>
      <c r="E700" s="171">
        <v>12.9</v>
      </c>
      <c r="F700" s="171">
        <v>16.48</v>
      </c>
      <c r="G700" s="171">
        <v>15.41</v>
      </c>
      <c r="H700" s="171">
        <v>11.82</v>
      </c>
      <c r="I700" s="171">
        <v>16.18</v>
      </c>
      <c r="J700" s="171">
        <v>19.72</v>
      </c>
      <c r="K700" s="171">
        <v>40.99</v>
      </c>
      <c r="L700" s="171">
        <v>49.97</v>
      </c>
      <c r="M700" s="171">
        <v>52.82</v>
      </c>
      <c r="N700" s="171">
        <v>51.14</v>
      </c>
      <c r="O700" s="171">
        <v>52.64</v>
      </c>
      <c r="P700" s="171">
        <v>47.6</v>
      </c>
      <c r="Q700" s="171">
        <v>40.99</v>
      </c>
      <c r="R700" s="171">
        <v>45.12</v>
      </c>
      <c r="S700" s="171">
        <v>54.5</v>
      </c>
      <c r="T700" s="171">
        <v>69.930000000000007</v>
      </c>
      <c r="U700" s="171">
        <v>64</v>
      </c>
      <c r="V700" s="171">
        <v>47.27</v>
      </c>
      <c r="W700" s="171">
        <v>42.99</v>
      </c>
      <c r="X700" s="171">
        <v>37.71</v>
      </c>
      <c r="Y700" s="171">
        <v>33.520000000000003</v>
      </c>
      <c r="Z700" s="171">
        <v>28.79</v>
      </c>
      <c r="AA700" s="171">
        <v>27.79</v>
      </c>
      <c r="AB700" s="171">
        <v>69.930000000000007</v>
      </c>
      <c r="AC700" s="171">
        <v>28.79</v>
      </c>
      <c r="AD700" s="171">
        <v>16.46</v>
      </c>
      <c r="AF700" s="171">
        <f t="shared" si="32"/>
        <v>2008</v>
      </c>
      <c r="AG700" s="171">
        <f t="shared" si="33"/>
        <v>13</v>
      </c>
      <c r="AH700" s="700">
        <f>SUMIF(D$3:$AA700,"&lt;="&amp;$AH$1)/COUNTIF(D$3:$AA700,"&lt;="&amp;$AH$1)</f>
        <v>28.657370970435881</v>
      </c>
    </row>
    <row r="701" spans="2:34" x14ac:dyDescent="0.25">
      <c r="B701" s="910">
        <v>39807</v>
      </c>
      <c r="C701" s="581">
        <f t="shared" si="31"/>
        <v>12</v>
      </c>
      <c r="D701" s="171">
        <v>28.1</v>
      </c>
      <c r="E701" s="171">
        <v>25.490000000000002</v>
      </c>
      <c r="F701" s="171">
        <v>22.27</v>
      </c>
      <c r="G701" s="171">
        <v>14.96</v>
      </c>
      <c r="H701" s="171">
        <v>10.18</v>
      </c>
      <c r="I701" s="171">
        <v>10.9</v>
      </c>
      <c r="J701" s="171">
        <v>6.41</v>
      </c>
      <c r="K701" s="171">
        <v>7.3100000000000005</v>
      </c>
      <c r="L701" s="171">
        <v>8.74</v>
      </c>
      <c r="M701" s="171">
        <v>34.93</v>
      </c>
      <c r="N701" s="171">
        <v>37.89</v>
      </c>
      <c r="O701" s="171">
        <v>38.75</v>
      </c>
      <c r="P701" s="171">
        <v>40.01</v>
      </c>
      <c r="Q701" s="171">
        <v>39.99</v>
      </c>
      <c r="R701" s="171">
        <v>39.119999999999997</v>
      </c>
      <c r="S701" s="171">
        <v>37.56</v>
      </c>
      <c r="T701" s="171">
        <v>39.93</v>
      </c>
      <c r="U701" s="171">
        <v>45</v>
      </c>
      <c r="V701" s="171">
        <v>44.93</v>
      </c>
      <c r="W701" s="171">
        <v>39.83</v>
      </c>
      <c r="X701" s="171">
        <v>40.090000000000003</v>
      </c>
      <c r="Y701" s="171">
        <v>38.03</v>
      </c>
      <c r="Z701" s="171">
        <v>38.200000000000003</v>
      </c>
      <c r="AA701" s="171">
        <v>35</v>
      </c>
      <c r="AB701" s="171">
        <v>45</v>
      </c>
      <c r="AC701" s="171">
        <v>7.3100000000000005</v>
      </c>
      <c r="AD701" s="171">
        <v>16.46</v>
      </c>
      <c r="AF701" s="171">
        <f t="shared" si="32"/>
        <v>2008</v>
      </c>
      <c r="AG701" s="171">
        <f t="shared" si="33"/>
        <v>22</v>
      </c>
      <c r="AH701" s="700">
        <f>SUMIF(D$3:$AA701,"&lt;="&amp;$AH$1)/COUNTIF(D$3:$AA701,"&lt;="&amp;$AH$1)</f>
        <v>28.657908137793235</v>
      </c>
    </row>
    <row r="702" spans="2:34" x14ac:dyDescent="0.25">
      <c r="B702" s="910">
        <v>39808</v>
      </c>
      <c r="C702" s="581">
        <f t="shared" si="31"/>
        <v>12</v>
      </c>
      <c r="D702" s="171">
        <v>34.22</v>
      </c>
      <c r="E702" s="171">
        <v>17.13</v>
      </c>
      <c r="F702" s="171">
        <v>14.72</v>
      </c>
      <c r="G702" s="171">
        <v>13.68</v>
      </c>
      <c r="H702" s="171">
        <v>1.37</v>
      </c>
      <c r="I702" s="171">
        <v>6.9</v>
      </c>
      <c r="J702" s="171">
        <v>10.74</v>
      </c>
      <c r="K702" s="171">
        <v>22.13</v>
      </c>
      <c r="L702" s="171">
        <v>38.050000000000004</v>
      </c>
      <c r="M702" s="171">
        <v>48.46</v>
      </c>
      <c r="N702" s="171">
        <v>51.04</v>
      </c>
      <c r="O702" s="171">
        <v>59.99</v>
      </c>
      <c r="P702" s="171">
        <v>51.51</v>
      </c>
      <c r="Q702" s="171">
        <v>50.2</v>
      </c>
      <c r="R702" s="171">
        <v>47.51</v>
      </c>
      <c r="S702" s="171">
        <v>44.4</v>
      </c>
      <c r="T702" s="171">
        <v>42.56</v>
      </c>
      <c r="U702" s="171">
        <v>63.53</v>
      </c>
      <c r="V702" s="171">
        <v>70.3</v>
      </c>
      <c r="W702" s="171">
        <v>68.989999999999995</v>
      </c>
      <c r="X702" s="171">
        <v>65.16</v>
      </c>
      <c r="Y702" s="171">
        <v>44.93</v>
      </c>
      <c r="Z702" s="171">
        <v>57.2</v>
      </c>
      <c r="AA702" s="171">
        <v>49.980000000000004</v>
      </c>
      <c r="AB702" s="171">
        <v>70.3</v>
      </c>
      <c r="AC702" s="171">
        <v>22.13</v>
      </c>
      <c r="AD702" s="171">
        <v>16.46</v>
      </c>
      <c r="AF702" s="171">
        <f t="shared" si="32"/>
        <v>2008</v>
      </c>
      <c r="AG702" s="171">
        <f t="shared" si="33"/>
        <v>9</v>
      </c>
      <c r="AH702" s="700">
        <f>SUMIF(D$3:$AA702,"&lt;="&amp;$AH$1)/COUNTIF(D$3:$AA702,"&lt;="&amp;$AH$1)</f>
        <v>28.641460618145487</v>
      </c>
    </row>
    <row r="703" spans="2:34" x14ac:dyDescent="0.25">
      <c r="B703" s="910">
        <v>39811</v>
      </c>
      <c r="C703" s="581">
        <f t="shared" si="31"/>
        <v>12</v>
      </c>
      <c r="D703" s="171">
        <v>45.15</v>
      </c>
      <c r="E703" s="171">
        <v>38.83</v>
      </c>
      <c r="F703" s="171">
        <v>35</v>
      </c>
      <c r="G703" s="171">
        <v>30.29</v>
      </c>
      <c r="H703" s="171">
        <v>28.77</v>
      </c>
      <c r="I703" s="171">
        <v>35</v>
      </c>
      <c r="J703" s="171">
        <v>38.090000000000003</v>
      </c>
      <c r="K703" s="171">
        <v>43.02</v>
      </c>
      <c r="L703" s="171">
        <v>50</v>
      </c>
      <c r="M703" s="171">
        <v>54.65</v>
      </c>
      <c r="N703" s="171">
        <v>61.230000000000004</v>
      </c>
      <c r="O703" s="171">
        <v>64.960000000000008</v>
      </c>
      <c r="P703" s="171">
        <v>65.62</v>
      </c>
      <c r="Q703" s="171">
        <v>59.59</v>
      </c>
      <c r="R703" s="171">
        <v>56.07</v>
      </c>
      <c r="S703" s="171">
        <v>48.86</v>
      </c>
      <c r="T703" s="171">
        <v>50.58</v>
      </c>
      <c r="U703" s="171">
        <v>67.849999999999994</v>
      </c>
      <c r="V703" s="171">
        <v>72.91</v>
      </c>
      <c r="W703" s="171">
        <v>68.41</v>
      </c>
      <c r="X703" s="171">
        <v>65.23</v>
      </c>
      <c r="Y703" s="171">
        <v>56.99</v>
      </c>
      <c r="Z703" s="171">
        <v>54.96</v>
      </c>
      <c r="AA703" s="171">
        <v>51.6</v>
      </c>
      <c r="AB703" s="171">
        <v>72.91</v>
      </c>
      <c r="AC703" s="171">
        <v>43.02</v>
      </c>
      <c r="AD703" s="171">
        <v>37.840000000000003</v>
      </c>
      <c r="AF703" s="171">
        <f t="shared" si="32"/>
        <v>2008</v>
      </c>
      <c r="AG703" s="171">
        <f t="shared" si="33"/>
        <v>6</v>
      </c>
      <c r="AH703" s="700">
        <f>SUMIF(D$3:$AA703,"&lt;="&amp;$AH$1)/COUNTIF(D$3:$AA703,"&lt;="&amp;$AH$1)</f>
        <v>28.647126494023823</v>
      </c>
    </row>
    <row r="704" spans="2:34" x14ac:dyDescent="0.25">
      <c r="B704" s="910">
        <v>39812</v>
      </c>
      <c r="C704" s="581">
        <f t="shared" si="31"/>
        <v>12</v>
      </c>
      <c r="D704" s="171">
        <v>46.28</v>
      </c>
      <c r="E704" s="171">
        <v>49.54</v>
      </c>
      <c r="F704" s="171">
        <v>43.83</v>
      </c>
      <c r="G704" s="171">
        <v>38.29</v>
      </c>
      <c r="H704" s="171">
        <v>35</v>
      </c>
      <c r="I704" s="171">
        <v>40.85</v>
      </c>
      <c r="J704" s="171">
        <v>42.79</v>
      </c>
      <c r="K704" s="171">
        <v>44.99</v>
      </c>
      <c r="L704" s="171">
        <v>54</v>
      </c>
      <c r="M704" s="171">
        <v>65.41</v>
      </c>
      <c r="N704" s="171">
        <v>65.320000000000007</v>
      </c>
      <c r="O704" s="171">
        <v>64</v>
      </c>
      <c r="P704" s="171">
        <v>64.150000000000006</v>
      </c>
      <c r="Q704" s="171">
        <v>60.5</v>
      </c>
      <c r="R704" s="171">
        <v>54.71</v>
      </c>
      <c r="S704" s="171">
        <v>50</v>
      </c>
      <c r="T704" s="171">
        <v>52.82</v>
      </c>
      <c r="U704" s="171">
        <v>69.600000000000009</v>
      </c>
      <c r="V704" s="171">
        <v>71.290000000000006</v>
      </c>
      <c r="W704" s="171">
        <v>68.66</v>
      </c>
      <c r="X704" s="171">
        <v>60.68</v>
      </c>
      <c r="Y704" s="171">
        <v>45.6</v>
      </c>
      <c r="Z704" s="171">
        <v>45</v>
      </c>
      <c r="AA704" s="171">
        <v>45</v>
      </c>
      <c r="AB704" s="171">
        <v>71.290000000000006</v>
      </c>
      <c r="AC704" s="171">
        <v>44.99</v>
      </c>
      <c r="AD704" s="171">
        <v>42.7</v>
      </c>
      <c r="AF704" s="171">
        <f t="shared" si="32"/>
        <v>2008</v>
      </c>
      <c r="AG704" s="171">
        <f t="shared" si="33"/>
        <v>3</v>
      </c>
      <c r="AH704" s="700">
        <f>SUMIF(D$3:$AA704,"&lt;="&amp;$AH$1)/COUNTIF(D$3:$AA704,"&lt;="&amp;$AH$1)</f>
        <v>28.651805209888757</v>
      </c>
    </row>
    <row r="705" spans="2:34" x14ac:dyDescent="0.25">
      <c r="B705" s="910">
        <v>39813</v>
      </c>
      <c r="C705" s="581">
        <f t="shared" si="31"/>
        <v>12</v>
      </c>
      <c r="D705" s="171">
        <v>38.19</v>
      </c>
      <c r="E705" s="171">
        <v>37.39</v>
      </c>
      <c r="F705" s="171">
        <v>36.300000000000004</v>
      </c>
      <c r="G705" s="171">
        <v>31.1</v>
      </c>
      <c r="H705" s="171">
        <v>29.310000000000002</v>
      </c>
      <c r="I705" s="171">
        <v>29.45</v>
      </c>
      <c r="J705" s="171">
        <v>41</v>
      </c>
      <c r="K705" s="171">
        <v>49.96</v>
      </c>
      <c r="L705" s="171">
        <v>51.04</v>
      </c>
      <c r="M705" s="171">
        <v>57.1</v>
      </c>
      <c r="N705" s="171">
        <v>60.09</v>
      </c>
      <c r="O705" s="171">
        <v>60.03</v>
      </c>
      <c r="P705" s="171">
        <v>61.620000000000005</v>
      </c>
      <c r="Q705" s="171">
        <v>54.31</v>
      </c>
      <c r="R705" s="171">
        <v>50</v>
      </c>
      <c r="S705" s="171">
        <v>44.96</v>
      </c>
      <c r="T705" s="171">
        <v>47.85</v>
      </c>
      <c r="U705" s="171">
        <v>63</v>
      </c>
      <c r="V705" s="171">
        <v>62.92</v>
      </c>
      <c r="W705" s="171">
        <v>49.93</v>
      </c>
      <c r="X705" s="171">
        <v>44.24</v>
      </c>
      <c r="Y705" s="171">
        <v>40</v>
      </c>
      <c r="Z705" s="171">
        <v>42.94</v>
      </c>
      <c r="AA705" s="171">
        <v>42.1</v>
      </c>
      <c r="AB705" s="171">
        <v>63</v>
      </c>
      <c r="AC705" s="171">
        <v>40</v>
      </c>
      <c r="AD705" s="171">
        <v>35.6</v>
      </c>
      <c r="AF705" s="171">
        <f t="shared" si="32"/>
        <v>2008</v>
      </c>
      <c r="AG705" s="171">
        <f t="shared" si="33"/>
        <v>9</v>
      </c>
      <c r="AH705" s="700">
        <f>SUMIF(D$3:$AA705,"&lt;="&amp;$AH$1)/COUNTIF(D$3:$AA705,"&lt;="&amp;$AH$1)</f>
        <v>28.66290092776666</v>
      </c>
    </row>
    <row r="706" spans="2:34" x14ac:dyDescent="0.25">
      <c r="B706" s="910">
        <v>39814</v>
      </c>
      <c r="C706" s="581">
        <f t="shared" si="31"/>
        <v>1</v>
      </c>
      <c r="D706" s="171">
        <v>49.32</v>
      </c>
      <c r="E706" s="171">
        <v>52.17</v>
      </c>
      <c r="F706" s="171">
        <v>48.5</v>
      </c>
      <c r="G706" s="171">
        <v>37.47</v>
      </c>
      <c r="H706" s="171">
        <v>24.93</v>
      </c>
      <c r="I706" s="171">
        <v>19.75</v>
      </c>
      <c r="J706" s="171">
        <v>14.620000000000001</v>
      </c>
      <c r="K706" s="171">
        <v>17.57</v>
      </c>
      <c r="L706" s="171">
        <v>13.030000000000001</v>
      </c>
      <c r="M706" s="171">
        <v>12</v>
      </c>
      <c r="N706" s="171">
        <v>29.6</v>
      </c>
      <c r="O706" s="171">
        <v>39.96</v>
      </c>
      <c r="P706" s="171">
        <v>44.86</v>
      </c>
      <c r="Q706" s="171">
        <v>41.89</v>
      </c>
      <c r="R706" s="171">
        <v>39.96</v>
      </c>
      <c r="S706" s="171">
        <v>36</v>
      </c>
      <c r="T706" s="171">
        <v>36</v>
      </c>
      <c r="U706" s="171">
        <v>44.87</v>
      </c>
      <c r="V706" s="171">
        <v>49.99</v>
      </c>
      <c r="W706" s="171">
        <v>56.68</v>
      </c>
      <c r="X706" s="171">
        <v>56.76</v>
      </c>
      <c r="Y706" s="171">
        <v>51.230000000000004</v>
      </c>
      <c r="Z706" s="171">
        <v>55.31</v>
      </c>
      <c r="AA706" s="171">
        <v>47.08</v>
      </c>
      <c r="AB706" s="171">
        <v>56.76</v>
      </c>
      <c r="AC706" s="171">
        <v>12</v>
      </c>
      <c r="AD706" s="171">
        <v>35.6</v>
      </c>
      <c r="AF706" s="171">
        <f t="shared" si="32"/>
        <v>2009</v>
      </c>
      <c r="AG706" s="171">
        <f t="shared" si="33"/>
        <v>13</v>
      </c>
      <c r="AH706" s="700">
        <f>SUMIF(D$3:$AA706,"&lt;="&amp;$AH$1)/COUNTIF(D$3:$AA706,"&lt;="&amp;$AH$1)</f>
        <v>28.661274590841387</v>
      </c>
    </row>
    <row r="707" spans="2:34" x14ac:dyDescent="0.25">
      <c r="B707" s="910">
        <v>39815</v>
      </c>
      <c r="C707" s="581">
        <f t="shared" si="31"/>
        <v>1</v>
      </c>
      <c r="D707" s="171">
        <v>43.87</v>
      </c>
      <c r="E707" s="171">
        <v>39.58</v>
      </c>
      <c r="F707" s="171">
        <v>34.67</v>
      </c>
      <c r="G707" s="171">
        <v>30.28</v>
      </c>
      <c r="H707" s="171">
        <v>24.79</v>
      </c>
      <c r="I707" s="171">
        <v>26.45</v>
      </c>
      <c r="J707" s="171">
        <v>23.79</v>
      </c>
      <c r="K707" s="171">
        <v>38.99</v>
      </c>
      <c r="L707" s="171">
        <v>42</v>
      </c>
      <c r="M707" s="171">
        <v>48.09</v>
      </c>
      <c r="N707" s="171">
        <v>52.94</v>
      </c>
      <c r="O707" s="171">
        <v>57.11</v>
      </c>
      <c r="P707" s="171">
        <v>60</v>
      </c>
      <c r="Q707" s="171">
        <v>54.65</v>
      </c>
      <c r="R707" s="171">
        <v>49.96</v>
      </c>
      <c r="S707" s="171">
        <v>47.160000000000004</v>
      </c>
      <c r="T707" s="171">
        <v>46.32</v>
      </c>
      <c r="U707" s="171">
        <v>60.82</v>
      </c>
      <c r="V707" s="171">
        <v>69.16</v>
      </c>
      <c r="W707" s="171">
        <v>71.040000000000006</v>
      </c>
      <c r="X707" s="171">
        <v>60.33</v>
      </c>
      <c r="Y707" s="171">
        <v>50.39</v>
      </c>
      <c r="Z707" s="171">
        <v>56.24</v>
      </c>
      <c r="AA707" s="171">
        <v>56.34</v>
      </c>
      <c r="AB707" s="171">
        <v>71.040000000000006</v>
      </c>
      <c r="AC707" s="171">
        <v>38.99</v>
      </c>
      <c r="AD707" s="171">
        <v>34.97</v>
      </c>
      <c r="AF707" s="171">
        <f t="shared" si="32"/>
        <v>2009</v>
      </c>
      <c r="AG707" s="171">
        <f t="shared" si="33"/>
        <v>8</v>
      </c>
      <c r="AH707" s="700">
        <f>SUMIF(D$3:$AA707,"&lt;="&amp;$AH$1)/COUNTIF(D$3:$AA707,"&lt;="&amp;$AH$1)</f>
        <v>28.666435529139768</v>
      </c>
    </row>
    <row r="708" spans="2:34" x14ac:dyDescent="0.25">
      <c r="B708" s="910">
        <v>39818</v>
      </c>
      <c r="C708" s="581">
        <f t="shared" ref="C708:C771" si="34">MONTH(B708)</f>
        <v>1</v>
      </c>
      <c r="D708" s="171">
        <v>45.34</v>
      </c>
      <c r="E708" s="171">
        <v>44.43</v>
      </c>
      <c r="F708" s="171">
        <v>38.76</v>
      </c>
      <c r="G708" s="171">
        <v>34.56</v>
      </c>
      <c r="H708" s="171">
        <v>29</v>
      </c>
      <c r="I708" s="171">
        <v>33.92</v>
      </c>
      <c r="J708" s="171">
        <v>43.2</v>
      </c>
      <c r="K708" s="171">
        <v>52</v>
      </c>
      <c r="L708" s="171">
        <v>69.38</v>
      </c>
      <c r="M708" s="171">
        <v>75.36</v>
      </c>
      <c r="N708" s="171">
        <v>80.5</v>
      </c>
      <c r="O708" s="171">
        <v>81</v>
      </c>
      <c r="P708" s="171">
        <v>73.62</v>
      </c>
      <c r="Q708" s="171">
        <v>75</v>
      </c>
      <c r="R708" s="171">
        <v>70.34</v>
      </c>
      <c r="S708" s="171">
        <v>76</v>
      </c>
      <c r="T708" s="171">
        <v>82.01</v>
      </c>
      <c r="U708" s="171">
        <v>90</v>
      </c>
      <c r="V708" s="171">
        <v>105</v>
      </c>
      <c r="W708" s="171">
        <v>80</v>
      </c>
      <c r="X708" s="171">
        <v>59</v>
      </c>
      <c r="Y708" s="171">
        <v>50</v>
      </c>
      <c r="Z708" s="171">
        <v>47.99</v>
      </c>
      <c r="AA708" s="171">
        <v>49</v>
      </c>
      <c r="AB708" s="171">
        <v>105</v>
      </c>
      <c r="AC708" s="171">
        <v>47.99</v>
      </c>
      <c r="AD708" s="171">
        <v>39.78</v>
      </c>
      <c r="AF708" s="171">
        <f t="shared" ref="AF708:AF771" si="35">YEAR(B708)</f>
        <v>2009</v>
      </c>
      <c r="AG708" s="171">
        <f t="shared" ref="AG708:AG771" si="36">COUNTIF(D708:AA708,"&lt;="&amp;$AH$1)</f>
        <v>4</v>
      </c>
      <c r="AH708" s="700">
        <f>SUMIF(D$3:$AA708,"&lt;="&amp;$AH$1)/COUNTIF(D$3:$AA708,"&lt;="&amp;$AH$1)</f>
        <v>28.66999505032166</v>
      </c>
    </row>
    <row r="709" spans="2:34" x14ac:dyDescent="0.25">
      <c r="B709" s="910">
        <v>39819</v>
      </c>
      <c r="C709" s="581">
        <f t="shared" si="34"/>
        <v>1</v>
      </c>
      <c r="D709" s="171">
        <v>41.78</v>
      </c>
      <c r="E709" s="171">
        <v>39.4</v>
      </c>
      <c r="F709" s="171">
        <v>38.5</v>
      </c>
      <c r="G709" s="171">
        <v>38.93</v>
      </c>
      <c r="H709" s="171">
        <v>39.050000000000004</v>
      </c>
      <c r="I709" s="171">
        <v>35.6</v>
      </c>
      <c r="J709" s="171">
        <v>44.93</v>
      </c>
      <c r="K709" s="171">
        <v>54.99</v>
      </c>
      <c r="L709" s="171">
        <v>77</v>
      </c>
      <c r="M709" s="171">
        <v>80.12</v>
      </c>
      <c r="N709" s="171">
        <v>81.010000000000005</v>
      </c>
      <c r="O709" s="171">
        <v>79.260000000000005</v>
      </c>
      <c r="P709" s="171">
        <v>74.960000000000008</v>
      </c>
      <c r="Q709" s="171">
        <v>75.989999999999995</v>
      </c>
      <c r="R709" s="171">
        <v>67.02</v>
      </c>
      <c r="S709" s="171">
        <v>64.3</v>
      </c>
      <c r="T709" s="171">
        <v>73.75</v>
      </c>
      <c r="U709" s="171">
        <v>110</v>
      </c>
      <c r="V709" s="171">
        <v>91.26</v>
      </c>
      <c r="W709" s="171">
        <v>67.02</v>
      </c>
      <c r="X709" s="171">
        <v>61.480000000000004</v>
      </c>
      <c r="Y709" s="171">
        <v>49.96</v>
      </c>
      <c r="Z709" s="171">
        <v>44.93</v>
      </c>
      <c r="AA709" s="171">
        <v>42.83</v>
      </c>
      <c r="AB709" s="171">
        <v>110</v>
      </c>
      <c r="AC709" s="171">
        <v>44.93</v>
      </c>
      <c r="AD709" s="171">
        <v>40.130000000000003</v>
      </c>
      <c r="AF709" s="171">
        <f t="shared" si="35"/>
        <v>2009</v>
      </c>
      <c r="AG709" s="171">
        <f t="shared" si="36"/>
        <v>6</v>
      </c>
      <c r="AH709" s="700">
        <f>SUMIF(D$3:$AA709,"&lt;="&amp;$AH$1)/COUNTIF(D$3:$AA709,"&lt;="&amp;$AH$1)</f>
        <v>28.680089006098495</v>
      </c>
    </row>
    <row r="710" spans="2:34" x14ac:dyDescent="0.25">
      <c r="B710" s="910">
        <v>39820</v>
      </c>
      <c r="C710" s="581">
        <f t="shared" si="34"/>
        <v>1</v>
      </c>
      <c r="D710" s="171">
        <v>41.37</v>
      </c>
      <c r="E710" s="171">
        <v>35.54</v>
      </c>
      <c r="F710" s="171">
        <v>35.17</v>
      </c>
      <c r="G710" s="171">
        <v>37</v>
      </c>
      <c r="H710" s="171">
        <v>39.99</v>
      </c>
      <c r="I710" s="171">
        <v>39.97</v>
      </c>
      <c r="J710" s="171">
        <v>47.03</v>
      </c>
      <c r="K710" s="171">
        <v>64</v>
      </c>
      <c r="L710" s="171">
        <v>81.680000000000007</v>
      </c>
      <c r="M710" s="171">
        <v>88.43</v>
      </c>
      <c r="N710" s="171">
        <v>89.960000000000008</v>
      </c>
      <c r="O710" s="171">
        <v>84.93</v>
      </c>
      <c r="P710" s="171">
        <v>80</v>
      </c>
      <c r="Q710" s="171">
        <v>79.02</v>
      </c>
      <c r="R710" s="171">
        <v>75.850000000000009</v>
      </c>
      <c r="S710" s="171">
        <v>70.2</v>
      </c>
      <c r="T710" s="171">
        <v>80.540000000000006</v>
      </c>
      <c r="U710" s="171">
        <v>105</v>
      </c>
      <c r="V710" s="171">
        <v>100.78</v>
      </c>
      <c r="W710" s="171">
        <v>78</v>
      </c>
      <c r="X710" s="171">
        <v>65</v>
      </c>
      <c r="Y710" s="171">
        <v>57</v>
      </c>
      <c r="Z710" s="171">
        <v>50.77</v>
      </c>
      <c r="AA710" s="171">
        <v>47</v>
      </c>
      <c r="AB710" s="171">
        <v>105</v>
      </c>
      <c r="AC710" s="171">
        <v>50.77</v>
      </c>
      <c r="AD710" s="171">
        <v>40.380000000000003</v>
      </c>
      <c r="AF710" s="171">
        <f t="shared" si="35"/>
        <v>2009</v>
      </c>
      <c r="AG710" s="171">
        <f t="shared" si="36"/>
        <v>6</v>
      </c>
      <c r="AH710" s="700">
        <f>SUMIF(D$3:$AA710,"&lt;="&amp;$AH$1)/COUNTIF(D$3:$AA710,"&lt;="&amp;$AH$1)</f>
        <v>28.68946813765842</v>
      </c>
    </row>
    <row r="711" spans="2:34" x14ac:dyDescent="0.25">
      <c r="B711" s="910">
        <v>39821</v>
      </c>
      <c r="C711" s="581">
        <f t="shared" si="34"/>
        <v>1</v>
      </c>
      <c r="D711" s="171">
        <v>48</v>
      </c>
      <c r="E711" s="171">
        <v>41.910000000000004</v>
      </c>
      <c r="F711" s="171">
        <v>40.200000000000003</v>
      </c>
      <c r="G711" s="171">
        <v>39.72</v>
      </c>
      <c r="H711" s="171">
        <v>40.28</v>
      </c>
      <c r="I711" s="171">
        <v>45</v>
      </c>
      <c r="J711" s="171">
        <v>54</v>
      </c>
      <c r="K711" s="171">
        <v>77.600000000000009</v>
      </c>
      <c r="L711" s="171">
        <v>88.17</v>
      </c>
      <c r="M711" s="171">
        <v>91.27</v>
      </c>
      <c r="N711" s="171">
        <v>91.4</v>
      </c>
      <c r="O711" s="171">
        <v>95.52</v>
      </c>
      <c r="P711" s="171">
        <v>91.45</v>
      </c>
      <c r="Q711" s="171">
        <v>89.95</v>
      </c>
      <c r="R711" s="171">
        <v>83.89</v>
      </c>
      <c r="S711" s="171">
        <v>80.09</v>
      </c>
      <c r="T711" s="171">
        <v>90.01</v>
      </c>
      <c r="U711" s="171">
        <v>101.88</v>
      </c>
      <c r="V711" s="171">
        <v>116</v>
      </c>
      <c r="W711" s="171">
        <v>83.02</v>
      </c>
      <c r="X711" s="171">
        <v>74.100000000000009</v>
      </c>
      <c r="Y711" s="171">
        <v>60</v>
      </c>
      <c r="Z711" s="171">
        <v>56</v>
      </c>
      <c r="AA711" s="171">
        <v>46.79</v>
      </c>
      <c r="AB711" s="171">
        <v>116</v>
      </c>
      <c r="AC711" s="171">
        <v>56</v>
      </c>
      <c r="AD711" s="171">
        <v>44.49</v>
      </c>
      <c r="AF711" s="171">
        <f t="shared" si="35"/>
        <v>2009</v>
      </c>
      <c r="AG711" s="171">
        <f t="shared" si="36"/>
        <v>4</v>
      </c>
      <c r="AH711" s="700">
        <f>SUMIF(D$3:$AA711,"&lt;="&amp;$AH$1)/COUNTIF(D$3:$AA711,"&lt;="&amp;$AH$1)</f>
        <v>28.697260161263713</v>
      </c>
    </row>
    <row r="712" spans="2:34" x14ac:dyDescent="0.25">
      <c r="B712" s="910">
        <v>39822</v>
      </c>
      <c r="C712" s="581">
        <f t="shared" si="34"/>
        <v>1</v>
      </c>
      <c r="D712" s="171">
        <v>51</v>
      </c>
      <c r="E712" s="171">
        <v>45.77</v>
      </c>
      <c r="F712" s="171">
        <v>44</v>
      </c>
      <c r="G712" s="171">
        <v>43.13</v>
      </c>
      <c r="H712" s="171">
        <v>43.39</v>
      </c>
      <c r="I712" s="171">
        <v>47.32</v>
      </c>
      <c r="J712" s="171">
        <v>62.46</v>
      </c>
      <c r="K712" s="171">
        <v>101.2</v>
      </c>
      <c r="L712" s="171">
        <v>133.75</v>
      </c>
      <c r="M712" s="171">
        <v>141.74</v>
      </c>
      <c r="N712" s="171">
        <v>142.38</v>
      </c>
      <c r="O712" s="171">
        <v>132.28</v>
      </c>
      <c r="P712" s="171">
        <v>98.91</v>
      </c>
      <c r="Q712" s="171">
        <v>90.710000000000008</v>
      </c>
      <c r="R712" s="171">
        <v>85.51</v>
      </c>
      <c r="S712" s="171">
        <v>76</v>
      </c>
      <c r="T712" s="171">
        <v>79.47</v>
      </c>
      <c r="U712" s="171">
        <v>95.56</v>
      </c>
      <c r="V712" s="171">
        <v>101.05</v>
      </c>
      <c r="W712" s="171">
        <v>95</v>
      </c>
      <c r="X712" s="171">
        <v>77.540000000000006</v>
      </c>
      <c r="Y712" s="171">
        <v>64.52</v>
      </c>
      <c r="Z712" s="171">
        <v>62</v>
      </c>
      <c r="AA712" s="171">
        <v>60.120000000000005</v>
      </c>
      <c r="AB712" s="171">
        <v>142.38</v>
      </c>
      <c r="AC712" s="171">
        <v>62</v>
      </c>
      <c r="AD712" s="171">
        <v>49.65</v>
      </c>
      <c r="AF712" s="171">
        <f t="shared" si="35"/>
        <v>2009</v>
      </c>
      <c r="AG712" s="171">
        <f t="shared" si="36"/>
        <v>0</v>
      </c>
      <c r="AH712" s="700">
        <f>SUMIF(D$3:$AA712,"&lt;="&amp;$AH$1)/COUNTIF(D$3:$AA712,"&lt;="&amp;$AH$1)</f>
        <v>28.697260161263713</v>
      </c>
    </row>
    <row r="713" spans="2:34" x14ac:dyDescent="0.25">
      <c r="B713" s="910">
        <v>39825</v>
      </c>
      <c r="C713" s="581">
        <f t="shared" si="34"/>
        <v>1</v>
      </c>
      <c r="D713" s="171">
        <v>36</v>
      </c>
      <c r="E713" s="171">
        <v>30.42</v>
      </c>
      <c r="F713" s="171">
        <v>31</v>
      </c>
      <c r="G713" s="171">
        <v>27.19</v>
      </c>
      <c r="H713" s="171">
        <v>26.97</v>
      </c>
      <c r="I713" s="171">
        <v>28.03</v>
      </c>
      <c r="J713" s="171">
        <v>40</v>
      </c>
      <c r="K713" s="171">
        <v>62.410000000000004</v>
      </c>
      <c r="L713" s="171">
        <v>77</v>
      </c>
      <c r="M713" s="171">
        <v>92.960000000000008</v>
      </c>
      <c r="N713" s="171">
        <v>86.55</v>
      </c>
      <c r="O713" s="171">
        <v>85.01</v>
      </c>
      <c r="P713" s="171">
        <v>77.650000000000006</v>
      </c>
      <c r="Q713" s="171">
        <v>75</v>
      </c>
      <c r="R713" s="171">
        <v>70.600000000000009</v>
      </c>
      <c r="S713" s="171">
        <v>64.849999999999994</v>
      </c>
      <c r="T713" s="171">
        <v>68.39</v>
      </c>
      <c r="U713" s="171">
        <v>83</v>
      </c>
      <c r="V713" s="171">
        <v>100.06</v>
      </c>
      <c r="W713" s="171">
        <v>78.09</v>
      </c>
      <c r="X713" s="171">
        <v>61.2</v>
      </c>
      <c r="Y713" s="171">
        <v>54.53</v>
      </c>
      <c r="Z713" s="171">
        <v>50.99</v>
      </c>
      <c r="AA713" s="171">
        <v>41.17</v>
      </c>
      <c r="AB713" s="171">
        <v>100.06</v>
      </c>
      <c r="AC713" s="171">
        <v>50.99</v>
      </c>
      <c r="AD713" s="171">
        <v>32.6</v>
      </c>
      <c r="AF713" s="171">
        <f t="shared" si="35"/>
        <v>2009</v>
      </c>
      <c r="AG713" s="171">
        <f t="shared" si="36"/>
        <v>8</v>
      </c>
      <c r="AH713" s="700">
        <f>SUMIF(D$3:$AA713,"&lt;="&amp;$AH$1)/COUNTIF(D$3:$AA713,"&lt;="&amp;$AH$1)</f>
        <v>28.702387838948169</v>
      </c>
    </row>
    <row r="714" spans="2:34" x14ac:dyDescent="0.25">
      <c r="B714" s="910">
        <v>39826</v>
      </c>
      <c r="C714" s="581">
        <f t="shared" si="34"/>
        <v>1</v>
      </c>
      <c r="D714" s="171">
        <v>40.06</v>
      </c>
      <c r="E714" s="171">
        <v>37.06</v>
      </c>
      <c r="F714" s="171">
        <v>39</v>
      </c>
      <c r="G714" s="171">
        <v>33.75</v>
      </c>
      <c r="H714" s="171">
        <v>32.980000000000004</v>
      </c>
      <c r="I714" s="171">
        <v>40.85</v>
      </c>
      <c r="J714" s="171">
        <v>44.93</v>
      </c>
      <c r="K714" s="171">
        <v>69.540000000000006</v>
      </c>
      <c r="L714" s="171">
        <v>85.39</v>
      </c>
      <c r="M714" s="171">
        <v>93.820000000000007</v>
      </c>
      <c r="N714" s="171">
        <v>94.460000000000008</v>
      </c>
      <c r="O714" s="171">
        <v>100</v>
      </c>
      <c r="P714" s="171">
        <v>80.12</v>
      </c>
      <c r="Q714" s="171">
        <v>93.820000000000007</v>
      </c>
      <c r="R714" s="171">
        <v>76.52</v>
      </c>
      <c r="S714" s="171">
        <v>80</v>
      </c>
      <c r="T714" s="171">
        <v>82</v>
      </c>
      <c r="U714" s="171">
        <v>96.67</v>
      </c>
      <c r="V714" s="171">
        <v>106.68</v>
      </c>
      <c r="W714" s="171">
        <v>91</v>
      </c>
      <c r="X714" s="171">
        <v>75.53</v>
      </c>
      <c r="Y714" s="171">
        <v>61</v>
      </c>
      <c r="Z714" s="171">
        <v>58.97</v>
      </c>
      <c r="AA714" s="171">
        <v>54.800000000000004</v>
      </c>
      <c r="AB714" s="171">
        <v>106.68</v>
      </c>
      <c r="AC714" s="171">
        <v>58.97</v>
      </c>
      <c r="AD714" s="171">
        <v>40.43</v>
      </c>
      <c r="AF714" s="171">
        <f t="shared" si="35"/>
        <v>2009</v>
      </c>
      <c r="AG714" s="171">
        <f t="shared" si="36"/>
        <v>6</v>
      </c>
      <c r="AH714" s="700">
        <f>SUMIF(D$3:$AA714,"&lt;="&amp;$AH$1)/COUNTIF(D$3:$AA714,"&lt;="&amp;$AH$1)</f>
        <v>28.710840584468826</v>
      </c>
    </row>
    <row r="715" spans="2:34" x14ac:dyDescent="0.25">
      <c r="B715" s="910">
        <v>39827</v>
      </c>
      <c r="C715" s="581">
        <f t="shared" si="34"/>
        <v>1</v>
      </c>
      <c r="D715" s="171">
        <v>50.050000000000004</v>
      </c>
      <c r="E715" s="171">
        <v>47</v>
      </c>
      <c r="F715" s="171">
        <v>44.99</v>
      </c>
      <c r="G715" s="171">
        <v>39.17</v>
      </c>
      <c r="H715" s="171">
        <v>38.57</v>
      </c>
      <c r="I715" s="171">
        <v>43.58</v>
      </c>
      <c r="J715" s="171">
        <v>57.370000000000005</v>
      </c>
      <c r="K715" s="171">
        <v>80.94</v>
      </c>
      <c r="L715" s="171">
        <v>88.36</v>
      </c>
      <c r="M715" s="171">
        <v>90.34</v>
      </c>
      <c r="N715" s="171">
        <v>89.960000000000008</v>
      </c>
      <c r="O715" s="171">
        <v>92.16</v>
      </c>
      <c r="P715" s="171">
        <v>88.5</v>
      </c>
      <c r="Q715" s="171">
        <v>86.77</v>
      </c>
      <c r="R715" s="171">
        <v>85.18</v>
      </c>
      <c r="S715" s="171">
        <v>80.3</v>
      </c>
      <c r="T715" s="171">
        <v>80.070000000000007</v>
      </c>
      <c r="U715" s="171">
        <v>92.8</v>
      </c>
      <c r="V715" s="171">
        <v>105</v>
      </c>
      <c r="W715" s="171">
        <v>94.09</v>
      </c>
      <c r="X715" s="171">
        <v>84.13</v>
      </c>
      <c r="Y715" s="171">
        <v>69</v>
      </c>
      <c r="Z715" s="171">
        <v>65.87</v>
      </c>
      <c r="AA715" s="171">
        <v>64.400000000000006</v>
      </c>
      <c r="AB715" s="171">
        <v>105</v>
      </c>
      <c r="AC715" s="171">
        <v>65.87</v>
      </c>
      <c r="AD715" s="171">
        <v>48.14</v>
      </c>
      <c r="AF715" s="171">
        <f t="shared" si="35"/>
        <v>2009</v>
      </c>
      <c r="AG715" s="171">
        <f t="shared" si="36"/>
        <v>2</v>
      </c>
      <c r="AH715" s="700">
        <f>SUMIF(D$3:$AA715,"&lt;="&amp;$AH$1)/COUNTIF(D$3:$AA715,"&lt;="&amp;$AH$1)</f>
        <v>28.714175283111711</v>
      </c>
    </row>
    <row r="716" spans="2:34" x14ac:dyDescent="0.25">
      <c r="B716" s="910">
        <v>39828</v>
      </c>
      <c r="C716" s="581">
        <f t="shared" si="34"/>
        <v>1</v>
      </c>
      <c r="D716" s="171">
        <v>56.120000000000005</v>
      </c>
      <c r="E716" s="171">
        <v>49</v>
      </c>
      <c r="F716" s="171">
        <v>43</v>
      </c>
      <c r="G716" s="171">
        <v>41</v>
      </c>
      <c r="H716" s="171">
        <v>40.07</v>
      </c>
      <c r="I716" s="171">
        <v>47.99</v>
      </c>
      <c r="J716" s="171">
        <v>64.680000000000007</v>
      </c>
      <c r="K716" s="171">
        <v>90</v>
      </c>
      <c r="L716" s="171">
        <v>95.01</v>
      </c>
      <c r="M716" s="171">
        <v>101</v>
      </c>
      <c r="N716" s="171">
        <v>111.93</v>
      </c>
      <c r="O716" s="171">
        <v>112.17</v>
      </c>
      <c r="P716" s="171">
        <v>95.61</v>
      </c>
      <c r="Q716" s="171">
        <v>95</v>
      </c>
      <c r="R716" s="171">
        <v>93</v>
      </c>
      <c r="S716" s="171">
        <v>92</v>
      </c>
      <c r="T716" s="171">
        <v>89.61</v>
      </c>
      <c r="U716" s="171">
        <v>97.75</v>
      </c>
      <c r="V716" s="171">
        <v>124.26</v>
      </c>
      <c r="W716" s="171">
        <v>99</v>
      </c>
      <c r="X716" s="171">
        <v>83.4</v>
      </c>
      <c r="Y716" s="171">
        <v>65.02</v>
      </c>
      <c r="Z716" s="171">
        <v>64.989999999999995</v>
      </c>
      <c r="AA716" s="171">
        <v>52.93</v>
      </c>
      <c r="AB716" s="171">
        <v>124.26</v>
      </c>
      <c r="AC716" s="171">
        <v>64.989999999999995</v>
      </c>
      <c r="AD716" s="171">
        <v>49.35</v>
      </c>
      <c r="AF716" s="171">
        <f t="shared" si="35"/>
        <v>2009</v>
      </c>
      <c r="AG716" s="171">
        <f t="shared" si="36"/>
        <v>2</v>
      </c>
      <c r="AH716" s="700">
        <f>SUMIF(D$3:$AA716,"&lt;="&amp;$AH$1)/COUNTIF(D$3:$AA716,"&lt;="&amp;$AH$1)</f>
        <v>28.718054142739895</v>
      </c>
    </row>
    <row r="717" spans="2:34" x14ac:dyDescent="0.25">
      <c r="B717" s="910">
        <v>39829</v>
      </c>
      <c r="C717" s="581">
        <f t="shared" si="34"/>
        <v>1</v>
      </c>
      <c r="D717" s="171">
        <v>49.11</v>
      </c>
      <c r="E717" s="171">
        <v>47.78</v>
      </c>
      <c r="F717" s="171">
        <v>45.34</v>
      </c>
      <c r="G717" s="171">
        <v>44.6</v>
      </c>
      <c r="H717" s="171">
        <v>41.56</v>
      </c>
      <c r="I717" s="171">
        <v>44.97</v>
      </c>
      <c r="J717" s="171">
        <v>58</v>
      </c>
      <c r="K717" s="171">
        <v>82.26</v>
      </c>
      <c r="L717" s="171">
        <v>85.99</v>
      </c>
      <c r="M717" s="171">
        <v>87.67</v>
      </c>
      <c r="N717" s="171">
        <v>87</v>
      </c>
      <c r="O717" s="171">
        <v>87</v>
      </c>
      <c r="P717" s="171">
        <v>83.48</v>
      </c>
      <c r="Q717" s="171">
        <v>77.430000000000007</v>
      </c>
      <c r="R717" s="171">
        <v>75.02</v>
      </c>
      <c r="S717" s="171">
        <v>69.710000000000008</v>
      </c>
      <c r="T717" s="171">
        <v>67</v>
      </c>
      <c r="U717" s="171">
        <v>81.81</v>
      </c>
      <c r="V717" s="171">
        <v>91.2</v>
      </c>
      <c r="W717" s="171">
        <v>79.31</v>
      </c>
      <c r="X717" s="171">
        <v>69.47</v>
      </c>
      <c r="Y717" s="171">
        <v>58.61</v>
      </c>
      <c r="Z717" s="171">
        <v>59.69</v>
      </c>
      <c r="AA717" s="171">
        <v>50</v>
      </c>
      <c r="AB717" s="171">
        <v>91.2</v>
      </c>
      <c r="AC717" s="171">
        <v>58.61</v>
      </c>
      <c r="AD717" s="171">
        <v>47.67</v>
      </c>
      <c r="AF717" s="171">
        <f t="shared" si="35"/>
        <v>2009</v>
      </c>
      <c r="AG717" s="171">
        <f t="shared" si="36"/>
        <v>1</v>
      </c>
      <c r="AH717" s="700">
        <f>SUMIF(D$3:$AA717,"&lt;="&amp;$AH$1)/COUNTIF(D$3:$AA717,"&lt;="&amp;$AH$1)</f>
        <v>28.720160761154798</v>
      </c>
    </row>
    <row r="718" spans="2:34" x14ac:dyDescent="0.25">
      <c r="B718" s="910">
        <v>39832</v>
      </c>
      <c r="C718" s="581">
        <f t="shared" si="34"/>
        <v>1</v>
      </c>
      <c r="D718" s="171">
        <v>43.15</v>
      </c>
      <c r="E718" s="171">
        <v>39</v>
      </c>
      <c r="F718" s="171">
        <v>34.590000000000003</v>
      </c>
      <c r="G718" s="171">
        <v>21.07</v>
      </c>
      <c r="H718" s="171">
        <v>18.55</v>
      </c>
      <c r="I718" s="171">
        <v>24.990000000000002</v>
      </c>
      <c r="J718" s="171">
        <v>38.68</v>
      </c>
      <c r="K718" s="171">
        <v>70</v>
      </c>
      <c r="L718" s="171">
        <v>72</v>
      </c>
      <c r="M718" s="171">
        <v>69.62</v>
      </c>
      <c r="N718" s="171">
        <v>66.599999999999994</v>
      </c>
      <c r="O718" s="171">
        <v>67.760000000000005</v>
      </c>
      <c r="P718" s="171">
        <v>66.17</v>
      </c>
      <c r="Q718" s="171">
        <v>64.89</v>
      </c>
      <c r="R718" s="171">
        <v>60</v>
      </c>
      <c r="S718" s="171">
        <v>52.410000000000004</v>
      </c>
      <c r="T718" s="171">
        <v>58.84</v>
      </c>
      <c r="U718" s="171">
        <v>72.81</v>
      </c>
      <c r="V718" s="171">
        <v>81.06</v>
      </c>
      <c r="W718" s="171">
        <v>83</v>
      </c>
      <c r="X718" s="171">
        <v>65.08</v>
      </c>
      <c r="Y718" s="171">
        <v>51.15</v>
      </c>
      <c r="Z718" s="171">
        <v>49.96</v>
      </c>
      <c r="AA718" s="171">
        <v>43.25</v>
      </c>
      <c r="AB718" s="171">
        <v>83</v>
      </c>
      <c r="AC718" s="171">
        <v>49.96</v>
      </c>
      <c r="AD718" s="171">
        <v>32.910000000000004</v>
      </c>
      <c r="AF718" s="171">
        <f t="shared" si="35"/>
        <v>2009</v>
      </c>
      <c r="AG718" s="171">
        <f t="shared" si="36"/>
        <v>6</v>
      </c>
      <c r="AH718" s="700">
        <f>SUMIF(D$3:$AA718,"&lt;="&amp;$AH$1)/COUNTIF(D$3:$AA718,"&lt;="&amp;$AH$1)</f>
        <v>28.720907899049433</v>
      </c>
    </row>
    <row r="719" spans="2:34" x14ac:dyDescent="0.25">
      <c r="B719" s="910">
        <v>39833</v>
      </c>
      <c r="C719" s="581">
        <f t="shared" si="34"/>
        <v>1</v>
      </c>
      <c r="D719" s="171">
        <v>44.96</v>
      </c>
      <c r="E719" s="171">
        <v>44.99</v>
      </c>
      <c r="F719" s="171">
        <v>42.04</v>
      </c>
      <c r="G719" s="171">
        <v>36</v>
      </c>
      <c r="H719" s="171">
        <v>32.590000000000003</v>
      </c>
      <c r="I719" s="171">
        <v>39.1</v>
      </c>
      <c r="J719" s="171">
        <v>44.93</v>
      </c>
      <c r="K719" s="171">
        <v>66.070000000000007</v>
      </c>
      <c r="L719" s="171">
        <v>70.05</v>
      </c>
      <c r="M719" s="171">
        <v>73</v>
      </c>
      <c r="N719" s="171">
        <v>72.52</v>
      </c>
      <c r="O719" s="171">
        <v>72</v>
      </c>
      <c r="P719" s="171">
        <v>71.42</v>
      </c>
      <c r="Q719" s="171">
        <v>69.400000000000006</v>
      </c>
      <c r="R719" s="171">
        <v>66.19</v>
      </c>
      <c r="S719" s="171">
        <v>60</v>
      </c>
      <c r="T719" s="171">
        <v>66.180000000000007</v>
      </c>
      <c r="U719" s="171">
        <v>76.75</v>
      </c>
      <c r="V719" s="171">
        <v>84.070000000000007</v>
      </c>
      <c r="W719" s="171">
        <v>77.03</v>
      </c>
      <c r="X719" s="171">
        <v>67.400000000000006</v>
      </c>
      <c r="Y719" s="171">
        <v>56.02</v>
      </c>
      <c r="Z719" s="171">
        <v>56.49</v>
      </c>
      <c r="AA719" s="171">
        <v>49.86</v>
      </c>
      <c r="AB719" s="171">
        <v>84.070000000000007</v>
      </c>
      <c r="AC719" s="171">
        <v>56.02</v>
      </c>
      <c r="AD719" s="171">
        <v>41.81</v>
      </c>
      <c r="AF719" s="171">
        <f t="shared" si="35"/>
        <v>2009</v>
      </c>
      <c r="AG719" s="171">
        <f t="shared" si="36"/>
        <v>4</v>
      </c>
      <c r="AH719" s="700">
        <f>SUMIF(D$3:$AA719,"&lt;="&amp;$AH$1)/COUNTIF(D$3:$AA719,"&lt;="&amp;$AH$1)</f>
        <v>28.726614805109669</v>
      </c>
    </row>
    <row r="720" spans="2:34" x14ac:dyDescent="0.25">
      <c r="B720" s="910">
        <v>39834</v>
      </c>
      <c r="C720" s="581">
        <f t="shared" si="34"/>
        <v>1</v>
      </c>
      <c r="D720" s="171">
        <v>42</v>
      </c>
      <c r="E720" s="171">
        <v>38.75</v>
      </c>
      <c r="F720" s="171">
        <v>36.090000000000003</v>
      </c>
      <c r="G720" s="171">
        <v>36.22</v>
      </c>
      <c r="H720" s="171">
        <v>33.82</v>
      </c>
      <c r="I720" s="171">
        <v>36.75</v>
      </c>
      <c r="J720" s="171">
        <v>47</v>
      </c>
      <c r="K720" s="171">
        <v>64.78</v>
      </c>
      <c r="L720" s="171">
        <v>71.09</v>
      </c>
      <c r="M720" s="171">
        <v>76.22</v>
      </c>
      <c r="N720" s="171">
        <v>77.62</v>
      </c>
      <c r="O720" s="171">
        <v>77.95</v>
      </c>
      <c r="P720" s="171">
        <v>73.3</v>
      </c>
      <c r="Q720" s="171">
        <v>73.12</v>
      </c>
      <c r="R720" s="171">
        <v>70.989999999999995</v>
      </c>
      <c r="S720" s="171">
        <v>61.11</v>
      </c>
      <c r="T720" s="171">
        <v>66.150000000000006</v>
      </c>
      <c r="U720" s="171">
        <v>74.680000000000007</v>
      </c>
      <c r="V720" s="171">
        <v>95.53</v>
      </c>
      <c r="W720" s="171">
        <v>85</v>
      </c>
      <c r="X720" s="171">
        <v>69.540000000000006</v>
      </c>
      <c r="Y720" s="171">
        <v>52.660000000000004</v>
      </c>
      <c r="Z720" s="171">
        <v>53</v>
      </c>
      <c r="AA720" s="171">
        <v>48.17</v>
      </c>
      <c r="AB720" s="171">
        <v>95.53</v>
      </c>
      <c r="AC720" s="171">
        <v>52.660000000000004</v>
      </c>
      <c r="AD720" s="171">
        <v>39.85</v>
      </c>
      <c r="AF720" s="171">
        <f t="shared" si="35"/>
        <v>2009</v>
      </c>
      <c r="AG720" s="171">
        <f t="shared" si="36"/>
        <v>6</v>
      </c>
      <c r="AH720" s="700">
        <f>SUMIF(D$3:$AA720,"&lt;="&amp;$AH$1)/COUNTIF(D$3:$AA720,"&lt;="&amp;$AH$1)</f>
        <v>28.735003272251252</v>
      </c>
    </row>
    <row r="721" spans="2:34" x14ac:dyDescent="0.25">
      <c r="B721" s="910">
        <v>39835</v>
      </c>
      <c r="C721" s="581">
        <f t="shared" si="34"/>
        <v>1</v>
      </c>
      <c r="D721" s="171">
        <v>39.93</v>
      </c>
      <c r="E721" s="171">
        <v>39.75</v>
      </c>
      <c r="F721" s="171">
        <v>37.11</v>
      </c>
      <c r="G721" s="171">
        <v>34.5</v>
      </c>
      <c r="H721" s="171">
        <v>33.08</v>
      </c>
      <c r="I721" s="171">
        <v>38.07</v>
      </c>
      <c r="J721" s="171">
        <v>45</v>
      </c>
      <c r="K721" s="171">
        <v>71.2</v>
      </c>
      <c r="L721" s="171">
        <v>70.48</v>
      </c>
      <c r="M721" s="171">
        <v>69.19</v>
      </c>
      <c r="N721" s="171">
        <v>67.010000000000005</v>
      </c>
      <c r="O721" s="171">
        <v>67.010000000000005</v>
      </c>
      <c r="P721" s="171">
        <v>64.75</v>
      </c>
      <c r="Q721" s="171">
        <v>64.930000000000007</v>
      </c>
      <c r="R721" s="171">
        <v>60.04</v>
      </c>
      <c r="S721" s="171">
        <v>53.64</v>
      </c>
      <c r="T721" s="171">
        <v>54.56</v>
      </c>
      <c r="U721" s="171">
        <v>61</v>
      </c>
      <c r="V721" s="171">
        <v>70.25</v>
      </c>
      <c r="W721" s="171">
        <v>66.180000000000007</v>
      </c>
      <c r="X721" s="171">
        <v>53.78</v>
      </c>
      <c r="Y721" s="171">
        <v>42.4</v>
      </c>
      <c r="Z721" s="171">
        <v>42</v>
      </c>
      <c r="AA721" s="171">
        <v>40</v>
      </c>
      <c r="AB721" s="171">
        <v>71.2</v>
      </c>
      <c r="AC721" s="171">
        <v>42</v>
      </c>
      <c r="AD721" s="171">
        <v>38.43</v>
      </c>
      <c r="AF721" s="171">
        <f t="shared" si="35"/>
        <v>2009</v>
      </c>
      <c r="AG721" s="171">
        <f t="shared" si="36"/>
        <v>9</v>
      </c>
      <c r="AH721" s="700">
        <f>SUMIF(D$3:$AA721,"&lt;="&amp;$AH$1)/COUNTIF(D$3:$AA721,"&lt;="&amp;$AH$1)</f>
        <v>28.749416761966938</v>
      </c>
    </row>
    <row r="722" spans="2:34" x14ac:dyDescent="0.25">
      <c r="B722" s="910">
        <v>39836</v>
      </c>
      <c r="C722" s="581">
        <f t="shared" si="34"/>
        <v>1</v>
      </c>
      <c r="D722" s="171">
        <v>37.450000000000003</v>
      </c>
      <c r="E722" s="171">
        <v>34.93</v>
      </c>
      <c r="F722" s="171">
        <v>34.24</v>
      </c>
      <c r="G722" s="171">
        <v>26</v>
      </c>
      <c r="H722" s="171">
        <v>26.7</v>
      </c>
      <c r="I722" s="171">
        <v>28.8</v>
      </c>
      <c r="J722" s="171">
        <v>38.03</v>
      </c>
      <c r="K722" s="171">
        <v>57.730000000000004</v>
      </c>
      <c r="L722" s="171">
        <v>62</v>
      </c>
      <c r="M722" s="171">
        <v>65.53</v>
      </c>
      <c r="N722" s="171">
        <v>63.83</v>
      </c>
      <c r="O722" s="171">
        <v>63.29</v>
      </c>
      <c r="P722" s="171">
        <v>60</v>
      </c>
      <c r="Q722" s="171">
        <v>57.97</v>
      </c>
      <c r="R722" s="171">
        <v>54.35</v>
      </c>
      <c r="S722" s="171">
        <v>48.27</v>
      </c>
      <c r="T722" s="171">
        <v>49.870000000000005</v>
      </c>
      <c r="U722" s="171">
        <v>59.57</v>
      </c>
      <c r="V722" s="171">
        <v>69</v>
      </c>
      <c r="W722" s="171">
        <v>61.1</v>
      </c>
      <c r="X722" s="171">
        <v>49.88</v>
      </c>
      <c r="Y722" s="171">
        <v>44.25</v>
      </c>
      <c r="Z722" s="171">
        <v>45.24</v>
      </c>
      <c r="AA722" s="171">
        <v>44.6</v>
      </c>
      <c r="AB722" s="171">
        <v>69</v>
      </c>
      <c r="AC722" s="171">
        <v>44.25</v>
      </c>
      <c r="AD722" s="171">
        <v>33.840000000000003</v>
      </c>
      <c r="AF722" s="171">
        <f t="shared" si="35"/>
        <v>2009</v>
      </c>
      <c r="AG722" s="171">
        <f t="shared" si="36"/>
        <v>7</v>
      </c>
      <c r="AH722" s="700">
        <f>SUMIF(D$3:$AA722,"&lt;="&amp;$AH$1)/COUNTIF(D$3:$AA722,"&lt;="&amp;$AH$1)</f>
        <v>28.753480744125262</v>
      </c>
    </row>
    <row r="723" spans="2:34" x14ac:dyDescent="0.25">
      <c r="B723" s="910">
        <v>39839</v>
      </c>
      <c r="C723" s="581">
        <f t="shared" si="34"/>
        <v>1</v>
      </c>
      <c r="D723" s="171">
        <v>39.35</v>
      </c>
      <c r="E723" s="171">
        <v>34.51</v>
      </c>
      <c r="F723" s="171">
        <v>31.07</v>
      </c>
      <c r="G723" s="171">
        <v>29.990000000000002</v>
      </c>
      <c r="H723" s="171">
        <v>27.05</v>
      </c>
      <c r="I723" s="171">
        <v>33.15</v>
      </c>
      <c r="J723" s="171">
        <v>42.99</v>
      </c>
      <c r="K723" s="171">
        <v>73.8</v>
      </c>
      <c r="L723" s="171">
        <v>68</v>
      </c>
      <c r="M723" s="171">
        <v>72.570000000000007</v>
      </c>
      <c r="N723" s="171">
        <v>72.8</v>
      </c>
      <c r="O723" s="171">
        <v>74.09</v>
      </c>
      <c r="P723" s="171">
        <v>72.98</v>
      </c>
      <c r="Q723" s="171">
        <v>70</v>
      </c>
      <c r="R723" s="171">
        <v>66.2</v>
      </c>
      <c r="S723" s="171">
        <v>58.09</v>
      </c>
      <c r="T723" s="171">
        <v>64.150000000000006</v>
      </c>
      <c r="U723" s="171">
        <v>79.75</v>
      </c>
      <c r="V723" s="171">
        <v>90</v>
      </c>
      <c r="W723" s="171">
        <v>82.78</v>
      </c>
      <c r="X723" s="171">
        <v>66.45</v>
      </c>
      <c r="Y723" s="171">
        <v>50</v>
      </c>
      <c r="Z723" s="171">
        <v>49.93</v>
      </c>
      <c r="AA723" s="171">
        <v>46</v>
      </c>
      <c r="AB723" s="171">
        <v>90</v>
      </c>
      <c r="AC723" s="171">
        <v>49.93</v>
      </c>
      <c r="AD723" s="171">
        <v>35.51</v>
      </c>
      <c r="AF723" s="171">
        <f t="shared" si="35"/>
        <v>2009</v>
      </c>
      <c r="AG723" s="171">
        <f t="shared" si="36"/>
        <v>6</v>
      </c>
      <c r="AH723" s="700">
        <f>SUMIF(D$3:$AA723,"&lt;="&amp;$AH$1)/COUNTIF(D$3:$AA723,"&lt;="&amp;$AH$1)</f>
        <v>28.757164982067103</v>
      </c>
    </row>
    <row r="724" spans="2:34" x14ac:dyDescent="0.25">
      <c r="B724" s="910">
        <v>39840</v>
      </c>
      <c r="C724" s="581">
        <f t="shared" si="34"/>
        <v>1</v>
      </c>
      <c r="D724" s="171">
        <v>47.54</v>
      </c>
      <c r="E724" s="171">
        <v>41.93</v>
      </c>
      <c r="F724" s="171">
        <v>37.92</v>
      </c>
      <c r="G724" s="171">
        <v>34.730000000000004</v>
      </c>
      <c r="H724" s="171">
        <v>32.28</v>
      </c>
      <c r="I724" s="171">
        <v>41.42</v>
      </c>
      <c r="J724" s="171">
        <v>46</v>
      </c>
      <c r="K724" s="171">
        <v>77.06</v>
      </c>
      <c r="L724" s="171">
        <v>76.02</v>
      </c>
      <c r="M724" s="171">
        <v>79</v>
      </c>
      <c r="N724" s="171">
        <v>78.930000000000007</v>
      </c>
      <c r="O724" s="171">
        <v>83</v>
      </c>
      <c r="P724" s="171">
        <v>77.03</v>
      </c>
      <c r="Q724" s="171">
        <v>78.400000000000006</v>
      </c>
      <c r="R724" s="171">
        <v>71</v>
      </c>
      <c r="S724" s="171">
        <v>62.2</v>
      </c>
      <c r="T724" s="171">
        <v>68.14</v>
      </c>
      <c r="U724" s="171">
        <v>78.81</v>
      </c>
      <c r="V724" s="171">
        <v>101.08</v>
      </c>
      <c r="W724" s="171">
        <v>82.62</v>
      </c>
      <c r="X724" s="171">
        <v>71</v>
      </c>
      <c r="Y724" s="171">
        <v>54</v>
      </c>
      <c r="Z724" s="171">
        <v>59</v>
      </c>
      <c r="AA724" s="171">
        <v>52</v>
      </c>
      <c r="AB724" s="171">
        <v>101.08</v>
      </c>
      <c r="AC724" s="171">
        <v>54</v>
      </c>
      <c r="AD724" s="171">
        <v>41.730000000000004</v>
      </c>
      <c r="AF724" s="171">
        <f t="shared" si="35"/>
        <v>2009</v>
      </c>
      <c r="AG724" s="171">
        <f t="shared" si="36"/>
        <v>5</v>
      </c>
      <c r="AH724" s="700">
        <f>SUMIF(D$3:$AA724,"&lt;="&amp;$AH$1)/COUNTIF(D$3:$AA724,"&lt;="&amp;$AH$1)</f>
        <v>28.764412770809518</v>
      </c>
    </row>
    <row r="725" spans="2:34" x14ac:dyDescent="0.25">
      <c r="B725" s="910">
        <v>39841</v>
      </c>
      <c r="C725" s="581">
        <f t="shared" si="34"/>
        <v>1</v>
      </c>
      <c r="D725" s="171">
        <v>44.99</v>
      </c>
      <c r="E725" s="171">
        <v>41.15</v>
      </c>
      <c r="F725" s="171">
        <v>39.79</v>
      </c>
      <c r="G725" s="171">
        <v>34.99</v>
      </c>
      <c r="H725" s="171">
        <v>32.880000000000003</v>
      </c>
      <c r="I725" s="171">
        <v>39.46</v>
      </c>
      <c r="J725" s="171">
        <v>50.38</v>
      </c>
      <c r="K725" s="171">
        <v>79</v>
      </c>
      <c r="L725" s="171">
        <v>84.31</v>
      </c>
      <c r="M725" s="171">
        <v>85.19</v>
      </c>
      <c r="N725" s="171">
        <v>85.2</v>
      </c>
      <c r="O725" s="171">
        <v>85.76</v>
      </c>
      <c r="P725" s="171">
        <v>77.12</v>
      </c>
      <c r="Q725" s="171">
        <v>72.48</v>
      </c>
      <c r="R725" s="171">
        <v>69.11</v>
      </c>
      <c r="S725" s="171">
        <v>59.99</v>
      </c>
      <c r="T725" s="171">
        <v>64.48</v>
      </c>
      <c r="U725" s="171">
        <v>71.760000000000005</v>
      </c>
      <c r="V725" s="171">
        <v>93</v>
      </c>
      <c r="W725" s="171">
        <v>79.63</v>
      </c>
      <c r="X725" s="171">
        <v>55.32</v>
      </c>
      <c r="Y725" s="171">
        <v>59.620000000000005</v>
      </c>
      <c r="Z725" s="171">
        <v>59</v>
      </c>
      <c r="AA725" s="171">
        <v>49</v>
      </c>
      <c r="AB725" s="171">
        <v>93</v>
      </c>
      <c r="AC725" s="171">
        <v>55.32</v>
      </c>
      <c r="AD725" s="171">
        <v>41.58</v>
      </c>
      <c r="AF725" s="171">
        <f t="shared" si="35"/>
        <v>2009</v>
      </c>
      <c r="AG725" s="171">
        <f t="shared" si="36"/>
        <v>5</v>
      </c>
      <c r="AH725" s="700">
        <f>SUMIF(D$3:$AA725,"&lt;="&amp;$AH$1)/COUNTIF(D$3:$AA725,"&lt;="&amp;$AH$1)</f>
        <v>28.771647135416604</v>
      </c>
    </row>
    <row r="726" spans="2:34" x14ac:dyDescent="0.25">
      <c r="B726" s="910">
        <v>39842</v>
      </c>
      <c r="C726" s="581">
        <f t="shared" si="34"/>
        <v>1</v>
      </c>
      <c r="D726" s="171">
        <v>51.75</v>
      </c>
      <c r="E726" s="171">
        <v>44.5</v>
      </c>
      <c r="F726" s="171">
        <v>41</v>
      </c>
      <c r="G726" s="171">
        <v>38.79</v>
      </c>
      <c r="H726" s="171">
        <v>39</v>
      </c>
      <c r="I726" s="171">
        <v>47.78</v>
      </c>
      <c r="J726" s="171">
        <v>56.03</v>
      </c>
      <c r="K726" s="171">
        <v>97</v>
      </c>
      <c r="L726" s="171">
        <v>92.75</v>
      </c>
      <c r="M726" s="171">
        <v>94.39</v>
      </c>
      <c r="N726" s="171">
        <v>94</v>
      </c>
      <c r="O726" s="171">
        <v>92.17</v>
      </c>
      <c r="P726" s="171">
        <v>84.93</v>
      </c>
      <c r="Q726" s="171">
        <v>81.31</v>
      </c>
      <c r="R726" s="171">
        <v>74.98</v>
      </c>
      <c r="S726" s="171">
        <v>67.03</v>
      </c>
      <c r="T726" s="171">
        <v>72.820000000000007</v>
      </c>
      <c r="U726" s="171">
        <v>93.72</v>
      </c>
      <c r="V726" s="171">
        <v>120</v>
      </c>
      <c r="W726" s="171">
        <v>93</v>
      </c>
      <c r="X726" s="171">
        <v>66.75</v>
      </c>
      <c r="Y726" s="171">
        <v>53.800000000000004</v>
      </c>
      <c r="Z726" s="171">
        <v>52.01</v>
      </c>
      <c r="AA726" s="171">
        <v>44.72</v>
      </c>
      <c r="AB726" s="171">
        <v>120</v>
      </c>
      <c r="AC726" s="171">
        <v>52.01</v>
      </c>
      <c r="AD726" s="171">
        <v>45.45</v>
      </c>
      <c r="AF726" s="171">
        <f t="shared" si="35"/>
        <v>2009</v>
      </c>
      <c r="AG726" s="171">
        <f t="shared" si="36"/>
        <v>3</v>
      </c>
      <c r="AH726" s="700">
        <f>SUMIF(D$3:$AA726,"&lt;="&amp;$AH$1)/COUNTIF(D$3:$AA726,"&lt;="&amp;$AH$1)</f>
        <v>28.776930209858406</v>
      </c>
    </row>
    <row r="727" spans="2:34" x14ac:dyDescent="0.25">
      <c r="B727" s="910">
        <v>39843</v>
      </c>
      <c r="C727" s="581">
        <f t="shared" si="34"/>
        <v>1</v>
      </c>
      <c r="D727" s="171">
        <v>48</v>
      </c>
      <c r="E727" s="171">
        <v>42.99</v>
      </c>
      <c r="F727" s="171">
        <v>40.090000000000003</v>
      </c>
      <c r="G727" s="171">
        <v>37.25</v>
      </c>
      <c r="H727" s="171">
        <v>29.900000000000002</v>
      </c>
      <c r="I727" s="171">
        <v>28</v>
      </c>
      <c r="J727" s="171">
        <v>22.29</v>
      </c>
      <c r="K727" s="171">
        <v>27.57</v>
      </c>
      <c r="L727" s="171">
        <v>37.9</v>
      </c>
      <c r="M727" s="171">
        <v>40.28</v>
      </c>
      <c r="N727" s="171">
        <v>44.59</v>
      </c>
      <c r="O727" s="171">
        <v>49</v>
      </c>
      <c r="P727" s="171">
        <v>48</v>
      </c>
      <c r="Q727" s="171">
        <v>45.730000000000004</v>
      </c>
      <c r="R727" s="171">
        <v>43.38</v>
      </c>
      <c r="S727" s="171">
        <v>37.730000000000004</v>
      </c>
      <c r="T727" s="171">
        <v>36.03</v>
      </c>
      <c r="U727" s="171">
        <v>42.96</v>
      </c>
      <c r="V727" s="171">
        <v>57.74</v>
      </c>
      <c r="W727" s="171">
        <v>60.19</v>
      </c>
      <c r="X727" s="171">
        <v>55.63</v>
      </c>
      <c r="Y727" s="171">
        <v>46</v>
      </c>
      <c r="Z727" s="171">
        <v>48</v>
      </c>
      <c r="AA727" s="171">
        <v>45</v>
      </c>
      <c r="AB727" s="171">
        <v>60.19</v>
      </c>
      <c r="AC727" s="171">
        <v>27.57</v>
      </c>
      <c r="AD727" s="171">
        <v>41.08</v>
      </c>
      <c r="AF727" s="171">
        <f t="shared" si="35"/>
        <v>2009</v>
      </c>
      <c r="AG727" s="171">
        <f t="shared" si="36"/>
        <v>10</v>
      </c>
      <c r="AH727" s="700">
        <f>SUMIF(D$3:$AA727,"&lt;="&amp;$AH$1)/COUNTIF(D$3:$AA727,"&lt;="&amp;$AH$1)</f>
        <v>28.784932597043955</v>
      </c>
    </row>
    <row r="728" spans="2:34" x14ac:dyDescent="0.25">
      <c r="B728" s="910">
        <v>39846</v>
      </c>
      <c r="C728" s="581">
        <f t="shared" si="34"/>
        <v>2</v>
      </c>
      <c r="D728" s="171">
        <v>54.93</v>
      </c>
      <c r="E728" s="171">
        <v>44.93</v>
      </c>
      <c r="F728" s="171">
        <v>40.44</v>
      </c>
      <c r="G728" s="171">
        <v>33.28</v>
      </c>
      <c r="H728" s="171">
        <v>27.04</v>
      </c>
      <c r="I728" s="171">
        <v>27.080000000000002</v>
      </c>
      <c r="J728" s="171">
        <v>42.730000000000004</v>
      </c>
      <c r="K728" s="171">
        <v>61.99</v>
      </c>
      <c r="L728" s="171">
        <v>76</v>
      </c>
      <c r="M728" s="171">
        <v>90</v>
      </c>
      <c r="N728" s="171">
        <v>86.95</v>
      </c>
      <c r="O728" s="171">
        <v>85.18</v>
      </c>
      <c r="P728" s="171">
        <v>76</v>
      </c>
      <c r="Q728" s="171">
        <v>75.2</v>
      </c>
      <c r="R728" s="171">
        <v>69.2</v>
      </c>
      <c r="S728" s="171">
        <v>66.19</v>
      </c>
      <c r="T728" s="171">
        <v>61.99</v>
      </c>
      <c r="U728" s="171">
        <v>69.100000000000009</v>
      </c>
      <c r="V728" s="171">
        <v>94.54</v>
      </c>
      <c r="W728" s="171">
        <v>84.93</v>
      </c>
      <c r="X728" s="171">
        <v>62</v>
      </c>
      <c r="Y728" s="171">
        <v>48</v>
      </c>
      <c r="Z728" s="171">
        <v>44</v>
      </c>
      <c r="AA728" s="171">
        <v>45.31</v>
      </c>
      <c r="AB728" s="171">
        <v>94.54</v>
      </c>
      <c r="AC728" s="171">
        <v>44</v>
      </c>
      <c r="AD728" s="171">
        <v>39.47</v>
      </c>
      <c r="AF728" s="171">
        <f t="shared" si="35"/>
        <v>2009</v>
      </c>
      <c r="AG728" s="171">
        <f t="shared" si="36"/>
        <v>4</v>
      </c>
      <c r="AH728" s="700">
        <f>SUMIF(D$3:$AA728,"&lt;="&amp;$AH$1)/COUNTIF(D$3:$AA728,"&lt;="&amp;$AH$1)</f>
        <v>28.786993994481357</v>
      </c>
    </row>
    <row r="729" spans="2:34" x14ac:dyDescent="0.25">
      <c r="B729" s="910">
        <v>39847</v>
      </c>
      <c r="C729" s="581">
        <f t="shared" si="34"/>
        <v>2</v>
      </c>
      <c r="D729" s="171">
        <v>46.18</v>
      </c>
      <c r="E729" s="171">
        <v>43.62</v>
      </c>
      <c r="F729" s="171">
        <v>39</v>
      </c>
      <c r="G729" s="171">
        <v>33.340000000000003</v>
      </c>
      <c r="H729" s="171">
        <v>32.660000000000004</v>
      </c>
      <c r="I729" s="171">
        <v>39.090000000000003</v>
      </c>
      <c r="J729" s="171">
        <v>50</v>
      </c>
      <c r="K729" s="171">
        <v>78.5</v>
      </c>
      <c r="L729" s="171">
        <v>74.19</v>
      </c>
      <c r="M729" s="171">
        <v>77.64</v>
      </c>
      <c r="N729" s="171">
        <v>78.98</v>
      </c>
      <c r="O729" s="171">
        <v>78.989999999999995</v>
      </c>
      <c r="P729" s="171">
        <v>72</v>
      </c>
      <c r="Q729" s="171">
        <v>73.78</v>
      </c>
      <c r="R729" s="171">
        <v>69</v>
      </c>
      <c r="S729" s="171">
        <v>62.870000000000005</v>
      </c>
      <c r="T729" s="171">
        <v>66.099999999999994</v>
      </c>
      <c r="U729" s="171">
        <v>72.5</v>
      </c>
      <c r="V729" s="171">
        <v>108.01</v>
      </c>
      <c r="W729" s="171">
        <v>94</v>
      </c>
      <c r="X729" s="171">
        <v>75</v>
      </c>
      <c r="Y729" s="171">
        <v>57.85</v>
      </c>
      <c r="Z729" s="171">
        <v>52</v>
      </c>
      <c r="AA729" s="171">
        <v>48</v>
      </c>
      <c r="AB729" s="171">
        <v>108.01</v>
      </c>
      <c r="AC729" s="171">
        <v>52</v>
      </c>
      <c r="AD729" s="171">
        <v>41.49</v>
      </c>
      <c r="AF729" s="171">
        <f t="shared" si="35"/>
        <v>2009</v>
      </c>
      <c r="AG729" s="171">
        <f t="shared" si="36"/>
        <v>4</v>
      </c>
      <c r="AH729" s="700">
        <f>SUMIF(D$3:$AA729,"&lt;="&amp;$AH$1)/COUNTIF(D$3:$AA729,"&lt;="&amp;$AH$1)</f>
        <v>28.791688564476825</v>
      </c>
    </row>
    <row r="730" spans="2:34" x14ac:dyDescent="0.25">
      <c r="B730" s="910">
        <v>39848</v>
      </c>
      <c r="C730" s="581">
        <f t="shared" si="34"/>
        <v>2</v>
      </c>
      <c r="D730" s="171">
        <v>46</v>
      </c>
      <c r="E730" s="171">
        <v>44.93</v>
      </c>
      <c r="F730" s="171">
        <v>47</v>
      </c>
      <c r="G730" s="171">
        <v>41.6</v>
      </c>
      <c r="H730" s="171">
        <v>41</v>
      </c>
      <c r="I730" s="171">
        <v>47</v>
      </c>
      <c r="J730" s="171">
        <v>54.34</v>
      </c>
      <c r="K730" s="171">
        <v>76.930000000000007</v>
      </c>
      <c r="L730" s="171">
        <v>79</v>
      </c>
      <c r="M730" s="171">
        <v>82.79</v>
      </c>
      <c r="N730" s="171">
        <v>79.680000000000007</v>
      </c>
      <c r="O730" s="171">
        <v>83</v>
      </c>
      <c r="P730" s="171">
        <v>76.09</v>
      </c>
      <c r="Q730" s="171">
        <v>74.52</v>
      </c>
      <c r="R730" s="171">
        <v>67.099999999999994</v>
      </c>
      <c r="S730" s="171">
        <v>64.59</v>
      </c>
      <c r="T730" s="171">
        <v>63.300000000000004</v>
      </c>
      <c r="U730" s="171">
        <v>74.930000000000007</v>
      </c>
      <c r="V730" s="171">
        <v>86</v>
      </c>
      <c r="W730" s="171">
        <v>78.3</v>
      </c>
      <c r="X730" s="171">
        <v>65.5</v>
      </c>
      <c r="Y730" s="171">
        <v>50.120000000000005</v>
      </c>
      <c r="Z730" s="171">
        <v>49.64</v>
      </c>
      <c r="AA730" s="171">
        <v>46</v>
      </c>
      <c r="AB730" s="171">
        <v>86</v>
      </c>
      <c r="AC730" s="171">
        <v>49.64</v>
      </c>
      <c r="AD730" s="171">
        <v>45.980000000000004</v>
      </c>
      <c r="AF730" s="171">
        <f t="shared" si="35"/>
        <v>2009</v>
      </c>
      <c r="AG730" s="171">
        <f t="shared" si="36"/>
        <v>2</v>
      </c>
      <c r="AH730" s="700">
        <f>SUMIF(D$3:$AA730,"&lt;="&amp;$AH$1)/COUNTIF(D$3:$AA730,"&lt;="&amp;$AH$1)</f>
        <v>28.795745094859679</v>
      </c>
    </row>
    <row r="731" spans="2:34" x14ac:dyDescent="0.25">
      <c r="B731" s="910">
        <v>39849</v>
      </c>
      <c r="C731" s="581">
        <f t="shared" si="34"/>
        <v>2</v>
      </c>
      <c r="D731" s="171">
        <v>43.730000000000004</v>
      </c>
      <c r="E731" s="171">
        <v>42.72</v>
      </c>
      <c r="F731" s="171">
        <v>41.75</v>
      </c>
      <c r="G731" s="171">
        <v>38.300000000000004</v>
      </c>
      <c r="H731" s="171">
        <v>37.76</v>
      </c>
      <c r="I731" s="171">
        <v>41.93</v>
      </c>
      <c r="J731" s="171">
        <v>51.51</v>
      </c>
      <c r="K731" s="171">
        <v>75</v>
      </c>
      <c r="L731" s="171">
        <v>76.739999999999995</v>
      </c>
      <c r="M731" s="171">
        <v>75.5</v>
      </c>
      <c r="N731" s="171">
        <v>74.489999999999995</v>
      </c>
      <c r="O731" s="171">
        <v>76.75</v>
      </c>
      <c r="P731" s="171">
        <v>69.460000000000008</v>
      </c>
      <c r="Q731" s="171">
        <v>64.75</v>
      </c>
      <c r="R731" s="171">
        <v>61.160000000000004</v>
      </c>
      <c r="S731" s="171">
        <v>57.1</v>
      </c>
      <c r="T731" s="171">
        <v>53.870000000000005</v>
      </c>
      <c r="U731" s="171">
        <v>58.43</v>
      </c>
      <c r="V731" s="171">
        <v>87.27</v>
      </c>
      <c r="W731" s="171">
        <v>73.5</v>
      </c>
      <c r="X731" s="171">
        <v>58.29</v>
      </c>
      <c r="Y731" s="171">
        <v>47.11</v>
      </c>
      <c r="Z731" s="171">
        <v>47</v>
      </c>
      <c r="AA731" s="171">
        <v>44.61</v>
      </c>
      <c r="AB731" s="171">
        <v>87.27</v>
      </c>
      <c r="AC731" s="171">
        <v>47</v>
      </c>
      <c r="AD731" s="171">
        <v>42.79</v>
      </c>
      <c r="AF731" s="171">
        <f t="shared" si="35"/>
        <v>2009</v>
      </c>
      <c r="AG731" s="171">
        <f t="shared" si="36"/>
        <v>4</v>
      </c>
      <c r="AH731" s="700">
        <f>SUMIF(D$3:$AA731,"&lt;="&amp;$AH$1)/COUNTIF(D$3:$AA731,"&lt;="&amp;$AH$1)</f>
        <v>28.802965483714086</v>
      </c>
    </row>
    <row r="732" spans="2:34" x14ac:dyDescent="0.25">
      <c r="B732" s="910">
        <v>39850</v>
      </c>
      <c r="C732" s="581">
        <f t="shared" si="34"/>
        <v>2</v>
      </c>
      <c r="D732" s="171">
        <v>41.410000000000004</v>
      </c>
      <c r="E732" s="171">
        <v>40.340000000000003</v>
      </c>
      <c r="F732" s="171">
        <v>37.700000000000003</v>
      </c>
      <c r="G732" s="171">
        <v>33.33</v>
      </c>
      <c r="H732" s="171">
        <v>32.65</v>
      </c>
      <c r="I732" s="171">
        <v>36</v>
      </c>
      <c r="J732" s="171">
        <v>43.95</v>
      </c>
      <c r="K732" s="171">
        <v>60.95</v>
      </c>
      <c r="L732" s="171">
        <v>66.099999999999994</v>
      </c>
      <c r="M732" s="171">
        <v>69.460000000000008</v>
      </c>
      <c r="N732" s="171">
        <v>68.710000000000008</v>
      </c>
      <c r="O732" s="171">
        <v>69.58</v>
      </c>
      <c r="P732" s="171">
        <v>66.16</v>
      </c>
      <c r="Q732" s="171">
        <v>62.18</v>
      </c>
      <c r="R732" s="171">
        <v>57.99</v>
      </c>
      <c r="S732" s="171">
        <v>51.34</v>
      </c>
      <c r="T732" s="171">
        <v>48.5</v>
      </c>
      <c r="U732" s="171">
        <v>55.660000000000004</v>
      </c>
      <c r="V732" s="171">
        <v>75</v>
      </c>
      <c r="W732" s="171">
        <v>66.010000000000005</v>
      </c>
      <c r="X732" s="171">
        <v>53.86</v>
      </c>
      <c r="Y732" s="171">
        <v>45.42</v>
      </c>
      <c r="Z732" s="171">
        <v>48.71</v>
      </c>
      <c r="AA732" s="171">
        <v>46.660000000000004</v>
      </c>
      <c r="AB732" s="171">
        <v>75</v>
      </c>
      <c r="AC732" s="171">
        <v>45.42</v>
      </c>
      <c r="AD732" s="171">
        <v>39.01</v>
      </c>
      <c r="AF732" s="171">
        <f t="shared" si="35"/>
        <v>2009</v>
      </c>
      <c r="AG732" s="171">
        <f t="shared" si="36"/>
        <v>6</v>
      </c>
      <c r="AH732" s="700">
        <f>SUMIF(D$3:$AA732,"&lt;="&amp;$AH$1)/COUNTIF(D$3:$AA732,"&lt;="&amp;$AH$1)</f>
        <v>28.810835356969342</v>
      </c>
    </row>
    <row r="733" spans="2:34" x14ac:dyDescent="0.25">
      <c r="B733" s="910">
        <v>39853</v>
      </c>
      <c r="C733" s="581">
        <f t="shared" si="34"/>
        <v>2</v>
      </c>
      <c r="D733" s="171">
        <v>39.06</v>
      </c>
      <c r="E733" s="171">
        <v>34.61</v>
      </c>
      <c r="F733" s="171">
        <v>31.3</v>
      </c>
      <c r="G733" s="171">
        <v>25.68</v>
      </c>
      <c r="H733" s="171">
        <v>21.95</v>
      </c>
      <c r="I733" s="171">
        <v>33.56</v>
      </c>
      <c r="J733" s="171">
        <v>47.01</v>
      </c>
      <c r="K733" s="171">
        <v>67.510000000000005</v>
      </c>
      <c r="L733" s="171">
        <v>71.17</v>
      </c>
      <c r="M733" s="171">
        <v>74.290000000000006</v>
      </c>
      <c r="N733" s="171">
        <v>74.989999999999995</v>
      </c>
      <c r="O733" s="171">
        <v>75.7</v>
      </c>
      <c r="P733" s="171">
        <v>72</v>
      </c>
      <c r="Q733" s="171">
        <v>67.5</v>
      </c>
      <c r="R733" s="171">
        <v>62.730000000000004</v>
      </c>
      <c r="S733" s="171">
        <v>55.4</v>
      </c>
      <c r="T733" s="171">
        <v>60.25</v>
      </c>
      <c r="U733" s="171">
        <v>67.5</v>
      </c>
      <c r="V733" s="171">
        <v>92.22</v>
      </c>
      <c r="W733" s="171">
        <v>76.75</v>
      </c>
      <c r="X733" s="171">
        <v>57.69</v>
      </c>
      <c r="Y733" s="171">
        <v>47.22</v>
      </c>
      <c r="Z733" s="171">
        <v>46.660000000000004</v>
      </c>
      <c r="AA733" s="171">
        <v>41.980000000000004</v>
      </c>
      <c r="AB733" s="171">
        <v>92.22</v>
      </c>
      <c r="AC733" s="171">
        <v>46.660000000000004</v>
      </c>
      <c r="AD733" s="171">
        <v>34.39</v>
      </c>
      <c r="AF733" s="171">
        <f t="shared" si="35"/>
        <v>2009</v>
      </c>
      <c r="AG733" s="171">
        <f t="shared" si="36"/>
        <v>7</v>
      </c>
      <c r="AH733" s="700">
        <f>SUMIF(D$3:$AA733,"&lt;="&amp;$AH$1)/COUNTIF(D$3:$AA733,"&lt;="&amp;$AH$1)</f>
        <v>28.815114812419083</v>
      </c>
    </row>
    <row r="734" spans="2:34" x14ac:dyDescent="0.25">
      <c r="B734" s="910">
        <v>39854</v>
      </c>
      <c r="C734" s="581">
        <f t="shared" si="34"/>
        <v>2</v>
      </c>
      <c r="D734" s="171">
        <v>39</v>
      </c>
      <c r="E734" s="171">
        <v>36.230000000000004</v>
      </c>
      <c r="F734" s="171">
        <v>33.06</v>
      </c>
      <c r="G734" s="171">
        <v>23.23</v>
      </c>
      <c r="H734" s="171">
        <v>17.400000000000002</v>
      </c>
      <c r="I734" s="171">
        <v>28.43</v>
      </c>
      <c r="J734" s="171">
        <v>38.590000000000003</v>
      </c>
      <c r="K734" s="171">
        <v>55.14</v>
      </c>
      <c r="L734" s="171">
        <v>57.4</v>
      </c>
      <c r="M734" s="171">
        <v>64.56</v>
      </c>
      <c r="N734" s="171">
        <v>62</v>
      </c>
      <c r="O734" s="171">
        <v>62.11</v>
      </c>
      <c r="P734" s="171">
        <v>59.15</v>
      </c>
      <c r="Q734" s="171">
        <v>60.08</v>
      </c>
      <c r="R734" s="171">
        <v>60.660000000000004</v>
      </c>
      <c r="S734" s="171">
        <v>52.81</v>
      </c>
      <c r="T734" s="171">
        <v>53.59</v>
      </c>
      <c r="U734" s="171">
        <v>54.92</v>
      </c>
      <c r="V734" s="171">
        <v>73.87</v>
      </c>
      <c r="W734" s="171">
        <v>68</v>
      </c>
      <c r="X734" s="171">
        <v>56.11</v>
      </c>
      <c r="Y734" s="171">
        <v>50</v>
      </c>
      <c r="Z734" s="171">
        <v>48</v>
      </c>
      <c r="AA734" s="171">
        <v>46</v>
      </c>
      <c r="AB734" s="171">
        <v>73.87</v>
      </c>
      <c r="AC734" s="171">
        <v>48</v>
      </c>
      <c r="AD734" s="171">
        <v>32.74</v>
      </c>
      <c r="AF734" s="171">
        <f t="shared" si="35"/>
        <v>2009</v>
      </c>
      <c r="AG734" s="171">
        <f t="shared" si="36"/>
        <v>7</v>
      </c>
      <c r="AH734" s="700">
        <f>SUMIF(D$3:$AA734,"&lt;="&amp;$AH$1)/COUNTIF(D$3:$AA734,"&lt;="&amp;$AH$1)</f>
        <v>28.8174139880471</v>
      </c>
    </row>
    <row r="735" spans="2:34" x14ac:dyDescent="0.25">
      <c r="B735" s="910">
        <v>39855</v>
      </c>
      <c r="C735" s="581">
        <f t="shared" si="34"/>
        <v>2</v>
      </c>
      <c r="D735" s="171">
        <v>40.99</v>
      </c>
      <c r="E735" s="171">
        <v>38.99</v>
      </c>
      <c r="F735" s="171">
        <v>33.5</v>
      </c>
      <c r="G735" s="171">
        <v>28.830000000000002</v>
      </c>
      <c r="H735" s="171">
        <v>25.52</v>
      </c>
      <c r="I735" s="171">
        <v>34.61</v>
      </c>
      <c r="J735" s="171">
        <v>43</v>
      </c>
      <c r="K735" s="171">
        <v>61.99</v>
      </c>
      <c r="L735" s="171">
        <v>70.28</v>
      </c>
      <c r="M735" s="171">
        <v>75.989999999999995</v>
      </c>
      <c r="N735" s="171">
        <v>82.960000000000008</v>
      </c>
      <c r="O735" s="171">
        <v>85.99</v>
      </c>
      <c r="P735" s="171">
        <v>76.83</v>
      </c>
      <c r="Q735" s="171">
        <v>71.48</v>
      </c>
      <c r="R735" s="171">
        <v>68.5</v>
      </c>
      <c r="S735" s="171">
        <v>58.04</v>
      </c>
      <c r="T735" s="171">
        <v>56.38</v>
      </c>
      <c r="U735" s="171">
        <v>58.21</v>
      </c>
      <c r="V735" s="171">
        <v>92.01</v>
      </c>
      <c r="W735" s="171">
        <v>79.960000000000008</v>
      </c>
      <c r="X735" s="171">
        <v>66.180000000000007</v>
      </c>
      <c r="Y735" s="171">
        <v>52</v>
      </c>
      <c r="Z735" s="171">
        <v>49.96</v>
      </c>
      <c r="AA735" s="171">
        <v>49.01</v>
      </c>
      <c r="AB735" s="171">
        <v>92.01</v>
      </c>
      <c r="AC735" s="171">
        <v>49.96</v>
      </c>
      <c r="AD735" s="171">
        <v>36.81</v>
      </c>
      <c r="AF735" s="171">
        <f t="shared" si="35"/>
        <v>2009</v>
      </c>
      <c r="AG735" s="171">
        <f t="shared" si="36"/>
        <v>6</v>
      </c>
      <c r="AH735" s="700">
        <f>SUMIF(D$3:$AA735,"&lt;="&amp;$AH$1)/COUNTIF(D$3:$AA735,"&lt;="&amp;$AH$1)</f>
        <v>28.822180087138864</v>
      </c>
    </row>
    <row r="736" spans="2:34" x14ac:dyDescent="0.25">
      <c r="B736" s="910">
        <v>39856</v>
      </c>
      <c r="C736" s="581">
        <f t="shared" si="34"/>
        <v>2</v>
      </c>
      <c r="D736" s="171">
        <v>45</v>
      </c>
      <c r="E736" s="171">
        <v>40.910000000000004</v>
      </c>
      <c r="F736" s="171">
        <v>41.99</v>
      </c>
      <c r="G736" s="171">
        <v>32.74</v>
      </c>
      <c r="H736" s="171">
        <v>31.68</v>
      </c>
      <c r="I736" s="171">
        <v>38.4</v>
      </c>
      <c r="J736" s="171">
        <v>49.93</v>
      </c>
      <c r="K736" s="171">
        <v>73.62</v>
      </c>
      <c r="L736" s="171">
        <v>70</v>
      </c>
      <c r="M736" s="171">
        <v>73.14</v>
      </c>
      <c r="N736" s="171">
        <v>70.100000000000009</v>
      </c>
      <c r="O736" s="171">
        <v>70</v>
      </c>
      <c r="P736" s="171">
        <v>65.87</v>
      </c>
      <c r="Q736" s="171">
        <v>61.03</v>
      </c>
      <c r="R736" s="171">
        <v>59.97</v>
      </c>
      <c r="S736" s="171">
        <v>53.6</v>
      </c>
      <c r="T736" s="171">
        <v>56.24</v>
      </c>
      <c r="U736" s="171">
        <v>62.17</v>
      </c>
      <c r="V736" s="171">
        <v>89.5</v>
      </c>
      <c r="W736" s="171">
        <v>76.5</v>
      </c>
      <c r="X736" s="171">
        <v>65</v>
      </c>
      <c r="Y736" s="171">
        <v>50</v>
      </c>
      <c r="Z736" s="171">
        <v>49.86</v>
      </c>
      <c r="AA736" s="171">
        <v>47.92</v>
      </c>
      <c r="AB736" s="171">
        <v>89.5</v>
      </c>
      <c r="AC736" s="171">
        <v>49.86</v>
      </c>
      <c r="AD736" s="171">
        <v>41.07</v>
      </c>
      <c r="AF736" s="171">
        <f t="shared" si="35"/>
        <v>2009</v>
      </c>
      <c r="AG736" s="171">
        <f t="shared" si="36"/>
        <v>5</v>
      </c>
      <c r="AH736" s="700">
        <f>SUMIF(D$3:$AA736,"&lt;="&amp;$AH$1)/COUNTIF(D$3:$AA736,"&lt;="&amp;$AH$1)</f>
        <v>28.828889068042489</v>
      </c>
    </row>
    <row r="737" spans="2:34" x14ac:dyDescent="0.25">
      <c r="B737" s="910">
        <v>39857</v>
      </c>
      <c r="C737" s="581">
        <f t="shared" si="34"/>
        <v>2</v>
      </c>
      <c r="D737" s="171">
        <v>45</v>
      </c>
      <c r="E737" s="171">
        <v>43</v>
      </c>
      <c r="F737" s="171">
        <v>42.28</v>
      </c>
      <c r="G737" s="171">
        <v>37</v>
      </c>
      <c r="H737" s="171">
        <v>35.800000000000004</v>
      </c>
      <c r="I737" s="171">
        <v>40</v>
      </c>
      <c r="J737" s="171">
        <v>47.99</v>
      </c>
      <c r="K737" s="171">
        <v>69.89</v>
      </c>
      <c r="L737" s="171">
        <v>69.239999999999995</v>
      </c>
      <c r="M737" s="171">
        <v>72.48</v>
      </c>
      <c r="N737" s="171">
        <v>71.489999999999995</v>
      </c>
      <c r="O737" s="171">
        <v>70.63</v>
      </c>
      <c r="P737" s="171">
        <v>68.510000000000005</v>
      </c>
      <c r="Q737" s="171">
        <v>63</v>
      </c>
      <c r="R737" s="171">
        <v>56.08</v>
      </c>
      <c r="S737" s="171">
        <v>49.96</v>
      </c>
      <c r="T737" s="171">
        <v>48.25</v>
      </c>
      <c r="U737" s="171">
        <v>53</v>
      </c>
      <c r="V737" s="171">
        <v>69.5</v>
      </c>
      <c r="W737" s="171">
        <v>63</v>
      </c>
      <c r="X737" s="171">
        <v>53.910000000000004</v>
      </c>
      <c r="Y737" s="171">
        <v>47</v>
      </c>
      <c r="Z737" s="171">
        <v>47</v>
      </c>
      <c r="AA737" s="171">
        <v>45</v>
      </c>
      <c r="AB737" s="171">
        <v>72.48</v>
      </c>
      <c r="AC737" s="171">
        <v>47</v>
      </c>
      <c r="AD737" s="171">
        <v>42.01</v>
      </c>
      <c r="AF737" s="171">
        <f t="shared" si="35"/>
        <v>2009</v>
      </c>
      <c r="AG737" s="171">
        <f t="shared" si="36"/>
        <v>4</v>
      </c>
      <c r="AH737" s="700">
        <f>SUMIF(D$3:$AA737,"&lt;="&amp;$AH$1)/COUNTIF(D$3:$AA737,"&lt;="&amp;$AH$1)</f>
        <v>28.835296487270305</v>
      </c>
    </row>
    <row r="738" spans="2:34" x14ac:dyDescent="0.25">
      <c r="B738" s="910">
        <v>39860</v>
      </c>
      <c r="C738" s="581">
        <f t="shared" si="34"/>
        <v>2</v>
      </c>
      <c r="D738" s="171">
        <v>38</v>
      </c>
      <c r="E738" s="171">
        <v>35.06</v>
      </c>
      <c r="F738" s="171">
        <v>34</v>
      </c>
      <c r="G738" s="171">
        <v>28.650000000000002</v>
      </c>
      <c r="H738" s="171">
        <v>27.89</v>
      </c>
      <c r="I738" s="171">
        <v>35</v>
      </c>
      <c r="J738" s="171">
        <v>45.45</v>
      </c>
      <c r="K738" s="171">
        <v>72.14</v>
      </c>
      <c r="L738" s="171">
        <v>67.37</v>
      </c>
      <c r="M738" s="171">
        <v>67.510000000000005</v>
      </c>
      <c r="N738" s="171">
        <v>69.400000000000006</v>
      </c>
      <c r="O738" s="171">
        <v>70</v>
      </c>
      <c r="P738" s="171">
        <v>68.900000000000006</v>
      </c>
      <c r="Q738" s="171">
        <v>65.89</v>
      </c>
      <c r="R738" s="171">
        <v>62.550000000000004</v>
      </c>
      <c r="S738" s="171">
        <v>54.09</v>
      </c>
      <c r="T738" s="171">
        <v>49.93</v>
      </c>
      <c r="U738" s="171">
        <v>55</v>
      </c>
      <c r="V738" s="171">
        <v>85.350000000000009</v>
      </c>
      <c r="W738" s="171">
        <v>71.83</v>
      </c>
      <c r="X738" s="171">
        <v>57.620000000000005</v>
      </c>
      <c r="Y738" s="171">
        <v>47</v>
      </c>
      <c r="Z738" s="171">
        <v>46.21</v>
      </c>
      <c r="AA738" s="171">
        <v>42.09</v>
      </c>
      <c r="AB738" s="171">
        <v>85.350000000000009</v>
      </c>
      <c r="AC738" s="171">
        <v>46.21</v>
      </c>
      <c r="AD738" s="171">
        <v>35.770000000000003</v>
      </c>
      <c r="AF738" s="171">
        <f t="shared" si="35"/>
        <v>2009</v>
      </c>
      <c r="AG738" s="171">
        <f t="shared" si="36"/>
        <v>7</v>
      </c>
      <c r="AH738" s="700">
        <f>SUMIF(D$3:$AA738,"&lt;="&amp;$AH$1)/COUNTIF(D$3:$AA738,"&lt;="&amp;$AH$1)</f>
        <v>28.841548366328588</v>
      </c>
    </row>
    <row r="739" spans="2:34" x14ac:dyDescent="0.25">
      <c r="B739" s="910">
        <v>39861</v>
      </c>
      <c r="C739" s="581">
        <f t="shared" si="34"/>
        <v>2</v>
      </c>
      <c r="D739" s="171">
        <v>39.93</v>
      </c>
      <c r="E739" s="171">
        <v>38.06</v>
      </c>
      <c r="F739" s="171">
        <v>35.14</v>
      </c>
      <c r="G739" s="171">
        <v>33.1</v>
      </c>
      <c r="H739" s="171">
        <v>32.020000000000003</v>
      </c>
      <c r="I739" s="171">
        <v>35.47</v>
      </c>
      <c r="J739" s="171">
        <v>46.04</v>
      </c>
      <c r="K739" s="171">
        <v>65.69</v>
      </c>
      <c r="L739" s="171">
        <v>58.25</v>
      </c>
      <c r="M739" s="171">
        <v>65.81</v>
      </c>
      <c r="N739" s="171">
        <v>66.17</v>
      </c>
      <c r="O739" s="171">
        <v>66.099999999999994</v>
      </c>
      <c r="P739" s="171">
        <v>65</v>
      </c>
      <c r="Q739" s="171">
        <v>64.010000000000005</v>
      </c>
      <c r="R739" s="171">
        <v>62.5</v>
      </c>
      <c r="S739" s="171">
        <v>55</v>
      </c>
      <c r="T739" s="171">
        <v>50.89</v>
      </c>
      <c r="U739" s="171">
        <v>53.07</v>
      </c>
      <c r="V739" s="171">
        <v>76.010000000000005</v>
      </c>
      <c r="W739" s="171">
        <v>68.52</v>
      </c>
      <c r="X739" s="171">
        <v>60.25</v>
      </c>
      <c r="Y739" s="171">
        <v>46.96</v>
      </c>
      <c r="Z739" s="171">
        <v>46.15</v>
      </c>
      <c r="AA739" s="171">
        <v>43.17</v>
      </c>
      <c r="AB739" s="171">
        <v>76.010000000000005</v>
      </c>
      <c r="AC739" s="171">
        <v>46.15</v>
      </c>
      <c r="AD739" s="171">
        <v>37.869999999999997</v>
      </c>
      <c r="AF739" s="171">
        <f t="shared" si="35"/>
        <v>2009</v>
      </c>
      <c r="AG739" s="171">
        <f t="shared" si="36"/>
        <v>6</v>
      </c>
      <c r="AH739" s="700">
        <f>SUMIF(D$3:$AA739,"&lt;="&amp;$AH$1)/COUNTIF(D$3:$AA739,"&lt;="&amp;$AH$1)</f>
        <v>28.848088117060541</v>
      </c>
    </row>
    <row r="740" spans="2:34" x14ac:dyDescent="0.25">
      <c r="B740" s="910">
        <v>39862</v>
      </c>
      <c r="C740" s="581">
        <f t="shared" si="34"/>
        <v>2</v>
      </c>
      <c r="D740" s="171">
        <v>40.619999999999997</v>
      </c>
      <c r="E740" s="171">
        <v>41</v>
      </c>
      <c r="F740" s="171">
        <v>38.49</v>
      </c>
      <c r="G740" s="171">
        <v>34.69</v>
      </c>
      <c r="H740" s="171">
        <v>32.049999999999997</v>
      </c>
      <c r="I740" s="171">
        <v>36.6</v>
      </c>
      <c r="J740" s="171">
        <v>49.620000000000005</v>
      </c>
      <c r="K740" s="171">
        <v>65.290000000000006</v>
      </c>
      <c r="L740" s="171">
        <v>63.5</v>
      </c>
      <c r="M740" s="171">
        <v>67.36</v>
      </c>
      <c r="N740" s="171">
        <v>69.34</v>
      </c>
      <c r="O740" s="171">
        <v>70.680000000000007</v>
      </c>
      <c r="P740" s="171">
        <v>63.01</v>
      </c>
      <c r="Q740" s="171">
        <v>62</v>
      </c>
      <c r="R740" s="171">
        <v>60.57</v>
      </c>
      <c r="S740" s="171">
        <v>57.01</v>
      </c>
      <c r="T740" s="171">
        <v>52.300000000000004</v>
      </c>
      <c r="U740" s="171">
        <v>57.01</v>
      </c>
      <c r="V740" s="171">
        <v>80</v>
      </c>
      <c r="W740" s="171">
        <v>75</v>
      </c>
      <c r="X740" s="171">
        <v>61.870000000000005</v>
      </c>
      <c r="Y740" s="171">
        <v>53.26</v>
      </c>
      <c r="Z740" s="171">
        <v>50.18</v>
      </c>
      <c r="AA740" s="171">
        <v>46.95</v>
      </c>
      <c r="AB740" s="171">
        <v>80</v>
      </c>
      <c r="AC740" s="171">
        <v>50.18</v>
      </c>
      <c r="AD740" s="171">
        <v>40</v>
      </c>
      <c r="AF740" s="171">
        <f t="shared" si="35"/>
        <v>2009</v>
      </c>
      <c r="AG740" s="171">
        <f t="shared" si="36"/>
        <v>6</v>
      </c>
      <c r="AH740" s="700">
        <f>SUMIF(D$3:$AA740,"&lt;="&amp;$AH$1)/COUNTIF(D$3:$AA740,"&lt;="&amp;$AH$1)</f>
        <v>28.856178313252933</v>
      </c>
    </row>
    <row r="741" spans="2:34" x14ac:dyDescent="0.25">
      <c r="B741" s="910">
        <v>39863</v>
      </c>
      <c r="C741" s="581">
        <f t="shared" si="34"/>
        <v>2</v>
      </c>
      <c r="D741" s="171">
        <v>36.08</v>
      </c>
      <c r="E741" s="171">
        <v>37.44</v>
      </c>
      <c r="F741" s="171">
        <v>36.119999999999997</v>
      </c>
      <c r="G741" s="171">
        <v>33.03</v>
      </c>
      <c r="H741" s="171">
        <v>30.32</v>
      </c>
      <c r="I741" s="171">
        <v>35.6</v>
      </c>
      <c r="J741" s="171">
        <v>47.14</v>
      </c>
      <c r="K741" s="171">
        <v>53.52</v>
      </c>
      <c r="L741" s="171">
        <v>55.81</v>
      </c>
      <c r="M741" s="171">
        <v>60</v>
      </c>
      <c r="N741" s="171">
        <v>60.620000000000005</v>
      </c>
      <c r="O741" s="171">
        <v>61.11</v>
      </c>
      <c r="P741" s="171">
        <v>58</v>
      </c>
      <c r="Q741" s="171">
        <v>54.32</v>
      </c>
      <c r="R741" s="171">
        <v>52.49</v>
      </c>
      <c r="S741" s="171">
        <v>49.35</v>
      </c>
      <c r="T741" s="171">
        <v>45.14</v>
      </c>
      <c r="U741" s="171">
        <v>47.07</v>
      </c>
      <c r="V741" s="171">
        <v>63.47</v>
      </c>
      <c r="W741" s="171">
        <v>61</v>
      </c>
      <c r="X741" s="171">
        <v>53.53</v>
      </c>
      <c r="Y741" s="171">
        <v>46.33</v>
      </c>
      <c r="Z741" s="171">
        <v>46.17</v>
      </c>
      <c r="AA741" s="171">
        <v>42.09</v>
      </c>
      <c r="AB741" s="171">
        <v>63.47</v>
      </c>
      <c r="AC741" s="171">
        <v>45.14</v>
      </c>
      <c r="AD741" s="171">
        <v>37.230000000000004</v>
      </c>
      <c r="AF741" s="171">
        <f t="shared" si="35"/>
        <v>2009</v>
      </c>
      <c r="AG741" s="171">
        <f t="shared" si="36"/>
        <v>7</v>
      </c>
      <c r="AH741" s="700">
        <f>SUMIF(D$3:$AA741,"&lt;="&amp;$AH$1)/COUNTIF(D$3:$AA741,"&lt;="&amp;$AH$1)</f>
        <v>28.863990693196325</v>
      </c>
    </row>
    <row r="742" spans="2:34" x14ac:dyDescent="0.25">
      <c r="B742" s="910">
        <v>39864</v>
      </c>
      <c r="C742" s="581">
        <f t="shared" si="34"/>
        <v>2</v>
      </c>
      <c r="D742" s="171">
        <v>39.520000000000003</v>
      </c>
      <c r="E742" s="171">
        <v>38.64</v>
      </c>
      <c r="F742" s="171">
        <v>36.08</v>
      </c>
      <c r="G742" s="171">
        <v>34.79</v>
      </c>
      <c r="H742" s="171">
        <v>33.03</v>
      </c>
      <c r="I742" s="171">
        <v>36.24</v>
      </c>
      <c r="J742" s="171">
        <v>42.300000000000004</v>
      </c>
      <c r="K742" s="171">
        <v>57.07</v>
      </c>
      <c r="L742" s="171">
        <v>53.14</v>
      </c>
      <c r="M742" s="171">
        <v>56.69</v>
      </c>
      <c r="N742" s="171">
        <v>57.730000000000004</v>
      </c>
      <c r="O742" s="171">
        <v>58</v>
      </c>
      <c r="P742" s="171">
        <v>55.29</v>
      </c>
      <c r="Q742" s="171">
        <v>52.01</v>
      </c>
      <c r="R742" s="171">
        <v>49.14</v>
      </c>
      <c r="S742" s="171">
        <v>42.72</v>
      </c>
      <c r="T742" s="171">
        <v>40.99</v>
      </c>
      <c r="U742" s="171">
        <v>45.54</v>
      </c>
      <c r="V742" s="171">
        <v>57.5</v>
      </c>
      <c r="W742" s="171">
        <v>57.21</v>
      </c>
      <c r="X742" s="171">
        <v>48.21</v>
      </c>
      <c r="Y742" s="171">
        <v>43.13</v>
      </c>
      <c r="Z742" s="171">
        <v>45.02</v>
      </c>
      <c r="AA742" s="171">
        <v>42.550000000000004</v>
      </c>
      <c r="AB742" s="171">
        <v>58</v>
      </c>
      <c r="AC742" s="171">
        <v>40.99</v>
      </c>
      <c r="AD742" s="171">
        <v>37.89</v>
      </c>
      <c r="AF742" s="171">
        <f t="shared" si="35"/>
        <v>2009</v>
      </c>
      <c r="AG742" s="171">
        <f t="shared" si="36"/>
        <v>9</v>
      </c>
      <c r="AH742" s="700">
        <f>SUMIF(D$3:$AA742,"&lt;="&amp;$AH$1)/COUNTIF(D$3:$AA742,"&lt;="&amp;$AH$1)</f>
        <v>28.877508412113354</v>
      </c>
    </row>
    <row r="743" spans="2:34" x14ac:dyDescent="0.25">
      <c r="B743" s="910">
        <v>39867</v>
      </c>
      <c r="C743" s="581">
        <f t="shared" si="34"/>
        <v>2</v>
      </c>
      <c r="D743" s="171">
        <v>17</v>
      </c>
      <c r="E743" s="171">
        <v>18.89</v>
      </c>
      <c r="F743" s="171">
        <v>19.11</v>
      </c>
      <c r="G743" s="171">
        <v>14.870000000000001</v>
      </c>
      <c r="H743" s="171">
        <v>13</v>
      </c>
      <c r="I743" s="171">
        <v>16</v>
      </c>
      <c r="J743" s="171">
        <v>28.63</v>
      </c>
      <c r="K743" s="171">
        <v>42.86</v>
      </c>
      <c r="L743" s="171">
        <v>45</v>
      </c>
      <c r="M743" s="171">
        <v>48.54</v>
      </c>
      <c r="N743" s="171">
        <v>48.15</v>
      </c>
      <c r="O743" s="171">
        <v>49</v>
      </c>
      <c r="P743" s="171">
        <v>49.21</v>
      </c>
      <c r="Q743" s="171">
        <v>48.61</v>
      </c>
      <c r="R743" s="171">
        <v>44.78</v>
      </c>
      <c r="S743" s="171">
        <v>39.47</v>
      </c>
      <c r="T743" s="171">
        <v>36.94</v>
      </c>
      <c r="U743" s="171">
        <v>38.35</v>
      </c>
      <c r="V743" s="171">
        <v>53.88</v>
      </c>
      <c r="W743" s="171">
        <v>54.44</v>
      </c>
      <c r="X743" s="171">
        <v>47.04</v>
      </c>
      <c r="Y743" s="171">
        <v>38.19</v>
      </c>
      <c r="Z743" s="171">
        <v>39</v>
      </c>
      <c r="AA743" s="171">
        <v>37.46</v>
      </c>
      <c r="AB743" s="171">
        <v>54.44</v>
      </c>
      <c r="AC743" s="171">
        <v>36.94</v>
      </c>
      <c r="AD743" s="171">
        <v>20.62</v>
      </c>
      <c r="AF743" s="171">
        <f t="shared" si="35"/>
        <v>2009</v>
      </c>
      <c r="AG743" s="171">
        <f t="shared" si="36"/>
        <v>13</v>
      </c>
      <c r="AH743" s="700">
        <f>SUMIF(D$3:$AA743,"&lt;="&amp;$AH$1)/COUNTIF(D$3:$AA743,"&lt;="&amp;$AH$1)</f>
        <v>28.874550687559875</v>
      </c>
    </row>
    <row r="744" spans="2:34" x14ac:dyDescent="0.25">
      <c r="B744" s="910">
        <v>39868</v>
      </c>
      <c r="C744" s="581">
        <f t="shared" si="34"/>
        <v>2</v>
      </c>
      <c r="D744" s="171">
        <v>35.61</v>
      </c>
      <c r="E744" s="171">
        <v>32.76</v>
      </c>
      <c r="F744" s="171">
        <v>31.37</v>
      </c>
      <c r="G744" s="171">
        <v>26.240000000000002</v>
      </c>
      <c r="H744" s="171">
        <v>22.82</v>
      </c>
      <c r="I744" s="171">
        <v>28.18</v>
      </c>
      <c r="J744" s="171">
        <v>37.020000000000003</v>
      </c>
      <c r="K744" s="171">
        <v>49.61</v>
      </c>
      <c r="L744" s="171">
        <v>47.47</v>
      </c>
      <c r="M744" s="171">
        <v>51.01</v>
      </c>
      <c r="N744" s="171">
        <v>51.01</v>
      </c>
      <c r="O744" s="171">
        <v>52.44</v>
      </c>
      <c r="P744" s="171">
        <v>51.01</v>
      </c>
      <c r="Q744" s="171">
        <v>51</v>
      </c>
      <c r="R744" s="171">
        <v>48.1</v>
      </c>
      <c r="S744" s="171">
        <v>42.99</v>
      </c>
      <c r="T744" s="171">
        <v>39.93</v>
      </c>
      <c r="U744" s="171">
        <v>42.87</v>
      </c>
      <c r="V744" s="171">
        <v>57.77</v>
      </c>
      <c r="W744" s="171">
        <v>59.79</v>
      </c>
      <c r="X744" s="171">
        <v>53.370000000000005</v>
      </c>
      <c r="Y744" s="171">
        <v>43.75</v>
      </c>
      <c r="Z744" s="171">
        <v>43.31</v>
      </c>
      <c r="AA744" s="171">
        <v>38.82</v>
      </c>
      <c r="AB744" s="171">
        <v>59.79</v>
      </c>
      <c r="AC744" s="171">
        <v>39.93</v>
      </c>
      <c r="AD744" s="171">
        <v>31.6</v>
      </c>
      <c r="AF744" s="171">
        <f t="shared" si="35"/>
        <v>2009</v>
      </c>
      <c r="AG744" s="171">
        <f t="shared" si="36"/>
        <v>9</v>
      </c>
      <c r="AH744" s="700">
        <f>SUMIF(D$3:$AA744,"&lt;="&amp;$AH$1)/COUNTIF(D$3:$AA744,"&lt;="&amp;$AH$1)</f>
        <v>28.879800415136422</v>
      </c>
    </row>
    <row r="745" spans="2:34" x14ac:dyDescent="0.25">
      <c r="B745" s="910">
        <v>39869</v>
      </c>
      <c r="C745" s="581">
        <f t="shared" si="34"/>
        <v>2</v>
      </c>
      <c r="D745" s="171">
        <v>34.21</v>
      </c>
      <c r="E745" s="171">
        <v>32.78</v>
      </c>
      <c r="F745" s="171">
        <v>32</v>
      </c>
      <c r="G745" s="171">
        <v>31.240000000000002</v>
      </c>
      <c r="H745" s="171">
        <v>30.03</v>
      </c>
      <c r="I745" s="171">
        <v>33.51</v>
      </c>
      <c r="J745" s="171">
        <v>41.01</v>
      </c>
      <c r="K745" s="171">
        <v>49</v>
      </c>
      <c r="L745" s="171">
        <v>45.29</v>
      </c>
      <c r="M745" s="171">
        <v>49.01</v>
      </c>
      <c r="N745" s="171">
        <v>49.01</v>
      </c>
      <c r="O745" s="171">
        <v>49</v>
      </c>
      <c r="P745" s="171">
        <v>47.06</v>
      </c>
      <c r="Q745" s="171">
        <v>46.47</v>
      </c>
      <c r="R745" s="171">
        <v>42.04</v>
      </c>
      <c r="S745" s="171">
        <v>37.89</v>
      </c>
      <c r="T745" s="171">
        <v>36.42</v>
      </c>
      <c r="U745" s="171">
        <v>36.410000000000004</v>
      </c>
      <c r="V745" s="171">
        <v>49.03</v>
      </c>
      <c r="W745" s="171">
        <v>50.13</v>
      </c>
      <c r="X745" s="171">
        <v>47</v>
      </c>
      <c r="Y745" s="171">
        <v>39.950000000000003</v>
      </c>
      <c r="Z745" s="171">
        <v>37.800000000000004</v>
      </c>
      <c r="AA745" s="171">
        <v>33.42</v>
      </c>
      <c r="AB745" s="171">
        <v>50.13</v>
      </c>
      <c r="AC745" s="171">
        <v>36.410000000000004</v>
      </c>
      <c r="AD745" s="171">
        <v>33.53</v>
      </c>
      <c r="AF745" s="171">
        <f t="shared" si="35"/>
        <v>2009</v>
      </c>
      <c r="AG745" s="171">
        <f t="shared" si="36"/>
        <v>14</v>
      </c>
      <c r="AH745" s="700">
        <f>SUMIF(D$3:$AA745,"&lt;="&amp;$AH$1)/COUNTIF(D$3:$AA745,"&lt;="&amp;$AH$1)</f>
        <v>28.89483829855018</v>
      </c>
    </row>
    <row r="746" spans="2:34" x14ac:dyDescent="0.25">
      <c r="B746" s="910">
        <v>39870</v>
      </c>
      <c r="C746" s="581">
        <f t="shared" si="34"/>
        <v>2</v>
      </c>
      <c r="D746" s="171">
        <v>29.38</v>
      </c>
      <c r="E746" s="171">
        <v>26.7</v>
      </c>
      <c r="F746" s="171">
        <v>27</v>
      </c>
      <c r="G746" s="171">
        <v>27</v>
      </c>
      <c r="H746" s="171">
        <v>27.93</v>
      </c>
      <c r="I746" s="171">
        <v>26.7</v>
      </c>
      <c r="J746" s="171">
        <v>33.72</v>
      </c>
      <c r="K746" s="171">
        <v>43.84</v>
      </c>
      <c r="L746" s="171">
        <v>43.15</v>
      </c>
      <c r="M746" s="171">
        <v>45.5</v>
      </c>
      <c r="N746" s="171">
        <v>46</v>
      </c>
      <c r="O746" s="171">
        <v>47</v>
      </c>
      <c r="P746" s="171">
        <v>45</v>
      </c>
      <c r="Q746" s="171">
        <v>40.99</v>
      </c>
      <c r="R746" s="171">
        <v>42</v>
      </c>
      <c r="S746" s="171">
        <v>35.97</v>
      </c>
      <c r="T746" s="171">
        <v>34.93</v>
      </c>
      <c r="U746" s="171">
        <v>34.82</v>
      </c>
      <c r="V746" s="171">
        <v>45.69</v>
      </c>
      <c r="W746" s="171">
        <v>45</v>
      </c>
      <c r="X746" s="171">
        <v>41.02</v>
      </c>
      <c r="Y746" s="171">
        <v>34.020000000000003</v>
      </c>
      <c r="Z746" s="171">
        <v>33.49</v>
      </c>
      <c r="AA746" s="171">
        <v>31.17</v>
      </c>
      <c r="AB746" s="171">
        <v>47</v>
      </c>
      <c r="AC746" s="171">
        <v>33.49</v>
      </c>
      <c r="AD746" s="171">
        <v>28.7</v>
      </c>
      <c r="AF746" s="171">
        <f t="shared" si="35"/>
        <v>2009</v>
      </c>
      <c r="AG746" s="171">
        <f t="shared" si="36"/>
        <v>16</v>
      </c>
      <c r="AH746" s="700">
        <f>SUMIF(D$3:$AA746,"&lt;="&amp;$AH$1)/COUNTIF(D$3:$AA746,"&lt;="&amp;$AH$1)</f>
        <v>28.905091371364925</v>
      </c>
    </row>
    <row r="747" spans="2:34" x14ac:dyDescent="0.25">
      <c r="B747" s="910">
        <v>39871</v>
      </c>
      <c r="C747" s="581">
        <f t="shared" si="34"/>
        <v>2</v>
      </c>
      <c r="D747" s="171">
        <v>31.19</v>
      </c>
      <c r="E747" s="171">
        <v>29.42</v>
      </c>
      <c r="F747" s="171">
        <v>30.04</v>
      </c>
      <c r="G747" s="171">
        <v>29.36</v>
      </c>
      <c r="H747" s="171">
        <v>29.2</v>
      </c>
      <c r="I747" s="171">
        <v>30</v>
      </c>
      <c r="J747" s="171">
        <v>39</v>
      </c>
      <c r="K747" s="171">
        <v>46.18</v>
      </c>
      <c r="L747" s="171">
        <v>48.870000000000005</v>
      </c>
      <c r="M747" s="171">
        <v>50</v>
      </c>
      <c r="N747" s="171">
        <v>49.93</v>
      </c>
      <c r="O747" s="171">
        <v>50.79</v>
      </c>
      <c r="P747" s="171">
        <v>46.74</v>
      </c>
      <c r="Q747" s="171">
        <v>44.76</v>
      </c>
      <c r="R747" s="171">
        <v>40.67</v>
      </c>
      <c r="S747" s="171">
        <v>38</v>
      </c>
      <c r="T747" s="171">
        <v>37.18</v>
      </c>
      <c r="U747" s="171">
        <v>39.380000000000003</v>
      </c>
      <c r="V747" s="171">
        <v>49.93</v>
      </c>
      <c r="W747" s="171">
        <v>49.93</v>
      </c>
      <c r="X747" s="171">
        <v>46</v>
      </c>
      <c r="Y747" s="171">
        <v>39.14</v>
      </c>
      <c r="Z747" s="171">
        <v>40</v>
      </c>
      <c r="AA747" s="171">
        <v>35.590000000000003</v>
      </c>
      <c r="AB747" s="171">
        <v>50.79</v>
      </c>
      <c r="AC747" s="171">
        <v>37.18</v>
      </c>
      <c r="AD747" s="171">
        <v>31.73</v>
      </c>
      <c r="AF747" s="171">
        <f t="shared" si="35"/>
        <v>2009</v>
      </c>
      <c r="AG747" s="171">
        <f t="shared" si="36"/>
        <v>14</v>
      </c>
      <c r="AH747" s="700">
        <f>SUMIF(D$3:$AA747,"&lt;="&amp;$AH$1)/COUNTIF(D$3:$AA747,"&lt;="&amp;$AH$1)</f>
        <v>28.918330426510149</v>
      </c>
    </row>
    <row r="748" spans="2:34" x14ac:dyDescent="0.25">
      <c r="B748" s="910">
        <v>39874</v>
      </c>
      <c r="C748" s="581">
        <f t="shared" si="34"/>
        <v>3</v>
      </c>
      <c r="D748" s="171">
        <v>37.99</v>
      </c>
      <c r="E748" s="171">
        <v>36.980000000000004</v>
      </c>
      <c r="F748" s="171">
        <v>35</v>
      </c>
      <c r="G748" s="171">
        <v>31.01</v>
      </c>
      <c r="H748" s="171">
        <v>29</v>
      </c>
      <c r="I748" s="171">
        <v>32.58</v>
      </c>
      <c r="J748" s="171">
        <v>40.24</v>
      </c>
      <c r="K748" s="171">
        <v>47</v>
      </c>
      <c r="L748" s="171">
        <v>49.13</v>
      </c>
      <c r="M748" s="171">
        <v>50.75</v>
      </c>
      <c r="N748" s="171">
        <v>52.17</v>
      </c>
      <c r="O748" s="171">
        <v>50.99</v>
      </c>
      <c r="P748" s="171">
        <v>49.84</v>
      </c>
      <c r="Q748" s="171">
        <v>48</v>
      </c>
      <c r="R748" s="171">
        <v>46.160000000000004</v>
      </c>
      <c r="S748" s="171">
        <v>43.93</v>
      </c>
      <c r="T748" s="171">
        <v>40.69</v>
      </c>
      <c r="U748" s="171">
        <v>40.79</v>
      </c>
      <c r="V748" s="171">
        <v>51.72</v>
      </c>
      <c r="W748" s="171">
        <v>58.93</v>
      </c>
      <c r="X748" s="171">
        <v>50.26</v>
      </c>
      <c r="Y748" s="171">
        <v>43.43</v>
      </c>
      <c r="Z748" s="171">
        <v>42.54</v>
      </c>
      <c r="AA748" s="171">
        <v>38.369999999999997</v>
      </c>
      <c r="AB748" s="171">
        <v>58.93</v>
      </c>
      <c r="AC748" s="171">
        <v>40.69</v>
      </c>
      <c r="AD748" s="171">
        <v>35.15</v>
      </c>
      <c r="AF748" s="171">
        <f t="shared" si="35"/>
        <v>2009</v>
      </c>
      <c r="AG748" s="171">
        <f t="shared" si="36"/>
        <v>11</v>
      </c>
      <c r="AH748" s="700">
        <f>SUMIF(D$3:$AA748,"&lt;="&amp;$AH$1)/COUNTIF(D$3:$AA748,"&lt;="&amp;$AH$1)</f>
        <v>28.932114593225627</v>
      </c>
    </row>
    <row r="749" spans="2:34" x14ac:dyDescent="0.25">
      <c r="B749" s="910">
        <v>39875</v>
      </c>
      <c r="C749" s="581">
        <f t="shared" si="34"/>
        <v>3</v>
      </c>
      <c r="D749" s="171">
        <v>34.03</v>
      </c>
      <c r="E749" s="171">
        <v>34.33</v>
      </c>
      <c r="F749" s="171">
        <v>32.82</v>
      </c>
      <c r="G749" s="171">
        <v>29.25</v>
      </c>
      <c r="H749" s="171">
        <v>28</v>
      </c>
      <c r="I749" s="171">
        <v>32.119999999999997</v>
      </c>
      <c r="J749" s="171">
        <v>40.800000000000004</v>
      </c>
      <c r="K749" s="171">
        <v>47</v>
      </c>
      <c r="L749" s="171">
        <v>48.78</v>
      </c>
      <c r="M749" s="171">
        <v>48.94</v>
      </c>
      <c r="N749" s="171">
        <v>48.35</v>
      </c>
      <c r="O749" s="171">
        <v>49.93</v>
      </c>
      <c r="P749" s="171">
        <v>48.21</v>
      </c>
      <c r="Q749" s="171">
        <v>46.99</v>
      </c>
      <c r="R749" s="171">
        <v>44.93</v>
      </c>
      <c r="S749" s="171">
        <v>41.11</v>
      </c>
      <c r="T749" s="171">
        <v>39.68</v>
      </c>
      <c r="U749" s="171">
        <v>40.99</v>
      </c>
      <c r="V749" s="171">
        <v>48.660000000000004</v>
      </c>
      <c r="W749" s="171">
        <v>50.730000000000004</v>
      </c>
      <c r="X749" s="171">
        <v>45.74</v>
      </c>
      <c r="Y749" s="171">
        <v>40.99</v>
      </c>
      <c r="Z749" s="171">
        <v>39.92</v>
      </c>
      <c r="AA749" s="171">
        <v>34.700000000000003</v>
      </c>
      <c r="AB749" s="171">
        <v>50.730000000000004</v>
      </c>
      <c r="AC749" s="171">
        <v>39.68</v>
      </c>
      <c r="AD749" s="171">
        <v>33.26</v>
      </c>
      <c r="AF749" s="171">
        <f t="shared" si="35"/>
        <v>2009</v>
      </c>
      <c r="AG749" s="171">
        <f t="shared" si="36"/>
        <v>13</v>
      </c>
      <c r="AH749" s="700">
        <f>SUMIF(D$3:$AA749,"&lt;="&amp;$AH$1)/COUNTIF(D$3:$AA749,"&lt;="&amp;$AH$1)</f>
        <v>28.946744590112065</v>
      </c>
    </row>
    <row r="750" spans="2:34" x14ac:dyDescent="0.25">
      <c r="B750" s="910">
        <v>39876</v>
      </c>
      <c r="C750" s="581">
        <f t="shared" si="34"/>
        <v>3</v>
      </c>
      <c r="D750" s="171">
        <v>31.5</v>
      </c>
      <c r="E750" s="171">
        <v>29.05</v>
      </c>
      <c r="F750" s="171">
        <v>28.27</v>
      </c>
      <c r="G750" s="171">
        <v>26.12</v>
      </c>
      <c r="H750" s="171">
        <v>24.01</v>
      </c>
      <c r="I750" s="171">
        <v>27.91</v>
      </c>
      <c r="J750" s="171">
        <v>36.85</v>
      </c>
      <c r="K750" s="171">
        <v>43</v>
      </c>
      <c r="L750" s="171">
        <v>45.86</v>
      </c>
      <c r="M750" s="171">
        <v>47.52</v>
      </c>
      <c r="N750" s="171">
        <v>48</v>
      </c>
      <c r="O750" s="171">
        <v>48.160000000000004</v>
      </c>
      <c r="P750" s="171">
        <v>47.04</v>
      </c>
      <c r="Q750" s="171">
        <v>47</v>
      </c>
      <c r="R750" s="171">
        <v>46.61</v>
      </c>
      <c r="S750" s="171">
        <v>43.57</v>
      </c>
      <c r="T750" s="171">
        <v>40.68</v>
      </c>
      <c r="U750" s="171">
        <v>40.99</v>
      </c>
      <c r="V750" s="171">
        <v>59.910000000000004</v>
      </c>
      <c r="W750" s="171">
        <v>54.28</v>
      </c>
      <c r="X750" s="171">
        <v>47</v>
      </c>
      <c r="Y750" s="171">
        <v>41</v>
      </c>
      <c r="Z750" s="171">
        <v>38.69</v>
      </c>
      <c r="AA750" s="171">
        <v>33.17</v>
      </c>
      <c r="AB750" s="171">
        <v>59.910000000000004</v>
      </c>
      <c r="AC750" s="171">
        <v>38.69</v>
      </c>
      <c r="AD750" s="171">
        <v>29.61</v>
      </c>
      <c r="AF750" s="171">
        <f t="shared" si="35"/>
        <v>2009</v>
      </c>
      <c r="AG750" s="171">
        <f t="shared" si="36"/>
        <v>12</v>
      </c>
      <c r="AH750" s="700">
        <f>SUMIF(D$3:$AA750,"&lt;="&amp;$AH$1)/COUNTIF(D$3:$AA750,"&lt;="&amp;$AH$1)</f>
        <v>28.954765883651184</v>
      </c>
    </row>
    <row r="751" spans="2:34" x14ac:dyDescent="0.25">
      <c r="B751" s="910">
        <v>39877</v>
      </c>
      <c r="C751" s="581">
        <f t="shared" si="34"/>
        <v>3</v>
      </c>
      <c r="D751" s="171">
        <v>34.96</v>
      </c>
      <c r="E751" s="171">
        <v>34.369999999999997</v>
      </c>
      <c r="F751" s="171">
        <v>30.93</v>
      </c>
      <c r="G751" s="171">
        <v>28</v>
      </c>
      <c r="H751" s="171">
        <v>29.54</v>
      </c>
      <c r="I751" s="171">
        <v>31.16</v>
      </c>
      <c r="J751" s="171">
        <v>39.35</v>
      </c>
      <c r="K751" s="171">
        <v>49.09</v>
      </c>
      <c r="L751" s="171">
        <v>50.53</v>
      </c>
      <c r="M751" s="171">
        <v>52.730000000000004</v>
      </c>
      <c r="N751" s="171">
        <v>52.04</v>
      </c>
      <c r="O751" s="171">
        <v>52.52</v>
      </c>
      <c r="P751" s="171">
        <v>49.51</v>
      </c>
      <c r="Q751" s="171">
        <v>49</v>
      </c>
      <c r="R751" s="171">
        <v>46.24</v>
      </c>
      <c r="S751" s="171">
        <v>41.78</v>
      </c>
      <c r="T751" s="171">
        <v>40</v>
      </c>
      <c r="U751" s="171">
        <v>41.69</v>
      </c>
      <c r="V751" s="171">
        <v>57.26</v>
      </c>
      <c r="W751" s="171">
        <v>55.83</v>
      </c>
      <c r="X751" s="171">
        <v>48.63</v>
      </c>
      <c r="Y751" s="171">
        <v>42.99</v>
      </c>
      <c r="Z751" s="171">
        <v>42.99</v>
      </c>
      <c r="AA751" s="171">
        <v>35.15</v>
      </c>
      <c r="AB751" s="171">
        <v>57.26</v>
      </c>
      <c r="AC751" s="171">
        <v>40</v>
      </c>
      <c r="AD751" s="171">
        <v>32.93</v>
      </c>
      <c r="AF751" s="171">
        <f t="shared" si="35"/>
        <v>2009</v>
      </c>
      <c r="AG751" s="171">
        <f t="shared" si="36"/>
        <v>11</v>
      </c>
      <c r="AH751" s="700">
        <f>SUMIF(D$3:$AA751,"&lt;="&amp;$AH$1)/COUNTIF(D$3:$AA751,"&lt;="&amp;$AH$1)</f>
        <v>28.965535096002434</v>
      </c>
    </row>
    <row r="752" spans="2:34" x14ac:dyDescent="0.25">
      <c r="B752" s="910">
        <v>39878</v>
      </c>
      <c r="C752" s="581">
        <f t="shared" si="34"/>
        <v>3</v>
      </c>
      <c r="D752" s="171">
        <v>35</v>
      </c>
      <c r="E752" s="171">
        <v>32.53</v>
      </c>
      <c r="F752" s="171">
        <v>31</v>
      </c>
      <c r="G752" s="171">
        <v>30</v>
      </c>
      <c r="H752" s="171">
        <v>29.310000000000002</v>
      </c>
      <c r="I752" s="171">
        <v>33.29</v>
      </c>
      <c r="J752" s="171">
        <v>40.54</v>
      </c>
      <c r="K752" s="171">
        <v>49.83</v>
      </c>
      <c r="L752" s="171">
        <v>54.9</v>
      </c>
      <c r="M752" s="171">
        <v>56.67</v>
      </c>
      <c r="N752" s="171">
        <v>55.94</v>
      </c>
      <c r="O752" s="171">
        <v>55.230000000000004</v>
      </c>
      <c r="P752" s="171">
        <v>51.9</v>
      </c>
      <c r="Q752" s="171">
        <v>50</v>
      </c>
      <c r="R752" s="171">
        <v>46.15</v>
      </c>
      <c r="S752" s="171">
        <v>41.86</v>
      </c>
      <c r="T752" s="171">
        <v>39.96</v>
      </c>
      <c r="U752" s="171">
        <v>39.980000000000004</v>
      </c>
      <c r="V752" s="171">
        <v>53</v>
      </c>
      <c r="W752" s="171">
        <v>59.21</v>
      </c>
      <c r="X752" s="171">
        <v>46.21</v>
      </c>
      <c r="Y752" s="171">
        <v>41.29</v>
      </c>
      <c r="Z752" s="171">
        <v>40.56</v>
      </c>
      <c r="AA752" s="171">
        <v>36.99</v>
      </c>
      <c r="AB752" s="171">
        <v>59.21</v>
      </c>
      <c r="AC752" s="171">
        <v>39.96</v>
      </c>
      <c r="AD752" s="171">
        <v>33.58</v>
      </c>
      <c r="AF752" s="171">
        <f t="shared" si="35"/>
        <v>2009</v>
      </c>
      <c r="AG752" s="171">
        <f t="shared" si="36"/>
        <v>13</v>
      </c>
      <c r="AH752" s="700">
        <f>SUMIF(D$3:$AA752,"&lt;="&amp;$AH$1)/COUNTIF(D$3:$AA752,"&lt;="&amp;$AH$1)</f>
        <v>28.980574839013578</v>
      </c>
    </row>
    <row r="753" spans="2:34" x14ac:dyDescent="0.25">
      <c r="B753" s="910">
        <v>39881</v>
      </c>
      <c r="C753" s="581">
        <f t="shared" si="34"/>
        <v>3</v>
      </c>
      <c r="D753" s="171">
        <v>23.69</v>
      </c>
      <c r="E753" s="171">
        <v>20</v>
      </c>
      <c r="F753" s="171">
        <v>8.26</v>
      </c>
      <c r="G753" s="171">
        <v>4</v>
      </c>
      <c r="H753" s="171">
        <v>10.8</v>
      </c>
      <c r="I753" s="171">
        <v>24.92</v>
      </c>
      <c r="J753" s="171">
        <v>40</v>
      </c>
      <c r="K753" s="171">
        <v>45</v>
      </c>
      <c r="L753" s="171">
        <v>45</v>
      </c>
      <c r="M753" s="171">
        <v>47.99</v>
      </c>
      <c r="N753" s="171">
        <v>47.49</v>
      </c>
      <c r="O753" s="171">
        <v>48</v>
      </c>
      <c r="P753" s="171">
        <v>44.99</v>
      </c>
      <c r="Q753" s="171">
        <v>44.93</v>
      </c>
      <c r="R753" s="171">
        <v>40</v>
      </c>
      <c r="S753" s="171">
        <v>38.71</v>
      </c>
      <c r="T753" s="171">
        <v>37.56</v>
      </c>
      <c r="U753" s="171">
        <v>38.68</v>
      </c>
      <c r="V753" s="171">
        <v>51.44</v>
      </c>
      <c r="W753" s="171">
        <v>50</v>
      </c>
      <c r="X753" s="171">
        <v>44.9</v>
      </c>
      <c r="Y753" s="171">
        <v>41</v>
      </c>
      <c r="Z753" s="171">
        <v>40</v>
      </c>
      <c r="AA753" s="171">
        <v>34.86</v>
      </c>
      <c r="AB753" s="171">
        <v>51.44</v>
      </c>
      <c r="AC753" s="171">
        <v>37.56</v>
      </c>
      <c r="AD753" s="171">
        <v>20.82</v>
      </c>
      <c r="AF753" s="171">
        <f t="shared" si="35"/>
        <v>2009</v>
      </c>
      <c r="AG753" s="171">
        <f t="shared" si="36"/>
        <v>14</v>
      </c>
      <c r="AH753" s="700">
        <f>SUMIF(D$3:$AA753,"&lt;="&amp;$AH$1)/COUNTIF(D$3:$AA753,"&lt;="&amp;$AH$1)</f>
        <v>28.980065820404239</v>
      </c>
    </row>
    <row r="754" spans="2:34" x14ac:dyDescent="0.25">
      <c r="B754" s="910">
        <v>39882</v>
      </c>
      <c r="C754" s="581">
        <f t="shared" si="34"/>
        <v>3</v>
      </c>
      <c r="D754" s="171">
        <v>30.03</v>
      </c>
      <c r="E754" s="171">
        <v>25.57</v>
      </c>
      <c r="F754" s="171">
        <v>28</v>
      </c>
      <c r="G754" s="171">
        <v>26</v>
      </c>
      <c r="H754" s="171">
        <v>28.13</v>
      </c>
      <c r="I754" s="171">
        <v>32.82</v>
      </c>
      <c r="J754" s="171">
        <v>38.99</v>
      </c>
      <c r="K754" s="171">
        <v>47.78</v>
      </c>
      <c r="L754" s="171">
        <v>48.75</v>
      </c>
      <c r="M754" s="171">
        <v>49</v>
      </c>
      <c r="N754" s="171">
        <v>49.77</v>
      </c>
      <c r="O754" s="171">
        <v>50.03</v>
      </c>
      <c r="P754" s="171">
        <v>47.89</v>
      </c>
      <c r="Q754" s="171">
        <v>47</v>
      </c>
      <c r="R754" s="171">
        <v>43.47</v>
      </c>
      <c r="S754" s="171">
        <v>41.94</v>
      </c>
      <c r="T754" s="171">
        <v>40.07</v>
      </c>
      <c r="U754" s="171">
        <v>40.99</v>
      </c>
      <c r="V754" s="171">
        <v>53.64</v>
      </c>
      <c r="W754" s="171">
        <v>56.92</v>
      </c>
      <c r="X754" s="171">
        <v>46</v>
      </c>
      <c r="Y754" s="171">
        <v>40</v>
      </c>
      <c r="Z754" s="171">
        <v>37</v>
      </c>
      <c r="AA754" s="171">
        <v>34</v>
      </c>
      <c r="AB754" s="171">
        <v>56.92</v>
      </c>
      <c r="AC754" s="171">
        <v>37</v>
      </c>
      <c r="AD754" s="171">
        <v>30.44</v>
      </c>
      <c r="AF754" s="171">
        <f t="shared" si="35"/>
        <v>2009</v>
      </c>
      <c r="AG754" s="171">
        <f t="shared" si="36"/>
        <v>13</v>
      </c>
      <c r="AH754" s="700">
        <f>SUMIF(D$3:$AA754,"&lt;="&amp;$AH$1)/COUNTIF(D$3:$AA754,"&lt;="&amp;$AH$1)</f>
        <v>28.990512980919526</v>
      </c>
    </row>
    <row r="755" spans="2:34" x14ac:dyDescent="0.25">
      <c r="B755" s="910">
        <v>39883</v>
      </c>
      <c r="C755" s="581">
        <f t="shared" si="34"/>
        <v>3</v>
      </c>
      <c r="D755" s="171">
        <v>30.91</v>
      </c>
      <c r="E755" s="171">
        <v>31.16</v>
      </c>
      <c r="F755" s="171">
        <v>29.75</v>
      </c>
      <c r="G755" s="171">
        <v>26</v>
      </c>
      <c r="H755" s="171">
        <v>27.92</v>
      </c>
      <c r="I755" s="171">
        <v>29.5</v>
      </c>
      <c r="J755" s="171">
        <v>35.33</v>
      </c>
      <c r="K755" s="171">
        <v>42.03</v>
      </c>
      <c r="L755" s="171">
        <v>45.56</v>
      </c>
      <c r="M755" s="171">
        <v>48.76</v>
      </c>
      <c r="N755" s="171">
        <v>49.06</v>
      </c>
      <c r="O755" s="171">
        <v>48.76</v>
      </c>
      <c r="P755" s="171">
        <v>46.93</v>
      </c>
      <c r="Q755" s="171">
        <v>44.93</v>
      </c>
      <c r="R755" s="171">
        <v>43.62</v>
      </c>
      <c r="S755" s="171">
        <v>39.93</v>
      </c>
      <c r="T755" s="171">
        <v>38.43</v>
      </c>
      <c r="U755" s="171">
        <v>40</v>
      </c>
      <c r="V755" s="171">
        <v>53.09</v>
      </c>
      <c r="W755" s="171">
        <v>61.63</v>
      </c>
      <c r="X755" s="171">
        <v>47.99</v>
      </c>
      <c r="Y755" s="171">
        <v>40.75</v>
      </c>
      <c r="Z755" s="171">
        <v>38.340000000000003</v>
      </c>
      <c r="AA755" s="171">
        <v>35.14</v>
      </c>
      <c r="AB755" s="171">
        <v>61.63</v>
      </c>
      <c r="AC755" s="171">
        <v>38.340000000000003</v>
      </c>
      <c r="AD755" s="171">
        <v>30.71</v>
      </c>
      <c r="AF755" s="171">
        <f t="shared" si="35"/>
        <v>2009</v>
      </c>
      <c r="AG755" s="171">
        <f t="shared" si="36"/>
        <v>14</v>
      </c>
      <c r="AH755" s="700">
        <f>SUMIF(D$3:$AA755,"&lt;="&amp;$AH$1)/COUNTIF(D$3:$AA755,"&lt;="&amp;$AH$1)</f>
        <v>29.002891697877565</v>
      </c>
    </row>
    <row r="756" spans="2:34" x14ac:dyDescent="0.25">
      <c r="B756" s="910">
        <v>39884</v>
      </c>
      <c r="C756" s="581">
        <f t="shared" si="34"/>
        <v>3</v>
      </c>
      <c r="D756" s="171">
        <v>36.200000000000003</v>
      </c>
      <c r="E756" s="171">
        <v>33.57</v>
      </c>
      <c r="F756" s="171">
        <v>32.49</v>
      </c>
      <c r="G756" s="171">
        <v>31.1</v>
      </c>
      <c r="H756" s="171">
        <v>30</v>
      </c>
      <c r="I756" s="171">
        <v>33.6</v>
      </c>
      <c r="J756" s="171">
        <v>39.68</v>
      </c>
      <c r="K756" s="171">
        <v>47.53</v>
      </c>
      <c r="L756" s="171">
        <v>48.76</v>
      </c>
      <c r="M756" s="171">
        <v>52.93</v>
      </c>
      <c r="N756" s="171">
        <v>51.07</v>
      </c>
      <c r="O756" s="171">
        <v>50</v>
      </c>
      <c r="P756" s="171">
        <v>47.480000000000004</v>
      </c>
      <c r="Q756" s="171">
        <v>45</v>
      </c>
      <c r="R756" s="171">
        <v>42.83</v>
      </c>
      <c r="S756" s="171">
        <v>40.44</v>
      </c>
      <c r="T756" s="171">
        <v>39.800000000000004</v>
      </c>
      <c r="U756" s="171">
        <v>40.119999999999997</v>
      </c>
      <c r="V756" s="171">
        <v>52.25</v>
      </c>
      <c r="W756" s="171">
        <v>59.93</v>
      </c>
      <c r="X756" s="171">
        <v>47.43</v>
      </c>
      <c r="Y756" s="171">
        <v>40.950000000000003</v>
      </c>
      <c r="Z756" s="171">
        <v>39</v>
      </c>
      <c r="AA756" s="171">
        <v>36</v>
      </c>
      <c r="AB756" s="171">
        <v>59.93</v>
      </c>
      <c r="AC756" s="171">
        <v>39</v>
      </c>
      <c r="AD756" s="171">
        <v>34.08</v>
      </c>
      <c r="AF756" s="171">
        <f t="shared" si="35"/>
        <v>2009</v>
      </c>
      <c r="AG756" s="171">
        <f t="shared" si="36"/>
        <v>13</v>
      </c>
      <c r="AH756" s="700">
        <f>SUMIF(D$3:$AA756,"&lt;="&amp;$AH$1)/COUNTIF(D$3:$AA756,"&lt;="&amp;$AH$1)</f>
        <v>29.017828998598265</v>
      </c>
    </row>
    <row r="757" spans="2:34" x14ac:dyDescent="0.25">
      <c r="B757" s="910">
        <v>39885</v>
      </c>
      <c r="C757" s="581">
        <f t="shared" si="34"/>
        <v>3</v>
      </c>
      <c r="D757" s="171">
        <v>30.03</v>
      </c>
      <c r="E757" s="171">
        <v>27</v>
      </c>
      <c r="F757" s="171">
        <v>26.5</v>
      </c>
      <c r="G757" s="171">
        <v>25.76</v>
      </c>
      <c r="H757" s="171">
        <v>25.54</v>
      </c>
      <c r="I757" s="171">
        <v>30.12</v>
      </c>
      <c r="J757" s="171">
        <v>36.9</v>
      </c>
      <c r="K757" s="171">
        <v>44.93</v>
      </c>
      <c r="L757" s="171">
        <v>48</v>
      </c>
      <c r="M757" s="171">
        <v>50.54</v>
      </c>
      <c r="N757" s="171">
        <v>49.2</v>
      </c>
      <c r="O757" s="171">
        <v>48.5</v>
      </c>
      <c r="P757" s="171">
        <v>46.32</v>
      </c>
      <c r="Q757" s="171">
        <v>42.99</v>
      </c>
      <c r="R757" s="171">
        <v>39.99</v>
      </c>
      <c r="S757" s="171">
        <v>38.520000000000003</v>
      </c>
      <c r="T757" s="171">
        <v>37.03</v>
      </c>
      <c r="U757" s="171">
        <v>37.800000000000004</v>
      </c>
      <c r="V757" s="171">
        <v>44.93</v>
      </c>
      <c r="W757" s="171">
        <v>53.2</v>
      </c>
      <c r="X757" s="171">
        <v>42.96</v>
      </c>
      <c r="Y757" s="171">
        <v>38.43</v>
      </c>
      <c r="Z757" s="171">
        <v>37.340000000000003</v>
      </c>
      <c r="AA757" s="171">
        <v>36</v>
      </c>
      <c r="AB757" s="171">
        <v>53.2</v>
      </c>
      <c r="AC757" s="171">
        <v>37.03</v>
      </c>
      <c r="AD757" s="171">
        <v>29.73</v>
      </c>
      <c r="AF757" s="171">
        <f t="shared" si="35"/>
        <v>2009</v>
      </c>
      <c r="AG757" s="171">
        <f t="shared" si="36"/>
        <v>14</v>
      </c>
      <c r="AH757" s="700">
        <f>SUMIF(D$3:$AA757,"&lt;="&amp;$AH$1)/COUNTIF(D$3:$AA757,"&lt;="&amp;$AH$1)</f>
        <v>29.027263403263312</v>
      </c>
    </row>
    <row r="758" spans="2:34" x14ac:dyDescent="0.25">
      <c r="B758" s="910">
        <v>39888</v>
      </c>
      <c r="C758" s="581">
        <f t="shared" si="34"/>
        <v>3</v>
      </c>
      <c r="D758" s="171">
        <v>34.96</v>
      </c>
      <c r="E758" s="171">
        <v>27</v>
      </c>
      <c r="F758" s="171">
        <v>24.93</v>
      </c>
      <c r="G758" s="171">
        <v>24.28</v>
      </c>
      <c r="H758" s="171">
        <v>31</v>
      </c>
      <c r="I758" s="171">
        <v>26.55</v>
      </c>
      <c r="J758" s="171">
        <v>37.46</v>
      </c>
      <c r="K758" s="171">
        <v>45.52</v>
      </c>
      <c r="L758" s="171">
        <v>47.95</v>
      </c>
      <c r="M758" s="171">
        <v>50.120000000000005</v>
      </c>
      <c r="N758" s="171">
        <v>50</v>
      </c>
      <c r="O758" s="171">
        <v>52.800000000000004</v>
      </c>
      <c r="P758" s="171">
        <v>46.800000000000004</v>
      </c>
      <c r="Q758" s="171">
        <v>45</v>
      </c>
      <c r="R758" s="171">
        <v>42.300000000000004</v>
      </c>
      <c r="S758" s="171">
        <v>41</v>
      </c>
      <c r="T758" s="171">
        <v>39.93</v>
      </c>
      <c r="U758" s="171">
        <v>40</v>
      </c>
      <c r="V758" s="171">
        <v>44.99</v>
      </c>
      <c r="W758" s="171">
        <v>52.5</v>
      </c>
      <c r="X758" s="171">
        <v>46</v>
      </c>
      <c r="Y758" s="171">
        <v>38</v>
      </c>
      <c r="Z758" s="171">
        <v>35.15</v>
      </c>
      <c r="AA758" s="171">
        <v>32.83</v>
      </c>
      <c r="AB758" s="171">
        <v>52.800000000000004</v>
      </c>
      <c r="AC758" s="171">
        <v>35.15</v>
      </c>
      <c r="AD758" s="171">
        <v>29.88</v>
      </c>
      <c r="AF758" s="171">
        <f t="shared" si="35"/>
        <v>2009</v>
      </c>
      <c r="AG758" s="171">
        <f t="shared" si="36"/>
        <v>14</v>
      </c>
      <c r="AH758" s="700">
        <f>SUMIF(D$3:$AA758,"&lt;="&amp;$AH$1)/COUNTIF(D$3:$AA758,"&lt;="&amp;$AH$1)</f>
        <v>29.037964025430199</v>
      </c>
    </row>
    <row r="759" spans="2:34" x14ac:dyDescent="0.25">
      <c r="B759" s="910">
        <v>39889</v>
      </c>
      <c r="C759" s="581">
        <f t="shared" si="34"/>
        <v>3</v>
      </c>
      <c r="D759" s="171">
        <v>29.93</v>
      </c>
      <c r="E759" s="171">
        <v>27.44</v>
      </c>
      <c r="F759" s="171">
        <v>26.13</v>
      </c>
      <c r="G759" s="171">
        <v>22.97</v>
      </c>
      <c r="H759" s="171">
        <v>22.59</v>
      </c>
      <c r="I759" s="171">
        <v>27.37</v>
      </c>
      <c r="J759" s="171">
        <v>33.5</v>
      </c>
      <c r="K759" s="171">
        <v>40.79</v>
      </c>
      <c r="L759" s="171">
        <v>44.93</v>
      </c>
      <c r="M759" s="171">
        <v>45.81</v>
      </c>
      <c r="N759" s="171">
        <v>45.4</v>
      </c>
      <c r="O759" s="171">
        <v>45.04</v>
      </c>
      <c r="P759" s="171">
        <v>43.68</v>
      </c>
      <c r="Q759" s="171">
        <v>41.800000000000004</v>
      </c>
      <c r="R759" s="171">
        <v>39.01</v>
      </c>
      <c r="S759" s="171">
        <v>34.81</v>
      </c>
      <c r="T759" s="171">
        <v>34.61</v>
      </c>
      <c r="U759" s="171">
        <v>34.06</v>
      </c>
      <c r="V759" s="171">
        <v>39.450000000000003</v>
      </c>
      <c r="W759" s="171">
        <v>48</v>
      </c>
      <c r="X759" s="171">
        <v>41.38</v>
      </c>
      <c r="Y759" s="171">
        <v>34.04</v>
      </c>
      <c r="Z759" s="171">
        <v>34.18</v>
      </c>
      <c r="AA759" s="171">
        <v>32.770000000000003</v>
      </c>
      <c r="AB759" s="171">
        <v>48</v>
      </c>
      <c r="AC759" s="171">
        <v>34.04</v>
      </c>
      <c r="AD759" s="171">
        <v>27.84</v>
      </c>
      <c r="AF759" s="171">
        <f t="shared" si="35"/>
        <v>2009</v>
      </c>
      <c r="AG759" s="171">
        <f t="shared" si="36"/>
        <v>18</v>
      </c>
      <c r="AH759" s="700">
        <f>SUMIF(D$3:$AA759,"&lt;="&amp;$AH$1)/COUNTIF(D$3:$AA759,"&lt;="&amp;$AH$1)</f>
        <v>29.049429410855009</v>
      </c>
    </row>
    <row r="760" spans="2:34" x14ac:dyDescent="0.25">
      <c r="B760" s="910">
        <v>39890</v>
      </c>
      <c r="C760" s="581">
        <f t="shared" si="34"/>
        <v>3</v>
      </c>
      <c r="D760" s="171">
        <v>31.76</v>
      </c>
      <c r="E760" s="171">
        <v>31.14</v>
      </c>
      <c r="F760" s="171">
        <v>27.18</v>
      </c>
      <c r="G760" s="171">
        <v>23.34</v>
      </c>
      <c r="H760" s="171">
        <v>20.64</v>
      </c>
      <c r="I760" s="171">
        <v>28.810000000000002</v>
      </c>
      <c r="J760" s="171">
        <v>34.86</v>
      </c>
      <c r="K760" s="171">
        <v>40</v>
      </c>
      <c r="L760" s="171">
        <v>45</v>
      </c>
      <c r="M760" s="171">
        <v>46.34</v>
      </c>
      <c r="N760" s="171">
        <v>45.45</v>
      </c>
      <c r="O760" s="171">
        <v>45.35</v>
      </c>
      <c r="P760" s="171">
        <v>44.29</v>
      </c>
      <c r="Q760" s="171">
        <v>41.64</v>
      </c>
      <c r="R760" s="171">
        <v>39.130000000000003</v>
      </c>
      <c r="S760" s="171">
        <v>36.17</v>
      </c>
      <c r="T760" s="171">
        <v>36.03</v>
      </c>
      <c r="U760" s="171">
        <v>36.700000000000003</v>
      </c>
      <c r="V760" s="171">
        <v>42.13</v>
      </c>
      <c r="W760" s="171">
        <v>49</v>
      </c>
      <c r="X760" s="171">
        <v>44.93</v>
      </c>
      <c r="Y760" s="171">
        <v>48</v>
      </c>
      <c r="Z760" s="171">
        <v>42.04</v>
      </c>
      <c r="AA760" s="171">
        <v>38</v>
      </c>
      <c r="AB760" s="171">
        <v>49</v>
      </c>
      <c r="AC760" s="171">
        <v>36.03</v>
      </c>
      <c r="AD760" s="171">
        <v>29.47</v>
      </c>
      <c r="AF760" s="171">
        <f t="shared" si="35"/>
        <v>2009</v>
      </c>
      <c r="AG760" s="171">
        <f t="shared" si="36"/>
        <v>16</v>
      </c>
      <c r="AH760" s="700">
        <f>SUMIF(D$3:$AA760,"&lt;="&amp;$AH$1)/COUNTIF(D$3:$AA760,"&lt;="&amp;$AH$1)</f>
        <v>29.06250655560688</v>
      </c>
    </row>
    <row r="761" spans="2:34" x14ac:dyDescent="0.25">
      <c r="B761" s="910">
        <v>39891</v>
      </c>
      <c r="C761" s="581">
        <f t="shared" si="34"/>
        <v>3</v>
      </c>
      <c r="D761" s="171">
        <v>32.39</v>
      </c>
      <c r="E761" s="171">
        <v>30.05</v>
      </c>
      <c r="F761" s="171">
        <v>28.97</v>
      </c>
      <c r="G761" s="171">
        <v>30</v>
      </c>
      <c r="H761" s="171">
        <v>30.490000000000002</v>
      </c>
      <c r="I761" s="171">
        <v>33</v>
      </c>
      <c r="J761" s="171">
        <v>39</v>
      </c>
      <c r="K761" s="171">
        <v>48</v>
      </c>
      <c r="L761" s="171">
        <v>43.95</v>
      </c>
      <c r="M761" s="171">
        <v>46.04</v>
      </c>
      <c r="N761" s="171">
        <v>45.77</v>
      </c>
      <c r="O761" s="171">
        <v>46.72</v>
      </c>
      <c r="P761" s="171">
        <v>42.29</v>
      </c>
      <c r="Q761" s="171">
        <v>40</v>
      </c>
      <c r="R761" s="171">
        <v>38</v>
      </c>
      <c r="S761" s="171">
        <v>35.619999999999997</v>
      </c>
      <c r="T761" s="171">
        <v>35.15</v>
      </c>
      <c r="U761" s="171">
        <v>36</v>
      </c>
      <c r="V761" s="171">
        <v>44.88</v>
      </c>
      <c r="W761" s="171">
        <v>50.99</v>
      </c>
      <c r="X761" s="171">
        <v>52.49</v>
      </c>
      <c r="Y761" s="171">
        <v>36.03</v>
      </c>
      <c r="Z761" s="171">
        <v>35.67</v>
      </c>
      <c r="AA761" s="171">
        <v>33.24</v>
      </c>
      <c r="AB761" s="171">
        <v>52.49</v>
      </c>
      <c r="AC761" s="171">
        <v>35.15</v>
      </c>
      <c r="AD761" s="171">
        <v>32.14</v>
      </c>
      <c r="AF761" s="171">
        <f t="shared" si="35"/>
        <v>2009</v>
      </c>
      <c r="AG761" s="171">
        <f t="shared" si="36"/>
        <v>16</v>
      </c>
      <c r="AH761" s="700">
        <f>SUMIF(D$3:$AA761,"&lt;="&amp;$AH$1)/COUNTIF(D$3:$AA761,"&lt;="&amp;$AH$1)</f>
        <v>29.076493306662471</v>
      </c>
    </row>
    <row r="762" spans="2:34" x14ac:dyDescent="0.25">
      <c r="B762" s="910">
        <v>39892</v>
      </c>
      <c r="C762" s="581">
        <f t="shared" si="34"/>
        <v>3</v>
      </c>
      <c r="D762" s="171">
        <v>32.56</v>
      </c>
      <c r="E762" s="171">
        <v>27.7</v>
      </c>
      <c r="F762" s="171">
        <v>22.03</v>
      </c>
      <c r="G762" s="171">
        <v>24.07</v>
      </c>
      <c r="H762" s="171">
        <v>20</v>
      </c>
      <c r="I762" s="171">
        <v>21.25</v>
      </c>
      <c r="J762" s="171">
        <v>20.46</v>
      </c>
      <c r="K762" s="171">
        <v>14.59</v>
      </c>
      <c r="L762" s="171">
        <v>15.21</v>
      </c>
      <c r="M762" s="171">
        <v>17.740000000000002</v>
      </c>
      <c r="N762" s="171">
        <v>20.57</v>
      </c>
      <c r="O762" s="171">
        <v>21.45</v>
      </c>
      <c r="P762" s="171">
        <v>27</v>
      </c>
      <c r="Q762" s="171">
        <v>22.05</v>
      </c>
      <c r="R762" s="171">
        <v>18.38</v>
      </c>
      <c r="S762" s="171">
        <v>13.39</v>
      </c>
      <c r="T762" s="171">
        <v>11.67</v>
      </c>
      <c r="U762" s="171">
        <v>19.97</v>
      </c>
      <c r="V762" s="171">
        <v>34.83</v>
      </c>
      <c r="W762" s="171">
        <v>39.93</v>
      </c>
      <c r="X762" s="171">
        <v>34.96</v>
      </c>
      <c r="Y762" s="171">
        <v>33.75</v>
      </c>
      <c r="Z762" s="171">
        <v>33.520000000000003</v>
      </c>
      <c r="AA762" s="171">
        <v>33.410000000000004</v>
      </c>
      <c r="AB762" s="171">
        <v>39.93</v>
      </c>
      <c r="AC762" s="171">
        <v>11.67</v>
      </c>
      <c r="AD762" s="171">
        <v>28.1</v>
      </c>
      <c r="AF762" s="171">
        <f t="shared" si="35"/>
        <v>2009</v>
      </c>
      <c r="AG762" s="171">
        <f t="shared" si="36"/>
        <v>24</v>
      </c>
      <c r="AH762" s="700">
        <f>SUMIF(D$3:$AA762,"&lt;="&amp;$AH$1)/COUNTIF(D$3:$AA762,"&lt;="&amp;$AH$1)</f>
        <v>29.058503755940425</v>
      </c>
    </row>
    <row r="763" spans="2:34" x14ac:dyDescent="0.25">
      <c r="B763" s="910">
        <v>39895</v>
      </c>
      <c r="C763" s="581">
        <f t="shared" si="34"/>
        <v>3</v>
      </c>
      <c r="D763" s="171">
        <v>28.61</v>
      </c>
      <c r="E763" s="171">
        <v>26.87</v>
      </c>
      <c r="F763" s="171">
        <v>25.310000000000002</v>
      </c>
      <c r="G763" s="171">
        <v>11.01</v>
      </c>
      <c r="H763" s="171">
        <v>19.46</v>
      </c>
      <c r="I763" s="171">
        <v>27.86</v>
      </c>
      <c r="J763" s="171">
        <v>33.29</v>
      </c>
      <c r="K763" s="171">
        <v>39.130000000000003</v>
      </c>
      <c r="L763" s="171">
        <v>42.77</v>
      </c>
      <c r="M763" s="171">
        <v>42.89</v>
      </c>
      <c r="N763" s="171">
        <v>39.99</v>
      </c>
      <c r="O763" s="171">
        <v>39.08</v>
      </c>
      <c r="P763" s="171">
        <v>39.230000000000004</v>
      </c>
      <c r="Q763" s="171">
        <v>38.18</v>
      </c>
      <c r="R763" s="171">
        <v>37.630000000000003</v>
      </c>
      <c r="S763" s="171">
        <v>33.26</v>
      </c>
      <c r="T763" s="171">
        <v>31.57</v>
      </c>
      <c r="U763" s="171">
        <v>30.73</v>
      </c>
      <c r="V763" s="171">
        <v>35.18</v>
      </c>
      <c r="W763" s="171">
        <v>42.33</v>
      </c>
      <c r="X763" s="171">
        <v>37.270000000000003</v>
      </c>
      <c r="Y763" s="171">
        <v>30.95</v>
      </c>
      <c r="Z763" s="171">
        <v>32.590000000000003</v>
      </c>
      <c r="AA763" s="171">
        <v>29.93</v>
      </c>
      <c r="AB763" s="171">
        <v>42.89</v>
      </c>
      <c r="AC763" s="171">
        <v>30.73</v>
      </c>
      <c r="AD763" s="171">
        <v>25.29</v>
      </c>
      <c r="AF763" s="171">
        <f t="shared" si="35"/>
        <v>2009</v>
      </c>
      <c r="AG763" s="171">
        <f t="shared" si="36"/>
        <v>22</v>
      </c>
      <c r="AH763" s="700">
        <f>SUMIF(D$3:$AA763,"&lt;="&amp;$AH$1)/COUNTIF(D$3:$AA763,"&lt;="&amp;$AH$1)</f>
        <v>29.069225362872324</v>
      </c>
    </row>
    <row r="764" spans="2:34" x14ac:dyDescent="0.25">
      <c r="B764" s="910">
        <v>39896</v>
      </c>
      <c r="C764" s="581">
        <f t="shared" si="34"/>
        <v>3</v>
      </c>
      <c r="D764" s="171">
        <v>31.05</v>
      </c>
      <c r="E764" s="171">
        <v>29.93</v>
      </c>
      <c r="F764" s="171">
        <v>25.62</v>
      </c>
      <c r="G764" s="171">
        <v>18.2</v>
      </c>
      <c r="H764" s="171">
        <v>20.03</v>
      </c>
      <c r="I764" s="171">
        <v>26</v>
      </c>
      <c r="J764" s="171">
        <v>33.22</v>
      </c>
      <c r="K764" s="171">
        <v>37.96</v>
      </c>
      <c r="L764" s="171">
        <v>40.69</v>
      </c>
      <c r="M764" s="171">
        <v>42.59</v>
      </c>
      <c r="N764" s="171">
        <v>43.06</v>
      </c>
      <c r="O764" s="171">
        <v>43.53</v>
      </c>
      <c r="P764" s="171">
        <v>42.33</v>
      </c>
      <c r="Q764" s="171">
        <v>41</v>
      </c>
      <c r="R764" s="171">
        <v>40.480000000000004</v>
      </c>
      <c r="S764" s="171">
        <v>37.01</v>
      </c>
      <c r="T764" s="171">
        <v>35.33</v>
      </c>
      <c r="U764" s="171">
        <v>36</v>
      </c>
      <c r="V764" s="171">
        <v>41</v>
      </c>
      <c r="W764" s="171">
        <v>57.17</v>
      </c>
      <c r="X764" s="171">
        <v>48.71</v>
      </c>
      <c r="Y764" s="171">
        <v>42.5</v>
      </c>
      <c r="Z764" s="171">
        <v>41.33</v>
      </c>
      <c r="AA764" s="171">
        <v>37.39</v>
      </c>
      <c r="AB764" s="171">
        <v>57.17</v>
      </c>
      <c r="AC764" s="171">
        <v>35.33</v>
      </c>
      <c r="AD764" s="171">
        <v>27.68</v>
      </c>
      <c r="AF764" s="171">
        <f t="shared" si="35"/>
        <v>2009</v>
      </c>
      <c r="AG764" s="171">
        <f t="shared" si="36"/>
        <v>19</v>
      </c>
      <c r="AH764" s="700">
        <f>SUMIF(D$3:$AA764,"&lt;="&amp;$AH$1)/COUNTIF(D$3:$AA764,"&lt;="&amp;$AH$1)</f>
        <v>29.08518433881769</v>
      </c>
    </row>
    <row r="765" spans="2:34" x14ac:dyDescent="0.25">
      <c r="B765" s="910">
        <v>39897</v>
      </c>
      <c r="C765" s="581">
        <f t="shared" si="34"/>
        <v>3</v>
      </c>
      <c r="D765" s="171">
        <v>34</v>
      </c>
      <c r="E765" s="171">
        <v>32.51</v>
      </c>
      <c r="F765" s="171">
        <v>32.61</v>
      </c>
      <c r="G765" s="171">
        <v>30.04</v>
      </c>
      <c r="H765" s="171">
        <v>28.650000000000002</v>
      </c>
      <c r="I765" s="171">
        <v>33.85</v>
      </c>
      <c r="J765" s="171">
        <v>37.51</v>
      </c>
      <c r="K765" s="171">
        <v>41.22</v>
      </c>
      <c r="L765" s="171">
        <v>44.59</v>
      </c>
      <c r="M765" s="171">
        <v>46.13</v>
      </c>
      <c r="N765" s="171">
        <v>45.5</v>
      </c>
      <c r="O765" s="171">
        <v>46.67</v>
      </c>
      <c r="P765" s="171">
        <v>44.79</v>
      </c>
      <c r="Q765" s="171">
        <v>44.28</v>
      </c>
      <c r="R765" s="171">
        <v>42</v>
      </c>
      <c r="S765" s="171">
        <v>38.99</v>
      </c>
      <c r="T765" s="171">
        <v>36.35</v>
      </c>
      <c r="U765" s="171">
        <v>37.1</v>
      </c>
      <c r="V765" s="171">
        <v>41</v>
      </c>
      <c r="W765" s="171">
        <v>52.95</v>
      </c>
      <c r="X765" s="171">
        <v>49</v>
      </c>
      <c r="Y765" s="171">
        <v>42.95</v>
      </c>
      <c r="Z765" s="171">
        <v>39.6</v>
      </c>
      <c r="AA765" s="171">
        <v>36.020000000000003</v>
      </c>
      <c r="AB765" s="171">
        <v>52.95</v>
      </c>
      <c r="AC765" s="171">
        <v>36.35</v>
      </c>
      <c r="AD765" s="171">
        <v>33.15</v>
      </c>
      <c r="AF765" s="171">
        <f t="shared" si="35"/>
        <v>2009</v>
      </c>
      <c r="AG765" s="171">
        <f t="shared" si="36"/>
        <v>15</v>
      </c>
      <c r="AH765" s="700">
        <f>SUMIF(D$3:$AA765,"&lt;="&amp;$AH$1)/COUNTIF(D$3:$AA765,"&lt;="&amp;$AH$1)</f>
        <v>29.101170390636774</v>
      </c>
    </row>
    <row r="766" spans="2:34" x14ac:dyDescent="0.25">
      <c r="B766" s="910">
        <v>39898</v>
      </c>
      <c r="C766" s="581">
        <f t="shared" si="34"/>
        <v>3</v>
      </c>
      <c r="D766" s="171">
        <v>33</v>
      </c>
      <c r="E766" s="171">
        <v>33</v>
      </c>
      <c r="F766" s="171">
        <v>32.18</v>
      </c>
      <c r="G766" s="171">
        <v>27.41</v>
      </c>
      <c r="H766" s="171">
        <v>28</v>
      </c>
      <c r="I766" s="171">
        <v>31.94</v>
      </c>
      <c r="J766" s="171">
        <v>37.43</v>
      </c>
      <c r="K766" s="171">
        <v>42.910000000000004</v>
      </c>
      <c r="L766" s="171">
        <v>45.61</v>
      </c>
      <c r="M766" s="171">
        <v>46.21</v>
      </c>
      <c r="N766" s="171">
        <v>45.14</v>
      </c>
      <c r="O766" s="171">
        <v>45.03</v>
      </c>
      <c r="P766" s="171">
        <v>43.22</v>
      </c>
      <c r="Q766" s="171">
        <v>43.300000000000004</v>
      </c>
      <c r="R766" s="171">
        <v>41</v>
      </c>
      <c r="S766" s="171">
        <v>39</v>
      </c>
      <c r="T766" s="171">
        <v>36</v>
      </c>
      <c r="U766" s="171">
        <v>35.880000000000003</v>
      </c>
      <c r="V766" s="171">
        <v>38</v>
      </c>
      <c r="W766" s="171">
        <v>45.65</v>
      </c>
      <c r="X766" s="171">
        <v>42.39</v>
      </c>
      <c r="Y766" s="171">
        <v>35.9</v>
      </c>
      <c r="Z766" s="171">
        <v>35.28</v>
      </c>
      <c r="AA766" s="171">
        <v>32.660000000000004</v>
      </c>
      <c r="AB766" s="171">
        <v>46.21</v>
      </c>
      <c r="AC766" s="171">
        <v>35.28</v>
      </c>
      <c r="AD766" s="171">
        <v>31.95</v>
      </c>
      <c r="AF766" s="171">
        <f t="shared" si="35"/>
        <v>2009</v>
      </c>
      <c r="AG766" s="171">
        <f t="shared" si="36"/>
        <v>16</v>
      </c>
      <c r="AH766" s="700">
        <f>SUMIF(D$3:$AA766,"&lt;="&amp;$AH$1)/COUNTIF(D$3:$AA766,"&lt;="&amp;$AH$1)</f>
        <v>29.115340409400961</v>
      </c>
    </row>
    <row r="767" spans="2:34" x14ac:dyDescent="0.25">
      <c r="B767" s="910">
        <v>39899</v>
      </c>
      <c r="C767" s="581">
        <f t="shared" si="34"/>
        <v>3</v>
      </c>
      <c r="D767" s="171">
        <v>31</v>
      </c>
      <c r="E767" s="171">
        <v>30.86</v>
      </c>
      <c r="F767" s="171">
        <v>27.78</v>
      </c>
      <c r="G767" s="171">
        <v>22.080000000000002</v>
      </c>
      <c r="H767" s="171">
        <v>20.14</v>
      </c>
      <c r="I767" s="171">
        <v>28.75</v>
      </c>
      <c r="J767" s="171">
        <v>34.660000000000004</v>
      </c>
      <c r="K767" s="171">
        <v>41.08</v>
      </c>
      <c r="L767" s="171">
        <v>43</v>
      </c>
      <c r="M767" s="171">
        <v>44.63</v>
      </c>
      <c r="N767" s="171">
        <v>43.9</v>
      </c>
      <c r="O767" s="171">
        <v>43.75</v>
      </c>
      <c r="P767" s="171">
        <v>41.5</v>
      </c>
      <c r="Q767" s="171">
        <v>39.83</v>
      </c>
      <c r="R767" s="171">
        <v>38.090000000000003</v>
      </c>
      <c r="S767" s="171">
        <v>35</v>
      </c>
      <c r="T767" s="171">
        <v>34</v>
      </c>
      <c r="U767" s="171">
        <v>34.119999999999997</v>
      </c>
      <c r="V767" s="171">
        <v>37.94</v>
      </c>
      <c r="W767" s="171">
        <v>44.03</v>
      </c>
      <c r="X767" s="171">
        <v>41.92</v>
      </c>
      <c r="Y767" s="171">
        <v>37.26</v>
      </c>
      <c r="Z767" s="171">
        <v>36.99</v>
      </c>
      <c r="AA767" s="171">
        <v>36</v>
      </c>
      <c r="AB767" s="171">
        <v>44.63</v>
      </c>
      <c r="AC767" s="171">
        <v>34</v>
      </c>
      <c r="AD767" s="171">
        <v>28.91</v>
      </c>
      <c r="AF767" s="171">
        <f t="shared" si="35"/>
        <v>2009</v>
      </c>
      <c r="AG767" s="171">
        <f t="shared" si="36"/>
        <v>19</v>
      </c>
      <c r="AH767" s="700">
        <f>SUMIF(D$3:$AA767,"&lt;="&amp;$AH$1)/COUNTIF(D$3:$AA767,"&lt;="&amp;$AH$1)</f>
        <v>29.129826126398445</v>
      </c>
    </row>
    <row r="768" spans="2:34" x14ac:dyDescent="0.25">
      <c r="B768" s="910">
        <v>39902</v>
      </c>
      <c r="C768" s="581">
        <f t="shared" si="34"/>
        <v>3</v>
      </c>
      <c r="D768" s="171">
        <v>34</v>
      </c>
      <c r="E768" s="171">
        <v>31.39</v>
      </c>
      <c r="F768" s="171">
        <v>30.39</v>
      </c>
      <c r="G768" s="171">
        <v>27.14</v>
      </c>
      <c r="H768" s="171">
        <v>29</v>
      </c>
      <c r="I768" s="171">
        <v>32.21</v>
      </c>
      <c r="J768" s="171">
        <v>42.33</v>
      </c>
      <c r="K768" s="171">
        <v>47.01</v>
      </c>
      <c r="L768" s="171">
        <v>55</v>
      </c>
      <c r="M768" s="171">
        <v>56.06</v>
      </c>
      <c r="N768" s="171">
        <v>50.96</v>
      </c>
      <c r="O768" s="171">
        <v>53.33</v>
      </c>
      <c r="P768" s="171">
        <v>50.65</v>
      </c>
      <c r="Q768" s="171">
        <v>47.81</v>
      </c>
      <c r="R768" s="171">
        <v>44.97</v>
      </c>
      <c r="S768" s="171">
        <v>41.26</v>
      </c>
      <c r="T768" s="171">
        <v>37.33</v>
      </c>
      <c r="U768" s="171">
        <v>35.86</v>
      </c>
      <c r="V768" s="171">
        <v>37.5</v>
      </c>
      <c r="W768" s="171">
        <v>40</v>
      </c>
      <c r="X768" s="171">
        <v>42.99</v>
      </c>
      <c r="Y768" s="171">
        <v>40.78</v>
      </c>
      <c r="Z768" s="171">
        <v>41.25</v>
      </c>
      <c r="AA768" s="171">
        <v>36.43</v>
      </c>
      <c r="AB768" s="171">
        <v>56.06</v>
      </c>
      <c r="AC768" s="171">
        <v>35.86</v>
      </c>
      <c r="AD768" s="171">
        <v>32.86</v>
      </c>
      <c r="AF768" s="171">
        <f t="shared" si="35"/>
        <v>2009</v>
      </c>
      <c r="AG768" s="171">
        <f t="shared" si="36"/>
        <v>15</v>
      </c>
      <c r="AH768" s="700">
        <f>SUMIF(D$3:$AA768,"&lt;="&amp;$AH$1)/COUNTIF(D$3:$AA768,"&lt;="&amp;$AH$1)</f>
        <v>29.144899683210035</v>
      </c>
    </row>
    <row r="769" spans="2:34" x14ac:dyDescent="0.25">
      <c r="B769" s="910">
        <v>39903</v>
      </c>
      <c r="C769" s="581">
        <f t="shared" si="34"/>
        <v>3</v>
      </c>
      <c r="D769" s="171">
        <v>34.28</v>
      </c>
      <c r="E769" s="171">
        <v>35</v>
      </c>
      <c r="F769" s="171">
        <v>33.81</v>
      </c>
      <c r="G769" s="171">
        <v>30.91</v>
      </c>
      <c r="H769" s="171">
        <v>30</v>
      </c>
      <c r="I769" s="171">
        <v>35.04</v>
      </c>
      <c r="J769" s="171">
        <v>42.9</v>
      </c>
      <c r="K769" s="171">
        <v>55.300000000000004</v>
      </c>
      <c r="L769" s="171">
        <v>60</v>
      </c>
      <c r="M769" s="171">
        <v>56</v>
      </c>
      <c r="N769" s="171">
        <v>55</v>
      </c>
      <c r="O769" s="171">
        <v>52.09</v>
      </c>
      <c r="P769" s="171">
        <v>45.76</v>
      </c>
      <c r="Q769" s="171">
        <v>44.93</v>
      </c>
      <c r="R769" s="171">
        <v>42.86</v>
      </c>
      <c r="S769" s="171">
        <v>38.54</v>
      </c>
      <c r="T769" s="171">
        <v>34.96</v>
      </c>
      <c r="U769" s="171">
        <v>34.08</v>
      </c>
      <c r="V769" s="171">
        <v>34.200000000000003</v>
      </c>
      <c r="W769" s="171">
        <v>35.160000000000004</v>
      </c>
      <c r="X769" s="171">
        <v>42.980000000000004</v>
      </c>
      <c r="Y769" s="171">
        <v>41.67</v>
      </c>
      <c r="Z769" s="171">
        <v>39.83</v>
      </c>
      <c r="AA769" s="171">
        <v>35.04</v>
      </c>
      <c r="AB769" s="171">
        <v>60</v>
      </c>
      <c r="AC769" s="171">
        <v>34.08</v>
      </c>
      <c r="AD769" s="171">
        <v>34.619999999999997</v>
      </c>
      <c r="AF769" s="171">
        <f t="shared" si="35"/>
        <v>2009</v>
      </c>
      <c r="AG769" s="171">
        <f t="shared" si="36"/>
        <v>14</v>
      </c>
      <c r="AH769" s="700">
        <f>SUMIF(D$3:$AA769,"&lt;="&amp;$AH$1)/COUNTIF(D$3:$AA769,"&lt;="&amp;$AH$1)</f>
        <v>29.157618545837622</v>
      </c>
    </row>
    <row r="770" spans="2:34" x14ac:dyDescent="0.25">
      <c r="B770" s="910">
        <v>39904</v>
      </c>
      <c r="C770" s="581">
        <f t="shared" si="34"/>
        <v>4</v>
      </c>
      <c r="D770" s="171">
        <v>29.86</v>
      </c>
      <c r="E770" s="171">
        <v>27.72</v>
      </c>
      <c r="F770" s="171">
        <v>27</v>
      </c>
      <c r="G770" s="171">
        <v>24.990000000000002</v>
      </c>
      <c r="H770" s="171">
        <v>25</v>
      </c>
      <c r="I770" s="171">
        <v>30.26</v>
      </c>
      <c r="J770" s="171">
        <v>36.68</v>
      </c>
      <c r="K770" s="171">
        <v>46.17</v>
      </c>
      <c r="L770" s="171">
        <v>52.27</v>
      </c>
      <c r="M770" s="171">
        <v>52.15</v>
      </c>
      <c r="N770" s="171">
        <v>51.04</v>
      </c>
      <c r="O770" s="171">
        <v>52.660000000000004</v>
      </c>
      <c r="P770" s="171">
        <v>46.47</v>
      </c>
      <c r="Q770" s="171">
        <v>44.72</v>
      </c>
      <c r="R770" s="171">
        <v>42.2</v>
      </c>
      <c r="S770" s="171">
        <v>38.67</v>
      </c>
      <c r="T770" s="171">
        <v>36.31</v>
      </c>
      <c r="U770" s="171">
        <v>35.58</v>
      </c>
      <c r="V770" s="171">
        <v>37.56</v>
      </c>
      <c r="W770" s="171">
        <v>38.54</v>
      </c>
      <c r="X770" s="171">
        <v>42.21</v>
      </c>
      <c r="Y770" s="171">
        <v>39.9</v>
      </c>
      <c r="Z770" s="171">
        <v>37</v>
      </c>
      <c r="AA770" s="171">
        <v>35.03</v>
      </c>
      <c r="AB770" s="171">
        <v>52.660000000000004</v>
      </c>
      <c r="AC770" s="171">
        <v>35.58</v>
      </c>
      <c r="AD770" s="171">
        <v>29.57</v>
      </c>
      <c r="AF770" s="171">
        <f t="shared" si="35"/>
        <v>2009</v>
      </c>
      <c r="AG770" s="171">
        <f t="shared" si="36"/>
        <v>17</v>
      </c>
      <c r="AH770" s="700">
        <f>SUMIF(D$3:$AA770,"&lt;="&amp;$AH$1)/COUNTIF(D$3:$AA770,"&lt;="&amp;$AH$1)</f>
        <v>29.170956456456352</v>
      </c>
    </row>
    <row r="771" spans="2:34" x14ac:dyDescent="0.25">
      <c r="B771" s="910">
        <v>39905</v>
      </c>
      <c r="C771" s="581">
        <f t="shared" si="34"/>
        <v>4</v>
      </c>
      <c r="D771" s="171">
        <v>32.160000000000004</v>
      </c>
      <c r="E771" s="171">
        <v>30.5</v>
      </c>
      <c r="F771" s="171">
        <v>28.09</v>
      </c>
      <c r="G771" s="171">
        <v>25.96</v>
      </c>
      <c r="H771" s="171">
        <v>24</v>
      </c>
      <c r="I771" s="171">
        <v>28.96</v>
      </c>
      <c r="J771" s="171">
        <v>37.46</v>
      </c>
      <c r="K771" s="171">
        <v>44.95</v>
      </c>
      <c r="L771" s="171">
        <v>55.9</v>
      </c>
      <c r="M771" s="171">
        <v>52</v>
      </c>
      <c r="N771" s="171">
        <v>52</v>
      </c>
      <c r="O771" s="171">
        <v>51.25</v>
      </c>
      <c r="P771" s="171">
        <v>45</v>
      </c>
      <c r="Q771" s="171">
        <v>42.03</v>
      </c>
      <c r="R771" s="171">
        <v>40</v>
      </c>
      <c r="S771" s="171">
        <v>37.19</v>
      </c>
      <c r="T771" s="171">
        <v>35.97</v>
      </c>
      <c r="U771" s="171">
        <v>36.160000000000004</v>
      </c>
      <c r="V771" s="171">
        <v>36.950000000000003</v>
      </c>
      <c r="W771" s="171">
        <v>38.56</v>
      </c>
      <c r="X771" s="171">
        <v>41.81</v>
      </c>
      <c r="Y771" s="171">
        <v>38.770000000000003</v>
      </c>
      <c r="Z771" s="171">
        <v>36.520000000000003</v>
      </c>
      <c r="AA771" s="171">
        <v>34.910000000000004</v>
      </c>
      <c r="AB771" s="171">
        <v>55.9</v>
      </c>
      <c r="AC771" s="171">
        <v>35.97</v>
      </c>
      <c r="AD771" s="171">
        <v>30.25</v>
      </c>
      <c r="AF771" s="171">
        <f t="shared" si="35"/>
        <v>2009</v>
      </c>
      <c r="AG771" s="171">
        <f t="shared" si="36"/>
        <v>18</v>
      </c>
      <c r="AH771" s="700">
        <f>SUMIF(D$3:$AA771,"&lt;="&amp;$AH$1)/COUNTIF(D$3:$AA771,"&lt;="&amp;$AH$1)</f>
        <v>29.186069182389829</v>
      </c>
    </row>
    <row r="772" spans="2:34" x14ac:dyDescent="0.25">
      <c r="B772" s="910">
        <v>39906</v>
      </c>
      <c r="C772" s="581">
        <f t="shared" ref="C772:C835" si="37">MONTH(B772)</f>
        <v>4</v>
      </c>
      <c r="D772" s="171">
        <v>33</v>
      </c>
      <c r="E772" s="171">
        <v>31.35</v>
      </c>
      <c r="F772" s="171">
        <v>27.82</v>
      </c>
      <c r="G772" s="171">
        <v>26.32</v>
      </c>
      <c r="H772" s="171">
        <v>27.66</v>
      </c>
      <c r="I772" s="171">
        <v>30.52</v>
      </c>
      <c r="J772" s="171">
        <v>38</v>
      </c>
      <c r="K772" s="171">
        <v>44.93</v>
      </c>
      <c r="L772" s="171">
        <v>49.6</v>
      </c>
      <c r="M772" s="171">
        <v>51.69</v>
      </c>
      <c r="N772" s="171">
        <v>51.24</v>
      </c>
      <c r="O772" s="171">
        <v>50</v>
      </c>
      <c r="P772" s="171">
        <v>46.5</v>
      </c>
      <c r="Q772" s="171">
        <v>45</v>
      </c>
      <c r="R772" s="171">
        <v>42.99</v>
      </c>
      <c r="S772" s="171">
        <v>40</v>
      </c>
      <c r="T772" s="171">
        <v>36.69</v>
      </c>
      <c r="U772" s="171">
        <v>35.5</v>
      </c>
      <c r="V772" s="171">
        <v>35.67</v>
      </c>
      <c r="W772" s="171">
        <v>36.56</v>
      </c>
      <c r="X772" s="171">
        <v>40</v>
      </c>
      <c r="Y772" s="171">
        <v>40.020000000000003</v>
      </c>
      <c r="Z772" s="171">
        <v>39.28</v>
      </c>
      <c r="AA772" s="171">
        <v>37.07</v>
      </c>
      <c r="AB772" s="171">
        <v>51.69</v>
      </c>
      <c r="AC772" s="171">
        <v>35.5</v>
      </c>
      <c r="AD772" s="171">
        <v>31.470000000000002</v>
      </c>
      <c r="AF772" s="171">
        <f t="shared" ref="AF772:AF835" si="38">YEAR(B772)</f>
        <v>2009</v>
      </c>
      <c r="AG772" s="171">
        <f t="shared" ref="AG772:AG835" si="39">COUNTIF(D772:AA772,"&lt;="&amp;$AH$1)</f>
        <v>16</v>
      </c>
      <c r="AH772" s="700">
        <f>SUMIF(D$3:$AA772,"&lt;="&amp;$AH$1)/COUNTIF(D$3:$AA772,"&lt;="&amp;$AH$1)</f>
        <v>29.199287421571452</v>
      </c>
    </row>
    <row r="773" spans="2:34" x14ac:dyDescent="0.25">
      <c r="B773" s="910">
        <v>39909</v>
      </c>
      <c r="C773" s="581">
        <f t="shared" si="37"/>
        <v>4</v>
      </c>
      <c r="D773" s="171">
        <v>29.17</v>
      </c>
      <c r="E773" s="171">
        <v>27.62</v>
      </c>
      <c r="F773" s="171">
        <v>25</v>
      </c>
      <c r="G773" s="171">
        <v>17.45</v>
      </c>
      <c r="H773" s="171">
        <v>16.09</v>
      </c>
      <c r="I773" s="171">
        <v>27.03</v>
      </c>
      <c r="J773" s="171">
        <v>36.56</v>
      </c>
      <c r="K773" s="171">
        <v>44.93</v>
      </c>
      <c r="L773" s="171">
        <v>53.49</v>
      </c>
      <c r="M773" s="171">
        <v>50.68</v>
      </c>
      <c r="N773" s="171">
        <v>47.81</v>
      </c>
      <c r="O773" s="171">
        <v>47.34</v>
      </c>
      <c r="P773" s="171">
        <v>46.230000000000004</v>
      </c>
      <c r="Q773" s="171">
        <v>45.46</v>
      </c>
      <c r="R773" s="171">
        <v>42.99</v>
      </c>
      <c r="S773" s="171">
        <v>39.28</v>
      </c>
      <c r="T773" s="171">
        <v>37.630000000000003</v>
      </c>
      <c r="U773" s="171">
        <v>35.83</v>
      </c>
      <c r="V773" s="171">
        <v>37.230000000000004</v>
      </c>
      <c r="W773" s="171">
        <v>39.5</v>
      </c>
      <c r="X773" s="171">
        <v>42.26</v>
      </c>
      <c r="Y773" s="171">
        <v>41.83</v>
      </c>
      <c r="Z773" s="171">
        <v>38.32</v>
      </c>
      <c r="AA773" s="171">
        <v>36.130000000000003</v>
      </c>
      <c r="AB773" s="171">
        <v>53.49</v>
      </c>
      <c r="AC773" s="171">
        <v>35.83</v>
      </c>
      <c r="AD773" s="171">
        <v>26.88</v>
      </c>
      <c r="AF773" s="171">
        <f t="shared" si="38"/>
        <v>2009</v>
      </c>
      <c r="AG773" s="171">
        <f t="shared" si="39"/>
        <v>16</v>
      </c>
      <c r="AH773" s="700">
        <f>SUMIF(D$3:$AA773,"&lt;="&amp;$AH$1)/COUNTIF(D$3:$AA773,"&lt;="&amp;$AH$1)</f>
        <v>29.208190760059512</v>
      </c>
    </row>
    <row r="774" spans="2:34" x14ac:dyDescent="0.25">
      <c r="B774" s="910">
        <v>39910</v>
      </c>
      <c r="C774" s="581">
        <f t="shared" si="37"/>
        <v>4</v>
      </c>
      <c r="D774" s="171">
        <v>31.48</v>
      </c>
      <c r="E774" s="171">
        <v>28</v>
      </c>
      <c r="F774" s="171">
        <v>26.64</v>
      </c>
      <c r="G774" s="171">
        <v>21.580000000000002</v>
      </c>
      <c r="H774" s="171">
        <v>18.09</v>
      </c>
      <c r="I774" s="171">
        <v>29</v>
      </c>
      <c r="J774" s="171">
        <v>37.22</v>
      </c>
      <c r="K774" s="171">
        <v>42</v>
      </c>
      <c r="L774" s="171">
        <v>46.75</v>
      </c>
      <c r="M774" s="171">
        <v>47.4</v>
      </c>
      <c r="N774" s="171">
        <v>47.74</v>
      </c>
      <c r="O774" s="171">
        <v>48.33</v>
      </c>
      <c r="P774" s="171">
        <v>46.800000000000004</v>
      </c>
      <c r="Q774" s="171">
        <v>44.08</v>
      </c>
      <c r="R774" s="171">
        <v>42.77</v>
      </c>
      <c r="S774" s="171">
        <v>41.89</v>
      </c>
      <c r="T774" s="171">
        <v>40.43</v>
      </c>
      <c r="U774" s="171">
        <v>40.21</v>
      </c>
      <c r="V774" s="171">
        <v>40.99</v>
      </c>
      <c r="W774" s="171">
        <v>41.5</v>
      </c>
      <c r="X774" s="171">
        <v>44.14</v>
      </c>
      <c r="Y774" s="171">
        <v>43.58</v>
      </c>
      <c r="Z774" s="171">
        <v>38.160000000000004</v>
      </c>
      <c r="AA774" s="171">
        <v>36.25</v>
      </c>
      <c r="AB774" s="171">
        <v>48.33</v>
      </c>
      <c r="AC774" s="171">
        <v>38.160000000000004</v>
      </c>
      <c r="AD774" s="171">
        <v>28.53</v>
      </c>
      <c r="AF774" s="171">
        <f t="shared" si="38"/>
        <v>2009</v>
      </c>
      <c r="AG774" s="171">
        <f t="shared" si="39"/>
        <v>15</v>
      </c>
      <c r="AH774" s="700">
        <f>SUMIF(D$3:$AA774,"&lt;="&amp;$AH$1)/COUNTIF(D$3:$AA774,"&lt;="&amp;$AH$1)</f>
        <v>29.219390334572392</v>
      </c>
    </row>
    <row r="775" spans="2:34" x14ac:dyDescent="0.25">
      <c r="B775" s="910">
        <v>39911</v>
      </c>
      <c r="C775" s="581">
        <f t="shared" si="37"/>
        <v>4</v>
      </c>
      <c r="D775" s="171">
        <v>24.86</v>
      </c>
      <c r="E775" s="171">
        <v>26.34</v>
      </c>
      <c r="F775" s="171">
        <v>24.01</v>
      </c>
      <c r="G775" s="171">
        <v>23.26</v>
      </c>
      <c r="H775" s="171">
        <v>18.45</v>
      </c>
      <c r="I775" s="171">
        <v>24.43</v>
      </c>
      <c r="J775" s="171">
        <v>31</v>
      </c>
      <c r="K775" s="171">
        <v>38.08</v>
      </c>
      <c r="L775" s="171">
        <v>44.69</v>
      </c>
      <c r="M775" s="171">
        <v>44.99</v>
      </c>
      <c r="N775" s="171">
        <v>44.84</v>
      </c>
      <c r="O775" s="171">
        <v>44.97</v>
      </c>
      <c r="P775" s="171">
        <v>44.03</v>
      </c>
      <c r="Q775" s="171">
        <v>41.4</v>
      </c>
      <c r="R775" s="171">
        <v>40.4</v>
      </c>
      <c r="S775" s="171">
        <v>38</v>
      </c>
      <c r="T775" s="171">
        <v>36.06</v>
      </c>
      <c r="U775" s="171">
        <v>35.520000000000003</v>
      </c>
      <c r="V775" s="171">
        <v>36.1</v>
      </c>
      <c r="W775" s="171">
        <v>37.54</v>
      </c>
      <c r="X775" s="171">
        <v>41.06</v>
      </c>
      <c r="Y775" s="171">
        <v>38.93</v>
      </c>
      <c r="Z775" s="171">
        <v>36.910000000000004</v>
      </c>
      <c r="AA775" s="171">
        <v>35</v>
      </c>
      <c r="AB775" s="171">
        <v>44.99</v>
      </c>
      <c r="AC775" s="171">
        <v>35.520000000000003</v>
      </c>
      <c r="AD775" s="171">
        <v>25.92</v>
      </c>
      <c r="AF775" s="171">
        <f t="shared" si="38"/>
        <v>2009</v>
      </c>
      <c r="AG775" s="171">
        <f t="shared" si="39"/>
        <v>19</v>
      </c>
      <c r="AH775" s="700">
        <f>SUMIF(D$3:$AA775,"&lt;="&amp;$AH$1)/COUNTIF(D$3:$AA775,"&lt;="&amp;$AH$1)</f>
        <v>29.230093416370003</v>
      </c>
    </row>
    <row r="776" spans="2:34" x14ac:dyDescent="0.25">
      <c r="B776" s="910">
        <v>39912</v>
      </c>
      <c r="C776" s="581">
        <f t="shared" si="37"/>
        <v>4</v>
      </c>
      <c r="D776" s="171">
        <v>26.61</v>
      </c>
      <c r="E776" s="171">
        <v>25.59</v>
      </c>
      <c r="F776" s="171">
        <v>22</v>
      </c>
      <c r="G776" s="171">
        <v>21</v>
      </c>
      <c r="H776" s="171">
        <v>20.51</v>
      </c>
      <c r="I776" s="171">
        <v>26.38</v>
      </c>
      <c r="J776" s="171">
        <v>35</v>
      </c>
      <c r="K776" s="171">
        <v>41.99</v>
      </c>
      <c r="L776" s="171">
        <v>48</v>
      </c>
      <c r="M776" s="171">
        <v>49.11</v>
      </c>
      <c r="N776" s="171">
        <v>49.96</v>
      </c>
      <c r="O776" s="171">
        <v>51</v>
      </c>
      <c r="P776" s="171">
        <v>46.2</v>
      </c>
      <c r="Q776" s="171">
        <v>41.13</v>
      </c>
      <c r="R776" s="171">
        <v>39.51</v>
      </c>
      <c r="S776" s="171">
        <v>37</v>
      </c>
      <c r="T776" s="171">
        <v>36.01</v>
      </c>
      <c r="U776" s="171">
        <v>36.4</v>
      </c>
      <c r="V776" s="171">
        <v>36.880000000000003</v>
      </c>
      <c r="W776" s="171">
        <v>38.69</v>
      </c>
      <c r="X776" s="171">
        <v>41.4</v>
      </c>
      <c r="Y776" s="171">
        <v>38.32</v>
      </c>
      <c r="Z776" s="171">
        <v>36.79</v>
      </c>
      <c r="AA776" s="171">
        <v>32.660000000000004</v>
      </c>
      <c r="AB776" s="171">
        <v>51</v>
      </c>
      <c r="AC776" s="171">
        <v>36.01</v>
      </c>
      <c r="AD776" s="171">
        <v>26.22</v>
      </c>
      <c r="AF776" s="171">
        <f t="shared" si="38"/>
        <v>2009</v>
      </c>
      <c r="AG776" s="171">
        <f t="shared" si="39"/>
        <v>19</v>
      </c>
      <c r="AH776" s="700">
        <f>SUMIF(D$3:$AA776,"&lt;="&amp;$AH$1)/COUNTIF(D$3:$AA776,"&lt;="&amp;$AH$1)</f>
        <v>29.241700428803686</v>
      </c>
    </row>
    <row r="777" spans="2:34" x14ac:dyDescent="0.25">
      <c r="B777" s="910">
        <v>39913</v>
      </c>
      <c r="C777" s="581">
        <f t="shared" si="37"/>
        <v>4</v>
      </c>
      <c r="D777" s="171">
        <v>25.8</v>
      </c>
      <c r="E777" s="171">
        <v>18.330000000000002</v>
      </c>
      <c r="F777" s="171">
        <v>13</v>
      </c>
      <c r="G777" s="171">
        <v>10.23</v>
      </c>
      <c r="H777" s="171">
        <v>11.25</v>
      </c>
      <c r="I777" s="171">
        <v>16.330000000000002</v>
      </c>
      <c r="J777" s="171">
        <v>29.79</v>
      </c>
      <c r="K777" s="171">
        <v>35.54</v>
      </c>
      <c r="L777" s="171">
        <v>35.270000000000003</v>
      </c>
      <c r="M777" s="171">
        <v>35.9</v>
      </c>
      <c r="N777" s="171">
        <v>35.03</v>
      </c>
      <c r="O777" s="171">
        <v>36.06</v>
      </c>
      <c r="P777" s="171">
        <v>35.700000000000003</v>
      </c>
      <c r="Q777" s="171">
        <v>34.93</v>
      </c>
      <c r="R777" s="171">
        <v>34.33</v>
      </c>
      <c r="S777" s="171">
        <v>32.980000000000004</v>
      </c>
      <c r="T777" s="171">
        <v>32.64</v>
      </c>
      <c r="U777" s="171">
        <v>32.57</v>
      </c>
      <c r="V777" s="171">
        <v>31</v>
      </c>
      <c r="W777" s="171">
        <v>30.13</v>
      </c>
      <c r="X777" s="171">
        <v>34.67</v>
      </c>
      <c r="Y777" s="171">
        <v>34.29</v>
      </c>
      <c r="Z777" s="171">
        <v>33.81</v>
      </c>
      <c r="AA777" s="171">
        <v>33</v>
      </c>
      <c r="AB777" s="171">
        <v>36.06</v>
      </c>
      <c r="AC777" s="171">
        <v>30.13</v>
      </c>
      <c r="AD777" s="171">
        <v>19.72</v>
      </c>
      <c r="AF777" s="171">
        <f t="shared" si="38"/>
        <v>2009</v>
      </c>
      <c r="AG777" s="171">
        <f t="shared" si="39"/>
        <v>24</v>
      </c>
      <c r="AH777" s="700">
        <f>SUMIF(D$3:$AA777,"&lt;="&amp;$AH$1)/COUNTIF(D$3:$AA777,"&lt;="&amp;$AH$1)</f>
        <v>29.241815235008009</v>
      </c>
    </row>
    <row r="778" spans="2:34" x14ac:dyDescent="0.25">
      <c r="B778" s="910">
        <v>39916</v>
      </c>
      <c r="C778" s="581">
        <f t="shared" si="37"/>
        <v>4</v>
      </c>
      <c r="D778" s="171">
        <v>30</v>
      </c>
      <c r="E778" s="171">
        <v>15.25</v>
      </c>
      <c r="F778" s="171">
        <v>8.81</v>
      </c>
      <c r="G778" s="171">
        <v>9.99</v>
      </c>
      <c r="H778" s="171">
        <v>7.12</v>
      </c>
      <c r="I778" s="171">
        <v>8.39</v>
      </c>
      <c r="J778" s="171">
        <v>10.17</v>
      </c>
      <c r="K778" s="171">
        <v>10.17</v>
      </c>
      <c r="L778" s="171">
        <v>16.559999999999999</v>
      </c>
      <c r="M778" s="171">
        <v>30.22</v>
      </c>
      <c r="N778" s="171">
        <v>30.69</v>
      </c>
      <c r="O778" s="171">
        <v>32.9</v>
      </c>
      <c r="P778" s="171">
        <v>32.89</v>
      </c>
      <c r="Q778" s="171">
        <v>25</v>
      </c>
      <c r="R778" s="171">
        <v>19.5</v>
      </c>
      <c r="S778" s="171">
        <v>14.32</v>
      </c>
      <c r="T778" s="171">
        <v>12.36</v>
      </c>
      <c r="U778" s="171">
        <v>27</v>
      </c>
      <c r="V778" s="171">
        <v>30</v>
      </c>
      <c r="W778" s="171">
        <v>34</v>
      </c>
      <c r="X778" s="171">
        <v>41</v>
      </c>
      <c r="Y778" s="171">
        <v>45</v>
      </c>
      <c r="Z778" s="171">
        <v>33.51</v>
      </c>
      <c r="AA778" s="171">
        <v>25.34</v>
      </c>
      <c r="AB778" s="171">
        <v>45</v>
      </c>
      <c r="AC778" s="171">
        <v>10.17</v>
      </c>
      <c r="AD778" s="171">
        <v>19.72</v>
      </c>
      <c r="AF778" s="171">
        <f t="shared" si="38"/>
        <v>2009</v>
      </c>
      <c r="AG778" s="171">
        <f t="shared" si="39"/>
        <v>23</v>
      </c>
      <c r="AH778" s="700">
        <f>SUMIF(D$3:$AA778,"&lt;="&amp;$AH$1)/COUNTIF(D$3:$AA778,"&lt;="&amp;$AH$1)</f>
        <v>29.217237885462463</v>
      </c>
    </row>
    <row r="779" spans="2:34" x14ac:dyDescent="0.25">
      <c r="B779" s="910">
        <v>39917</v>
      </c>
      <c r="C779" s="581">
        <f t="shared" si="37"/>
        <v>4</v>
      </c>
      <c r="D779" s="171">
        <v>28.55</v>
      </c>
      <c r="E779" s="171">
        <v>20.64</v>
      </c>
      <c r="F779" s="171">
        <v>13.3</v>
      </c>
      <c r="G779" s="171">
        <v>10.17</v>
      </c>
      <c r="H779" s="171">
        <v>10</v>
      </c>
      <c r="I779" s="171">
        <v>23.45</v>
      </c>
      <c r="J779" s="171">
        <v>36.65</v>
      </c>
      <c r="K779" s="171">
        <v>45.32</v>
      </c>
      <c r="L779" s="171">
        <v>49.93</v>
      </c>
      <c r="M779" s="171">
        <v>55.11</v>
      </c>
      <c r="N779" s="171">
        <v>57</v>
      </c>
      <c r="O779" s="171">
        <v>61.99</v>
      </c>
      <c r="P779" s="171">
        <v>62.85</v>
      </c>
      <c r="Q779" s="171">
        <v>47.01</v>
      </c>
      <c r="R779" s="171">
        <v>44.07</v>
      </c>
      <c r="S779" s="171">
        <v>41</v>
      </c>
      <c r="T779" s="171">
        <v>38</v>
      </c>
      <c r="U779" s="171">
        <v>38</v>
      </c>
      <c r="V779" s="171">
        <v>38.19</v>
      </c>
      <c r="W779" s="171">
        <v>38.5</v>
      </c>
      <c r="X779" s="171">
        <v>40</v>
      </c>
      <c r="Y779" s="171">
        <v>39.61</v>
      </c>
      <c r="Z779" s="171">
        <v>37</v>
      </c>
      <c r="AA779" s="171">
        <v>34.950000000000003</v>
      </c>
      <c r="AB779" s="171">
        <v>62.85</v>
      </c>
      <c r="AC779" s="171">
        <v>37</v>
      </c>
      <c r="AD779" s="171">
        <v>22.21</v>
      </c>
      <c r="AF779" s="171">
        <f t="shared" si="38"/>
        <v>2009</v>
      </c>
      <c r="AG779" s="171">
        <f t="shared" si="39"/>
        <v>16</v>
      </c>
      <c r="AH779" s="700">
        <f>SUMIF(D$3:$AA779,"&lt;="&amp;$AH$1)/COUNTIF(D$3:$AA779,"&lt;="&amp;$AH$1)</f>
        <v>29.22024611778485</v>
      </c>
    </row>
    <row r="780" spans="2:34" x14ac:dyDescent="0.25">
      <c r="B780" s="910">
        <v>39918</v>
      </c>
      <c r="C780" s="581">
        <f t="shared" si="37"/>
        <v>4</v>
      </c>
      <c r="D780" s="171">
        <v>30.51</v>
      </c>
      <c r="E780" s="171">
        <v>25</v>
      </c>
      <c r="F780" s="171">
        <v>17</v>
      </c>
      <c r="G780" s="171">
        <v>15.57</v>
      </c>
      <c r="H780" s="171">
        <v>15.44</v>
      </c>
      <c r="I780" s="171">
        <v>25</v>
      </c>
      <c r="J780" s="171">
        <v>34</v>
      </c>
      <c r="K780" s="171">
        <v>40.43</v>
      </c>
      <c r="L780" s="171">
        <v>43.300000000000004</v>
      </c>
      <c r="M780" s="171">
        <v>45.550000000000004</v>
      </c>
      <c r="N780" s="171">
        <v>45.4</v>
      </c>
      <c r="O780" s="171">
        <v>45.9</v>
      </c>
      <c r="P780" s="171">
        <v>45.4</v>
      </c>
      <c r="Q780" s="171">
        <v>41.11</v>
      </c>
      <c r="R780" s="171">
        <v>38</v>
      </c>
      <c r="S780" s="171">
        <v>35.869999999999997</v>
      </c>
      <c r="T780" s="171">
        <v>33.92</v>
      </c>
      <c r="U780" s="171">
        <v>32.22</v>
      </c>
      <c r="V780" s="171">
        <v>35</v>
      </c>
      <c r="W780" s="171">
        <v>36.130000000000003</v>
      </c>
      <c r="X780" s="171">
        <v>37.64</v>
      </c>
      <c r="Y780" s="171">
        <v>35</v>
      </c>
      <c r="Z780" s="171">
        <v>33.619999999999997</v>
      </c>
      <c r="AA780" s="171">
        <v>31</v>
      </c>
      <c r="AB780" s="171">
        <v>45.9</v>
      </c>
      <c r="AC780" s="171">
        <v>32.22</v>
      </c>
      <c r="AD780" s="171">
        <v>24.19</v>
      </c>
      <c r="AF780" s="171">
        <f t="shared" si="38"/>
        <v>2009</v>
      </c>
      <c r="AG780" s="171">
        <f t="shared" si="39"/>
        <v>19</v>
      </c>
      <c r="AH780" s="700">
        <f>SUMIF(D$3:$AA780,"&lt;="&amp;$AH$1)/COUNTIF(D$3:$AA780,"&lt;="&amp;$AH$1)</f>
        <v>29.225691745799768</v>
      </c>
    </row>
    <row r="781" spans="2:34" x14ac:dyDescent="0.25">
      <c r="B781" s="910">
        <v>39919</v>
      </c>
      <c r="C781" s="581">
        <f t="shared" si="37"/>
        <v>4</v>
      </c>
      <c r="D781" s="171">
        <v>24.5</v>
      </c>
      <c r="E781" s="171">
        <v>17</v>
      </c>
      <c r="F781" s="171">
        <v>10</v>
      </c>
      <c r="G781" s="171">
        <v>10.26</v>
      </c>
      <c r="H781" s="171">
        <v>11.15</v>
      </c>
      <c r="I781" s="171">
        <v>23</v>
      </c>
      <c r="J781" s="171">
        <v>31.580000000000002</v>
      </c>
      <c r="K781" s="171">
        <v>39.130000000000003</v>
      </c>
      <c r="L781" s="171">
        <v>41.980000000000004</v>
      </c>
      <c r="M781" s="171">
        <v>46.03</v>
      </c>
      <c r="N781" s="171">
        <v>47</v>
      </c>
      <c r="O781" s="171">
        <v>46.6</v>
      </c>
      <c r="P781" s="171">
        <v>46.08</v>
      </c>
      <c r="Q781" s="171">
        <v>45.99</v>
      </c>
      <c r="R781" s="171">
        <v>39.020000000000003</v>
      </c>
      <c r="S781" s="171">
        <v>39.5</v>
      </c>
      <c r="T781" s="171">
        <v>39.47</v>
      </c>
      <c r="U781" s="171">
        <v>37</v>
      </c>
      <c r="V781" s="171">
        <v>38.04</v>
      </c>
      <c r="W781" s="171">
        <v>38</v>
      </c>
      <c r="X781" s="171">
        <v>40.78</v>
      </c>
      <c r="Y781" s="171">
        <v>37.980000000000004</v>
      </c>
      <c r="Z781" s="171">
        <v>35.5</v>
      </c>
      <c r="AA781" s="171">
        <v>34.700000000000003</v>
      </c>
      <c r="AB781" s="171">
        <v>47</v>
      </c>
      <c r="AC781" s="171">
        <v>35.5</v>
      </c>
      <c r="AD781" s="171">
        <v>20.27</v>
      </c>
      <c r="AF781" s="171">
        <f t="shared" si="38"/>
        <v>2009</v>
      </c>
      <c r="AG781" s="171">
        <f t="shared" si="39"/>
        <v>19</v>
      </c>
      <c r="AH781" s="700">
        <f>SUMIF(D$3:$AA781,"&lt;="&amp;$AH$1)/COUNTIF(D$3:$AA781,"&lt;="&amp;$AH$1)</f>
        <v>29.230543414918333</v>
      </c>
    </row>
    <row r="782" spans="2:34" x14ac:dyDescent="0.25">
      <c r="B782" s="910">
        <v>39920</v>
      </c>
      <c r="C782" s="581">
        <f t="shared" si="37"/>
        <v>4</v>
      </c>
      <c r="D782" s="171">
        <v>29.96</v>
      </c>
      <c r="E782" s="171">
        <v>20</v>
      </c>
      <c r="F782" s="171">
        <v>11</v>
      </c>
      <c r="G782" s="171">
        <v>9.2900000000000009</v>
      </c>
      <c r="H782" s="171">
        <v>11.200000000000001</v>
      </c>
      <c r="I782" s="171">
        <v>25.39</v>
      </c>
      <c r="J782" s="171">
        <v>33.049999999999997</v>
      </c>
      <c r="K782" s="171">
        <v>40.9</v>
      </c>
      <c r="L782" s="171">
        <v>46.29</v>
      </c>
      <c r="M782" s="171">
        <v>48.5</v>
      </c>
      <c r="N782" s="171">
        <v>48.5</v>
      </c>
      <c r="O782" s="171">
        <v>48.51</v>
      </c>
      <c r="P782" s="171">
        <v>48.5</v>
      </c>
      <c r="Q782" s="171">
        <v>46.09</v>
      </c>
      <c r="R782" s="171">
        <v>42.17</v>
      </c>
      <c r="S782" s="171">
        <v>38.92</v>
      </c>
      <c r="T782" s="171">
        <v>36.14</v>
      </c>
      <c r="U782" s="171">
        <v>34.26</v>
      </c>
      <c r="V782" s="171">
        <v>36.72</v>
      </c>
      <c r="W782" s="171">
        <v>38</v>
      </c>
      <c r="X782" s="171">
        <v>41.480000000000004</v>
      </c>
      <c r="Y782" s="171">
        <v>40.01</v>
      </c>
      <c r="Z782" s="171">
        <v>38.72</v>
      </c>
      <c r="AA782" s="171">
        <v>35.630000000000003</v>
      </c>
      <c r="AB782" s="171">
        <v>48.51</v>
      </c>
      <c r="AC782" s="171">
        <v>34.26</v>
      </c>
      <c r="AD782" s="171">
        <v>21.94</v>
      </c>
      <c r="AF782" s="171">
        <f t="shared" si="38"/>
        <v>2009</v>
      </c>
      <c r="AG782" s="171">
        <f t="shared" si="39"/>
        <v>18</v>
      </c>
      <c r="AH782" s="700">
        <f>SUMIF(D$3:$AA782,"&lt;="&amp;$AH$1)/COUNTIF(D$3:$AA782,"&lt;="&amp;$AH$1)</f>
        <v>29.235874745713385</v>
      </c>
    </row>
    <row r="783" spans="2:34" x14ac:dyDescent="0.25">
      <c r="B783" s="910">
        <v>39923</v>
      </c>
      <c r="C783" s="581">
        <f t="shared" si="37"/>
        <v>4</v>
      </c>
      <c r="D783" s="171">
        <v>26.5</v>
      </c>
      <c r="E783" s="171">
        <v>20.48</v>
      </c>
      <c r="F783" s="171">
        <v>15.01</v>
      </c>
      <c r="G783" s="171">
        <v>10.16</v>
      </c>
      <c r="H783" s="171">
        <v>9.81</v>
      </c>
      <c r="I783" s="171">
        <v>18.8</v>
      </c>
      <c r="J783" s="171">
        <v>35.5</v>
      </c>
      <c r="K783" s="171">
        <v>41.910000000000004</v>
      </c>
      <c r="L783" s="171">
        <v>52.28</v>
      </c>
      <c r="M783" s="171">
        <v>54.49</v>
      </c>
      <c r="N783" s="171">
        <v>52.01</v>
      </c>
      <c r="O783" s="171">
        <v>53.800000000000004</v>
      </c>
      <c r="P783" s="171">
        <v>51.6</v>
      </c>
      <c r="Q783" s="171">
        <v>47.99</v>
      </c>
      <c r="R783" s="171">
        <v>44.17</v>
      </c>
      <c r="S783" s="171">
        <v>38.99</v>
      </c>
      <c r="T783" s="171">
        <v>35.69</v>
      </c>
      <c r="U783" s="171">
        <v>34.22</v>
      </c>
      <c r="V783" s="171">
        <v>35.550000000000004</v>
      </c>
      <c r="W783" s="171">
        <v>37.07</v>
      </c>
      <c r="X783" s="171">
        <v>41.74</v>
      </c>
      <c r="Y783" s="171">
        <v>41.19</v>
      </c>
      <c r="Z783" s="171">
        <v>39.72</v>
      </c>
      <c r="AA783" s="171">
        <v>36.04</v>
      </c>
      <c r="AB783" s="171">
        <v>54.49</v>
      </c>
      <c r="AC783" s="171">
        <v>34.22</v>
      </c>
      <c r="AD783" s="171">
        <v>21.54</v>
      </c>
      <c r="AF783" s="171">
        <f t="shared" si="38"/>
        <v>2009</v>
      </c>
      <c r="AG783" s="171">
        <f t="shared" si="39"/>
        <v>17</v>
      </c>
      <c r="AH783" s="700">
        <f>SUMIF(D$3:$AA783,"&lt;="&amp;$AH$1)/COUNTIF(D$3:$AA783,"&lt;="&amp;$AH$1)</f>
        <v>29.238972314828167</v>
      </c>
    </row>
    <row r="784" spans="2:34" x14ac:dyDescent="0.25">
      <c r="B784" s="910">
        <v>39924</v>
      </c>
      <c r="C784" s="581">
        <f t="shared" si="37"/>
        <v>4</v>
      </c>
      <c r="D784" s="171">
        <v>27</v>
      </c>
      <c r="E784" s="171">
        <v>27</v>
      </c>
      <c r="F784" s="171">
        <v>26.39</v>
      </c>
      <c r="G784" s="171">
        <v>22.43</v>
      </c>
      <c r="H784" s="171">
        <v>19.670000000000002</v>
      </c>
      <c r="I784" s="171">
        <v>31</v>
      </c>
      <c r="J784" s="171">
        <v>39</v>
      </c>
      <c r="K784" s="171">
        <v>45</v>
      </c>
      <c r="L784" s="171">
        <v>52.050000000000004</v>
      </c>
      <c r="M784" s="171">
        <v>52.56</v>
      </c>
      <c r="N784" s="171">
        <v>52.65</v>
      </c>
      <c r="O784" s="171">
        <v>51.04</v>
      </c>
      <c r="P784" s="171">
        <v>49</v>
      </c>
      <c r="Q784" s="171">
        <v>48</v>
      </c>
      <c r="R784" s="171">
        <v>41.47</v>
      </c>
      <c r="S784" s="171">
        <v>40.950000000000003</v>
      </c>
      <c r="T784" s="171">
        <v>39.96</v>
      </c>
      <c r="U784" s="171">
        <v>38</v>
      </c>
      <c r="V784" s="171">
        <v>38.08</v>
      </c>
      <c r="W784" s="171">
        <v>39</v>
      </c>
      <c r="X784" s="171">
        <v>43.9</v>
      </c>
      <c r="Y784" s="171">
        <v>43.68</v>
      </c>
      <c r="Z784" s="171">
        <v>38.5</v>
      </c>
      <c r="AA784" s="171">
        <v>35.18</v>
      </c>
      <c r="AB784" s="171">
        <v>52.65</v>
      </c>
      <c r="AC784" s="171">
        <v>38</v>
      </c>
      <c r="AD784" s="171">
        <v>28.46</v>
      </c>
      <c r="AF784" s="171">
        <f t="shared" si="38"/>
        <v>2009</v>
      </c>
      <c r="AG784" s="171">
        <f t="shared" si="39"/>
        <v>15</v>
      </c>
      <c r="AH784" s="700">
        <f>SUMIF(D$3:$AA784,"&lt;="&amp;$AH$1)/COUNTIF(D$3:$AA784,"&lt;="&amp;$AH$1)</f>
        <v>29.248380098351102</v>
      </c>
    </row>
    <row r="785" spans="2:34" x14ac:dyDescent="0.25">
      <c r="B785" s="910">
        <v>39925</v>
      </c>
      <c r="C785" s="581">
        <f t="shared" si="37"/>
        <v>4</v>
      </c>
      <c r="D785" s="171">
        <v>28.03</v>
      </c>
      <c r="E785" s="171">
        <v>27.080000000000002</v>
      </c>
      <c r="F785" s="171">
        <v>25.54</v>
      </c>
      <c r="G785" s="171">
        <v>21.51</v>
      </c>
      <c r="H785" s="171">
        <v>22</v>
      </c>
      <c r="I785" s="171">
        <v>28.01</v>
      </c>
      <c r="J785" s="171">
        <v>35.5</v>
      </c>
      <c r="K785" s="171">
        <v>38.119999999999997</v>
      </c>
      <c r="L785" s="171">
        <v>49</v>
      </c>
      <c r="M785" s="171">
        <v>52</v>
      </c>
      <c r="N785" s="171">
        <v>54</v>
      </c>
      <c r="O785" s="171">
        <v>55.160000000000004</v>
      </c>
      <c r="P785" s="171">
        <v>47.01</v>
      </c>
      <c r="Q785" s="171">
        <v>45</v>
      </c>
      <c r="R785" s="171">
        <v>41</v>
      </c>
      <c r="S785" s="171">
        <v>36.53</v>
      </c>
      <c r="T785" s="171">
        <v>36.090000000000003</v>
      </c>
      <c r="U785" s="171">
        <v>35</v>
      </c>
      <c r="V785" s="171">
        <v>35</v>
      </c>
      <c r="W785" s="171">
        <v>36.410000000000004</v>
      </c>
      <c r="X785" s="171">
        <v>38</v>
      </c>
      <c r="Y785" s="171">
        <v>39.020000000000003</v>
      </c>
      <c r="Z785" s="171">
        <v>38.68</v>
      </c>
      <c r="AA785" s="171">
        <v>35.08</v>
      </c>
      <c r="AB785" s="171">
        <v>55.160000000000004</v>
      </c>
      <c r="AC785" s="171">
        <v>35</v>
      </c>
      <c r="AD785" s="171">
        <v>27.84</v>
      </c>
      <c r="AF785" s="171">
        <f t="shared" si="38"/>
        <v>2009</v>
      </c>
      <c r="AG785" s="171">
        <f t="shared" si="39"/>
        <v>18</v>
      </c>
      <c r="AH785" s="700">
        <f>SUMIF(D$3:$AA785,"&lt;="&amp;$AH$1)/COUNTIF(D$3:$AA785,"&lt;="&amp;$AH$1)</f>
        <v>29.25849682631268</v>
      </c>
    </row>
    <row r="786" spans="2:34" x14ac:dyDescent="0.25">
      <c r="B786" s="910">
        <v>39926</v>
      </c>
      <c r="C786" s="581">
        <f t="shared" si="37"/>
        <v>4</v>
      </c>
      <c r="D786" s="171">
        <v>25.400000000000002</v>
      </c>
      <c r="E786" s="171">
        <v>22</v>
      </c>
      <c r="F786" s="171">
        <v>23</v>
      </c>
      <c r="G786" s="171">
        <v>21</v>
      </c>
      <c r="H786" s="171">
        <v>22.6</v>
      </c>
      <c r="I786" s="171">
        <v>29</v>
      </c>
      <c r="J786" s="171">
        <v>35.660000000000004</v>
      </c>
      <c r="K786" s="171">
        <v>42.14</v>
      </c>
      <c r="L786" s="171">
        <v>49.18</v>
      </c>
      <c r="M786" s="171">
        <v>49.02</v>
      </c>
      <c r="N786" s="171">
        <v>51.78</v>
      </c>
      <c r="O786" s="171">
        <v>54.99</v>
      </c>
      <c r="P786" s="171">
        <v>47.38</v>
      </c>
      <c r="Q786" s="171">
        <v>44.52</v>
      </c>
      <c r="R786" s="171">
        <v>42.49</v>
      </c>
      <c r="S786" s="171">
        <v>42.84</v>
      </c>
      <c r="T786" s="171">
        <v>42.42</v>
      </c>
      <c r="U786" s="171">
        <v>41.46</v>
      </c>
      <c r="V786" s="171">
        <v>41.15</v>
      </c>
      <c r="W786" s="171">
        <v>40.6</v>
      </c>
      <c r="X786" s="171">
        <v>44.7</v>
      </c>
      <c r="Y786" s="171">
        <v>42.5</v>
      </c>
      <c r="Z786" s="171">
        <v>39</v>
      </c>
      <c r="AA786" s="171">
        <v>34.410000000000004</v>
      </c>
      <c r="AB786" s="171">
        <v>54.99</v>
      </c>
      <c r="AC786" s="171">
        <v>39</v>
      </c>
      <c r="AD786" s="171">
        <v>26.63</v>
      </c>
      <c r="AF786" s="171">
        <f t="shared" si="38"/>
        <v>2009</v>
      </c>
      <c r="AG786" s="171">
        <f t="shared" si="39"/>
        <v>16</v>
      </c>
      <c r="AH786" s="700">
        <f>SUMIF(D$3:$AA786,"&lt;="&amp;$AH$1)/COUNTIF(D$3:$AA786,"&lt;="&amp;$AH$1)</f>
        <v>29.269535118019505</v>
      </c>
    </row>
    <row r="787" spans="2:34" x14ac:dyDescent="0.25">
      <c r="B787" s="910">
        <v>39927</v>
      </c>
      <c r="C787" s="581">
        <f t="shared" si="37"/>
        <v>4</v>
      </c>
      <c r="D787" s="171">
        <v>29</v>
      </c>
      <c r="E787" s="171">
        <v>24.150000000000002</v>
      </c>
      <c r="F787" s="171">
        <v>23.23</v>
      </c>
      <c r="G787" s="171">
        <v>24.44</v>
      </c>
      <c r="H787" s="171">
        <v>28.11</v>
      </c>
      <c r="I787" s="171">
        <v>30.12</v>
      </c>
      <c r="J787" s="171">
        <v>34.230000000000004</v>
      </c>
      <c r="K787" s="171">
        <v>44.03</v>
      </c>
      <c r="L787" s="171">
        <v>47.07</v>
      </c>
      <c r="M787" s="171">
        <v>49.01</v>
      </c>
      <c r="N787" s="171">
        <v>51.99</v>
      </c>
      <c r="O787" s="171">
        <v>52.31</v>
      </c>
      <c r="P787" s="171">
        <v>49.2</v>
      </c>
      <c r="Q787" s="171">
        <v>46</v>
      </c>
      <c r="R787" s="171">
        <v>40.03</v>
      </c>
      <c r="S787" s="171">
        <v>37</v>
      </c>
      <c r="T787" s="171">
        <v>36</v>
      </c>
      <c r="U787" s="171">
        <v>35.1</v>
      </c>
      <c r="V787" s="171">
        <v>35.19</v>
      </c>
      <c r="W787" s="171">
        <v>35</v>
      </c>
      <c r="X787" s="171">
        <v>39.4</v>
      </c>
      <c r="Y787" s="171">
        <v>38.18</v>
      </c>
      <c r="Z787" s="171">
        <v>36.5</v>
      </c>
      <c r="AA787" s="171">
        <v>31</v>
      </c>
      <c r="AB787" s="171">
        <v>52.31</v>
      </c>
      <c r="AC787" s="171">
        <v>35</v>
      </c>
      <c r="AD787" s="171">
        <v>28.03</v>
      </c>
      <c r="AF787" s="171">
        <f t="shared" si="38"/>
        <v>2009</v>
      </c>
      <c r="AG787" s="171">
        <f t="shared" si="39"/>
        <v>17</v>
      </c>
      <c r="AH787" s="700">
        <f>SUMIF(D$3:$AA787,"&lt;="&amp;$AH$1)/COUNTIF(D$3:$AA787,"&lt;="&amp;$AH$1)</f>
        <v>29.278020100502442</v>
      </c>
    </row>
    <row r="788" spans="2:34" x14ac:dyDescent="0.25">
      <c r="B788" s="910">
        <v>39930</v>
      </c>
      <c r="C788" s="581">
        <f t="shared" si="37"/>
        <v>4</v>
      </c>
      <c r="D788" s="171">
        <v>31.44</v>
      </c>
      <c r="E788" s="171">
        <v>23.5</v>
      </c>
      <c r="F788" s="171">
        <v>21.26</v>
      </c>
      <c r="G788" s="171">
        <v>16.07</v>
      </c>
      <c r="H788" s="171">
        <v>17.559999999999999</v>
      </c>
      <c r="I788" s="171">
        <v>29.5</v>
      </c>
      <c r="J788" s="171">
        <v>37.19</v>
      </c>
      <c r="K788" s="171">
        <v>42.39</v>
      </c>
      <c r="L788" s="171">
        <v>49.93</v>
      </c>
      <c r="M788" s="171">
        <v>50.89</v>
      </c>
      <c r="N788" s="171">
        <v>51.92</v>
      </c>
      <c r="O788" s="171">
        <v>53</v>
      </c>
      <c r="P788" s="171">
        <v>47.870000000000005</v>
      </c>
      <c r="Q788" s="171">
        <v>42.36</v>
      </c>
      <c r="R788" s="171">
        <v>39.369999999999997</v>
      </c>
      <c r="S788" s="171">
        <v>39.1</v>
      </c>
      <c r="T788" s="171">
        <v>40.35</v>
      </c>
      <c r="U788" s="171">
        <v>40.200000000000003</v>
      </c>
      <c r="V788" s="171">
        <v>38.369999999999997</v>
      </c>
      <c r="W788" s="171">
        <v>38.67</v>
      </c>
      <c r="X788" s="171">
        <v>44.68</v>
      </c>
      <c r="Y788" s="171">
        <v>45.300000000000004</v>
      </c>
      <c r="Z788" s="171">
        <v>41.660000000000004</v>
      </c>
      <c r="AA788" s="171">
        <v>37.300000000000004</v>
      </c>
      <c r="AB788" s="171">
        <v>53</v>
      </c>
      <c r="AC788" s="171">
        <v>38.369999999999997</v>
      </c>
      <c r="AD788" s="171">
        <v>26.73</v>
      </c>
      <c r="AF788" s="171">
        <f t="shared" si="38"/>
        <v>2009</v>
      </c>
      <c r="AG788" s="171">
        <f t="shared" si="39"/>
        <v>17</v>
      </c>
      <c r="AH788" s="700">
        <f>SUMIF(D$3:$AA788,"&lt;="&amp;$AH$1)/COUNTIF(D$3:$AA788,"&lt;="&amp;$AH$1)</f>
        <v>29.2892724147808</v>
      </c>
    </row>
    <row r="789" spans="2:34" x14ac:dyDescent="0.25">
      <c r="B789" s="910">
        <v>39931</v>
      </c>
      <c r="C789" s="581">
        <f t="shared" si="37"/>
        <v>4</v>
      </c>
      <c r="D789" s="171">
        <v>27</v>
      </c>
      <c r="E789" s="171">
        <v>22.580000000000002</v>
      </c>
      <c r="F789" s="171">
        <v>18.900000000000002</v>
      </c>
      <c r="G789" s="171">
        <v>18.72</v>
      </c>
      <c r="H789" s="171">
        <v>23</v>
      </c>
      <c r="I789" s="171">
        <v>30.1</v>
      </c>
      <c r="J789" s="171">
        <v>34.46</v>
      </c>
      <c r="K789" s="171">
        <v>43.43</v>
      </c>
      <c r="L789" s="171">
        <v>49.93</v>
      </c>
      <c r="M789" s="171">
        <v>50.5</v>
      </c>
      <c r="N789" s="171">
        <v>52.94</v>
      </c>
      <c r="O789" s="171">
        <v>56.18</v>
      </c>
      <c r="P789" s="171">
        <v>48.35</v>
      </c>
      <c r="Q789" s="171">
        <v>45.78</v>
      </c>
      <c r="R789" s="171">
        <v>44.99</v>
      </c>
      <c r="S789" s="171">
        <v>43.89</v>
      </c>
      <c r="T789" s="171">
        <v>40.800000000000004</v>
      </c>
      <c r="U789" s="171">
        <v>40.92</v>
      </c>
      <c r="V789" s="171">
        <v>39.300000000000004</v>
      </c>
      <c r="W789" s="171">
        <v>39</v>
      </c>
      <c r="X789" s="171">
        <v>41.99</v>
      </c>
      <c r="Y789" s="171">
        <v>42.54</v>
      </c>
      <c r="Z789" s="171">
        <v>41.6</v>
      </c>
      <c r="AA789" s="171">
        <v>34.01</v>
      </c>
      <c r="AB789" s="171">
        <v>56.18</v>
      </c>
      <c r="AC789" s="171">
        <v>39</v>
      </c>
      <c r="AD789" s="171">
        <v>26.1</v>
      </c>
      <c r="AF789" s="171">
        <f t="shared" si="38"/>
        <v>2009</v>
      </c>
      <c r="AG789" s="171">
        <f t="shared" si="39"/>
        <v>15</v>
      </c>
      <c r="AH789" s="700">
        <f>SUMIF(D$3:$AA789,"&lt;="&amp;$AH$1)/COUNTIF(D$3:$AA789,"&lt;="&amp;$AH$1)</f>
        <v>29.297215949692657</v>
      </c>
    </row>
    <row r="790" spans="2:34" x14ac:dyDescent="0.25">
      <c r="B790" s="910">
        <v>39932</v>
      </c>
      <c r="C790" s="581">
        <f t="shared" si="37"/>
        <v>4</v>
      </c>
      <c r="D790" s="171">
        <v>29.55</v>
      </c>
      <c r="E790" s="171">
        <v>27.990000000000002</v>
      </c>
      <c r="F790" s="171">
        <v>24.43</v>
      </c>
      <c r="G790" s="171">
        <v>22.92</v>
      </c>
      <c r="H790" s="171">
        <v>26</v>
      </c>
      <c r="I790" s="171">
        <v>31.13</v>
      </c>
      <c r="J790" s="171">
        <v>40.020000000000003</v>
      </c>
      <c r="K790" s="171">
        <v>46.910000000000004</v>
      </c>
      <c r="L790" s="171">
        <v>56.26</v>
      </c>
      <c r="M790" s="171">
        <v>56.08</v>
      </c>
      <c r="N790" s="171">
        <v>58.58</v>
      </c>
      <c r="O790" s="171">
        <v>64</v>
      </c>
      <c r="P790" s="171">
        <v>55.03</v>
      </c>
      <c r="Q790" s="171">
        <v>50</v>
      </c>
      <c r="R790" s="171">
        <v>48.65</v>
      </c>
      <c r="S790" s="171">
        <v>46.9</v>
      </c>
      <c r="T790" s="171">
        <v>44.95</v>
      </c>
      <c r="U790" s="171">
        <v>43.660000000000004</v>
      </c>
      <c r="V790" s="171">
        <v>42.82</v>
      </c>
      <c r="W790" s="171">
        <v>40.61</v>
      </c>
      <c r="X790" s="171">
        <v>44.550000000000004</v>
      </c>
      <c r="Y790" s="171">
        <v>44.550000000000004</v>
      </c>
      <c r="Z790" s="171">
        <v>43.4</v>
      </c>
      <c r="AA790" s="171">
        <v>36.01</v>
      </c>
      <c r="AB790" s="171">
        <v>64</v>
      </c>
      <c r="AC790" s="171">
        <v>40.61</v>
      </c>
      <c r="AD790" s="171">
        <v>29.76</v>
      </c>
      <c r="AF790" s="171">
        <f t="shared" si="38"/>
        <v>2009</v>
      </c>
      <c r="AG790" s="171">
        <f t="shared" si="39"/>
        <v>9</v>
      </c>
      <c r="AH790" s="700">
        <f>SUMIF(D$3:$AA790,"&lt;="&amp;$AH$1)/COUNTIF(D$3:$AA790,"&lt;="&amp;$AH$1)</f>
        <v>29.299354838709608</v>
      </c>
    </row>
    <row r="791" spans="2:34" x14ac:dyDescent="0.25">
      <c r="B791" s="910">
        <v>39933</v>
      </c>
      <c r="C791" s="581">
        <f t="shared" si="37"/>
        <v>4</v>
      </c>
      <c r="D791" s="171">
        <v>28.51</v>
      </c>
      <c r="E791" s="171">
        <v>27.32</v>
      </c>
      <c r="F791" s="171">
        <v>24.88</v>
      </c>
      <c r="G791" s="171">
        <v>23.66</v>
      </c>
      <c r="H791" s="171">
        <v>27</v>
      </c>
      <c r="I791" s="171">
        <v>28.75</v>
      </c>
      <c r="J791" s="171">
        <v>35.79</v>
      </c>
      <c r="K791" s="171">
        <v>46.93</v>
      </c>
      <c r="L791" s="171">
        <v>50</v>
      </c>
      <c r="M791" s="171">
        <v>49</v>
      </c>
      <c r="N791" s="171">
        <v>50.050000000000004</v>
      </c>
      <c r="O791" s="171">
        <v>53</v>
      </c>
      <c r="P791" s="171">
        <v>45.26</v>
      </c>
      <c r="Q791" s="171">
        <v>40.090000000000003</v>
      </c>
      <c r="R791" s="171">
        <v>39</v>
      </c>
      <c r="S791" s="171">
        <v>37.880000000000003</v>
      </c>
      <c r="T791" s="171">
        <v>37</v>
      </c>
      <c r="U791" s="171">
        <v>38.19</v>
      </c>
      <c r="V791" s="171">
        <v>37.89</v>
      </c>
      <c r="W791" s="171">
        <v>38</v>
      </c>
      <c r="X791" s="171">
        <v>39</v>
      </c>
      <c r="Y791" s="171">
        <v>39.96</v>
      </c>
      <c r="Z791" s="171">
        <v>35.75</v>
      </c>
      <c r="AA791" s="171">
        <v>31</v>
      </c>
      <c r="AB791" s="171">
        <v>53</v>
      </c>
      <c r="AC791" s="171">
        <v>35.75</v>
      </c>
      <c r="AD791" s="171">
        <v>29.76</v>
      </c>
      <c r="AF791" s="171">
        <f t="shared" si="38"/>
        <v>2009</v>
      </c>
      <c r="AG791" s="171">
        <f t="shared" si="39"/>
        <v>18</v>
      </c>
      <c r="AH791" s="700">
        <f>SUMIF(D$3:$AA791,"&lt;="&amp;$AH$1)/COUNTIF(D$3:$AA791,"&lt;="&amp;$AH$1)</f>
        <v>29.311069191343901</v>
      </c>
    </row>
    <row r="792" spans="2:34" x14ac:dyDescent="0.25">
      <c r="B792" s="910">
        <v>39934</v>
      </c>
      <c r="C792" s="581">
        <f t="shared" si="37"/>
        <v>5</v>
      </c>
      <c r="D792" s="171">
        <v>15.200000000000001</v>
      </c>
      <c r="E792" s="171">
        <v>15</v>
      </c>
      <c r="F792" s="171">
        <v>11.700000000000001</v>
      </c>
      <c r="G792" s="171">
        <v>11.41</v>
      </c>
      <c r="H792" s="171">
        <v>12.81</v>
      </c>
      <c r="I792" s="171">
        <v>14.870000000000001</v>
      </c>
      <c r="J792" s="171">
        <v>10.96</v>
      </c>
      <c r="K792" s="171">
        <v>16.309999999999999</v>
      </c>
      <c r="L792" s="171">
        <v>26</v>
      </c>
      <c r="M792" s="171">
        <v>29.03</v>
      </c>
      <c r="N792" s="171">
        <v>31.86</v>
      </c>
      <c r="O792" s="171">
        <v>32.94</v>
      </c>
      <c r="P792" s="171">
        <v>35.050000000000004</v>
      </c>
      <c r="Q792" s="171">
        <v>32.93</v>
      </c>
      <c r="R792" s="171">
        <v>29.69</v>
      </c>
      <c r="S792" s="171">
        <v>26.650000000000002</v>
      </c>
      <c r="T792" s="171">
        <v>20</v>
      </c>
      <c r="U792" s="171">
        <v>26</v>
      </c>
      <c r="V792" s="171">
        <v>28.39</v>
      </c>
      <c r="W792" s="171">
        <v>29.3</v>
      </c>
      <c r="X792" s="171">
        <v>34.4</v>
      </c>
      <c r="Y792" s="171">
        <v>35</v>
      </c>
      <c r="Z792" s="171">
        <v>37.15</v>
      </c>
      <c r="AA792" s="171">
        <v>28.17</v>
      </c>
      <c r="AB792" s="171">
        <v>37.15</v>
      </c>
      <c r="AC792" s="171">
        <v>16.309999999999999</v>
      </c>
      <c r="AD792" s="171">
        <v>15.02</v>
      </c>
      <c r="AF792" s="171">
        <f t="shared" si="38"/>
        <v>2009</v>
      </c>
      <c r="AG792" s="171">
        <f t="shared" si="39"/>
        <v>24</v>
      </c>
      <c r="AH792" s="700">
        <f>SUMIF(D$3:$AA792,"&lt;="&amp;$AH$1)/COUNTIF(D$3:$AA792,"&lt;="&amp;$AH$1)</f>
        <v>29.295086549375643</v>
      </c>
    </row>
    <row r="793" spans="2:34" x14ac:dyDescent="0.25">
      <c r="B793" s="910">
        <v>39937</v>
      </c>
      <c r="C793" s="581">
        <f t="shared" si="37"/>
        <v>5</v>
      </c>
      <c r="D793" s="171">
        <v>17.3</v>
      </c>
      <c r="E793" s="171">
        <v>10.17</v>
      </c>
      <c r="F793" s="171">
        <v>10.02</v>
      </c>
      <c r="G793" s="171">
        <v>7.73</v>
      </c>
      <c r="H793" s="171">
        <v>8.82</v>
      </c>
      <c r="I793" s="171">
        <v>10.17</v>
      </c>
      <c r="J793" s="171">
        <v>20</v>
      </c>
      <c r="K793" s="171">
        <v>33.660000000000004</v>
      </c>
      <c r="L793" s="171">
        <v>49.93</v>
      </c>
      <c r="M793" s="171">
        <v>49.6</v>
      </c>
      <c r="N793" s="171">
        <v>49.9</v>
      </c>
      <c r="O793" s="171">
        <v>55.9</v>
      </c>
      <c r="P793" s="171">
        <v>48.11</v>
      </c>
      <c r="Q793" s="171">
        <v>48.9</v>
      </c>
      <c r="R793" s="171">
        <v>45.2</v>
      </c>
      <c r="S793" s="171">
        <v>44.93</v>
      </c>
      <c r="T793" s="171">
        <v>41.6</v>
      </c>
      <c r="U793" s="171">
        <v>40.44</v>
      </c>
      <c r="V793" s="171">
        <v>39</v>
      </c>
      <c r="W793" s="171">
        <v>38.99</v>
      </c>
      <c r="X793" s="171">
        <v>38.700000000000003</v>
      </c>
      <c r="Y793" s="171">
        <v>41.29</v>
      </c>
      <c r="Z793" s="171">
        <v>40</v>
      </c>
      <c r="AA793" s="171">
        <v>29.52</v>
      </c>
      <c r="AB793" s="171">
        <v>55.9</v>
      </c>
      <c r="AC793" s="171">
        <v>33.660000000000004</v>
      </c>
      <c r="AD793" s="171">
        <v>14.22</v>
      </c>
      <c r="AF793" s="171">
        <f t="shared" si="38"/>
        <v>2009</v>
      </c>
      <c r="AG793" s="171">
        <f t="shared" si="39"/>
        <v>16</v>
      </c>
      <c r="AH793" s="700">
        <f>SUMIF(D$3:$AA793,"&lt;="&amp;$AH$1)/COUNTIF(D$3:$AA793,"&lt;="&amp;$AH$1)</f>
        <v>29.289238391845917</v>
      </c>
    </row>
    <row r="794" spans="2:34" x14ac:dyDescent="0.25">
      <c r="B794" s="910">
        <v>39938</v>
      </c>
      <c r="C794" s="581">
        <f t="shared" si="37"/>
        <v>5</v>
      </c>
      <c r="D794" s="171">
        <v>15</v>
      </c>
      <c r="E794" s="171">
        <v>10.17</v>
      </c>
      <c r="F794" s="171">
        <v>9.99</v>
      </c>
      <c r="G794" s="171">
        <v>10.1</v>
      </c>
      <c r="H794" s="171">
        <v>10.19</v>
      </c>
      <c r="I794" s="171">
        <v>18.04</v>
      </c>
      <c r="J794" s="171">
        <v>31.6</v>
      </c>
      <c r="K794" s="171">
        <v>39.08</v>
      </c>
      <c r="L794" s="171">
        <v>54.33</v>
      </c>
      <c r="M794" s="171">
        <v>50.9</v>
      </c>
      <c r="N794" s="171">
        <v>49.54</v>
      </c>
      <c r="O794" s="171">
        <v>53.47</v>
      </c>
      <c r="P794" s="171">
        <v>49</v>
      </c>
      <c r="Q794" s="171">
        <v>47</v>
      </c>
      <c r="R794" s="171">
        <v>42.9</v>
      </c>
      <c r="S794" s="171">
        <v>41.95</v>
      </c>
      <c r="T794" s="171">
        <v>39.93</v>
      </c>
      <c r="U794" s="171">
        <v>38.04</v>
      </c>
      <c r="V794" s="171">
        <v>38.300000000000004</v>
      </c>
      <c r="W794" s="171">
        <v>38.07</v>
      </c>
      <c r="X794" s="171">
        <v>37</v>
      </c>
      <c r="Y794" s="171">
        <v>35.5</v>
      </c>
      <c r="Z794" s="171">
        <v>34.96</v>
      </c>
      <c r="AA794" s="171">
        <v>22.28</v>
      </c>
      <c r="AB794" s="171">
        <v>54.33</v>
      </c>
      <c r="AC794" s="171">
        <v>34.96</v>
      </c>
      <c r="AD794" s="171">
        <v>15.92</v>
      </c>
      <c r="AF794" s="171">
        <f t="shared" si="38"/>
        <v>2009</v>
      </c>
      <c r="AG794" s="171">
        <f t="shared" si="39"/>
        <v>17</v>
      </c>
      <c r="AH794" s="700">
        <f>SUMIF(D$3:$AA794,"&lt;="&amp;$AH$1)/COUNTIF(D$3:$AA794,"&lt;="&amp;$AH$1)</f>
        <v>29.28532410676452</v>
      </c>
    </row>
    <row r="795" spans="2:34" x14ac:dyDescent="0.25">
      <c r="B795" s="910">
        <v>39939</v>
      </c>
      <c r="C795" s="581">
        <f t="shared" si="37"/>
        <v>5</v>
      </c>
      <c r="D795" s="171">
        <v>8</v>
      </c>
      <c r="E795" s="171">
        <v>0.70000000000000007</v>
      </c>
      <c r="F795" s="171">
        <v>0.1</v>
      </c>
      <c r="G795" s="171">
        <v>0.1</v>
      </c>
      <c r="H795" s="171">
        <v>0.02</v>
      </c>
      <c r="I795" s="171">
        <v>7</v>
      </c>
      <c r="J795" s="171">
        <v>16</v>
      </c>
      <c r="K795" s="171">
        <v>29.96</v>
      </c>
      <c r="L795" s="171">
        <v>43.68</v>
      </c>
      <c r="M795" s="171">
        <v>43.17</v>
      </c>
      <c r="N795" s="171">
        <v>44.93</v>
      </c>
      <c r="O795" s="171">
        <v>47.67</v>
      </c>
      <c r="P795" s="171">
        <v>45.02</v>
      </c>
      <c r="Q795" s="171">
        <v>42.4</v>
      </c>
      <c r="R795" s="171">
        <v>40</v>
      </c>
      <c r="S795" s="171">
        <v>39.93</v>
      </c>
      <c r="T795" s="171">
        <v>39</v>
      </c>
      <c r="U795" s="171">
        <v>38.410000000000004</v>
      </c>
      <c r="V795" s="171">
        <v>38.83</v>
      </c>
      <c r="W795" s="171">
        <v>38.51</v>
      </c>
      <c r="X795" s="171">
        <v>37.15</v>
      </c>
      <c r="Y795" s="171">
        <v>39</v>
      </c>
      <c r="Z795" s="171">
        <v>37.14</v>
      </c>
      <c r="AA795" s="171">
        <v>27.3</v>
      </c>
      <c r="AB795" s="171">
        <v>47.67</v>
      </c>
      <c r="AC795" s="171">
        <v>29.96</v>
      </c>
      <c r="AD795" s="171">
        <v>7.4</v>
      </c>
      <c r="AF795" s="171">
        <f t="shared" si="38"/>
        <v>2009</v>
      </c>
      <c r="AG795" s="171">
        <f t="shared" si="39"/>
        <v>19</v>
      </c>
      <c r="AH795" s="700">
        <f>SUMIF(D$3:$AA795,"&lt;="&amp;$AH$1)/COUNTIF(D$3:$AA795,"&lt;="&amp;$AH$1)</f>
        <v>29.274497183098529</v>
      </c>
    </row>
    <row r="796" spans="2:34" x14ac:dyDescent="0.25">
      <c r="B796" s="910">
        <v>39940</v>
      </c>
      <c r="C796" s="581">
        <f t="shared" si="37"/>
        <v>5</v>
      </c>
      <c r="D796" s="171">
        <v>26</v>
      </c>
      <c r="E796" s="171">
        <v>24.69</v>
      </c>
      <c r="F796" s="171">
        <v>19.03</v>
      </c>
      <c r="G796" s="171">
        <v>12.63</v>
      </c>
      <c r="H796" s="171">
        <v>15.66</v>
      </c>
      <c r="I796" s="171">
        <v>26</v>
      </c>
      <c r="J796" s="171">
        <v>33.99</v>
      </c>
      <c r="K796" s="171">
        <v>41</v>
      </c>
      <c r="L796" s="171">
        <v>45</v>
      </c>
      <c r="M796" s="171">
        <v>48.6</v>
      </c>
      <c r="N796" s="171">
        <v>51</v>
      </c>
      <c r="O796" s="171">
        <v>54.75</v>
      </c>
      <c r="P796" s="171">
        <v>49.300000000000004</v>
      </c>
      <c r="Q796" s="171">
        <v>47</v>
      </c>
      <c r="R796" s="171">
        <v>44.93</v>
      </c>
      <c r="S796" s="171">
        <v>43</v>
      </c>
      <c r="T796" s="171">
        <v>41.22</v>
      </c>
      <c r="U796" s="171">
        <v>39.39</v>
      </c>
      <c r="V796" s="171">
        <v>39</v>
      </c>
      <c r="W796" s="171">
        <v>37.51</v>
      </c>
      <c r="X796" s="171">
        <v>37</v>
      </c>
      <c r="Y796" s="171">
        <v>40.4</v>
      </c>
      <c r="Z796" s="171">
        <v>38.86</v>
      </c>
      <c r="AA796" s="171">
        <v>33.480000000000004</v>
      </c>
      <c r="AB796" s="171">
        <v>54.75</v>
      </c>
      <c r="AC796" s="171">
        <v>37</v>
      </c>
      <c r="AD796" s="171">
        <v>23.93</v>
      </c>
      <c r="AF796" s="171">
        <f t="shared" si="38"/>
        <v>2009</v>
      </c>
      <c r="AG796" s="171">
        <f t="shared" si="39"/>
        <v>16</v>
      </c>
      <c r="AH796" s="700">
        <f>SUMIF(D$3:$AA796,"&lt;="&amp;$AH$1)/COUNTIF(D$3:$AA796,"&lt;="&amp;$AH$1)</f>
        <v>29.279762507026359</v>
      </c>
    </row>
    <row r="797" spans="2:34" x14ac:dyDescent="0.25">
      <c r="B797" s="910">
        <v>39941</v>
      </c>
      <c r="C797" s="581">
        <f t="shared" si="37"/>
        <v>5</v>
      </c>
      <c r="D797" s="171">
        <v>33.01</v>
      </c>
      <c r="E797" s="171">
        <v>30</v>
      </c>
      <c r="F797" s="171">
        <v>26.6</v>
      </c>
      <c r="G797" s="171">
        <v>20</v>
      </c>
      <c r="H797" s="171">
        <v>16.02</v>
      </c>
      <c r="I797" s="171">
        <v>19</v>
      </c>
      <c r="J797" s="171">
        <v>30.34</v>
      </c>
      <c r="K797" s="171">
        <v>36</v>
      </c>
      <c r="L797" s="171">
        <v>42.51</v>
      </c>
      <c r="M797" s="171">
        <v>43.300000000000004</v>
      </c>
      <c r="N797" s="171">
        <v>44.93</v>
      </c>
      <c r="O797" s="171">
        <v>44.5</v>
      </c>
      <c r="P797" s="171">
        <v>46.06</v>
      </c>
      <c r="Q797" s="171">
        <v>37.230000000000004</v>
      </c>
      <c r="R797" s="171">
        <v>34.410000000000004</v>
      </c>
      <c r="S797" s="171">
        <v>31.2</v>
      </c>
      <c r="T797" s="171">
        <v>30.8</v>
      </c>
      <c r="U797" s="171">
        <v>30.84</v>
      </c>
      <c r="V797" s="171">
        <v>31.740000000000002</v>
      </c>
      <c r="W797" s="171">
        <v>33</v>
      </c>
      <c r="X797" s="171">
        <v>35.300000000000004</v>
      </c>
      <c r="Y797" s="171">
        <v>36.76</v>
      </c>
      <c r="Z797" s="171">
        <v>37.520000000000003</v>
      </c>
      <c r="AA797" s="171">
        <v>36.450000000000003</v>
      </c>
      <c r="AB797" s="171">
        <v>46.06</v>
      </c>
      <c r="AC797" s="171">
        <v>30.8</v>
      </c>
      <c r="AD797" s="171">
        <v>26.43</v>
      </c>
      <c r="AF797" s="171">
        <f t="shared" si="38"/>
        <v>2009</v>
      </c>
      <c r="AG797" s="171">
        <f t="shared" si="39"/>
        <v>20</v>
      </c>
      <c r="AH797" s="700">
        <f>SUMIF(D$3:$AA797,"&lt;="&amp;$AH$1)/COUNTIF(D$3:$AA797,"&lt;="&amp;$AH$1)</f>
        <v>29.285807174887832</v>
      </c>
    </row>
    <row r="798" spans="2:34" x14ac:dyDescent="0.25">
      <c r="B798" s="910">
        <v>39944</v>
      </c>
      <c r="C798" s="581">
        <f t="shared" si="37"/>
        <v>5</v>
      </c>
      <c r="D798" s="171">
        <v>12.540000000000001</v>
      </c>
      <c r="E798" s="171">
        <v>0.3</v>
      </c>
      <c r="F798" s="171">
        <v>0.01</v>
      </c>
      <c r="G798" s="171">
        <v>0.01</v>
      </c>
      <c r="H798" s="171">
        <v>0.01</v>
      </c>
      <c r="I798" s="171">
        <v>9.18</v>
      </c>
      <c r="J798" s="171">
        <v>26.59</v>
      </c>
      <c r="K798" s="171">
        <v>36.660000000000004</v>
      </c>
      <c r="L798" s="171">
        <v>47.88</v>
      </c>
      <c r="M798" s="171">
        <v>44.93</v>
      </c>
      <c r="N798" s="171">
        <v>46.51</v>
      </c>
      <c r="O798" s="171">
        <v>48.04</v>
      </c>
      <c r="P798" s="171">
        <v>44.82</v>
      </c>
      <c r="Q798" s="171">
        <v>42.29</v>
      </c>
      <c r="R798" s="171">
        <v>39.93</v>
      </c>
      <c r="S798" s="171">
        <v>39.26</v>
      </c>
      <c r="T798" s="171">
        <v>35.090000000000003</v>
      </c>
      <c r="U798" s="171">
        <v>36</v>
      </c>
      <c r="V798" s="171">
        <v>33.6</v>
      </c>
      <c r="W798" s="171">
        <v>32.64</v>
      </c>
      <c r="X798" s="171">
        <v>37.99</v>
      </c>
      <c r="Y798" s="171">
        <v>40.79</v>
      </c>
      <c r="Z798" s="171">
        <v>37.1</v>
      </c>
      <c r="AA798" s="171">
        <v>29.84</v>
      </c>
      <c r="AB798" s="171">
        <v>48.04</v>
      </c>
      <c r="AC798" s="171">
        <v>32.64</v>
      </c>
      <c r="AD798" s="171">
        <v>9.81</v>
      </c>
      <c r="AF798" s="171">
        <f t="shared" si="38"/>
        <v>2009</v>
      </c>
      <c r="AG798" s="171">
        <f t="shared" si="39"/>
        <v>19</v>
      </c>
      <c r="AH798" s="700">
        <f>SUMIF(D$3:$AA798,"&lt;="&amp;$AH$1)/COUNTIF(D$3:$AA798,"&lt;="&amp;$AH$1)</f>
        <v>29.276498951781917</v>
      </c>
    </row>
    <row r="799" spans="2:34" x14ac:dyDescent="0.25">
      <c r="B799" s="910">
        <v>39945</v>
      </c>
      <c r="C799" s="581">
        <f t="shared" si="37"/>
        <v>5</v>
      </c>
      <c r="D799" s="171">
        <v>25.47</v>
      </c>
      <c r="E799" s="171">
        <v>19.96</v>
      </c>
      <c r="F799" s="171">
        <v>16</v>
      </c>
      <c r="G799" s="171">
        <v>12.46</v>
      </c>
      <c r="H799" s="171">
        <v>9.89</v>
      </c>
      <c r="I799" s="171">
        <v>27</v>
      </c>
      <c r="J799" s="171">
        <v>34.03</v>
      </c>
      <c r="K799" s="171">
        <v>41</v>
      </c>
      <c r="L799" s="171">
        <v>43.800000000000004</v>
      </c>
      <c r="M799" s="171">
        <v>44.93</v>
      </c>
      <c r="N799" s="171">
        <v>48</v>
      </c>
      <c r="O799" s="171">
        <v>50.71</v>
      </c>
      <c r="P799" s="171">
        <v>45.9</v>
      </c>
      <c r="Q799" s="171">
        <v>44.6</v>
      </c>
      <c r="R799" s="171">
        <v>40.619999999999997</v>
      </c>
      <c r="S799" s="171">
        <v>39</v>
      </c>
      <c r="T799" s="171">
        <v>37.5</v>
      </c>
      <c r="U799" s="171">
        <v>38</v>
      </c>
      <c r="V799" s="171">
        <v>37</v>
      </c>
      <c r="W799" s="171">
        <v>35</v>
      </c>
      <c r="X799" s="171">
        <v>38.06</v>
      </c>
      <c r="Y799" s="171">
        <v>39.85</v>
      </c>
      <c r="Z799" s="171">
        <v>37</v>
      </c>
      <c r="AA799" s="171">
        <v>31.7</v>
      </c>
      <c r="AB799" s="171">
        <v>50.71</v>
      </c>
      <c r="AC799" s="171">
        <v>35</v>
      </c>
      <c r="AD799" s="171">
        <v>22.06</v>
      </c>
      <c r="AF799" s="171">
        <f t="shared" si="38"/>
        <v>2009</v>
      </c>
      <c r="AG799" s="171">
        <f t="shared" si="39"/>
        <v>18</v>
      </c>
      <c r="AH799" s="700">
        <f>SUMIF(D$3:$AA799,"&lt;="&amp;$AH$1)/COUNTIF(D$3:$AA799,"&lt;="&amp;$AH$1)</f>
        <v>29.281038617036057</v>
      </c>
    </row>
    <row r="800" spans="2:34" x14ac:dyDescent="0.25">
      <c r="B800" s="910">
        <v>39946</v>
      </c>
      <c r="C800" s="581">
        <f t="shared" si="37"/>
        <v>5</v>
      </c>
      <c r="D800" s="171">
        <v>25.09</v>
      </c>
      <c r="E800" s="171">
        <v>18.75</v>
      </c>
      <c r="F800" s="171">
        <v>13.200000000000001</v>
      </c>
      <c r="G800" s="171">
        <v>9.4</v>
      </c>
      <c r="H800" s="171">
        <v>9.09</v>
      </c>
      <c r="I800" s="171">
        <v>24</v>
      </c>
      <c r="J800" s="171">
        <v>34</v>
      </c>
      <c r="K800" s="171">
        <v>39.480000000000004</v>
      </c>
      <c r="L800" s="171">
        <v>46</v>
      </c>
      <c r="M800" s="171">
        <v>47.1</v>
      </c>
      <c r="N800" s="171">
        <v>48.51</v>
      </c>
      <c r="O800" s="171">
        <v>50.120000000000005</v>
      </c>
      <c r="P800" s="171">
        <v>47</v>
      </c>
      <c r="Q800" s="171">
        <v>44</v>
      </c>
      <c r="R800" s="171">
        <v>41</v>
      </c>
      <c r="S800" s="171">
        <v>37.82</v>
      </c>
      <c r="T800" s="171">
        <v>37</v>
      </c>
      <c r="U800" s="171">
        <v>36.47</v>
      </c>
      <c r="V800" s="171">
        <v>34</v>
      </c>
      <c r="W800" s="171">
        <v>34</v>
      </c>
      <c r="X800" s="171">
        <v>36</v>
      </c>
      <c r="Y800" s="171">
        <v>37</v>
      </c>
      <c r="Z800" s="171">
        <v>36.5</v>
      </c>
      <c r="AA800" s="171">
        <v>30</v>
      </c>
      <c r="AB800" s="171">
        <v>50.120000000000005</v>
      </c>
      <c r="AC800" s="171">
        <v>34</v>
      </c>
      <c r="AD800" s="171">
        <v>20.440000000000001</v>
      </c>
      <c r="AF800" s="171">
        <f t="shared" si="38"/>
        <v>2009</v>
      </c>
      <c r="AG800" s="171">
        <f t="shared" si="39"/>
        <v>18</v>
      </c>
      <c r="AH800" s="700">
        <f>SUMIF(D$3:$AA800,"&lt;="&amp;$AH$1)/COUNTIF(D$3:$AA800,"&lt;="&amp;$AH$1)</f>
        <v>29.281837018495292</v>
      </c>
    </row>
    <row r="801" spans="2:34" x14ac:dyDescent="0.25">
      <c r="B801" s="910">
        <v>39947</v>
      </c>
      <c r="C801" s="581">
        <f t="shared" si="37"/>
        <v>5</v>
      </c>
      <c r="D801" s="171">
        <v>20.97</v>
      </c>
      <c r="E801" s="171">
        <v>16.490000000000002</v>
      </c>
      <c r="F801" s="171">
        <v>14</v>
      </c>
      <c r="G801" s="171">
        <v>9.1</v>
      </c>
      <c r="H801" s="171">
        <v>8.94</v>
      </c>
      <c r="I801" s="171">
        <v>18.14</v>
      </c>
      <c r="J801" s="171">
        <v>27.900000000000002</v>
      </c>
      <c r="K801" s="171">
        <v>37.75</v>
      </c>
      <c r="L801" s="171">
        <v>43.24</v>
      </c>
      <c r="M801" s="171">
        <v>45.300000000000004</v>
      </c>
      <c r="N801" s="171">
        <v>46.35</v>
      </c>
      <c r="O801" s="171">
        <v>49.36</v>
      </c>
      <c r="P801" s="171">
        <v>45.410000000000004</v>
      </c>
      <c r="Q801" s="171">
        <v>43.5</v>
      </c>
      <c r="R801" s="171">
        <v>41.28</v>
      </c>
      <c r="S801" s="171">
        <v>40</v>
      </c>
      <c r="T801" s="171">
        <v>37.5</v>
      </c>
      <c r="U801" s="171">
        <v>36.42</v>
      </c>
      <c r="V801" s="171">
        <v>37</v>
      </c>
      <c r="W801" s="171">
        <v>37</v>
      </c>
      <c r="X801" s="171">
        <v>34.980000000000004</v>
      </c>
      <c r="Y801" s="171">
        <v>37.300000000000004</v>
      </c>
      <c r="Z801" s="171">
        <v>35.81</v>
      </c>
      <c r="AA801" s="171">
        <v>30.09</v>
      </c>
      <c r="AB801" s="171">
        <v>49.36</v>
      </c>
      <c r="AC801" s="171">
        <v>34.980000000000004</v>
      </c>
      <c r="AD801" s="171">
        <v>18.2</v>
      </c>
      <c r="AF801" s="171">
        <f t="shared" si="38"/>
        <v>2009</v>
      </c>
      <c r="AG801" s="171">
        <f t="shared" si="39"/>
        <v>18</v>
      </c>
      <c r="AH801" s="700">
        <f>SUMIF(D$3:$AA801,"&lt;="&amp;$AH$1)/COUNTIF(D$3:$AA801,"&lt;="&amp;$AH$1)</f>
        <v>29.280948813982477</v>
      </c>
    </row>
    <row r="802" spans="2:34" x14ac:dyDescent="0.25">
      <c r="B802" s="910">
        <v>39948</v>
      </c>
      <c r="C802" s="581">
        <f t="shared" si="37"/>
        <v>5</v>
      </c>
      <c r="D802" s="171">
        <v>17.54</v>
      </c>
      <c r="E802" s="171">
        <v>11</v>
      </c>
      <c r="F802" s="171">
        <v>7.26</v>
      </c>
      <c r="G802" s="171">
        <v>4.25</v>
      </c>
      <c r="H802" s="171">
        <v>5.59</v>
      </c>
      <c r="I802" s="171">
        <v>12.6</v>
      </c>
      <c r="J802" s="171">
        <v>26.990000000000002</v>
      </c>
      <c r="K802" s="171">
        <v>37</v>
      </c>
      <c r="L802" s="171">
        <v>41.1</v>
      </c>
      <c r="M802" s="171">
        <v>43.2</v>
      </c>
      <c r="N802" s="171">
        <v>44.51</v>
      </c>
      <c r="O802" s="171">
        <v>47.95</v>
      </c>
      <c r="P802" s="171">
        <v>46</v>
      </c>
      <c r="Q802" s="171">
        <v>42.75</v>
      </c>
      <c r="R802" s="171">
        <v>39.230000000000004</v>
      </c>
      <c r="S802" s="171">
        <v>37.840000000000003</v>
      </c>
      <c r="T802" s="171">
        <v>35.410000000000004</v>
      </c>
      <c r="U802" s="171">
        <v>34.04</v>
      </c>
      <c r="V802" s="171">
        <v>34.96</v>
      </c>
      <c r="W802" s="171">
        <v>34.01</v>
      </c>
      <c r="X802" s="171">
        <v>33.35</v>
      </c>
      <c r="Y802" s="171">
        <v>35</v>
      </c>
      <c r="Z802" s="171">
        <v>37.21</v>
      </c>
      <c r="AA802" s="171">
        <v>33.770000000000003</v>
      </c>
      <c r="AB802" s="171">
        <v>47.95</v>
      </c>
      <c r="AC802" s="171">
        <v>33.35</v>
      </c>
      <c r="AD802" s="171">
        <v>14.88</v>
      </c>
      <c r="AF802" s="171">
        <f t="shared" si="38"/>
        <v>2009</v>
      </c>
      <c r="AG802" s="171">
        <f t="shared" si="39"/>
        <v>19</v>
      </c>
      <c r="AH802" s="700">
        <f>SUMIF(D$3:$AA802,"&lt;="&amp;$AH$1)/COUNTIF(D$3:$AA802,"&lt;="&amp;$AH$1)</f>
        <v>29.275665467625856</v>
      </c>
    </row>
    <row r="803" spans="2:34" x14ac:dyDescent="0.25">
      <c r="B803" s="910">
        <v>39951</v>
      </c>
      <c r="C803" s="581">
        <f t="shared" si="37"/>
        <v>5</v>
      </c>
      <c r="D803" s="171">
        <v>15.97</v>
      </c>
      <c r="E803" s="171">
        <v>9.09</v>
      </c>
      <c r="F803" s="171">
        <v>7.61</v>
      </c>
      <c r="G803" s="171">
        <v>2.99</v>
      </c>
      <c r="H803" s="171">
        <v>1.99</v>
      </c>
      <c r="I803" s="171">
        <v>10.1</v>
      </c>
      <c r="J803" s="171">
        <v>28.650000000000002</v>
      </c>
      <c r="K803" s="171">
        <v>38.93</v>
      </c>
      <c r="L803" s="171">
        <v>40.9</v>
      </c>
      <c r="M803" s="171">
        <v>44.800000000000004</v>
      </c>
      <c r="N803" s="171">
        <v>45.300000000000004</v>
      </c>
      <c r="O803" s="171">
        <v>47.5</v>
      </c>
      <c r="P803" s="171">
        <v>46.1</v>
      </c>
      <c r="Q803" s="171">
        <v>45.300000000000004</v>
      </c>
      <c r="R803" s="171">
        <v>40.6</v>
      </c>
      <c r="S803" s="171">
        <v>39.93</v>
      </c>
      <c r="T803" s="171">
        <v>37.4</v>
      </c>
      <c r="U803" s="171">
        <v>38.67</v>
      </c>
      <c r="V803" s="171">
        <v>36.1</v>
      </c>
      <c r="W803" s="171">
        <v>35.910000000000004</v>
      </c>
      <c r="X803" s="171">
        <v>36.49</v>
      </c>
      <c r="Y803" s="171">
        <v>39.43</v>
      </c>
      <c r="Z803" s="171">
        <v>38.69</v>
      </c>
      <c r="AA803" s="171">
        <v>33.99</v>
      </c>
      <c r="AB803" s="171">
        <v>47.5</v>
      </c>
      <c r="AC803" s="171">
        <v>35.910000000000004</v>
      </c>
      <c r="AD803" s="171">
        <v>13.8</v>
      </c>
      <c r="AF803" s="171">
        <f t="shared" si="38"/>
        <v>2009</v>
      </c>
      <c r="AG803" s="171">
        <f t="shared" si="39"/>
        <v>19</v>
      </c>
      <c r="AH803" s="700">
        <f>SUMIF(D$3:$AA803,"&lt;="&amp;$AH$1)/COUNTIF(D$3:$AA803,"&lt;="&amp;$AH$1)</f>
        <v>29.272519663308906</v>
      </c>
    </row>
    <row r="804" spans="2:34" x14ac:dyDescent="0.25">
      <c r="B804" s="910">
        <v>39952</v>
      </c>
      <c r="C804" s="581">
        <f t="shared" si="37"/>
        <v>5</v>
      </c>
      <c r="D804" s="171">
        <v>29.44</v>
      </c>
      <c r="E804" s="171">
        <v>23.96</v>
      </c>
      <c r="F804" s="171">
        <v>21.97</v>
      </c>
      <c r="G804" s="171">
        <v>17.03</v>
      </c>
      <c r="H804" s="171">
        <v>14.5</v>
      </c>
      <c r="I804" s="171">
        <v>25</v>
      </c>
      <c r="J804" s="171">
        <v>35.72</v>
      </c>
      <c r="K804" s="171">
        <v>43</v>
      </c>
      <c r="L804" s="171">
        <v>51.230000000000004</v>
      </c>
      <c r="M804" s="171">
        <v>53.300000000000004</v>
      </c>
      <c r="N804" s="171">
        <v>57.06</v>
      </c>
      <c r="O804" s="171">
        <v>58.69</v>
      </c>
      <c r="P804" s="171">
        <v>52.1</v>
      </c>
      <c r="Q804" s="171">
        <v>49.17</v>
      </c>
      <c r="R804" s="171">
        <v>46.26</v>
      </c>
      <c r="S804" s="171">
        <v>43</v>
      </c>
      <c r="T804" s="171">
        <v>41.85</v>
      </c>
      <c r="U804" s="171">
        <v>42</v>
      </c>
      <c r="V804" s="171">
        <v>40</v>
      </c>
      <c r="W804" s="171">
        <v>39.03</v>
      </c>
      <c r="X804" s="171">
        <v>39</v>
      </c>
      <c r="Y804" s="171">
        <v>39</v>
      </c>
      <c r="Z804" s="171">
        <v>38.68</v>
      </c>
      <c r="AA804" s="171">
        <v>33.65</v>
      </c>
      <c r="AB804" s="171">
        <v>58.69</v>
      </c>
      <c r="AC804" s="171">
        <v>38.68</v>
      </c>
      <c r="AD804" s="171">
        <v>25.16</v>
      </c>
      <c r="AF804" s="171">
        <f t="shared" si="38"/>
        <v>2009</v>
      </c>
      <c r="AG804" s="171">
        <f t="shared" si="39"/>
        <v>15</v>
      </c>
      <c r="AH804" s="700">
        <f>SUMIF(D$3:$AA804,"&lt;="&amp;$AH$1)/COUNTIF(D$3:$AA804,"&lt;="&amp;$AH$1)</f>
        <v>29.278267694849852</v>
      </c>
    </row>
    <row r="805" spans="2:34" x14ac:dyDescent="0.25">
      <c r="B805" s="910">
        <v>39953</v>
      </c>
      <c r="C805" s="581">
        <f t="shared" si="37"/>
        <v>5</v>
      </c>
      <c r="D805" s="171">
        <v>31</v>
      </c>
      <c r="E805" s="171">
        <v>28.82</v>
      </c>
      <c r="F805" s="171">
        <v>26</v>
      </c>
      <c r="G805" s="171">
        <v>20.3</v>
      </c>
      <c r="H805" s="171">
        <v>18.87</v>
      </c>
      <c r="I805" s="171">
        <v>28</v>
      </c>
      <c r="J805" s="171">
        <v>32.619999999999997</v>
      </c>
      <c r="K805" s="171">
        <v>39.93</v>
      </c>
      <c r="L805" s="171">
        <v>48</v>
      </c>
      <c r="M805" s="171">
        <v>50.01</v>
      </c>
      <c r="N805" s="171">
        <v>52.72</v>
      </c>
      <c r="O805" s="171">
        <v>56.72</v>
      </c>
      <c r="P805" s="171">
        <v>55.32</v>
      </c>
      <c r="Q805" s="171">
        <v>50.300000000000004</v>
      </c>
      <c r="R805" s="171">
        <v>44.47</v>
      </c>
      <c r="S805" s="171">
        <v>42</v>
      </c>
      <c r="T805" s="171">
        <v>38.590000000000003</v>
      </c>
      <c r="U805" s="171">
        <v>37.26</v>
      </c>
      <c r="V805" s="171">
        <v>37.590000000000003</v>
      </c>
      <c r="W805" s="171">
        <v>37</v>
      </c>
      <c r="X805" s="171">
        <v>36.74</v>
      </c>
      <c r="Y805" s="171">
        <v>36.28</v>
      </c>
      <c r="Z805" s="171">
        <v>39.410000000000004</v>
      </c>
      <c r="AA805" s="171">
        <v>35.31</v>
      </c>
      <c r="AB805" s="171">
        <v>56.72</v>
      </c>
      <c r="AC805" s="171">
        <v>36.28</v>
      </c>
      <c r="AD805" s="171">
        <v>27.61</v>
      </c>
      <c r="AF805" s="171">
        <f t="shared" si="38"/>
        <v>2009</v>
      </c>
      <c r="AG805" s="171">
        <f t="shared" si="39"/>
        <v>17</v>
      </c>
      <c r="AH805" s="700">
        <f>SUMIF(D$3:$AA805,"&lt;="&amp;$AH$1)/COUNTIF(D$3:$AA805,"&lt;="&amp;$AH$1)</f>
        <v>29.287608187937849</v>
      </c>
    </row>
    <row r="806" spans="2:34" x14ac:dyDescent="0.25">
      <c r="B806" s="910">
        <v>39954</v>
      </c>
      <c r="C806" s="581">
        <f t="shared" si="37"/>
        <v>5</v>
      </c>
      <c r="D806" s="171">
        <v>28.89</v>
      </c>
      <c r="E806" s="171">
        <v>26.02</v>
      </c>
      <c r="F806" s="171">
        <v>23.06</v>
      </c>
      <c r="G806" s="171">
        <v>18.850000000000001</v>
      </c>
      <c r="H806" s="171">
        <v>16.91</v>
      </c>
      <c r="I806" s="171">
        <v>13.01</v>
      </c>
      <c r="J806" s="171">
        <v>11.23</v>
      </c>
      <c r="K806" s="171">
        <v>14.200000000000001</v>
      </c>
      <c r="L806" s="171">
        <v>24.990000000000002</v>
      </c>
      <c r="M806" s="171">
        <v>30.44</v>
      </c>
      <c r="N806" s="171">
        <v>34.9</v>
      </c>
      <c r="O806" s="171">
        <v>37.520000000000003</v>
      </c>
      <c r="P806" s="171">
        <v>37</v>
      </c>
      <c r="Q806" s="171">
        <v>35.25</v>
      </c>
      <c r="R806" s="171">
        <v>30.77</v>
      </c>
      <c r="S806" s="171">
        <v>27.36</v>
      </c>
      <c r="T806" s="171">
        <v>25.990000000000002</v>
      </c>
      <c r="U806" s="171">
        <v>28.09</v>
      </c>
      <c r="V806" s="171">
        <v>32.89</v>
      </c>
      <c r="W806" s="171">
        <v>34.29</v>
      </c>
      <c r="X806" s="171">
        <v>33.69</v>
      </c>
      <c r="Y806" s="171">
        <v>37</v>
      </c>
      <c r="Z806" s="171">
        <v>38.619999999999997</v>
      </c>
      <c r="AA806" s="171">
        <v>32.869999999999997</v>
      </c>
      <c r="AB806" s="171">
        <v>38.619999999999997</v>
      </c>
      <c r="AC806" s="171">
        <v>14.200000000000001</v>
      </c>
      <c r="AD806" s="171">
        <v>27.61</v>
      </c>
      <c r="AF806" s="171">
        <f t="shared" si="38"/>
        <v>2009</v>
      </c>
      <c r="AG806" s="171">
        <f t="shared" si="39"/>
        <v>24</v>
      </c>
      <c r="AH806" s="700">
        <f>SUMIF(D$3:$AA806,"&lt;="&amp;$AH$1)/COUNTIF(D$3:$AA806,"&lt;="&amp;$AH$1)</f>
        <v>29.283628645761958</v>
      </c>
    </row>
    <row r="807" spans="2:34" x14ac:dyDescent="0.25">
      <c r="B807" s="910">
        <v>39955</v>
      </c>
      <c r="C807" s="581">
        <f t="shared" si="37"/>
        <v>5</v>
      </c>
      <c r="D807" s="171">
        <v>26</v>
      </c>
      <c r="E807" s="171">
        <v>20.350000000000001</v>
      </c>
      <c r="F807" s="171">
        <v>21.06</v>
      </c>
      <c r="G807" s="171">
        <v>10.120000000000001</v>
      </c>
      <c r="H807" s="171">
        <v>6.32</v>
      </c>
      <c r="I807" s="171">
        <v>5.71</v>
      </c>
      <c r="J807" s="171">
        <v>4.96</v>
      </c>
      <c r="K807" s="171">
        <v>10.17</v>
      </c>
      <c r="L807" s="171">
        <v>26</v>
      </c>
      <c r="M807" s="171">
        <v>30.09</v>
      </c>
      <c r="N807" s="171">
        <v>34.950000000000003</v>
      </c>
      <c r="O807" s="171">
        <v>37.9</v>
      </c>
      <c r="P807" s="171">
        <v>38.4</v>
      </c>
      <c r="Q807" s="171">
        <v>33.5</v>
      </c>
      <c r="R807" s="171">
        <v>29.07</v>
      </c>
      <c r="S807" s="171">
        <v>25.59</v>
      </c>
      <c r="T807" s="171">
        <v>22.59</v>
      </c>
      <c r="U807" s="171">
        <v>28</v>
      </c>
      <c r="V807" s="171">
        <v>31</v>
      </c>
      <c r="W807" s="171">
        <v>35</v>
      </c>
      <c r="X807" s="171">
        <v>35.910000000000004</v>
      </c>
      <c r="Y807" s="171">
        <v>37</v>
      </c>
      <c r="Z807" s="171">
        <v>40</v>
      </c>
      <c r="AA807" s="171">
        <v>34</v>
      </c>
      <c r="AB807" s="171">
        <v>40</v>
      </c>
      <c r="AC807" s="171">
        <v>10.17</v>
      </c>
      <c r="AD807" s="171">
        <v>15.450000000000001</v>
      </c>
      <c r="AF807" s="171">
        <f t="shared" si="38"/>
        <v>2009</v>
      </c>
      <c r="AG807" s="171">
        <f t="shared" si="39"/>
        <v>24</v>
      </c>
      <c r="AH807" s="700">
        <f>SUMIF(D$3:$AA807,"&lt;="&amp;$AH$1)/COUNTIF(D$3:$AA807,"&lt;="&amp;$AH$1)</f>
        <v>29.272830626450059</v>
      </c>
    </row>
    <row r="808" spans="2:34" x14ac:dyDescent="0.25">
      <c r="B808" s="910">
        <v>39958</v>
      </c>
      <c r="C808" s="581">
        <f t="shared" si="37"/>
        <v>5</v>
      </c>
      <c r="D808" s="171">
        <v>20.12</v>
      </c>
      <c r="E808" s="171">
        <v>14.200000000000001</v>
      </c>
      <c r="F808" s="171">
        <v>10.1</v>
      </c>
      <c r="G808" s="171">
        <v>6.5</v>
      </c>
      <c r="H808" s="171">
        <v>6.84</v>
      </c>
      <c r="I808" s="171">
        <v>14.370000000000001</v>
      </c>
      <c r="J808" s="171">
        <v>29</v>
      </c>
      <c r="K808" s="171">
        <v>44.660000000000004</v>
      </c>
      <c r="L808" s="171">
        <v>43.21</v>
      </c>
      <c r="M808" s="171">
        <v>46.67</v>
      </c>
      <c r="N808" s="171">
        <v>51.2</v>
      </c>
      <c r="O808" s="171">
        <v>56.04</v>
      </c>
      <c r="P808" s="171">
        <v>54.63</v>
      </c>
      <c r="Q808" s="171">
        <v>52</v>
      </c>
      <c r="R808" s="171">
        <v>52.5</v>
      </c>
      <c r="S808" s="171">
        <v>46.06</v>
      </c>
      <c r="T808" s="171">
        <v>42.050000000000004</v>
      </c>
      <c r="U808" s="171">
        <v>40.46</v>
      </c>
      <c r="V808" s="171">
        <v>41.44</v>
      </c>
      <c r="W808" s="171">
        <v>39.840000000000003</v>
      </c>
      <c r="X808" s="171">
        <v>39.29</v>
      </c>
      <c r="Y808" s="171">
        <v>39.520000000000003</v>
      </c>
      <c r="Z808" s="171">
        <v>41.5</v>
      </c>
      <c r="AA808" s="171">
        <v>37.03</v>
      </c>
      <c r="AB808" s="171">
        <v>56.04</v>
      </c>
      <c r="AC808" s="171">
        <v>39.29</v>
      </c>
      <c r="AD808" s="171">
        <v>17.27</v>
      </c>
      <c r="AF808" s="171">
        <f t="shared" si="38"/>
        <v>2009</v>
      </c>
      <c r="AG808" s="171">
        <f t="shared" si="39"/>
        <v>15</v>
      </c>
      <c r="AH808" s="700">
        <f>SUMIF(D$3:$AA808,"&lt;="&amp;$AH$1)/COUNTIF(D$3:$AA808,"&lt;="&amp;$AH$1)</f>
        <v>29.270538000544754</v>
      </c>
    </row>
    <row r="809" spans="2:34" x14ac:dyDescent="0.25">
      <c r="B809" s="910">
        <v>39959</v>
      </c>
      <c r="C809" s="581">
        <f t="shared" si="37"/>
        <v>5</v>
      </c>
      <c r="D809" s="171">
        <v>27.44</v>
      </c>
      <c r="E809" s="171">
        <v>22.94</v>
      </c>
      <c r="F809" s="171">
        <v>18</v>
      </c>
      <c r="G809" s="171">
        <v>14.74</v>
      </c>
      <c r="H809" s="171">
        <v>15</v>
      </c>
      <c r="I809" s="171">
        <v>20</v>
      </c>
      <c r="J809" s="171">
        <v>28</v>
      </c>
      <c r="K809" s="171">
        <v>38.54</v>
      </c>
      <c r="L809" s="171">
        <v>41.24</v>
      </c>
      <c r="M809" s="171">
        <v>43.65</v>
      </c>
      <c r="N809" s="171">
        <v>45.050000000000004</v>
      </c>
      <c r="O809" s="171">
        <v>47.21</v>
      </c>
      <c r="P809" s="171">
        <v>46</v>
      </c>
      <c r="Q809" s="171">
        <v>43.58</v>
      </c>
      <c r="R809" s="171">
        <v>40</v>
      </c>
      <c r="S809" s="171">
        <v>37.01</v>
      </c>
      <c r="T809" s="171">
        <v>36.03</v>
      </c>
      <c r="U809" s="171">
        <v>35.82</v>
      </c>
      <c r="V809" s="171">
        <v>35.090000000000003</v>
      </c>
      <c r="W809" s="171">
        <v>34.72</v>
      </c>
      <c r="X809" s="171">
        <v>32.5</v>
      </c>
      <c r="Y809" s="171">
        <v>29.92</v>
      </c>
      <c r="Z809" s="171">
        <v>34.21</v>
      </c>
      <c r="AA809" s="171">
        <v>29</v>
      </c>
      <c r="AB809" s="171">
        <v>47.21</v>
      </c>
      <c r="AC809" s="171">
        <v>29.92</v>
      </c>
      <c r="AD809" s="171">
        <v>21.89</v>
      </c>
      <c r="AF809" s="171">
        <f t="shared" si="38"/>
        <v>2009</v>
      </c>
      <c r="AG809" s="171">
        <f t="shared" si="39"/>
        <v>19</v>
      </c>
      <c r="AH809" s="700">
        <f>SUMIF(D$3:$AA809,"&lt;="&amp;$AH$1)/COUNTIF(D$3:$AA809,"&lt;="&amp;$AH$1)</f>
        <v>29.272448036951445</v>
      </c>
    </row>
    <row r="810" spans="2:34" x14ac:dyDescent="0.25">
      <c r="B810" s="910">
        <v>39960</v>
      </c>
      <c r="C810" s="581">
        <f t="shared" si="37"/>
        <v>5</v>
      </c>
      <c r="D810" s="171">
        <v>11.97</v>
      </c>
      <c r="E810" s="171">
        <v>9</v>
      </c>
      <c r="F810" s="171">
        <v>4.6399999999999997</v>
      </c>
      <c r="G810" s="171">
        <v>2</v>
      </c>
      <c r="H810" s="171">
        <v>1.81</v>
      </c>
      <c r="I810" s="171">
        <v>6.78</v>
      </c>
      <c r="J810" s="171">
        <v>23.06</v>
      </c>
      <c r="K810" s="171">
        <v>37.01</v>
      </c>
      <c r="L810" s="171">
        <v>42.09</v>
      </c>
      <c r="M810" s="171">
        <v>44</v>
      </c>
      <c r="N810" s="171">
        <v>44.96</v>
      </c>
      <c r="O810" s="171">
        <v>46.4</v>
      </c>
      <c r="P810" s="171">
        <v>43</v>
      </c>
      <c r="Q810" s="171">
        <v>41.35</v>
      </c>
      <c r="R810" s="171">
        <v>38.93</v>
      </c>
      <c r="S810" s="171">
        <v>37.1</v>
      </c>
      <c r="T810" s="171">
        <v>38.6</v>
      </c>
      <c r="U810" s="171">
        <v>37.1</v>
      </c>
      <c r="V810" s="171">
        <v>35.24</v>
      </c>
      <c r="W810" s="171">
        <v>34</v>
      </c>
      <c r="X810" s="171">
        <v>32.07</v>
      </c>
      <c r="Y810" s="171">
        <v>33.660000000000004</v>
      </c>
      <c r="Z810" s="171">
        <v>33.93</v>
      </c>
      <c r="AA810" s="171">
        <v>29.02</v>
      </c>
      <c r="AB810" s="171">
        <v>46.4</v>
      </c>
      <c r="AC810" s="171">
        <v>32.07</v>
      </c>
      <c r="AD810" s="171">
        <v>11.03</v>
      </c>
      <c r="AF810" s="171">
        <f t="shared" si="38"/>
        <v>2009</v>
      </c>
      <c r="AG810" s="171">
        <f t="shared" si="39"/>
        <v>20</v>
      </c>
      <c r="AH810" s="700">
        <f>SUMIF(D$3:$AA810,"&lt;="&amp;$AH$1)/COUNTIF(D$3:$AA810,"&lt;="&amp;$AH$1)</f>
        <v>29.264848936458421</v>
      </c>
    </row>
    <row r="811" spans="2:34" x14ac:dyDescent="0.25">
      <c r="B811" s="910">
        <v>39961</v>
      </c>
      <c r="C811" s="581">
        <f t="shared" si="37"/>
        <v>5</v>
      </c>
      <c r="D811" s="171">
        <v>17.88</v>
      </c>
      <c r="E811" s="171">
        <v>10</v>
      </c>
      <c r="F811" s="171">
        <v>3.3000000000000003</v>
      </c>
      <c r="G811" s="171">
        <v>1.8</v>
      </c>
      <c r="H811" s="171">
        <v>1</v>
      </c>
      <c r="I811" s="171">
        <v>14.96</v>
      </c>
      <c r="J811" s="171">
        <v>27</v>
      </c>
      <c r="K811" s="171">
        <v>39.93</v>
      </c>
      <c r="L811" s="171">
        <v>43.46</v>
      </c>
      <c r="M811" s="171">
        <v>43</v>
      </c>
      <c r="N811" s="171">
        <v>44.03</v>
      </c>
      <c r="O811" s="171">
        <v>46</v>
      </c>
      <c r="P811" s="171">
        <v>43.11</v>
      </c>
      <c r="Q811" s="171">
        <v>43</v>
      </c>
      <c r="R811" s="171">
        <v>41</v>
      </c>
      <c r="S811" s="171">
        <v>39.71</v>
      </c>
      <c r="T811" s="171">
        <v>37</v>
      </c>
      <c r="U811" s="171">
        <v>36.78</v>
      </c>
      <c r="V811" s="171">
        <v>36.04</v>
      </c>
      <c r="W811" s="171">
        <v>36.270000000000003</v>
      </c>
      <c r="X811" s="171">
        <v>36.340000000000003</v>
      </c>
      <c r="Y811" s="171">
        <v>37.050000000000004</v>
      </c>
      <c r="Z811" s="171">
        <v>37</v>
      </c>
      <c r="AA811" s="171">
        <v>33.01</v>
      </c>
      <c r="AB811" s="171">
        <v>46</v>
      </c>
      <c r="AC811" s="171">
        <v>36.04</v>
      </c>
      <c r="AD811" s="171">
        <v>13.620000000000001</v>
      </c>
      <c r="AF811" s="171">
        <f t="shared" si="38"/>
        <v>2009</v>
      </c>
      <c r="AG811" s="171">
        <f t="shared" si="39"/>
        <v>18</v>
      </c>
      <c r="AH811" s="700">
        <f>SUMIF(D$3:$AA811,"&lt;="&amp;$AH$1)/COUNTIF(D$3:$AA811,"&lt;="&amp;$AH$1)</f>
        <v>29.259348560616239</v>
      </c>
    </row>
    <row r="812" spans="2:34" x14ac:dyDescent="0.25">
      <c r="B812" s="910">
        <v>39962</v>
      </c>
      <c r="C812" s="581">
        <f t="shared" si="37"/>
        <v>5</v>
      </c>
      <c r="D812" s="171">
        <v>25.990000000000002</v>
      </c>
      <c r="E812" s="171">
        <v>19.940000000000001</v>
      </c>
      <c r="F812" s="171">
        <v>14.5</v>
      </c>
      <c r="G812" s="171">
        <v>6.44</v>
      </c>
      <c r="H812" s="171">
        <v>9.9600000000000009</v>
      </c>
      <c r="I812" s="171">
        <v>18.650000000000002</v>
      </c>
      <c r="J812" s="171">
        <v>30</v>
      </c>
      <c r="K812" s="171">
        <v>38.51</v>
      </c>
      <c r="L812" s="171">
        <v>44.32</v>
      </c>
      <c r="M812" s="171">
        <v>44</v>
      </c>
      <c r="N812" s="171">
        <v>47</v>
      </c>
      <c r="O812" s="171">
        <v>52</v>
      </c>
      <c r="P812" s="171">
        <v>49</v>
      </c>
      <c r="Q812" s="171">
        <v>45.04</v>
      </c>
      <c r="R812" s="171">
        <v>40</v>
      </c>
      <c r="S812" s="171">
        <v>37</v>
      </c>
      <c r="T812" s="171">
        <v>36.03</v>
      </c>
      <c r="U812" s="171">
        <v>36.6</v>
      </c>
      <c r="V812" s="171">
        <v>35</v>
      </c>
      <c r="W812" s="171">
        <v>34.15</v>
      </c>
      <c r="X812" s="171">
        <v>34.369999999999997</v>
      </c>
      <c r="Y812" s="171">
        <v>36.64</v>
      </c>
      <c r="Z812" s="171">
        <v>36.770000000000003</v>
      </c>
      <c r="AA812" s="171">
        <v>33</v>
      </c>
      <c r="AB812" s="171">
        <v>52</v>
      </c>
      <c r="AC812" s="171">
        <v>34.15</v>
      </c>
      <c r="AD812" s="171">
        <v>19.809999999999999</v>
      </c>
      <c r="AF812" s="171">
        <f t="shared" si="38"/>
        <v>2009</v>
      </c>
      <c r="AG812" s="171">
        <f t="shared" si="39"/>
        <v>18</v>
      </c>
      <c r="AH812" s="700">
        <f>SUMIF(D$3:$AA812,"&lt;="&amp;$AH$1)/COUNTIF(D$3:$AA812,"&lt;="&amp;$AH$1)</f>
        <v>29.258928138061147</v>
      </c>
    </row>
    <row r="813" spans="2:34" x14ac:dyDescent="0.25">
      <c r="B813" s="910">
        <v>39965</v>
      </c>
      <c r="C813" s="581">
        <f t="shared" si="37"/>
        <v>6</v>
      </c>
      <c r="D813" s="171">
        <v>30.85</v>
      </c>
      <c r="E813" s="171">
        <v>24.59</v>
      </c>
      <c r="F813" s="171">
        <v>7.66</v>
      </c>
      <c r="G813" s="171">
        <v>6.43</v>
      </c>
      <c r="H813" s="171">
        <v>2.54</v>
      </c>
      <c r="I813" s="171">
        <v>1</v>
      </c>
      <c r="J813" s="171">
        <v>9.3000000000000007</v>
      </c>
      <c r="K813" s="171">
        <v>18</v>
      </c>
      <c r="L813" s="171">
        <v>26.29</v>
      </c>
      <c r="M813" s="171">
        <v>31.6</v>
      </c>
      <c r="N813" s="171">
        <v>32.54</v>
      </c>
      <c r="O813" s="171">
        <v>33.700000000000003</v>
      </c>
      <c r="P813" s="171">
        <v>36.96</v>
      </c>
      <c r="Q813" s="171">
        <v>34.4</v>
      </c>
      <c r="R813" s="171">
        <v>28.5</v>
      </c>
      <c r="S813" s="171">
        <v>26.57</v>
      </c>
      <c r="T813" s="171">
        <v>26.39</v>
      </c>
      <c r="U813" s="171">
        <v>30</v>
      </c>
      <c r="V813" s="171">
        <v>31.01</v>
      </c>
      <c r="W813" s="171">
        <v>33</v>
      </c>
      <c r="X813" s="171">
        <v>31.51</v>
      </c>
      <c r="Y813" s="171">
        <v>33</v>
      </c>
      <c r="Z813" s="171">
        <v>42.87</v>
      </c>
      <c r="AA813" s="171">
        <v>31.02</v>
      </c>
      <c r="AB813" s="171">
        <v>42.87</v>
      </c>
      <c r="AC813" s="171">
        <v>18</v>
      </c>
      <c r="AD813" s="171">
        <v>19.809999999999999</v>
      </c>
      <c r="AF813" s="171">
        <f t="shared" si="38"/>
        <v>2009</v>
      </c>
      <c r="AG813" s="171">
        <f t="shared" si="39"/>
        <v>23</v>
      </c>
      <c r="AH813" s="700">
        <f>SUMIF(D$3:$AA813,"&lt;="&amp;$AH$1)/COUNTIF(D$3:$AA813,"&lt;="&amp;$AH$1)</f>
        <v>29.244668010752633</v>
      </c>
    </row>
    <row r="814" spans="2:34" x14ac:dyDescent="0.25">
      <c r="B814" s="910">
        <v>39966</v>
      </c>
      <c r="C814" s="581">
        <f t="shared" si="37"/>
        <v>6</v>
      </c>
      <c r="D814" s="171">
        <v>16.68</v>
      </c>
      <c r="E814" s="171">
        <v>5.42</v>
      </c>
      <c r="F814" s="171">
        <v>1.71</v>
      </c>
      <c r="G814" s="171">
        <v>0.12</v>
      </c>
      <c r="H814" s="171">
        <v>0.61</v>
      </c>
      <c r="I814" s="171">
        <v>1.87</v>
      </c>
      <c r="J814" s="171">
        <v>26.03</v>
      </c>
      <c r="K814" s="171">
        <v>36.36</v>
      </c>
      <c r="L814" s="171">
        <v>38.4</v>
      </c>
      <c r="M814" s="171">
        <v>42.1</v>
      </c>
      <c r="N814" s="171">
        <v>48.28</v>
      </c>
      <c r="O814" s="171">
        <v>51</v>
      </c>
      <c r="P814" s="171">
        <v>48.15</v>
      </c>
      <c r="Q814" s="171">
        <v>43.18</v>
      </c>
      <c r="R814" s="171">
        <v>40.08</v>
      </c>
      <c r="S814" s="171">
        <v>38.300000000000004</v>
      </c>
      <c r="T814" s="171">
        <v>36.82</v>
      </c>
      <c r="U814" s="171">
        <v>34.700000000000003</v>
      </c>
      <c r="V814" s="171">
        <v>36</v>
      </c>
      <c r="W814" s="171">
        <v>32.910000000000004</v>
      </c>
      <c r="X814" s="171">
        <v>34.18</v>
      </c>
      <c r="Y814" s="171">
        <v>32.03</v>
      </c>
      <c r="Z814" s="171">
        <v>36.36</v>
      </c>
      <c r="AA814" s="171">
        <v>29.18</v>
      </c>
      <c r="AB814" s="171">
        <v>51</v>
      </c>
      <c r="AC814" s="171">
        <v>32.03</v>
      </c>
      <c r="AD814" s="171">
        <v>10.200000000000001</v>
      </c>
      <c r="AF814" s="171">
        <f t="shared" si="38"/>
        <v>2009</v>
      </c>
      <c r="AG814" s="171">
        <f t="shared" si="39"/>
        <v>20</v>
      </c>
      <c r="AH814" s="700">
        <f>SUMIF(D$3:$AA814,"&lt;="&amp;$AH$1)/COUNTIF(D$3:$AA814,"&lt;="&amp;$AH$1)</f>
        <v>29.235950402144706</v>
      </c>
    </row>
    <row r="815" spans="2:34" x14ac:dyDescent="0.25">
      <c r="B815" s="910">
        <v>39967</v>
      </c>
      <c r="C815" s="581">
        <f t="shared" si="37"/>
        <v>6</v>
      </c>
      <c r="D815" s="171">
        <v>15.52</v>
      </c>
      <c r="E815" s="171">
        <v>9.09</v>
      </c>
      <c r="F815" s="171">
        <v>5.99</v>
      </c>
      <c r="G815" s="171">
        <v>1.1100000000000001</v>
      </c>
      <c r="H815" s="171">
        <v>0.73</v>
      </c>
      <c r="I815" s="171">
        <v>5.76</v>
      </c>
      <c r="J815" s="171">
        <v>27.67</v>
      </c>
      <c r="K815" s="171">
        <v>38.35</v>
      </c>
      <c r="L815" s="171">
        <v>40</v>
      </c>
      <c r="M815" s="171">
        <v>42.57</v>
      </c>
      <c r="N815" s="171">
        <v>45</v>
      </c>
      <c r="O815" s="171">
        <v>48.42</v>
      </c>
      <c r="P815" s="171">
        <v>44.18</v>
      </c>
      <c r="Q815" s="171">
        <v>43</v>
      </c>
      <c r="R815" s="171">
        <v>40.1</v>
      </c>
      <c r="S815" s="171">
        <v>39.24</v>
      </c>
      <c r="T815" s="171">
        <v>37.17</v>
      </c>
      <c r="U815" s="171">
        <v>36.96</v>
      </c>
      <c r="V815" s="171">
        <v>36.9</v>
      </c>
      <c r="W815" s="171">
        <v>36.14</v>
      </c>
      <c r="X815" s="171">
        <v>34.85</v>
      </c>
      <c r="Y815" s="171">
        <v>34.340000000000003</v>
      </c>
      <c r="Z815" s="171">
        <v>36.619999999999997</v>
      </c>
      <c r="AA815" s="171">
        <v>31.04</v>
      </c>
      <c r="AB815" s="171">
        <v>48.42</v>
      </c>
      <c r="AC815" s="171">
        <v>34.340000000000003</v>
      </c>
      <c r="AD815" s="171">
        <v>12.11</v>
      </c>
      <c r="AF815" s="171">
        <f t="shared" si="38"/>
        <v>2009</v>
      </c>
      <c r="AG815" s="171">
        <f t="shared" si="39"/>
        <v>19</v>
      </c>
      <c r="AH815" s="700">
        <f>SUMIF(D$3:$AA815,"&lt;="&amp;$AH$1)/COUNTIF(D$3:$AA815,"&lt;="&amp;$AH$1)</f>
        <v>29.229545393769158</v>
      </c>
    </row>
    <row r="816" spans="2:34" x14ac:dyDescent="0.25">
      <c r="B816" s="910">
        <v>39968</v>
      </c>
      <c r="C816" s="581">
        <f t="shared" si="37"/>
        <v>6</v>
      </c>
      <c r="D816" s="171">
        <v>29.98</v>
      </c>
      <c r="E816" s="171">
        <v>20</v>
      </c>
      <c r="F816" s="171">
        <v>15</v>
      </c>
      <c r="G816" s="171">
        <v>13</v>
      </c>
      <c r="H816" s="171">
        <v>10.130000000000001</v>
      </c>
      <c r="I816" s="171">
        <v>20</v>
      </c>
      <c r="J816" s="171">
        <v>34</v>
      </c>
      <c r="K816" s="171">
        <v>45.2</v>
      </c>
      <c r="L816" s="171">
        <v>44.93</v>
      </c>
      <c r="M816" s="171">
        <v>46.980000000000004</v>
      </c>
      <c r="N816" s="171">
        <v>50.86</v>
      </c>
      <c r="O816" s="171">
        <v>54.09</v>
      </c>
      <c r="P816" s="171">
        <v>50.050000000000004</v>
      </c>
      <c r="Q816" s="171">
        <v>49.02</v>
      </c>
      <c r="R816" s="171">
        <v>48.870000000000005</v>
      </c>
      <c r="S816" s="171">
        <v>44.99</v>
      </c>
      <c r="T816" s="171">
        <v>41.21</v>
      </c>
      <c r="U816" s="171">
        <v>40</v>
      </c>
      <c r="V816" s="171">
        <v>40.300000000000004</v>
      </c>
      <c r="W816" s="171">
        <v>38</v>
      </c>
      <c r="X816" s="171">
        <v>37.450000000000003</v>
      </c>
      <c r="Y816" s="171">
        <v>36.99</v>
      </c>
      <c r="Z816" s="171">
        <v>41.31</v>
      </c>
      <c r="AA816" s="171">
        <v>34.79</v>
      </c>
      <c r="AB816" s="171">
        <v>54.09</v>
      </c>
      <c r="AC816" s="171">
        <v>36.99</v>
      </c>
      <c r="AD816" s="171">
        <v>22.11</v>
      </c>
      <c r="AF816" s="171">
        <f t="shared" si="38"/>
        <v>2009</v>
      </c>
      <c r="AG816" s="171">
        <f t="shared" si="39"/>
        <v>15</v>
      </c>
      <c r="AH816" s="700">
        <f>SUMIF(D$3:$AA816,"&lt;="&amp;$AH$1)/COUNTIF(D$3:$AA816,"&lt;="&amp;$AH$1)</f>
        <v>29.231375767280429</v>
      </c>
    </row>
    <row r="817" spans="2:34" x14ac:dyDescent="0.25">
      <c r="B817" s="910">
        <v>39969</v>
      </c>
      <c r="C817" s="581">
        <f t="shared" si="37"/>
        <v>6</v>
      </c>
      <c r="D817" s="171">
        <v>30.810000000000002</v>
      </c>
      <c r="E817" s="171">
        <v>26.990000000000002</v>
      </c>
      <c r="F817" s="171">
        <v>23.28</v>
      </c>
      <c r="G817" s="171">
        <v>18.990000000000002</v>
      </c>
      <c r="H817" s="171">
        <v>20</v>
      </c>
      <c r="I817" s="171">
        <v>24.6</v>
      </c>
      <c r="J817" s="171">
        <v>35</v>
      </c>
      <c r="K817" s="171">
        <v>42.77</v>
      </c>
      <c r="L817" s="171">
        <v>44.44</v>
      </c>
      <c r="M817" s="171">
        <v>46.26</v>
      </c>
      <c r="N817" s="171">
        <v>48.88</v>
      </c>
      <c r="O817" s="171">
        <v>52.65</v>
      </c>
      <c r="P817" s="171">
        <v>49.300000000000004</v>
      </c>
      <c r="Q817" s="171">
        <v>47.22</v>
      </c>
      <c r="R817" s="171">
        <v>45.38</v>
      </c>
      <c r="S817" s="171">
        <v>43.67</v>
      </c>
      <c r="T817" s="171">
        <v>39.910000000000004</v>
      </c>
      <c r="U817" s="171">
        <v>38</v>
      </c>
      <c r="V817" s="171">
        <v>38.31</v>
      </c>
      <c r="W817" s="171">
        <v>37</v>
      </c>
      <c r="X817" s="171">
        <v>37.51</v>
      </c>
      <c r="Y817" s="171">
        <v>37.660000000000004</v>
      </c>
      <c r="Z817" s="171">
        <v>41</v>
      </c>
      <c r="AA817" s="171">
        <v>34.49</v>
      </c>
      <c r="AB817" s="171">
        <v>52.65</v>
      </c>
      <c r="AC817" s="171">
        <v>37</v>
      </c>
      <c r="AD817" s="171">
        <v>26.77</v>
      </c>
      <c r="AF817" s="171">
        <f t="shared" si="38"/>
        <v>2009</v>
      </c>
      <c r="AG817" s="171">
        <f t="shared" si="39"/>
        <v>15</v>
      </c>
      <c r="AH817" s="700">
        <f>SUMIF(D$3:$AA817,"&lt;="&amp;$AH$1)/COUNTIF(D$3:$AA817,"&lt;="&amp;$AH$1)</f>
        <v>29.237379145025905</v>
      </c>
    </row>
    <row r="818" spans="2:34" x14ac:dyDescent="0.25">
      <c r="B818" s="910">
        <v>39972</v>
      </c>
      <c r="C818" s="581">
        <f t="shared" si="37"/>
        <v>6</v>
      </c>
      <c r="D818" s="171">
        <v>34</v>
      </c>
      <c r="E818" s="171">
        <v>27</v>
      </c>
      <c r="F818" s="171">
        <v>21</v>
      </c>
      <c r="G818" s="171">
        <v>18.36</v>
      </c>
      <c r="H818" s="171">
        <v>15.3</v>
      </c>
      <c r="I818" s="171">
        <v>21</v>
      </c>
      <c r="J818" s="171">
        <v>33.1</v>
      </c>
      <c r="K818" s="171">
        <v>46.410000000000004</v>
      </c>
      <c r="L818" s="171">
        <v>45.4</v>
      </c>
      <c r="M818" s="171">
        <v>47.1</v>
      </c>
      <c r="N818" s="171">
        <v>52.89</v>
      </c>
      <c r="O818" s="171">
        <v>56.95</v>
      </c>
      <c r="P818" s="171">
        <v>52.9</v>
      </c>
      <c r="Q818" s="171">
        <v>51.09</v>
      </c>
      <c r="R818" s="171">
        <v>48.870000000000005</v>
      </c>
      <c r="S818" s="171">
        <v>47.08</v>
      </c>
      <c r="T818" s="171">
        <v>44.53</v>
      </c>
      <c r="U818" s="171">
        <v>41.83</v>
      </c>
      <c r="V818" s="171">
        <v>41.9</v>
      </c>
      <c r="W818" s="171">
        <v>41</v>
      </c>
      <c r="X818" s="171">
        <v>43.410000000000004</v>
      </c>
      <c r="Y818" s="171">
        <v>40.82</v>
      </c>
      <c r="Z818" s="171">
        <v>45</v>
      </c>
      <c r="AA818" s="171">
        <v>39.450000000000003</v>
      </c>
      <c r="AB818" s="171">
        <v>56.95</v>
      </c>
      <c r="AC818" s="171">
        <v>40.82</v>
      </c>
      <c r="AD818" s="171">
        <v>26.150000000000002</v>
      </c>
      <c r="AF818" s="171">
        <f t="shared" si="38"/>
        <v>2009</v>
      </c>
      <c r="AG818" s="171">
        <f t="shared" si="39"/>
        <v>12</v>
      </c>
      <c r="AH818" s="700">
        <f>SUMIF(D$3:$AA818,"&lt;="&amp;$AH$1)/COUNTIF(D$3:$AA818,"&lt;="&amp;$AH$1)</f>
        <v>29.240558436378073</v>
      </c>
    </row>
    <row r="819" spans="2:34" x14ac:dyDescent="0.25">
      <c r="B819" s="910">
        <v>39973</v>
      </c>
      <c r="C819" s="581">
        <f t="shared" si="37"/>
        <v>6</v>
      </c>
      <c r="D819" s="171">
        <v>32.9</v>
      </c>
      <c r="E819" s="171">
        <v>27.650000000000002</v>
      </c>
      <c r="F819" s="171">
        <v>24.12</v>
      </c>
      <c r="G819" s="171">
        <v>21.48</v>
      </c>
      <c r="H819" s="171">
        <v>22.79</v>
      </c>
      <c r="I819" s="171">
        <v>26.88</v>
      </c>
      <c r="J819" s="171">
        <v>34.369999999999997</v>
      </c>
      <c r="K819" s="171">
        <v>43.74</v>
      </c>
      <c r="L819" s="171">
        <v>46.910000000000004</v>
      </c>
      <c r="M819" s="171">
        <v>52</v>
      </c>
      <c r="N819" s="171">
        <v>57.94</v>
      </c>
      <c r="O819" s="171">
        <v>59.79</v>
      </c>
      <c r="P819" s="171">
        <v>55.29</v>
      </c>
      <c r="Q819" s="171">
        <v>53.95</v>
      </c>
      <c r="R819" s="171">
        <v>52</v>
      </c>
      <c r="S819" s="171">
        <v>49.01</v>
      </c>
      <c r="T819" s="171">
        <v>43.37</v>
      </c>
      <c r="U819" s="171">
        <v>42</v>
      </c>
      <c r="V819" s="171">
        <v>42.06</v>
      </c>
      <c r="W819" s="171">
        <v>40</v>
      </c>
      <c r="X819" s="171">
        <v>41.28</v>
      </c>
      <c r="Y819" s="171">
        <v>39.99</v>
      </c>
      <c r="Z819" s="171">
        <v>42</v>
      </c>
      <c r="AA819" s="171">
        <v>37</v>
      </c>
      <c r="AB819" s="171">
        <v>59.79</v>
      </c>
      <c r="AC819" s="171">
        <v>39.99</v>
      </c>
      <c r="AD819" s="171">
        <v>28.400000000000002</v>
      </c>
      <c r="AF819" s="171">
        <f t="shared" si="38"/>
        <v>2009</v>
      </c>
      <c r="AG819" s="171">
        <f t="shared" si="39"/>
        <v>14</v>
      </c>
      <c r="AH819" s="700">
        <f>SUMIF(D$3:$AA819,"&lt;="&amp;$AH$1)/COUNTIF(D$3:$AA819,"&lt;="&amp;$AH$1)</f>
        <v>29.249205043131983</v>
      </c>
    </row>
    <row r="820" spans="2:34" x14ac:dyDescent="0.25">
      <c r="B820" s="910">
        <v>39974</v>
      </c>
      <c r="C820" s="581">
        <f t="shared" si="37"/>
        <v>6</v>
      </c>
      <c r="D820" s="171">
        <v>27</v>
      </c>
      <c r="E820" s="171">
        <v>24.42</v>
      </c>
      <c r="F820" s="171">
        <v>23.06</v>
      </c>
      <c r="G820" s="171">
        <v>22.87</v>
      </c>
      <c r="H820" s="171">
        <v>17.91</v>
      </c>
      <c r="I820" s="171">
        <v>22.990000000000002</v>
      </c>
      <c r="J820" s="171">
        <v>30.64</v>
      </c>
      <c r="K820" s="171">
        <v>38.6</v>
      </c>
      <c r="L820" s="171">
        <v>41.88</v>
      </c>
      <c r="M820" s="171">
        <v>46</v>
      </c>
      <c r="N820" s="171">
        <v>52</v>
      </c>
      <c r="O820" s="171">
        <v>54</v>
      </c>
      <c r="P820" s="171">
        <v>50</v>
      </c>
      <c r="Q820" s="171">
        <v>50.1</v>
      </c>
      <c r="R820" s="171">
        <v>47.800000000000004</v>
      </c>
      <c r="S820" s="171">
        <v>44</v>
      </c>
      <c r="T820" s="171">
        <v>41.7</v>
      </c>
      <c r="U820" s="171">
        <v>40.99</v>
      </c>
      <c r="V820" s="171">
        <v>39.910000000000004</v>
      </c>
      <c r="W820" s="171">
        <v>38.61</v>
      </c>
      <c r="X820" s="171">
        <v>38.230000000000004</v>
      </c>
      <c r="Y820" s="171">
        <v>36.43</v>
      </c>
      <c r="Z820" s="171">
        <v>38.06</v>
      </c>
      <c r="AA820" s="171">
        <v>35</v>
      </c>
      <c r="AB820" s="171">
        <v>54</v>
      </c>
      <c r="AC820" s="171">
        <v>36.43</v>
      </c>
      <c r="AD820" s="171">
        <v>25.490000000000002</v>
      </c>
      <c r="AF820" s="171">
        <f t="shared" si="38"/>
        <v>2009</v>
      </c>
      <c r="AG820" s="171">
        <f t="shared" si="39"/>
        <v>17</v>
      </c>
      <c r="AH820" s="700">
        <f>SUMIF(D$3:$AA820,"&lt;="&amp;$AH$1)/COUNTIF(D$3:$AA820,"&lt;="&amp;$AH$1)</f>
        <v>29.257290783898238</v>
      </c>
    </row>
    <row r="821" spans="2:34" x14ac:dyDescent="0.25">
      <c r="B821" s="910">
        <v>39975</v>
      </c>
      <c r="C821" s="581">
        <f t="shared" si="37"/>
        <v>6</v>
      </c>
      <c r="D821" s="171">
        <v>30.3</v>
      </c>
      <c r="E821" s="171">
        <v>24.38</v>
      </c>
      <c r="F821" s="171">
        <v>22</v>
      </c>
      <c r="G821" s="171">
        <v>18.75</v>
      </c>
      <c r="H821" s="171">
        <v>16.72</v>
      </c>
      <c r="I821" s="171">
        <v>20.240000000000002</v>
      </c>
      <c r="J821" s="171">
        <v>27.11</v>
      </c>
      <c r="K821" s="171">
        <v>35</v>
      </c>
      <c r="L821" s="171">
        <v>39.75</v>
      </c>
      <c r="M821" s="171">
        <v>40.700000000000003</v>
      </c>
      <c r="N821" s="171">
        <v>44</v>
      </c>
      <c r="O821" s="171">
        <v>47.5</v>
      </c>
      <c r="P821" s="171">
        <v>44.1</v>
      </c>
      <c r="Q821" s="171">
        <v>42.300000000000004</v>
      </c>
      <c r="R821" s="171">
        <v>39.85</v>
      </c>
      <c r="S821" s="171">
        <v>38.450000000000003</v>
      </c>
      <c r="T821" s="171">
        <v>37</v>
      </c>
      <c r="U821" s="171">
        <v>39.93</v>
      </c>
      <c r="V821" s="171">
        <v>38</v>
      </c>
      <c r="W821" s="171">
        <v>37.28</v>
      </c>
      <c r="X821" s="171">
        <v>38.160000000000004</v>
      </c>
      <c r="Y821" s="171">
        <v>36.19</v>
      </c>
      <c r="Z821" s="171">
        <v>38.03</v>
      </c>
      <c r="AA821" s="171">
        <v>36</v>
      </c>
      <c r="AB821" s="171">
        <v>47.5</v>
      </c>
      <c r="AC821" s="171">
        <v>35</v>
      </c>
      <c r="AD821" s="171">
        <v>24.44</v>
      </c>
      <c r="AF821" s="171">
        <f t="shared" si="38"/>
        <v>2009</v>
      </c>
      <c r="AG821" s="171">
        <f t="shared" si="39"/>
        <v>21</v>
      </c>
      <c r="AH821" s="700">
        <f>SUMIF(D$3:$AA821,"&lt;="&amp;$AH$1)/COUNTIF(D$3:$AA821,"&lt;="&amp;$AH$1)</f>
        <v>29.268083982569589</v>
      </c>
    </row>
    <row r="822" spans="2:34" x14ac:dyDescent="0.25">
      <c r="B822" s="910">
        <v>39976</v>
      </c>
      <c r="C822" s="581">
        <f t="shared" si="37"/>
        <v>6</v>
      </c>
      <c r="D822" s="171">
        <v>26.5</v>
      </c>
      <c r="E822" s="171">
        <v>25.76</v>
      </c>
      <c r="F822" s="171">
        <v>20.71</v>
      </c>
      <c r="G822" s="171">
        <v>11.68</v>
      </c>
      <c r="H822" s="171">
        <v>10.01</v>
      </c>
      <c r="I822" s="171">
        <v>13.48</v>
      </c>
      <c r="J822" s="171">
        <v>28.22</v>
      </c>
      <c r="K822" s="171">
        <v>35</v>
      </c>
      <c r="L822" s="171">
        <v>37.31</v>
      </c>
      <c r="M822" s="171">
        <v>38.18</v>
      </c>
      <c r="N822" s="171">
        <v>38.5</v>
      </c>
      <c r="O822" s="171">
        <v>40</v>
      </c>
      <c r="P822" s="171">
        <v>37.71</v>
      </c>
      <c r="Q822" s="171">
        <v>36.25</v>
      </c>
      <c r="R822" s="171">
        <v>36</v>
      </c>
      <c r="S822" s="171">
        <v>35</v>
      </c>
      <c r="T822" s="171">
        <v>36.69</v>
      </c>
      <c r="U822" s="171">
        <v>35</v>
      </c>
      <c r="V822" s="171">
        <v>35</v>
      </c>
      <c r="W822" s="171">
        <v>34</v>
      </c>
      <c r="X822" s="171">
        <v>33.89</v>
      </c>
      <c r="Y822" s="171">
        <v>32.85</v>
      </c>
      <c r="Z822" s="171">
        <v>37.49</v>
      </c>
      <c r="AA822" s="171">
        <v>36.39</v>
      </c>
      <c r="AB822" s="171">
        <v>40</v>
      </c>
      <c r="AC822" s="171">
        <v>32.85</v>
      </c>
      <c r="AD822" s="171">
        <v>21.59</v>
      </c>
      <c r="AF822" s="171">
        <f t="shared" si="38"/>
        <v>2009</v>
      </c>
      <c r="AG822" s="171">
        <f t="shared" si="39"/>
        <v>24</v>
      </c>
      <c r="AH822" s="700">
        <f>SUMIF(D$3:$AA822,"&lt;="&amp;$AH$1)/COUNTIF(D$3:$AA822,"&lt;="&amp;$AH$1)</f>
        <v>29.274558378307162</v>
      </c>
    </row>
    <row r="823" spans="2:34" x14ac:dyDescent="0.25">
      <c r="B823" s="910">
        <v>39979</v>
      </c>
      <c r="C823" s="581">
        <f t="shared" si="37"/>
        <v>6</v>
      </c>
      <c r="D823" s="171">
        <v>23.07</v>
      </c>
      <c r="E823" s="171">
        <v>20</v>
      </c>
      <c r="F823" s="171">
        <v>20.080000000000002</v>
      </c>
      <c r="G823" s="171">
        <v>15.15</v>
      </c>
      <c r="H823" s="171">
        <v>15.950000000000001</v>
      </c>
      <c r="I823" s="171">
        <v>19.440000000000001</v>
      </c>
      <c r="J823" s="171">
        <v>29.060000000000002</v>
      </c>
      <c r="K823" s="171">
        <v>41.43</v>
      </c>
      <c r="L823" s="171">
        <v>47.11</v>
      </c>
      <c r="M823" s="171">
        <v>48.63</v>
      </c>
      <c r="N823" s="171">
        <v>53.68</v>
      </c>
      <c r="O823" s="171">
        <v>57.85</v>
      </c>
      <c r="P823" s="171">
        <v>53.4</v>
      </c>
      <c r="Q823" s="171">
        <v>52.660000000000004</v>
      </c>
      <c r="R823" s="171">
        <v>48.5</v>
      </c>
      <c r="S823" s="171">
        <v>46.63</v>
      </c>
      <c r="T823" s="171">
        <v>44.300000000000004</v>
      </c>
      <c r="U823" s="171">
        <v>43.99</v>
      </c>
      <c r="V823" s="171">
        <v>42</v>
      </c>
      <c r="W823" s="171">
        <v>40</v>
      </c>
      <c r="X823" s="171">
        <v>36.85</v>
      </c>
      <c r="Y823" s="171">
        <v>35.050000000000004</v>
      </c>
      <c r="Z823" s="171">
        <v>41.5</v>
      </c>
      <c r="AA823" s="171">
        <v>38.14</v>
      </c>
      <c r="AB823" s="171">
        <v>57.85</v>
      </c>
      <c r="AC823" s="171">
        <v>35.050000000000004</v>
      </c>
      <c r="AD823" s="171">
        <v>22.61</v>
      </c>
      <c r="AF823" s="171">
        <f t="shared" si="38"/>
        <v>2009</v>
      </c>
      <c r="AG823" s="171">
        <f t="shared" si="39"/>
        <v>14</v>
      </c>
      <c r="AH823" s="700">
        <f>SUMIF(D$3:$AA823,"&lt;="&amp;$AH$1)/COUNTIF(D$3:$AA823,"&lt;="&amp;$AH$1)</f>
        <v>29.275593220338919</v>
      </c>
    </row>
    <row r="824" spans="2:34" x14ac:dyDescent="0.25">
      <c r="B824" s="910">
        <v>39980</v>
      </c>
      <c r="C824" s="581">
        <f t="shared" si="37"/>
        <v>6</v>
      </c>
      <c r="D824" s="171">
        <v>31.5</v>
      </c>
      <c r="E824" s="171">
        <v>26.150000000000002</v>
      </c>
      <c r="F824" s="171">
        <v>25</v>
      </c>
      <c r="G824" s="171">
        <v>24.150000000000002</v>
      </c>
      <c r="H824" s="171">
        <v>23.2</v>
      </c>
      <c r="I824" s="171">
        <v>26.43</v>
      </c>
      <c r="J824" s="171">
        <v>33.08</v>
      </c>
      <c r="K824" s="171">
        <v>41</v>
      </c>
      <c r="L824" s="171">
        <v>45</v>
      </c>
      <c r="M824" s="171">
        <v>48.89</v>
      </c>
      <c r="N824" s="171">
        <v>54</v>
      </c>
      <c r="O824" s="171">
        <v>60</v>
      </c>
      <c r="P824" s="171">
        <v>54</v>
      </c>
      <c r="Q824" s="171">
        <v>52</v>
      </c>
      <c r="R824" s="171">
        <v>49.63</v>
      </c>
      <c r="S824" s="171">
        <v>45.19</v>
      </c>
      <c r="T824" s="171">
        <v>43.2</v>
      </c>
      <c r="U824" s="171">
        <v>42.32</v>
      </c>
      <c r="V824" s="171">
        <v>42.59</v>
      </c>
      <c r="W824" s="171">
        <v>40.800000000000004</v>
      </c>
      <c r="X824" s="171">
        <v>38.550000000000004</v>
      </c>
      <c r="Y824" s="171">
        <v>37.71</v>
      </c>
      <c r="Z824" s="171">
        <v>40.04</v>
      </c>
      <c r="AA824" s="171">
        <v>34.9</v>
      </c>
      <c r="AB824" s="171">
        <v>60</v>
      </c>
      <c r="AC824" s="171">
        <v>37.71</v>
      </c>
      <c r="AD824" s="171">
        <v>28.05</v>
      </c>
      <c r="AF824" s="171">
        <f t="shared" si="38"/>
        <v>2009</v>
      </c>
      <c r="AG824" s="171">
        <f t="shared" si="39"/>
        <v>14</v>
      </c>
      <c r="AH824" s="700">
        <f>SUMIF(D$3:$AA824,"&lt;="&amp;$AH$1)/COUNTIF(D$3:$AA824,"&lt;="&amp;$AH$1)</f>
        <v>29.282802622950751</v>
      </c>
    </row>
    <row r="825" spans="2:34" x14ac:dyDescent="0.25">
      <c r="B825" s="910">
        <v>39981</v>
      </c>
      <c r="C825" s="581">
        <f t="shared" si="37"/>
        <v>6</v>
      </c>
      <c r="D825" s="171">
        <v>31.16</v>
      </c>
      <c r="E825" s="171">
        <v>28</v>
      </c>
      <c r="F825" s="171">
        <v>25.17</v>
      </c>
      <c r="G825" s="171">
        <v>23</v>
      </c>
      <c r="H825" s="171">
        <v>22.03</v>
      </c>
      <c r="I825" s="171">
        <v>23.75</v>
      </c>
      <c r="J825" s="171">
        <v>31.48</v>
      </c>
      <c r="K825" s="171">
        <v>39</v>
      </c>
      <c r="L825" s="171">
        <v>40.74</v>
      </c>
      <c r="M825" s="171">
        <v>45.15</v>
      </c>
      <c r="N825" s="171">
        <v>50.4</v>
      </c>
      <c r="O825" s="171">
        <v>57</v>
      </c>
      <c r="P825" s="171">
        <v>50.25</v>
      </c>
      <c r="Q825" s="171">
        <v>47.57</v>
      </c>
      <c r="R825" s="171">
        <v>45.25</v>
      </c>
      <c r="S825" s="171">
        <v>42</v>
      </c>
      <c r="T825" s="171">
        <v>41.9</v>
      </c>
      <c r="U825" s="171">
        <v>41.01</v>
      </c>
      <c r="V825" s="171">
        <v>39.93</v>
      </c>
      <c r="W825" s="171">
        <v>40.51</v>
      </c>
      <c r="X825" s="171">
        <v>39.44</v>
      </c>
      <c r="Y825" s="171">
        <v>37.74</v>
      </c>
      <c r="Z825" s="171">
        <v>39.93</v>
      </c>
      <c r="AA825" s="171">
        <v>35</v>
      </c>
      <c r="AB825" s="171">
        <v>57</v>
      </c>
      <c r="AC825" s="171">
        <v>37.74</v>
      </c>
      <c r="AD825" s="171">
        <v>27.45</v>
      </c>
      <c r="AF825" s="171">
        <f t="shared" si="38"/>
        <v>2009</v>
      </c>
      <c r="AG825" s="171">
        <f t="shared" si="39"/>
        <v>18</v>
      </c>
      <c r="AH825" s="700">
        <f>SUMIF(D$3:$AA825,"&lt;="&amp;$AH$1)/COUNTIF(D$3:$AA825,"&lt;="&amp;$AH$1)</f>
        <v>29.295192987046903</v>
      </c>
    </row>
    <row r="826" spans="2:34" x14ac:dyDescent="0.25">
      <c r="B826" s="910">
        <v>39982</v>
      </c>
      <c r="C826" s="581">
        <f t="shared" si="37"/>
        <v>6</v>
      </c>
      <c r="D826" s="171">
        <v>29.02</v>
      </c>
      <c r="E826" s="171">
        <v>24.94</v>
      </c>
      <c r="F826" s="171">
        <v>22</v>
      </c>
      <c r="G826" s="171">
        <v>17.98</v>
      </c>
      <c r="H826" s="171">
        <v>16.87</v>
      </c>
      <c r="I826" s="171">
        <v>20.75</v>
      </c>
      <c r="J826" s="171">
        <v>29.07</v>
      </c>
      <c r="K826" s="171">
        <v>35.43</v>
      </c>
      <c r="L826" s="171">
        <v>40.25</v>
      </c>
      <c r="M826" s="171">
        <v>44.4</v>
      </c>
      <c r="N826" s="171">
        <v>48.03</v>
      </c>
      <c r="O826" s="171">
        <v>53.5</v>
      </c>
      <c r="P826" s="171">
        <v>47</v>
      </c>
      <c r="Q826" s="171">
        <v>45.75</v>
      </c>
      <c r="R826" s="171">
        <v>45.5</v>
      </c>
      <c r="S826" s="171">
        <v>43.63</v>
      </c>
      <c r="T826" s="171">
        <v>39.9</v>
      </c>
      <c r="U826" s="171">
        <v>39.910000000000004</v>
      </c>
      <c r="V826" s="171">
        <v>40</v>
      </c>
      <c r="W826" s="171">
        <v>39.410000000000004</v>
      </c>
      <c r="X826" s="171">
        <v>39</v>
      </c>
      <c r="Y826" s="171">
        <v>37.660000000000004</v>
      </c>
      <c r="Z826" s="171">
        <v>39</v>
      </c>
      <c r="AA826" s="171">
        <v>35.800000000000004</v>
      </c>
      <c r="AB826" s="171">
        <v>53.5</v>
      </c>
      <c r="AC826" s="171">
        <v>35.43</v>
      </c>
      <c r="AD826" s="171">
        <v>24.55</v>
      </c>
      <c r="AF826" s="171">
        <f t="shared" si="38"/>
        <v>2009</v>
      </c>
      <c r="AG826" s="171">
        <f t="shared" si="39"/>
        <v>17</v>
      </c>
      <c r="AH826" s="700">
        <f>SUMIF(D$3:$AA826,"&lt;="&amp;$AH$1)/COUNTIF(D$3:$AA826,"&lt;="&amp;$AH$1)</f>
        <v>29.301586161879825</v>
      </c>
    </row>
    <row r="827" spans="2:34" x14ac:dyDescent="0.25">
      <c r="B827" s="910">
        <v>39983</v>
      </c>
      <c r="C827" s="581">
        <f t="shared" si="37"/>
        <v>6</v>
      </c>
      <c r="D827" s="171">
        <v>34.93</v>
      </c>
      <c r="E827" s="171">
        <v>29.41</v>
      </c>
      <c r="F827" s="171">
        <v>24.54</v>
      </c>
      <c r="G827" s="171">
        <v>20</v>
      </c>
      <c r="H827" s="171">
        <v>18.670000000000002</v>
      </c>
      <c r="I827" s="171">
        <v>15.25</v>
      </c>
      <c r="J827" s="171">
        <v>19.440000000000001</v>
      </c>
      <c r="K827" s="171">
        <v>24.6</v>
      </c>
      <c r="L827" s="171">
        <v>31</v>
      </c>
      <c r="M827" s="171">
        <v>36.4</v>
      </c>
      <c r="N827" s="171">
        <v>37.119999999999997</v>
      </c>
      <c r="O827" s="171">
        <v>39</v>
      </c>
      <c r="P827" s="171">
        <v>37.9</v>
      </c>
      <c r="Q827" s="171">
        <v>35</v>
      </c>
      <c r="R827" s="171">
        <v>33.22</v>
      </c>
      <c r="S827" s="171">
        <v>31.77</v>
      </c>
      <c r="T827" s="171">
        <v>32.619999999999997</v>
      </c>
      <c r="U827" s="171">
        <v>32</v>
      </c>
      <c r="V827" s="171">
        <v>34.200000000000003</v>
      </c>
      <c r="W827" s="171">
        <v>33.04</v>
      </c>
      <c r="X827" s="171">
        <v>31.14</v>
      </c>
      <c r="Y827" s="171">
        <v>31.42</v>
      </c>
      <c r="Z827" s="171">
        <v>35.33</v>
      </c>
      <c r="AA827" s="171">
        <v>34</v>
      </c>
      <c r="AB827" s="171">
        <v>39</v>
      </c>
      <c r="AC827" s="171">
        <v>24.6</v>
      </c>
      <c r="AD827" s="171">
        <v>24.560000000000002</v>
      </c>
      <c r="AF827" s="171">
        <f t="shared" si="38"/>
        <v>2009</v>
      </c>
      <c r="AG827" s="171">
        <f t="shared" si="39"/>
        <v>24</v>
      </c>
      <c r="AH827" s="700">
        <f>SUMIF(D$3:$AA827,"&lt;="&amp;$AH$1)/COUNTIF(D$3:$AA827,"&lt;="&amp;$AH$1)</f>
        <v>29.305329255595979</v>
      </c>
    </row>
    <row r="828" spans="2:34" x14ac:dyDescent="0.25">
      <c r="B828" s="910">
        <v>39986</v>
      </c>
      <c r="C828" s="581">
        <f t="shared" si="37"/>
        <v>6</v>
      </c>
      <c r="D828" s="171">
        <v>28.3</v>
      </c>
      <c r="E828" s="171">
        <v>21.89</v>
      </c>
      <c r="F828" s="171">
        <v>18</v>
      </c>
      <c r="G828" s="171">
        <v>12.6</v>
      </c>
      <c r="H828" s="171">
        <v>11</v>
      </c>
      <c r="I828" s="171">
        <v>12.6</v>
      </c>
      <c r="J828" s="171">
        <v>30.3</v>
      </c>
      <c r="K828" s="171">
        <v>40</v>
      </c>
      <c r="L828" s="171">
        <v>40.99</v>
      </c>
      <c r="M828" s="171">
        <v>42.9</v>
      </c>
      <c r="N828" s="171">
        <v>47.71</v>
      </c>
      <c r="O828" s="171">
        <v>50.99</v>
      </c>
      <c r="P828" s="171">
        <v>49.93</v>
      </c>
      <c r="Q828" s="171">
        <v>46.14</v>
      </c>
      <c r="R828" s="171">
        <v>44</v>
      </c>
      <c r="S828" s="171">
        <v>42</v>
      </c>
      <c r="T828" s="171">
        <v>39.67</v>
      </c>
      <c r="U828" s="171">
        <v>38.5</v>
      </c>
      <c r="V828" s="171">
        <v>37</v>
      </c>
      <c r="W828" s="171">
        <v>36</v>
      </c>
      <c r="X828" s="171">
        <v>36</v>
      </c>
      <c r="Y828" s="171">
        <v>34</v>
      </c>
      <c r="Z828" s="171">
        <v>36.06</v>
      </c>
      <c r="AA828" s="171">
        <v>34</v>
      </c>
      <c r="AB828" s="171">
        <v>50.99</v>
      </c>
      <c r="AC828" s="171">
        <v>34</v>
      </c>
      <c r="AD828" s="171">
        <v>21.09</v>
      </c>
      <c r="AF828" s="171">
        <f t="shared" si="38"/>
        <v>2009</v>
      </c>
      <c r="AG828" s="171">
        <f t="shared" si="39"/>
        <v>18</v>
      </c>
      <c r="AH828" s="700">
        <f>SUMIF(D$3:$AA828,"&lt;="&amp;$AH$1)/COUNTIF(D$3:$AA828,"&lt;="&amp;$AH$1)</f>
        <v>29.308109581926708</v>
      </c>
    </row>
    <row r="829" spans="2:34" x14ac:dyDescent="0.25">
      <c r="B829" s="910">
        <v>39987</v>
      </c>
      <c r="C829" s="581">
        <f t="shared" si="37"/>
        <v>6</v>
      </c>
      <c r="D829" s="171">
        <v>29.93</v>
      </c>
      <c r="E829" s="171">
        <v>23.5</v>
      </c>
      <c r="F829" s="171">
        <v>18.97</v>
      </c>
      <c r="G829" s="171">
        <v>14.75</v>
      </c>
      <c r="H829" s="171">
        <v>14.4</v>
      </c>
      <c r="I829" s="171">
        <v>18</v>
      </c>
      <c r="J829" s="171">
        <v>30.52</v>
      </c>
      <c r="K829" s="171">
        <v>38.94</v>
      </c>
      <c r="L829" s="171">
        <v>41</v>
      </c>
      <c r="M829" s="171">
        <v>41</v>
      </c>
      <c r="N829" s="171">
        <v>44</v>
      </c>
      <c r="O829" s="171">
        <v>48</v>
      </c>
      <c r="P829" s="171">
        <v>42</v>
      </c>
      <c r="Q829" s="171">
        <v>40</v>
      </c>
      <c r="R829" s="171">
        <v>38.5</v>
      </c>
      <c r="S829" s="171">
        <v>37.5</v>
      </c>
      <c r="T829" s="171">
        <v>39.300000000000004</v>
      </c>
      <c r="U829" s="171">
        <v>38.800000000000004</v>
      </c>
      <c r="V829" s="171">
        <v>37</v>
      </c>
      <c r="W829" s="171">
        <v>36.200000000000003</v>
      </c>
      <c r="X829" s="171">
        <v>34.69</v>
      </c>
      <c r="Y829" s="171">
        <v>32.29</v>
      </c>
      <c r="Z829" s="171">
        <v>35.94</v>
      </c>
      <c r="AA829" s="171">
        <v>31.990000000000002</v>
      </c>
      <c r="AB829" s="171">
        <v>48</v>
      </c>
      <c r="AC829" s="171">
        <v>32.29</v>
      </c>
      <c r="AD829" s="171">
        <v>22.76</v>
      </c>
      <c r="AF829" s="171">
        <f t="shared" si="38"/>
        <v>2009</v>
      </c>
      <c r="AG829" s="171">
        <f t="shared" si="39"/>
        <v>22</v>
      </c>
      <c r="AH829" s="700">
        <f>SUMIF(D$3:$AA829,"&lt;="&amp;$AH$1)/COUNTIF(D$3:$AA829,"&lt;="&amp;$AH$1)</f>
        <v>29.31722941481091</v>
      </c>
    </row>
    <row r="830" spans="2:34" x14ac:dyDescent="0.25">
      <c r="B830" s="910">
        <v>39988</v>
      </c>
      <c r="C830" s="581">
        <f t="shared" si="37"/>
        <v>6</v>
      </c>
      <c r="D830" s="171">
        <v>28</v>
      </c>
      <c r="E830" s="171">
        <v>21.53</v>
      </c>
      <c r="F830" s="171">
        <v>16</v>
      </c>
      <c r="G830" s="171">
        <v>12.81</v>
      </c>
      <c r="H830" s="171">
        <v>14.1</v>
      </c>
      <c r="I830" s="171">
        <v>20.59</v>
      </c>
      <c r="J830" s="171">
        <v>32.97</v>
      </c>
      <c r="K830" s="171">
        <v>37.99</v>
      </c>
      <c r="L830" s="171">
        <v>42</v>
      </c>
      <c r="M830" s="171">
        <v>45</v>
      </c>
      <c r="N830" s="171">
        <v>45.75</v>
      </c>
      <c r="O830" s="171">
        <v>49.14</v>
      </c>
      <c r="P830" s="171">
        <v>44</v>
      </c>
      <c r="Q830" s="171">
        <v>42</v>
      </c>
      <c r="R830" s="171">
        <v>40</v>
      </c>
      <c r="S830" s="171">
        <v>39.020000000000003</v>
      </c>
      <c r="T830" s="171">
        <v>37.72</v>
      </c>
      <c r="U830" s="171">
        <v>36.300000000000004</v>
      </c>
      <c r="V830" s="171">
        <v>36</v>
      </c>
      <c r="W830" s="171">
        <v>34.46</v>
      </c>
      <c r="X830" s="171">
        <v>34.5</v>
      </c>
      <c r="Y830" s="171">
        <v>32.799999999999997</v>
      </c>
      <c r="Z830" s="171">
        <v>36.9</v>
      </c>
      <c r="AA830" s="171">
        <v>34.5</v>
      </c>
      <c r="AB830" s="171">
        <v>49.14</v>
      </c>
      <c r="AC830" s="171">
        <v>32.799999999999997</v>
      </c>
      <c r="AD830" s="171">
        <v>22.56</v>
      </c>
      <c r="AF830" s="171">
        <f t="shared" si="38"/>
        <v>2009</v>
      </c>
      <c r="AG830" s="171">
        <f t="shared" si="39"/>
        <v>20</v>
      </c>
      <c r="AH830" s="700">
        <f>SUMIF(D$3:$AA830,"&lt;="&amp;$AH$1)/COUNTIF(D$3:$AA830,"&lt;="&amp;$AH$1)</f>
        <v>29.322891270661081</v>
      </c>
    </row>
    <row r="831" spans="2:34" x14ac:dyDescent="0.25">
      <c r="B831" s="910">
        <v>39989</v>
      </c>
      <c r="C831" s="581">
        <f t="shared" si="37"/>
        <v>6</v>
      </c>
      <c r="D831" s="171">
        <v>29</v>
      </c>
      <c r="E831" s="171">
        <v>22.6</v>
      </c>
      <c r="F831" s="171">
        <v>17.27</v>
      </c>
      <c r="G831" s="171">
        <v>13.85</v>
      </c>
      <c r="H831" s="171">
        <v>14.450000000000001</v>
      </c>
      <c r="I831" s="171">
        <v>22.85</v>
      </c>
      <c r="J831" s="171">
        <v>33.1</v>
      </c>
      <c r="K831" s="171">
        <v>41</v>
      </c>
      <c r="L831" s="171">
        <v>43.32</v>
      </c>
      <c r="M831" s="171">
        <v>46.99</v>
      </c>
      <c r="N831" s="171">
        <v>48.93</v>
      </c>
      <c r="O831" s="171">
        <v>53</v>
      </c>
      <c r="P831" s="171">
        <v>47.75</v>
      </c>
      <c r="Q831" s="171">
        <v>45</v>
      </c>
      <c r="R831" s="171">
        <v>42</v>
      </c>
      <c r="S831" s="171">
        <v>40.25</v>
      </c>
      <c r="T831" s="171">
        <v>38.630000000000003</v>
      </c>
      <c r="U831" s="171">
        <v>38.200000000000003</v>
      </c>
      <c r="V831" s="171">
        <v>37.25</v>
      </c>
      <c r="W831" s="171">
        <v>36.75</v>
      </c>
      <c r="X831" s="171">
        <v>36</v>
      </c>
      <c r="Y831" s="171">
        <v>35</v>
      </c>
      <c r="Z831" s="171">
        <v>37.5</v>
      </c>
      <c r="AA831" s="171">
        <v>36</v>
      </c>
      <c r="AB831" s="171">
        <v>53</v>
      </c>
      <c r="AC831" s="171">
        <v>35</v>
      </c>
      <c r="AD831" s="171">
        <v>23.64</v>
      </c>
      <c r="AF831" s="171">
        <f t="shared" si="38"/>
        <v>2009</v>
      </c>
      <c r="AG831" s="171">
        <f t="shared" si="39"/>
        <v>18</v>
      </c>
      <c r="AH831" s="700">
        <f>SUMIF(D$3:$AA831,"&lt;="&amp;$AH$1)/COUNTIF(D$3:$AA831,"&lt;="&amp;$AH$1)</f>
        <v>29.328545477969527</v>
      </c>
    </row>
    <row r="832" spans="2:34" x14ac:dyDescent="0.25">
      <c r="B832" s="910">
        <v>39990</v>
      </c>
      <c r="C832" s="581">
        <f t="shared" si="37"/>
        <v>6</v>
      </c>
      <c r="D832" s="171">
        <v>34.4</v>
      </c>
      <c r="E832" s="171">
        <v>28</v>
      </c>
      <c r="F832" s="171">
        <v>24.96</v>
      </c>
      <c r="G832" s="171">
        <v>21.36</v>
      </c>
      <c r="H832" s="171">
        <v>16.36</v>
      </c>
      <c r="I832" s="171">
        <v>7.2</v>
      </c>
      <c r="J832" s="171">
        <v>6.53</v>
      </c>
      <c r="K832" s="171">
        <v>20.56</v>
      </c>
      <c r="L832" s="171">
        <v>23.97</v>
      </c>
      <c r="M832" s="171">
        <v>29.830000000000002</v>
      </c>
      <c r="N832" s="171">
        <v>34.72</v>
      </c>
      <c r="O832" s="171">
        <v>37.230000000000004</v>
      </c>
      <c r="P832" s="171">
        <v>36.86</v>
      </c>
      <c r="Q832" s="171">
        <v>35.51</v>
      </c>
      <c r="R832" s="171">
        <v>31.1</v>
      </c>
      <c r="S832" s="171">
        <v>30</v>
      </c>
      <c r="T832" s="171">
        <v>29</v>
      </c>
      <c r="U832" s="171">
        <v>33</v>
      </c>
      <c r="V832" s="171">
        <v>35</v>
      </c>
      <c r="W832" s="171">
        <v>36</v>
      </c>
      <c r="X832" s="171">
        <v>36.64</v>
      </c>
      <c r="Y832" s="171">
        <v>36.92</v>
      </c>
      <c r="Z832" s="171">
        <v>39.869999999999997</v>
      </c>
      <c r="AA832" s="171">
        <v>35.24</v>
      </c>
      <c r="AB832" s="171">
        <v>39.869999999999997</v>
      </c>
      <c r="AC832" s="171">
        <v>20.56</v>
      </c>
      <c r="AD832" s="171">
        <v>28.94</v>
      </c>
      <c r="AF832" s="171">
        <f t="shared" si="38"/>
        <v>2009</v>
      </c>
      <c r="AG832" s="171">
        <f t="shared" si="39"/>
        <v>24</v>
      </c>
      <c r="AH832" s="700">
        <f>SUMIF(D$3:$AA832,"&lt;="&amp;$AH$1)/COUNTIF(D$3:$AA832,"&lt;="&amp;$AH$1)</f>
        <v>29.328079886976553</v>
      </c>
    </row>
    <row r="833" spans="2:34" x14ac:dyDescent="0.25">
      <c r="B833" s="910">
        <v>39993</v>
      </c>
      <c r="C833" s="581">
        <f t="shared" si="37"/>
        <v>6</v>
      </c>
      <c r="D833" s="171">
        <v>35.520000000000003</v>
      </c>
      <c r="E833" s="171">
        <v>26.75</v>
      </c>
      <c r="F833" s="171">
        <v>24.63</v>
      </c>
      <c r="G833" s="171">
        <v>14.1</v>
      </c>
      <c r="H833" s="171">
        <v>13</v>
      </c>
      <c r="I833" s="171">
        <v>18.080000000000002</v>
      </c>
      <c r="J833" s="171">
        <v>34.950000000000003</v>
      </c>
      <c r="K833" s="171">
        <v>44.230000000000004</v>
      </c>
      <c r="L833" s="171">
        <v>45.51</v>
      </c>
      <c r="M833" s="171">
        <v>48.25</v>
      </c>
      <c r="N833" s="171">
        <v>52</v>
      </c>
      <c r="O833" s="171">
        <v>58.67</v>
      </c>
      <c r="P833" s="171">
        <v>52.19</v>
      </c>
      <c r="Q833" s="171">
        <v>50.03</v>
      </c>
      <c r="R833" s="171">
        <v>50</v>
      </c>
      <c r="S833" s="171">
        <v>47.83</v>
      </c>
      <c r="T833" s="171">
        <v>44.21</v>
      </c>
      <c r="U833" s="171">
        <v>43.4</v>
      </c>
      <c r="V833" s="171">
        <v>41</v>
      </c>
      <c r="W833" s="171">
        <v>40</v>
      </c>
      <c r="X833" s="171">
        <v>37.119999999999997</v>
      </c>
      <c r="Y833" s="171">
        <v>36.24</v>
      </c>
      <c r="Z833" s="171">
        <v>37.44</v>
      </c>
      <c r="AA833" s="171">
        <v>37</v>
      </c>
      <c r="AB833" s="171">
        <v>58.67</v>
      </c>
      <c r="AC833" s="171">
        <v>36.24</v>
      </c>
      <c r="AD833" s="171">
        <v>25.5</v>
      </c>
      <c r="AF833" s="171">
        <f t="shared" si="38"/>
        <v>2009</v>
      </c>
      <c r="AG833" s="171">
        <f t="shared" si="39"/>
        <v>13</v>
      </c>
      <c r="AH833" s="700">
        <f>SUMIF(D$3:$AA833,"&lt;="&amp;$AH$1)/COUNTIF(D$3:$AA833,"&lt;="&amp;$AH$1)</f>
        <v>29.32994742915751</v>
      </c>
    </row>
    <row r="834" spans="2:34" x14ac:dyDescent="0.25">
      <c r="B834" s="910">
        <v>39994</v>
      </c>
      <c r="C834" s="581">
        <f t="shared" si="37"/>
        <v>6</v>
      </c>
      <c r="D834" s="171">
        <v>35</v>
      </c>
      <c r="E834" s="171">
        <v>30</v>
      </c>
      <c r="F834" s="171">
        <v>28.45</v>
      </c>
      <c r="G834" s="171">
        <v>23.51</v>
      </c>
      <c r="H834" s="171">
        <v>22.44</v>
      </c>
      <c r="I834" s="171">
        <v>26.92</v>
      </c>
      <c r="J834" s="171">
        <v>34.51</v>
      </c>
      <c r="K834" s="171">
        <v>39.93</v>
      </c>
      <c r="L834" s="171">
        <v>48.01</v>
      </c>
      <c r="M834" s="171">
        <v>51.800000000000004</v>
      </c>
      <c r="N834" s="171">
        <v>57.050000000000004</v>
      </c>
      <c r="O834" s="171">
        <v>64.760000000000005</v>
      </c>
      <c r="P834" s="171">
        <v>58.5</v>
      </c>
      <c r="Q834" s="171">
        <v>55.5</v>
      </c>
      <c r="R834" s="171">
        <v>53.75</v>
      </c>
      <c r="S834" s="171">
        <v>49.06</v>
      </c>
      <c r="T834" s="171">
        <v>44.660000000000004</v>
      </c>
      <c r="U834" s="171">
        <v>43.27</v>
      </c>
      <c r="V834" s="171">
        <v>42.39</v>
      </c>
      <c r="W834" s="171">
        <v>39.75</v>
      </c>
      <c r="X834" s="171">
        <v>38</v>
      </c>
      <c r="Y834" s="171">
        <v>36.630000000000003</v>
      </c>
      <c r="Z834" s="171">
        <v>39</v>
      </c>
      <c r="AA834" s="171">
        <v>36.17</v>
      </c>
      <c r="AB834" s="171">
        <v>64.760000000000005</v>
      </c>
      <c r="AC834" s="171">
        <v>36.630000000000003</v>
      </c>
      <c r="AD834" s="171">
        <v>29.63</v>
      </c>
      <c r="AF834" s="171">
        <f t="shared" si="38"/>
        <v>2009</v>
      </c>
      <c r="AG834" s="171">
        <f t="shared" si="39"/>
        <v>14</v>
      </c>
      <c r="AH834" s="700">
        <f>SUMIF(D$3:$AA834,"&lt;="&amp;$AH$1)/COUNTIF(D$3:$AA834,"&lt;="&amp;$AH$1)</f>
        <v>29.337893254831627</v>
      </c>
    </row>
    <row r="835" spans="2:34" x14ac:dyDescent="0.25">
      <c r="B835" s="910">
        <v>39995</v>
      </c>
      <c r="C835" s="581">
        <f t="shared" si="37"/>
        <v>7</v>
      </c>
      <c r="D835" s="171">
        <v>32.82</v>
      </c>
      <c r="E835" s="171">
        <v>30</v>
      </c>
      <c r="F835" s="171">
        <v>29.03</v>
      </c>
      <c r="G835" s="171">
        <v>25.72</v>
      </c>
      <c r="H835" s="171">
        <v>25.5</v>
      </c>
      <c r="I835" s="171">
        <v>28.14</v>
      </c>
      <c r="J835" s="171">
        <v>36.06</v>
      </c>
      <c r="K835" s="171">
        <v>41.01</v>
      </c>
      <c r="L835" s="171">
        <v>47.26</v>
      </c>
      <c r="M835" s="171">
        <v>52</v>
      </c>
      <c r="N835" s="171">
        <v>59.480000000000004</v>
      </c>
      <c r="O835" s="171">
        <v>69.960000000000008</v>
      </c>
      <c r="P835" s="171">
        <v>65.08</v>
      </c>
      <c r="Q835" s="171">
        <v>62.06</v>
      </c>
      <c r="R835" s="171">
        <v>54.5</v>
      </c>
      <c r="S835" s="171">
        <v>49.93</v>
      </c>
      <c r="T835" s="171">
        <v>49</v>
      </c>
      <c r="U835" s="171">
        <v>46.5</v>
      </c>
      <c r="V835" s="171">
        <v>41.75</v>
      </c>
      <c r="W835" s="171">
        <v>40.4</v>
      </c>
      <c r="X835" s="171">
        <v>39.25</v>
      </c>
      <c r="Y835" s="171">
        <v>37.58</v>
      </c>
      <c r="Z835" s="171">
        <v>38</v>
      </c>
      <c r="AA835" s="171">
        <v>37.25</v>
      </c>
      <c r="AB835" s="171">
        <v>69.960000000000008</v>
      </c>
      <c r="AC835" s="171">
        <v>37.58</v>
      </c>
      <c r="AD835" s="171">
        <v>30.57</v>
      </c>
      <c r="AF835" s="171">
        <f t="shared" si="38"/>
        <v>2009</v>
      </c>
      <c r="AG835" s="171">
        <f t="shared" si="39"/>
        <v>14</v>
      </c>
      <c r="AH835" s="700">
        <f>SUMIF(D$3:$AA835,"&lt;="&amp;$AH$1)/COUNTIF(D$3:$AA835,"&lt;="&amp;$AH$1)</f>
        <v>29.347064009198863</v>
      </c>
    </row>
    <row r="836" spans="2:34" x14ac:dyDescent="0.25">
      <c r="B836" s="910">
        <v>39996</v>
      </c>
      <c r="C836" s="581">
        <f t="shared" ref="C836:C899" si="40">MONTH(B836)</f>
        <v>7</v>
      </c>
      <c r="D836" s="171">
        <v>33.5</v>
      </c>
      <c r="E836" s="171">
        <v>29.060000000000002</v>
      </c>
      <c r="F836" s="171">
        <v>27.55</v>
      </c>
      <c r="G836" s="171">
        <v>25.73</v>
      </c>
      <c r="H836" s="171">
        <v>25</v>
      </c>
      <c r="I836" s="171">
        <v>28.7</v>
      </c>
      <c r="J836" s="171">
        <v>32.5</v>
      </c>
      <c r="K836" s="171">
        <v>47.01</v>
      </c>
      <c r="L836" s="171">
        <v>51.34</v>
      </c>
      <c r="M836" s="171">
        <v>63</v>
      </c>
      <c r="N836" s="171">
        <v>75</v>
      </c>
      <c r="O836" s="171">
        <v>89.15</v>
      </c>
      <c r="P836" s="171">
        <v>72.2</v>
      </c>
      <c r="Q836" s="171">
        <v>68.81</v>
      </c>
      <c r="R836" s="171">
        <v>66.040000000000006</v>
      </c>
      <c r="S836" s="171">
        <v>61.18</v>
      </c>
      <c r="T836" s="171">
        <v>60.9</v>
      </c>
      <c r="U836" s="171">
        <v>56.17</v>
      </c>
      <c r="V836" s="171">
        <v>50.75</v>
      </c>
      <c r="W836" s="171">
        <v>47</v>
      </c>
      <c r="X836" s="171">
        <v>40.630000000000003</v>
      </c>
      <c r="Y836" s="171">
        <v>39.300000000000004</v>
      </c>
      <c r="Z836" s="171">
        <v>42.57</v>
      </c>
      <c r="AA836" s="171">
        <v>37.6</v>
      </c>
      <c r="AB836" s="171">
        <v>89.15</v>
      </c>
      <c r="AC836" s="171">
        <v>39.300000000000004</v>
      </c>
      <c r="AD836" s="171">
        <v>29.95</v>
      </c>
      <c r="AF836" s="171">
        <f t="shared" ref="AF836:AF899" si="41">YEAR(B836)</f>
        <v>2009</v>
      </c>
      <c r="AG836" s="171">
        <f t="shared" ref="AG836:AG899" si="42">COUNTIF(D836:AA836,"&lt;="&amp;$AH$1)</f>
        <v>10</v>
      </c>
      <c r="AH836" s="700">
        <f>SUMIF(D$3:$AA836,"&lt;="&amp;$AH$1)/COUNTIF(D$3:$AA836,"&lt;="&amp;$AH$1)</f>
        <v>29.350394283526796</v>
      </c>
    </row>
    <row r="837" spans="2:34" x14ac:dyDescent="0.25">
      <c r="B837" s="910">
        <v>39997</v>
      </c>
      <c r="C837" s="581">
        <f t="shared" si="40"/>
        <v>7</v>
      </c>
      <c r="D837" s="171">
        <v>34</v>
      </c>
      <c r="E837" s="171">
        <v>30.900000000000002</v>
      </c>
      <c r="F837" s="171">
        <v>29.03</v>
      </c>
      <c r="G837" s="171">
        <v>27.23</v>
      </c>
      <c r="H837" s="171">
        <v>27.580000000000002</v>
      </c>
      <c r="I837" s="171">
        <v>29.71</v>
      </c>
      <c r="J837" s="171">
        <v>33.94</v>
      </c>
      <c r="K837" s="171">
        <v>39.230000000000004</v>
      </c>
      <c r="L837" s="171">
        <v>47.050000000000004</v>
      </c>
      <c r="M837" s="171">
        <v>57.660000000000004</v>
      </c>
      <c r="N837" s="171">
        <v>78.16</v>
      </c>
      <c r="O837" s="171">
        <v>93.02</v>
      </c>
      <c r="P837" s="171">
        <v>78.92</v>
      </c>
      <c r="Q837" s="171">
        <v>67.84</v>
      </c>
      <c r="R837" s="171">
        <v>63.43</v>
      </c>
      <c r="S837" s="171">
        <v>52.02</v>
      </c>
      <c r="T837" s="171">
        <v>45.17</v>
      </c>
      <c r="U837" s="171">
        <v>45</v>
      </c>
      <c r="V837" s="171">
        <v>40.04</v>
      </c>
      <c r="W837" s="171">
        <v>38.5</v>
      </c>
      <c r="X837" s="171">
        <v>36.51</v>
      </c>
      <c r="Y837" s="171">
        <v>36.869999999999997</v>
      </c>
      <c r="Z837" s="171">
        <v>38.25</v>
      </c>
      <c r="AA837" s="171">
        <v>37</v>
      </c>
      <c r="AB837" s="171">
        <v>93.02</v>
      </c>
      <c r="AC837" s="171">
        <v>36.51</v>
      </c>
      <c r="AD837" s="171">
        <v>31.17</v>
      </c>
      <c r="AF837" s="171">
        <f t="shared" si="41"/>
        <v>2009</v>
      </c>
      <c r="AG837" s="171">
        <f t="shared" si="42"/>
        <v>14</v>
      </c>
      <c r="AH837" s="700">
        <f>SUMIF(D$3:$AA837,"&lt;="&amp;$AH$1)/COUNTIF(D$3:$AA837,"&lt;="&amp;$AH$1)</f>
        <v>29.359040886511213</v>
      </c>
    </row>
    <row r="838" spans="2:34" x14ac:dyDescent="0.25">
      <c r="B838" s="910">
        <v>40000</v>
      </c>
      <c r="C838" s="581">
        <f t="shared" si="40"/>
        <v>7</v>
      </c>
      <c r="D838" s="171">
        <v>33.090000000000003</v>
      </c>
      <c r="E838" s="171">
        <v>27.37</v>
      </c>
      <c r="F838" s="171">
        <v>24.16</v>
      </c>
      <c r="G838" s="171">
        <v>19</v>
      </c>
      <c r="H838" s="171">
        <v>19</v>
      </c>
      <c r="I838" s="171">
        <v>22.27</v>
      </c>
      <c r="J838" s="171">
        <v>31.54</v>
      </c>
      <c r="K838" s="171">
        <v>40</v>
      </c>
      <c r="L838" s="171">
        <v>47.230000000000004</v>
      </c>
      <c r="M838" s="171">
        <v>54</v>
      </c>
      <c r="N838" s="171">
        <v>59.7</v>
      </c>
      <c r="O838" s="171">
        <v>67.75</v>
      </c>
      <c r="P838" s="171">
        <v>60</v>
      </c>
      <c r="Q838" s="171">
        <v>56</v>
      </c>
      <c r="R838" s="171">
        <v>48</v>
      </c>
      <c r="S838" s="171">
        <v>47</v>
      </c>
      <c r="T838" s="171">
        <v>45.46</v>
      </c>
      <c r="U838" s="171">
        <v>42.17</v>
      </c>
      <c r="V838" s="171">
        <v>39.93</v>
      </c>
      <c r="W838" s="171">
        <v>38</v>
      </c>
      <c r="X838" s="171">
        <v>36.11</v>
      </c>
      <c r="Y838" s="171">
        <v>34.65</v>
      </c>
      <c r="Z838" s="171">
        <v>38.51</v>
      </c>
      <c r="AA838" s="171">
        <v>37.15</v>
      </c>
      <c r="AB838" s="171">
        <v>67.75</v>
      </c>
      <c r="AC838" s="171">
        <v>34.65</v>
      </c>
      <c r="AD838" s="171">
        <v>26.7</v>
      </c>
      <c r="AF838" s="171">
        <f t="shared" si="41"/>
        <v>2009</v>
      </c>
      <c r="AG838" s="171">
        <f t="shared" si="42"/>
        <v>15</v>
      </c>
      <c r="AH838" s="700">
        <f>SUMIF(D$3:$AA838,"&lt;="&amp;$AH$1)/COUNTIF(D$3:$AA838,"&lt;="&amp;$AH$1)</f>
        <v>29.364452072209446</v>
      </c>
    </row>
    <row r="839" spans="2:34" x14ac:dyDescent="0.25">
      <c r="B839" s="910">
        <v>40001</v>
      </c>
      <c r="C839" s="581">
        <f t="shared" si="40"/>
        <v>7</v>
      </c>
      <c r="D839" s="171">
        <v>34.81</v>
      </c>
      <c r="E839" s="171">
        <v>29.75</v>
      </c>
      <c r="F839" s="171">
        <v>26</v>
      </c>
      <c r="G839" s="171">
        <v>23</v>
      </c>
      <c r="H839" s="171">
        <v>23.17</v>
      </c>
      <c r="I839" s="171">
        <v>26.68</v>
      </c>
      <c r="J839" s="171">
        <v>31.990000000000002</v>
      </c>
      <c r="K839" s="171">
        <v>37.31</v>
      </c>
      <c r="L839" s="171">
        <v>42.99</v>
      </c>
      <c r="M839" s="171">
        <v>47</v>
      </c>
      <c r="N839" s="171">
        <v>53.7</v>
      </c>
      <c r="O839" s="171">
        <v>57.4</v>
      </c>
      <c r="P839" s="171">
        <v>49.25</v>
      </c>
      <c r="Q839" s="171">
        <v>44.5</v>
      </c>
      <c r="R839" s="171">
        <v>41</v>
      </c>
      <c r="S839" s="171">
        <v>39.93</v>
      </c>
      <c r="T839" s="171">
        <v>37</v>
      </c>
      <c r="U839" s="171">
        <v>38</v>
      </c>
      <c r="V839" s="171">
        <v>38</v>
      </c>
      <c r="W839" s="171">
        <v>37.21</v>
      </c>
      <c r="X839" s="171">
        <v>38</v>
      </c>
      <c r="Y839" s="171">
        <v>36.69</v>
      </c>
      <c r="Z839" s="171">
        <v>38.03</v>
      </c>
      <c r="AA839" s="171">
        <v>37.300000000000004</v>
      </c>
      <c r="AB839" s="171">
        <v>57.4</v>
      </c>
      <c r="AC839" s="171">
        <v>36.69</v>
      </c>
      <c r="AD839" s="171">
        <v>29.09</v>
      </c>
      <c r="AF839" s="171">
        <f t="shared" si="41"/>
        <v>2009</v>
      </c>
      <c r="AG839" s="171">
        <f t="shared" si="42"/>
        <v>18</v>
      </c>
      <c r="AH839" s="700">
        <f>SUMIF(D$3:$AA839,"&lt;="&amp;$AH$1)/COUNTIF(D$3:$AA839,"&lt;="&amp;$AH$1)</f>
        <v>29.375272704210992</v>
      </c>
    </row>
    <row r="840" spans="2:34" x14ac:dyDescent="0.25">
      <c r="B840" s="910">
        <v>40002</v>
      </c>
      <c r="C840" s="581">
        <f t="shared" si="40"/>
        <v>7</v>
      </c>
      <c r="D840" s="171">
        <v>29.66</v>
      </c>
      <c r="E840" s="171">
        <v>26.67</v>
      </c>
      <c r="F840" s="171">
        <v>20.400000000000002</v>
      </c>
      <c r="G840" s="171">
        <v>16.25</v>
      </c>
      <c r="H840" s="171">
        <v>17.150000000000002</v>
      </c>
      <c r="I840" s="171">
        <v>23.43</v>
      </c>
      <c r="J840" s="171">
        <v>30.900000000000002</v>
      </c>
      <c r="K840" s="171">
        <v>37.5</v>
      </c>
      <c r="L840" s="171">
        <v>41.78</v>
      </c>
      <c r="M840" s="171">
        <v>45.800000000000004</v>
      </c>
      <c r="N840" s="171">
        <v>46.11</v>
      </c>
      <c r="O840" s="171">
        <v>48.25</v>
      </c>
      <c r="P840" s="171">
        <v>45.25</v>
      </c>
      <c r="Q840" s="171">
        <v>43.7</v>
      </c>
      <c r="R840" s="171">
        <v>42.6</v>
      </c>
      <c r="S840" s="171">
        <v>39</v>
      </c>
      <c r="T840" s="171">
        <v>38</v>
      </c>
      <c r="U840" s="171">
        <v>37</v>
      </c>
      <c r="V840" s="171">
        <v>35.25</v>
      </c>
      <c r="W840" s="171">
        <v>35</v>
      </c>
      <c r="X840" s="171">
        <v>34.96</v>
      </c>
      <c r="Y840" s="171">
        <v>33.71</v>
      </c>
      <c r="Z840" s="171">
        <v>36</v>
      </c>
      <c r="AA840" s="171">
        <v>34.5</v>
      </c>
      <c r="AB840" s="171">
        <v>48.25</v>
      </c>
      <c r="AC840" s="171">
        <v>33.71</v>
      </c>
      <c r="AD840" s="171">
        <v>24.87</v>
      </c>
      <c r="AF840" s="171">
        <f t="shared" si="41"/>
        <v>2009</v>
      </c>
      <c r="AG840" s="171">
        <f t="shared" si="42"/>
        <v>18</v>
      </c>
      <c r="AH840" s="700">
        <f>SUMIF(D$3:$AA840,"&lt;="&amp;$AH$1)/COUNTIF(D$3:$AA840,"&lt;="&amp;$AH$1)</f>
        <v>29.380132877752398</v>
      </c>
    </row>
    <row r="841" spans="2:34" x14ac:dyDescent="0.25">
      <c r="B841" s="910">
        <v>40003</v>
      </c>
      <c r="C841" s="581">
        <f t="shared" si="40"/>
        <v>7</v>
      </c>
      <c r="D841" s="171">
        <v>32.25</v>
      </c>
      <c r="E841" s="171">
        <v>27.36</v>
      </c>
      <c r="F841" s="171">
        <v>21.53</v>
      </c>
      <c r="G841" s="171">
        <v>19.5</v>
      </c>
      <c r="H841" s="171">
        <v>19.580000000000002</v>
      </c>
      <c r="I841" s="171">
        <v>24.48</v>
      </c>
      <c r="J841" s="171">
        <v>30.490000000000002</v>
      </c>
      <c r="K841" s="171">
        <v>36.44</v>
      </c>
      <c r="L841" s="171">
        <v>41.63</v>
      </c>
      <c r="M841" s="171">
        <v>44.93</v>
      </c>
      <c r="N841" s="171">
        <v>49</v>
      </c>
      <c r="O841" s="171">
        <v>53</v>
      </c>
      <c r="P841" s="171">
        <v>47.300000000000004</v>
      </c>
      <c r="Q841" s="171">
        <v>44.75</v>
      </c>
      <c r="R841" s="171">
        <v>43</v>
      </c>
      <c r="S841" s="171">
        <v>41</v>
      </c>
      <c r="T841" s="171">
        <v>39</v>
      </c>
      <c r="U841" s="171">
        <v>38</v>
      </c>
      <c r="V841" s="171">
        <v>36.43</v>
      </c>
      <c r="W841" s="171">
        <v>35.35</v>
      </c>
      <c r="X841" s="171">
        <v>34.619999999999997</v>
      </c>
      <c r="Y841" s="171">
        <v>34.25</v>
      </c>
      <c r="Z841" s="171">
        <v>36.410000000000004</v>
      </c>
      <c r="AA841" s="171">
        <v>35.700000000000003</v>
      </c>
      <c r="AB841" s="171">
        <v>53</v>
      </c>
      <c r="AC841" s="171">
        <v>34.25</v>
      </c>
      <c r="AD841" s="171">
        <v>26.36</v>
      </c>
      <c r="AF841" s="171">
        <f t="shared" si="41"/>
        <v>2009</v>
      </c>
      <c r="AG841" s="171">
        <f t="shared" si="42"/>
        <v>18</v>
      </c>
      <c r="AH841" s="700">
        <f>SUMIF(D$3:$AA841,"&lt;="&amp;$AH$1)/COUNTIF(D$3:$AA841,"&lt;="&amp;$AH$1)</f>
        <v>29.387099747474675</v>
      </c>
    </row>
    <row r="842" spans="2:34" x14ac:dyDescent="0.25">
      <c r="B842" s="910">
        <v>40004</v>
      </c>
      <c r="C842" s="581">
        <f t="shared" si="40"/>
        <v>7</v>
      </c>
      <c r="D842" s="171">
        <v>33</v>
      </c>
      <c r="E842" s="171">
        <v>27</v>
      </c>
      <c r="F842" s="171">
        <v>25</v>
      </c>
      <c r="G842" s="171">
        <v>22.41</v>
      </c>
      <c r="H842" s="171">
        <v>23</v>
      </c>
      <c r="I842" s="171">
        <v>25.5</v>
      </c>
      <c r="J842" s="171">
        <v>34.49</v>
      </c>
      <c r="K842" s="171">
        <v>37</v>
      </c>
      <c r="L842" s="171">
        <v>40.89</v>
      </c>
      <c r="M842" s="171">
        <v>41.300000000000004</v>
      </c>
      <c r="N842" s="171">
        <v>45.1</v>
      </c>
      <c r="O842" s="171">
        <v>47</v>
      </c>
      <c r="P842" s="171">
        <v>43.89</v>
      </c>
      <c r="Q842" s="171">
        <v>39.6</v>
      </c>
      <c r="R842" s="171">
        <v>36</v>
      </c>
      <c r="S842" s="171">
        <v>35</v>
      </c>
      <c r="T842" s="171">
        <v>34</v>
      </c>
      <c r="U842" s="171">
        <v>33.39</v>
      </c>
      <c r="V842" s="171">
        <v>33.5</v>
      </c>
      <c r="W842" s="171">
        <v>31.1</v>
      </c>
      <c r="X842" s="171">
        <v>32.75</v>
      </c>
      <c r="Y842" s="171">
        <v>29.53</v>
      </c>
      <c r="Z842" s="171">
        <v>35.1</v>
      </c>
      <c r="AA842" s="171">
        <v>33</v>
      </c>
      <c r="AB842" s="171">
        <v>47</v>
      </c>
      <c r="AC842" s="171">
        <v>29.53</v>
      </c>
      <c r="AD842" s="171">
        <v>27.92</v>
      </c>
      <c r="AF842" s="171">
        <f t="shared" si="41"/>
        <v>2009</v>
      </c>
      <c r="AG842" s="171">
        <f t="shared" si="42"/>
        <v>21</v>
      </c>
      <c r="AH842" s="700">
        <f>SUMIF(D$3:$AA842,"&lt;="&amp;$AH$1)/COUNTIF(D$3:$AA842,"&lt;="&amp;$AH$1)</f>
        <v>29.395339377912034</v>
      </c>
    </row>
    <row r="843" spans="2:34" x14ac:dyDescent="0.25">
      <c r="B843" s="910">
        <v>40007</v>
      </c>
      <c r="C843" s="581">
        <f t="shared" si="40"/>
        <v>7</v>
      </c>
      <c r="D843" s="171">
        <v>34</v>
      </c>
      <c r="E843" s="171">
        <v>30.67</v>
      </c>
      <c r="F843" s="171">
        <v>29</v>
      </c>
      <c r="G843" s="171">
        <v>25.55</v>
      </c>
      <c r="H843" s="171">
        <v>24.830000000000002</v>
      </c>
      <c r="I843" s="171">
        <v>28.1</v>
      </c>
      <c r="J843" s="171">
        <v>32.230000000000004</v>
      </c>
      <c r="K843" s="171">
        <v>37.660000000000004</v>
      </c>
      <c r="L843" s="171">
        <v>44</v>
      </c>
      <c r="M843" s="171">
        <v>42.29</v>
      </c>
      <c r="N843" s="171">
        <v>49.300000000000004</v>
      </c>
      <c r="O843" s="171">
        <v>52</v>
      </c>
      <c r="P843" s="171">
        <v>44.93</v>
      </c>
      <c r="Q843" s="171">
        <v>40.99</v>
      </c>
      <c r="R843" s="171">
        <v>39.53</v>
      </c>
      <c r="S843" s="171">
        <v>39.270000000000003</v>
      </c>
      <c r="T843" s="171">
        <v>37.700000000000003</v>
      </c>
      <c r="U843" s="171">
        <v>37.700000000000003</v>
      </c>
      <c r="V843" s="171">
        <v>38</v>
      </c>
      <c r="W843" s="171">
        <v>35.1</v>
      </c>
      <c r="X843" s="171">
        <v>34</v>
      </c>
      <c r="Y843" s="171">
        <v>33.369999999999997</v>
      </c>
      <c r="Z843" s="171">
        <v>36.619999999999997</v>
      </c>
      <c r="AA843" s="171">
        <v>35</v>
      </c>
      <c r="AB843" s="171">
        <v>52</v>
      </c>
      <c r="AC843" s="171">
        <v>33.369999999999997</v>
      </c>
      <c r="AD843" s="171">
        <v>29.92</v>
      </c>
      <c r="AF843" s="171">
        <f t="shared" si="41"/>
        <v>2009</v>
      </c>
      <c r="AG843" s="171">
        <f t="shared" si="42"/>
        <v>20</v>
      </c>
      <c r="AH843" s="700">
        <f>SUMIF(D$3:$AA843,"&lt;="&amp;$AH$1)/COUNTIF(D$3:$AA843,"&lt;="&amp;$AH$1)</f>
        <v>29.408365783193002</v>
      </c>
    </row>
    <row r="844" spans="2:34" x14ac:dyDescent="0.25">
      <c r="B844" s="910">
        <v>40008</v>
      </c>
      <c r="C844" s="581">
        <f t="shared" si="40"/>
        <v>7</v>
      </c>
      <c r="D844" s="171">
        <v>32</v>
      </c>
      <c r="E844" s="171">
        <v>28.77</v>
      </c>
      <c r="F844" s="171">
        <v>28.91</v>
      </c>
      <c r="G844" s="171">
        <v>24.990000000000002</v>
      </c>
      <c r="H844" s="171">
        <v>24.900000000000002</v>
      </c>
      <c r="I844" s="171">
        <v>26</v>
      </c>
      <c r="J844" s="171">
        <v>28</v>
      </c>
      <c r="K844" s="171">
        <v>28</v>
      </c>
      <c r="L844" s="171">
        <v>31.64</v>
      </c>
      <c r="M844" s="171">
        <v>40</v>
      </c>
      <c r="N844" s="171">
        <v>43.26</v>
      </c>
      <c r="O844" s="171">
        <v>46.300000000000004</v>
      </c>
      <c r="P844" s="171">
        <v>48.6</v>
      </c>
      <c r="Q844" s="171">
        <v>44.99</v>
      </c>
      <c r="R844" s="171">
        <v>43.04</v>
      </c>
      <c r="S844" s="171">
        <v>42.02</v>
      </c>
      <c r="T844" s="171">
        <v>38.69</v>
      </c>
      <c r="U844" s="171">
        <v>38.24</v>
      </c>
      <c r="V844" s="171">
        <v>37.31</v>
      </c>
      <c r="W844" s="171">
        <v>36.9</v>
      </c>
      <c r="X844" s="171">
        <v>37</v>
      </c>
      <c r="Y844" s="171">
        <v>36.480000000000004</v>
      </c>
      <c r="Z844" s="171">
        <v>39</v>
      </c>
      <c r="AA844" s="171">
        <v>35.51</v>
      </c>
      <c r="AB844" s="171">
        <v>48.6</v>
      </c>
      <c r="AC844" s="171">
        <v>28</v>
      </c>
      <c r="AD844" s="171">
        <v>28.64</v>
      </c>
      <c r="AF844" s="171">
        <f t="shared" si="41"/>
        <v>2009</v>
      </c>
      <c r="AG844" s="171">
        <f t="shared" si="42"/>
        <v>19</v>
      </c>
      <c r="AH844" s="700">
        <f>SUMIF(D$3:$AA844,"&lt;="&amp;$AH$1)/COUNTIF(D$3:$AA844,"&lt;="&amp;$AH$1)</f>
        <v>29.417839598997425</v>
      </c>
    </row>
    <row r="845" spans="2:34" x14ac:dyDescent="0.25">
      <c r="B845" s="910">
        <v>40009</v>
      </c>
      <c r="C845" s="581">
        <f t="shared" si="40"/>
        <v>7</v>
      </c>
      <c r="D845" s="171">
        <v>34.01</v>
      </c>
      <c r="E845" s="171">
        <v>32.11</v>
      </c>
      <c r="F845" s="171">
        <v>29.580000000000002</v>
      </c>
      <c r="G845" s="171">
        <v>28.3</v>
      </c>
      <c r="H845" s="171">
        <v>27.150000000000002</v>
      </c>
      <c r="I845" s="171">
        <v>28.54</v>
      </c>
      <c r="J845" s="171">
        <v>32.21</v>
      </c>
      <c r="K845" s="171">
        <v>37.76</v>
      </c>
      <c r="L845" s="171">
        <v>40.119999999999997</v>
      </c>
      <c r="M845" s="171">
        <v>42.99</v>
      </c>
      <c r="N845" s="171">
        <v>55.43</v>
      </c>
      <c r="O845" s="171">
        <v>58.1</v>
      </c>
      <c r="P845" s="171">
        <v>49</v>
      </c>
      <c r="Q845" s="171">
        <v>53.120000000000005</v>
      </c>
      <c r="R845" s="171">
        <v>49.93</v>
      </c>
      <c r="S845" s="171">
        <v>36.42</v>
      </c>
      <c r="T845" s="171">
        <v>37</v>
      </c>
      <c r="U845" s="171">
        <v>39.700000000000003</v>
      </c>
      <c r="V845" s="171">
        <v>36.590000000000003</v>
      </c>
      <c r="W845" s="171">
        <v>35.25</v>
      </c>
      <c r="X845" s="171">
        <v>34</v>
      </c>
      <c r="Y845" s="171">
        <v>30.75</v>
      </c>
      <c r="Z845" s="171">
        <v>33</v>
      </c>
      <c r="AA845" s="171">
        <v>34.5</v>
      </c>
      <c r="AB845" s="171">
        <v>58.1</v>
      </c>
      <c r="AC845" s="171">
        <v>30.75</v>
      </c>
      <c r="AD845" s="171">
        <v>30.8</v>
      </c>
      <c r="AF845" s="171">
        <f t="shared" si="41"/>
        <v>2009</v>
      </c>
      <c r="AG845" s="171">
        <f t="shared" si="42"/>
        <v>18</v>
      </c>
      <c r="AH845" s="700">
        <f>SUMIF(D$3:$AA845,"&lt;="&amp;$AH$1)/COUNTIF(D$3:$AA845,"&lt;="&amp;$AH$1)</f>
        <v>29.427525631407782</v>
      </c>
    </row>
    <row r="846" spans="2:34" x14ac:dyDescent="0.25">
      <c r="B846" s="910">
        <v>40010</v>
      </c>
      <c r="C846" s="581">
        <f t="shared" si="40"/>
        <v>7</v>
      </c>
      <c r="D846" s="171">
        <v>32.99</v>
      </c>
      <c r="E846" s="171">
        <v>29.54</v>
      </c>
      <c r="F846" s="171">
        <v>28</v>
      </c>
      <c r="G846" s="171">
        <v>24.68</v>
      </c>
      <c r="H846" s="171">
        <v>23.51</v>
      </c>
      <c r="I846" s="171">
        <v>28</v>
      </c>
      <c r="J846" s="171">
        <v>32.82</v>
      </c>
      <c r="K846" s="171">
        <v>40.08</v>
      </c>
      <c r="L846" s="171">
        <v>44.93</v>
      </c>
      <c r="M846" s="171">
        <v>49.28</v>
      </c>
      <c r="N846" s="171">
        <v>55.61</v>
      </c>
      <c r="O846" s="171">
        <v>63.300000000000004</v>
      </c>
      <c r="P846" s="171">
        <v>59.69</v>
      </c>
      <c r="Q846" s="171">
        <v>56.29</v>
      </c>
      <c r="R846" s="171">
        <v>52.730000000000004</v>
      </c>
      <c r="S846" s="171">
        <v>48.1</v>
      </c>
      <c r="T846" s="171">
        <v>47.94</v>
      </c>
      <c r="U846" s="171">
        <v>45</v>
      </c>
      <c r="V846" s="171">
        <v>44.93</v>
      </c>
      <c r="W846" s="171">
        <v>40.39</v>
      </c>
      <c r="X846" s="171">
        <v>40.99</v>
      </c>
      <c r="Y846" s="171">
        <v>38.31</v>
      </c>
      <c r="Z846" s="171">
        <v>38.6</v>
      </c>
      <c r="AA846" s="171">
        <v>34</v>
      </c>
      <c r="AB846" s="171">
        <v>63.300000000000004</v>
      </c>
      <c r="AC846" s="171">
        <v>38.31</v>
      </c>
      <c r="AD846" s="171">
        <v>29.19</v>
      </c>
      <c r="AF846" s="171">
        <f t="shared" si="41"/>
        <v>2009</v>
      </c>
      <c r="AG846" s="171">
        <f t="shared" si="42"/>
        <v>13</v>
      </c>
      <c r="AH846" s="700">
        <f>SUMIF(D$3:$AA846,"&lt;="&amp;$AH$1)/COUNTIF(D$3:$AA846,"&lt;="&amp;$AH$1)</f>
        <v>29.43368618150037</v>
      </c>
    </row>
    <row r="847" spans="2:34" x14ac:dyDescent="0.25">
      <c r="B847" s="910">
        <v>40011</v>
      </c>
      <c r="C847" s="581">
        <f t="shared" si="40"/>
        <v>7</v>
      </c>
      <c r="D847" s="171">
        <v>32.56</v>
      </c>
      <c r="E847" s="171">
        <v>30.25</v>
      </c>
      <c r="F847" s="171">
        <v>27.13</v>
      </c>
      <c r="G847" s="171">
        <v>23.25</v>
      </c>
      <c r="H847" s="171">
        <v>21.5</v>
      </c>
      <c r="I847" s="171">
        <v>25.95</v>
      </c>
      <c r="J847" s="171">
        <v>28.63</v>
      </c>
      <c r="K847" s="171">
        <v>35.19</v>
      </c>
      <c r="L847" s="171">
        <v>35.9</v>
      </c>
      <c r="M847" s="171">
        <v>36.730000000000004</v>
      </c>
      <c r="N847" s="171">
        <v>43.89</v>
      </c>
      <c r="O847" s="171">
        <v>50.6</v>
      </c>
      <c r="P847" s="171">
        <v>45.83</v>
      </c>
      <c r="Q847" s="171">
        <v>41.6</v>
      </c>
      <c r="R847" s="171">
        <v>38</v>
      </c>
      <c r="S847" s="171">
        <v>34.96</v>
      </c>
      <c r="T847" s="171">
        <v>36.35</v>
      </c>
      <c r="U847" s="171">
        <v>35.85</v>
      </c>
      <c r="V847" s="171">
        <v>35.730000000000004</v>
      </c>
      <c r="W847" s="171">
        <v>34.380000000000003</v>
      </c>
      <c r="X847" s="171">
        <v>34.75</v>
      </c>
      <c r="Y847" s="171">
        <v>34.049999999999997</v>
      </c>
      <c r="Z847" s="171">
        <v>36.32</v>
      </c>
      <c r="AA847" s="171">
        <v>33.54</v>
      </c>
      <c r="AB847" s="171">
        <v>50.6</v>
      </c>
      <c r="AC847" s="171">
        <v>34.049999999999997</v>
      </c>
      <c r="AD847" s="171">
        <v>27.85</v>
      </c>
      <c r="AF847" s="171">
        <f t="shared" si="41"/>
        <v>2009</v>
      </c>
      <c r="AG847" s="171">
        <f t="shared" si="42"/>
        <v>21</v>
      </c>
      <c r="AH847" s="700">
        <f>SUMIF(D$3:$AA847,"&lt;="&amp;$AH$1)/COUNTIF(D$3:$AA847,"&lt;="&amp;$AH$1)</f>
        <v>29.442963147410296</v>
      </c>
    </row>
    <row r="848" spans="2:34" x14ac:dyDescent="0.25">
      <c r="B848" s="910">
        <v>40014</v>
      </c>
      <c r="C848" s="581">
        <f t="shared" si="40"/>
        <v>7</v>
      </c>
      <c r="D848" s="171">
        <v>24.96</v>
      </c>
      <c r="E848" s="171">
        <v>17.14</v>
      </c>
      <c r="F848" s="171">
        <v>12.67</v>
      </c>
      <c r="G848" s="171">
        <v>10.17</v>
      </c>
      <c r="H848" s="171">
        <v>9.17</v>
      </c>
      <c r="I848" s="171">
        <v>18</v>
      </c>
      <c r="J848" s="171">
        <v>24.04</v>
      </c>
      <c r="K848" s="171">
        <v>33.880000000000003</v>
      </c>
      <c r="L848" s="171">
        <v>35.96</v>
      </c>
      <c r="M848" s="171">
        <v>38.800000000000004</v>
      </c>
      <c r="N848" s="171">
        <v>36.480000000000004</v>
      </c>
      <c r="O848" s="171">
        <v>44.93</v>
      </c>
      <c r="P848" s="171">
        <v>43.050000000000004</v>
      </c>
      <c r="Q848" s="171">
        <v>41.4</v>
      </c>
      <c r="R848" s="171">
        <v>37.800000000000004</v>
      </c>
      <c r="S848" s="171">
        <v>36.25</v>
      </c>
      <c r="T848" s="171">
        <v>35.71</v>
      </c>
      <c r="U848" s="171">
        <v>41.14</v>
      </c>
      <c r="V848" s="171">
        <v>42.230000000000004</v>
      </c>
      <c r="W848" s="171">
        <v>38.99</v>
      </c>
      <c r="X848" s="171">
        <v>37.5</v>
      </c>
      <c r="Y848" s="171">
        <v>35.700000000000003</v>
      </c>
      <c r="Z848" s="171">
        <v>41.93</v>
      </c>
      <c r="AA848" s="171">
        <v>37.82</v>
      </c>
      <c r="AB848" s="171">
        <v>44.93</v>
      </c>
      <c r="AC848" s="171">
        <v>33.880000000000003</v>
      </c>
      <c r="AD848" s="171">
        <v>19.25</v>
      </c>
      <c r="AF848" s="171">
        <f t="shared" si="41"/>
        <v>2009</v>
      </c>
      <c r="AG848" s="171">
        <f t="shared" si="42"/>
        <v>22</v>
      </c>
      <c r="AH848" s="700">
        <f>SUMIF(D$3:$AA848,"&lt;="&amp;$AH$1)/COUNTIF(D$3:$AA848,"&lt;="&amp;$AH$1)</f>
        <v>29.447928979389069</v>
      </c>
    </row>
    <row r="849" spans="2:34" x14ac:dyDescent="0.25">
      <c r="B849" s="910">
        <v>40015</v>
      </c>
      <c r="C849" s="581">
        <f t="shared" si="40"/>
        <v>7</v>
      </c>
      <c r="D849" s="171">
        <v>32.299999999999997</v>
      </c>
      <c r="E849" s="171">
        <v>29</v>
      </c>
      <c r="F849" s="171">
        <v>24</v>
      </c>
      <c r="G849" s="171">
        <v>18.440000000000001</v>
      </c>
      <c r="H849" s="171">
        <v>18.29</v>
      </c>
      <c r="I849" s="171">
        <v>24.39</v>
      </c>
      <c r="J849" s="171">
        <v>30</v>
      </c>
      <c r="K849" s="171">
        <v>35.69</v>
      </c>
      <c r="L849" s="171">
        <v>36.83</v>
      </c>
      <c r="M849" s="171">
        <v>39</v>
      </c>
      <c r="N849" s="171">
        <v>39.93</v>
      </c>
      <c r="O849" s="171">
        <v>44.93</v>
      </c>
      <c r="P849" s="171">
        <v>47.46</v>
      </c>
      <c r="Q849" s="171">
        <v>46.1</v>
      </c>
      <c r="R849" s="171">
        <v>38.5</v>
      </c>
      <c r="S849" s="171">
        <v>36.21</v>
      </c>
      <c r="T849" s="171">
        <v>38</v>
      </c>
      <c r="U849" s="171">
        <v>38</v>
      </c>
      <c r="V849" s="171">
        <v>34.75</v>
      </c>
      <c r="W849" s="171">
        <v>34.25</v>
      </c>
      <c r="X849" s="171">
        <v>33.549999999999997</v>
      </c>
      <c r="Y849" s="171">
        <v>32.25</v>
      </c>
      <c r="Z849" s="171">
        <v>36</v>
      </c>
      <c r="AA849" s="171">
        <v>33.15</v>
      </c>
      <c r="AB849" s="171">
        <v>47.46</v>
      </c>
      <c r="AC849" s="171">
        <v>32.25</v>
      </c>
      <c r="AD849" s="171">
        <v>26.2</v>
      </c>
      <c r="AF849" s="171">
        <f t="shared" si="41"/>
        <v>2009</v>
      </c>
      <c r="AG849" s="171">
        <f t="shared" si="42"/>
        <v>21</v>
      </c>
      <c r="AH849" s="700">
        <f>SUMIF(D$3:$AA849,"&lt;="&amp;$AH$1)/COUNTIF(D$3:$AA849,"&lt;="&amp;$AH$1)</f>
        <v>29.45586996904019</v>
      </c>
    </row>
    <row r="850" spans="2:34" x14ac:dyDescent="0.25">
      <c r="B850" s="910">
        <v>40016</v>
      </c>
      <c r="C850" s="581">
        <f t="shared" si="40"/>
        <v>7</v>
      </c>
      <c r="D850" s="171">
        <v>29.82</v>
      </c>
      <c r="E850" s="171">
        <v>25.92</v>
      </c>
      <c r="F850" s="171">
        <v>21.3</v>
      </c>
      <c r="G850" s="171">
        <v>17</v>
      </c>
      <c r="H850" s="171">
        <v>16.010000000000002</v>
      </c>
      <c r="I850" s="171">
        <v>23</v>
      </c>
      <c r="J850" s="171">
        <v>29.990000000000002</v>
      </c>
      <c r="K850" s="171">
        <v>35.130000000000003</v>
      </c>
      <c r="L850" s="171">
        <v>41.49</v>
      </c>
      <c r="M850" s="171">
        <v>45.1</v>
      </c>
      <c r="N850" s="171">
        <v>47.4</v>
      </c>
      <c r="O850" s="171">
        <v>52</v>
      </c>
      <c r="P850" s="171">
        <v>39</v>
      </c>
      <c r="Q850" s="171">
        <v>39</v>
      </c>
      <c r="R850" s="171">
        <v>39</v>
      </c>
      <c r="S850" s="171">
        <v>39</v>
      </c>
      <c r="T850" s="171">
        <v>37</v>
      </c>
      <c r="U850" s="171">
        <v>38.619999999999997</v>
      </c>
      <c r="V850" s="171">
        <v>37</v>
      </c>
      <c r="W850" s="171">
        <v>34.14</v>
      </c>
      <c r="X850" s="171">
        <v>33.020000000000003</v>
      </c>
      <c r="Y850" s="171">
        <v>34.5</v>
      </c>
      <c r="Z850" s="171">
        <v>39.910000000000004</v>
      </c>
      <c r="AA850" s="171">
        <v>33</v>
      </c>
      <c r="AB850" s="171">
        <v>52</v>
      </c>
      <c r="AC850" s="171">
        <v>33.020000000000003</v>
      </c>
      <c r="AD850" s="171">
        <v>24.5</v>
      </c>
      <c r="AF850" s="171">
        <f t="shared" si="41"/>
        <v>2009</v>
      </c>
      <c r="AG850" s="171">
        <f t="shared" si="42"/>
        <v>21</v>
      </c>
      <c r="AH850" s="700">
        <f>SUMIF(D$3:$AA850,"&lt;="&amp;$AH$1)/COUNTIF(D$3:$AA850,"&lt;="&amp;$AH$1)</f>
        <v>29.46380928853749</v>
      </c>
    </row>
    <row r="851" spans="2:34" x14ac:dyDescent="0.25">
      <c r="B851" s="910">
        <v>40017</v>
      </c>
      <c r="C851" s="581">
        <f t="shared" si="40"/>
        <v>7</v>
      </c>
      <c r="D851" s="171">
        <v>33.19</v>
      </c>
      <c r="E851" s="171">
        <v>29.35</v>
      </c>
      <c r="F851" s="171">
        <v>24.71</v>
      </c>
      <c r="G851" s="171">
        <v>16.5</v>
      </c>
      <c r="H851" s="171">
        <v>14.88</v>
      </c>
      <c r="I851" s="171">
        <v>23</v>
      </c>
      <c r="J851" s="171">
        <v>30.16</v>
      </c>
      <c r="K851" s="171">
        <v>35.85</v>
      </c>
      <c r="L851" s="171">
        <v>40.4</v>
      </c>
      <c r="M851" s="171">
        <v>44.7</v>
      </c>
      <c r="N851" s="171">
        <v>49.4</v>
      </c>
      <c r="O851" s="171">
        <v>54</v>
      </c>
      <c r="P851" s="171">
        <v>44.93</v>
      </c>
      <c r="Q851" s="171">
        <v>46</v>
      </c>
      <c r="R851" s="171">
        <v>43</v>
      </c>
      <c r="S851" s="171">
        <v>42.25</v>
      </c>
      <c r="T851" s="171">
        <v>41.7</v>
      </c>
      <c r="U851" s="171">
        <v>40.630000000000003</v>
      </c>
      <c r="V851" s="171">
        <v>40.61</v>
      </c>
      <c r="W851" s="171">
        <v>37</v>
      </c>
      <c r="X851" s="171">
        <v>34.5</v>
      </c>
      <c r="Y851" s="171">
        <v>34.18</v>
      </c>
      <c r="Z851" s="171">
        <v>38.700000000000003</v>
      </c>
      <c r="AA851" s="171">
        <v>32</v>
      </c>
      <c r="AB851" s="171">
        <v>54</v>
      </c>
      <c r="AC851" s="171">
        <v>34.18</v>
      </c>
      <c r="AD851" s="171">
        <v>25.47</v>
      </c>
      <c r="AF851" s="171">
        <f t="shared" si="41"/>
        <v>2009</v>
      </c>
      <c r="AG851" s="171">
        <f t="shared" si="42"/>
        <v>18</v>
      </c>
      <c r="AH851" s="700">
        <f>SUMIF(D$3:$AA851,"&lt;="&amp;$AH$1)/COUNTIF(D$3:$AA851,"&lt;="&amp;$AH$1)</f>
        <v>29.471112891298933</v>
      </c>
    </row>
    <row r="852" spans="2:34" x14ac:dyDescent="0.25">
      <c r="B852" s="910">
        <v>40018</v>
      </c>
      <c r="C852" s="581">
        <f t="shared" si="40"/>
        <v>7</v>
      </c>
      <c r="D852" s="171">
        <v>33.75</v>
      </c>
      <c r="E852" s="171">
        <v>30</v>
      </c>
      <c r="F852" s="171">
        <v>26.69</v>
      </c>
      <c r="G852" s="171">
        <v>19</v>
      </c>
      <c r="H852" s="171">
        <v>17.39</v>
      </c>
      <c r="I852" s="171">
        <v>24.560000000000002</v>
      </c>
      <c r="J852" s="171">
        <v>31.17</v>
      </c>
      <c r="K852" s="171">
        <v>33.840000000000003</v>
      </c>
      <c r="L852" s="171">
        <v>37.25</v>
      </c>
      <c r="M852" s="171">
        <v>40.75</v>
      </c>
      <c r="N852" s="171">
        <v>40.39</v>
      </c>
      <c r="O852" s="171">
        <v>45.87</v>
      </c>
      <c r="P852" s="171">
        <v>39.119999999999997</v>
      </c>
      <c r="Q852" s="171">
        <v>36.99</v>
      </c>
      <c r="R852" s="171">
        <v>34.93</v>
      </c>
      <c r="S852" s="171">
        <v>35.22</v>
      </c>
      <c r="T852" s="171">
        <v>34</v>
      </c>
      <c r="U852" s="171">
        <v>34</v>
      </c>
      <c r="V852" s="171">
        <v>33</v>
      </c>
      <c r="W852" s="171">
        <v>31.36</v>
      </c>
      <c r="X852" s="171">
        <v>31</v>
      </c>
      <c r="Y852" s="171">
        <v>31.09</v>
      </c>
      <c r="Z852" s="171">
        <v>35.880000000000003</v>
      </c>
      <c r="AA852" s="171">
        <v>32.9</v>
      </c>
      <c r="AB852" s="171">
        <v>45.87</v>
      </c>
      <c r="AC852" s="171">
        <v>31</v>
      </c>
      <c r="AD852" s="171">
        <v>26.93</v>
      </c>
      <c r="AF852" s="171">
        <f t="shared" si="41"/>
        <v>2009</v>
      </c>
      <c r="AG852" s="171">
        <f t="shared" si="42"/>
        <v>23</v>
      </c>
      <c r="AH852" s="700">
        <f>SUMIF(D$3:$AA852,"&lt;="&amp;$AH$1)/COUNTIF(D$3:$AA852,"&lt;="&amp;$AH$1)</f>
        <v>29.479278603908018</v>
      </c>
    </row>
    <row r="853" spans="2:34" x14ac:dyDescent="0.25">
      <c r="B853" s="910">
        <v>40021</v>
      </c>
      <c r="C853" s="581">
        <f t="shared" si="40"/>
        <v>7</v>
      </c>
      <c r="D853" s="171">
        <v>29.060000000000002</v>
      </c>
      <c r="E853" s="171">
        <v>25.52</v>
      </c>
      <c r="F853" s="171">
        <v>19</v>
      </c>
      <c r="G853" s="171">
        <v>15.01</v>
      </c>
      <c r="H853" s="171">
        <v>14.290000000000001</v>
      </c>
      <c r="I853" s="171">
        <v>18.43</v>
      </c>
      <c r="J853" s="171">
        <v>26.69</v>
      </c>
      <c r="K853" s="171">
        <v>30.490000000000002</v>
      </c>
      <c r="L853" s="171">
        <v>34.39</v>
      </c>
      <c r="M853" s="171">
        <v>35.93</v>
      </c>
      <c r="N853" s="171">
        <v>39.380000000000003</v>
      </c>
      <c r="O853" s="171">
        <v>44.99</v>
      </c>
      <c r="P853" s="171">
        <v>43.59</v>
      </c>
      <c r="Q853" s="171">
        <v>40</v>
      </c>
      <c r="R853" s="171">
        <v>39</v>
      </c>
      <c r="S853" s="171">
        <v>36</v>
      </c>
      <c r="T853" s="171">
        <v>34.410000000000004</v>
      </c>
      <c r="U853" s="171">
        <v>33.9</v>
      </c>
      <c r="V853" s="171">
        <v>31.28</v>
      </c>
      <c r="W853" s="171">
        <v>31</v>
      </c>
      <c r="X853" s="171">
        <v>29.96</v>
      </c>
      <c r="Y853" s="171">
        <v>30.86</v>
      </c>
      <c r="Z853" s="171">
        <v>32.56</v>
      </c>
      <c r="AA853" s="171">
        <v>29.830000000000002</v>
      </c>
      <c r="AB853" s="171">
        <v>44.99</v>
      </c>
      <c r="AC853" s="171">
        <v>29.96</v>
      </c>
      <c r="AD853" s="171">
        <v>22.23</v>
      </c>
      <c r="AF853" s="171">
        <f t="shared" si="41"/>
        <v>2009</v>
      </c>
      <c r="AG853" s="171">
        <f t="shared" si="42"/>
        <v>22</v>
      </c>
      <c r="AH853" s="700">
        <f>SUMIF(D$3:$AA853,"&lt;="&amp;$AH$1)/COUNTIF(D$3:$AA853,"&lt;="&amp;$AH$1)</f>
        <v>29.480313763941599</v>
      </c>
    </row>
    <row r="854" spans="2:34" x14ac:dyDescent="0.25">
      <c r="B854" s="910">
        <v>40022</v>
      </c>
      <c r="C854" s="581">
        <f t="shared" si="40"/>
        <v>7</v>
      </c>
      <c r="D854" s="171">
        <v>27.05</v>
      </c>
      <c r="E854" s="171">
        <v>22.7</v>
      </c>
      <c r="F854" s="171">
        <v>15.030000000000001</v>
      </c>
      <c r="G854" s="171">
        <v>10</v>
      </c>
      <c r="H854" s="171">
        <v>10.5</v>
      </c>
      <c r="I854" s="171">
        <v>12.93</v>
      </c>
      <c r="J854" s="171">
        <v>24.560000000000002</v>
      </c>
      <c r="K854" s="171">
        <v>30.04</v>
      </c>
      <c r="L854" s="171">
        <v>35</v>
      </c>
      <c r="M854" s="171">
        <v>42.25</v>
      </c>
      <c r="N854" s="171">
        <v>45.7</v>
      </c>
      <c r="O854" s="171">
        <v>44.96</v>
      </c>
      <c r="P854" s="171">
        <v>33.299999999999997</v>
      </c>
      <c r="Q854" s="171">
        <v>33</v>
      </c>
      <c r="R854" s="171">
        <v>33</v>
      </c>
      <c r="S854" s="171">
        <v>33</v>
      </c>
      <c r="T854" s="171">
        <v>32.5</v>
      </c>
      <c r="U854" s="171">
        <v>33.4</v>
      </c>
      <c r="V854" s="171">
        <v>32.78</v>
      </c>
      <c r="W854" s="171">
        <v>31.09</v>
      </c>
      <c r="X854" s="171">
        <v>28</v>
      </c>
      <c r="Y854" s="171">
        <v>31.09</v>
      </c>
      <c r="Z854" s="171">
        <v>34.14</v>
      </c>
      <c r="AA854" s="171">
        <v>29</v>
      </c>
      <c r="AB854" s="171">
        <v>45.7</v>
      </c>
      <c r="AC854" s="171">
        <v>28</v>
      </c>
      <c r="AD854" s="171">
        <v>18.97</v>
      </c>
      <c r="AF854" s="171">
        <f t="shared" si="41"/>
        <v>2009</v>
      </c>
      <c r="AG854" s="171">
        <f t="shared" si="42"/>
        <v>22</v>
      </c>
      <c r="AH854" s="700">
        <f>SUMIF(D$3:$AA854,"&lt;="&amp;$AH$1)/COUNTIF(D$3:$AA854,"&lt;="&amp;$AH$1)</f>
        <v>29.476132502139041</v>
      </c>
    </row>
    <row r="855" spans="2:34" x14ac:dyDescent="0.25">
      <c r="B855" s="910">
        <v>40023</v>
      </c>
      <c r="C855" s="581">
        <f t="shared" si="40"/>
        <v>7</v>
      </c>
      <c r="D855" s="171">
        <v>26.150000000000002</v>
      </c>
      <c r="E855" s="171">
        <v>22.05</v>
      </c>
      <c r="F855" s="171">
        <v>16.03</v>
      </c>
      <c r="G855" s="171">
        <v>15.75</v>
      </c>
      <c r="H855" s="171">
        <v>18</v>
      </c>
      <c r="I855" s="171">
        <v>20.64</v>
      </c>
      <c r="J855" s="171">
        <v>28</v>
      </c>
      <c r="K855" s="171">
        <v>32.72</v>
      </c>
      <c r="L855" s="171">
        <v>36.800000000000004</v>
      </c>
      <c r="M855" s="171">
        <v>35.340000000000003</v>
      </c>
      <c r="N855" s="171">
        <v>39.93</v>
      </c>
      <c r="O855" s="171">
        <v>47.75</v>
      </c>
      <c r="P855" s="171">
        <v>45.4</v>
      </c>
      <c r="Q855" s="171">
        <v>43.24</v>
      </c>
      <c r="R855" s="171">
        <v>41</v>
      </c>
      <c r="S855" s="171">
        <v>40.5</v>
      </c>
      <c r="T855" s="171">
        <v>40</v>
      </c>
      <c r="U855" s="171">
        <v>38.58</v>
      </c>
      <c r="V855" s="171">
        <v>38.74</v>
      </c>
      <c r="W855" s="171">
        <v>34.96</v>
      </c>
      <c r="X855" s="171">
        <v>34.869999999999997</v>
      </c>
      <c r="Y855" s="171">
        <v>34.6</v>
      </c>
      <c r="Z855" s="171">
        <v>37.800000000000004</v>
      </c>
      <c r="AA855" s="171">
        <v>33</v>
      </c>
      <c r="AB855" s="171">
        <v>47.75</v>
      </c>
      <c r="AC855" s="171">
        <v>32.72</v>
      </c>
      <c r="AD855" s="171">
        <v>22.45</v>
      </c>
      <c r="AF855" s="171">
        <f t="shared" si="41"/>
        <v>2009</v>
      </c>
      <c r="AG855" s="171">
        <f t="shared" si="42"/>
        <v>21</v>
      </c>
      <c r="AH855" s="700">
        <f>SUMIF(D$3:$AA855,"&lt;="&amp;$AH$1)/COUNTIF(D$3:$AA855,"&lt;="&amp;$AH$1)</f>
        <v>29.481797122652942</v>
      </c>
    </row>
    <row r="856" spans="2:34" x14ac:dyDescent="0.25">
      <c r="B856" s="910">
        <v>40024</v>
      </c>
      <c r="C856" s="581">
        <f t="shared" si="40"/>
        <v>7</v>
      </c>
      <c r="D856" s="171">
        <v>25</v>
      </c>
      <c r="E856" s="171">
        <v>21.43</v>
      </c>
      <c r="F856" s="171">
        <v>13</v>
      </c>
      <c r="G856" s="171">
        <v>9.5</v>
      </c>
      <c r="H856" s="171">
        <v>10.18</v>
      </c>
      <c r="I856" s="171">
        <v>13.55</v>
      </c>
      <c r="J856" s="171">
        <v>14.93</v>
      </c>
      <c r="K856" s="171">
        <v>28.25</v>
      </c>
      <c r="L856" s="171">
        <v>31.720000000000002</v>
      </c>
      <c r="M856" s="171">
        <v>32.799999999999997</v>
      </c>
      <c r="N856" s="171">
        <v>32.5</v>
      </c>
      <c r="O856" s="171">
        <v>33.25</v>
      </c>
      <c r="P856" s="171">
        <v>33.36</v>
      </c>
      <c r="Q856" s="171">
        <v>33.65</v>
      </c>
      <c r="R856" s="171">
        <v>34</v>
      </c>
      <c r="S856" s="171">
        <v>34</v>
      </c>
      <c r="T856" s="171">
        <v>33.47</v>
      </c>
      <c r="U856" s="171">
        <v>33.6</v>
      </c>
      <c r="V856" s="171">
        <v>33</v>
      </c>
      <c r="W856" s="171">
        <v>31.29</v>
      </c>
      <c r="X856" s="171">
        <v>32</v>
      </c>
      <c r="Y856" s="171">
        <v>31.7</v>
      </c>
      <c r="Z856" s="171">
        <v>35.33</v>
      </c>
      <c r="AA856" s="171">
        <v>28.5</v>
      </c>
      <c r="AB856" s="171">
        <v>35.33</v>
      </c>
      <c r="AC856" s="171">
        <v>28.25</v>
      </c>
      <c r="AD856" s="171">
        <v>17.010000000000002</v>
      </c>
      <c r="AF856" s="171">
        <f t="shared" si="41"/>
        <v>2009</v>
      </c>
      <c r="AG856" s="171">
        <f t="shared" si="42"/>
        <v>24</v>
      </c>
      <c r="AH856" s="700">
        <f>SUMIF(D$3:$AA856,"&lt;="&amp;$AH$1)/COUNTIF(D$3:$AA856,"&lt;="&amp;$AH$1)</f>
        <v>29.476016289812712</v>
      </c>
    </row>
    <row r="857" spans="2:34" x14ac:dyDescent="0.25">
      <c r="B857" s="910">
        <v>40025</v>
      </c>
      <c r="C857" s="581">
        <f t="shared" si="40"/>
        <v>7</v>
      </c>
      <c r="D857" s="171">
        <v>20.5</v>
      </c>
      <c r="E857" s="171">
        <v>15.75</v>
      </c>
      <c r="F857" s="171">
        <v>10</v>
      </c>
      <c r="G857" s="171">
        <v>8.25</v>
      </c>
      <c r="H857" s="171">
        <v>8.1999999999999993</v>
      </c>
      <c r="I857" s="171">
        <v>13.75</v>
      </c>
      <c r="J857" s="171">
        <v>27.27</v>
      </c>
      <c r="K857" s="171">
        <v>30.240000000000002</v>
      </c>
      <c r="L857" s="171">
        <v>35.35</v>
      </c>
      <c r="M857" s="171">
        <v>37.840000000000003</v>
      </c>
      <c r="N857" s="171">
        <v>41.04</v>
      </c>
      <c r="O857" s="171">
        <v>43.88</v>
      </c>
      <c r="P857" s="171">
        <v>42.21</v>
      </c>
      <c r="Q857" s="171">
        <v>40.25</v>
      </c>
      <c r="R857" s="171">
        <v>39</v>
      </c>
      <c r="S857" s="171">
        <v>37.46</v>
      </c>
      <c r="T857" s="171">
        <v>36.200000000000003</v>
      </c>
      <c r="U857" s="171">
        <v>34.99</v>
      </c>
      <c r="V857" s="171">
        <v>34.75</v>
      </c>
      <c r="W857" s="171">
        <v>33.97</v>
      </c>
      <c r="X857" s="171">
        <v>33.25</v>
      </c>
      <c r="Y857" s="171">
        <v>33.25</v>
      </c>
      <c r="Z857" s="171">
        <v>36.980000000000004</v>
      </c>
      <c r="AA857" s="171">
        <v>32</v>
      </c>
      <c r="AB857" s="171">
        <v>43.88</v>
      </c>
      <c r="AC857" s="171">
        <v>30.240000000000002</v>
      </c>
      <c r="AD857" s="171">
        <v>16.97</v>
      </c>
      <c r="AF857" s="171">
        <f t="shared" si="41"/>
        <v>2009</v>
      </c>
      <c r="AG857" s="171">
        <f t="shared" si="42"/>
        <v>23</v>
      </c>
      <c r="AH857" s="700">
        <f>SUMIF(D$3:$AA857,"&lt;="&amp;$AH$1)/COUNTIF(D$3:$AA857,"&lt;="&amp;$AH$1)</f>
        <v>29.476568068856757</v>
      </c>
    </row>
    <row r="858" spans="2:34" x14ac:dyDescent="0.25">
      <c r="B858" s="910">
        <v>40028</v>
      </c>
      <c r="C858" s="581">
        <f t="shared" si="40"/>
        <v>8</v>
      </c>
      <c r="D858" s="171">
        <v>27</v>
      </c>
      <c r="E858" s="171">
        <v>22.82</v>
      </c>
      <c r="F858" s="171">
        <v>17.330000000000002</v>
      </c>
      <c r="G858" s="171">
        <v>10</v>
      </c>
      <c r="H858" s="171">
        <v>10.93</v>
      </c>
      <c r="I858" s="171">
        <v>19.900000000000002</v>
      </c>
      <c r="J858" s="171">
        <v>28.37</v>
      </c>
      <c r="K858" s="171">
        <v>35.9</v>
      </c>
      <c r="L858" s="171">
        <v>37.57</v>
      </c>
      <c r="M858" s="171">
        <v>39.93</v>
      </c>
      <c r="N858" s="171">
        <v>44.72</v>
      </c>
      <c r="O858" s="171">
        <v>46.95</v>
      </c>
      <c r="P858" s="171">
        <v>42.49</v>
      </c>
      <c r="Q858" s="171">
        <v>42.5</v>
      </c>
      <c r="R858" s="171">
        <v>40.07</v>
      </c>
      <c r="S858" s="171">
        <v>39.93</v>
      </c>
      <c r="T858" s="171">
        <v>39</v>
      </c>
      <c r="U858" s="171">
        <v>38.46</v>
      </c>
      <c r="V858" s="171">
        <v>36.28</v>
      </c>
      <c r="W858" s="171">
        <v>35</v>
      </c>
      <c r="X858" s="171">
        <v>33.1</v>
      </c>
      <c r="Y858" s="171">
        <v>34.730000000000004</v>
      </c>
      <c r="Z858" s="171">
        <v>38.17</v>
      </c>
      <c r="AA858" s="171">
        <v>31.900000000000002</v>
      </c>
      <c r="AB858" s="171">
        <v>46.95</v>
      </c>
      <c r="AC858" s="171">
        <v>33.1</v>
      </c>
      <c r="AD858" s="171">
        <v>25.85</v>
      </c>
      <c r="AF858" s="171">
        <f t="shared" si="41"/>
        <v>2009</v>
      </c>
      <c r="AG858" s="171">
        <f t="shared" si="42"/>
        <v>22</v>
      </c>
      <c r="AH858" s="700">
        <f>SUMIF(D$3:$AA858,"&lt;="&amp;$AH$1)/COUNTIF(D$3:$AA858,"&lt;="&amp;$AH$1)</f>
        <v>29.482963365977433</v>
      </c>
    </row>
    <row r="859" spans="2:34" x14ac:dyDescent="0.25">
      <c r="B859" s="910">
        <v>40029</v>
      </c>
      <c r="C859" s="581">
        <f t="shared" si="40"/>
        <v>8</v>
      </c>
      <c r="D859" s="171">
        <v>27.11</v>
      </c>
      <c r="E859" s="171">
        <v>24.55</v>
      </c>
      <c r="F859" s="171">
        <v>21</v>
      </c>
      <c r="G859" s="171">
        <v>14.77</v>
      </c>
      <c r="H859" s="171">
        <v>14.14</v>
      </c>
      <c r="I859" s="171">
        <v>23</v>
      </c>
      <c r="J859" s="171">
        <v>26</v>
      </c>
      <c r="K859" s="171">
        <v>29.59</v>
      </c>
      <c r="L859" s="171">
        <v>34.82</v>
      </c>
      <c r="M859" s="171">
        <v>38</v>
      </c>
      <c r="N859" s="171">
        <v>42.19</v>
      </c>
      <c r="O859" s="171">
        <v>46.33</v>
      </c>
      <c r="P859" s="171">
        <v>45</v>
      </c>
      <c r="Q859" s="171">
        <v>44.99</v>
      </c>
      <c r="R859" s="171">
        <v>43.660000000000004</v>
      </c>
      <c r="S859" s="171">
        <v>41.26</v>
      </c>
      <c r="T859" s="171">
        <v>41.94</v>
      </c>
      <c r="U859" s="171">
        <v>41.5</v>
      </c>
      <c r="V859" s="171">
        <v>40.130000000000003</v>
      </c>
      <c r="W859" s="171">
        <v>37.92</v>
      </c>
      <c r="X859" s="171">
        <v>36.01</v>
      </c>
      <c r="Y859" s="171">
        <v>37.01</v>
      </c>
      <c r="Z859" s="171">
        <v>37.83</v>
      </c>
      <c r="AA859" s="171">
        <v>32.36</v>
      </c>
      <c r="AB859" s="171">
        <v>39.89</v>
      </c>
      <c r="AC859" s="171">
        <v>33.1</v>
      </c>
      <c r="AD859" s="171">
        <v>26.95</v>
      </c>
      <c r="AF859" s="171">
        <f t="shared" si="41"/>
        <v>2009</v>
      </c>
      <c r="AG859" s="171">
        <f t="shared" si="42"/>
        <v>20</v>
      </c>
      <c r="AH859" s="700">
        <f>SUMIF(D$3:$AA859,"&lt;="&amp;$AH$1)/COUNTIF(D$3:$AA859,"&lt;="&amp;$AH$1)</f>
        <v>29.489171390664499</v>
      </c>
    </row>
    <row r="860" spans="2:34" x14ac:dyDescent="0.25">
      <c r="B860" s="910">
        <v>40030</v>
      </c>
      <c r="C860" s="581">
        <f t="shared" si="40"/>
        <v>8</v>
      </c>
      <c r="D860" s="171">
        <v>29.3</v>
      </c>
      <c r="E860" s="171">
        <v>26.740000000000002</v>
      </c>
      <c r="F860" s="171">
        <v>23.72</v>
      </c>
      <c r="G860" s="171">
        <v>12.09</v>
      </c>
      <c r="H860" s="171">
        <v>10.84</v>
      </c>
      <c r="I860" s="171">
        <v>23</v>
      </c>
      <c r="J860" s="171">
        <v>29</v>
      </c>
      <c r="K860" s="171">
        <v>32.5</v>
      </c>
      <c r="L860" s="171">
        <v>35</v>
      </c>
      <c r="M860" s="171">
        <v>41.72</v>
      </c>
      <c r="N860" s="171">
        <v>47.54</v>
      </c>
      <c r="O860" s="171">
        <v>51.050000000000004</v>
      </c>
      <c r="P860" s="171">
        <v>53.93</v>
      </c>
      <c r="Q860" s="171">
        <v>50.18</v>
      </c>
      <c r="R860" s="171">
        <v>47.410000000000004</v>
      </c>
      <c r="S860" s="171">
        <v>44.68</v>
      </c>
      <c r="T860" s="171">
        <v>41.61</v>
      </c>
      <c r="U860" s="171">
        <v>40.49</v>
      </c>
      <c r="V860" s="171">
        <v>39.700000000000003</v>
      </c>
      <c r="W860" s="171">
        <v>37</v>
      </c>
      <c r="X860" s="171">
        <v>34.79</v>
      </c>
      <c r="Y860" s="171">
        <v>36.270000000000003</v>
      </c>
      <c r="Z860" s="171">
        <v>37</v>
      </c>
      <c r="AA860" s="171">
        <v>32.49</v>
      </c>
      <c r="AB860" s="171">
        <v>53.93</v>
      </c>
      <c r="AC860" s="171">
        <v>32.5</v>
      </c>
      <c r="AD860" s="171">
        <v>27.310000000000002</v>
      </c>
      <c r="AF860" s="171">
        <f t="shared" si="41"/>
        <v>2009</v>
      </c>
      <c r="AG860" s="171">
        <f t="shared" si="42"/>
        <v>18</v>
      </c>
      <c r="AH860" s="700">
        <f>SUMIF(D$3:$AA860,"&lt;="&amp;$AH$1)/COUNTIF(D$3:$AA860,"&lt;="&amp;$AH$1)</f>
        <v>29.493077385966942</v>
      </c>
    </row>
    <row r="861" spans="2:34" x14ac:dyDescent="0.25">
      <c r="B861" s="910">
        <v>40031</v>
      </c>
      <c r="C861" s="581">
        <f t="shared" si="40"/>
        <v>8</v>
      </c>
      <c r="D861" s="171">
        <v>26</v>
      </c>
      <c r="E861" s="171">
        <v>22.03</v>
      </c>
      <c r="F861" s="171">
        <v>20</v>
      </c>
      <c r="G861" s="171">
        <v>15.17</v>
      </c>
      <c r="H861" s="171">
        <v>13</v>
      </c>
      <c r="I861" s="171">
        <v>21.01</v>
      </c>
      <c r="J861" s="171">
        <v>28.69</v>
      </c>
      <c r="K861" s="171">
        <v>35</v>
      </c>
      <c r="L861" s="171">
        <v>37.82</v>
      </c>
      <c r="M861" s="171">
        <v>41.9</v>
      </c>
      <c r="N861" s="171">
        <v>49.28</v>
      </c>
      <c r="O861" s="171">
        <v>54.300000000000004</v>
      </c>
      <c r="P861" s="171">
        <v>50.46</v>
      </c>
      <c r="Q861" s="171">
        <v>48.35</v>
      </c>
      <c r="R861" s="171">
        <v>46</v>
      </c>
      <c r="S861" s="171">
        <v>43.79</v>
      </c>
      <c r="T861" s="171">
        <v>40</v>
      </c>
      <c r="U861" s="171">
        <v>39.25</v>
      </c>
      <c r="V861" s="171">
        <v>38.69</v>
      </c>
      <c r="W861" s="171">
        <v>36.57</v>
      </c>
      <c r="X861" s="171">
        <v>33.64</v>
      </c>
      <c r="Y861" s="171">
        <v>36.1</v>
      </c>
      <c r="Z861" s="171">
        <v>37.4</v>
      </c>
      <c r="AA861" s="171">
        <v>32.01</v>
      </c>
      <c r="AB861" s="171">
        <v>54.300000000000004</v>
      </c>
      <c r="AC861" s="171">
        <v>33.64</v>
      </c>
      <c r="AD861" s="171">
        <v>26.67</v>
      </c>
      <c r="AF861" s="171">
        <f t="shared" si="41"/>
        <v>2009</v>
      </c>
      <c r="AG861" s="171">
        <f t="shared" si="42"/>
        <v>18</v>
      </c>
      <c r="AH861" s="700">
        <f>SUMIF(D$3:$AA861,"&lt;="&amp;$AH$1)/COUNTIF(D$3:$AA861,"&lt;="&amp;$AH$1)</f>
        <v>29.495888074936875</v>
      </c>
    </row>
    <row r="862" spans="2:34" x14ac:dyDescent="0.25">
      <c r="B862" s="910">
        <v>40032</v>
      </c>
      <c r="C862" s="581">
        <f t="shared" si="40"/>
        <v>8</v>
      </c>
      <c r="D862" s="171">
        <v>29.98</v>
      </c>
      <c r="E862" s="171">
        <v>27.03</v>
      </c>
      <c r="F862" s="171">
        <v>21.62</v>
      </c>
      <c r="G862" s="171">
        <v>16.82</v>
      </c>
      <c r="H862" s="171">
        <v>16.82</v>
      </c>
      <c r="I862" s="171">
        <v>23.87</v>
      </c>
      <c r="J862" s="171">
        <v>30</v>
      </c>
      <c r="K862" s="171">
        <v>33.24</v>
      </c>
      <c r="L862" s="171">
        <v>37.07</v>
      </c>
      <c r="M862" s="171">
        <v>44.08</v>
      </c>
      <c r="N862" s="171">
        <v>52</v>
      </c>
      <c r="O862" s="171">
        <v>54.58</v>
      </c>
      <c r="P862" s="171">
        <v>53.78</v>
      </c>
      <c r="Q862" s="171">
        <v>49.89</v>
      </c>
      <c r="R862" s="171">
        <v>47.54</v>
      </c>
      <c r="S862" s="171">
        <v>41.410000000000004</v>
      </c>
      <c r="T862" s="171">
        <v>39.21</v>
      </c>
      <c r="U862" s="171">
        <v>39.04</v>
      </c>
      <c r="V862" s="171">
        <v>37</v>
      </c>
      <c r="W862" s="171">
        <v>36.5</v>
      </c>
      <c r="X862" s="171">
        <v>34.46</v>
      </c>
      <c r="Y862" s="171">
        <v>35.01</v>
      </c>
      <c r="Z862" s="171">
        <v>35</v>
      </c>
      <c r="AA862" s="171">
        <v>31.3</v>
      </c>
      <c r="AB862" s="171">
        <v>54.58</v>
      </c>
      <c r="AC862" s="171">
        <v>33.24</v>
      </c>
      <c r="AD862" s="171">
        <v>27.93</v>
      </c>
      <c r="AF862" s="171">
        <f t="shared" si="41"/>
        <v>2009</v>
      </c>
      <c r="AG862" s="171">
        <f t="shared" si="42"/>
        <v>18</v>
      </c>
      <c r="AH862" s="700">
        <f>SUMIF(D$3:$AA862,"&lt;="&amp;$AH$1)/COUNTIF(D$3:$AA862,"&lt;="&amp;$AH$1)</f>
        <v>29.500016776512808</v>
      </c>
    </row>
    <row r="863" spans="2:34" x14ac:dyDescent="0.25">
      <c r="B863" s="910">
        <v>40035</v>
      </c>
      <c r="C863" s="581">
        <f t="shared" si="40"/>
        <v>8</v>
      </c>
      <c r="D863" s="171">
        <v>27.61</v>
      </c>
      <c r="E863" s="171">
        <v>23.650000000000002</v>
      </c>
      <c r="F863" s="171">
        <v>18.150000000000002</v>
      </c>
      <c r="G863" s="171">
        <v>14</v>
      </c>
      <c r="H863" s="171">
        <v>13</v>
      </c>
      <c r="I863" s="171">
        <v>18.23</v>
      </c>
      <c r="J863" s="171">
        <v>28</v>
      </c>
      <c r="K863" s="171">
        <v>30.91</v>
      </c>
      <c r="L863" s="171">
        <v>31.970000000000002</v>
      </c>
      <c r="M863" s="171">
        <v>35</v>
      </c>
      <c r="N863" s="171">
        <v>42</v>
      </c>
      <c r="O863" s="171">
        <v>45.09</v>
      </c>
      <c r="P863" s="171">
        <v>44.13</v>
      </c>
      <c r="Q863" s="171">
        <v>41.49</v>
      </c>
      <c r="R863" s="171">
        <v>40.99</v>
      </c>
      <c r="S863" s="171">
        <v>34.96</v>
      </c>
      <c r="T863" s="171">
        <v>33.58</v>
      </c>
      <c r="U863" s="171">
        <v>33.660000000000004</v>
      </c>
      <c r="V863" s="171">
        <v>32.5</v>
      </c>
      <c r="W863" s="171">
        <v>32.47</v>
      </c>
      <c r="X863" s="171">
        <v>34</v>
      </c>
      <c r="Y863" s="171">
        <v>38</v>
      </c>
      <c r="Z863" s="171">
        <v>36.700000000000003</v>
      </c>
      <c r="AA863" s="171">
        <v>32</v>
      </c>
      <c r="AB863" s="171">
        <v>45.09</v>
      </c>
      <c r="AC863" s="171">
        <v>30.91</v>
      </c>
      <c r="AD863" s="171">
        <v>26.19</v>
      </c>
      <c r="AF863" s="171">
        <f t="shared" si="41"/>
        <v>2009</v>
      </c>
      <c r="AG863" s="171">
        <f t="shared" si="42"/>
        <v>22</v>
      </c>
      <c r="AH863" s="700">
        <f>SUMIF(D$3:$AA863,"&lt;="&amp;$AH$1)/COUNTIF(D$3:$AA863,"&lt;="&amp;$AH$1)</f>
        <v>29.502869606788494</v>
      </c>
    </row>
    <row r="864" spans="2:34" x14ac:dyDescent="0.25">
      <c r="B864" s="910">
        <v>40036</v>
      </c>
      <c r="C864" s="581">
        <f t="shared" si="40"/>
        <v>8</v>
      </c>
      <c r="D864" s="171">
        <v>25.900000000000002</v>
      </c>
      <c r="E864" s="171">
        <v>20.38</v>
      </c>
      <c r="F864" s="171">
        <v>16.559999999999999</v>
      </c>
      <c r="G864" s="171">
        <v>12</v>
      </c>
      <c r="H864" s="171">
        <v>10.74</v>
      </c>
      <c r="I864" s="171">
        <v>20.21</v>
      </c>
      <c r="J864" s="171">
        <v>28.85</v>
      </c>
      <c r="K864" s="171">
        <v>33.71</v>
      </c>
      <c r="L864" s="171">
        <v>37</v>
      </c>
      <c r="M864" s="171">
        <v>39.050000000000004</v>
      </c>
      <c r="N864" s="171">
        <v>45</v>
      </c>
      <c r="O864" s="171">
        <v>48.43</v>
      </c>
      <c r="P864" s="171">
        <v>46.09</v>
      </c>
      <c r="Q864" s="171">
        <v>42.7</v>
      </c>
      <c r="R864" s="171">
        <v>41.7</v>
      </c>
      <c r="S864" s="171">
        <v>38</v>
      </c>
      <c r="T864" s="171">
        <v>35.6</v>
      </c>
      <c r="U864" s="171">
        <v>34.96</v>
      </c>
      <c r="V864" s="171">
        <v>33.1</v>
      </c>
      <c r="W864" s="171">
        <v>32.31</v>
      </c>
      <c r="X864" s="171">
        <v>32.81</v>
      </c>
      <c r="Y864" s="171">
        <v>35</v>
      </c>
      <c r="Z864" s="171">
        <v>35.04</v>
      </c>
      <c r="AA864" s="171">
        <v>30</v>
      </c>
      <c r="AB864" s="171">
        <v>48.43</v>
      </c>
      <c r="AC864" s="171">
        <v>32.31</v>
      </c>
      <c r="AD864" s="171">
        <v>25.1</v>
      </c>
      <c r="AF864" s="171">
        <f t="shared" si="41"/>
        <v>2009</v>
      </c>
      <c r="AG864" s="171">
        <f t="shared" si="42"/>
        <v>20</v>
      </c>
      <c r="AH864" s="700">
        <f>SUMIF(D$3:$AA864,"&lt;="&amp;$AH$1)/COUNTIF(D$3:$AA864,"&lt;="&amp;$AH$1)</f>
        <v>29.503210921664401</v>
      </c>
    </row>
    <row r="865" spans="2:34" x14ac:dyDescent="0.25">
      <c r="B865" s="910">
        <v>40037</v>
      </c>
      <c r="C865" s="581">
        <f t="shared" si="40"/>
        <v>8</v>
      </c>
      <c r="D865" s="171">
        <v>25</v>
      </c>
      <c r="E865" s="171">
        <v>16.850000000000001</v>
      </c>
      <c r="F865" s="171">
        <v>13.76</v>
      </c>
      <c r="G865" s="171">
        <v>10.77</v>
      </c>
      <c r="H865" s="171">
        <v>13.57</v>
      </c>
      <c r="I865" s="171">
        <v>24</v>
      </c>
      <c r="J865" s="171">
        <v>30.92</v>
      </c>
      <c r="K865" s="171">
        <v>35.119999999999997</v>
      </c>
      <c r="L865" s="171">
        <v>35.79</v>
      </c>
      <c r="M865" s="171">
        <v>38.340000000000003</v>
      </c>
      <c r="N865" s="171">
        <v>41.7</v>
      </c>
      <c r="O865" s="171">
        <v>45.1</v>
      </c>
      <c r="P865" s="171">
        <v>44.93</v>
      </c>
      <c r="Q865" s="171">
        <v>42.28</v>
      </c>
      <c r="R865" s="171">
        <v>40.119999999999997</v>
      </c>
      <c r="S865" s="171">
        <v>37.47</v>
      </c>
      <c r="T865" s="171">
        <v>35.9</v>
      </c>
      <c r="U865" s="171">
        <v>36.08</v>
      </c>
      <c r="V865" s="171">
        <v>35.33</v>
      </c>
      <c r="W865" s="171">
        <v>33.049999999999997</v>
      </c>
      <c r="X865" s="171">
        <v>32.14</v>
      </c>
      <c r="Y865" s="171">
        <v>33.25</v>
      </c>
      <c r="Z865" s="171">
        <v>34</v>
      </c>
      <c r="AA865" s="171">
        <v>30.09</v>
      </c>
      <c r="AB865" s="171">
        <v>45.1</v>
      </c>
      <c r="AC865" s="171">
        <v>32.14</v>
      </c>
      <c r="AD865" s="171">
        <v>24.96</v>
      </c>
      <c r="AF865" s="171">
        <f t="shared" si="41"/>
        <v>2009</v>
      </c>
      <c r="AG865" s="171">
        <f t="shared" si="42"/>
        <v>22</v>
      </c>
      <c r="AH865" s="700">
        <f>SUMIF(D$3:$AA865,"&lt;="&amp;$AH$1)/COUNTIF(D$3:$AA865,"&lt;="&amp;$AH$1)</f>
        <v>29.506357474134774</v>
      </c>
    </row>
    <row r="866" spans="2:34" x14ac:dyDescent="0.25">
      <c r="B866" s="910">
        <v>40038</v>
      </c>
      <c r="C866" s="581">
        <f t="shared" si="40"/>
        <v>8</v>
      </c>
      <c r="D866" s="171">
        <v>28.34</v>
      </c>
      <c r="E866" s="171">
        <v>21.35</v>
      </c>
      <c r="F866" s="171">
        <v>14.59</v>
      </c>
      <c r="G866" s="171">
        <v>13.6</v>
      </c>
      <c r="H866" s="171">
        <v>13.3</v>
      </c>
      <c r="I866" s="171">
        <v>22.03</v>
      </c>
      <c r="J866" s="171">
        <v>32.03</v>
      </c>
      <c r="K866" s="171">
        <v>36.26</v>
      </c>
      <c r="L866" s="171">
        <v>37.910000000000004</v>
      </c>
      <c r="M866" s="171">
        <v>41.68</v>
      </c>
      <c r="N866" s="171">
        <v>43.730000000000004</v>
      </c>
      <c r="O866" s="171">
        <v>46</v>
      </c>
      <c r="P866" s="171">
        <v>45.08</v>
      </c>
      <c r="Q866" s="171">
        <v>41.1</v>
      </c>
      <c r="R866" s="171">
        <v>40</v>
      </c>
      <c r="S866" s="171">
        <v>37</v>
      </c>
      <c r="T866" s="171">
        <v>36</v>
      </c>
      <c r="U866" s="171">
        <v>36</v>
      </c>
      <c r="V866" s="171">
        <v>36.119999999999997</v>
      </c>
      <c r="W866" s="171">
        <v>36.590000000000003</v>
      </c>
      <c r="X866" s="171">
        <v>34.18</v>
      </c>
      <c r="Y866" s="171">
        <v>34.83</v>
      </c>
      <c r="Z866" s="171">
        <v>37.71</v>
      </c>
      <c r="AA866" s="171">
        <v>32.04</v>
      </c>
      <c r="AB866" s="171">
        <v>46</v>
      </c>
      <c r="AC866" s="171">
        <v>34.18</v>
      </c>
      <c r="AD866" s="171">
        <v>26.69</v>
      </c>
      <c r="AF866" s="171">
        <f t="shared" si="41"/>
        <v>2009</v>
      </c>
      <c r="AG866" s="171">
        <f t="shared" si="42"/>
        <v>21</v>
      </c>
      <c r="AH866" s="700">
        <f>SUMIF(D$3:$AA866,"&lt;="&amp;$AH$1)/COUNTIF(D$3:$AA866,"&lt;="&amp;$AH$1)</f>
        <v>29.511461447212252</v>
      </c>
    </row>
    <row r="867" spans="2:34" x14ac:dyDescent="0.25">
      <c r="B867" s="910">
        <v>40039</v>
      </c>
      <c r="C867" s="581">
        <f t="shared" si="40"/>
        <v>8</v>
      </c>
      <c r="D867" s="171">
        <v>30.87</v>
      </c>
      <c r="E867" s="171">
        <v>24</v>
      </c>
      <c r="F867" s="171">
        <v>18</v>
      </c>
      <c r="G867" s="171">
        <v>14.44</v>
      </c>
      <c r="H867" s="171">
        <v>18</v>
      </c>
      <c r="I867" s="171">
        <v>27.6</v>
      </c>
      <c r="J867" s="171">
        <v>33.47</v>
      </c>
      <c r="K867" s="171">
        <v>38</v>
      </c>
      <c r="L867" s="171">
        <v>39.119999999999997</v>
      </c>
      <c r="M867" s="171">
        <v>41.69</v>
      </c>
      <c r="N867" s="171">
        <v>47.64</v>
      </c>
      <c r="O867" s="171">
        <v>49.93</v>
      </c>
      <c r="P867" s="171">
        <v>49.61</v>
      </c>
      <c r="Q867" s="171">
        <v>45.65</v>
      </c>
      <c r="R867" s="171">
        <v>42.58</v>
      </c>
      <c r="S867" s="171">
        <v>39.99</v>
      </c>
      <c r="T867" s="171">
        <v>37.79</v>
      </c>
      <c r="U867" s="171">
        <v>37.660000000000004</v>
      </c>
      <c r="V867" s="171">
        <v>36.22</v>
      </c>
      <c r="W867" s="171">
        <v>35.5</v>
      </c>
      <c r="X867" s="171">
        <v>35</v>
      </c>
      <c r="Y867" s="171">
        <v>36.42</v>
      </c>
      <c r="Z867" s="171">
        <v>39.96</v>
      </c>
      <c r="AA867" s="171">
        <v>32.99</v>
      </c>
      <c r="AB867" s="171">
        <v>49.93</v>
      </c>
      <c r="AC867" s="171">
        <v>35</v>
      </c>
      <c r="AD867" s="171">
        <v>29.060000000000002</v>
      </c>
      <c r="AF867" s="171">
        <f t="shared" si="41"/>
        <v>2009</v>
      </c>
      <c r="AG867" s="171">
        <f t="shared" si="42"/>
        <v>19</v>
      </c>
      <c r="AH867" s="700">
        <f>SUMIF(D$3:$AA867,"&lt;="&amp;$AH$1)/COUNTIF(D$3:$AA867,"&lt;="&amp;$AH$1)</f>
        <v>29.518089714759061</v>
      </c>
    </row>
    <row r="868" spans="2:34" x14ac:dyDescent="0.25">
      <c r="B868" s="910">
        <v>40042</v>
      </c>
      <c r="C868" s="581">
        <f t="shared" si="40"/>
        <v>8</v>
      </c>
      <c r="D868" s="171">
        <v>26.5</v>
      </c>
      <c r="E868" s="171">
        <v>17.5</v>
      </c>
      <c r="F868" s="171">
        <v>15</v>
      </c>
      <c r="G868" s="171">
        <v>9.5</v>
      </c>
      <c r="H868" s="171">
        <v>6.5</v>
      </c>
      <c r="I868" s="171">
        <v>19</v>
      </c>
      <c r="J868" s="171">
        <v>27.3</v>
      </c>
      <c r="K868" s="171">
        <v>33.24</v>
      </c>
      <c r="L868" s="171">
        <v>37.9</v>
      </c>
      <c r="M868" s="171">
        <v>40.86</v>
      </c>
      <c r="N868" s="171">
        <v>47.31</v>
      </c>
      <c r="O868" s="171">
        <v>50.43</v>
      </c>
      <c r="P868" s="171">
        <v>49.36</v>
      </c>
      <c r="Q868" s="171">
        <v>47.910000000000004</v>
      </c>
      <c r="R868" s="171">
        <v>45.38</v>
      </c>
      <c r="S868" s="171">
        <v>42.15</v>
      </c>
      <c r="T868" s="171">
        <v>38.39</v>
      </c>
      <c r="U868" s="171">
        <v>38.61</v>
      </c>
      <c r="V868" s="171">
        <v>38.950000000000003</v>
      </c>
      <c r="W868" s="171">
        <v>37.18</v>
      </c>
      <c r="X868" s="171">
        <v>35.89</v>
      </c>
      <c r="Y868" s="171">
        <v>38.730000000000004</v>
      </c>
      <c r="Z868" s="171">
        <v>39.18</v>
      </c>
      <c r="AA868" s="171">
        <v>34.75</v>
      </c>
      <c r="AB868" s="171">
        <v>50.43</v>
      </c>
      <c r="AC868" s="171">
        <v>33.24</v>
      </c>
      <c r="AD868" s="171">
        <v>25.26</v>
      </c>
      <c r="AF868" s="171">
        <f t="shared" si="41"/>
        <v>2009</v>
      </c>
      <c r="AG868" s="171">
        <f t="shared" si="42"/>
        <v>19</v>
      </c>
      <c r="AH868" s="700">
        <f>SUMIF(D$3:$AA868,"&lt;="&amp;$AH$1)/COUNTIF(D$3:$AA868,"&lt;="&amp;$AH$1)</f>
        <v>29.520012990080218</v>
      </c>
    </row>
    <row r="869" spans="2:34" x14ac:dyDescent="0.25">
      <c r="B869" s="910">
        <v>40043</v>
      </c>
      <c r="C869" s="581">
        <f t="shared" si="40"/>
        <v>8</v>
      </c>
      <c r="D869" s="171">
        <v>29.05</v>
      </c>
      <c r="E869" s="171">
        <v>23.13</v>
      </c>
      <c r="F869" s="171">
        <v>17.27</v>
      </c>
      <c r="G869" s="171">
        <v>15.700000000000001</v>
      </c>
      <c r="H869" s="171">
        <v>17</v>
      </c>
      <c r="I869" s="171">
        <v>25</v>
      </c>
      <c r="J869" s="171">
        <v>32</v>
      </c>
      <c r="K869" s="171">
        <v>40.76</v>
      </c>
      <c r="L869" s="171">
        <v>44.65</v>
      </c>
      <c r="M869" s="171">
        <v>49.01</v>
      </c>
      <c r="N869" s="171">
        <v>53.81</v>
      </c>
      <c r="O869" s="171">
        <v>57.11</v>
      </c>
      <c r="P869" s="171">
        <v>57.14</v>
      </c>
      <c r="Q869" s="171">
        <v>53</v>
      </c>
      <c r="R869" s="171">
        <v>51.910000000000004</v>
      </c>
      <c r="S869" s="171">
        <v>47.32</v>
      </c>
      <c r="T869" s="171">
        <v>44.28</v>
      </c>
      <c r="U869" s="171">
        <v>44</v>
      </c>
      <c r="V869" s="171">
        <v>44.5</v>
      </c>
      <c r="W869" s="171">
        <v>42.800000000000004</v>
      </c>
      <c r="X869" s="171">
        <v>40.79</v>
      </c>
      <c r="Y869" s="171">
        <v>42.410000000000004</v>
      </c>
      <c r="Z869" s="171">
        <v>42</v>
      </c>
      <c r="AA869" s="171">
        <v>34</v>
      </c>
      <c r="AB869" s="171">
        <v>57.14</v>
      </c>
      <c r="AC869" s="171">
        <v>40.76</v>
      </c>
      <c r="AD869" s="171">
        <v>29.93</v>
      </c>
      <c r="AF869" s="171">
        <f t="shared" si="41"/>
        <v>2009</v>
      </c>
      <c r="AG869" s="171">
        <f t="shared" si="42"/>
        <v>12</v>
      </c>
      <c r="AH869" s="700">
        <f>SUMIF(D$3:$AA869,"&lt;="&amp;$AH$1)/COUNTIF(D$3:$AA869,"&lt;="&amp;$AH$1)</f>
        <v>29.520587264150858</v>
      </c>
    </row>
    <row r="870" spans="2:34" x14ac:dyDescent="0.25">
      <c r="B870" s="910">
        <v>40044</v>
      </c>
      <c r="C870" s="581">
        <f t="shared" si="40"/>
        <v>8</v>
      </c>
      <c r="D870" s="171">
        <v>31.79</v>
      </c>
      <c r="E870" s="171">
        <v>29.330000000000002</v>
      </c>
      <c r="F870" s="171">
        <v>25.650000000000002</v>
      </c>
      <c r="G870" s="171">
        <v>22</v>
      </c>
      <c r="H870" s="171">
        <v>23.5</v>
      </c>
      <c r="I870" s="171">
        <v>28</v>
      </c>
      <c r="J870" s="171">
        <v>33.08</v>
      </c>
      <c r="K870" s="171">
        <v>39.93</v>
      </c>
      <c r="L870" s="171">
        <v>45.53</v>
      </c>
      <c r="M870" s="171">
        <v>53</v>
      </c>
      <c r="N870" s="171">
        <v>61.160000000000004</v>
      </c>
      <c r="O870" s="171">
        <v>71.680000000000007</v>
      </c>
      <c r="P870" s="171">
        <v>70</v>
      </c>
      <c r="Q870" s="171">
        <v>66.2</v>
      </c>
      <c r="R870" s="171">
        <v>64.5</v>
      </c>
      <c r="S870" s="171">
        <v>57.06</v>
      </c>
      <c r="T870" s="171">
        <v>51.550000000000004</v>
      </c>
      <c r="U870" s="171">
        <v>51.01</v>
      </c>
      <c r="V870" s="171">
        <v>49.72</v>
      </c>
      <c r="W870" s="171">
        <v>46.54</v>
      </c>
      <c r="X870" s="171">
        <v>43.95</v>
      </c>
      <c r="Y870" s="171">
        <v>44.730000000000004</v>
      </c>
      <c r="Z870" s="171">
        <v>43.800000000000004</v>
      </c>
      <c r="AA870" s="171">
        <v>35.9</v>
      </c>
      <c r="AB870" s="171">
        <v>71.680000000000007</v>
      </c>
      <c r="AC870" s="171">
        <v>39.93</v>
      </c>
      <c r="AD870" s="171">
        <v>33.47</v>
      </c>
      <c r="AF870" s="171">
        <f t="shared" si="41"/>
        <v>2009</v>
      </c>
      <c r="AG870" s="171">
        <f t="shared" si="42"/>
        <v>9</v>
      </c>
      <c r="AH870" s="700">
        <f>SUMIF(D$3:$AA870,"&lt;="&amp;$AH$1)/COUNTIF(D$3:$AA870,"&lt;="&amp;$AH$1)</f>
        <v>29.520998939804365</v>
      </c>
    </row>
    <row r="871" spans="2:34" x14ac:dyDescent="0.25">
      <c r="B871" s="910">
        <v>40045</v>
      </c>
      <c r="C871" s="581">
        <f t="shared" si="40"/>
        <v>8</v>
      </c>
      <c r="D871" s="171">
        <v>30.400000000000002</v>
      </c>
      <c r="E871" s="171">
        <v>26.25</v>
      </c>
      <c r="F871" s="171">
        <v>23</v>
      </c>
      <c r="G871" s="171">
        <v>18</v>
      </c>
      <c r="H871" s="171">
        <v>18.100000000000001</v>
      </c>
      <c r="I871" s="171">
        <v>24</v>
      </c>
      <c r="J871" s="171">
        <v>29.19</v>
      </c>
      <c r="K871" s="171">
        <v>35.49</v>
      </c>
      <c r="L871" s="171">
        <v>45.04</v>
      </c>
      <c r="M871" s="171">
        <v>50.51</v>
      </c>
      <c r="N871" s="171">
        <v>58.82</v>
      </c>
      <c r="O871" s="171">
        <v>65.400000000000006</v>
      </c>
      <c r="P871" s="171">
        <v>66.150000000000006</v>
      </c>
      <c r="Q871" s="171">
        <v>61.06</v>
      </c>
      <c r="R871" s="171">
        <v>54.32</v>
      </c>
      <c r="S871" s="171">
        <v>48</v>
      </c>
      <c r="T871" s="171">
        <v>45</v>
      </c>
      <c r="U871" s="171">
        <v>43.92</v>
      </c>
      <c r="V871" s="171">
        <v>42.92</v>
      </c>
      <c r="W871" s="171">
        <v>40.700000000000003</v>
      </c>
      <c r="X871" s="171">
        <v>39</v>
      </c>
      <c r="Y871" s="171">
        <v>40.869999999999997</v>
      </c>
      <c r="Z871" s="171">
        <v>37.230000000000004</v>
      </c>
      <c r="AA871" s="171">
        <v>32</v>
      </c>
      <c r="AB871" s="171">
        <v>66.150000000000006</v>
      </c>
      <c r="AC871" s="171">
        <v>35.49</v>
      </c>
      <c r="AD871" s="171">
        <v>29.46</v>
      </c>
      <c r="AF871" s="171">
        <f t="shared" si="41"/>
        <v>2009</v>
      </c>
      <c r="AG871" s="171">
        <f t="shared" si="42"/>
        <v>13</v>
      </c>
      <c r="AH871" s="700">
        <f>SUMIF(D$3:$AA871,"&lt;="&amp;$AH$1)/COUNTIF(D$3:$AA871,"&lt;="&amp;$AH$1)</f>
        <v>29.522228887320544</v>
      </c>
    </row>
    <row r="872" spans="2:34" x14ac:dyDescent="0.25">
      <c r="B872" s="910">
        <v>40046</v>
      </c>
      <c r="C872" s="581">
        <f t="shared" si="40"/>
        <v>8</v>
      </c>
      <c r="D872" s="171">
        <v>27.990000000000002</v>
      </c>
      <c r="E872" s="171">
        <v>25.52</v>
      </c>
      <c r="F872" s="171">
        <v>21.59</v>
      </c>
      <c r="G872" s="171">
        <v>19.43</v>
      </c>
      <c r="H872" s="171">
        <v>22.740000000000002</v>
      </c>
      <c r="I872" s="171">
        <v>24.400000000000002</v>
      </c>
      <c r="J872" s="171">
        <v>30.72</v>
      </c>
      <c r="K872" s="171">
        <v>35</v>
      </c>
      <c r="L872" s="171">
        <v>43.62</v>
      </c>
      <c r="M872" s="171">
        <v>51.5</v>
      </c>
      <c r="N872" s="171">
        <v>57.35</v>
      </c>
      <c r="O872" s="171">
        <v>61.5</v>
      </c>
      <c r="P872" s="171">
        <v>61.9</v>
      </c>
      <c r="Q872" s="171">
        <v>51</v>
      </c>
      <c r="R872" s="171">
        <v>45</v>
      </c>
      <c r="S872" s="171">
        <v>40.200000000000003</v>
      </c>
      <c r="T872" s="171">
        <v>37.950000000000003</v>
      </c>
      <c r="U872" s="171">
        <v>37.6</v>
      </c>
      <c r="V872" s="171">
        <v>38</v>
      </c>
      <c r="W872" s="171">
        <v>35.76</v>
      </c>
      <c r="X872" s="171">
        <v>40.450000000000003</v>
      </c>
      <c r="Y872" s="171">
        <v>41.050000000000004</v>
      </c>
      <c r="Z872" s="171">
        <v>40</v>
      </c>
      <c r="AA872" s="171">
        <v>35.910000000000004</v>
      </c>
      <c r="AB872" s="171">
        <v>61.9</v>
      </c>
      <c r="AC872" s="171">
        <v>35</v>
      </c>
      <c r="AD872" s="171">
        <v>30.400000000000002</v>
      </c>
      <c r="AF872" s="171">
        <f t="shared" si="41"/>
        <v>2009</v>
      </c>
      <c r="AG872" s="171">
        <f t="shared" si="42"/>
        <v>17</v>
      </c>
      <c r="AH872" s="700">
        <f>SUMIF(D$3:$AA872,"&lt;="&amp;$AH$1)/COUNTIF(D$3:$AA872,"&lt;="&amp;$AH$1)</f>
        <v>29.528383613100043</v>
      </c>
    </row>
    <row r="873" spans="2:34" x14ac:dyDescent="0.25">
      <c r="B873" s="910">
        <v>40049</v>
      </c>
      <c r="C873" s="581">
        <f t="shared" si="40"/>
        <v>8</v>
      </c>
      <c r="D873" s="171">
        <v>32.5</v>
      </c>
      <c r="E873" s="171">
        <v>27.05</v>
      </c>
      <c r="F873" s="171">
        <v>24.26</v>
      </c>
      <c r="G873" s="171">
        <v>22.78</v>
      </c>
      <c r="H873" s="171">
        <v>24</v>
      </c>
      <c r="I873" s="171">
        <v>27</v>
      </c>
      <c r="J873" s="171">
        <v>33.270000000000003</v>
      </c>
      <c r="K873" s="171">
        <v>45</v>
      </c>
      <c r="L873" s="171">
        <v>51.57</v>
      </c>
      <c r="M873" s="171">
        <v>59.730000000000004</v>
      </c>
      <c r="N873" s="171">
        <v>64.260000000000005</v>
      </c>
      <c r="O873" s="171">
        <v>72</v>
      </c>
      <c r="P873" s="171">
        <v>71.22</v>
      </c>
      <c r="Q873" s="171">
        <v>65.08</v>
      </c>
      <c r="R873" s="171">
        <v>63.24</v>
      </c>
      <c r="S873" s="171">
        <v>55.19</v>
      </c>
      <c r="T873" s="171">
        <v>53.6</v>
      </c>
      <c r="U873" s="171">
        <v>52.980000000000004</v>
      </c>
      <c r="V873" s="171">
        <v>53.660000000000004</v>
      </c>
      <c r="W873" s="171">
        <v>51.47</v>
      </c>
      <c r="X873" s="171">
        <v>51.69</v>
      </c>
      <c r="Y873" s="171">
        <v>52</v>
      </c>
      <c r="Z873" s="171">
        <v>49.59</v>
      </c>
      <c r="AA873" s="171">
        <v>38.9</v>
      </c>
      <c r="AB873" s="171">
        <v>72</v>
      </c>
      <c r="AC873" s="171">
        <v>45</v>
      </c>
      <c r="AD873" s="171">
        <v>35.67</v>
      </c>
      <c r="AF873" s="171">
        <f t="shared" si="41"/>
        <v>2009</v>
      </c>
      <c r="AG873" s="171">
        <f t="shared" si="42"/>
        <v>8</v>
      </c>
      <c r="AH873" s="700">
        <f>SUMIF(D$3:$AA873,"&lt;="&amp;$AH$1)/COUNTIF(D$3:$AA873,"&lt;="&amp;$AH$1)</f>
        <v>29.527625190571037</v>
      </c>
    </row>
    <row r="874" spans="2:34" x14ac:dyDescent="0.25">
      <c r="B874" s="910">
        <v>40050</v>
      </c>
      <c r="C874" s="581">
        <f t="shared" si="40"/>
        <v>8</v>
      </c>
      <c r="D874" s="171">
        <v>30.18</v>
      </c>
      <c r="E874" s="171">
        <v>29.5</v>
      </c>
      <c r="F874" s="171">
        <v>26</v>
      </c>
      <c r="G874" s="171">
        <v>23.16</v>
      </c>
      <c r="H874" s="171">
        <v>24.25</v>
      </c>
      <c r="I874" s="171">
        <v>29.96</v>
      </c>
      <c r="J874" s="171">
        <v>35.79</v>
      </c>
      <c r="K874" s="171">
        <v>43.38</v>
      </c>
      <c r="L874" s="171">
        <v>53</v>
      </c>
      <c r="M874" s="171">
        <v>69</v>
      </c>
      <c r="N874" s="171">
        <v>80</v>
      </c>
      <c r="O874" s="171">
        <v>96.04</v>
      </c>
      <c r="P874" s="171">
        <v>86.33</v>
      </c>
      <c r="Q874" s="171">
        <v>75.989999999999995</v>
      </c>
      <c r="R874" s="171">
        <v>68</v>
      </c>
      <c r="S874" s="171">
        <v>57.34</v>
      </c>
      <c r="T874" s="171">
        <v>54</v>
      </c>
      <c r="U874" s="171">
        <v>52.160000000000004</v>
      </c>
      <c r="V874" s="171">
        <v>49</v>
      </c>
      <c r="W874" s="171">
        <v>40.94</v>
      </c>
      <c r="X874" s="171">
        <v>45</v>
      </c>
      <c r="Y874" s="171">
        <v>45.1</v>
      </c>
      <c r="Z874" s="171">
        <v>41</v>
      </c>
      <c r="AA874" s="171">
        <v>36.69</v>
      </c>
      <c r="AB874" s="171">
        <v>96.04</v>
      </c>
      <c r="AC874" s="171">
        <v>40.94</v>
      </c>
      <c r="AD874" s="171">
        <v>34.17</v>
      </c>
      <c r="AF874" s="171">
        <f t="shared" si="41"/>
        <v>2009</v>
      </c>
      <c r="AG874" s="171">
        <f t="shared" si="42"/>
        <v>10</v>
      </c>
      <c r="AH874" s="700">
        <f>SUMIF(D$3:$AA874,"&lt;="&amp;$AH$1)/COUNTIF(D$3:$AA874,"&lt;="&amp;$AH$1)</f>
        <v>29.530224903361749</v>
      </c>
    </row>
    <row r="875" spans="2:34" x14ac:dyDescent="0.25">
      <c r="B875" s="910">
        <v>40051</v>
      </c>
      <c r="C875" s="581">
        <f t="shared" si="40"/>
        <v>8</v>
      </c>
      <c r="D875" s="171">
        <v>30.04</v>
      </c>
      <c r="E875" s="171">
        <v>27.72</v>
      </c>
      <c r="F875" s="171">
        <v>26</v>
      </c>
      <c r="G875" s="171">
        <v>23.87</v>
      </c>
      <c r="H875" s="171">
        <v>23.32</v>
      </c>
      <c r="I875" s="171">
        <v>27</v>
      </c>
      <c r="J875" s="171">
        <v>32.82</v>
      </c>
      <c r="K875" s="171">
        <v>40.65</v>
      </c>
      <c r="L875" s="171">
        <v>52</v>
      </c>
      <c r="M875" s="171">
        <v>64.960000000000008</v>
      </c>
      <c r="N875" s="171">
        <v>63.29</v>
      </c>
      <c r="O875" s="171">
        <v>79.930000000000007</v>
      </c>
      <c r="P875" s="171">
        <v>76.45</v>
      </c>
      <c r="Q875" s="171">
        <v>73</v>
      </c>
      <c r="R875" s="171">
        <v>57.6</v>
      </c>
      <c r="S875" s="171">
        <v>53</v>
      </c>
      <c r="T875" s="171">
        <v>50.7</v>
      </c>
      <c r="U875" s="171">
        <v>50.2</v>
      </c>
      <c r="V875" s="171">
        <v>49</v>
      </c>
      <c r="W875" s="171">
        <v>38</v>
      </c>
      <c r="X875" s="171">
        <v>44.93</v>
      </c>
      <c r="Y875" s="171">
        <v>44.93</v>
      </c>
      <c r="Z875" s="171">
        <v>37.57</v>
      </c>
      <c r="AA875" s="171">
        <v>33.71</v>
      </c>
      <c r="AB875" s="171">
        <v>79.930000000000007</v>
      </c>
      <c r="AC875" s="171">
        <v>37.57</v>
      </c>
      <c r="AD875" s="171">
        <v>32.71</v>
      </c>
      <c r="AF875" s="171">
        <f t="shared" si="41"/>
        <v>2009</v>
      </c>
      <c r="AG875" s="171">
        <f t="shared" si="42"/>
        <v>11</v>
      </c>
      <c r="AH875" s="700">
        <f>SUMIF(D$3:$AA875,"&lt;="&amp;$AH$1)/COUNTIF(D$3:$AA875,"&lt;="&amp;$AH$1)</f>
        <v>29.532081188582037</v>
      </c>
    </row>
    <row r="876" spans="2:34" x14ac:dyDescent="0.25">
      <c r="B876" s="910">
        <v>40052</v>
      </c>
      <c r="C876" s="581">
        <f t="shared" si="40"/>
        <v>8</v>
      </c>
      <c r="D876" s="171">
        <v>31</v>
      </c>
      <c r="E876" s="171">
        <v>30</v>
      </c>
      <c r="F876" s="171">
        <v>28</v>
      </c>
      <c r="G876" s="171">
        <v>22</v>
      </c>
      <c r="H876" s="171">
        <v>25</v>
      </c>
      <c r="I876" s="171">
        <v>29.150000000000002</v>
      </c>
      <c r="J876" s="171">
        <v>35.99</v>
      </c>
      <c r="K876" s="171">
        <v>43.7</v>
      </c>
      <c r="L876" s="171">
        <v>53.86</v>
      </c>
      <c r="M876" s="171">
        <v>62</v>
      </c>
      <c r="N876" s="171">
        <v>76</v>
      </c>
      <c r="O876" s="171">
        <v>98.16</v>
      </c>
      <c r="P876" s="171">
        <v>83.25</v>
      </c>
      <c r="Q876" s="171">
        <v>73</v>
      </c>
      <c r="R876" s="171">
        <v>63.75</v>
      </c>
      <c r="S876" s="171">
        <v>54.25</v>
      </c>
      <c r="T876" s="171">
        <v>50.800000000000004</v>
      </c>
      <c r="U876" s="171">
        <v>50.25</v>
      </c>
      <c r="V876" s="171">
        <v>49.5</v>
      </c>
      <c r="W876" s="171">
        <v>47.46</v>
      </c>
      <c r="X876" s="171">
        <v>48.52</v>
      </c>
      <c r="Y876" s="171">
        <v>46.11</v>
      </c>
      <c r="Z876" s="171">
        <v>43</v>
      </c>
      <c r="AA876" s="171">
        <v>36.75</v>
      </c>
      <c r="AB876" s="171">
        <v>98.16</v>
      </c>
      <c r="AC876" s="171">
        <v>43</v>
      </c>
      <c r="AD876" s="171">
        <v>34.94</v>
      </c>
      <c r="AF876" s="171">
        <f t="shared" si="41"/>
        <v>2009</v>
      </c>
      <c r="AG876" s="171">
        <f t="shared" si="42"/>
        <v>8</v>
      </c>
      <c r="AH876" s="700">
        <f>SUMIF(D$3:$AA876,"&lt;="&amp;$AH$1)/COUNTIF(D$3:$AA876,"&lt;="&amp;$AH$1)</f>
        <v>29.532272089761481</v>
      </c>
    </row>
    <row r="877" spans="2:34" x14ac:dyDescent="0.25">
      <c r="B877" s="910">
        <v>40053</v>
      </c>
      <c r="C877" s="581">
        <f t="shared" si="40"/>
        <v>8</v>
      </c>
      <c r="D877" s="171">
        <v>33.1</v>
      </c>
      <c r="E877" s="171">
        <v>31.650000000000002</v>
      </c>
      <c r="F877" s="171">
        <v>30</v>
      </c>
      <c r="G877" s="171">
        <v>26</v>
      </c>
      <c r="H877" s="171">
        <v>26.03</v>
      </c>
      <c r="I877" s="171">
        <v>30.5</v>
      </c>
      <c r="J877" s="171">
        <v>35.700000000000003</v>
      </c>
      <c r="K877" s="171">
        <v>43</v>
      </c>
      <c r="L877" s="171">
        <v>49</v>
      </c>
      <c r="M877" s="171">
        <v>58.6</v>
      </c>
      <c r="N877" s="171">
        <v>63</v>
      </c>
      <c r="O877" s="171">
        <v>74.7</v>
      </c>
      <c r="P877" s="171">
        <v>60</v>
      </c>
      <c r="Q877" s="171">
        <v>50.1</v>
      </c>
      <c r="R877" s="171">
        <v>49.85</v>
      </c>
      <c r="S877" s="171">
        <v>44</v>
      </c>
      <c r="T877" s="171">
        <v>40</v>
      </c>
      <c r="U877" s="171">
        <v>39.700000000000003</v>
      </c>
      <c r="V877" s="171">
        <v>38</v>
      </c>
      <c r="W877" s="171">
        <v>30</v>
      </c>
      <c r="X877" s="171">
        <v>34.75</v>
      </c>
      <c r="Y877" s="171">
        <v>40.67</v>
      </c>
      <c r="Z877" s="171">
        <v>35.5</v>
      </c>
      <c r="AA877" s="171">
        <v>30.12</v>
      </c>
      <c r="AB877" s="171">
        <v>74.7</v>
      </c>
      <c r="AC877" s="171">
        <v>30</v>
      </c>
      <c r="AD877" s="171">
        <v>33.08</v>
      </c>
      <c r="AF877" s="171">
        <f t="shared" si="41"/>
        <v>2009</v>
      </c>
      <c r="AG877" s="171">
        <f t="shared" si="42"/>
        <v>15</v>
      </c>
      <c r="AH877" s="700">
        <f>SUMIF(D$3:$AA877,"&lt;="&amp;$AH$1)/COUNTIF(D$3:$AA877,"&lt;="&amp;$AH$1)</f>
        <v>29.539124956247726</v>
      </c>
    </row>
    <row r="878" spans="2:34" x14ac:dyDescent="0.25">
      <c r="B878" s="910">
        <v>40056</v>
      </c>
      <c r="C878" s="581">
        <f t="shared" si="40"/>
        <v>8</v>
      </c>
      <c r="D878" s="171">
        <v>23</v>
      </c>
      <c r="E878" s="171">
        <v>23</v>
      </c>
      <c r="F878" s="171">
        <v>19.75</v>
      </c>
      <c r="G878" s="171">
        <v>15.030000000000001</v>
      </c>
      <c r="H878" s="171">
        <v>14</v>
      </c>
      <c r="I878" s="171">
        <v>22.62</v>
      </c>
      <c r="J878" s="171">
        <v>32.630000000000003</v>
      </c>
      <c r="K878" s="171">
        <v>37.630000000000003</v>
      </c>
      <c r="L878" s="171">
        <v>48.78</v>
      </c>
      <c r="M878" s="171">
        <v>51.4</v>
      </c>
      <c r="N878" s="171">
        <v>55</v>
      </c>
      <c r="O878" s="171">
        <v>63.61</v>
      </c>
      <c r="P878" s="171">
        <v>57.74</v>
      </c>
      <c r="Q878" s="171">
        <v>55</v>
      </c>
      <c r="R878" s="171">
        <v>50.99</v>
      </c>
      <c r="S878" s="171">
        <v>47.660000000000004</v>
      </c>
      <c r="T878" s="171">
        <v>45.81</v>
      </c>
      <c r="U878" s="171">
        <v>44.9</v>
      </c>
      <c r="V878" s="171">
        <v>44.93</v>
      </c>
      <c r="W878" s="171">
        <v>40.57</v>
      </c>
      <c r="X878" s="171">
        <v>41.46</v>
      </c>
      <c r="Y878" s="171">
        <v>40</v>
      </c>
      <c r="Z878" s="171">
        <v>35.910000000000004</v>
      </c>
      <c r="AA878" s="171">
        <v>29.96</v>
      </c>
      <c r="AB878" s="171">
        <v>63.61</v>
      </c>
      <c r="AC878" s="171">
        <v>35.910000000000004</v>
      </c>
      <c r="AD878" s="171">
        <v>27.92</v>
      </c>
      <c r="AF878" s="171">
        <f t="shared" si="41"/>
        <v>2009</v>
      </c>
      <c r="AG878" s="171">
        <f t="shared" si="42"/>
        <v>13</v>
      </c>
      <c r="AH878" s="700">
        <f>SUMIF(D$3:$AA878,"&lt;="&amp;$AH$1)/COUNTIF(D$3:$AA878,"&lt;="&amp;$AH$1)</f>
        <v>29.538140726933744</v>
      </c>
    </row>
    <row r="879" spans="2:34" x14ac:dyDescent="0.25">
      <c r="B879" s="910">
        <v>40057</v>
      </c>
      <c r="C879" s="581">
        <f t="shared" si="40"/>
        <v>9</v>
      </c>
      <c r="D879" s="171">
        <v>33</v>
      </c>
      <c r="E879" s="171">
        <v>26.5</v>
      </c>
      <c r="F879" s="171">
        <v>21.62</v>
      </c>
      <c r="G879" s="171">
        <v>19.84</v>
      </c>
      <c r="H879" s="171">
        <v>19.41</v>
      </c>
      <c r="I879" s="171">
        <v>20.73</v>
      </c>
      <c r="J879" s="171">
        <v>35.6</v>
      </c>
      <c r="K879" s="171">
        <v>41.1</v>
      </c>
      <c r="L879" s="171">
        <v>42.99</v>
      </c>
      <c r="M879" s="171">
        <v>44.93</v>
      </c>
      <c r="N879" s="171">
        <v>42</v>
      </c>
      <c r="O879" s="171">
        <v>54.93</v>
      </c>
      <c r="P879" s="171">
        <v>44.85</v>
      </c>
      <c r="Q879" s="171">
        <v>49.93</v>
      </c>
      <c r="R879" s="171">
        <v>48.99</v>
      </c>
      <c r="S879" s="171">
        <v>44.93</v>
      </c>
      <c r="T879" s="171">
        <v>45.85</v>
      </c>
      <c r="U879" s="171">
        <v>45.57</v>
      </c>
      <c r="V879" s="171">
        <v>39</v>
      </c>
      <c r="W879" s="171">
        <v>30.11</v>
      </c>
      <c r="X879" s="171">
        <v>35.369999999999997</v>
      </c>
      <c r="Y879" s="171">
        <v>37</v>
      </c>
      <c r="Z879" s="171">
        <v>35.369999999999997</v>
      </c>
      <c r="AA879" s="171">
        <v>34.5</v>
      </c>
      <c r="AB879" s="171">
        <v>54.93</v>
      </c>
      <c r="AC879" s="171">
        <v>30.11</v>
      </c>
      <c r="AD879" s="171">
        <v>30</v>
      </c>
      <c r="AF879" s="171">
        <f t="shared" si="41"/>
        <v>2009</v>
      </c>
      <c r="AG879" s="171">
        <f t="shared" si="42"/>
        <v>15</v>
      </c>
      <c r="AH879" s="700">
        <f>SUMIF(D$3:$AA879,"&lt;="&amp;$AH$1)/COUNTIF(D$3:$AA879,"&lt;="&amp;$AH$1)</f>
        <v>29.541405977439151</v>
      </c>
    </row>
    <row r="880" spans="2:34" x14ac:dyDescent="0.25">
      <c r="B880" s="910">
        <v>40058</v>
      </c>
      <c r="C880" s="581">
        <f t="shared" si="40"/>
        <v>9</v>
      </c>
      <c r="D880" s="171">
        <v>25.3</v>
      </c>
      <c r="E880" s="171">
        <v>22.5</v>
      </c>
      <c r="F880" s="171">
        <v>18.62</v>
      </c>
      <c r="G880" s="171">
        <v>11</v>
      </c>
      <c r="H880" s="171">
        <v>12.66</v>
      </c>
      <c r="I880" s="171">
        <v>19.309999999999999</v>
      </c>
      <c r="J880" s="171">
        <v>32.94</v>
      </c>
      <c r="K880" s="171">
        <v>39</v>
      </c>
      <c r="L880" s="171">
        <v>45.47</v>
      </c>
      <c r="M880" s="171">
        <v>49.14</v>
      </c>
      <c r="N880" s="171">
        <v>49.93</v>
      </c>
      <c r="O880" s="171">
        <v>40</v>
      </c>
      <c r="P880" s="171">
        <v>49.93</v>
      </c>
      <c r="Q880" s="171">
        <v>51.29</v>
      </c>
      <c r="R880" s="171">
        <v>49.93</v>
      </c>
      <c r="S880" s="171">
        <v>47</v>
      </c>
      <c r="T880" s="171">
        <v>45</v>
      </c>
      <c r="U880" s="171">
        <v>44</v>
      </c>
      <c r="V880" s="171">
        <v>44.32</v>
      </c>
      <c r="W880" s="171">
        <v>38</v>
      </c>
      <c r="X880" s="171">
        <v>46.17</v>
      </c>
      <c r="Y880" s="171">
        <v>46.72</v>
      </c>
      <c r="Z880" s="171">
        <v>42.6</v>
      </c>
      <c r="AA880" s="171">
        <v>35.200000000000003</v>
      </c>
      <c r="AB880" s="171">
        <v>51.29</v>
      </c>
      <c r="AC880" s="171">
        <v>38</v>
      </c>
      <c r="AD880" s="171">
        <v>29.330000000000002</v>
      </c>
      <c r="AF880" s="171">
        <f t="shared" si="41"/>
        <v>2009</v>
      </c>
      <c r="AG880" s="171">
        <f t="shared" si="42"/>
        <v>11</v>
      </c>
      <c r="AH880" s="700">
        <f>SUMIF(D$3:$AA880,"&lt;="&amp;$AH$1)/COUNTIF(D$3:$AA880,"&lt;="&amp;$AH$1)</f>
        <v>29.537872241579471</v>
      </c>
    </row>
    <row r="881" spans="2:34" x14ac:dyDescent="0.25">
      <c r="B881" s="910">
        <v>40059</v>
      </c>
      <c r="C881" s="581">
        <f t="shared" si="40"/>
        <v>9</v>
      </c>
      <c r="D881" s="171">
        <v>30.3</v>
      </c>
      <c r="E881" s="171">
        <v>25.8</v>
      </c>
      <c r="F881" s="171">
        <v>20</v>
      </c>
      <c r="G881" s="171">
        <v>18</v>
      </c>
      <c r="H881" s="171">
        <v>19.5</v>
      </c>
      <c r="I881" s="171">
        <v>25</v>
      </c>
      <c r="J881" s="171">
        <v>34</v>
      </c>
      <c r="K881" s="171">
        <v>38.550000000000004</v>
      </c>
      <c r="L881" s="171">
        <v>44.72</v>
      </c>
      <c r="M881" s="171">
        <v>47.33</v>
      </c>
      <c r="N881" s="171">
        <v>50</v>
      </c>
      <c r="O881" s="171">
        <v>50.95</v>
      </c>
      <c r="P881" s="171">
        <v>47.99</v>
      </c>
      <c r="Q881" s="171">
        <v>39.65</v>
      </c>
      <c r="R881" s="171">
        <v>39.65</v>
      </c>
      <c r="S881" s="171">
        <v>41.4</v>
      </c>
      <c r="T881" s="171">
        <v>39.46</v>
      </c>
      <c r="U881" s="171">
        <v>39</v>
      </c>
      <c r="V881" s="171">
        <v>37</v>
      </c>
      <c r="W881" s="171">
        <v>29.93</v>
      </c>
      <c r="X881" s="171">
        <v>39</v>
      </c>
      <c r="Y881" s="171">
        <v>38</v>
      </c>
      <c r="Z881" s="171">
        <v>35.14</v>
      </c>
      <c r="AA881" s="171">
        <v>30.5</v>
      </c>
      <c r="AB881" s="171">
        <v>50.95</v>
      </c>
      <c r="AC881" s="171">
        <v>29.93</v>
      </c>
      <c r="AD881" s="171">
        <v>29.48</v>
      </c>
      <c r="AF881" s="171">
        <f t="shared" si="41"/>
        <v>2009</v>
      </c>
      <c r="AG881" s="171">
        <f t="shared" si="42"/>
        <v>19</v>
      </c>
      <c r="AH881" s="700">
        <f>SUMIF(D$3:$AA881,"&lt;="&amp;$AH$1)/COUNTIF(D$3:$AA881,"&lt;="&amp;$AH$1)</f>
        <v>29.544670297832798</v>
      </c>
    </row>
    <row r="882" spans="2:34" x14ac:dyDescent="0.25">
      <c r="B882" s="910">
        <v>40060</v>
      </c>
      <c r="C882" s="581">
        <f t="shared" si="40"/>
        <v>9</v>
      </c>
      <c r="D882" s="171">
        <v>22</v>
      </c>
      <c r="E882" s="171">
        <v>17.91</v>
      </c>
      <c r="F882" s="171">
        <v>11</v>
      </c>
      <c r="G882" s="171">
        <v>10</v>
      </c>
      <c r="H882" s="171">
        <v>9.81</v>
      </c>
      <c r="I882" s="171">
        <v>19.09</v>
      </c>
      <c r="J882" s="171">
        <v>31.93</v>
      </c>
      <c r="K882" s="171">
        <v>38.480000000000004</v>
      </c>
      <c r="L882" s="171">
        <v>42.52</v>
      </c>
      <c r="M882" s="171">
        <v>45</v>
      </c>
      <c r="N882" s="171">
        <v>44.93</v>
      </c>
      <c r="O882" s="171">
        <v>48</v>
      </c>
      <c r="P882" s="171">
        <v>46</v>
      </c>
      <c r="Q882" s="171">
        <v>42</v>
      </c>
      <c r="R882" s="171">
        <v>38.92</v>
      </c>
      <c r="S882" s="171">
        <v>36.270000000000003</v>
      </c>
      <c r="T882" s="171">
        <v>34.01</v>
      </c>
      <c r="U882" s="171">
        <v>34.58</v>
      </c>
      <c r="V882" s="171">
        <v>34.93</v>
      </c>
      <c r="W882" s="171">
        <v>24.990000000000002</v>
      </c>
      <c r="X882" s="171">
        <v>36.700000000000003</v>
      </c>
      <c r="Y882" s="171">
        <v>36.480000000000004</v>
      </c>
      <c r="Z882" s="171">
        <v>32.31</v>
      </c>
      <c r="AA882" s="171">
        <v>28.34</v>
      </c>
      <c r="AB882" s="171">
        <v>48</v>
      </c>
      <c r="AC882" s="171">
        <v>24.990000000000002</v>
      </c>
      <c r="AD882" s="171">
        <v>24.5</v>
      </c>
      <c r="AF882" s="171">
        <f t="shared" si="41"/>
        <v>2009</v>
      </c>
      <c r="AG882" s="171">
        <f t="shared" si="42"/>
        <v>20</v>
      </c>
      <c r="AH882" s="700">
        <f>SUMIF(D$3:$AA882,"&lt;="&amp;$AH$1)/COUNTIF(D$3:$AA882,"&lt;="&amp;$AH$1)</f>
        <v>29.543673257023841</v>
      </c>
    </row>
    <row r="883" spans="2:34" x14ac:dyDescent="0.25">
      <c r="B883" s="910">
        <v>40063</v>
      </c>
      <c r="C883" s="581">
        <f t="shared" si="40"/>
        <v>9</v>
      </c>
      <c r="D883" s="171">
        <v>21.5</v>
      </c>
      <c r="E883" s="171">
        <v>17.5</v>
      </c>
      <c r="F883" s="171">
        <v>15</v>
      </c>
      <c r="G883" s="171">
        <v>14.5</v>
      </c>
      <c r="H883" s="171">
        <v>14.91</v>
      </c>
      <c r="I883" s="171">
        <v>24.86</v>
      </c>
      <c r="J883" s="171">
        <v>33.01</v>
      </c>
      <c r="K883" s="171">
        <v>40</v>
      </c>
      <c r="L883" s="171">
        <v>48.9</v>
      </c>
      <c r="M883" s="171">
        <v>52.07</v>
      </c>
      <c r="N883" s="171">
        <v>55</v>
      </c>
      <c r="O883" s="171">
        <v>60.160000000000004</v>
      </c>
      <c r="P883" s="171">
        <v>59.300000000000004</v>
      </c>
      <c r="Q883" s="171">
        <v>55.5</v>
      </c>
      <c r="R883" s="171">
        <v>53.88</v>
      </c>
      <c r="S883" s="171">
        <v>50.730000000000004</v>
      </c>
      <c r="T883" s="171">
        <v>48.5</v>
      </c>
      <c r="U883" s="171">
        <v>46.31</v>
      </c>
      <c r="V883" s="171">
        <v>47</v>
      </c>
      <c r="W883" s="171">
        <v>46.76</v>
      </c>
      <c r="X883" s="171">
        <v>51</v>
      </c>
      <c r="Y883" s="171">
        <v>48.04</v>
      </c>
      <c r="Z883" s="171">
        <v>43</v>
      </c>
      <c r="AA883" s="171">
        <v>36.01</v>
      </c>
      <c r="AB883" s="171">
        <v>60.160000000000004</v>
      </c>
      <c r="AC883" s="171">
        <v>40</v>
      </c>
      <c r="AD883" s="171">
        <v>29.94</v>
      </c>
      <c r="AF883" s="171">
        <f t="shared" si="41"/>
        <v>2009</v>
      </c>
      <c r="AG883" s="171">
        <f t="shared" si="42"/>
        <v>9</v>
      </c>
      <c r="AH883" s="700">
        <f>SUMIF(D$3:$AA883,"&lt;="&amp;$AH$1)/COUNTIF(D$3:$AA883,"&lt;="&amp;$AH$1)</f>
        <v>29.538059598059505</v>
      </c>
    </row>
    <row r="884" spans="2:34" x14ac:dyDescent="0.25">
      <c r="B884" s="910">
        <v>40064</v>
      </c>
      <c r="C884" s="581">
        <f t="shared" si="40"/>
        <v>9</v>
      </c>
      <c r="D884" s="171">
        <v>34.130000000000003</v>
      </c>
      <c r="E884" s="171">
        <v>28.34</v>
      </c>
      <c r="F884" s="171">
        <v>21.56</v>
      </c>
      <c r="G884" s="171">
        <v>20</v>
      </c>
      <c r="H884" s="171">
        <v>20</v>
      </c>
      <c r="I884" s="171">
        <v>27</v>
      </c>
      <c r="J884" s="171">
        <v>39.43</v>
      </c>
      <c r="K884" s="171">
        <v>48.65</v>
      </c>
      <c r="L884" s="171">
        <v>53.63</v>
      </c>
      <c r="M884" s="171">
        <v>60.480000000000004</v>
      </c>
      <c r="N884" s="171">
        <v>62.59</v>
      </c>
      <c r="O884" s="171">
        <v>69.070000000000007</v>
      </c>
      <c r="P884" s="171">
        <v>63.09</v>
      </c>
      <c r="Q884" s="171">
        <v>62.57</v>
      </c>
      <c r="R884" s="171">
        <v>59.410000000000004</v>
      </c>
      <c r="S884" s="171">
        <v>55.5</v>
      </c>
      <c r="T884" s="171">
        <v>52.99</v>
      </c>
      <c r="U884" s="171">
        <v>49.93</v>
      </c>
      <c r="V884" s="171">
        <v>49.6</v>
      </c>
      <c r="W884" s="171">
        <v>49.480000000000004</v>
      </c>
      <c r="X884" s="171">
        <v>52.5</v>
      </c>
      <c r="Y884" s="171">
        <v>46.4</v>
      </c>
      <c r="Z884" s="171">
        <v>40.32</v>
      </c>
      <c r="AA884" s="171">
        <v>37</v>
      </c>
      <c r="AB884" s="171">
        <v>69.070000000000007</v>
      </c>
      <c r="AC884" s="171">
        <v>40.32</v>
      </c>
      <c r="AD884" s="171">
        <v>34.61</v>
      </c>
      <c r="AF884" s="171">
        <f t="shared" si="41"/>
        <v>2009</v>
      </c>
      <c r="AG884" s="171">
        <f t="shared" si="42"/>
        <v>9</v>
      </c>
      <c r="AH884" s="700">
        <f>SUMIF(D$3:$AA884,"&lt;="&amp;$AH$1)/COUNTIF(D$3:$AA884,"&lt;="&amp;$AH$1)</f>
        <v>29.538283142955947</v>
      </c>
    </row>
    <row r="885" spans="2:34" x14ac:dyDescent="0.25">
      <c r="B885" s="910">
        <v>40065</v>
      </c>
      <c r="C885" s="581">
        <f t="shared" si="40"/>
        <v>9</v>
      </c>
      <c r="D885" s="171">
        <v>29</v>
      </c>
      <c r="E885" s="171">
        <v>23.3</v>
      </c>
      <c r="F885" s="171">
        <v>21.900000000000002</v>
      </c>
      <c r="G885" s="171">
        <v>18.62</v>
      </c>
      <c r="H885" s="171">
        <v>19.23</v>
      </c>
      <c r="I885" s="171">
        <v>24</v>
      </c>
      <c r="J885" s="171">
        <v>36.69</v>
      </c>
      <c r="K885" s="171">
        <v>43.480000000000004</v>
      </c>
      <c r="L885" s="171">
        <v>55</v>
      </c>
      <c r="M885" s="171">
        <v>60.88</v>
      </c>
      <c r="N885" s="171">
        <v>60.800000000000004</v>
      </c>
      <c r="O885" s="171">
        <v>64.41</v>
      </c>
      <c r="P885" s="171">
        <v>60.72</v>
      </c>
      <c r="Q885" s="171">
        <v>63.4</v>
      </c>
      <c r="R885" s="171">
        <v>59.5</v>
      </c>
      <c r="S885" s="171">
        <v>54.04</v>
      </c>
      <c r="T885" s="171">
        <v>49.64</v>
      </c>
      <c r="U885" s="171">
        <v>47.03</v>
      </c>
      <c r="V885" s="171">
        <v>45.26</v>
      </c>
      <c r="W885" s="171">
        <v>36</v>
      </c>
      <c r="X885" s="171">
        <v>49.370000000000005</v>
      </c>
      <c r="Y885" s="171">
        <v>42.99</v>
      </c>
      <c r="Z885" s="171">
        <v>35.270000000000003</v>
      </c>
      <c r="AA885" s="171">
        <v>30</v>
      </c>
      <c r="AB885" s="171">
        <v>64.41</v>
      </c>
      <c r="AC885" s="171">
        <v>35.270000000000003</v>
      </c>
      <c r="AD885" s="171">
        <v>31.150000000000002</v>
      </c>
      <c r="AF885" s="171">
        <f t="shared" si="41"/>
        <v>2009</v>
      </c>
      <c r="AG885" s="171">
        <f t="shared" si="42"/>
        <v>10</v>
      </c>
      <c r="AH885" s="700">
        <f>SUMIF(D$3:$AA885,"&lt;="&amp;$AH$1)/COUNTIF(D$3:$AA885,"&lt;="&amp;$AH$1)</f>
        <v>29.535819983865299</v>
      </c>
    </row>
    <row r="886" spans="2:34" x14ac:dyDescent="0.25">
      <c r="B886" s="910">
        <v>40066</v>
      </c>
      <c r="C886" s="581">
        <f t="shared" si="40"/>
        <v>9</v>
      </c>
      <c r="D886" s="171">
        <v>30</v>
      </c>
      <c r="E886" s="171">
        <v>24.63</v>
      </c>
      <c r="F886" s="171">
        <v>20</v>
      </c>
      <c r="G886" s="171">
        <v>18</v>
      </c>
      <c r="H886" s="171">
        <v>19.55</v>
      </c>
      <c r="I886" s="171">
        <v>23.18</v>
      </c>
      <c r="J886" s="171">
        <v>31</v>
      </c>
      <c r="K886" s="171">
        <v>40</v>
      </c>
      <c r="L886" s="171">
        <v>46.34</v>
      </c>
      <c r="M886" s="171">
        <v>58.5</v>
      </c>
      <c r="N886" s="171">
        <v>49.980000000000004</v>
      </c>
      <c r="O886" s="171">
        <v>54.800000000000004</v>
      </c>
      <c r="P886" s="171">
        <v>44.93</v>
      </c>
      <c r="Q886" s="171">
        <v>58.92</v>
      </c>
      <c r="R886" s="171">
        <v>52.71</v>
      </c>
      <c r="S886" s="171">
        <v>47.64</v>
      </c>
      <c r="T886" s="171">
        <v>44.300000000000004</v>
      </c>
      <c r="U886" s="171">
        <v>42.76</v>
      </c>
      <c r="V886" s="171">
        <v>35.29</v>
      </c>
      <c r="W886" s="171">
        <v>31</v>
      </c>
      <c r="X886" s="171">
        <v>51.54</v>
      </c>
      <c r="Y886" s="171">
        <v>44.5</v>
      </c>
      <c r="Z886" s="171">
        <v>39.6</v>
      </c>
      <c r="AA886" s="171">
        <v>35.11</v>
      </c>
      <c r="AB886" s="171">
        <v>58.92</v>
      </c>
      <c r="AC886" s="171">
        <v>31</v>
      </c>
      <c r="AD886" s="171">
        <v>31.43</v>
      </c>
      <c r="AF886" s="171">
        <f t="shared" si="41"/>
        <v>2009</v>
      </c>
      <c r="AG886" s="171">
        <f t="shared" si="42"/>
        <v>12</v>
      </c>
      <c r="AH886" s="700">
        <f>SUMIF(D$3:$AA886,"&lt;="&amp;$AH$1)/COUNTIF(D$3:$AA886,"&lt;="&amp;$AH$1)</f>
        <v>29.535006329842233</v>
      </c>
    </row>
    <row r="887" spans="2:34" x14ac:dyDescent="0.25">
      <c r="B887" s="910">
        <v>40067</v>
      </c>
      <c r="C887" s="581">
        <f t="shared" si="40"/>
        <v>9</v>
      </c>
      <c r="D887" s="171">
        <v>29.75</v>
      </c>
      <c r="E887" s="171">
        <v>23.37</v>
      </c>
      <c r="F887" s="171">
        <v>19.3</v>
      </c>
      <c r="G887" s="171">
        <v>19.22</v>
      </c>
      <c r="H887" s="171">
        <v>19.8</v>
      </c>
      <c r="I887" s="171">
        <v>25.76</v>
      </c>
      <c r="J887" s="171">
        <v>38.56</v>
      </c>
      <c r="K887" s="171">
        <v>42.33</v>
      </c>
      <c r="L887" s="171">
        <v>46.25</v>
      </c>
      <c r="M887" s="171">
        <v>51.38</v>
      </c>
      <c r="N887" s="171">
        <v>51.93</v>
      </c>
      <c r="O887" s="171">
        <v>54.49</v>
      </c>
      <c r="P887" s="171">
        <v>50.99</v>
      </c>
      <c r="Q887" s="171">
        <v>50.7</v>
      </c>
      <c r="R887" s="171">
        <v>46.46</v>
      </c>
      <c r="S887" s="171">
        <v>41.09</v>
      </c>
      <c r="T887" s="171">
        <v>38.6</v>
      </c>
      <c r="U887" s="171">
        <v>38.270000000000003</v>
      </c>
      <c r="V887" s="171">
        <v>34.93</v>
      </c>
      <c r="W887" s="171">
        <v>32</v>
      </c>
      <c r="X887" s="171">
        <v>47.86</v>
      </c>
      <c r="Y887" s="171">
        <v>41.5</v>
      </c>
      <c r="Z887" s="171">
        <v>37</v>
      </c>
      <c r="AA887" s="171">
        <v>37</v>
      </c>
      <c r="AB887" s="171">
        <v>54.49</v>
      </c>
      <c r="AC887" s="171">
        <v>32</v>
      </c>
      <c r="AD887" s="171">
        <v>31.79</v>
      </c>
      <c r="AF887" s="171">
        <f t="shared" si="41"/>
        <v>2009</v>
      </c>
      <c r="AG887" s="171">
        <f t="shared" si="42"/>
        <v>16</v>
      </c>
      <c r="AH887" s="700">
        <f>SUMIF(D$3:$AA887,"&lt;="&amp;$AH$1)/COUNTIF(D$3:$AA887,"&lt;="&amp;$AH$1)</f>
        <v>29.540281447443896</v>
      </c>
    </row>
    <row r="888" spans="2:34" x14ac:dyDescent="0.25">
      <c r="B888" s="910">
        <v>40070</v>
      </c>
      <c r="C888" s="581">
        <f t="shared" si="40"/>
        <v>9</v>
      </c>
      <c r="D888" s="171">
        <v>20.89</v>
      </c>
      <c r="E888" s="171">
        <v>17.11</v>
      </c>
      <c r="F888" s="171">
        <v>11</v>
      </c>
      <c r="G888" s="171">
        <v>10.16</v>
      </c>
      <c r="H888" s="171">
        <v>10.16</v>
      </c>
      <c r="I888" s="171">
        <v>18.23</v>
      </c>
      <c r="J888" s="171">
        <v>35</v>
      </c>
      <c r="K888" s="171">
        <v>43.09</v>
      </c>
      <c r="L888" s="171">
        <v>49</v>
      </c>
      <c r="M888" s="171">
        <v>49.93</v>
      </c>
      <c r="N888" s="171">
        <v>48.5</v>
      </c>
      <c r="O888" s="171">
        <v>51.4</v>
      </c>
      <c r="P888" s="171">
        <v>47.76</v>
      </c>
      <c r="Q888" s="171">
        <v>44.93</v>
      </c>
      <c r="R888" s="171">
        <v>39.380000000000003</v>
      </c>
      <c r="S888" s="171">
        <v>36.99</v>
      </c>
      <c r="T888" s="171">
        <v>38</v>
      </c>
      <c r="U888" s="171">
        <v>38.700000000000003</v>
      </c>
      <c r="V888" s="171">
        <v>37</v>
      </c>
      <c r="W888" s="171">
        <v>37.99</v>
      </c>
      <c r="X888" s="171">
        <v>47.5</v>
      </c>
      <c r="Y888" s="171">
        <v>40</v>
      </c>
      <c r="Z888" s="171">
        <v>37.4</v>
      </c>
      <c r="AA888" s="171">
        <v>33</v>
      </c>
      <c r="AB888" s="171">
        <v>51.4</v>
      </c>
      <c r="AC888" s="171">
        <v>36.99</v>
      </c>
      <c r="AD888" s="171">
        <v>26.96</v>
      </c>
      <c r="AF888" s="171">
        <f t="shared" si="41"/>
        <v>2009</v>
      </c>
      <c r="AG888" s="171">
        <f t="shared" si="42"/>
        <v>16</v>
      </c>
      <c r="AH888" s="700">
        <f>SUMIF(D$3:$AA888,"&lt;="&amp;$AH$1)/COUNTIF(D$3:$AA888,"&lt;="&amp;$AH$1)</f>
        <v>29.538947368420953</v>
      </c>
    </row>
    <row r="889" spans="2:34" x14ac:dyDescent="0.25">
      <c r="B889" s="910">
        <v>40071</v>
      </c>
      <c r="C889" s="581">
        <f t="shared" si="40"/>
        <v>9</v>
      </c>
      <c r="D889" s="171">
        <v>23</v>
      </c>
      <c r="E889" s="171">
        <v>19.46</v>
      </c>
      <c r="F889" s="171">
        <v>13.6</v>
      </c>
      <c r="G889" s="171">
        <v>11</v>
      </c>
      <c r="H889" s="171">
        <v>12</v>
      </c>
      <c r="I889" s="171">
        <v>23</v>
      </c>
      <c r="J889" s="171">
        <v>34.93</v>
      </c>
      <c r="K889" s="171">
        <v>44</v>
      </c>
      <c r="L889" s="171">
        <v>48.45</v>
      </c>
      <c r="M889" s="171">
        <v>50</v>
      </c>
      <c r="N889" s="171">
        <v>50.5</v>
      </c>
      <c r="O889" s="171">
        <v>51.58</v>
      </c>
      <c r="P889" s="171">
        <v>49.120000000000005</v>
      </c>
      <c r="Q889" s="171">
        <v>49.13</v>
      </c>
      <c r="R889" s="171">
        <v>45</v>
      </c>
      <c r="S889" s="171">
        <v>43</v>
      </c>
      <c r="T889" s="171">
        <v>43.5</v>
      </c>
      <c r="U889" s="171">
        <v>43</v>
      </c>
      <c r="V889" s="171">
        <v>40</v>
      </c>
      <c r="W889" s="171">
        <v>43.800000000000004</v>
      </c>
      <c r="X889" s="171">
        <v>51.11</v>
      </c>
      <c r="Y889" s="171">
        <v>42.21</v>
      </c>
      <c r="Z889" s="171">
        <v>38</v>
      </c>
      <c r="AA889" s="171">
        <v>31.01</v>
      </c>
      <c r="AB889" s="171">
        <v>51.58</v>
      </c>
      <c r="AC889" s="171">
        <v>38</v>
      </c>
      <c r="AD889" s="171">
        <v>28.61</v>
      </c>
      <c r="AF889" s="171">
        <f t="shared" si="41"/>
        <v>2009</v>
      </c>
      <c r="AG889" s="171">
        <f t="shared" si="42"/>
        <v>11</v>
      </c>
      <c r="AH889" s="700">
        <f>SUMIF(D$3:$AA889,"&lt;="&amp;$AH$1)/COUNTIF(D$3:$AA889,"&lt;="&amp;$AH$1)</f>
        <v>29.534742327072735</v>
      </c>
    </row>
    <row r="890" spans="2:34" x14ac:dyDescent="0.25">
      <c r="B890" s="910">
        <v>40072</v>
      </c>
      <c r="C890" s="581">
        <f t="shared" si="40"/>
        <v>9</v>
      </c>
      <c r="D890" s="171">
        <v>28.61</v>
      </c>
      <c r="E890" s="171">
        <v>22.3</v>
      </c>
      <c r="F890" s="171">
        <v>20</v>
      </c>
      <c r="G890" s="171">
        <v>18.5</v>
      </c>
      <c r="H890" s="171">
        <v>18.64</v>
      </c>
      <c r="I890" s="171">
        <v>25</v>
      </c>
      <c r="J890" s="171">
        <v>36</v>
      </c>
      <c r="K890" s="171">
        <v>44.32</v>
      </c>
      <c r="L890" s="171">
        <v>47.47</v>
      </c>
      <c r="M890" s="171">
        <v>50.25</v>
      </c>
      <c r="N890" s="171">
        <v>50.550000000000004</v>
      </c>
      <c r="O890" s="171">
        <v>53.01</v>
      </c>
      <c r="P890" s="171">
        <v>50</v>
      </c>
      <c r="Q890" s="171">
        <v>48.7</v>
      </c>
      <c r="R890" s="171">
        <v>44.96</v>
      </c>
      <c r="S890" s="171">
        <v>38.74</v>
      </c>
      <c r="T890" s="171">
        <v>39.5</v>
      </c>
      <c r="U890" s="171">
        <v>39.93</v>
      </c>
      <c r="V890" s="171">
        <v>36.24</v>
      </c>
      <c r="W890" s="171">
        <v>34.93</v>
      </c>
      <c r="X890" s="171">
        <v>48.18</v>
      </c>
      <c r="Y890" s="171">
        <v>39.11</v>
      </c>
      <c r="Z890" s="171">
        <v>34.4</v>
      </c>
      <c r="AA890" s="171">
        <v>30.16</v>
      </c>
      <c r="AB890" s="171">
        <v>53.01</v>
      </c>
      <c r="AC890" s="171">
        <v>34.4</v>
      </c>
      <c r="AD890" s="171">
        <v>30.43</v>
      </c>
      <c r="AF890" s="171">
        <f t="shared" si="41"/>
        <v>2009</v>
      </c>
      <c r="AG890" s="171">
        <f t="shared" si="42"/>
        <v>15</v>
      </c>
      <c r="AH890" s="700">
        <f>SUMIF(D$3:$AA890,"&lt;="&amp;$AH$1)/COUNTIF(D$3:$AA890,"&lt;="&amp;$AH$1)</f>
        <v>29.536918943637712</v>
      </c>
    </row>
    <row r="891" spans="2:34" x14ac:dyDescent="0.25">
      <c r="B891" s="910">
        <v>40073</v>
      </c>
      <c r="C891" s="581">
        <f t="shared" si="40"/>
        <v>9</v>
      </c>
      <c r="D891" s="171">
        <v>27</v>
      </c>
      <c r="E891" s="171">
        <v>22.25</v>
      </c>
      <c r="F891" s="171">
        <v>19</v>
      </c>
      <c r="G891" s="171">
        <v>15.82</v>
      </c>
      <c r="H891" s="171">
        <v>18.25</v>
      </c>
      <c r="I891" s="171">
        <v>24</v>
      </c>
      <c r="J891" s="171">
        <v>38.69</v>
      </c>
      <c r="K891" s="171">
        <v>47.5</v>
      </c>
      <c r="L891" s="171">
        <v>49.13</v>
      </c>
      <c r="M891" s="171">
        <v>49.65</v>
      </c>
      <c r="N891" s="171">
        <v>48.870000000000005</v>
      </c>
      <c r="O891" s="171">
        <v>51.27</v>
      </c>
      <c r="P891" s="171">
        <v>51.01</v>
      </c>
      <c r="Q891" s="171">
        <v>50</v>
      </c>
      <c r="R891" s="171">
        <v>49.18</v>
      </c>
      <c r="S891" s="171">
        <v>46.53</v>
      </c>
      <c r="T891" s="171">
        <v>43</v>
      </c>
      <c r="U891" s="171">
        <v>43</v>
      </c>
      <c r="V891" s="171">
        <v>40.020000000000003</v>
      </c>
      <c r="W891" s="171">
        <v>45.35</v>
      </c>
      <c r="X891" s="171">
        <v>52</v>
      </c>
      <c r="Y891" s="171">
        <v>43</v>
      </c>
      <c r="Z891" s="171">
        <v>35.700000000000003</v>
      </c>
      <c r="AA891" s="171">
        <v>35.300000000000004</v>
      </c>
      <c r="AB891" s="171">
        <v>52</v>
      </c>
      <c r="AC891" s="171">
        <v>35.700000000000003</v>
      </c>
      <c r="AD891" s="171">
        <v>31.54</v>
      </c>
      <c r="AF891" s="171">
        <f t="shared" si="41"/>
        <v>2009</v>
      </c>
      <c r="AG891" s="171">
        <f t="shared" si="42"/>
        <v>10</v>
      </c>
      <c r="AH891" s="700">
        <f>SUMIF(D$3:$AA891,"&lt;="&amp;$AH$1)/COUNTIF(D$3:$AA891,"&lt;="&amp;$AH$1)</f>
        <v>29.534710517300336</v>
      </c>
    </row>
    <row r="892" spans="2:34" x14ac:dyDescent="0.25">
      <c r="B892" s="910">
        <v>40074</v>
      </c>
      <c r="C892" s="581">
        <f t="shared" si="40"/>
        <v>9</v>
      </c>
      <c r="D892" s="171">
        <v>30.5</v>
      </c>
      <c r="E892" s="171">
        <v>24.18</v>
      </c>
      <c r="F892" s="171">
        <v>22.87</v>
      </c>
      <c r="G892" s="171">
        <v>21.35</v>
      </c>
      <c r="H892" s="171">
        <v>23.3</v>
      </c>
      <c r="I892" s="171">
        <v>26.88</v>
      </c>
      <c r="J892" s="171">
        <v>41</v>
      </c>
      <c r="K892" s="171">
        <v>52.4</v>
      </c>
      <c r="L892" s="171">
        <v>51.5</v>
      </c>
      <c r="M892" s="171">
        <v>52.7</v>
      </c>
      <c r="N892" s="171">
        <v>51.230000000000004</v>
      </c>
      <c r="O892" s="171">
        <v>54.49</v>
      </c>
      <c r="P892" s="171">
        <v>53.58</v>
      </c>
      <c r="Q892" s="171">
        <v>50.82</v>
      </c>
      <c r="R892" s="171">
        <v>48</v>
      </c>
      <c r="S892" s="171">
        <v>43.5</v>
      </c>
      <c r="T892" s="171">
        <v>40.5</v>
      </c>
      <c r="U892" s="171">
        <v>40.5</v>
      </c>
      <c r="V892" s="171">
        <v>41.56</v>
      </c>
      <c r="W892" s="171">
        <v>46.99</v>
      </c>
      <c r="X892" s="171">
        <v>50.5</v>
      </c>
      <c r="Y892" s="171">
        <v>42.08</v>
      </c>
      <c r="Z892" s="171">
        <v>38.730000000000004</v>
      </c>
      <c r="AA892" s="171">
        <v>35</v>
      </c>
      <c r="AB892" s="171">
        <v>54.49</v>
      </c>
      <c r="AC892" s="171">
        <v>38.730000000000004</v>
      </c>
      <c r="AD892" s="171">
        <v>34.07</v>
      </c>
      <c r="AF892" s="171">
        <f t="shared" si="41"/>
        <v>2009</v>
      </c>
      <c r="AG892" s="171">
        <f t="shared" si="42"/>
        <v>13</v>
      </c>
      <c r="AH892" s="700">
        <f>SUMIF(D$3:$AA892,"&lt;="&amp;$AH$1)/COUNTIF(D$3:$AA892,"&lt;="&amp;$AH$1)</f>
        <v>29.539784492588261</v>
      </c>
    </row>
    <row r="893" spans="2:34" x14ac:dyDescent="0.25">
      <c r="B893" s="910">
        <v>40077</v>
      </c>
      <c r="C893" s="581">
        <f t="shared" si="40"/>
        <v>9</v>
      </c>
      <c r="D893" s="171">
        <v>31.150000000000002</v>
      </c>
      <c r="E893" s="171">
        <v>26.3</v>
      </c>
      <c r="F893" s="171">
        <v>21.01</v>
      </c>
      <c r="G893" s="171">
        <v>17.350000000000001</v>
      </c>
      <c r="H893" s="171">
        <v>15</v>
      </c>
      <c r="I893" s="171">
        <v>23</v>
      </c>
      <c r="J893" s="171">
        <v>42.28</v>
      </c>
      <c r="K893" s="171">
        <v>53.9</v>
      </c>
      <c r="L893" s="171">
        <v>57</v>
      </c>
      <c r="M893" s="171">
        <v>59.36</v>
      </c>
      <c r="N893" s="171">
        <v>64</v>
      </c>
      <c r="O893" s="171">
        <v>66.19</v>
      </c>
      <c r="P893" s="171">
        <v>63</v>
      </c>
      <c r="Q893" s="171">
        <v>59.71</v>
      </c>
      <c r="R893" s="171">
        <v>57</v>
      </c>
      <c r="S893" s="171">
        <v>53.49</v>
      </c>
      <c r="T893" s="171">
        <v>51</v>
      </c>
      <c r="U893" s="171">
        <v>50</v>
      </c>
      <c r="V893" s="171">
        <v>51</v>
      </c>
      <c r="W893" s="171">
        <v>55.99</v>
      </c>
      <c r="X893" s="171">
        <v>58.120000000000005</v>
      </c>
      <c r="Y893" s="171">
        <v>48</v>
      </c>
      <c r="Z893" s="171">
        <v>44.54</v>
      </c>
      <c r="AA893" s="171">
        <v>36.200000000000003</v>
      </c>
      <c r="AB893" s="171">
        <v>66.19</v>
      </c>
      <c r="AC893" s="171">
        <v>44.54</v>
      </c>
      <c r="AD893" s="171">
        <v>34.74</v>
      </c>
      <c r="AF893" s="171">
        <f t="shared" si="41"/>
        <v>2009</v>
      </c>
      <c r="AG893" s="171">
        <f t="shared" si="42"/>
        <v>8</v>
      </c>
      <c r="AH893" s="700">
        <f>SUMIF(D$3:$AA893,"&lt;="&amp;$AH$1)/COUNTIF(D$3:$AA893,"&lt;="&amp;$AH$1)</f>
        <v>29.537047163362846</v>
      </c>
    </row>
    <row r="894" spans="2:34" x14ac:dyDescent="0.25">
      <c r="B894" s="910">
        <v>40078</v>
      </c>
      <c r="C894" s="581">
        <f t="shared" si="40"/>
        <v>9</v>
      </c>
      <c r="D894" s="171">
        <v>30.76</v>
      </c>
      <c r="E894" s="171">
        <v>23.62</v>
      </c>
      <c r="F894" s="171">
        <v>22.240000000000002</v>
      </c>
      <c r="G894" s="171">
        <v>19.25</v>
      </c>
      <c r="H894" s="171">
        <v>18.75</v>
      </c>
      <c r="I894" s="171">
        <v>22.7</v>
      </c>
      <c r="J894" s="171">
        <v>44.93</v>
      </c>
      <c r="K894" s="171">
        <v>55</v>
      </c>
      <c r="L894" s="171">
        <v>57.2</v>
      </c>
      <c r="M894" s="171">
        <v>59.78</v>
      </c>
      <c r="N894" s="171">
        <v>59.99</v>
      </c>
      <c r="O894" s="171">
        <v>59.800000000000004</v>
      </c>
      <c r="P894" s="171">
        <v>56.81</v>
      </c>
      <c r="Q894" s="171">
        <v>56.02</v>
      </c>
      <c r="R894" s="171">
        <v>56</v>
      </c>
      <c r="S894" s="171">
        <v>52.300000000000004</v>
      </c>
      <c r="T894" s="171">
        <v>45.44</v>
      </c>
      <c r="U894" s="171">
        <v>44.94</v>
      </c>
      <c r="V894" s="171">
        <v>46</v>
      </c>
      <c r="W894" s="171">
        <v>52.980000000000004</v>
      </c>
      <c r="X894" s="171">
        <v>55</v>
      </c>
      <c r="Y894" s="171">
        <v>42.75</v>
      </c>
      <c r="Z894" s="171">
        <v>38</v>
      </c>
      <c r="AA894" s="171">
        <v>33.42</v>
      </c>
      <c r="AB894" s="171">
        <v>59.99</v>
      </c>
      <c r="AC894" s="171">
        <v>38</v>
      </c>
      <c r="AD894" s="171">
        <v>33.869999999999997</v>
      </c>
      <c r="AF894" s="171">
        <f t="shared" si="41"/>
        <v>2009</v>
      </c>
      <c r="AG894" s="171">
        <f t="shared" si="42"/>
        <v>8</v>
      </c>
      <c r="AH894" s="700">
        <f>SUMIF(D$3:$AA894,"&lt;="&amp;$AH$1)/COUNTIF(D$3:$AA894,"&lt;="&amp;$AH$1)</f>
        <v>29.53391076712942</v>
      </c>
    </row>
    <row r="895" spans="2:34" x14ac:dyDescent="0.25">
      <c r="B895" s="910">
        <v>40079</v>
      </c>
      <c r="C895" s="581">
        <f t="shared" si="40"/>
        <v>9</v>
      </c>
      <c r="D895" s="171">
        <v>28.68</v>
      </c>
      <c r="E895" s="171">
        <v>22.44</v>
      </c>
      <c r="F895" s="171">
        <v>19.5</v>
      </c>
      <c r="G895" s="171">
        <v>16</v>
      </c>
      <c r="H895" s="171">
        <v>18.5</v>
      </c>
      <c r="I895" s="171">
        <v>23.21</v>
      </c>
      <c r="J895" s="171">
        <v>43.61</v>
      </c>
      <c r="K895" s="171">
        <v>57.01</v>
      </c>
      <c r="L895" s="171">
        <v>59.17</v>
      </c>
      <c r="M895" s="171">
        <v>62.07</v>
      </c>
      <c r="N895" s="171">
        <v>61.68</v>
      </c>
      <c r="O895" s="171">
        <v>65</v>
      </c>
      <c r="P895" s="171">
        <v>59.5</v>
      </c>
      <c r="Q895" s="171">
        <v>56.53</v>
      </c>
      <c r="R895" s="171">
        <v>56.14</v>
      </c>
      <c r="S895" s="171">
        <v>51.5</v>
      </c>
      <c r="T895" s="171">
        <v>47.800000000000004</v>
      </c>
      <c r="U895" s="171">
        <v>46.67</v>
      </c>
      <c r="V895" s="171">
        <v>48.42</v>
      </c>
      <c r="W895" s="171">
        <v>57.33</v>
      </c>
      <c r="X895" s="171">
        <v>58.67</v>
      </c>
      <c r="Y895" s="171">
        <v>44.08</v>
      </c>
      <c r="Z895" s="171">
        <v>39</v>
      </c>
      <c r="AA895" s="171">
        <v>33.65</v>
      </c>
      <c r="AB895" s="171">
        <v>65</v>
      </c>
      <c r="AC895" s="171">
        <v>39</v>
      </c>
      <c r="AD895" s="171">
        <v>33.700000000000003</v>
      </c>
      <c r="AF895" s="171">
        <f t="shared" si="41"/>
        <v>2009</v>
      </c>
      <c r="AG895" s="171">
        <f t="shared" si="42"/>
        <v>8</v>
      </c>
      <c r="AH895" s="700">
        <f>SUMIF(D$3:$AA895,"&lt;="&amp;$AH$1)/COUNTIF(D$3:$AA895,"&lt;="&amp;$AH$1)</f>
        <v>29.529897657493638</v>
      </c>
    </row>
    <row r="896" spans="2:34" x14ac:dyDescent="0.25">
      <c r="B896" s="910">
        <v>40080</v>
      </c>
      <c r="C896" s="581">
        <f t="shared" si="40"/>
        <v>9</v>
      </c>
      <c r="D896" s="171">
        <v>30</v>
      </c>
      <c r="E896" s="171">
        <v>23</v>
      </c>
      <c r="F896" s="171">
        <v>19</v>
      </c>
      <c r="G896" s="171">
        <v>16.05</v>
      </c>
      <c r="H896" s="171">
        <v>22</v>
      </c>
      <c r="I896" s="171">
        <v>25.310000000000002</v>
      </c>
      <c r="J896" s="171">
        <v>41</v>
      </c>
      <c r="K896" s="171">
        <v>56.06</v>
      </c>
      <c r="L896" s="171">
        <v>60.81</v>
      </c>
      <c r="M896" s="171">
        <v>61.38</v>
      </c>
      <c r="N896" s="171">
        <v>61.03</v>
      </c>
      <c r="O896" s="171">
        <v>65.010000000000005</v>
      </c>
      <c r="P896" s="171">
        <v>60</v>
      </c>
      <c r="Q896" s="171">
        <v>57.89</v>
      </c>
      <c r="R896" s="171">
        <v>56.08</v>
      </c>
      <c r="S896" s="171">
        <v>49.230000000000004</v>
      </c>
      <c r="T896" s="171">
        <v>46.32</v>
      </c>
      <c r="U896" s="171">
        <v>45.88</v>
      </c>
      <c r="V896" s="171">
        <v>50.09</v>
      </c>
      <c r="W896" s="171">
        <v>60.75</v>
      </c>
      <c r="X896" s="171">
        <v>63.58</v>
      </c>
      <c r="Y896" s="171">
        <v>46.5</v>
      </c>
      <c r="Z896" s="171">
        <v>40.68</v>
      </c>
      <c r="AA896" s="171">
        <v>35.5</v>
      </c>
      <c r="AB896" s="171">
        <v>65.010000000000005</v>
      </c>
      <c r="AC896" s="171">
        <v>40.68</v>
      </c>
      <c r="AD896" s="171">
        <v>34.89</v>
      </c>
      <c r="AF896" s="171">
        <f t="shared" si="41"/>
        <v>2009</v>
      </c>
      <c r="AG896" s="171">
        <f t="shared" si="42"/>
        <v>9</v>
      </c>
      <c r="AH896" s="700">
        <f>SUMIF(D$3:$AA896,"&lt;="&amp;$AH$1)/COUNTIF(D$3:$AA896,"&lt;="&amp;$AH$1)</f>
        <v>29.528394865386691</v>
      </c>
    </row>
    <row r="897" spans="2:34" x14ac:dyDescent="0.25">
      <c r="B897" s="910">
        <v>40081</v>
      </c>
      <c r="C897" s="581">
        <f t="shared" si="40"/>
        <v>9</v>
      </c>
      <c r="D897" s="171">
        <v>29.7</v>
      </c>
      <c r="E897" s="171">
        <v>24.69</v>
      </c>
      <c r="F897" s="171">
        <v>21</v>
      </c>
      <c r="G897" s="171">
        <v>21.75</v>
      </c>
      <c r="H897" s="171">
        <v>22</v>
      </c>
      <c r="I897" s="171">
        <v>26.09</v>
      </c>
      <c r="J897" s="171">
        <v>44</v>
      </c>
      <c r="K897" s="171">
        <v>54.09</v>
      </c>
      <c r="L897" s="171">
        <v>60.1</v>
      </c>
      <c r="M897" s="171">
        <v>61.19</v>
      </c>
      <c r="N897" s="171">
        <v>61.25</v>
      </c>
      <c r="O897" s="171">
        <v>62.97</v>
      </c>
      <c r="P897" s="171">
        <v>60</v>
      </c>
      <c r="Q897" s="171">
        <v>57.76</v>
      </c>
      <c r="R897" s="171">
        <v>53</v>
      </c>
      <c r="S897" s="171">
        <v>48</v>
      </c>
      <c r="T897" s="171">
        <v>41.95</v>
      </c>
      <c r="U897" s="171">
        <v>41.4</v>
      </c>
      <c r="V897" s="171">
        <v>45.03</v>
      </c>
      <c r="W897" s="171">
        <v>55.2</v>
      </c>
      <c r="X897" s="171">
        <v>55.99</v>
      </c>
      <c r="Y897" s="171">
        <v>41</v>
      </c>
      <c r="Z897" s="171">
        <v>39.65</v>
      </c>
      <c r="AA897" s="171">
        <v>36.300000000000004</v>
      </c>
      <c r="AB897" s="171">
        <v>62.97</v>
      </c>
      <c r="AC897" s="171">
        <v>39.65</v>
      </c>
      <c r="AD897" s="171">
        <v>34.69</v>
      </c>
      <c r="AF897" s="171">
        <f t="shared" si="41"/>
        <v>2009</v>
      </c>
      <c r="AG897" s="171">
        <f t="shared" si="42"/>
        <v>11</v>
      </c>
      <c r="AH897" s="700">
        <f>SUMIF(D$3:$AA897,"&lt;="&amp;$AH$1)/COUNTIF(D$3:$AA897,"&lt;="&amp;$AH$1)</f>
        <v>29.530745405037329</v>
      </c>
    </row>
    <row r="898" spans="2:34" x14ac:dyDescent="0.25">
      <c r="B898" s="910">
        <v>40084</v>
      </c>
      <c r="C898" s="581">
        <f t="shared" si="40"/>
        <v>9</v>
      </c>
      <c r="D898" s="171">
        <v>26.68</v>
      </c>
      <c r="E898" s="171">
        <v>22.400000000000002</v>
      </c>
      <c r="F898" s="171">
        <v>20.3</v>
      </c>
      <c r="G898" s="171">
        <v>17.100000000000001</v>
      </c>
      <c r="H898" s="171">
        <v>18</v>
      </c>
      <c r="I898" s="171">
        <v>23.400000000000002</v>
      </c>
      <c r="J898" s="171">
        <v>41</v>
      </c>
      <c r="K898" s="171">
        <v>57.47</v>
      </c>
      <c r="L898" s="171">
        <v>60.4</v>
      </c>
      <c r="M898" s="171">
        <v>60.800000000000004</v>
      </c>
      <c r="N898" s="171">
        <v>62.75</v>
      </c>
      <c r="O898" s="171">
        <v>65</v>
      </c>
      <c r="P898" s="171">
        <v>57.4</v>
      </c>
      <c r="Q898" s="171">
        <v>57.07</v>
      </c>
      <c r="R898" s="171">
        <v>53</v>
      </c>
      <c r="S898" s="171">
        <v>46.800000000000004</v>
      </c>
      <c r="T898" s="171">
        <v>44.2</v>
      </c>
      <c r="U898" s="171">
        <v>42.02</v>
      </c>
      <c r="V898" s="171">
        <v>42.7</v>
      </c>
      <c r="W898" s="171">
        <v>54.5</v>
      </c>
      <c r="X898" s="171">
        <v>57.69</v>
      </c>
      <c r="Y898" s="171">
        <v>45</v>
      </c>
      <c r="Z898" s="171">
        <v>36.57</v>
      </c>
      <c r="AA898" s="171">
        <v>32</v>
      </c>
      <c r="AB898" s="171">
        <v>65</v>
      </c>
      <c r="AC898" s="171">
        <v>36.57</v>
      </c>
      <c r="AD898" s="171">
        <v>33.130000000000003</v>
      </c>
      <c r="AF898" s="171">
        <f t="shared" si="41"/>
        <v>2009</v>
      </c>
      <c r="AG898" s="171">
        <f t="shared" si="42"/>
        <v>10</v>
      </c>
      <c r="AH898" s="700">
        <f>SUMIF(D$3:$AA898,"&lt;="&amp;$AH$1)/COUNTIF(D$3:$AA898,"&lt;="&amp;$AH$1)</f>
        <v>29.52895058930179</v>
      </c>
    </row>
    <row r="899" spans="2:34" x14ac:dyDescent="0.25">
      <c r="B899" s="910">
        <v>40085</v>
      </c>
      <c r="C899" s="581">
        <f t="shared" si="40"/>
        <v>9</v>
      </c>
      <c r="D899" s="171">
        <v>30.04</v>
      </c>
      <c r="E899" s="171">
        <v>25</v>
      </c>
      <c r="F899" s="171">
        <v>22.3</v>
      </c>
      <c r="G899" s="171">
        <v>19.03</v>
      </c>
      <c r="H899" s="171">
        <v>18.690000000000001</v>
      </c>
      <c r="I899" s="171">
        <v>25.22</v>
      </c>
      <c r="J899" s="171">
        <v>43.88</v>
      </c>
      <c r="K899" s="171">
        <v>60</v>
      </c>
      <c r="L899" s="171">
        <v>66.19</v>
      </c>
      <c r="M899" s="171">
        <v>67.52</v>
      </c>
      <c r="N899" s="171">
        <v>67</v>
      </c>
      <c r="O899" s="171">
        <v>71.34</v>
      </c>
      <c r="P899" s="171">
        <v>66.180000000000007</v>
      </c>
      <c r="Q899" s="171">
        <v>65.62</v>
      </c>
      <c r="R899" s="171">
        <v>63</v>
      </c>
      <c r="S899" s="171">
        <v>58</v>
      </c>
      <c r="T899" s="171">
        <v>53</v>
      </c>
      <c r="U899" s="171">
        <v>50.93</v>
      </c>
      <c r="V899" s="171">
        <v>55</v>
      </c>
      <c r="W899" s="171">
        <v>65.820000000000007</v>
      </c>
      <c r="X899" s="171">
        <v>66.19</v>
      </c>
      <c r="Y899" s="171">
        <v>49.050000000000004</v>
      </c>
      <c r="Z899" s="171">
        <v>42.32</v>
      </c>
      <c r="AA899" s="171">
        <v>37.800000000000004</v>
      </c>
      <c r="AB899" s="171">
        <v>71.34</v>
      </c>
      <c r="AC899" s="171">
        <v>42.32</v>
      </c>
      <c r="AD899" s="171">
        <v>36.630000000000003</v>
      </c>
      <c r="AF899" s="171">
        <f t="shared" si="41"/>
        <v>2009</v>
      </c>
      <c r="AG899" s="171">
        <f t="shared" si="42"/>
        <v>8</v>
      </c>
      <c r="AH899" s="700">
        <f>SUMIF(D$3:$AA899,"&lt;="&amp;$AH$1)/COUNTIF(D$3:$AA899,"&lt;="&amp;$AH$1)</f>
        <v>29.52715806159409</v>
      </c>
    </row>
    <row r="900" spans="2:34" x14ac:dyDescent="0.25">
      <c r="B900" s="910">
        <v>40086</v>
      </c>
      <c r="C900" s="581">
        <f t="shared" ref="C900:C963" si="43">MONTH(B900)</f>
        <v>9</v>
      </c>
      <c r="D900" s="171">
        <v>32.28</v>
      </c>
      <c r="E900" s="171">
        <v>28.3</v>
      </c>
      <c r="F900" s="171">
        <v>24</v>
      </c>
      <c r="G900" s="171">
        <v>19.62</v>
      </c>
      <c r="H900" s="171">
        <v>21.740000000000002</v>
      </c>
      <c r="I900" s="171">
        <v>29.400000000000002</v>
      </c>
      <c r="J900" s="171">
        <v>45.69</v>
      </c>
      <c r="K900" s="171">
        <v>62.5</v>
      </c>
      <c r="L900" s="171">
        <v>70.070000000000007</v>
      </c>
      <c r="M900" s="171">
        <v>77.75</v>
      </c>
      <c r="N900" s="171">
        <v>77.600000000000009</v>
      </c>
      <c r="O900" s="171">
        <v>90</v>
      </c>
      <c r="P900" s="171">
        <v>77</v>
      </c>
      <c r="Q900" s="171">
        <v>74.98</v>
      </c>
      <c r="R900" s="171">
        <v>71.900000000000006</v>
      </c>
      <c r="S900" s="171">
        <v>63</v>
      </c>
      <c r="T900" s="171">
        <v>58.04</v>
      </c>
      <c r="U900" s="171">
        <v>53</v>
      </c>
      <c r="V900" s="171">
        <v>58</v>
      </c>
      <c r="W900" s="171">
        <v>73.72</v>
      </c>
      <c r="X900" s="171">
        <v>69.61</v>
      </c>
      <c r="Y900" s="171">
        <v>47.77</v>
      </c>
      <c r="Z900" s="171">
        <v>40.69</v>
      </c>
      <c r="AA900" s="171">
        <v>36</v>
      </c>
      <c r="AB900" s="171">
        <v>90</v>
      </c>
      <c r="AC900" s="171">
        <v>40.69</v>
      </c>
      <c r="AD900" s="171">
        <v>38.130000000000003</v>
      </c>
      <c r="AF900" s="171">
        <f t="shared" ref="AF900:AF963" si="44">YEAR(B900)</f>
        <v>2009</v>
      </c>
      <c r="AG900" s="171">
        <f t="shared" ref="AG900:AG963" si="45">COUNTIF(D900:AA900,"&lt;="&amp;$AH$1)</f>
        <v>8</v>
      </c>
      <c r="AH900" s="700">
        <f>SUMIF(D$3:$AA900,"&lt;="&amp;$AH$1)/COUNTIF(D$3:$AA900,"&lt;="&amp;$AH$1)</f>
        <v>29.526684389140154</v>
      </c>
    </row>
    <row r="901" spans="2:34" x14ac:dyDescent="0.25">
      <c r="B901" s="910">
        <v>40087</v>
      </c>
      <c r="C901" s="581">
        <f t="shared" si="43"/>
        <v>10</v>
      </c>
      <c r="D901" s="171">
        <v>32.770000000000003</v>
      </c>
      <c r="E901" s="171">
        <v>26.900000000000002</v>
      </c>
      <c r="F901" s="171">
        <v>23</v>
      </c>
      <c r="G901" s="171">
        <v>22.86</v>
      </c>
      <c r="H901" s="171">
        <v>22.900000000000002</v>
      </c>
      <c r="I901" s="171">
        <v>27.21</v>
      </c>
      <c r="J901" s="171">
        <v>45</v>
      </c>
      <c r="K901" s="171">
        <v>57.54</v>
      </c>
      <c r="L901" s="171">
        <v>65</v>
      </c>
      <c r="M901" s="171">
        <v>70.320000000000007</v>
      </c>
      <c r="N901" s="171">
        <v>70.010000000000005</v>
      </c>
      <c r="O901" s="171">
        <v>73</v>
      </c>
      <c r="P901" s="171">
        <v>66.48</v>
      </c>
      <c r="Q901" s="171">
        <v>65.540000000000006</v>
      </c>
      <c r="R901" s="171">
        <v>64.070000000000007</v>
      </c>
      <c r="S901" s="171">
        <v>55</v>
      </c>
      <c r="T901" s="171">
        <v>50.34</v>
      </c>
      <c r="U901" s="171">
        <v>46.910000000000004</v>
      </c>
      <c r="V901" s="171">
        <v>51.9</v>
      </c>
      <c r="W901" s="171">
        <v>67.900000000000006</v>
      </c>
      <c r="X901" s="171">
        <v>69.960000000000008</v>
      </c>
      <c r="Y901" s="171">
        <v>47.99</v>
      </c>
      <c r="Z901" s="171">
        <v>40.03</v>
      </c>
      <c r="AA901" s="171">
        <v>35.03</v>
      </c>
      <c r="AB901" s="171">
        <v>73</v>
      </c>
      <c r="AC901" s="171">
        <v>40.03</v>
      </c>
      <c r="AD901" s="171">
        <v>37.6</v>
      </c>
      <c r="AF901" s="171">
        <f t="shared" si="44"/>
        <v>2009</v>
      </c>
      <c r="AG901" s="171">
        <f t="shared" si="45"/>
        <v>8</v>
      </c>
      <c r="AH901" s="700">
        <f>SUMIF(D$3:$AA901,"&lt;="&amp;$AH$1)/COUNTIF(D$3:$AA901,"&lt;="&amp;$AH$1)</f>
        <v>29.52606125678107</v>
      </c>
    </row>
    <row r="902" spans="2:34" x14ac:dyDescent="0.25">
      <c r="B902" s="910">
        <v>40088</v>
      </c>
      <c r="C902" s="581">
        <f t="shared" si="43"/>
        <v>10</v>
      </c>
      <c r="D902" s="171">
        <v>31.310000000000002</v>
      </c>
      <c r="E902" s="171">
        <v>26</v>
      </c>
      <c r="F902" s="171">
        <v>21.86</v>
      </c>
      <c r="G902" s="171">
        <v>16.170000000000002</v>
      </c>
      <c r="H902" s="171">
        <v>15.5</v>
      </c>
      <c r="I902" s="171">
        <v>21.62</v>
      </c>
      <c r="J902" s="171">
        <v>39.700000000000003</v>
      </c>
      <c r="K902" s="171">
        <v>62.660000000000004</v>
      </c>
      <c r="L902" s="171">
        <v>69.7</v>
      </c>
      <c r="M902" s="171">
        <v>70.06</v>
      </c>
      <c r="N902" s="171">
        <v>71.320000000000007</v>
      </c>
      <c r="O902" s="171">
        <v>73.7</v>
      </c>
      <c r="P902" s="171">
        <v>66.88</v>
      </c>
      <c r="Q902" s="171">
        <v>62</v>
      </c>
      <c r="R902" s="171">
        <v>57</v>
      </c>
      <c r="S902" s="171">
        <v>49.35</v>
      </c>
      <c r="T902" s="171">
        <v>44.62</v>
      </c>
      <c r="U902" s="171">
        <v>44.93</v>
      </c>
      <c r="V902" s="171">
        <v>49.980000000000004</v>
      </c>
      <c r="W902" s="171">
        <v>64.61</v>
      </c>
      <c r="X902" s="171">
        <v>63</v>
      </c>
      <c r="Y902" s="171">
        <v>41.800000000000004</v>
      </c>
      <c r="Z902" s="171">
        <v>37.24</v>
      </c>
      <c r="AA902" s="171">
        <v>35.11</v>
      </c>
      <c r="AB902" s="171">
        <v>73.7</v>
      </c>
      <c r="AC902" s="171">
        <v>37.24</v>
      </c>
      <c r="AD902" s="171">
        <v>34.33</v>
      </c>
      <c r="AF902" s="171">
        <f t="shared" si="44"/>
        <v>2009</v>
      </c>
      <c r="AG902" s="171">
        <f t="shared" si="45"/>
        <v>10</v>
      </c>
      <c r="AH902" s="700">
        <f>SUMIF(D$3:$AA902,"&lt;="&amp;$AH$1)/COUNTIF(D$3:$AA902,"&lt;="&amp;$AH$1)</f>
        <v>29.525050801535208</v>
      </c>
    </row>
    <row r="903" spans="2:34" x14ac:dyDescent="0.25">
      <c r="B903" s="910">
        <v>40091</v>
      </c>
      <c r="C903" s="581">
        <f t="shared" si="43"/>
        <v>10</v>
      </c>
      <c r="D903" s="171">
        <v>31.92</v>
      </c>
      <c r="E903" s="171">
        <v>24.92</v>
      </c>
      <c r="F903" s="171">
        <v>20</v>
      </c>
      <c r="G903" s="171">
        <v>20.28</v>
      </c>
      <c r="H903" s="171">
        <v>19.580000000000002</v>
      </c>
      <c r="I903" s="171">
        <v>23.5</v>
      </c>
      <c r="J903" s="171">
        <v>46.14</v>
      </c>
      <c r="K903" s="171">
        <v>66.210000000000008</v>
      </c>
      <c r="L903" s="171">
        <v>71.03</v>
      </c>
      <c r="M903" s="171">
        <v>72.989999999999995</v>
      </c>
      <c r="N903" s="171">
        <v>73.66</v>
      </c>
      <c r="O903" s="171">
        <v>75</v>
      </c>
      <c r="P903" s="171">
        <v>66.400000000000006</v>
      </c>
      <c r="Q903" s="171">
        <v>66.19</v>
      </c>
      <c r="R903" s="171">
        <v>65.73</v>
      </c>
      <c r="S903" s="171">
        <v>60.18</v>
      </c>
      <c r="T903" s="171">
        <v>55</v>
      </c>
      <c r="U903" s="171">
        <v>50.54</v>
      </c>
      <c r="V903" s="171">
        <v>58.78</v>
      </c>
      <c r="W903" s="171">
        <v>78</v>
      </c>
      <c r="X903" s="171">
        <v>69.34</v>
      </c>
      <c r="Y903" s="171">
        <v>49.980000000000004</v>
      </c>
      <c r="Z903" s="171">
        <v>43</v>
      </c>
      <c r="AA903" s="171">
        <v>42.08</v>
      </c>
      <c r="AB903" s="171">
        <v>78</v>
      </c>
      <c r="AC903" s="171">
        <v>43</v>
      </c>
      <c r="AD903" s="171">
        <v>38.08</v>
      </c>
      <c r="AF903" s="171">
        <f t="shared" si="44"/>
        <v>2009</v>
      </c>
      <c r="AG903" s="171">
        <f t="shared" si="45"/>
        <v>7</v>
      </c>
      <c r="AH903" s="700">
        <f>SUMIF(D$3:$AA903,"&lt;="&amp;$AH$1)/COUNTIF(D$3:$AA903,"&lt;="&amp;$AH$1)</f>
        <v>29.522298928369867</v>
      </c>
    </row>
    <row r="904" spans="2:34" x14ac:dyDescent="0.25">
      <c r="B904" s="910">
        <v>40092</v>
      </c>
      <c r="C904" s="581">
        <f t="shared" si="43"/>
        <v>10</v>
      </c>
      <c r="D904" s="171">
        <v>38.090000000000003</v>
      </c>
      <c r="E904" s="171">
        <v>27.5</v>
      </c>
      <c r="F904" s="171">
        <v>26.89</v>
      </c>
      <c r="G904" s="171">
        <v>22</v>
      </c>
      <c r="H904" s="171">
        <v>20.73</v>
      </c>
      <c r="I904" s="171">
        <v>30.6</v>
      </c>
      <c r="J904" s="171">
        <v>50.53</v>
      </c>
      <c r="K904" s="171">
        <v>72</v>
      </c>
      <c r="L904" s="171">
        <v>74</v>
      </c>
      <c r="M904" s="171">
        <v>79.260000000000005</v>
      </c>
      <c r="N904" s="171">
        <v>81</v>
      </c>
      <c r="O904" s="171">
        <v>89.22</v>
      </c>
      <c r="P904" s="171">
        <v>73</v>
      </c>
      <c r="Q904" s="171">
        <v>70.33</v>
      </c>
      <c r="R904" s="171">
        <v>69.05</v>
      </c>
      <c r="S904" s="171">
        <v>63.97</v>
      </c>
      <c r="T904" s="171">
        <v>57.52</v>
      </c>
      <c r="U904" s="171">
        <v>52.910000000000004</v>
      </c>
      <c r="V904" s="171">
        <v>57</v>
      </c>
      <c r="W904" s="171">
        <v>73.58</v>
      </c>
      <c r="X904" s="171">
        <v>60.33</v>
      </c>
      <c r="Y904" s="171">
        <v>42.1</v>
      </c>
      <c r="Z904" s="171">
        <v>34.93</v>
      </c>
      <c r="AA904" s="171">
        <v>33</v>
      </c>
      <c r="AB904" s="171">
        <v>89.22</v>
      </c>
      <c r="AC904" s="171">
        <v>34.93</v>
      </c>
      <c r="AD904" s="171">
        <v>38.22</v>
      </c>
      <c r="AF904" s="171">
        <f t="shared" si="44"/>
        <v>2009</v>
      </c>
      <c r="AG904" s="171">
        <f t="shared" si="45"/>
        <v>9</v>
      </c>
      <c r="AH904" s="700">
        <f>SUMIF(D$3:$AA904,"&lt;="&amp;$AH$1)/COUNTIF(D$3:$AA904,"&lt;="&amp;$AH$1)</f>
        <v>29.523441514536728</v>
      </c>
    </row>
    <row r="905" spans="2:34" x14ac:dyDescent="0.25">
      <c r="B905" s="910">
        <v>40093</v>
      </c>
      <c r="C905" s="581">
        <f t="shared" si="43"/>
        <v>10</v>
      </c>
      <c r="D905" s="171">
        <v>24.82</v>
      </c>
      <c r="E905" s="171">
        <v>20.48</v>
      </c>
      <c r="F905" s="171">
        <v>14.25</v>
      </c>
      <c r="G905" s="171">
        <v>10.200000000000001</v>
      </c>
      <c r="H905" s="171">
        <v>11.59</v>
      </c>
      <c r="I905" s="171">
        <v>19.8</v>
      </c>
      <c r="J905" s="171">
        <v>43.95</v>
      </c>
      <c r="K905" s="171">
        <v>66.78</v>
      </c>
      <c r="L905" s="171">
        <v>72.37</v>
      </c>
      <c r="M905" s="171">
        <v>82.84</v>
      </c>
      <c r="N905" s="171">
        <v>86.41</v>
      </c>
      <c r="O905" s="171">
        <v>85</v>
      </c>
      <c r="P905" s="171">
        <v>75.33</v>
      </c>
      <c r="Q905" s="171">
        <v>71.7</v>
      </c>
      <c r="R905" s="171">
        <v>71.8</v>
      </c>
      <c r="S905" s="171">
        <v>69.510000000000005</v>
      </c>
      <c r="T905" s="171">
        <v>66.400000000000006</v>
      </c>
      <c r="U905" s="171">
        <v>63.690000000000005</v>
      </c>
      <c r="V905" s="171">
        <v>70.5</v>
      </c>
      <c r="W905" s="171">
        <v>100</v>
      </c>
      <c r="X905" s="171">
        <v>78.48</v>
      </c>
      <c r="Y905" s="171">
        <v>54.7</v>
      </c>
      <c r="Z905" s="171">
        <v>47</v>
      </c>
      <c r="AA905" s="171">
        <v>41.31</v>
      </c>
      <c r="AB905" s="171">
        <v>100</v>
      </c>
      <c r="AC905" s="171">
        <v>47</v>
      </c>
      <c r="AD905" s="171">
        <v>36.11</v>
      </c>
      <c r="AF905" s="171">
        <f t="shared" si="44"/>
        <v>2009</v>
      </c>
      <c r="AG905" s="171">
        <f t="shared" si="45"/>
        <v>7</v>
      </c>
      <c r="AH905" s="700">
        <f>SUMIF(D$3:$AA905,"&lt;="&amp;$AH$1)/COUNTIF(D$3:$AA905,"&lt;="&amp;$AH$1)</f>
        <v>29.516211012273271</v>
      </c>
    </row>
    <row r="906" spans="2:34" x14ac:dyDescent="0.25">
      <c r="B906" s="910">
        <v>40094</v>
      </c>
      <c r="C906" s="581">
        <f t="shared" si="43"/>
        <v>10</v>
      </c>
      <c r="D906" s="171">
        <v>35.67</v>
      </c>
      <c r="E906" s="171">
        <v>26.59</v>
      </c>
      <c r="F906" s="171">
        <v>23</v>
      </c>
      <c r="G906" s="171">
        <v>19</v>
      </c>
      <c r="H906" s="171">
        <v>18.38</v>
      </c>
      <c r="I906" s="171">
        <v>26.2</v>
      </c>
      <c r="J906" s="171">
        <v>49.93</v>
      </c>
      <c r="K906" s="171">
        <v>68.989999999999995</v>
      </c>
      <c r="L906" s="171">
        <v>81.62</v>
      </c>
      <c r="M906" s="171">
        <v>88.08</v>
      </c>
      <c r="N906" s="171">
        <v>103.05</v>
      </c>
      <c r="O906" s="171">
        <v>105.99000000000001</v>
      </c>
      <c r="P906" s="171">
        <v>83.58</v>
      </c>
      <c r="Q906" s="171">
        <v>79.040000000000006</v>
      </c>
      <c r="R906" s="171">
        <v>77.03</v>
      </c>
      <c r="S906" s="171">
        <v>69</v>
      </c>
      <c r="T906" s="171">
        <v>65.63</v>
      </c>
      <c r="U906" s="171">
        <v>62.2</v>
      </c>
      <c r="V906" s="171">
        <v>69.25</v>
      </c>
      <c r="W906" s="171">
        <v>92</v>
      </c>
      <c r="X906" s="171">
        <v>74.77</v>
      </c>
      <c r="Y906" s="171">
        <v>50.6</v>
      </c>
      <c r="Z906" s="171">
        <v>43.65</v>
      </c>
      <c r="AA906" s="171">
        <v>38.56</v>
      </c>
      <c r="AB906" s="171">
        <v>105.99000000000001</v>
      </c>
      <c r="AC906" s="171">
        <v>43.65</v>
      </c>
      <c r="AD906" s="171">
        <v>39.61</v>
      </c>
      <c r="AF906" s="171">
        <f t="shared" si="44"/>
        <v>2009</v>
      </c>
      <c r="AG906" s="171">
        <f t="shared" si="45"/>
        <v>7</v>
      </c>
      <c r="AH906" s="700">
        <f>SUMIF(D$3:$AA906,"&lt;="&amp;$AH$1)/COUNTIF(D$3:$AA906,"&lt;="&amp;$AH$1)</f>
        <v>29.514049279927875</v>
      </c>
    </row>
    <row r="907" spans="2:34" x14ac:dyDescent="0.25">
      <c r="B907" s="910">
        <v>40095</v>
      </c>
      <c r="C907" s="581">
        <f t="shared" si="43"/>
        <v>10</v>
      </c>
      <c r="D907" s="171">
        <v>32</v>
      </c>
      <c r="E907" s="171">
        <v>27.94</v>
      </c>
      <c r="F907" s="171">
        <v>25.21</v>
      </c>
      <c r="G907" s="171">
        <v>22</v>
      </c>
      <c r="H907" s="171">
        <v>19</v>
      </c>
      <c r="I907" s="171">
        <v>24.64</v>
      </c>
      <c r="J907" s="171">
        <v>39.57</v>
      </c>
      <c r="K907" s="171">
        <v>61.29</v>
      </c>
      <c r="L907" s="171">
        <v>71.5</v>
      </c>
      <c r="M907" s="171">
        <v>79.64</v>
      </c>
      <c r="N907" s="171">
        <v>81.47</v>
      </c>
      <c r="O907" s="171">
        <v>85.18</v>
      </c>
      <c r="P907" s="171">
        <v>70.62</v>
      </c>
      <c r="Q907" s="171">
        <v>66</v>
      </c>
      <c r="R907" s="171">
        <v>64.710000000000008</v>
      </c>
      <c r="S907" s="171">
        <v>58.75</v>
      </c>
      <c r="T907" s="171">
        <v>50.85</v>
      </c>
      <c r="U907" s="171">
        <v>48.480000000000004</v>
      </c>
      <c r="V907" s="171">
        <v>53.19</v>
      </c>
      <c r="W907" s="171">
        <v>67.55</v>
      </c>
      <c r="X907" s="171">
        <v>57.82</v>
      </c>
      <c r="Y907" s="171">
        <v>42.160000000000004</v>
      </c>
      <c r="Z907" s="171">
        <v>38</v>
      </c>
      <c r="AA907" s="171">
        <v>36</v>
      </c>
      <c r="AB907" s="171">
        <v>85.18</v>
      </c>
      <c r="AC907" s="171">
        <v>38</v>
      </c>
      <c r="AD907" s="171">
        <v>35.47</v>
      </c>
      <c r="AF907" s="171">
        <f t="shared" si="44"/>
        <v>2009</v>
      </c>
      <c r="AG907" s="171">
        <f t="shared" si="45"/>
        <v>10</v>
      </c>
      <c r="AH907" s="700">
        <f>SUMIF(D$3:$AA907,"&lt;="&amp;$AH$1)/COUNTIF(D$3:$AA907,"&lt;="&amp;$AH$1)</f>
        <v>29.515328163632162</v>
      </c>
    </row>
    <row r="908" spans="2:34" x14ac:dyDescent="0.25">
      <c r="B908" s="910">
        <v>40098</v>
      </c>
      <c r="C908" s="581">
        <f t="shared" si="43"/>
        <v>10</v>
      </c>
      <c r="D908" s="171">
        <v>0.01</v>
      </c>
      <c r="E908" s="171">
        <v>1</v>
      </c>
      <c r="F908" s="171">
        <v>9.18</v>
      </c>
      <c r="G908" s="171">
        <v>6.68</v>
      </c>
      <c r="H908" s="171">
        <v>7.03</v>
      </c>
      <c r="I908" s="171">
        <v>9.08</v>
      </c>
      <c r="J908" s="171">
        <v>20.830000000000002</v>
      </c>
      <c r="K908" s="171">
        <v>44.99</v>
      </c>
      <c r="L908" s="171">
        <v>49.24</v>
      </c>
      <c r="M908" s="171">
        <v>51.76</v>
      </c>
      <c r="N908" s="171">
        <v>52.230000000000004</v>
      </c>
      <c r="O908" s="171">
        <v>50.31</v>
      </c>
      <c r="P908" s="171">
        <v>45</v>
      </c>
      <c r="Q908" s="171">
        <v>47.910000000000004</v>
      </c>
      <c r="R908" s="171">
        <v>47</v>
      </c>
      <c r="S908" s="171">
        <v>43</v>
      </c>
      <c r="T908" s="171">
        <v>40</v>
      </c>
      <c r="U908" s="171">
        <v>39.5</v>
      </c>
      <c r="V908" s="171">
        <v>45</v>
      </c>
      <c r="W908" s="171">
        <v>62</v>
      </c>
      <c r="X908" s="171">
        <v>54.93</v>
      </c>
      <c r="Y908" s="171">
        <v>38.26</v>
      </c>
      <c r="Z908" s="171">
        <v>31.7</v>
      </c>
      <c r="AA908" s="171">
        <v>29.38</v>
      </c>
      <c r="AB908" s="171">
        <v>62</v>
      </c>
      <c r="AC908" s="171">
        <v>31.7</v>
      </c>
      <c r="AD908" s="171">
        <v>21.09</v>
      </c>
      <c r="AF908" s="171">
        <f t="shared" si="44"/>
        <v>2009</v>
      </c>
      <c r="AG908" s="171">
        <f t="shared" si="45"/>
        <v>12</v>
      </c>
      <c r="AH908" s="700">
        <f>SUMIF(D$3:$AA908,"&lt;="&amp;$AH$1)/COUNTIF(D$3:$AA908,"&lt;="&amp;$AH$1)</f>
        <v>29.501687991021218</v>
      </c>
    </row>
    <row r="909" spans="2:34" x14ac:dyDescent="0.25">
      <c r="B909" s="910">
        <v>40099</v>
      </c>
      <c r="C909" s="581">
        <f t="shared" si="43"/>
        <v>10</v>
      </c>
      <c r="D909" s="171">
        <v>30.01</v>
      </c>
      <c r="E909" s="171">
        <v>24</v>
      </c>
      <c r="F909" s="171">
        <v>24</v>
      </c>
      <c r="G909" s="171">
        <v>19.77</v>
      </c>
      <c r="H909" s="171">
        <v>18.52</v>
      </c>
      <c r="I909" s="171">
        <v>27.51</v>
      </c>
      <c r="J909" s="171">
        <v>41.51</v>
      </c>
      <c r="K909" s="171">
        <v>62.5</v>
      </c>
      <c r="L909" s="171">
        <v>61.25</v>
      </c>
      <c r="M909" s="171">
        <v>64.150000000000006</v>
      </c>
      <c r="N909" s="171">
        <v>62</v>
      </c>
      <c r="O909" s="171">
        <v>65</v>
      </c>
      <c r="P909" s="171">
        <v>56.36</v>
      </c>
      <c r="Q909" s="171">
        <v>54.26</v>
      </c>
      <c r="R909" s="171">
        <v>53.01</v>
      </c>
      <c r="S909" s="171">
        <v>47.4</v>
      </c>
      <c r="T909" s="171">
        <v>45</v>
      </c>
      <c r="U909" s="171">
        <v>45.7</v>
      </c>
      <c r="V909" s="171">
        <v>56.76</v>
      </c>
      <c r="W909" s="171">
        <v>69.64</v>
      </c>
      <c r="X909" s="171">
        <v>62</v>
      </c>
      <c r="Y909" s="171">
        <v>41.7</v>
      </c>
      <c r="Z909" s="171">
        <v>40</v>
      </c>
      <c r="AA909" s="171">
        <v>35.03</v>
      </c>
      <c r="AB909" s="171">
        <v>69.64</v>
      </c>
      <c r="AC909" s="171">
        <v>40</v>
      </c>
      <c r="AD909" s="171">
        <v>35.550000000000004</v>
      </c>
      <c r="AF909" s="171">
        <f t="shared" si="44"/>
        <v>2009</v>
      </c>
      <c r="AG909" s="171">
        <f t="shared" si="45"/>
        <v>10</v>
      </c>
      <c r="AH909" s="700">
        <f>SUMIF(D$3:$AA909,"&lt;="&amp;$AH$1)/COUNTIF(D$3:$AA909,"&lt;="&amp;$AH$1)</f>
        <v>29.502476457399009</v>
      </c>
    </row>
    <row r="910" spans="2:34" x14ac:dyDescent="0.25">
      <c r="B910" s="910">
        <v>40100</v>
      </c>
      <c r="C910" s="581">
        <f t="shared" si="43"/>
        <v>10</v>
      </c>
      <c r="D910" s="171">
        <v>32.71</v>
      </c>
      <c r="E910" s="171">
        <v>28.310000000000002</v>
      </c>
      <c r="F910" s="171">
        <v>26.080000000000002</v>
      </c>
      <c r="G910" s="171">
        <v>25.900000000000002</v>
      </c>
      <c r="H910" s="171">
        <v>24.7</v>
      </c>
      <c r="I910" s="171">
        <v>30.23</v>
      </c>
      <c r="J910" s="171">
        <v>44.69</v>
      </c>
      <c r="K910" s="171">
        <v>69</v>
      </c>
      <c r="L910" s="171">
        <v>69.69</v>
      </c>
      <c r="M910" s="171">
        <v>69.25</v>
      </c>
      <c r="N910" s="171">
        <v>65</v>
      </c>
      <c r="O910" s="171">
        <v>65</v>
      </c>
      <c r="P910" s="171">
        <v>52.7</v>
      </c>
      <c r="Q910" s="171">
        <v>51</v>
      </c>
      <c r="R910" s="171">
        <v>49</v>
      </c>
      <c r="S910" s="171">
        <v>44.93</v>
      </c>
      <c r="T910" s="171">
        <v>39</v>
      </c>
      <c r="U910" s="171">
        <v>39.340000000000003</v>
      </c>
      <c r="V910" s="171">
        <v>49.93</v>
      </c>
      <c r="W910" s="171">
        <v>65.06</v>
      </c>
      <c r="X910" s="171">
        <v>60.99</v>
      </c>
      <c r="Y910" s="171">
        <v>39.89</v>
      </c>
      <c r="Z910" s="171">
        <v>36.11</v>
      </c>
      <c r="AA910" s="171">
        <v>34</v>
      </c>
      <c r="AB910" s="171">
        <v>69.69</v>
      </c>
      <c r="AC910" s="171">
        <v>36.11</v>
      </c>
      <c r="AD910" s="171">
        <v>37.72</v>
      </c>
      <c r="AF910" s="171">
        <f t="shared" si="44"/>
        <v>2009</v>
      </c>
      <c r="AG910" s="171">
        <f t="shared" si="45"/>
        <v>11</v>
      </c>
      <c r="AH910" s="700">
        <f>SUMIF(D$3:$AA910,"&lt;="&amp;$AH$1)/COUNTIF(D$3:$AA910,"&lt;="&amp;$AH$1)</f>
        <v>29.506030679655048</v>
      </c>
    </row>
    <row r="911" spans="2:34" x14ac:dyDescent="0.25">
      <c r="B911" s="910">
        <v>40101</v>
      </c>
      <c r="C911" s="581">
        <f t="shared" si="43"/>
        <v>10</v>
      </c>
      <c r="D911" s="171">
        <v>35</v>
      </c>
      <c r="E911" s="171">
        <v>31.060000000000002</v>
      </c>
      <c r="F911" s="171">
        <v>30</v>
      </c>
      <c r="G911" s="171">
        <v>26.6</v>
      </c>
      <c r="H911" s="171">
        <v>23.5</v>
      </c>
      <c r="I911" s="171">
        <v>29.86</v>
      </c>
      <c r="J911" s="171">
        <v>44.5</v>
      </c>
      <c r="K911" s="171">
        <v>70</v>
      </c>
      <c r="L911" s="171">
        <v>68</v>
      </c>
      <c r="M911" s="171">
        <v>62.4</v>
      </c>
      <c r="N911" s="171">
        <v>62</v>
      </c>
      <c r="O911" s="171">
        <v>64.81</v>
      </c>
      <c r="P911" s="171">
        <v>58</v>
      </c>
      <c r="Q911" s="171">
        <v>57</v>
      </c>
      <c r="R911" s="171">
        <v>50.1</v>
      </c>
      <c r="S911" s="171">
        <v>45.03</v>
      </c>
      <c r="T911" s="171">
        <v>47.37</v>
      </c>
      <c r="U911" s="171">
        <v>42.4</v>
      </c>
      <c r="V911" s="171">
        <v>54</v>
      </c>
      <c r="W911" s="171">
        <v>69.8</v>
      </c>
      <c r="X911" s="171">
        <v>59.7</v>
      </c>
      <c r="Y911" s="171">
        <v>44.7</v>
      </c>
      <c r="Z911" s="171">
        <v>41.7</v>
      </c>
      <c r="AA911" s="171">
        <v>36.800000000000004</v>
      </c>
      <c r="AB911" s="171">
        <v>70</v>
      </c>
      <c r="AC911" s="171">
        <v>41.7</v>
      </c>
      <c r="AD911" s="171">
        <v>39.450000000000003</v>
      </c>
      <c r="AF911" s="171">
        <f t="shared" si="44"/>
        <v>2009</v>
      </c>
      <c r="AG911" s="171">
        <f t="shared" si="45"/>
        <v>9</v>
      </c>
      <c r="AH911" s="700">
        <f>SUMIF(D$3:$AA911,"&lt;="&amp;$AH$1)/COUNTIF(D$3:$AA911,"&lt;="&amp;$AH$1)</f>
        <v>29.509539149888056</v>
      </c>
    </row>
    <row r="912" spans="2:34" x14ac:dyDescent="0.25">
      <c r="B912" s="910">
        <v>40102</v>
      </c>
      <c r="C912" s="581">
        <f t="shared" si="43"/>
        <v>10</v>
      </c>
      <c r="D912" s="171">
        <v>39</v>
      </c>
      <c r="E912" s="171">
        <v>33</v>
      </c>
      <c r="F912" s="171">
        <v>31.92</v>
      </c>
      <c r="G912" s="171">
        <v>29.03</v>
      </c>
      <c r="H912" s="171">
        <v>25.98</v>
      </c>
      <c r="I912" s="171">
        <v>31</v>
      </c>
      <c r="J912" s="171">
        <v>41.86</v>
      </c>
      <c r="K912" s="171">
        <v>63</v>
      </c>
      <c r="L912" s="171">
        <v>60.1</v>
      </c>
      <c r="M912" s="171">
        <v>65.210000000000008</v>
      </c>
      <c r="N912" s="171">
        <v>59.7</v>
      </c>
      <c r="O912" s="171">
        <v>59.800000000000004</v>
      </c>
      <c r="P912" s="171">
        <v>49.15</v>
      </c>
      <c r="Q912" s="171">
        <v>44</v>
      </c>
      <c r="R912" s="171">
        <v>37.17</v>
      </c>
      <c r="S912" s="171">
        <v>33.770000000000003</v>
      </c>
      <c r="T912" s="171">
        <v>31.94</v>
      </c>
      <c r="U912" s="171">
        <v>32.96</v>
      </c>
      <c r="V912" s="171">
        <v>36.33</v>
      </c>
      <c r="W912" s="171">
        <v>44.99</v>
      </c>
      <c r="X912" s="171">
        <v>39.82</v>
      </c>
      <c r="Y912" s="171">
        <v>32.799999999999997</v>
      </c>
      <c r="Z912" s="171">
        <v>33</v>
      </c>
      <c r="AA912" s="171">
        <v>31</v>
      </c>
      <c r="AB912" s="171">
        <v>65.210000000000008</v>
      </c>
      <c r="AC912" s="171">
        <v>31.94</v>
      </c>
      <c r="AD912" s="171">
        <v>35.950000000000003</v>
      </c>
      <c r="AF912" s="171">
        <f t="shared" si="44"/>
        <v>2009</v>
      </c>
      <c r="AG912" s="171">
        <f t="shared" si="45"/>
        <v>16</v>
      </c>
      <c r="AH912" s="700">
        <f>SUMIF(D$3:$AA912,"&lt;="&amp;$AH$1)/COUNTIF(D$3:$AA912,"&lt;="&amp;$AH$1)</f>
        <v>29.517179544439397</v>
      </c>
    </row>
    <row r="913" spans="2:34" x14ac:dyDescent="0.25">
      <c r="B913" s="910">
        <v>40105</v>
      </c>
      <c r="C913" s="581">
        <f t="shared" si="43"/>
        <v>10</v>
      </c>
      <c r="D913" s="171">
        <v>32.96</v>
      </c>
      <c r="E913" s="171">
        <v>31</v>
      </c>
      <c r="F913" s="171">
        <v>30.38</v>
      </c>
      <c r="G913" s="171">
        <v>29</v>
      </c>
      <c r="H913" s="171">
        <v>30.150000000000002</v>
      </c>
      <c r="I913" s="171">
        <v>33</v>
      </c>
      <c r="J913" s="171">
        <v>56.32</v>
      </c>
      <c r="K913" s="171">
        <v>83.49</v>
      </c>
      <c r="L913" s="171">
        <v>90.2</v>
      </c>
      <c r="M913" s="171">
        <v>89.99</v>
      </c>
      <c r="N913" s="171">
        <v>87.68</v>
      </c>
      <c r="O913" s="171">
        <v>89.93</v>
      </c>
      <c r="P913" s="171">
        <v>77.84</v>
      </c>
      <c r="Q913" s="171">
        <v>75.3</v>
      </c>
      <c r="R913" s="171">
        <v>72</v>
      </c>
      <c r="S913" s="171">
        <v>69.930000000000007</v>
      </c>
      <c r="T913" s="171">
        <v>66.55</v>
      </c>
      <c r="U913" s="171">
        <v>65</v>
      </c>
      <c r="V913" s="171">
        <v>76</v>
      </c>
      <c r="W913" s="171">
        <v>88</v>
      </c>
      <c r="X913" s="171">
        <v>62.4</v>
      </c>
      <c r="Y913" s="171">
        <v>46.64</v>
      </c>
      <c r="Z913" s="171">
        <v>37</v>
      </c>
      <c r="AA913" s="171">
        <v>36.99</v>
      </c>
      <c r="AB913" s="171">
        <v>90.2</v>
      </c>
      <c r="AC913" s="171">
        <v>37</v>
      </c>
      <c r="AD913" s="171">
        <v>42.44</v>
      </c>
      <c r="AF913" s="171">
        <f t="shared" si="44"/>
        <v>2009</v>
      </c>
      <c r="AG913" s="171">
        <f t="shared" si="45"/>
        <v>8</v>
      </c>
      <c r="AH913" s="700">
        <f>SUMIF(D$3:$AA913,"&lt;="&amp;$AH$1)/COUNTIF(D$3:$AA913,"&lt;="&amp;$AH$1)</f>
        <v>29.519895136099873</v>
      </c>
    </row>
    <row r="914" spans="2:34" x14ac:dyDescent="0.25">
      <c r="B914" s="910">
        <v>40106</v>
      </c>
      <c r="C914" s="581">
        <f t="shared" si="43"/>
        <v>10</v>
      </c>
      <c r="D914" s="171">
        <v>40.450000000000003</v>
      </c>
      <c r="E914" s="171">
        <v>36</v>
      </c>
      <c r="F914" s="171">
        <v>35.99</v>
      </c>
      <c r="G914" s="171">
        <v>32.58</v>
      </c>
      <c r="H914" s="171">
        <v>32.51</v>
      </c>
      <c r="I914" s="171">
        <v>33.619999999999997</v>
      </c>
      <c r="J914" s="171">
        <v>54.9</v>
      </c>
      <c r="K914" s="171">
        <v>81.06</v>
      </c>
      <c r="L914" s="171">
        <v>74</v>
      </c>
      <c r="M914" s="171">
        <v>76.88</v>
      </c>
      <c r="N914" s="171">
        <v>77</v>
      </c>
      <c r="O914" s="171">
        <v>77</v>
      </c>
      <c r="P914" s="171">
        <v>65.42</v>
      </c>
      <c r="Q914" s="171">
        <v>62</v>
      </c>
      <c r="R914" s="171">
        <v>49.93</v>
      </c>
      <c r="S914" s="171">
        <v>47.12</v>
      </c>
      <c r="T914" s="171">
        <v>42.95</v>
      </c>
      <c r="U914" s="171">
        <v>41.800000000000004</v>
      </c>
      <c r="V914" s="171">
        <v>60</v>
      </c>
      <c r="W914" s="171">
        <v>71</v>
      </c>
      <c r="X914" s="171">
        <v>55.660000000000004</v>
      </c>
      <c r="Y914" s="171">
        <v>39.93</v>
      </c>
      <c r="Z914" s="171">
        <v>35.71</v>
      </c>
      <c r="AA914" s="171">
        <v>35.58</v>
      </c>
      <c r="AB914" s="171">
        <v>81.06</v>
      </c>
      <c r="AC914" s="171">
        <v>35.71</v>
      </c>
      <c r="AD914" s="171">
        <v>42.83</v>
      </c>
      <c r="AF914" s="171">
        <f t="shared" si="44"/>
        <v>2009</v>
      </c>
      <c r="AG914" s="171">
        <f t="shared" si="45"/>
        <v>10</v>
      </c>
      <c r="AH914" s="700">
        <f>SUMIF(D$3:$AA914,"&lt;="&amp;$AH$1)/COUNTIF(D$3:$AA914,"&lt;="&amp;$AH$1)</f>
        <v>29.527580788945766</v>
      </c>
    </row>
    <row r="915" spans="2:34" x14ac:dyDescent="0.25">
      <c r="B915" s="910">
        <v>40107</v>
      </c>
      <c r="C915" s="581">
        <f t="shared" si="43"/>
        <v>10</v>
      </c>
      <c r="D915" s="171">
        <v>33.44</v>
      </c>
      <c r="E915" s="171">
        <v>30.47</v>
      </c>
      <c r="F915" s="171">
        <v>29.830000000000002</v>
      </c>
      <c r="G915" s="171">
        <v>25.09</v>
      </c>
      <c r="H915" s="171">
        <v>24.03</v>
      </c>
      <c r="I915" s="171">
        <v>30.47</v>
      </c>
      <c r="J915" s="171">
        <v>41</v>
      </c>
      <c r="K915" s="171">
        <v>67.7</v>
      </c>
      <c r="L915" s="171">
        <v>69.45</v>
      </c>
      <c r="M915" s="171">
        <v>69.930000000000007</v>
      </c>
      <c r="N915" s="171">
        <v>67.5</v>
      </c>
      <c r="O915" s="171">
        <v>69.25</v>
      </c>
      <c r="P915" s="171">
        <v>63.67</v>
      </c>
      <c r="Q915" s="171">
        <v>60</v>
      </c>
      <c r="R915" s="171">
        <v>52.81</v>
      </c>
      <c r="S915" s="171">
        <v>44.92</v>
      </c>
      <c r="T915" s="171">
        <v>41.51</v>
      </c>
      <c r="U915" s="171">
        <v>41.47</v>
      </c>
      <c r="V915" s="171">
        <v>55</v>
      </c>
      <c r="W915" s="171">
        <v>66.2</v>
      </c>
      <c r="X915" s="171">
        <v>47</v>
      </c>
      <c r="Y915" s="171">
        <v>36.75</v>
      </c>
      <c r="Z915" s="171">
        <v>34</v>
      </c>
      <c r="AA915" s="171">
        <v>31.55</v>
      </c>
      <c r="AB915" s="171">
        <v>69.930000000000007</v>
      </c>
      <c r="AC915" s="171">
        <v>34</v>
      </c>
      <c r="AD915" s="171">
        <v>35.94</v>
      </c>
      <c r="AF915" s="171">
        <f t="shared" si="44"/>
        <v>2009</v>
      </c>
      <c r="AG915" s="171">
        <f t="shared" si="45"/>
        <v>12</v>
      </c>
      <c r="AH915" s="700">
        <f>SUMIF(D$3:$AA915,"&lt;="&amp;$AH$1)/COUNTIF(D$3:$AA915,"&lt;="&amp;$AH$1)</f>
        <v>29.532619630536313</v>
      </c>
    </row>
    <row r="916" spans="2:34" x14ac:dyDescent="0.25">
      <c r="B916" s="910">
        <v>40108</v>
      </c>
      <c r="C916" s="581">
        <f t="shared" si="43"/>
        <v>10</v>
      </c>
      <c r="D916" s="171">
        <v>34</v>
      </c>
      <c r="E916" s="171">
        <v>31</v>
      </c>
      <c r="F916" s="171">
        <v>27.16</v>
      </c>
      <c r="G916" s="171">
        <v>25.97</v>
      </c>
      <c r="H916" s="171">
        <v>25.580000000000002</v>
      </c>
      <c r="I916" s="171">
        <v>30.11</v>
      </c>
      <c r="J916" s="171">
        <v>49.93</v>
      </c>
      <c r="K916" s="171">
        <v>74.41</v>
      </c>
      <c r="L916" s="171">
        <v>75.62</v>
      </c>
      <c r="M916" s="171">
        <v>78</v>
      </c>
      <c r="N916" s="171">
        <v>78</v>
      </c>
      <c r="O916" s="171">
        <v>82</v>
      </c>
      <c r="P916" s="171">
        <v>79.66</v>
      </c>
      <c r="Q916" s="171">
        <v>80</v>
      </c>
      <c r="R916" s="171">
        <v>64</v>
      </c>
      <c r="S916" s="171">
        <v>56.6</v>
      </c>
      <c r="T916" s="171">
        <v>52.24</v>
      </c>
      <c r="U916" s="171">
        <v>54.620000000000005</v>
      </c>
      <c r="V916" s="171">
        <v>82</v>
      </c>
      <c r="W916" s="171">
        <v>95.16</v>
      </c>
      <c r="X916" s="171">
        <v>75.040000000000006</v>
      </c>
      <c r="Y916" s="171">
        <v>49.980000000000004</v>
      </c>
      <c r="Z916" s="171">
        <v>49</v>
      </c>
      <c r="AA916" s="171">
        <v>43.28</v>
      </c>
      <c r="AB916" s="171">
        <v>95.16</v>
      </c>
      <c r="AC916" s="171">
        <v>49</v>
      </c>
      <c r="AD916" s="171">
        <v>42.96</v>
      </c>
      <c r="AF916" s="171">
        <f t="shared" si="44"/>
        <v>2009</v>
      </c>
      <c r="AG916" s="171">
        <f t="shared" si="45"/>
        <v>6</v>
      </c>
      <c r="AH916" s="700">
        <f>SUMIF(D$3:$AA916,"&lt;="&amp;$AH$1)/COUNTIF(D$3:$AA916,"&lt;="&amp;$AH$1)</f>
        <v>29.532244217081768</v>
      </c>
    </row>
    <row r="917" spans="2:34" x14ac:dyDescent="0.25">
      <c r="B917" s="910">
        <v>40109</v>
      </c>
      <c r="C917" s="581">
        <f t="shared" si="43"/>
        <v>10</v>
      </c>
      <c r="D917" s="171">
        <v>37.619999999999997</v>
      </c>
      <c r="E917" s="171">
        <v>35.300000000000004</v>
      </c>
      <c r="F917" s="171">
        <v>34.410000000000004</v>
      </c>
      <c r="G917" s="171">
        <v>34</v>
      </c>
      <c r="H917" s="171">
        <v>33.24</v>
      </c>
      <c r="I917" s="171">
        <v>35</v>
      </c>
      <c r="J917" s="171">
        <v>53.46</v>
      </c>
      <c r="K917" s="171">
        <v>84.66</v>
      </c>
      <c r="L917" s="171">
        <v>87.710000000000008</v>
      </c>
      <c r="M917" s="171">
        <v>90</v>
      </c>
      <c r="N917" s="171">
        <v>88.19</v>
      </c>
      <c r="O917" s="171">
        <v>91.61</v>
      </c>
      <c r="P917" s="171">
        <v>79</v>
      </c>
      <c r="Q917" s="171">
        <v>76</v>
      </c>
      <c r="R917" s="171">
        <v>61.31</v>
      </c>
      <c r="S917" s="171">
        <v>51</v>
      </c>
      <c r="T917" s="171">
        <v>49</v>
      </c>
      <c r="U917" s="171">
        <v>53.22</v>
      </c>
      <c r="V917" s="171">
        <v>75.5</v>
      </c>
      <c r="W917" s="171">
        <v>82.320000000000007</v>
      </c>
      <c r="X917" s="171">
        <v>63</v>
      </c>
      <c r="Y917" s="171">
        <v>45</v>
      </c>
      <c r="Z917" s="171">
        <v>41.75</v>
      </c>
      <c r="AA917" s="171">
        <v>38.64</v>
      </c>
      <c r="AB917" s="171">
        <v>91.61</v>
      </c>
      <c r="AC917" s="171">
        <v>41.75</v>
      </c>
      <c r="AD917" s="171">
        <v>44.67</v>
      </c>
      <c r="AF917" s="171">
        <f t="shared" si="44"/>
        <v>2009</v>
      </c>
      <c r="AG917" s="171">
        <f t="shared" si="45"/>
        <v>8</v>
      </c>
      <c r="AH917" s="700">
        <f>SUMIF(D$3:$AA917,"&lt;="&amp;$AH$1)/COUNTIF(D$3:$AA917,"&lt;="&amp;$AH$1)</f>
        <v>29.538211111111025</v>
      </c>
    </row>
    <row r="918" spans="2:34" x14ac:dyDescent="0.25">
      <c r="B918" s="910">
        <v>40112</v>
      </c>
      <c r="C918" s="581">
        <f t="shared" si="43"/>
        <v>10</v>
      </c>
      <c r="D918" s="171">
        <v>23.78</v>
      </c>
      <c r="E918" s="171">
        <v>22.31</v>
      </c>
      <c r="F918" s="171">
        <v>10.9</v>
      </c>
      <c r="G918" s="171">
        <v>7.9</v>
      </c>
      <c r="H918" s="171">
        <v>8.5400000000000009</v>
      </c>
      <c r="I918" s="171">
        <v>10.17</v>
      </c>
      <c r="J918" s="171">
        <v>31</v>
      </c>
      <c r="K918" s="171">
        <v>39.93</v>
      </c>
      <c r="L918" s="171">
        <v>45.5</v>
      </c>
      <c r="M918" s="171">
        <v>48</v>
      </c>
      <c r="N918" s="171">
        <v>50.61</v>
      </c>
      <c r="O918" s="171">
        <v>53.36</v>
      </c>
      <c r="P918" s="171">
        <v>49.980000000000004</v>
      </c>
      <c r="Q918" s="171">
        <v>46</v>
      </c>
      <c r="R918" s="171">
        <v>43.800000000000004</v>
      </c>
      <c r="S918" s="171">
        <v>41.800000000000004</v>
      </c>
      <c r="T918" s="171">
        <v>43.25</v>
      </c>
      <c r="U918" s="171">
        <v>55.620000000000005</v>
      </c>
      <c r="V918" s="171">
        <v>68.05</v>
      </c>
      <c r="W918" s="171">
        <v>65</v>
      </c>
      <c r="X918" s="171">
        <v>54.96</v>
      </c>
      <c r="Y918" s="171">
        <v>39</v>
      </c>
      <c r="Z918" s="171">
        <v>36.11</v>
      </c>
      <c r="AA918" s="171">
        <v>37</v>
      </c>
      <c r="AB918" s="171">
        <v>68.05</v>
      </c>
      <c r="AC918" s="171">
        <v>36.11</v>
      </c>
      <c r="AD918" s="171">
        <v>26.8</v>
      </c>
      <c r="AF918" s="171">
        <f t="shared" si="44"/>
        <v>2009</v>
      </c>
      <c r="AG918" s="171">
        <f t="shared" si="45"/>
        <v>12</v>
      </c>
      <c r="AH918" s="700">
        <f>SUMIF(D$3:$AA918,"&lt;="&amp;$AH$1)/COUNTIF(D$3:$AA918,"&lt;="&amp;$AH$1)</f>
        <v>29.53310474922317</v>
      </c>
    </row>
    <row r="919" spans="2:34" x14ac:dyDescent="0.25">
      <c r="B919" s="910">
        <v>40113</v>
      </c>
      <c r="C919" s="581">
        <f t="shared" si="43"/>
        <v>10</v>
      </c>
      <c r="D919" s="171">
        <v>32.1</v>
      </c>
      <c r="E919" s="171">
        <v>29.93</v>
      </c>
      <c r="F919" s="171">
        <v>30.8</v>
      </c>
      <c r="G919" s="171">
        <v>28.53</v>
      </c>
      <c r="H919" s="171">
        <v>26.87</v>
      </c>
      <c r="I919" s="171">
        <v>29.98</v>
      </c>
      <c r="J919" s="171">
        <v>46.71</v>
      </c>
      <c r="K919" s="171">
        <v>65</v>
      </c>
      <c r="L919" s="171">
        <v>69.42</v>
      </c>
      <c r="M919" s="171">
        <v>72.8</v>
      </c>
      <c r="N919" s="171">
        <v>70.03</v>
      </c>
      <c r="O919" s="171">
        <v>70.88</v>
      </c>
      <c r="P919" s="171">
        <v>69.010000000000005</v>
      </c>
      <c r="Q919" s="171">
        <v>66.19</v>
      </c>
      <c r="R919" s="171">
        <v>62</v>
      </c>
      <c r="S919" s="171">
        <v>63</v>
      </c>
      <c r="T919" s="171">
        <v>61.59</v>
      </c>
      <c r="U919" s="171">
        <v>78.540000000000006</v>
      </c>
      <c r="V919" s="171">
        <v>88.08</v>
      </c>
      <c r="W919" s="171">
        <v>82</v>
      </c>
      <c r="X919" s="171">
        <v>59.19</v>
      </c>
      <c r="Y919" s="171">
        <v>45</v>
      </c>
      <c r="Z919" s="171">
        <v>43.36</v>
      </c>
      <c r="AA919" s="171">
        <v>39</v>
      </c>
      <c r="AB919" s="171">
        <v>88.08</v>
      </c>
      <c r="AC919" s="171">
        <v>43.36</v>
      </c>
      <c r="AD919" s="171">
        <v>39.71</v>
      </c>
      <c r="AF919" s="171">
        <f t="shared" si="44"/>
        <v>2009</v>
      </c>
      <c r="AG919" s="171">
        <f t="shared" si="45"/>
        <v>7</v>
      </c>
      <c r="AH919" s="700">
        <f>SUMIF(D$3:$AA919,"&lt;="&amp;$AH$1)/COUNTIF(D$3:$AA919,"&lt;="&amp;$AH$1)</f>
        <v>29.534266548397735</v>
      </c>
    </row>
    <row r="920" spans="2:34" x14ac:dyDescent="0.25">
      <c r="B920" s="910">
        <v>40114</v>
      </c>
      <c r="C920" s="581">
        <f t="shared" si="43"/>
        <v>10</v>
      </c>
      <c r="D920" s="171">
        <v>35</v>
      </c>
      <c r="E920" s="171">
        <v>31.62</v>
      </c>
      <c r="F920" s="171">
        <v>29.73</v>
      </c>
      <c r="G920" s="171">
        <v>28.89</v>
      </c>
      <c r="H920" s="171">
        <v>29.240000000000002</v>
      </c>
      <c r="I920" s="171">
        <v>31</v>
      </c>
      <c r="J920" s="171">
        <v>41.7</v>
      </c>
      <c r="K920" s="171">
        <v>69.97</v>
      </c>
      <c r="L920" s="171">
        <v>76.100000000000009</v>
      </c>
      <c r="M920" s="171">
        <v>77.73</v>
      </c>
      <c r="N920" s="171">
        <v>79.58</v>
      </c>
      <c r="O920" s="171">
        <v>81.150000000000006</v>
      </c>
      <c r="P920" s="171">
        <v>73.11</v>
      </c>
      <c r="Q920" s="171">
        <v>66.3</v>
      </c>
      <c r="R920" s="171">
        <v>66.25</v>
      </c>
      <c r="S920" s="171">
        <v>61.35</v>
      </c>
      <c r="T920" s="171">
        <v>62</v>
      </c>
      <c r="U920" s="171">
        <v>80</v>
      </c>
      <c r="V920" s="171">
        <v>88.36</v>
      </c>
      <c r="W920" s="171">
        <v>83.850000000000009</v>
      </c>
      <c r="X920" s="171">
        <v>62.800000000000004</v>
      </c>
      <c r="Y920" s="171">
        <v>49.11</v>
      </c>
      <c r="Z920" s="171">
        <v>45.54</v>
      </c>
      <c r="AA920" s="171">
        <v>38</v>
      </c>
      <c r="AB920" s="171">
        <v>88.36</v>
      </c>
      <c r="AC920" s="171">
        <v>45.54</v>
      </c>
      <c r="AD920" s="171">
        <v>41.050000000000004</v>
      </c>
      <c r="AF920" s="171">
        <f t="shared" si="44"/>
        <v>2009</v>
      </c>
      <c r="AG920" s="171">
        <f t="shared" si="45"/>
        <v>8</v>
      </c>
      <c r="AH920" s="700">
        <f>SUMIF(D$3:$AA920,"&lt;="&amp;$AH$1)/COUNTIF(D$3:$AA920,"&lt;="&amp;$AH$1)</f>
        <v>29.53746870499603</v>
      </c>
    </row>
    <row r="921" spans="2:34" x14ac:dyDescent="0.25">
      <c r="B921" s="910">
        <v>40115</v>
      </c>
      <c r="C921" s="581">
        <f t="shared" si="43"/>
        <v>10</v>
      </c>
      <c r="D921" s="171">
        <v>34.96</v>
      </c>
      <c r="E921" s="171">
        <v>31.91</v>
      </c>
      <c r="F921" s="171">
        <v>30</v>
      </c>
      <c r="G921" s="171">
        <v>27.57</v>
      </c>
      <c r="H921" s="171">
        <v>28.79</v>
      </c>
      <c r="I921" s="171">
        <v>32.61</v>
      </c>
      <c r="J921" s="171">
        <v>48</v>
      </c>
      <c r="K921" s="171">
        <v>69.930000000000007</v>
      </c>
      <c r="L921" s="171">
        <v>78.06</v>
      </c>
      <c r="M921" s="171">
        <v>82</v>
      </c>
      <c r="N921" s="171">
        <v>82.09</v>
      </c>
      <c r="O921" s="171">
        <v>82.09</v>
      </c>
      <c r="P921" s="171">
        <v>76.010000000000005</v>
      </c>
      <c r="Q921" s="171">
        <v>72.56</v>
      </c>
      <c r="R921" s="171">
        <v>74.97</v>
      </c>
      <c r="S921" s="171">
        <v>69</v>
      </c>
      <c r="T921" s="171">
        <v>67.349999999999994</v>
      </c>
      <c r="U921" s="171">
        <v>81</v>
      </c>
      <c r="V921" s="171">
        <v>91.91</v>
      </c>
      <c r="W921" s="171">
        <v>84.94</v>
      </c>
      <c r="X921" s="171">
        <v>67</v>
      </c>
      <c r="Y921" s="171">
        <v>46</v>
      </c>
      <c r="Z921" s="171">
        <v>43</v>
      </c>
      <c r="AA921" s="171">
        <v>37</v>
      </c>
      <c r="AB921" s="171">
        <v>91.91</v>
      </c>
      <c r="AC921" s="171">
        <v>43</v>
      </c>
      <c r="AD921" s="171">
        <v>41.4</v>
      </c>
      <c r="AF921" s="171">
        <f t="shared" si="44"/>
        <v>2009</v>
      </c>
      <c r="AG921" s="171">
        <f t="shared" si="45"/>
        <v>7</v>
      </c>
      <c r="AH921" s="700">
        <f>SUMIF(D$3:$AA921,"&lt;="&amp;$AH$1)/COUNTIF(D$3:$AA921,"&lt;="&amp;$AH$1)</f>
        <v>29.539248394952306</v>
      </c>
    </row>
    <row r="922" spans="2:34" x14ac:dyDescent="0.25">
      <c r="B922" s="910">
        <v>40116</v>
      </c>
      <c r="C922" s="581">
        <f t="shared" si="43"/>
        <v>10</v>
      </c>
      <c r="D922" s="171">
        <v>34.18</v>
      </c>
      <c r="E922" s="171">
        <v>31</v>
      </c>
      <c r="F922" s="171">
        <v>28</v>
      </c>
      <c r="G922" s="171">
        <v>25.51</v>
      </c>
      <c r="H922" s="171">
        <v>27.05</v>
      </c>
      <c r="I922" s="171">
        <v>31.080000000000002</v>
      </c>
      <c r="J922" s="171">
        <v>42</v>
      </c>
      <c r="K922" s="171">
        <v>63</v>
      </c>
      <c r="L922" s="171">
        <v>71</v>
      </c>
      <c r="M922" s="171">
        <v>74</v>
      </c>
      <c r="N922" s="171">
        <v>74.680000000000007</v>
      </c>
      <c r="O922" s="171">
        <v>70.790000000000006</v>
      </c>
      <c r="P922" s="171">
        <v>64.989999999999995</v>
      </c>
      <c r="Q922" s="171">
        <v>58.56</v>
      </c>
      <c r="R922" s="171">
        <v>54.99</v>
      </c>
      <c r="S922" s="171">
        <v>49.02</v>
      </c>
      <c r="T922" s="171">
        <v>45.95</v>
      </c>
      <c r="U922" s="171">
        <v>57.4</v>
      </c>
      <c r="V922" s="171">
        <v>67.72</v>
      </c>
      <c r="W922" s="171">
        <v>62.53</v>
      </c>
      <c r="X922" s="171">
        <v>48</v>
      </c>
      <c r="Y922" s="171">
        <v>40</v>
      </c>
      <c r="Z922" s="171">
        <v>40</v>
      </c>
      <c r="AA922" s="171">
        <v>38.28</v>
      </c>
      <c r="AB922" s="171">
        <v>74.680000000000007</v>
      </c>
      <c r="AC922" s="171">
        <v>40</v>
      </c>
      <c r="AD922" s="171">
        <v>37.340000000000003</v>
      </c>
      <c r="AF922" s="171">
        <f t="shared" si="44"/>
        <v>2009</v>
      </c>
      <c r="AG922" s="171">
        <f t="shared" si="45"/>
        <v>10</v>
      </c>
      <c r="AH922" s="700">
        <f>SUMIF(D$3:$AA922,"&lt;="&amp;$AH$1)/COUNTIF(D$3:$AA922,"&lt;="&amp;$AH$1)</f>
        <v>29.543860017691195</v>
      </c>
    </row>
    <row r="923" spans="2:34" x14ac:dyDescent="0.25">
      <c r="B923" s="910">
        <v>40119</v>
      </c>
      <c r="C923" s="581">
        <f t="shared" si="43"/>
        <v>11</v>
      </c>
      <c r="D923" s="171">
        <v>10.18</v>
      </c>
      <c r="E923" s="171">
        <v>10.18</v>
      </c>
      <c r="F923" s="171">
        <v>9.99</v>
      </c>
      <c r="G923" s="171">
        <v>6.29</v>
      </c>
      <c r="H923" s="171">
        <v>7.51</v>
      </c>
      <c r="I923" s="171">
        <v>9.98</v>
      </c>
      <c r="J923" s="171">
        <v>21.86</v>
      </c>
      <c r="K923" s="171">
        <v>40.86</v>
      </c>
      <c r="L923" s="171">
        <v>51</v>
      </c>
      <c r="M923" s="171">
        <v>57.34</v>
      </c>
      <c r="N923" s="171">
        <v>64</v>
      </c>
      <c r="O923" s="171">
        <v>66.17</v>
      </c>
      <c r="P923" s="171">
        <v>60</v>
      </c>
      <c r="Q923" s="171">
        <v>59.67</v>
      </c>
      <c r="R923" s="171">
        <v>59</v>
      </c>
      <c r="S923" s="171">
        <v>54.99</v>
      </c>
      <c r="T923" s="171">
        <v>59.88</v>
      </c>
      <c r="U923" s="171">
        <v>78.34</v>
      </c>
      <c r="V923" s="171">
        <v>76</v>
      </c>
      <c r="W923" s="171">
        <v>60</v>
      </c>
      <c r="X923" s="171">
        <v>45.94</v>
      </c>
      <c r="Y923" s="171">
        <v>40</v>
      </c>
      <c r="Z923" s="171">
        <v>37.96</v>
      </c>
      <c r="AA923" s="171">
        <v>36</v>
      </c>
      <c r="AB923" s="171">
        <v>78.34</v>
      </c>
      <c r="AC923" s="171">
        <v>37.96</v>
      </c>
      <c r="AD923" s="171">
        <v>23.06</v>
      </c>
      <c r="AF923" s="171">
        <f t="shared" si="44"/>
        <v>2009</v>
      </c>
      <c r="AG923" s="171">
        <f t="shared" si="45"/>
        <v>11</v>
      </c>
      <c r="AH923" s="700">
        <f>SUMIF(D$3:$AA923,"&lt;="&amp;$AH$1)/COUNTIF(D$3:$AA923,"&lt;="&amp;$AH$1)</f>
        <v>29.533459966869035</v>
      </c>
    </row>
    <row r="924" spans="2:34" x14ac:dyDescent="0.25">
      <c r="B924" s="910">
        <v>40120</v>
      </c>
      <c r="C924" s="581">
        <f t="shared" si="43"/>
        <v>11</v>
      </c>
      <c r="D924" s="171">
        <v>35.200000000000003</v>
      </c>
      <c r="E924" s="171">
        <v>32.01</v>
      </c>
      <c r="F924" s="171">
        <v>30.38</v>
      </c>
      <c r="G924" s="171">
        <v>28</v>
      </c>
      <c r="H924" s="171">
        <v>29.03</v>
      </c>
      <c r="I924" s="171">
        <v>32.92</v>
      </c>
      <c r="J924" s="171">
        <v>38.520000000000003</v>
      </c>
      <c r="K924" s="171">
        <v>67.5</v>
      </c>
      <c r="L924" s="171">
        <v>72.2</v>
      </c>
      <c r="M924" s="171">
        <v>75.989999999999995</v>
      </c>
      <c r="N924" s="171">
        <v>71.22</v>
      </c>
      <c r="O924" s="171">
        <v>75.02</v>
      </c>
      <c r="P924" s="171">
        <v>61.99</v>
      </c>
      <c r="Q924" s="171">
        <v>57.01</v>
      </c>
      <c r="R924" s="171">
        <v>59</v>
      </c>
      <c r="S924" s="171">
        <v>55.74</v>
      </c>
      <c r="T924" s="171">
        <v>54.96</v>
      </c>
      <c r="U924" s="171">
        <v>73.760000000000005</v>
      </c>
      <c r="V924" s="171">
        <v>75.989999999999995</v>
      </c>
      <c r="W924" s="171">
        <v>60.82</v>
      </c>
      <c r="X924" s="171">
        <v>47</v>
      </c>
      <c r="Y924" s="171">
        <v>39.25</v>
      </c>
      <c r="Z924" s="171">
        <v>38.44</v>
      </c>
      <c r="AA924" s="171">
        <v>34.6</v>
      </c>
      <c r="AB924" s="171">
        <v>75.989999999999995</v>
      </c>
      <c r="AC924" s="171">
        <v>38.44</v>
      </c>
      <c r="AD924" s="171">
        <v>37.74</v>
      </c>
      <c r="AF924" s="171">
        <f t="shared" si="44"/>
        <v>2009</v>
      </c>
      <c r="AG924" s="171">
        <f t="shared" si="45"/>
        <v>10</v>
      </c>
      <c r="AH924" s="700">
        <f>SUMIF(D$3:$AA924,"&lt;="&amp;$AH$1)/COUNTIF(D$3:$AA924,"&lt;="&amp;$AH$1)</f>
        <v>29.538205184776519</v>
      </c>
    </row>
    <row r="925" spans="2:34" x14ac:dyDescent="0.25">
      <c r="B925" s="910">
        <v>40121</v>
      </c>
      <c r="C925" s="581">
        <f t="shared" si="43"/>
        <v>11</v>
      </c>
      <c r="D925" s="171">
        <v>28.91</v>
      </c>
      <c r="E925" s="171">
        <v>19.46</v>
      </c>
      <c r="F925" s="171">
        <v>17.43</v>
      </c>
      <c r="G925" s="171">
        <v>10.73</v>
      </c>
      <c r="H925" s="171">
        <v>10.27</v>
      </c>
      <c r="I925" s="171">
        <v>19.89</v>
      </c>
      <c r="J925" s="171">
        <v>32.11</v>
      </c>
      <c r="K925" s="171">
        <v>47.53</v>
      </c>
      <c r="L925" s="171">
        <v>53.59</v>
      </c>
      <c r="M925" s="171">
        <v>53.4</v>
      </c>
      <c r="N925" s="171">
        <v>59</v>
      </c>
      <c r="O925" s="171">
        <v>58.120000000000005</v>
      </c>
      <c r="P925" s="171">
        <v>51</v>
      </c>
      <c r="Q925" s="171">
        <v>49.96</v>
      </c>
      <c r="R925" s="171">
        <v>49</v>
      </c>
      <c r="S925" s="171">
        <v>46.89</v>
      </c>
      <c r="T925" s="171">
        <v>48.800000000000004</v>
      </c>
      <c r="U925" s="171">
        <v>71</v>
      </c>
      <c r="V925" s="171">
        <v>65</v>
      </c>
      <c r="W925" s="171">
        <v>50.2</v>
      </c>
      <c r="X925" s="171">
        <v>44</v>
      </c>
      <c r="Y925" s="171">
        <v>38.880000000000003</v>
      </c>
      <c r="Z925" s="171">
        <v>36.04</v>
      </c>
      <c r="AA925" s="171">
        <v>33.549999999999997</v>
      </c>
      <c r="AB925" s="171">
        <v>71</v>
      </c>
      <c r="AC925" s="171">
        <v>36.04</v>
      </c>
      <c r="AD925" s="171">
        <v>28.23</v>
      </c>
      <c r="AF925" s="171">
        <f t="shared" si="44"/>
        <v>2009</v>
      </c>
      <c r="AG925" s="171">
        <f t="shared" si="45"/>
        <v>10</v>
      </c>
      <c r="AH925" s="700">
        <f>SUMIF(D$3:$AA925,"&lt;="&amp;$AH$1)/COUNTIF(D$3:$AA925,"&lt;="&amp;$AH$1)</f>
        <v>29.532903581267117</v>
      </c>
    </row>
    <row r="926" spans="2:34" x14ac:dyDescent="0.25">
      <c r="B926" s="910">
        <v>40122</v>
      </c>
      <c r="C926" s="581">
        <f t="shared" si="43"/>
        <v>11</v>
      </c>
      <c r="D926" s="171">
        <v>29.18</v>
      </c>
      <c r="E926" s="171">
        <v>23.34</v>
      </c>
      <c r="F926" s="171">
        <v>22.81</v>
      </c>
      <c r="G926" s="171">
        <v>17.09</v>
      </c>
      <c r="H926" s="171">
        <v>20.07</v>
      </c>
      <c r="I926" s="171">
        <v>24.990000000000002</v>
      </c>
      <c r="J926" s="171">
        <v>34.53</v>
      </c>
      <c r="K926" s="171">
        <v>43.32</v>
      </c>
      <c r="L926" s="171">
        <v>49</v>
      </c>
      <c r="M926" s="171">
        <v>50.77</v>
      </c>
      <c r="N926" s="171">
        <v>50.980000000000004</v>
      </c>
      <c r="O926" s="171">
        <v>51.870000000000005</v>
      </c>
      <c r="P926" s="171">
        <v>48.33</v>
      </c>
      <c r="Q926" s="171">
        <v>45.6</v>
      </c>
      <c r="R926" s="171">
        <v>43.08</v>
      </c>
      <c r="S926" s="171">
        <v>44.93</v>
      </c>
      <c r="T926" s="171">
        <v>47.29</v>
      </c>
      <c r="U926" s="171">
        <v>66.19</v>
      </c>
      <c r="V926" s="171">
        <v>77.070000000000007</v>
      </c>
      <c r="W926" s="171">
        <v>58</v>
      </c>
      <c r="X926" s="171">
        <v>43</v>
      </c>
      <c r="Y926" s="171">
        <v>37.51</v>
      </c>
      <c r="Z926" s="171">
        <v>38.08</v>
      </c>
      <c r="AA926" s="171">
        <v>35.01</v>
      </c>
      <c r="AB926" s="171">
        <v>77.070000000000007</v>
      </c>
      <c r="AC926" s="171">
        <v>37.51</v>
      </c>
      <c r="AD926" s="171">
        <v>30.740000000000002</v>
      </c>
      <c r="AF926" s="171">
        <f t="shared" si="44"/>
        <v>2009</v>
      </c>
      <c r="AG926" s="171">
        <f t="shared" si="45"/>
        <v>10</v>
      </c>
      <c r="AH926" s="700">
        <f>SUMIF(D$3:$AA926,"&lt;="&amp;$AH$1)/COUNTIF(D$3:$AA926,"&lt;="&amp;$AH$1)</f>
        <v>29.531503577325175</v>
      </c>
    </row>
    <row r="927" spans="2:34" x14ac:dyDescent="0.25">
      <c r="B927" s="910">
        <v>40123</v>
      </c>
      <c r="C927" s="581">
        <f t="shared" si="43"/>
        <v>11</v>
      </c>
      <c r="D927" s="171">
        <v>31.89</v>
      </c>
      <c r="E927" s="171">
        <v>26.61</v>
      </c>
      <c r="F927" s="171">
        <v>22.490000000000002</v>
      </c>
      <c r="G927" s="171">
        <v>20.04</v>
      </c>
      <c r="H927" s="171">
        <v>20.010000000000002</v>
      </c>
      <c r="I927" s="171">
        <v>28.7</v>
      </c>
      <c r="J927" s="171">
        <v>41.35</v>
      </c>
      <c r="K927" s="171">
        <v>50.32</v>
      </c>
      <c r="L927" s="171">
        <v>57</v>
      </c>
      <c r="M927" s="171">
        <v>58</v>
      </c>
      <c r="N927" s="171">
        <v>61</v>
      </c>
      <c r="O927" s="171">
        <v>62.870000000000005</v>
      </c>
      <c r="P927" s="171">
        <v>58</v>
      </c>
      <c r="Q927" s="171">
        <v>51</v>
      </c>
      <c r="R927" s="171">
        <v>46.06</v>
      </c>
      <c r="S927" s="171">
        <v>42.5</v>
      </c>
      <c r="T927" s="171">
        <v>42.49</v>
      </c>
      <c r="U927" s="171">
        <v>55.9</v>
      </c>
      <c r="V927" s="171">
        <v>64.81</v>
      </c>
      <c r="W927" s="171">
        <v>49.96</v>
      </c>
      <c r="X927" s="171">
        <v>38.25</v>
      </c>
      <c r="Y927" s="171">
        <v>34</v>
      </c>
      <c r="Z927" s="171">
        <v>33.44</v>
      </c>
      <c r="AA927" s="171">
        <v>34</v>
      </c>
      <c r="AB927" s="171">
        <v>64.81</v>
      </c>
      <c r="AC927" s="171">
        <v>33.44</v>
      </c>
      <c r="AD927" s="171">
        <v>31.76</v>
      </c>
      <c r="AF927" s="171">
        <f t="shared" si="44"/>
        <v>2009</v>
      </c>
      <c r="AG927" s="171">
        <f t="shared" si="45"/>
        <v>13</v>
      </c>
      <c r="AH927" s="700">
        <f>SUMIF(D$3:$AA927,"&lt;="&amp;$AH$1)/COUNTIF(D$3:$AA927,"&lt;="&amp;$AH$1)</f>
        <v>29.535005495713254</v>
      </c>
    </row>
    <row r="928" spans="2:34" x14ac:dyDescent="0.25">
      <c r="B928" s="910">
        <v>40126</v>
      </c>
      <c r="C928" s="581">
        <f t="shared" si="43"/>
        <v>11</v>
      </c>
      <c r="D928" s="171">
        <v>26.310000000000002</v>
      </c>
      <c r="E928" s="171">
        <v>19.93</v>
      </c>
      <c r="F928" s="171">
        <v>14.09</v>
      </c>
      <c r="G928" s="171">
        <v>9.49</v>
      </c>
      <c r="H928" s="171">
        <v>9.49</v>
      </c>
      <c r="I928" s="171">
        <v>16</v>
      </c>
      <c r="J928" s="171">
        <v>33.92</v>
      </c>
      <c r="K928" s="171">
        <v>38.99</v>
      </c>
      <c r="L928" s="171">
        <v>44.93</v>
      </c>
      <c r="M928" s="171">
        <v>48.4</v>
      </c>
      <c r="N928" s="171">
        <v>52.1</v>
      </c>
      <c r="O928" s="171">
        <v>57.28</v>
      </c>
      <c r="P928" s="171">
        <v>50</v>
      </c>
      <c r="Q928" s="171">
        <v>47</v>
      </c>
      <c r="R928" s="171">
        <v>42.7</v>
      </c>
      <c r="S928" s="171">
        <v>42.42</v>
      </c>
      <c r="T928" s="171">
        <v>45.44</v>
      </c>
      <c r="U928" s="171">
        <v>64</v>
      </c>
      <c r="V928" s="171">
        <v>69.930000000000007</v>
      </c>
      <c r="W928" s="171">
        <v>50.78</v>
      </c>
      <c r="X928" s="171">
        <v>44.96</v>
      </c>
      <c r="Y928" s="171">
        <v>37.9</v>
      </c>
      <c r="Z928" s="171">
        <v>24</v>
      </c>
      <c r="AA928" s="171">
        <v>27.7</v>
      </c>
      <c r="AB928" s="171">
        <v>69.930000000000007</v>
      </c>
      <c r="AC928" s="171">
        <v>24</v>
      </c>
      <c r="AD928" s="171">
        <v>25.23</v>
      </c>
      <c r="AF928" s="171">
        <f t="shared" si="44"/>
        <v>2009</v>
      </c>
      <c r="AG928" s="171">
        <f t="shared" si="45"/>
        <v>12</v>
      </c>
      <c r="AH928" s="700">
        <f>SUMIF(D$3:$AA928,"&lt;="&amp;$AH$1)/COUNTIF(D$3:$AA928,"&lt;="&amp;$AH$1)</f>
        <v>29.529058177826471</v>
      </c>
    </row>
    <row r="929" spans="2:34" x14ac:dyDescent="0.25">
      <c r="B929" s="910">
        <v>40127</v>
      </c>
      <c r="C929" s="581">
        <f t="shared" si="43"/>
        <v>11</v>
      </c>
      <c r="D929" s="171">
        <v>33</v>
      </c>
      <c r="E929" s="171">
        <v>28.400000000000002</v>
      </c>
      <c r="F929" s="171">
        <v>25.490000000000002</v>
      </c>
      <c r="G929" s="171">
        <v>22.91</v>
      </c>
      <c r="H929" s="171">
        <v>22</v>
      </c>
      <c r="I929" s="171">
        <v>28</v>
      </c>
      <c r="J929" s="171">
        <v>37</v>
      </c>
      <c r="K929" s="171">
        <v>49.4</v>
      </c>
      <c r="L929" s="171">
        <v>59.050000000000004</v>
      </c>
      <c r="M929" s="171">
        <v>61.74</v>
      </c>
      <c r="N929" s="171">
        <v>64.22</v>
      </c>
      <c r="O929" s="171">
        <v>66.040000000000006</v>
      </c>
      <c r="P929" s="171">
        <v>61.99</v>
      </c>
      <c r="Q929" s="171">
        <v>58.63</v>
      </c>
      <c r="R929" s="171">
        <v>57.67</v>
      </c>
      <c r="S929" s="171">
        <v>51.58</v>
      </c>
      <c r="T929" s="171">
        <v>56.44</v>
      </c>
      <c r="U929" s="171">
        <v>75.41</v>
      </c>
      <c r="V929" s="171">
        <v>75.989999999999995</v>
      </c>
      <c r="W929" s="171">
        <v>55.82</v>
      </c>
      <c r="X929" s="171">
        <v>45</v>
      </c>
      <c r="Y929" s="171">
        <v>37.5</v>
      </c>
      <c r="Z929" s="171">
        <v>36.44</v>
      </c>
      <c r="AA929" s="171">
        <v>35.5</v>
      </c>
      <c r="AB929" s="171">
        <v>75.989999999999995</v>
      </c>
      <c r="AC929" s="171">
        <v>36.44</v>
      </c>
      <c r="AD929" s="171">
        <v>33.39</v>
      </c>
      <c r="AF929" s="171">
        <f t="shared" si="44"/>
        <v>2009</v>
      </c>
      <c r="AG929" s="171">
        <f t="shared" si="45"/>
        <v>10</v>
      </c>
      <c r="AH929" s="700">
        <f>SUMIF(D$3:$AA929,"&lt;="&amp;$AH$1)/COUNTIF(D$3:$AA929,"&lt;="&amp;$AH$1)</f>
        <v>29.530258771929731</v>
      </c>
    </row>
    <row r="930" spans="2:34" x14ac:dyDescent="0.25">
      <c r="B930" s="910">
        <v>40128</v>
      </c>
      <c r="C930" s="581">
        <f t="shared" si="43"/>
        <v>11</v>
      </c>
      <c r="D930" s="171">
        <v>36.71</v>
      </c>
      <c r="E930" s="171">
        <v>30.2</v>
      </c>
      <c r="F930" s="171">
        <v>28</v>
      </c>
      <c r="G930" s="171">
        <v>24.5</v>
      </c>
      <c r="H930" s="171">
        <v>24.830000000000002</v>
      </c>
      <c r="I930" s="171">
        <v>28.59</v>
      </c>
      <c r="J930" s="171">
        <v>35.11</v>
      </c>
      <c r="K930" s="171">
        <v>40.9</v>
      </c>
      <c r="L930" s="171">
        <v>41.93</v>
      </c>
      <c r="M930" s="171">
        <v>42.160000000000004</v>
      </c>
      <c r="N930" s="171">
        <v>43</v>
      </c>
      <c r="O930" s="171">
        <v>49.1</v>
      </c>
      <c r="P930" s="171">
        <v>46.6</v>
      </c>
      <c r="Q930" s="171">
        <v>44</v>
      </c>
      <c r="R930" s="171">
        <v>41</v>
      </c>
      <c r="S930" s="171">
        <v>40</v>
      </c>
      <c r="T930" s="171">
        <v>42</v>
      </c>
      <c r="U930" s="171">
        <v>62.92</v>
      </c>
      <c r="V930" s="171">
        <v>65.099999999999994</v>
      </c>
      <c r="W930" s="171">
        <v>50</v>
      </c>
      <c r="X930" s="171">
        <v>38.75</v>
      </c>
      <c r="Y930" s="171">
        <v>36.200000000000003</v>
      </c>
      <c r="Z930" s="171">
        <v>37.81</v>
      </c>
      <c r="AA930" s="171">
        <v>38.200000000000003</v>
      </c>
      <c r="AB930" s="171">
        <v>65.099999999999994</v>
      </c>
      <c r="AC930" s="171">
        <v>36.200000000000003</v>
      </c>
      <c r="AD930" s="171">
        <v>33.32</v>
      </c>
      <c r="AF930" s="171">
        <f t="shared" si="44"/>
        <v>2009</v>
      </c>
      <c r="AG930" s="171">
        <f t="shared" si="45"/>
        <v>17</v>
      </c>
      <c r="AH930" s="700">
        <f>SUMIF(D$3:$AA930,"&lt;="&amp;$AH$1)/COUNTIF(D$3:$AA930,"&lt;="&amp;$AH$1)</f>
        <v>29.541736893947601</v>
      </c>
    </row>
    <row r="931" spans="2:34" x14ac:dyDescent="0.25">
      <c r="B931" s="910">
        <v>40129</v>
      </c>
      <c r="C931" s="581">
        <f t="shared" si="43"/>
        <v>11</v>
      </c>
      <c r="D931" s="171">
        <v>34.67</v>
      </c>
      <c r="E931" s="171">
        <v>29.93</v>
      </c>
      <c r="F931" s="171">
        <v>27.7</v>
      </c>
      <c r="G931" s="171">
        <v>22.82</v>
      </c>
      <c r="H931" s="171">
        <v>23.48</v>
      </c>
      <c r="I931" s="171">
        <v>26</v>
      </c>
      <c r="J931" s="171">
        <v>36.99</v>
      </c>
      <c r="K931" s="171">
        <v>49.980000000000004</v>
      </c>
      <c r="L931" s="171">
        <v>50.1</v>
      </c>
      <c r="M931" s="171">
        <v>56.89</v>
      </c>
      <c r="N931" s="171">
        <v>59.52</v>
      </c>
      <c r="O931" s="171">
        <v>62.47</v>
      </c>
      <c r="P931" s="171">
        <v>61</v>
      </c>
      <c r="Q931" s="171">
        <v>57.980000000000004</v>
      </c>
      <c r="R931" s="171">
        <v>55</v>
      </c>
      <c r="S931" s="171">
        <v>51</v>
      </c>
      <c r="T931" s="171">
        <v>54.51</v>
      </c>
      <c r="U931" s="171">
        <v>75</v>
      </c>
      <c r="V931" s="171">
        <v>74.02</v>
      </c>
      <c r="W931" s="171">
        <v>57.4</v>
      </c>
      <c r="X931" s="171">
        <v>44.35</v>
      </c>
      <c r="Y931" s="171">
        <v>39.25</v>
      </c>
      <c r="Z931" s="171">
        <v>37.1</v>
      </c>
      <c r="AA931" s="171">
        <v>35.050000000000004</v>
      </c>
      <c r="AB931" s="171">
        <v>75</v>
      </c>
      <c r="AC931" s="171">
        <v>37.1</v>
      </c>
      <c r="AD931" s="171">
        <v>33.94</v>
      </c>
      <c r="AF931" s="171">
        <f t="shared" si="44"/>
        <v>2009</v>
      </c>
      <c r="AG931" s="171">
        <f t="shared" si="45"/>
        <v>10</v>
      </c>
      <c r="AH931" s="700">
        <f>SUMIF(D$3:$AA931,"&lt;="&amp;$AH$1)/COUNTIF(D$3:$AA931,"&lt;="&amp;$AH$1)</f>
        <v>29.543658029955083</v>
      </c>
    </row>
    <row r="932" spans="2:34" x14ac:dyDescent="0.25">
      <c r="B932" s="910">
        <v>40130</v>
      </c>
      <c r="C932" s="581">
        <f t="shared" si="43"/>
        <v>11</v>
      </c>
      <c r="D932" s="171">
        <v>30.84</v>
      </c>
      <c r="E932" s="171">
        <v>28</v>
      </c>
      <c r="F932" s="171">
        <v>25</v>
      </c>
      <c r="G932" s="171">
        <v>23.84</v>
      </c>
      <c r="H932" s="171">
        <v>22.23</v>
      </c>
      <c r="I932" s="171">
        <v>25.2</v>
      </c>
      <c r="J932" s="171">
        <v>35.840000000000003</v>
      </c>
      <c r="K932" s="171">
        <v>44.5</v>
      </c>
      <c r="L932" s="171">
        <v>46.49</v>
      </c>
      <c r="M932" s="171">
        <v>49.93</v>
      </c>
      <c r="N932" s="171">
        <v>50</v>
      </c>
      <c r="O932" s="171">
        <v>51.7</v>
      </c>
      <c r="P932" s="171">
        <v>48.6</v>
      </c>
      <c r="Q932" s="171">
        <v>44.99</v>
      </c>
      <c r="R932" s="171">
        <v>43</v>
      </c>
      <c r="S932" s="171">
        <v>40.99</v>
      </c>
      <c r="T932" s="171">
        <v>41.89</v>
      </c>
      <c r="U932" s="171">
        <v>56.75</v>
      </c>
      <c r="V932" s="171">
        <v>50.99</v>
      </c>
      <c r="W932" s="171">
        <v>43</v>
      </c>
      <c r="X932" s="171">
        <v>39.200000000000003</v>
      </c>
      <c r="Y932" s="171">
        <v>30.2</v>
      </c>
      <c r="Z932" s="171">
        <v>31.3</v>
      </c>
      <c r="AA932" s="171">
        <v>32.99</v>
      </c>
      <c r="AB932" s="171">
        <v>56.75</v>
      </c>
      <c r="AC932" s="171">
        <v>30.2</v>
      </c>
      <c r="AD932" s="171">
        <v>30.76</v>
      </c>
      <c r="AF932" s="171">
        <f t="shared" si="44"/>
        <v>2009</v>
      </c>
      <c r="AG932" s="171">
        <f t="shared" si="45"/>
        <v>13</v>
      </c>
      <c r="AH932" s="700">
        <f>SUMIF(D$3:$AA932,"&lt;="&amp;$AH$1)/COUNTIF(D$3:$AA932,"&lt;="&amp;$AH$1)</f>
        <v>29.546218340611269</v>
      </c>
    </row>
    <row r="933" spans="2:34" x14ac:dyDescent="0.25">
      <c r="B933" s="910">
        <v>40133</v>
      </c>
      <c r="C933" s="581">
        <f t="shared" si="43"/>
        <v>11</v>
      </c>
      <c r="D933" s="171">
        <v>27.59</v>
      </c>
      <c r="E933" s="171">
        <v>20.059999999999999</v>
      </c>
      <c r="F933" s="171">
        <v>10.28</v>
      </c>
      <c r="G933" s="171">
        <v>7.8900000000000006</v>
      </c>
      <c r="H933" s="171">
        <v>7.88</v>
      </c>
      <c r="I933" s="171">
        <v>12.9</v>
      </c>
      <c r="J933" s="171">
        <v>30.93</v>
      </c>
      <c r="K933" s="171">
        <v>42.97</v>
      </c>
      <c r="L933" s="171">
        <v>43</v>
      </c>
      <c r="M933" s="171">
        <v>46.04</v>
      </c>
      <c r="N933" s="171">
        <v>44</v>
      </c>
      <c r="O933" s="171">
        <v>45.1</v>
      </c>
      <c r="P933" s="171">
        <v>44.96</v>
      </c>
      <c r="Q933" s="171">
        <v>42.01</v>
      </c>
      <c r="R933" s="171">
        <v>40.25</v>
      </c>
      <c r="S933" s="171">
        <v>36.74</v>
      </c>
      <c r="T933" s="171">
        <v>38.700000000000003</v>
      </c>
      <c r="U933" s="171">
        <v>51.32</v>
      </c>
      <c r="V933" s="171">
        <v>57.85</v>
      </c>
      <c r="W933" s="171">
        <v>49.230000000000004</v>
      </c>
      <c r="X933" s="171">
        <v>39</v>
      </c>
      <c r="Y933" s="171">
        <v>33.5</v>
      </c>
      <c r="Z933" s="171">
        <v>32.799999999999997</v>
      </c>
      <c r="AA933" s="171">
        <v>30</v>
      </c>
      <c r="AB933" s="171">
        <v>57.85</v>
      </c>
      <c r="AC933" s="171">
        <v>32.799999999999997</v>
      </c>
      <c r="AD933" s="171">
        <v>24.650000000000002</v>
      </c>
      <c r="AF933" s="171">
        <f t="shared" si="44"/>
        <v>2009</v>
      </c>
      <c r="AG933" s="171">
        <f t="shared" si="45"/>
        <v>15</v>
      </c>
      <c r="AH933" s="700">
        <f>SUMIF(D$3:$AA933,"&lt;="&amp;$AH$1)/COUNTIF(D$3:$AA933,"&lt;="&amp;$AH$1)</f>
        <v>29.542658310626628</v>
      </c>
    </row>
    <row r="934" spans="2:34" x14ac:dyDescent="0.25">
      <c r="B934" s="910">
        <v>40134</v>
      </c>
      <c r="C934" s="581">
        <f t="shared" si="43"/>
        <v>11</v>
      </c>
      <c r="D934" s="171">
        <v>30.09</v>
      </c>
      <c r="E934" s="171">
        <v>22</v>
      </c>
      <c r="F934" s="171">
        <v>19</v>
      </c>
      <c r="G934" s="171">
        <v>15.08</v>
      </c>
      <c r="H934" s="171">
        <v>17</v>
      </c>
      <c r="I934" s="171">
        <v>27.72</v>
      </c>
      <c r="J934" s="171">
        <v>35.770000000000003</v>
      </c>
      <c r="K934" s="171">
        <v>49.980000000000004</v>
      </c>
      <c r="L934" s="171">
        <v>47</v>
      </c>
      <c r="M934" s="171">
        <v>50</v>
      </c>
      <c r="N934" s="171">
        <v>50.75</v>
      </c>
      <c r="O934" s="171">
        <v>52.5</v>
      </c>
      <c r="P934" s="171">
        <v>49</v>
      </c>
      <c r="Q934" s="171">
        <v>48</v>
      </c>
      <c r="R934" s="171">
        <v>45</v>
      </c>
      <c r="S934" s="171">
        <v>44</v>
      </c>
      <c r="T934" s="171">
        <v>44.96</v>
      </c>
      <c r="U934" s="171">
        <v>59.1</v>
      </c>
      <c r="V934" s="171">
        <v>62</v>
      </c>
      <c r="W934" s="171">
        <v>49.980000000000004</v>
      </c>
      <c r="X934" s="171">
        <v>43</v>
      </c>
      <c r="Y934" s="171">
        <v>35.96</v>
      </c>
      <c r="Z934" s="171">
        <v>34.700000000000003</v>
      </c>
      <c r="AA934" s="171">
        <v>32.61</v>
      </c>
      <c r="AB934" s="171">
        <v>62</v>
      </c>
      <c r="AC934" s="171">
        <v>34.700000000000003</v>
      </c>
      <c r="AD934" s="171">
        <v>30.240000000000002</v>
      </c>
      <c r="AF934" s="171">
        <f t="shared" si="44"/>
        <v>2009</v>
      </c>
      <c r="AG934" s="171">
        <f t="shared" si="45"/>
        <v>10</v>
      </c>
      <c r="AH934" s="700">
        <f>SUMIF(D$3:$AA934,"&lt;="&amp;$AH$1)/COUNTIF(D$3:$AA934,"&lt;="&amp;$AH$1)</f>
        <v>29.539882416984145</v>
      </c>
    </row>
    <row r="935" spans="2:34" x14ac:dyDescent="0.25">
      <c r="B935" s="910">
        <v>40135</v>
      </c>
      <c r="C935" s="581">
        <f t="shared" si="43"/>
        <v>11</v>
      </c>
      <c r="D935" s="171">
        <v>22</v>
      </c>
      <c r="E935" s="171">
        <v>18.440000000000001</v>
      </c>
      <c r="F935" s="171">
        <v>16.91</v>
      </c>
      <c r="G935" s="171">
        <v>10.450000000000001</v>
      </c>
      <c r="H935" s="171">
        <v>12.07</v>
      </c>
      <c r="I935" s="171">
        <v>20.78</v>
      </c>
      <c r="J935" s="171">
        <v>29.8</v>
      </c>
      <c r="K935" s="171">
        <v>38.9</v>
      </c>
      <c r="L935" s="171">
        <v>37.800000000000004</v>
      </c>
      <c r="M935" s="171">
        <v>39.93</v>
      </c>
      <c r="N935" s="171">
        <v>40.300000000000004</v>
      </c>
      <c r="O935" s="171">
        <v>42.1</v>
      </c>
      <c r="P935" s="171">
        <v>40.450000000000003</v>
      </c>
      <c r="Q935" s="171">
        <v>39.08</v>
      </c>
      <c r="R935" s="171">
        <v>36.89</v>
      </c>
      <c r="S935" s="171">
        <v>35.85</v>
      </c>
      <c r="T935" s="171">
        <v>37.119999999999997</v>
      </c>
      <c r="U935" s="171">
        <v>48.480000000000004</v>
      </c>
      <c r="V935" s="171">
        <v>47.5</v>
      </c>
      <c r="W935" s="171">
        <v>41</v>
      </c>
      <c r="X935" s="171">
        <v>37</v>
      </c>
      <c r="Y935" s="171">
        <v>34.96</v>
      </c>
      <c r="Z935" s="171">
        <v>34.35</v>
      </c>
      <c r="AA935" s="171">
        <v>32.64</v>
      </c>
      <c r="AB935" s="171">
        <v>48.480000000000004</v>
      </c>
      <c r="AC935" s="171">
        <v>34.35</v>
      </c>
      <c r="AD935" s="171">
        <v>25.69</v>
      </c>
      <c r="AF935" s="171">
        <f t="shared" si="44"/>
        <v>2009</v>
      </c>
      <c r="AG935" s="171">
        <f t="shared" si="45"/>
        <v>22</v>
      </c>
      <c r="AH935" s="700">
        <f>SUMIF(D$3:$AA935,"&lt;="&amp;$AH$1)/COUNTIF(D$3:$AA935,"&lt;="&amp;$AH$1)</f>
        <v>29.545198218746538</v>
      </c>
    </row>
    <row r="936" spans="2:34" x14ac:dyDescent="0.25">
      <c r="B936" s="910">
        <v>40136</v>
      </c>
      <c r="C936" s="581">
        <f t="shared" si="43"/>
        <v>11</v>
      </c>
      <c r="D936" s="171">
        <v>25</v>
      </c>
      <c r="E936" s="171">
        <v>25</v>
      </c>
      <c r="F936" s="171">
        <v>24.740000000000002</v>
      </c>
      <c r="G936" s="171">
        <v>17.04</v>
      </c>
      <c r="H936" s="171">
        <v>17.04</v>
      </c>
      <c r="I936" s="171">
        <v>25</v>
      </c>
      <c r="J936" s="171">
        <v>25</v>
      </c>
      <c r="K936" s="171">
        <v>25</v>
      </c>
      <c r="L936" s="171">
        <v>25</v>
      </c>
      <c r="M936" s="171">
        <v>25</v>
      </c>
      <c r="N936" s="171">
        <v>25</v>
      </c>
      <c r="O936" s="171">
        <v>25</v>
      </c>
      <c r="P936" s="171">
        <v>25</v>
      </c>
      <c r="Q936" s="171">
        <v>25</v>
      </c>
      <c r="R936" s="171">
        <v>25</v>
      </c>
      <c r="S936" s="171">
        <v>25</v>
      </c>
      <c r="T936" s="171">
        <v>25</v>
      </c>
      <c r="U936" s="171">
        <v>25</v>
      </c>
      <c r="V936" s="171">
        <v>25</v>
      </c>
      <c r="W936" s="171">
        <v>25</v>
      </c>
      <c r="X936" s="171">
        <v>25</v>
      </c>
      <c r="Y936" s="171">
        <v>25</v>
      </c>
      <c r="Z936" s="171">
        <v>25</v>
      </c>
      <c r="AA936" s="171">
        <v>25</v>
      </c>
      <c r="AB936" s="171">
        <v>25</v>
      </c>
      <c r="AC936" s="171">
        <v>25</v>
      </c>
      <c r="AD936" s="171">
        <v>23.650000000000002</v>
      </c>
      <c r="AF936" s="171">
        <f t="shared" si="44"/>
        <v>2009</v>
      </c>
      <c r="AG936" s="171">
        <f t="shared" si="45"/>
        <v>24</v>
      </c>
      <c r="AH936" s="700">
        <f>SUMIF(D$3:$AA936,"&lt;="&amp;$AH$1)/COUNTIF(D$3:$AA936,"&lt;="&amp;$AH$1)</f>
        <v>29.531628209294695</v>
      </c>
    </row>
    <row r="937" spans="2:34" x14ac:dyDescent="0.25">
      <c r="B937" s="910">
        <v>40137</v>
      </c>
      <c r="C937" s="581">
        <f t="shared" si="43"/>
        <v>11</v>
      </c>
      <c r="D937" s="171">
        <v>31.25</v>
      </c>
      <c r="E937" s="171">
        <v>26.57</v>
      </c>
      <c r="F937" s="171">
        <v>20.79</v>
      </c>
      <c r="G937" s="171">
        <v>18.059999999999999</v>
      </c>
      <c r="H937" s="171">
        <v>18.64</v>
      </c>
      <c r="I937" s="171">
        <v>25.740000000000002</v>
      </c>
      <c r="J937" s="171">
        <v>33.03</v>
      </c>
      <c r="K937" s="171">
        <v>45.67</v>
      </c>
      <c r="L937" s="171">
        <v>45.4</v>
      </c>
      <c r="M937" s="171">
        <v>45</v>
      </c>
      <c r="N937" s="171">
        <v>44.93</v>
      </c>
      <c r="O937" s="171">
        <v>44.96</v>
      </c>
      <c r="P937" s="171">
        <v>42.36</v>
      </c>
      <c r="Q937" s="171">
        <v>41.410000000000004</v>
      </c>
      <c r="R937" s="171">
        <v>39.69</v>
      </c>
      <c r="S937" s="171">
        <v>36.950000000000003</v>
      </c>
      <c r="T937" s="171">
        <v>39.03</v>
      </c>
      <c r="U937" s="171">
        <v>53.550000000000004</v>
      </c>
      <c r="V937" s="171">
        <v>49</v>
      </c>
      <c r="W937" s="171">
        <v>42</v>
      </c>
      <c r="X937" s="171">
        <v>40.090000000000003</v>
      </c>
      <c r="Y937" s="171">
        <v>34.590000000000003</v>
      </c>
      <c r="Z937" s="171">
        <v>36.5</v>
      </c>
      <c r="AA937" s="171">
        <v>37.33</v>
      </c>
      <c r="AB937" s="171">
        <v>53.550000000000004</v>
      </c>
      <c r="AC937" s="171">
        <v>34.590000000000003</v>
      </c>
      <c r="AD937" s="171">
        <v>30.69</v>
      </c>
      <c r="AF937" s="171">
        <f t="shared" si="44"/>
        <v>2009</v>
      </c>
      <c r="AG937" s="171">
        <f t="shared" si="45"/>
        <v>17</v>
      </c>
      <c r="AH937" s="700">
        <f>SUMIF(D$3:$AA937,"&lt;="&amp;$AH$1)/COUNTIF(D$3:$AA937,"&lt;="&amp;$AH$1)</f>
        <v>29.538331531141804</v>
      </c>
    </row>
    <row r="938" spans="2:34" x14ac:dyDescent="0.25">
      <c r="B938" s="910">
        <v>40140</v>
      </c>
      <c r="C938" s="581">
        <f t="shared" si="43"/>
        <v>11</v>
      </c>
      <c r="D938" s="171">
        <v>19.96</v>
      </c>
      <c r="E938" s="171">
        <v>9</v>
      </c>
      <c r="F938" s="171">
        <v>0.01</v>
      </c>
      <c r="G938" s="171">
        <v>0.01</v>
      </c>
      <c r="H938" s="171">
        <v>0.01</v>
      </c>
      <c r="I938" s="171">
        <v>14.16</v>
      </c>
      <c r="J938" s="171">
        <v>28</v>
      </c>
      <c r="K938" s="171">
        <v>36</v>
      </c>
      <c r="L938" s="171">
        <v>42.71</v>
      </c>
      <c r="M938" s="171">
        <v>40</v>
      </c>
      <c r="N938" s="171">
        <v>40</v>
      </c>
      <c r="O938" s="171">
        <v>42</v>
      </c>
      <c r="P938" s="171">
        <v>39.300000000000004</v>
      </c>
      <c r="Q938" s="171">
        <v>38.44</v>
      </c>
      <c r="R938" s="171">
        <v>43</v>
      </c>
      <c r="S938" s="171">
        <v>39.93</v>
      </c>
      <c r="T938" s="171">
        <v>41.9</v>
      </c>
      <c r="U938" s="171">
        <v>54.99</v>
      </c>
      <c r="V938" s="171">
        <v>50</v>
      </c>
      <c r="W938" s="171">
        <v>45</v>
      </c>
      <c r="X938" s="171">
        <v>39.93</v>
      </c>
      <c r="Y938" s="171">
        <v>34</v>
      </c>
      <c r="Z938" s="171">
        <v>29.5</v>
      </c>
      <c r="AA938" s="171">
        <v>20.79</v>
      </c>
      <c r="AB938" s="171">
        <v>54.99</v>
      </c>
      <c r="AC938" s="171">
        <v>29.5</v>
      </c>
      <c r="AD938" s="171">
        <v>19.28</v>
      </c>
      <c r="AF938" s="171">
        <f t="shared" si="44"/>
        <v>2009</v>
      </c>
      <c r="AG938" s="171">
        <f t="shared" si="45"/>
        <v>19</v>
      </c>
      <c r="AH938" s="700">
        <f>SUMIF(D$3:$AA938,"&lt;="&amp;$AH$1)/COUNTIF(D$3:$AA938,"&lt;="&amp;$AH$1)</f>
        <v>29.533120751052056</v>
      </c>
    </row>
    <row r="939" spans="2:34" x14ac:dyDescent="0.25">
      <c r="B939" s="910">
        <v>40141</v>
      </c>
      <c r="C939" s="581">
        <f t="shared" si="43"/>
        <v>11</v>
      </c>
      <c r="D939" s="171">
        <v>18.080000000000002</v>
      </c>
      <c r="E939" s="171">
        <v>19.309999999999999</v>
      </c>
      <c r="F939" s="171">
        <v>18.88</v>
      </c>
      <c r="G939" s="171">
        <v>10</v>
      </c>
      <c r="H939" s="171">
        <v>10.01</v>
      </c>
      <c r="I939" s="171">
        <v>21.17</v>
      </c>
      <c r="J939" s="171">
        <v>31.27</v>
      </c>
      <c r="K939" s="171">
        <v>49.980000000000004</v>
      </c>
      <c r="L939" s="171">
        <v>39.369999999999997</v>
      </c>
      <c r="M939" s="171">
        <v>39.78</v>
      </c>
      <c r="N939" s="171">
        <v>39</v>
      </c>
      <c r="O939" s="171">
        <v>40.4</v>
      </c>
      <c r="P939" s="171">
        <v>39.700000000000003</v>
      </c>
      <c r="Q939" s="171">
        <v>39</v>
      </c>
      <c r="R939" s="171">
        <v>38</v>
      </c>
      <c r="S939" s="171">
        <v>37.56</v>
      </c>
      <c r="T939" s="171">
        <v>41.4</v>
      </c>
      <c r="U939" s="171">
        <v>54.02</v>
      </c>
      <c r="V939" s="171">
        <v>46.71</v>
      </c>
      <c r="W939" s="171">
        <v>38</v>
      </c>
      <c r="X939" s="171">
        <v>34.410000000000004</v>
      </c>
      <c r="Y939" s="171">
        <v>32.049999999999997</v>
      </c>
      <c r="Z939" s="171">
        <v>30.68</v>
      </c>
      <c r="AA939" s="171">
        <v>28.04</v>
      </c>
      <c r="AB939" s="171">
        <v>54.02</v>
      </c>
      <c r="AC939" s="171">
        <v>30.68</v>
      </c>
      <c r="AD939" s="171">
        <v>25.32</v>
      </c>
      <c r="AF939" s="171">
        <f t="shared" si="44"/>
        <v>2009</v>
      </c>
      <c r="AG939" s="171">
        <f t="shared" si="45"/>
        <v>21</v>
      </c>
      <c r="AH939" s="700">
        <f>SUMIF(D$3:$AA939,"&lt;="&amp;$AH$1)/COUNTIF(D$3:$AA939,"&lt;="&amp;$AH$1)</f>
        <v>29.535910852713119</v>
      </c>
    </row>
    <row r="940" spans="2:34" x14ac:dyDescent="0.25">
      <c r="B940" s="910">
        <v>40142</v>
      </c>
      <c r="C940" s="581">
        <f t="shared" si="43"/>
        <v>11</v>
      </c>
      <c r="D940" s="171">
        <v>17.28</v>
      </c>
      <c r="E940" s="171">
        <v>17.29</v>
      </c>
      <c r="F940" s="171">
        <v>10</v>
      </c>
      <c r="G940" s="171">
        <v>1</v>
      </c>
      <c r="H940" s="171">
        <v>0.01</v>
      </c>
      <c r="I940" s="171">
        <v>14.85</v>
      </c>
      <c r="J940" s="171">
        <v>27.7</v>
      </c>
      <c r="K940" s="171">
        <v>43.980000000000004</v>
      </c>
      <c r="L940" s="171">
        <v>38.4</v>
      </c>
      <c r="M940" s="171">
        <v>39.700000000000003</v>
      </c>
      <c r="N940" s="171">
        <v>40.619999999999997</v>
      </c>
      <c r="O940" s="171">
        <v>44.54</v>
      </c>
      <c r="P940" s="171">
        <v>40.86</v>
      </c>
      <c r="Q940" s="171">
        <v>39</v>
      </c>
      <c r="R940" s="171">
        <v>38.050000000000004</v>
      </c>
      <c r="S940" s="171">
        <v>37.79</v>
      </c>
      <c r="T940" s="171">
        <v>41.2</v>
      </c>
      <c r="U940" s="171">
        <v>55</v>
      </c>
      <c r="V940" s="171">
        <v>49.93</v>
      </c>
      <c r="W940" s="171">
        <v>42.25</v>
      </c>
      <c r="X940" s="171">
        <v>37</v>
      </c>
      <c r="Y940" s="171">
        <v>36.869999999999997</v>
      </c>
      <c r="Z940" s="171">
        <v>34.17</v>
      </c>
      <c r="AA940" s="171">
        <v>31</v>
      </c>
      <c r="AB940" s="171">
        <v>55</v>
      </c>
      <c r="AC940" s="171">
        <v>34.17</v>
      </c>
      <c r="AD940" s="171">
        <v>22.6</v>
      </c>
      <c r="AF940" s="171">
        <f t="shared" si="44"/>
        <v>2009</v>
      </c>
      <c r="AG940" s="171">
        <f t="shared" si="45"/>
        <v>20</v>
      </c>
      <c r="AH940" s="700">
        <f>SUMIF(D$3:$AA940,"&lt;="&amp;$AH$1)/COUNTIF(D$3:$AA940,"&lt;="&amp;$AH$1)</f>
        <v>29.535300816501874</v>
      </c>
    </row>
    <row r="941" spans="2:34" x14ac:dyDescent="0.25">
      <c r="B941" s="910">
        <v>40143</v>
      </c>
      <c r="C941" s="581">
        <f t="shared" si="43"/>
        <v>11</v>
      </c>
      <c r="D941" s="171">
        <v>24.02</v>
      </c>
      <c r="E941" s="171">
        <v>18.77</v>
      </c>
      <c r="F941" s="171">
        <v>18.79</v>
      </c>
      <c r="G941" s="171">
        <v>10.38</v>
      </c>
      <c r="H941" s="171">
        <v>12.86</v>
      </c>
      <c r="I941" s="171">
        <v>21.12</v>
      </c>
      <c r="J941" s="171">
        <v>32.01</v>
      </c>
      <c r="K941" s="171">
        <v>45</v>
      </c>
      <c r="L941" s="171">
        <v>39</v>
      </c>
      <c r="M941" s="171">
        <v>39.86</v>
      </c>
      <c r="N941" s="171">
        <v>39</v>
      </c>
      <c r="O941" s="171">
        <v>39.51</v>
      </c>
      <c r="P941" s="171">
        <v>37.29</v>
      </c>
      <c r="Q941" s="171">
        <v>37.29</v>
      </c>
      <c r="R941" s="171">
        <v>37.520000000000003</v>
      </c>
      <c r="S941" s="171">
        <v>37.64</v>
      </c>
      <c r="T941" s="171">
        <v>43.800000000000004</v>
      </c>
      <c r="U941" s="171">
        <v>53.800000000000004</v>
      </c>
      <c r="V941" s="171">
        <v>49.96</v>
      </c>
      <c r="W941" s="171">
        <v>37.24</v>
      </c>
      <c r="X941" s="171">
        <v>35.770000000000003</v>
      </c>
      <c r="Y941" s="171">
        <v>34</v>
      </c>
      <c r="Z941" s="171">
        <v>31.21</v>
      </c>
      <c r="AA941" s="171">
        <v>26.38</v>
      </c>
      <c r="AB941" s="171">
        <v>53.800000000000004</v>
      </c>
      <c r="AC941" s="171">
        <v>31.21</v>
      </c>
      <c r="AD941" s="171">
        <v>25.86</v>
      </c>
      <c r="AF941" s="171">
        <f t="shared" si="44"/>
        <v>2009</v>
      </c>
      <c r="AG941" s="171">
        <f t="shared" si="45"/>
        <v>20</v>
      </c>
      <c r="AH941" s="700">
        <f>SUMIF(D$3:$AA941,"&lt;="&amp;$AH$1)/COUNTIF(D$3:$AA941,"&lt;="&amp;$AH$1)</f>
        <v>29.537332761577986</v>
      </c>
    </row>
    <row r="942" spans="2:34" x14ac:dyDescent="0.25">
      <c r="B942" s="910">
        <v>40144</v>
      </c>
      <c r="C942" s="581">
        <f t="shared" si="43"/>
        <v>11</v>
      </c>
      <c r="D942" s="171">
        <v>27.560000000000002</v>
      </c>
      <c r="E942" s="171">
        <v>24</v>
      </c>
      <c r="F942" s="171">
        <v>18.91</v>
      </c>
      <c r="G942" s="171">
        <v>10.18</v>
      </c>
      <c r="H942" s="171">
        <v>13.75</v>
      </c>
      <c r="I942" s="171">
        <v>21.990000000000002</v>
      </c>
      <c r="J942" s="171">
        <v>33.5</v>
      </c>
      <c r="K942" s="171">
        <v>43.88</v>
      </c>
      <c r="L942" s="171">
        <v>39.54</v>
      </c>
      <c r="M942" s="171">
        <v>41</v>
      </c>
      <c r="N942" s="171">
        <v>41</v>
      </c>
      <c r="O942" s="171">
        <v>41</v>
      </c>
      <c r="P942" s="171">
        <v>39.42</v>
      </c>
      <c r="Q942" s="171">
        <v>38.050000000000004</v>
      </c>
      <c r="R942" s="171">
        <v>36.54</v>
      </c>
      <c r="S942" s="171">
        <v>36.17</v>
      </c>
      <c r="T942" s="171">
        <v>40.26</v>
      </c>
      <c r="U942" s="171">
        <v>52.34</v>
      </c>
      <c r="V942" s="171">
        <v>47.230000000000004</v>
      </c>
      <c r="W942" s="171">
        <v>39.07</v>
      </c>
      <c r="X942" s="171">
        <v>36</v>
      </c>
      <c r="Y942" s="171">
        <v>32</v>
      </c>
      <c r="Z942" s="171">
        <v>31</v>
      </c>
      <c r="AA942" s="171">
        <v>27.87</v>
      </c>
      <c r="AB942" s="171">
        <v>52.34</v>
      </c>
      <c r="AC942" s="171">
        <v>31</v>
      </c>
      <c r="AD942" s="171">
        <v>26.72</v>
      </c>
      <c r="AF942" s="171">
        <f t="shared" si="44"/>
        <v>2009</v>
      </c>
      <c r="AG942" s="171">
        <f t="shared" si="45"/>
        <v>21</v>
      </c>
      <c r="AH942" s="700">
        <f>SUMIF(D$3:$AA942,"&lt;="&amp;$AH$1)/COUNTIF(D$3:$AA942,"&lt;="&amp;$AH$1)</f>
        <v>29.542523264520199</v>
      </c>
    </row>
    <row r="943" spans="2:34" x14ac:dyDescent="0.25">
      <c r="B943" s="910">
        <v>40147</v>
      </c>
      <c r="C943" s="581">
        <f t="shared" si="43"/>
        <v>11</v>
      </c>
      <c r="D943" s="171">
        <v>23.61</v>
      </c>
      <c r="E943" s="171">
        <v>19.940000000000001</v>
      </c>
      <c r="F943" s="171">
        <v>12.34</v>
      </c>
      <c r="G943" s="171">
        <v>10.23</v>
      </c>
      <c r="H943" s="171">
        <v>11.700000000000001</v>
      </c>
      <c r="I943" s="171">
        <v>22.31</v>
      </c>
      <c r="J943" s="171">
        <v>36.61</v>
      </c>
      <c r="K943" s="171">
        <v>57.65</v>
      </c>
      <c r="L943" s="171">
        <v>53.7</v>
      </c>
      <c r="M943" s="171">
        <v>53.78</v>
      </c>
      <c r="N943" s="171">
        <v>55.02</v>
      </c>
      <c r="O943" s="171">
        <v>56.94</v>
      </c>
      <c r="P943" s="171">
        <v>54.74</v>
      </c>
      <c r="Q943" s="171">
        <v>53.88</v>
      </c>
      <c r="R943" s="171">
        <v>49.95</v>
      </c>
      <c r="S943" s="171">
        <v>45.65</v>
      </c>
      <c r="T943" s="171">
        <v>52.370000000000005</v>
      </c>
      <c r="U943" s="171">
        <v>69.290000000000006</v>
      </c>
      <c r="V943" s="171">
        <v>63.78</v>
      </c>
      <c r="W943" s="171">
        <v>56.24</v>
      </c>
      <c r="X943" s="171">
        <v>50</v>
      </c>
      <c r="Y943" s="171">
        <v>40.67</v>
      </c>
      <c r="Z943" s="171">
        <v>37</v>
      </c>
      <c r="AA943" s="171">
        <v>32.730000000000004</v>
      </c>
      <c r="AB943" s="171">
        <v>69.290000000000006</v>
      </c>
      <c r="AC943" s="171">
        <v>37</v>
      </c>
      <c r="AD943" s="171">
        <v>29.57</v>
      </c>
      <c r="AF943" s="171">
        <f t="shared" si="44"/>
        <v>2009</v>
      </c>
      <c r="AG943" s="171">
        <f t="shared" si="45"/>
        <v>10</v>
      </c>
      <c r="AH943" s="700">
        <f>SUMIF(D$3:$AA943,"&lt;="&amp;$AH$1)/COUNTIF(D$3:$AA943,"&lt;="&amp;$AH$1)</f>
        <v>29.53736403461901</v>
      </c>
    </row>
    <row r="944" spans="2:34" x14ac:dyDescent="0.25">
      <c r="B944" s="910">
        <v>40148</v>
      </c>
      <c r="C944" s="581">
        <f t="shared" si="43"/>
        <v>12</v>
      </c>
      <c r="D944" s="171">
        <v>28.37</v>
      </c>
      <c r="E944" s="171">
        <v>25.37</v>
      </c>
      <c r="F944" s="171">
        <v>22.5</v>
      </c>
      <c r="G944" s="171">
        <v>17.38</v>
      </c>
      <c r="H944" s="171">
        <v>17.54</v>
      </c>
      <c r="I944" s="171">
        <v>25.95</v>
      </c>
      <c r="J944" s="171">
        <v>32.99</v>
      </c>
      <c r="K944" s="171">
        <v>48</v>
      </c>
      <c r="L944" s="171">
        <v>47</v>
      </c>
      <c r="M944" s="171">
        <v>47.06</v>
      </c>
      <c r="N944" s="171">
        <v>50.4</v>
      </c>
      <c r="O944" s="171">
        <v>52</v>
      </c>
      <c r="P944" s="171">
        <v>48.43</v>
      </c>
      <c r="Q944" s="171">
        <v>48</v>
      </c>
      <c r="R944" s="171">
        <v>47.43</v>
      </c>
      <c r="S944" s="171">
        <v>45.83</v>
      </c>
      <c r="T944" s="171">
        <v>55.370000000000005</v>
      </c>
      <c r="U944" s="171">
        <v>74.11</v>
      </c>
      <c r="V944" s="171">
        <v>60.480000000000004</v>
      </c>
      <c r="W944" s="171">
        <v>49</v>
      </c>
      <c r="X944" s="171">
        <v>42.75</v>
      </c>
      <c r="Y944" s="171">
        <v>35.54</v>
      </c>
      <c r="Z944" s="171">
        <v>33.43</v>
      </c>
      <c r="AA944" s="171">
        <v>32.5</v>
      </c>
      <c r="AB944" s="171">
        <v>74.11</v>
      </c>
      <c r="AC944" s="171">
        <v>33.43</v>
      </c>
      <c r="AD944" s="171">
        <v>30.19</v>
      </c>
      <c r="AF944" s="171">
        <f t="shared" si="44"/>
        <v>2009</v>
      </c>
      <c r="AG944" s="171">
        <f t="shared" si="45"/>
        <v>10</v>
      </c>
      <c r="AH944" s="700">
        <f>SUMIF(D$3:$AA944,"&lt;="&amp;$AH$1)/COUNTIF(D$3:$AA944,"&lt;="&amp;$AH$1)</f>
        <v>29.5348233536129</v>
      </c>
    </row>
    <row r="945" spans="2:34" x14ac:dyDescent="0.25">
      <c r="B945" s="910">
        <v>40149</v>
      </c>
      <c r="C945" s="581">
        <f t="shared" si="43"/>
        <v>12</v>
      </c>
      <c r="D945" s="171">
        <v>30</v>
      </c>
      <c r="E945" s="171">
        <v>28.5</v>
      </c>
      <c r="F945" s="171">
        <v>27</v>
      </c>
      <c r="G945" s="171">
        <v>24</v>
      </c>
      <c r="H945" s="171">
        <v>24</v>
      </c>
      <c r="I945" s="171">
        <v>29.03</v>
      </c>
      <c r="J945" s="171">
        <v>34</v>
      </c>
      <c r="K945" s="171">
        <v>46.7</v>
      </c>
      <c r="L945" s="171">
        <v>51.6</v>
      </c>
      <c r="M945" s="171">
        <v>51.11</v>
      </c>
      <c r="N945" s="171">
        <v>50.4</v>
      </c>
      <c r="O945" s="171">
        <v>52</v>
      </c>
      <c r="P945" s="171">
        <v>46</v>
      </c>
      <c r="Q945" s="171">
        <v>45.4</v>
      </c>
      <c r="R945" s="171">
        <v>42.99</v>
      </c>
      <c r="S945" s="171">
        <v>42.74</v>
      </c>
      <c r="T945" s="171">
        <v>50.4</v>
      </c>
      <c r="U945" s="171">
        <v>63.2</v>
      </c>
      <c r="V945" s="171">
        <v>54.660000000000004</v>
      </c>
      <c r="W945" s="171">
        <v>42.5</v>
      </c>
      <c r="X945" s="171">
        <v>39.99</v>
      </c>
      <c r="Y945" s="171">
        <v>35.68</v>
      </c>
      <c r="Z945" s="171">
        <v>35</v>
      </c>
      <c r="AA945" s="171">
        <v>31.5</v>
      </c>
      <c r="AB945" s="171">
        <v>63.2</v>
      </c>
      <c r="AC945" s="171">
        <v>35</v>
      </c>
      <c r="AD945" s="171">
        <v>32.119999999999997</v>
      </c>
      <c r="AF945" s="171">
        <f t="shared" si="44"/>
        <v>2009</v>
      </c>
      <c r="AG945" s="171">
        <f t="shared" si="45"/>
        <v>12</v>
      </c>
      <c r="AH945" s="700">
        <f>SUMIF(D$3:$AA945,"&lt;="&amp;$AH$1)/COUNTIF(D$3:$AA945,"&lt;="&amp;$AH$1)</f>
        <v>29.537678285896948</v>
      </c>
    </row>
    <row r="946" spans="2:34" x14ac:dyDescent="0.25">
      <c r="B946" s="910">
        <v>40150</v>
      </c>
      <c r="C946" s="581">
        <f t="shared" si="43"/>
        <v>12</v>
      </c>
      <c r="D946" s="171">
        <v>25.96</v>
      </c>
      <c r="E946" s="171">
        <v>24</v>
      </c>
      <c r="F946" s="171">
        <v>20</v>
      </c>
      <c r="G946" s="171">
        <v>16.5</v>
      </c>
      <c r="H946" s="171">
        <v>17.100000000000001</v>
      </c>
      <c r="I946" s="171">
        <v>24.72</v>
      </c>
      <c r="J946" s="171">
        <v>33.32</v>
      </c>
      <c r="K946" s="171">
        <v>41.65</v>
      </c>
      <c r="L946" s="171">
        <v>40</v>
      </c>
      <c r="M946" s="171">
        <v>39</v>
      </c>
      <c r="N946" s="171">
        <v>39.78</v>
      </c>
      <c r="O946" s="171">
        <v>41</v>
      </c>
      <c r="P946" s="171">
        <v>39.01</v>
      </c>
      <c r="Q946" s="171">
        <v>40</v>
      </c>
      <c r="R946" s="171">
        <v>38.44</v>
      </c>
      <c r="S946" s="171">
        <v>39.93</v>
      </c>
      <c r="T946" s="171">
        <v>45.06</v>
      </c>
      <c r="U946" s="171">
        <v>61</v>
      </c>
      <c r="V946" s="171">
        <v>51</v>
      </c>
      <c r="W946" s="171">
        <v>44.04</v>
      </c>
      <c r="X946" s="171">
        <v>39</v>
      </c>
      <c r="Y946" s="171">
        <v>34.93</v>
      </c>
      <c r="Z946" s="171">
        <v>34.68</v>
      </c>
      <c r="AA946" s="171">
        <v>32.83</v>
      </c>
      <c r="AB946" s="171">
        <v>61</v>
      </c>
      <c r="AC946" s="171">
        <v>34.68</v>
      </c>
      <c r="AD946" s="171">
        <v>28.72</v>
      </c>
      <c r="AF946" s="171">
        <f t="shared" si="44"/>
        <v>2009</v>
      </c>
      <c r="AG946" s="171">
        <f t="shared" si="45"/>
        <v>20</v>
      </c>
      <c r="AH946" s="700">
        <f>SUMIF(D$3:$AA946,"&lt;="&amp;$AH$1)/COUNTIF(D$3:$AA946,"&lt;="&amp;$AH$1)</f>
        <v>29.545240931815691</v>
      </c>
    </row>
    <row r="947" spans="2:34" x14ac:dyDescent="0.25">
      <c r="B947" s="910">
        <v>40151</v>
      </c>
      <c r="C947" s="581">
        <f t="shared" si="43"/>
        <v>12</v>
      </c>
      <c r="D947" s="171">
        <v>29.12</v>
      </c>
      <c r="E947" s="171">
        <v>27</v>
      </c>
      <c r="F947" s="171">
        <v>23.75</v>
      </c>
      <c r="G947" s="171">
        <v>20.5</v>
      </c>
      <c r="H947" s="171">
        <v>20.650000000000002</v>
      </c>
      <c r="I947" s="171">
        <v>30</v>
      </c>
      <c r="J947" s="171">
        <v>37.51</v>
      </c>
      <c r="K947" s="171">
        <v>45.2</v>
      </c>
      <c r="L947" s="171">
        <v>48.1</v>
      </c>
      <c r="M947" s="171">
        <v>47.99</v>
      </c>
      <c r="N947" s="171">
        <v>48.7</v>
      </c>
      <c r="O947" s="171">
        <v>49.93</v>
      </c>
      <c r="P947" s="171">
        <v>46.410000000000004</v>
      </c>
      <c r="Q947" s="171">
        <v>45.5</v>
      </c>
      <c r="R947" s="171">
        <v>45.800000000000004</v>
      </c>
      <c r="S947" s="171">
        <v>45.5</v>
      </c>
      <c r="T947" s="171">
        <v>51.730000000000004</v>
      </c>
      <c r="U947" s="171">
        <v>60.59</v>
      </c>
      <c r="V947" s="171">
        <v>54.800000000000004</v>
      </c>
      <c r="W947" s="171">
        <v>49</v>
      </c>
      <c r="X947" s="171">
        <v>40.700000000000003</v>
      </c>
      <c r="Y947" s="171">
        <v>34.93</v>
      </c>
      <c r="Z947" s="171">
        <v>35.72</v>
      </c>
      <c r="AA947" s="171">
        <v>33</v>
      </c>
      <c r="AB947" s="171">
        <v>60.59</v>
      </c>
      <c r="AC947" s="171">
        <v>34.93</v>
      </c>
      <c r="AD947" s="171">
        <v>31.51</v>
      </c>
      <c r="AF947" s="171">
        <f t="shared" si="44"/>
        <v>2009</v>
      </c>
      <c r="AG947" s="171">
        <f t="shared" si="45"/>
        <v>11</v>
      </c>
      <c r="AH947" s="700">
        <f>SUMIF(D$3:$AA947,"&lt;="&amp;$AH$1)/COUNTIF(D$3:$AA947,"&lt;="&amp;$AH$1)</f>
        <v>29.546078410539664</v>
      </c>
    </row>
    <row r="948" spans="2:34" x14ac:dyDescent="0.25">
      <c r="B948" s="910">
        <v>40154</v>
      </c>
      <c r="C948" s="581">
        <f t="shared" si="43"/>
        <v>12</v>
      </c>
      <c r="D948" s="171">
        <v>21.01</v>
      </c>
      <c r="E948" s="171">
        <v>21.28</v>
      </c>
      <c r="F948" s="171">
        <v>16</v>
      </c>
      <c r="G948" s="171">
        <v>10.34</v>
      </c>
      <c r="H948" s="171">
        <v>10.48</v>
      </c>
      <c r="I948" s="171">
        <v>18</v>
      </c>
      <c r="J948" s="171">
        <v>29.92</v>
      </c>
      <c r="K948" s="171">
        <v>47.7</v>
      </c>
      <c r="L948" s="171">
        <v>44</v>
      </c>
      <c r="M948" s="171">
        <v>44.050000000000004</v>
      </c>
      <c r="N948" s="171">
        <v>45</v>
      </c>
      <c r="O948" s="171">
        <v>46.75</v>
      </c>
      <c r="P948" s="171">
        <v>44.480000000000004</v>
      </c>
      <c r="Q948" s="171">
        <v>42.84</v>
      </c>
      <c r="R948" s="171">
        <v>40</v>
      </c>
      <c r="S948" s="171">
        <v>39.49</v>
      </c>
      <c r="T948" s="171">
        <v>44.7</v>
      </c>
      <c r="U948" s="171">
        <v>57.7</v>
      </c>
      <c r="V948" s="171">
        <v>57.730000000000004</v>
      </c>
      <c r="W948" s="171">
        <v>41.7</v>
      </c>
      <c r="X948" s="171">
        <v>38</v>
      </c>
      <c r="Y948" s="171">
        <v>33.619999999999997</v>
      </c>
      <c r="Z948" s="171">
        <v>34.869999999999997</v>
      </c>
      <c r="AA948" s="171">
        <v>29.310000000000002</v>
      </c>
      <c r="AB948" s="171">
        <v>57.730000000000004</v>
      </c>
      <c r="AC948" s="171">
        <v>33.619999999999997</v>
      </c>
      <c r="AD948" s="171">
        <v>25.88</v>
      </c>
      <c r="AF948" s="171">
        <f t="shared" si="44"/>
        <v>2009</v>
      </c>
      <c r="AG948" s="171">
        <f t="shared" si="45"/>
        <v>14</v>
      </c>
      <c r="AH948" s="700">
        <f>SUMIF(D$3:$AA948,"&lt;="&amp;$AH$1)/COUNTIF(D$3:$AA948,"&lt;="&amp;$AH$1)</f>
        <v>29.542935497559867</v>
      </c>
    </row>
    <row r="949" spans="2:34" x14ac:dyDescent="0.25">
      <c r="B949" s="910">
        <v>40155</v>
      </c>
      <c r="C949" s="581">
        <f t="shared" si="43"/>
        <v>12</v>
      </c>
      <c r="D949" s="171">
        <v>24.93</v>
      </c>
      <c r="E949" s="171">
        <v>23.35</v>
      </c>
      <c r="F949" s="171">
        <v>22.8</v>
      </c>
      <c r="G949" s="171">
        <v>18.66</v>
      </c>
      <c r="H949" s="171">
        <v>18.650000000000002</v>
      </c>
      <c r="I949" s="171">
        <v>24.93</v>
      </c>
      <c r="J949" s="171">
        <v>32.51</v>
      </c>
      <c r="K949" s="171">
        <v>43.45</v>
      </c>
      <c r="L949" s="171">
        <v>39.78</v>
      </c>
      <c r="M949" s="171">
        <v>40.5</v>
      </c>
      <c r="N949" s="171">
        <v>40.800000000000004</v>
      </c>
      <c r="O949" s="171">
        <v>42.49</v>
      </c>
      <c r="P949" s="171">
        <v>41.480000000000004</v>
      </c>
      <c r="Q949" s="171">
        <v>39.97</v>
      </c>
      <c r="R949" s="171">
        <v>38.56</v>
      </c>
      <c r="S949" s="171">
        <v>38.47</v>
      </c>
      <c r="T949" s="171">
        <v>45.58</v>
      </c>
      <c r="U949" s="171">
        <v>58.09</v>
      </c>
      <c r="V949" s="171">
        <v>58.230000000000004</v>
      </c>
      <c r="W949" s="171">
        <v>49.980000000000004</v>
      </c>
      <c r="X949" s="171">
        <v>43.11</v>
      </c>
      <c r="Y949" s="171">
        <v>36.14</v>
      </c>
      <c r="Z949" s="171">
        <v>36.26</v>
      </c>
      <c r="AA949" s="171">
        <v>33.15</v>
      </c>
      <c r="AB949" s="171">
        <v>58.230000000000004</v>
      </c>
      <c r="AC949" s="171">
        <v>36.14</v>
      </c>
      <c r="AD949" s="171">
        <v>29.830000000000002</v>
      </c>
      <c r="AF949" s="171">
        <f t="shared" si="44"/>
        <v>2009</v>
      </c>
      <c r="AG949" s="171">
        <f t="shared" si="45"/>
        <v>18</v>
      </c>
      <c r="AH949" s="700">
        <f>SUMIF(D$3:$AA949,"&lt;="&amp;$AH$1)/COUNTIF(D$3:$AA949,"&lt;="&amp;$AH$1)</f>
        <v>29.549464210080394</v>
      </c>
    </row>
    <row r="950" spans="2:34" x14ac:dyDescent="0.25">
      <c r="B950" s="910">
        <v>40156</v>
      </c>
      <c r="C950" s="581">
        <f t="shared" si="43"/>
        <v>12</v>
      </c>
      <c r="D950" s="171">
        <v>31.580000000000002</v>
      </c>
      <c r="E950" s="171">
        <v>27.76</v>
      </c>
      <c r="F950" s="171">
        <v>24.68</v>
      </c>
      <c r="G950" s="171">
        <v>22.66</v>
      </c>
      <c r="H950" s="171">
        <v>20.39</v>
      </c>
      <c r="I950" s="171">
        <v>26.36</v>
      </c>
      <c r="J950" s="171">
        <v>36.03</v>
      </c>
      <c r="K950" s="171">
        <v>48.88</v>
      </c>
      <c r="L950" s="171">
        <v>50.99</v>
      </c>
      <c r="M950" s="171">
        <v>51.95</v>
      </c>
      <c r="N950" s="171">
        <v>50.230000000000004</v>
      </c>
      <c r="O950" s="171">
        <v>52.19</v>
      </c>
      <c r="P950" s="171">
        <v>51.02</v>
      </c>
      <c r="Q950" s="171">
        <v>49</v>
      </c>
      <c r="R950" s="171">
        <v>45</v>
      </c>
      <c r="S950" s="171">
        <v>42.9</v>
      </c>
      <c r="T950" s="171">
        <v>49.93</v>
      </c>
      <c r="U950" s="171">
        <v>62.160000000000004</v>
      </c>
      <c r="V950" s="171">
        <v>60.74</v>
      </c>
      <c r="W950" s="171">
        <v>54</v>
      </c>
      <c r="X950" s="171">
        <v>47</v>
      </c>
      <c r="Y950" s="171">
        <v>38.020000000000003</v>
      </c>
      <c r="Z950" s="171">
        <v>39.130000000000003</v>
      </c>
      <c r="AA950" s="171">
        <v>34.54</v>
      </c>
      <c r="AB950" s="171">
        <v>62.160000000000004</v>
      </c>
      <c r="AC950" s="171">
        <v>38.020000000000003</v>
      </c>
      <c r="AD950" s="171">
        <v>33.090000000000003</v>
      </c>
      <c r="AF950" s="171">
        <f t="shared" si="44"/>
        <v>2009</v>
      </c>
      <c r="AG950" s="171">
        <f t="shared" si="45"/>
        <v>10</v>
      </c>
      <c r="AH950" s="700">
        <f>SUMIF(D$3:$AA950,"&lt;="&amp;$AH$1)/COUNTIF(D$3:$AA950,"&lt;="&amp;$AH$1)</f>
        <v>29.550062407446507</v>
      </c>
    </row>
    <row r="951" spans="2:34" x14ac:dyDescent="0.25">
      <c r="B951" s="910">
        <v>40157</v>
      </c>
      <c r="C951" s="581">
        <f t="shared" si="43"/>
        <v>12</v>
      </c>
      <c r="D951" s="171">
        <v>29</v>
      </c>
      <c r="E951" s="171">
        <v>27.5</v>
      </c>
      <c r="F951" s="171">
        <v>24.12</v>
      </c>
      <c r="G951" s="171">
        <v>20.41</v>
      </c>
      <c r="H951" s="171">
        <v>20</v>
      </c>
      <c r="I951" s="171">
        <v>28.19</v>
      </c>
      <c r="J951" s="171">
        <v>34.660000000000004</v>
      </c>
      <c r="K951" s="171">
        <v>48.14</v>
      </c>
      <c r="L951" s="171">
        <v>49.69</v>
      </c>
      <c r="M951" s="171">
        <v>48.4</v>
      </c>
      <c r="N951" s="171">
        <v>47.7</v>
      </c>
      <c r="O951" s="171">
        <v>49.18</v>
      </c>
      <c r="P951" s="171">
        <v>48.660000000000004</v>
      </c>
      <c r="Q951" s="171">
        <v>47.15</v>
      </c>
      <c r="R951" s="171">
        <v>45.28</v>
      </c>
      <c r="S951" s="171">
        <v>43.64</v>
      </c>
      <c r="T951" s="171">
        <v>50.14</v>
      </c>
      <c r="U951" s="171">
        <v>64.44</v>
      </c>
      <c r="V951" s="171">
        <v>60.52</v>
      </c>
      <c r="W951" s="171">
        <v>51.56</v>
      </c>
      <c r="X951" s="171">
        <v>43.230000000000004</v>
      </c>
      <c r="Y951" s="171">
        <v>35.730000000000004</v>
      </c>
      <c r="Z951" s="171">
        <v>35.18</v>
      </c>
      <c r="AA951" s="171">
        <v>32.22</v>
      </c>
      <c r="AB951" s="171">
        <v>64.44</v>
      </c>
      <c r="AC951" s="171">
        <v>35.18</v>
      </c>
      <c r="AD951" s="171">
        <v>31.53</v>
      </c>
      <c r="AF951" s="171">
        <f t="shared" si="44"/>
        <v>2009</v>
      </c>
      <c r="AG951" s="171">
        <f t="shared" si="45"/>
        <v>10</v>
      </c>
      <c r="AH951" s="700">
        <f>SUMIF(D$3:$AA951,"&lt;="&amp;$AH$1)/COUNTIF(D$3:$AA951,"&lt;="&amp;$AH$1)</f>
        <v>29.549165257819016</v>
      </c>
    </row>
    <row r="952" spans="2:34" x14ac:dyDescent="0.25">
      <c r="B952" s="910">
        <v>40158</v>
      </c>
      <c r="C952" s="581">
        <f t="shared" si="43"/>
        <v>12</v>
      </c>
      <c r="D952" s="171">
        <v>27.82</v>
      </c>
      <c r="E952" s="171">
        <v>25.76</v>
      </c>
      <c r="F952" s="171">
        <v>22.330000000000002</v>
      </c>
      <c r="G952" s="171">
        <v>21.79</v>
      </c>
      <c r="H952" s="171">
        <v>22.32</v>
      </c>
      <c r="I952" s="171">
        <v>28.67</v>
      </c>
      <c r="J952" s="171">
        <v>33.15</v>
      </c>
      <c r="K952" s="171">
        <v>45.92</v>
      </c>
      <c r="L952" s="171">
        <v>49</v>
      </c>
      <c r="M952" s="171">
        <v>48.83</v>
      </c>
      <c r="N952" s="171">
        <v>47.65</v>
      </c>
      <c r="O952" s="171">
        <v>50.21</v>
      </c>
      <c r="P952" s="171">
        <v>48.910000000000004</v>
      </c>
      <c r="Q952" s="171">
        <v>45.01</v>
      </c>
      <c r="R952" s="171">
        <v>41.44</v>
      </c>
      <c r="S952" s="171">
        <v>39.75</v>
      </c>
      <c r="T952" s="171">
        <v>43.800000000000004</v>
      </c>
      <c r="U952" s="171">
        <v>58.730000000000004</v>
      </c>
      <c r="V952" s="171">
        <v>56</v>
      </c>
      <c r="W952" s="171">
        <v>46</v>
      </c>
      <c r="X952" s="171">
        <v>39.869999999999997</v>
      </c>
      <c r="Y952" s="171">
        <v>37.35</v>
      </c>
      <c r="Z952" s="171">
        <v>40.5</v>
      </c>
      <c r="AA952" s="171">
        <v>35.25</v>
      </c>
      <c r="AB952" s="171">
        <v>58.730000000000004</v>
      </c>
      <c r="AC952" s="171">
        <v>37.35</v>
      </c>
      <c r="AD952" s="171">
        <v>31.73</v>
      </c>
      <c r="AF952" s="171">
        <f t="shared" si="44"/>
        <v>2009</v>
      </c>
      <c r="AG952" s="171">
        <f t="shared" si="45"/>
        <v>13</v>
      </c>
      <c r="AH952" s="700">
        <f>SUMIF(D$3:$AA952,"&lt;="&amp;$AH$1)/COUNTIF(D$3:$AA952,"&lt;="&amp;$AH$1)</f>
        <v>29.552527171045604</v>
      </c>
    </row>
    <row r="953" spans="2:34" x14ac:dyDescent="0.25">
      <c r="B953" s="910">
        <v>40161</v>
      </c>
      <c r="C953" s="581">
        <f t="shared" si="43"/>
        <v>12</v>
      </c>
      <c r="D953" s="171">
        <v>31.85</v>
      </c>
      <c r="E953" s="171">
        <v>28.830000000000002</v>
      </c>
      <c r="F953" s="171">
        <v>28.5</v>
      </c>
      <c r="G953" s="171">
        <v>24.810000000000002</v>
      </c>
      <c r="H953" s="171">
        <v>23.66</v>
      </c>
      <c r="I953" s="171">
        <v>25</v>
      </c>
      <c r="J953" s="171">
        <v>42.07</v>
      </c>
      <c r="K953" s="171">
        <v>60</v>
      </c>
      <c r="L953" s="171">
        <v>61</v>
      </c>
      <c r="M953" s="171">
        <v>64.5</v>
      </c>
      <c r="N953" s="171">
        <v>66.5</v>
      </c>
      <c r="O953" s="171">
        <v>73.45</v>
      </c>
      <c r="P953" s="171">
        <v>67.63</v>
      </c>
      <c r="Q953" s="171">
        <v>66</v>
      </c>
      <c r="R953" s="171">
        <v>62.190000000000005</v>
      </c>
      <c r="S953" s="171">
        <v>56.82</v>
      </c>
      <c r="T953" s="171">
        <v>65.31</v>
      </c>
      <c r="U953" s="171">
        <v>88.570000000000007</v>
      </c>
      <c r="V953" s="171">
        <v>83.91</v>
      </c>
      <c r="W953" s="171">
        <v>64.83</v>
      </c>
      <c r="X953" s="171">
        <v>51.76</v>
      </c>
      <c r="Y953" s="171">
        <v>42.07</v>
      </c>
      <c r="Z953" s="171">
        <v>39.93</v>
      </c>
      <c r="AA953" s="171">
        <v>35.300000000000004</v>
      </c>
      <c r="AB953" s="171">
        <v>88.570000000000007</v>
      </c>
      <c r="AC953" s="171">
        <v>39.93</v>
      </c>
      <c r="AD953" s="171">
        <v>36.15</v>
      </c>
      <c r="AF953" s="171">
        <f t="shared" si="44"/>
        <v>2009</v>
      </c>
      <c r="AG953" s="171">
        <f t="shared" si="45"/>
        <v>10</v>
      </c>
      <c r="AH953" s="700">
        <f>SUMIF(D$3:$AA953,"&lt;="&amp;$AH$1)/COUNTIF(D$3:$AA953,"&lt;="&amp;$AH$1)</f>
        <v>29.555319911457694</v>
      </c>
    </row>
    <row r="954" spans="2:34" x14ac:dyDescent="0.25">
      <c r="B954" s="910">
        <v>40162</v>
      </c>
      <c r="C954" s="581">
        <f t="shared" si="43"/>
        <v>12</v>
      </c>
      <c r="D954" s="171">
        <v>34.39</v>
      </c>
      <c r="E954" s="171">
        <v>32</v>
      </c>
      <c r="F954" s="171">
        <v>28</v>
      </c>
      <c r="G954" s="171">
        <v>28.13</v>
      </c>
      <c r="H954" s="171">
        <v>29.88</v>
      </c>
      <c r="I954" s="171">
        <v>30.7</v>
      </c>
      <c r="J954" s="171">
        <v>39.96</v>
      </c>
      <c r="K954" s="171">
        <v>58</v>
      </c>
      <c r="L954" s="171">
        <v>64.099999999999994</v>
      </c>
      <c r="M954" s="171">
        <v>61.33</v>
      </c>
      <c r="N954" s="171">
        <v>61.7</v>
      </c>
      <c r="O954" s="171">
        <v>65</v>
      </c>
      <c r="P954" s="171">
        <v>60.2</v>
      </c>
      <c r="Q954" s="171">
        <v>59.410000000000004</v>
      </c>
      <c r="R954" s="171">
        <v>56.86</v>
      </c>
      <c r="S954" s="171">
        <v>57.1</v>
      </c>
      <c r="T954" s="171">
        <v>68.86</v>
      </c>
      <c r="U954" s="171">
        <v>92</v>
      </c>
      <c r="V954" s="171">
        <v>76.7</v>
      </c>
      <c r="W954" s="171">
        <v>55.2</v>
      </c>
      <c r="X954" s="171">
        <v>45.1</v>
      </c>
      <c r="Y954" s="171">
        <v>39</v>
      </c>
      <c r="Z954" s="171">
        <v>39.480000000000004</v>
      </c>
      <c r="AA954" s="171">
        <v>34.96</v>
      </c>
      <c r="AB954" s="171">
        <v>92</v>
      </c>
      <c r="AC954" s="171">
        <v>39</v>
      </c>
      <c r="AD954" s="171">
        <v>36.630000000000003</v>
      </c>
      <c r="AF954" s="171">
        <f t="shared" si="44"/>
        <v>2009</v>
      </c>
      <c r="AG954" s="171">
        <f t="shared" si="45"/>
        <v>10</v>
      </c>
      <c r="AH954" s="700">
        <f>SUMIF(D$3:$AA954,"&lt;="&amp;$AH$1)/COUNTIF(D$3:$AA954,"&lt;="&amp;$AH$1)</f>
        <v>29.55963146256704</v>
      </c>
    </row>
    <row r="955" spans="2:34" x14ac:dyDescent="0.25">
      <c r="B955" s="910">
        <v>40163</v>
      </c>
      <c r="C955" s="581">
        <f t="shared" si="43"/>
        <v>12</v>
      </c>
      <c r="D955" s="171">
        <v>35</v>
      </c>
      <c r="E955" s="171">
        <v>33.46</v>
      </c>
      <c r="F955" s="171">
        <v>33.130000000000003</v>
      </c>
      <c r="G955" s="171">
        <v>33.07</v>
      </c>
      <c r="H955" s="171">
        <v>34</v>
      </c>
      <c r="I955" s="171">
        <v>34.94</v>
      </c>
      <c r="J955" s="171">
        <v>41.4</v>
      </c>
      <c r="K955" s="171">
        <v>74.760000000000005</v>
      </c>
      <c r="L955" s="171">
        <v>78</v>
      </c>
      <c r="M955" s="171">
        <v>76.040000000000006</v>
      </c>
      <c r="N955" s="171">
        <v>76</v>
      </c>
      <c r="O955" s="171">
        <v>78.98</v>
      </c>
      <c r="P955" s="171">
        <v>72</v>
      </c>
      <c r="Q955" s="171">
        <v>69.67</v>
      </c>
      <c r="R955" s="171">
        <v>70.2</v>
      </c>
      <c r="S955" s="171">
        <v>66.930000000000007</v>
      </c>
      <c r="T955" s="171">
        <v>73.710000000000008</v>
      </c>
      <c r="U955" s="171">
        <v>113.10000000000001</v>
      </c>
      <c r="V955" s="171">
        <v>92.19</v>
      </c>
      <c r="W955" s="171">
        <v>64.239999999999995</v>
      </c>
      <c r="X955" s="171">
        <v>52</v>
      </c>
      <c r="Y955" s="171">
        <v>41</v>
      </c>
      <c r="Z955" s="171">
        <v>42.01</v>
      </c>
      <c r="AA955" s="171">
        <v>40.67</v>
      </c>
      <c r="AB955" s="171">
        <v>113.10000000000001</v>
      </c>
      <c r="AC955" s="171">
        <v>41</v>
      </c>
      <c r="AD955" s="171">
        <v>41.29</v>
      </c>
      <c r="AF955" s="171">
        <f t="shared" si="44"/>
        <v>2009</v>
      </c>
      <c r="AG955" s="171">
        <f t="shared" si="45"/>
        <v>10</v>
      </c>
      <c r="AH955" s="700">
        <f>SUMIF(D$3:$AA955,"&lt;="&amp;$AH$1)/COUNTIF(D$3:$AA955,"&lt;="&amp;$AH$1)</f>
        <v>29.567318817713183</v>
      </c>
    </row>
    <row r="956" spans="2:34" x14ac:dyDescent="0.25">
      <c r="B956" s="910">
        <v>40164</v>
      </c>
      <c r="C956" s="581">
        <f t="shared" si="43"/>
        <v>12</v>
      </c>
      <c r="D956" s="171">
        <v>39.090000000000003</v>
      </c>
      <c r="E956" s="171">
        <v>35.14</v>
      </c>
      <c r="F956" s="171">
        <v>33.340000000000003</v>
      </c>
      <c r="G956" s="171">
        <v>33.35</v>
      </c>
      <c r="H956" s="171">
        <v>34.68</v>
      </c>
      <c r="I956" s="171">
        <v>35.950000000000003</v>
      </c>
      <c r="J956" s="171">
        <v>42.410000000000004</v>
      </c>
      <c r="K956" s="171">
        <v>76</v>
      </c>
      <c r="L956" s="171">
        <v>85.51</v>
      </c>
      <c r="M956" s="171">
        <v>80.08</v>
      </c>
      <c r="N956" s="171">
        <v>77.77</v>
      </c>
      <c r="O956" s="171">
        <v>77.600000000000009</v>
      </c>
      <c r="P956" s="171">
        <v>77.489999999999995</v>
      </c>
      <c r="Q956" s="171">
        <v>74</v>
      </c>
      <c r="R956" s="171">
        <v>71.25</v>
      </c>
      <c r="S956" s="171">
        <v>66.989999999999995</v>
      </c>
      <c r="T956" s="171">
        <v>70.739999999999995</v>
      </c>
      <c r="U956" s="171">
        <v>105.41</v>
      </c>
      <c r="V956" s="171">
        <v>92</v>
      </c>
      <c r="W956" s="171">
        <v>73.8</v>
      </c>
      <c r="X956" s="171">
        <v>50.5</v>
      </c>
      <c r="Y956" s="171">
        <v>40.01</v>
      </c>
      <c r="Z956" s="171">
        <v>38.119999999999997</v>
      </c>
      <c r="AA956" s="171">
        <v>37.869999999999997</v>
      </c>
      <c r="AB956" s="171">
        <v>105.41</v>
      </c>
      <c r="AC956" s="171">
        <v>38.119999999999997</v>
      </c>
      <c r="AD956" s="171">
        <v>41.37</v>
      </c>
      <c r="AF956" s="171">
        <f t="shared" si="44"/>
        <v>2009</v>
      </c>
      <c r="AG956" s="171">
        <f t="shared" si="45"/>
        <v>10</v>
      </c>
      <c r="AH956" s="700">
        <f>SUMIF(D$3:$AA956,"&lt;="&amp;$AH$1)/COUNTIF(D$3:$AA956,"&lt;="&amp;$AH$1)</f>
        <v>29.575124514027454</v>
      </c>
    </row>
    <row r="957" spans="2:34" x14ac:dyDescent="0.25">
      <c r="B957" s="910">
        <v>40165</v>
      </c>
      <c r="C957" s="581">
        <f t="shared" si="43"/>
        <v>12</v>
      </c>
      <c r="D957" s="171">
        <v>33.410000000000004</v>
      </c>
      <c r="E957" s="171">
        <v>31</v>
      </c>
      <c r="F957" s="171">
        <v>32.5</v>
      </c>
      <c r="G957" s="171">
        <v>31.46</v>
      </c>
      <c r="H957" s="171">
        <v>30.080000000000002</v>
      </c>
      <c r="I957" s="171">
        <v>33.130000000000003</v>
      </c>
      <c r="J957" s="171">
        <v>38.99</v>
      </c>
      <c r="K957" s="171">
        <v>54.93</v>
      </c>
      <c r="L957" s="171">
        <v>64</v>
      </c>
      <c r="M957" s="171">
        <v>59</v>
      </c>
      <c r="N957" s="171">
        <v>61.910000000000004</v>
      </c>
      <c r="O957" s="171">
        <v>60</v>
      </c>
      <c r="P957" s="171">
        <v>55.2</v>
      </c>
      <c r="Q957" s="171">
        <v>55.25</v>
      </c>
      <c r="R957" s="171">
        <v>49.5</v>
      </c>
      <c r="S957" s="171">
        <v>49.980000000000004</v>
      </c>
      <c r="T957" s="171">
        <v>60.06</v>
      </c>
      <c r="U957" s="171">
        <v>75.52</v>
      </c>
      <c r="V957" s="171">
        <v>58.84</v>
      </c>
      <c r="W957" s="171">
        <v>47.08</v>
      </c>
      <c r="X957" s="171">
        <v>40.46</v>
      </c>
      <c r="Y957" s="171">
        <v>37.33</v>
      </c>
      <c r="Z957" s="171">
        <v>38.97</v>
      </c>
      <c r="AA957" s="171">
        <v>38</v>
      </c>
      <c r="AB957" s="171">
        <v>75.52</v>
      </c>
      <c r="AC957" s="171">
        <v>37.33</v>
      </c>
      <c r="AD957" s="171">
        <v>36.69</v>
      </c>
      <c r="AF957" s="171">
        <f t="shared" si="44"/>
        <v>2009</v>
      </c>
      <c r="AG957" s="171">
        <f t="shared" si="45"/>
        <v>11</v>
      </c>
      <c r="AH957" s="700">
        <f>SUMIF(D$3:$AA957,"&lt;="&amp;$AH$1)/COUNTIF(D$3:$AA957,"&lt;="&amp;$AH$1)</f>
        <v>29.581422124265249</v>
      </c>
    </row>
    <row r="958" spans="2:34" x14ac:dyDescent="0.25">
      <c r="B958" s="910">
        <v>40168</v>
      </c>
      <c r="C958" s="581">
        <f t="shared" si="43"/>
        <v>12</v>
      </c>
      <c r="D958" s="171">
        <v>31</v>
      </c>
      <c r="E958" s="171">
        <v>28.29</v>
      </c>
      <c r="F958" s="171">
        <v>25.46</v>
      </c>
      <c r="G958" s="171">
        <v>22</v>
      </c>
      <c r="H958" s="171">
        <v>25.02</v>
      </c>
      <c r="I958" s="171">
        <v>27.55</v>
      </c>
      <c r="J958" s="171">
        <v>29.5</v>
      </c>
      <c r="K958" s="171">
        <v>39.1</v>
      </c>
      <c r="L958" s="171">
        <v>43.13</v>
      </c>
      <c r="M958" s="171">
        <v>42.800000000000004</v>
      </c>
      <c r="N958" s="171">
        <v>43.06</v>
      </c>
      <c r="O958" s="171">
        <v>43.65</v>
      </c>
      <c r="P958" s="171">
        <v>44.7</v>
      </c>
      <c r="Q958" s="171">
        <v>43.800000000000004</v>
      </c>
      <c r="R958" s="171">
        <v>41.59</v>
      </c>
      <c r="S958" s="171">
        <v>41.69</v>
      </c>
      <c r="T958" s="171">
        <v>43.67</v>
      </c>
      <c r="U958" s="171">
        <v>62.7</v>
      </c>
      <c r="V958" s="171">
        <v>53.800000000000004</v>
      </c>
      <c r="W958" s="171">
        <v>46.800000000000004</v>
      </c>
      <c r="X958" s="171">
        <v>40.94</v>
      </c>
      <c r="Y958" s="171">
        <v>40.020000000000003</v>
      </c>
      <c r="Z958" s="171">
        <v>39.35</v>
      </c>
      <c r="AA958" s="171">
        <v>38.79</v>
      </c>
      <c r="AB958" s="171">
        <v>62.7</v>
      </c>
      <c r="AC958" s="171">
        <v>39.1</v>
      </c>
      <c r="AD958" s="171">
        <v>32.25</v>
      </c>
      <c r="AF958" s="171">
        <f t="shared" si="44"/>
        <v>2009</v>
      </c>
      <c r="AG958" s="171">
        <f t="shared" si="45"/>
        <v>14</v>
      </c>
      <c r="AH958" s="700">
        <f>SUMIF(D$3:$AA958,"&lt;="&amp;$AH$1)/COUNTIF(D$3:$AA958,"&lt;="&amp;$AH$1)</f>
        <v>29.587307692307615</v>
      </c>
    </row>
    <row r="959" spans="2:34" x14ac:dyDescent="0.25">
      <c r="B959" s="910">
        <v>40169</v>
      </c>
      <c r="C959" s="581">
        <f t="shared" si="43"/>
        <v>12</v>
      </c>
      <c r="D959" s="171">
        <v>35.78</v>
      </c>
      <c r="E959" s="171">
        <v>31.23</v>
      </c>
      <c r="F959" s="171">
        <v>28.75</v>
      </c>
      <c r="G959" s="171">
        <v>21.81</v>
      </c>
      <c r="H959" s="171">
        <v>18.07</v>
      </c>
      <c r="I959" s="171">
        <v>27.73</v>
      </c>
      <c r="J959" s="171">
        <v>35.4</v>
      </c>
      <c r="K959" s="171">
        <v>40.4</v>
      </c>
      <c r="L959" s="171">
        <v>42</v>
      </c>
      <c r="M959" s="171">
        <v>43.5</v>
      </c>
      <c r="N959" s="171">
        <v>41</v>
      </c>
      <c r="O959" s="171">
        <v>42.4</v>
      </c>
      <c r="P959" s="171">
        <v>41</v>
      </c>
      <c r="Q959" s="171">
        <v>42.99</v>
      </c>
      <c r="R959" s="171">
        <v>43</v>
      </c>
      <c r="S959" s="171">
        <v>43.04</v>
      </c>
      <c r="T959" s="171">
        <v>45</v>
      </c>
      <c r="U959" s="171">
        <v>57</v>
      </c>
      <c r="V959" s="171">
        <v>50</v>
      </c>
      <c r="W959" s="171">
        <v>43.08</v>
      </c>
      <c r="X959" s="171">
        <v>41</v>
      </c>
      <c r="Y959" s="171">
        <v>39.81</v>
      </c>
      <c r="Z959" s="171">
        <v>40.550000000000004</v>
      </c>
      <c r="AA959" s="171">
        <v>39</v>
      </c>
      <c r="AB959" s="171">
        <v>57</v>
      </c>
      <c r="AC959" s="171">
        <v>39.81</v>
      </c>
      <c r="AD959" s="171">
        <v>33.29</v>
      </c>
      <c r="AF959" s="171">
        <f t="shared" si="44"/>
        <v>2009</v>
      </c>
      <c r="AG959" s="171">
        <f t="shared" si="45"/>
        <v>16</v>
      </c>
      <c r="AH959" s="700">
        <f>SUMIF(D$3:$AA959,"&lt;="&amp;$AH$1)/COUNTIF(D$3:$AA959,"&lt;="&amp;$AH$1)</f>
        <v>29.596988909813696</v>
      </c>
    </row>
    <row r="960" spans="2:34" x14ac:dyDescent="0.25">
      <c r="B960" s="910">
        <v>40170</v>
      </c>
      <c r="C960" s="581">
        <f t="shared" si="43"/>
        <v>12</v>
      </c>
      <c r="D960" s="171">
        <v>32</v>
      </c>
      <c r="E960" s="171">
        <v>29</v>
      </c>
      <c r="F960" s="171">
        <v>25.75</v>
      </c>
      <c r="G960" s="171">
        <v>23.19</v>
      </c>
      <c r="H960" s="171">
        <v>23.2</v>
      </c>
      <c r="I960" s="171">
        <v>29.94</v>
      </c>
      <c r="J960" s="171">
        <v>34.4</v>
      </c>
      <c r="K960" s="171">
        <v>39.6</v>
      </c>
      <c r="L960" s="171">
        <v>43.4</v>
      </c>
      <c r="M960" s="171">
        <v>46.800000000000004</v>
      </c>
      <c r="N960" s="171">
        <v>44.99</v>
      </c>
      <c r="O960" s="171">
        <v>45</v>
      </c>
      <c r="P960" s="171">
        <v>45</v>
      </c>
      <c r="Q960" s="171">
        <v>44.51</v>
      </c>
      <c r="R960" s="171">
        <v>44.5</v>
      </c>
      <c r="S960" s="171">
        <v>45.5</v>
      </c>
      <c r="T960" s="171">
        <v>46</v>
      </c>
      <c r="U960" s="171">
        <v>63.28</v>
      </c>
      <c r="V960" s="171">
        <v>54.99</v>
      </c>
      <c r="W960" s="171">
        <v>42.28</v>
      </c>
      <c r="X960" s="171">
        <v>40</v>
      </c>
      <c r="Y960" s="171">
        <v>37.01</v>
      </c>
      <c r="Z960" s="171">
        <v>39.51</v>
      </c>
      <c r="AA960" s="171">
        <v>38</v>
      </c>
      <c r="AB960" s="171">
        <v>63.28</v>
      </c>
      <c r="AC960" s="171">
        <v>37.01</v>
      </c>
      <c r="AD960" s="171">
        <v>32.630000000000003</v>
      </c>
      <c r="AF960" s="171">
        <f t="shared" si="44"/>
        <v>2009</v>
      </c>
      <c r="AG960" s="171">
        <f t="shared" si="45"/>
        <v>13</v>
      </c>
      <c r="AH960" s="700">
        <f>SUMIF(D$3:$AA960,"&lt;="&amp;$AH$1)/COUNTIF(D$3:$AA960,"&lt;="&amp;$AH$1)</f>
        <v>29.602120990492047</v>
      </c>
    </row>
    <row r="961" spans="2:34" x14ac:dyDescent="0.25">
      <c r="B961" s="910">
        <v>40171</v>
      </c>
      <c r="C961" s="581">
        <f t="shared" si="43"/>
        <v>12</v>
      </c>
      <c r="D961" s="171">
        <v>34</v>
      </c>
      <c r="E961" s="171">
        <v>29.09</v>
      </c>
      <c r="F961" s="171">
        <v>25.52</v>
      </c>
      <c r="G961" s="171">
        <v>21</v>
      </c>
      <c r="H961" s="171">
        <v>16.86</v>
      </c>
      <c r="I961" s="171">
        <v>20</v>
      </c>
      <c r="J961" s="171">
        <v>28</v>
      </c>
      <c r="K961" s="171">
        <v>32.99</v>
      </c>
      <c r="L961" s="171">
        <v>38.480000000000004</v>
      </c>
      <c r="M961" s="171">
        <v>41.22</v>
      </c>
      <c r="N961" s="171">
        <v>42.9</v>
      </c>
      <c r="O961" s="171">
        <v>40.96</v>
      </c>
      <c r="P961" s="171">
        <v>40.910000000000004</v>
      </c>
      <c r="Q961" s="171">
        <v>37.96</v>
      </c>
      <c r="R961" s="171">
        <v>36.69</v>
      </c>
      <c r="S961" s="171">
        <v>34.93</v>
      </c>
      <c r="T961" s="171">
        <v>35.33</v>
      </c>
      <c r="U961" s="171">
        <v>42.31</v>
      </c>
      <c r="V961" s="171">
        <v>38.700000000000003</v>
      </c>
      <c r="W961" s="171">
        <v>34.4</v>
      </c>
      <c r="X961" s="171">
        <v>30.98</v>
      </c>
      <c r="Y961" s="171">
        <v>28.69</v>
      </c>
      <c r="Z961" s="171">
        <v>31.02</v>
      </c>
      <c r="AA961" s="171">
        <v>30.21</v>
      </c>
      <c r="AB961" s="171">
        <v>42.9</v>
      </c>
      <c r="AC961" s="171">
        <v>28.69</v>
      </c>
      <c r="AD961" s="171">
        <v>27.36</v>
      </c>
      <c r="AF961" s="171">
        <f t="shared" si="44"/>
        <v>2009</v>
      </c>
      <c r="AG961" s="171">
        <f t="shared" si="45"/>
        <v>23</v>
      </c>
      <c r="AH961" s="700">
        <f>SUMIF(D$3:$AA961,"&lt;="&amp;$AH$1)/COUNTIF(D$3:$AA961,"&lt;="&amp;$AH$1)</f>
        <v>29.609354805086454</v>
      </c>
    </row>
    <row r="962" spans="2:34" x14ac:dyDescent="0.25">
      <c r="B962" s="910">
        <v>40172</v>
      </c>
      <c r="C962" s="581">
        <f t="shared" si="43"/>
        <v>12</v>
      </c>
      <c r="D962" s="171">
        <v>30.810000000000002</v>
      </c>
      <c r="E962" s="171">
        <v>23.35</v>
      </c>
      <c r="F962" s="171">
        <v>21.52</v>
      </c>
      <c r="G962" s="171">
        <v>11.17</v>
      </c>
      <c r="H962" s="171">
        <v>9.99</v>
      </c>
      <c r="I962" s="171">
        <v>9.49</v>
      </c>
      <c r="J962" s="171">
        <v>10.18</v>
      </c>
      <c r="K962" s="171">
        <v>16.45</v>
      </c>
      <c r="L962" s="171">
        <v>17.5</v>
      </c>
      <c r="M962" s="171">
        <v>30.16</v>
      </c>
      <c r="N962" s="171">
        <v>35.76</v>
      </c>
      <c r="O962" s="171">
        <v>38.56</v>
      </c>
      <c r="P962" s="171">
        <v>35.92</v>
      </c>
      <c r="Q962" s="171">
        <v>39</v>
      </c>
      <c r="R962" s="171">
        <v>36.5</v>
      </c>
      <c r="S962" s="171">
        <v>35.119999999999997</v>
      </c>
      <c r="T962" s="171">
        <v>28.91</v>
      </c>
      <c r="U962" s="171">
        <v>49.86</v>
      </c>
      <c r="V962" s="171">
        <v>59.93</v>
      </c>
      <c r="W962" s="171">
        <v>49.93</v>
      </c>
      <c r="X962" s="171">
        <v>40.200000000000003</v>
      </c>
      <c r="Y962" s="171">
        <v>36.68</v>
      </c>
      <c r="Z962" s="171">
        <v>36.39</v>
      </c>
      <c r="AA962" s="171">
        <v>34.550000000000004</v>
      </c>
      <c r="AB962" s="171">
        <v>59.93</v>
      </c>
      <c r="AC962" s="171">
        <v>16.45</v>
      </c>
      <c r="AD962" s="171">
        <v>27.36</v>
      </c>
      <c r="AF962" s="171">
        <f t="shared" si="44"/>
        <v>2009</v>
      </c>
      <c r="AG962" s="171">
        <f t="shared" si="45"/>
        <v>21</v>
      </c>
      <c r="AH962" s="700">
        <f>SUMIF(D$3:$AA962,"&lt;="&amp;$AH$1)/COUNTIF(D$3:$AA962,"&lt;="&amp;$AH$1)</f>
        <v>29.604821632865246</v>
      </c>
    </row>
    <row r="963" spans="2:34" x14ac:dyDescent="0.25">
      <c r="B963" s="910">
        <v>40175</v>
      </c>
      <c r="C963" s="581">
        <f t="shared" si="43"/>
        <v>12</v>
      </c>
      <c r="D963" s="171">
        <v>19.04</v>
      </c>
      <c r="E963" s="171">
        <v>20.55</v>
      </c>
      <c r="F963" s="171">
        <v>20</v>
      </c>
      <c r="G963" s="171">
        <v>11.94</v>
      </c>
      <c r="H963" s="171">
        <v>9.99</v>
      </c>
      <c r="I963" s="171">
        <v>13.31</v>
      </c>
      <c r="J963" s="171">
        <v>18.309999999999999</v>
      </c>
      <c r="K963" s="171">
        <v>29.52</v>
      </c>
      <c r="L963" s="171">
        <v>35.770000000000003</v>
      </c>
      <c r="M963" s="171">
        <v>41</v>
      </c>
      <c r="N963" s="171">
        <v>40.99</v>
      </c>
      <c r="O963" s="171">
        <v>42.22</v>
      </c>
      <c r="P963" s="171">
        <v>43</v>
      </c>
      <c r="Q963" s="171">
        <v>40.99</v>
      </c>
      <c r="R963" s="171">
        <v>38.03</v>
      </c>
      <c r="S963" s="171">
        <v>37</v>
      </c>
      <c r="T963" s="171">
        <v>39.630000000000003</v>
      </c>
      <c r="U963" s="171">
        <v>55.29</v>
      </c>
      <c r="V963" s="171">
        <v>56.18</v>
      </c>
      <c r="W963" s="171">
        <v>45.88</v>
      </c>
      <c r="X963" s="171">
        <v>41.300000000000004</v>
      </c>
      <c r="Y963" s="171">
        <v>36.44</v>
      </c>
      <c r="Z963" s="171">
        <v>38.200000000000003</v>
      </c>
      <c r="AA963" s="171">
        <v>34</v>
      </c>
      <c r="AB963" s="171">
        <v>56.18</v>
      </c>
      <c r="AC963" s="171">
        <v>29.52</v>
      </c>
      <c r="AD963" s="171">
        <v>24.38</v>
      </c>
      <c r="AF963" s="171">
        <f t="shared" si="44"/>
        <v>2009</v>
      </c>
      <c r="AG963" s="171">
        <f t="shared" si="45"/>
        <v>20</v>
      </c>
      <c r="AH963" s="700">
        <f>SUMIF(D$3:$AA963,"&lt;="&amp;$AH$1)/COUNTIF(D$3:$AA963,"&lt;="&amp;$AH$1)</f>
        <v>29.606496107939734</v>
      </c>
    </row>
    <row r="964" spans="2:34" x14ac:dyDescent="0.25">
      <c r="B964" s="910">
        <v>40176</v>
      </c>
      <c r="C964" s="581">
        <f t="shared" ref="C964:C1027" si="46">MONTH(B964)</f>
        <v>12</v>
      </c>
      <c r="D964" s="171">
        <v>28.5</v>
      </c>
      <c r="E964" s="171">
        <v>25.55</v>
      </c>
      <c r="F964" s="171">
        <v>22.86</v>
      </c>
      <c r="G964" s="171">
        <v>17</v>
      </c>
      <c r="H964" s="171">
        <v>16.580000000000002</v>
      </c>
      <c r="I964" s="171">
        <v>19.78</v>
      </c>
      <c r="J964" s="171">
        <v>26.91</v>
      </c>
      <c r="K964" s="171">
        <v>33.9</v>
      </c>
      <c r="L964" s="171">
        <v>35.51</v>
      </c>
      <c r="M964" s="171">
        <v>38.43</v>
      </c>
      <c r="N964" s="171">
        <v>39.58</v>
      </c>
      <c r="O964" s="171">
        <v>40.340000000000003</v>
      </c>
      <c r="P964" s="171">
        <v>41</v>
      </c>
      <c r="Q964" s="171">
        <v>38.54</v>
      </c>
      <c r="R964" s="171">
        <v>35.71</v>
      </c>
      <c r="S964" s="171">
        <v>34.93</v>
      </c>
      <c r="T964" s="171">
        <v>36.51</v>
      </c>
      <c r="U964" s="171">
        <v>46</v>
      </c>
      <c r="V964" s="171">
        <v>47.45</v>
      </c>
      <c r="W964" s="171">
        <v>43.62</v>
      </c>
      <c r="X964" s="171">
        <v>38.619999999999997</v>
      </c>
      <c r="Y964" s="171">
        <v>32.42</v>
      </c>
      <c r="Z964" s="171">
        <v>35</v>
      </c>
      <c r="AA964" s="171">
        <v>30.080000000000002</v>
      </c>
      <c r="AB964" s="171">
        <v>47.45</v>
      </c>
      <c r="AC964" s="171">
        <v>32.42</v>
      </c>
      <c r="AD964" s="171">
        <v>27.27</v>
      </c>
      <c r="AF964" s="171">
        <f t="shared" ref="AF964:AF1027" si="47">YEAR(B964)</f>
        <v>2009</v>
      </c>
      <c r="AG964" s="171">
        <f t="shared" ref="AG964:AG1027" si="48">COUNTIF(D964:AA964,"&lt;="&amp;$AH$1)</f>
        <v>21</v>
      </c>
      <c r="AH964" s="700">
        <f>SUMIF(D$3:$AA964,"&lt;="&amp;$AH$1)/COUNTIF(D$3:$AA964,"&lt;="&amp;$AH$1)</f>
        <v>29.611261391880632</v>
      </c>
    </row>
    <row r="965" spans="2:34" x14ac:dyDescent="0.25">
      <c r="B965" s="910">
        <v>40177</v>
      </c>
      <c r="C965" s="581">
        <f t="shared" si="46"/>
        <v>12</v>
      </c>
      <c r="D965" s="171">
        <v>21.21</v>
      </c>
      <c r="E965" s="171">
        <v>16.73</v>
      </c>
      <c r="F965" s="171">
        <v>12.66</v>
      </c>
      <c r="G965" s="171">
        <v>9.5</v>
      </c>
      <c r="H965" s="171">
        <v>9.0400000000000009</v>
      </c>
      <c r="I965" s="171">
        <v>9.7799999999999994</v>
      </c>
      <c r="J965" s="171">
        <v>16.3</v>
      </c>
      <c r="K965" s="171">
        <v>24.36</v>
      </c>
      <c r="L965" s="171">
        <v>34</v>
      </c>
      <c r="M965" s="171">
        <v>38.01</v>
      </c>
      <c r="N965" s="171">
        <v>40.01</v>
      </c>
      <c r="O965" s="171">
        <v>41.7</v>
      </c>
      <c r="P965" s="171">
        <v>42.28</v>
      </c>
      <c r="Q965" s="171">
        <v>40.99</v>
      </c>
      <c r="R965" s="171">
        <v>38.410000000000004</v>
      </c>
      <c r="S965" s="171">
        <v>32</v>
      </c>
      <c r="T965" s="171">
        <v>33.369999999999997</v>
      </c>
      <c r="U965" s="171">
        <v>44.99</v>
      </c>
      <c r="V965" s="171">
        <v>48</v>
      </c>
      <c r="W965" s="171">
        <v>42</v>
      </c>
      <c r="X965" s="171">
        <v>34.01</v>
      </c>
      <c r="Y965" s="171">
        <v>28.18</v>
      </c>
      <c r="Z965" s="171">
        <v>33</v>
      </c>
      <c r="AA965" s="171">
        <v>27.990000000000002</v>
      </c>
      <c r="AB965" s="171">
        <v>48</v>
      </c>
      <c r="AC965" s="171">
        <v>24.36</v>
      </c>
      <c r="AD965" s="171">
        <v>20.23</v>
      </c>
      <c r="AF965" s="171">
        <f t="shared" si="47"/>
        <v>2009</v>
      </c>
      <c r="AG965" s="171">
        <f t="shared" si="48"/>
        <v>22</v>
      </c>
      <c r="AH965" s="700">
        <f>SUMIF(D$3:$AA965,"&lt;="&amp;$AH$1)/COUNTIF(D$3:$AA965,"&lt;="&amp;$AH$1)</f>
        <v>29.608583384996834</v>
      </c>
    </row>
    <row r="966" spans="2:34" x14ac:dyDescent="0.25">
      <c r="B966" s="910">
        <v>40178</v>
      </c>
      <c r="C966" s="581">
        <f t="shared" si="46"/>
        <v>12</v>
      </c>
      <c r="D966" s="171">
        <v>17.63</v>
      </c>
      <c r="E966" s="171">
        <v>12.15</v>
      </c>
      <c r="F966" s="171">
        <v>10.210000000000001</v>
      </c>
      <c r="G966" s="171">
        <v>8.89</v>
      </c>
      <c r="H966" s="171">
        <v>8.36</v>
      </c>
      <c r="I966" s="171">
        <v>9.82</v>
      </c>
      <c r="J966" s="171">
        <v>11.65</v>
      </c>
      <c r="K966" s="171">
        <v>22.14</v>
      </c>
      <c r="L966" s="171">
        <v>30</v>
      </c>
      <c r="M966" s="171">
        <v>34</v>
      </c>
      <c r="N966" s="171">
        <v>34.99</v>
      </c>
      <c r="O966" s="171">
        <v>37.5</v>
      </c>
      <c r="P966" s="171">
        <v>41.59</v>
      </c>
      <c r="Q966" s="171">
        <v>39.6</v>
      </c>
      <c r="R966" s="171">
        <v>33</v>
      </c>
      <c r="S966" s="171">
        <v>29.82</v>
      </c>
      <c r="T966" s="171">
        <v>30.28</v>
      </c>
      <c r="U966" s="171">
        <v>40</v>
      </c>
      <c r="V966" s="171">
        <v>40.480000000000004</v>
      </c>
      <c r="W966" s="171">
        <v>36</v>
      </c>
      <c r="X966" s="171">
        <v>29</v>
      </c>
      <c r="Y966" s="171">
        <v>24.82</v>
      </c>
      <c r="Z966" s="171">
        <v>31.28</v>
      </c>
      <c r="AA966" s="171">
        <v>31</v>
      </c>
      <c r="AB966" s="171">
        <v>41.59</v>
      </c>
      <c r="AC966" s="171">
        <v>22.14</v>
      </c>
      <c r="AD966" s="171">
        <v>18.080000000000002</v>
      </c>
      <c r="AF966" s="171">
        <f t="shared" si="47"/>
        <v>2009</v>
      </c>
      <c r="AG966" s="171">
        <f t="shared" si="48"/>
        <v>24</v>
      </c>
      <c r="AH966" s="700">
        <f>SUMIF(D$3:$AA966,"&lt;="&amp;$AH$1)/COUNTIF(D$3:$AA966,"&lt;="&amp;$AH$1)</f>
        <v>29.60173984745408</v>
      </c>
    </row>
    <row r="967" spans="2:34" x14ac:dyDescent="0.25">
      <c r="B967" s="910">
        <v>40179</v>
      </c>
      <c r="C967" s="581">
        <f t="shared" si="46"/>
        <v>1</v>
      </c>
      <c r="D967" s="171">
        <v>13.200000000000001</v>
      </c>
      <c r="E967" s="171">
        <v>13.14</v>
      </c>
      <c r="F967" s="171">
        <v>11.83</v>
      </c>
      <c r="G967" s="171">
        <v>9.49</v>
      </c>
      <c r="H967" s="171">
        <v>8.6300000000000008</v>
      </c>
      <c r="I967" s="171">
        <v>7.12</v>
      </c>
      <c r="J967" s="171">
        <v>4.0600000000000005</v>
      </c>
      <c r="K967" s="171">
        <v>1</v>
      </c>
      <c r="L967" s="171">
        <v>8.4</v>
      </c>
      <c r="M967" s="171">
        <v>9.11</v>
      </c>
      <c r="N967" s="171">
        <v>14.5</v>
      </c>
      <c r="O967" s="171">
        <v>24.39</v>
      </c>
      <c r="P967" s="171">
        <v>26.27</v>
      </c>
      <c r="Q967" s="171">
        <v>25.2</v>
      </c>
      <c r="R967" s="171">
        <v>24.3</v>
      </c>
      <c r="S967" s="171">
        <v>24.29</v>
      </c>
      <c r="T967" s="171">
        <v>25</v>
      </c>
      <c r="U967" s="171">
        <v>34.99</v>
      </c>
      <c r="V967" s="171">
        <v>39.950000000000003</v>
      </c>
      <c r="W967" s="171">
        <v>38.99</v>
      </c>
      <c r="X967" s="171">
        <v>39</v>
      </c>
      <c r="Y967" s="171">
        <v>37.660000000000004</v>
      </c>
      <c r="Z967" s="171">
        <v>33.590000000000003</v>
      </c>
      <c r="AA967" s="171">
        <v>31.060000000000002</v>
      </c>
      <c r="AB967" s="171">
        <v>39.950000000000003</v>
      </c>
      <c r="AC967" s="171">
        <v>1</v>
      </c>
      <c r="AD967" s="171">
        <v>18.080000000000002</v>
      </c>
      <c r="AF967" s="171">
        <f t="shared" si="47"/>
        <v>2010</v>
      </c>
      <c r="AG967" s="171">
        <f t="shared" si="48"/>
        <v>24</v>
      </c>
      <c r="AH967" s="700">
        <f>SUMIF(D$3:$AA967,"&lt;="&amp;$AH$1)/COUNTIF(D$3:$AA967,"&lt;="&amp;$AH$1)</f>
        <v>29.580634382068634</v>
      </c>
    </row>
    <row r="968" spans="2:34" x14ac:dyDescent="0.25">
      <c r="B968" s="910">
        <v>40182</v>
      </c>
      <c r="C968" s="581">
        <f t="shared" si="46"/>
        <v>1</v>
      </c>
      <c r="D968" s="171">
        <v>37.15</v>
      </c>
      <c r="E968" s="171">
        <v>33.47</v>
      </c>
      <c r="F968" s="171">
        <v>28</v>
      </c>
      <c r="G968" s="171">
        <v>21.29</v>
      </c>
      <c r="H968" s="171">
        <v>16.920000000000002</v>
      </c>
      <c r="I968" s="171">
        <v>28</v>
      </c>
      <c r="J968" s="171">
        <v>36.43</v>
      </c>
      <c r="K968" s="171">
        <v>59.47</v>
      </c>
      <c r="L968" s="171">
        <v>59.730000000000004</v>
      </c>
      <c r="M968" s="171">
        <v>62.1</v>
      </c>
      <c r="N968" s="171">
        <v>62.74</v>
      </c>
      <c r="O968" s="171">
        <v>62.65</v>
      </c>
      <c r="P968" s="171">
        <v>62.51</v>
      </c>
      <c r="Q968" s="171">
        <v>59.92</v>
      </c>
      <c r="R968" s="171">
        <v>56</v>
      </c>
      <c r="S968" s="171">
        <v>49.67</v>
      </c>
      <c r="T968" s="171">
        <v>54.4</v>
      </c>
      <c r="U968" s="171">
        <v>71.11</v>
      </c>
      <c r="V968" s="171">
        <v>78.77</v>
      </c>
      <c r="W968" s="171">
        <v>64.460000000000008</v>
      </c>
      <c r="X968" s="171">
        <v>50.730000000000004</v>
      </c>
      <c r="Y968" s="171">
        <v>43.9</v>
      </c>
      <c r="Z968" s="171">
        <v>46.58</v>
      </c>
      <c r="AA968" s="171">
        <v>43.38</v>
      </c>
      <c r="AB968" s="171">
        <v>78.77</v>
      </c>
      <c r="AC968" s="171">
        <v>43.9</v>
      </c>
      <c r="AD968" s="171">
        <v>405.05</v>
      </c>
      <c r="AF968" s="171">
        <f t="shared" si="47"/>
        <v>2010</v>
      </c>
      <c r="AG968" s="171">
        <f t="shared" si="48"/>
        <v>7</v>
      </c>
      <c r="AH968" s="700">
        <f>SUMIF(D$3:$AA968,"&lt;="&amp;$AH$1)/COUNTIF(D$3:$AA968,"&lt;="&amp;$AH$1)</f>
        <v>29.580038015000461</v>
      </c>
    </row>
    <row r="969" spans="2:34" x14ac:dyDescent="0.25">
      <c r="B969" s="910">
        <v>40183</v>
      </c>
      <c r="C969" s="581">
        <f t="shared" si="46"/>
        <v>1</v>
      </c>
      <c r="D969" s="171">
        <v>37.9</v>
      </c>
      <c r="E969" s="171">
        <v>33.06</v>
      </c>
      <c r="F969" s="171">
        <v>29.990000000000002</v>
      </c>
      <c r="G969" s="171">
        <v>28.91</v>
      </c>
      <c r="H969" s="171">
        <v>27</v>
      </c>
      <c r="I969" s="171">
        <v>29.560000000000002</v>
      </c>
      <c r="J969" s="171">
        <v>40.94</v>
      </c>
      <c r="K969" s="171">
        <v>55</v>
      </c>
      <c r="L969" s="171">
        <v>55.5</v>
      </c>
      <c r="M969" s="171">
        <v>57.1</v>
      </c>
      <c r="N969" s="171">
        <v>57</v>
      </c>
      <c r="O969" s="171">
        <v>58</v>
      </c>
      <c r="P969" s="171">
        <v>57</v>
      </c>
      <c r="Q969" s="171">
        <v>56.17</v>
      </c>
      <c r="R969" s="171">
        <v>56.28</v>
      </c>
      <c r="S969" s="171">
        <v>53.54</v>
      </c>
      <c r="T969" s="171">
        <v>56.19</v>
      </c>
      <c r="U969" s="171">
        <v>67.2</v>
      </c>
      <c r="V969" s="171">
        <v>62</v>
      </c>
      <c r="W969" s="171">
        <v>55</v>
      </c>
      <c r="X969" s="171">
        <v>49.5</v>
      </c>
      <c r="Y969" s="171">
        <v>45.88</v>
      </c>
      <c r="Z969" s="171">
        <v>42.68</v>
      </c>
      <c r="AA969" s="171">
        <v>41.85</v>
      </c>
      <c r="AB969" s="171">
        <v>67.2</v>
      </c>
      <c r="AC969" s="171">
        <v>42.68</v>
      </c>
      <c r="AD969" s="171">
        <v>1005.4300000000001</v>
      </c>
      <c r="AF969" s="171">
        <f t="shared" si="47"/>
        <v>2010</v>
      </c>
      <c r="AG969" s="171">
        <f t="shared" si="48"/>
        <v>8</v>
      </c>
      <c r="AH969" s="700">
        <f>SUMIF(D$3:$AA969,"&lt;="&amp;$AH$1)/COUNTIF(D$3:$AA969,"&lt;="&amp;$AH$1)</f>
        <v>29.583381582999635</v>
      </c>
    </row>
    <row r="970" spans="2:34" x14ac:dyDescent="0.25">
      <c r="B970" s="910">
        <v>40184</v>
      </c>
      <c r="C970" s="581">
        <f t="shared" si="46"/>
        <v>1</v>
      </c>
      <c r="D970" s="171">
        <v>34.99</v>
      </c>
      <c r="E970" s="171">
        <v>35.869999999999997</v>
      </c>
      <c r="F970" s="171">
        <v>35.880000000000003</v>
      </c>
      <c r="G970" s="171">
        <v>32</v>
      </c>
      <c r="H970" s="171">
        <v>31</v>
      </c>
      <c r="I970" s="171">
        <v>35</v>
      </c>
      <c r="J970" s="171">
        <v>38.730000000000004</v>
      </c>
      <c r="K970" s="171">
        <v>46.82</v>
      </c>
      <c r="L970" s="171">
        <v>50.34</v>
      </c>
      <c r="M970" s="171">
        <v>49.75</v>
      </c>
      <c r="N970" s="171">
        <v>49.5</v>
      </c>
      <c r="O970" s="171">
        <v>50</v>
      </c>
      <c r="P970" s="171">
        <v>50</v>
      </c>
      <c r="Q970" s="171">
        <v>48.38</v>
      </c>
      <c r="R970" s="171">
        <v>47</v>
      </c>
      <c r="S970" s="171">
        <v>47.63</v>
      </c>
      <c r="T970" s="171">
        <v>50.89</v>
      </c>
      <c r="U970" s="171">
        <v>62.5</v>
      </c>
      <c r="V970" s="171">
        <v>56</v>
      </c>
      <c r="W970" s="171">
        <v>48.74</v>
      </c>
      <c r="X970" s="171">
        <v>43.56</v>
      </c>
      <c r="Y970" s="171">
        <v>40.5</v>
      </c>
      <c r="Z970" s="171">
        <v>38.89</v>
      </c>
      <c r="AA970" s="171">
        <v>39.630000000000003</v>
      </c>
      <c r="AB970" s="171">
        <v>62.5</v>
      </c>
      <c r="AC970" s="171">
        <v>38.89</v>
      </c>
      <c r="AD970" s="171">
        <v>37.74</v>
      </c>
      <c r="AF970" s="171">
        <f t="shared" si="47"/>
        <v>2010</v>
      </c>
      <c r="AG970" s="171">
        <f t="shared" si="48"/>
        <v>10</v>
      </c>
      <c r="AH970" s="700">
        <f>SUMIF(D$3:$AA970,"&lt;="&amp;$AH$1)/COUNTIF(D$3:$AA970,"&lt;="&amp;$AH$1)</f>
        <v>29.590217413598548</v>
      </c>
    </row>
    <row r="971" spans="2:34" x14ac:dyDescent="0.25">
      <c r="B971" s="910">
        <v>40185</v>
      </c>
      <c r="C971" s="581">
        <f t="shared" si="46"/>
        <v>1</v>
      </c>
      <c r="D971" s="171">
        <v>40</v>
      </c>
      <c r="E971" s="171">
        <v>38.020000000000003</v>
      </c>
      <c r="F971" s="171">
        <v>34.99</v>
      </c>
      <c r="G971" s="171">
        <v>33.65</v>
      </c>
      <c r="H971" s="171">
        <v>32</v>
      </c>
      <c r="I971" s="171">
        <v>32.82</v>
      </c>
      <c r="J971" s="171">
        <v>39.1</v>
      </c>
      <c r="K971" s="171">
        <v>52.65</v>
      </c>
      <c r="L971" s="171">
        <v>59</v>
      </c>
      <c r="M971" s="171">
        <v>62.660000000000004</v>
      </c>
      <c r="N971" s="171">
        <v>61.1</v>
      </c>
      <c r="O971" s="171">
        <v>62.86</v>
      </c>
      <c r="P971" s="171">
        <v>63</v>
      </c>
      <c r="Q971" s="171">
        <v>62.18</v>
      </c>
      <c r="R971" s="171">
        <v>58.59</v>
      </c>
      <c r="S971" s="171">
        <v>55.75</v>
      </c>
      <c r="T971" s="171">
        <v>60.120000000000005</v>
      </c>
      <c r="U971" s="171">
        <v>77.44</v>
      </c>
      <c r="V971" s="171">
        <v>70</v>
      </c>
      <c r="W971" s="171">
        <v>59.95</v>
      </c>
      <c r="X971" s="171">
        <v>54</v>
      </c>
      <c r="Y971" s="171">
        <v>48</v>
      </c>
      <c r="Z971" s="171">
        <v>46.47</v>
      </c>
      <c r="AA971" s="171">
        <v>43.94</v>
      </c>
      <c r="AB971" s="171">
        <v>77.44</v>
      </c>
      <c r="AC971" s="171">
        <v>46.47</v>
      </c>
      <c r="AD971" s="171">
        <v>41.300000000000004</v>
      </c>
      <c r="AF971" s="171">
        <f t="shared" si="47"/>
        <v>2010</v>
      </c>
      <c r="AG971" s="171">
        <f t="shared" si="48"/>
        <v>7</v>
      </c>
      <c r="AH971" s="700">
        <f>SUMIF(D$3:$AA971,"&lt;="&amp;$AH$1)/COUNTIF(D$3:$AA971,"&lt;="&amp;$AH$1)</f>
        <v>29.594670014347148</v>
      </c>
    </row>
    <row r="972" spans="2:34" x14ac:dyDescent="0.25">
      <c r="B972" s="910">
        <v>40186</v>
      </c>
      <c r="C972" s="581">
        <f t="shared" si="46"/>
        <v>1</v>
      </c>
      <c r="D972" s="171">
        <v>39.5</v>
      </c>
      <c r="E972" s="171">
        <v>38.800000000000004</v>
      </c>
      <c r="F972" s="171">
        <v>37</v>
      </c>
      <c r="G972" s="171">
        <v>33.61</v>
      </c>
      <c r="H972" s="171">
        <v>32.96</v>
      </c>
      <c r="I972" s="171">
        <v>33.31</v>
      </c>
      <c r="J972" s="171">
        <v>40.5</v>
      </c>
      <c r="K972" s="171">
        <v>50</v>
      </c>
      <c r="L972" s="171">
        <v>58.61</v>
      </c>
      <c r="M972" s="171">
        <v>63</v>
      </c>
      <c r="N972" s="171">
        <v>61.45</v>
      </c>
      <c r="O972" s="171">
        <v>59.26</v>
      </c>
      <c r="P972" s="171">
        <v>57</v>
      </c>
      <c r="Q972" s="171">
        <v>52</v>
      </c>
      <c r="R972" s="171">
        <v>49.01</v>
      </c>
      <c r="S972" s="171">
        <v>48</v>
      </c>
      <c r="T972" s="171">
        <v>49.660000000000004</v>
      </c>
      <c r="U972" s="171">
        <v>63.08</v>
      </c>
      <c r="V972" s="171">
        <v>55.63</v>
      </c>
      <c r="W972" s="171">
        <v>47.15</v>
      </c>
      <c r="X972" s="171">
        <v>41.49</v>
      </c>
      <c r="Y972" s="171">
        <v>34.99</v>
      </c>
      <c r="Z972" s="171">
        <v>31.04</v>
      </c>
      <c r="AA972" s="171">
        <v>29.96</v>
      </c>
      <c r="AB972" s="171">
        <v>63.08</v>
      </c>
      <c r="AC972" s="171">
        <v>31.04</v>
      </c>
      <c r="AD972" s="171">
        <v>36.93</v>
      </c>
      <c r="AF972" s="171">
        <f t="shared" si="47"/>
        <v>2010</v>
      </c>
      <c r="AG972" s="171">
        <f t="shared" si="48"/>
        <v>11</v>
      </c>
      <c r="AH972" s="700">
        <f>SUMIF(D$3:$AA972,"&lt;="&amp;$AH$1)/COUNTIF(D$3:$AA972,"&lt;="&amp;$AH$1)</f>
        <v>29.601591769884269</v>
      </c>
    </row>
    <row r="973" spans="2:34" x14ac:dyDescent="0.25">
      <c r="B973" s="910">
        <v>40189</v>
      </c>
      <c r="C973" s="581">
        <f t="shared" si="46"/>
        <v>1</v>
      </c>
      <c r="D973" s="171">
        <v>45</v>
      </c>
      <c r="E973" s="171">
        <v>40.020000000000003</v>
      </c>
      <c r="F973" s="171">
        <v>36.090000000000003</v>
      </c>
      <c r="G973" s="171">
        <v>31</v>
      </c>
      <c r="H973" s="171">
        <v>30.91</v>
      </c>
      <c r="I973" s="171">
        <v>30.900000000000002</v>
      </c>
      <c r="J973" s="171">
        <v>37.31</v>
      </c>
      <c r="K973" s="171">
        <v>57.04</v>
      </c>
      <c r="L973" s="171">
        <v>70.5</v>
      </c>
      <c r="M973" s="171">
        <v>71.5</v>
      </c>
      <c r="N973" s="171">
        <v>71</v>
      </c>
      <c r="O973" s="171">
        <v>70.040000000000006</v>
      </c>
      <c r="P973" s="171">
        <v>68.75</v>
      </c>
      <c r="Q973" s="171">
        <v>64.930000000000007</v>
      </c>
      <c r="R973" s="171">
        <v>60.21</v>
      </c>
      <c r="S973" s="171">
        <v>60</v>
      </c>
      <c r="T973" s="171">
        <v>72.69</v>
      </c>
      <c r="U973" s="171">
        <v>85.4</v>
      </c>
      <c r="V973" s="171">
        <v>80.66</v>
      </c>
      <c r="W973" s="171">
        <v>63.5</v>
      </c>
      <c r="X973" s="171">
        <v>49.99</v>
      </c>
      <c r="Y973" s="171">
        <v>43.660000000000004</v>
      </c>
      <c r="Z973" s="171">
        <v>43.07</v>
      </c>
      <c r="AA973" s="171">
        <v>43.4</v>
      </c>
      <c r="AB973" s="171">
        <v>85.4</v>
      </c>
      <c r="AC973" s="171">
        <v>43.07</v>
      </c>
      <c r="AD973" s="171">
        <v>40.700000000000003</v>
      </c>
      <c r="AF973" s="171">
        <f t="shared" si="47"/>
        <v>2010</v>
      </c>
      <c r="AG973" s="171">
        <f t="shared" si="48"/>
        <v>6</v>
      </c>
      <c r="AH973" s="700">
        <f>SUMIF(D$3:$AA973,"&lt;="&amp;$AH$1)/COUNTIF(D$3:$AA973,"&lt;="&amp;$AH$1)</f>
        <v>29.604519693094574</v>
      </c>
    </row>
    <row r="974" spans="2:34" x14ac:dyDescent="0.25">
      <c r="B974" s="910">
        <v>40190</v>
      </c>
      <c r="C974" s="581">
        <f t="shared" si="46"/>
        <v>1</v>
      </c>
      <c r="D974" s="171">
        <v>41.84</v>
      </c>
      <c r="E974" s="171">
        <v>37.54</v>
      </c>
      <c r="F974" s="171">
        <v>36.26</v>
      </c>
      <c r="G974" s="171">
        <v>34.93</v>
      </c>
      <c r="H974" s="171">
        <v>34.93</v>
      </c>
      <c r="I974" s="171">
        <v>34.93</v>
      </c>
      <c r="J974" s="171">
        <v>38.92</v>
      </c>
      <c r="K974" s="171">
        <v>59.21</v>
      </c>
      <c r="L974" s="171">
        <v>65.570000000000007</v>
      </c>
      <c r="M974" s="171">
        <v>66</v>
      </c>
      <c r="N974" s="171">
        <v>66</v>
      </c>
      <c r="O974" s="171">
        <v>66.5</v>
      </c>
      <c r="P974" s="171">
        <v>64.960000000000008</v>
      </c>
      <c r="Q974" s="171">
        <v>61.5</v>
      </c>
      <c r="R974" s="171">
        <v>55.58</v>
      </c>
      <c r="S974" s="171">
        <v>53.81</v>
      </c>
      <c r="T974" s="171">
        <v>60.5</v>
      </c>
      <c r="U974" s="171">
        <v>83.73</v>
      </c>
      <c r="V974" s="171">
        <v>76</v>
      </c>
      <c r="W974" s="171">
        <v>54.14</v>
      </c>
      <c r="X974" s="171">
        <v>46.96</v>
      </c>
      <c r="Y974" s="171">
        <v>42</v>
      </c>
      <c r="Z974" s="171">
        <v>41.57</v>
      </c>
      <c r="AA974" s="171">
        <v>39.76</v>
      </c>
      <c r="AB974" s="171">
        <v>83.73</v>
      </c>
      <c r="AC974" s="171">
        <v>41.57</v>
      </c>
      <c r="AD974" s="171">
        <v>40.74</v>
      </c>
      <c r="AF974" s="171">
        <f t="shared" si="47"/>
        <v>2010</v>
      </c>
      <c r="AG974" s="171">
        <f t="shared" si="48"/>
        <v>10</v>
      </c>
      <c r="AH974" s="700">
        <f>SUMIF(D$3:$AA974,"&lt;="&amp;$AH$1)/COUNTIF(D$3:$AA974,"&lt;="&amp;$AH$1)</f>
        <v>29.613373530914611</v>
      </c>
    </row>
    <row r="975" spans="2:34" x14ac:dyDescent="0.25">
      <c r="B975" s="910">
        <v>40191</v>
      </c>
      <c r="C975" s="581">
        <f t="shared" si="46"/>
        <v>1</v>
      </c>
      <c r="D975" s="171">
        <v>34.93</v>
      </c>
      <c r="E975" s="171">
        <v>31.78</v>
      </c>
      <c r="F975" s="171">
        <v>30.57</v>
      </c>
      <c r="G975" s="171">
        <v>30</v>
      </c>
      <c r="H975" s="171">
        <v>29.2</v>
      </c>
      <c r="I975" s="171">
        <v>30</v>
      </c>
      <c r="J975" s="171">
        <v>35</v>
      </c>
      <c r="K975" s="171">
        <v>50.5</v>
      </c>
      <c r="L975" s="171">
        <v>54.5</v>
      </c>
      <c r="M975" s="171">
        <v>56.5</v>
      </c>
      <c r="N975" s="171">
        <v>56.01</v>
      </c>
      <c r="O975" s="171">
        <v>58.5</v>
      </c>
      <c r="P975" s="171">
        <v>57.5</v>
      </c>
      <c r="Q975" s="171">
        <v>53.86</v>
      </c>
      <c r="R975" s="171">
        <v>52.7</v>
      </c>
      <c r="S975" s="171">
        <v>53</v>
      </c>
      <c r="T975" s="171">
        <v>57.81</v>
      </c>
      <c r="U975" s="171">
        <v>67.010000000000005</v>
      </c>
      <c r="V975" s="171">
        <v>59.07</v>
      </c>
      <c r="W975" s="171">
        <v>49.93</v>
      </c>
      <c r="X975" s="171">
        <v>48.050000000000004</v>
      </c>
      <c r="Y975" s="171">
        <v>43.5</v>
      </c>
      <c r="Z975" s="171">
        <v>41.5</v>
      </c>
      <c r="AA975" s="171">
        <v>36.090000000000003</v>
      </c>
      <c r="AB975" s="171">
        <v>67.010000000000005</v>
      </c>
      <c r="AC975" s="171">
        <v>41.5</v>
      </c>
      <c r="AD975" s="171">
        <v>36.76</v>
      </c>
      <c r="AF975" s="171">
        <f t="shared" si="47"/>
        <v>2010</v>
      </c>
      <c r="AG975" s="171">
        <f t="shared" si="48"/>
        <v>9</v>
      </c>
      <c r="AH975" s="700">
        <f>SUMIF(D$3:$AA975,"&lt;="&amp;$AH$1)/COUNTIF(D$3:$AA975,"&lt;="&amp;$AH$1)</f>
        <v>29.616696957320759</v>
      </c>
    </row>
    <row r="976" spans="2:34" x14ac:dyDescent="0.25">
      <c r="B976" s="910">
        <v>40192</v>
      </c>
      <c r="C976" s="581">
        <f t="shared" si="46"/>
        <v>1</v>
      </c>
      <c r="D976" s="171">
        <v>38.72</v>
      </c>
      <c r="E976" s="171">
        <v>36.5</v>
      </c>
      <c r="F976" s="171">
        <v>34.800000000000004</v>
      </c>
      <c r="G976" s="171">
        <v>33.5</v>
      </c>
      <c r="H976" s="171">
        <v>32.21</v>
      </c>
      <c r="I976" s="171">
        <v>35</v>
      </c>
      <c r="J976" s="171">
        <v>41.54</v>
      </c>
      <c r="K976" s="171">
        <v>54.97</v>
      </c>
      <c r="L976" s="171">
        <v>58</v>
      </c>
      <c r="M976" s="171">
        <v>60</v>
      </c>
      <c r="N976" s="171">
        <v>60</v>
      </c>
      <c r="O976" s="171">
        <v>64</v>
      </c>
      <c r="P976" s="171">
        <v>62.120000000000005</v>
      </c>
      <c r="Q976" s="171">
        <v>58.56</v>
      </c>
      <c r="R976" s="171">
        <v>54.68</v>
      </c>
      <c r="S976" s="171">
        <v>53.980000000000004</v>
      </c>
      <c r="T976" s="171">
        <v>61.11</v>
      </c>
      <c r="U976" s="171">
        <v>69</v>
      </c>
      <c r="V976" s="171">
        <v>68</v>
      </c>
      <c r="W976" s="171">
        <v>58</v>
      </c>
      <c r="X976" s="171">
        <v>52.5</v>
      </c>
      <c r="Y976" s="171">
        <v>47.22</v>
      </c>
      <c r="Z976" s="171">
        <v>45</v>
      </c>
      <c r="AA976" s="171">
        <v>42.5</v>
      </c>
      <c r="AB976" s="171">
        <v>69</v>
      </c>
      <c r="AC976" s="171">
        <v>45</v>
      </c>
      <c r="AD976" s="171">
        <v>41.21</v>
      </c>
      <c r="AF976" s="171">
        <f t="shared" si="47"/>
        <v>2010</v>
      </c>
      <c r="AG976" s="171">
        <f t="shared" si="48"/>
        <v>8</v>
      </c>
      <c r="AH976" s="700">
        <f>SUMIF(D$3:$AA976,"&lt;="&amp;$AH$1)/COUNTIF(D$3:$AA976,"&lt;="&amp;$AH$1)</f>
        <v>29.62259742909605</v>
      </c>
    </row>
    <row r="977" spans="2:34" x14ac:dyDescent="0.25">
      <c r="B977" s="910">
        <v>40193</v>
      </c>
      <c r="C977" s="581">
        <f t="shared" si="46"/>
        <v>1</v>
      </c>
      <c r="D977" s="171">
        <v>40.300000000000004</v>
      </c>
      <c r="E977" s="171">
        <v>37.5</v>
      </c>
      <c r="F977" s="171">
        <v>38</v>
      </c>
      <c r="G977" s="171">
        <v>32.99</v>
      </c>
      <c r="H977" s="171">
        <v>32</v>
      </c>
      <c r="I977" s="171">
        <v>38.5</v>
      </c>
      <c r="J977" s="171">
        <v>40.24</v>
      </c>
      <c r="K977" s="171">
        <v>52</v>
      </c>
      <c r="L977" s="171">
        <v>60</v>
      </c>
      <c r="M977" s="171">
        <v>64.820000000000007</v>
      </c>
      <c r="N977" s="171">
        <v>64.5</v>
      </c>
      <c r="O977" s="171">
        <v>64</v>
      </c>
      <c r="P977" s="171">
        <v>59</v>
      </c>
      <c r="Q977" s="171">
        <v>55</v>
      </c>
      <c r="R977" s="171">
        <v>52.25</v>
      </c>
      <c r="S977" s="171">
        <v>50.410000000000004</v>
      </c>
      <c r="T977" s="171">
        <v>53.800000000000004</v>
      </c>
      <c r="U977" s="171">
        <v>63.02</v>
      </c>
      <c r="V977" s="171">
        <v>60.51</v>
      </c>
      <c r="W977" s="171">
        <v>56</v>
      </c>
      <c r="X977" s="171">
        <v>48.5</v>
      </c>
      <c r="Y977" s="171">
        <v>45</v>
      </c>
      <c r="Z977" s="171">
        <v>45</v>
      </c>
      <c r="AA977" s="171">
        <v>43.050000000000004</v>
      </c>
      <c r="AB977" s="171">
        <v>64.820000000000007</v>
      </c>
      <c r="AC977" s="171">
        <v>45</v>
      </c>
      <c r="AD977" s="171">
        <v>41.09</v>
      </c>
      <c r="AF977" s="171">
        <f t="shared" si="47"/>
        <v>2010</v>
      </c>
      <c r="AG977" s="171">
        <f t="shared" si="48"/>
        <v>7</v>
      </c>
      <c r="AH977" s="700">
        <f>SUMIF(D$3:$AA977,"&lt;="&amp;$AH$1)/COUNTIF(D$3:$AA977,"&lt;="&amp;$AH$1)</f>
        <v>29.627916199408652</v>
      </c>
    </row>
    <row r="978" spans="2:34" x14ac:dyDescent="0.25">
      <c r="B978" s="910">
        <v>40196</v>
      </c>
      <c r="C978" s="581">
        <f t="shared" si="46"/>
        <v>1</v>
      </c>
      <c r="D978" s="171">
        <v>32.01</v>
      </c>
      <c r="E978" s="171">
        <v>30.37</v>
      </c>
      <c r="F978" s="171">
        <v>26.44</v>
      </c>
      <c r="G978" s="171">
        <v>19.150000000000002</v>
      </c>
      <c r="H978" s="171">
        <v>19</v>
      </c>
      <c r="I978" s="171">
        <v>26.21</v>
      </c>
      <c r="J978" s="171">
        <v>40</v>
      </c>
      <c r="K978" s="171">
        <v>56.64</v>
      </c>
      <c r="L978" s="171">
        <v>60.21</v>
      </c>
      <c r="M978" s="171">
        <v>59.99</v>
      </c>
      <c r="N978" s="171">
        <v>59.300000000000004</v>
      </c>
      <c r="O978" s="171">
        <v>59.120000000000005</v>
      </c>
      <c r="P978" s="171">
        <v>57.34</v>
      </c>
      <c r="Q978" s="171">
        <v>54.93</v>
      </c>
      <c r="R978" s="171">
        <v>50.910000000000004</v>
      </c>
      <c r="S978" s="171">
        <v>48.33</v>
      </c>
      <c r="T978" s="171">
        <v>52.800000000000004</v>
      </c>
      <c r="U978" s="171">
        <v>62.07</v>
      </c>
      <c r="V978" s="171">
        <v>68.27</v>
      </c>
      <c r="W978" s="171">
        <v>54.75</v>
      </c>
      <c r="X978" s="171">
        <v>47.800000000000004</v>
      </c>
      <c r="Y978" s="171">
        <v>43.54</v>
      </c>
      <c r="Z978" s="171">
        <v>44.96</v>
      </c>
      <c r="AA978" s="171">
        <v>41.52</v>
      </c>
      <c r="AB978" s="171">
        <v>68.27</v>
      </c>
      <c r="AC978" s="171">
        <v>43.54</v>
      </c>
      <c r="AD978" s="171">
        <v>35.64</v>
      </c>
      <c r="AF978" s="171">
        <f t="shared" si="47"/>
        <v>2010</v>
      </c>
      <c r="AG978" s="171">
        <f t="shared" si="48"/>
        <v>8</v>
      </c>
      <c r="AH978" s="700">
        <f>SUMIF(D$3:$AA978,"&lt;="&amp;$AH$1)/COUNTIF(D$3:$AA978,"&lt;="&amp;$AH$1)</f>
        <v>29.627679535499595</v>
      </c>
    </row>
    <row r="979" spans="2:34" x14ac:dyDescent="0.25">
      <c r="B979" s="910">
        <v>40197</v>
      </c>
      <c r="C979" s="581">
        <f t="shared" si="46"/>
        <v>1</v>
      </c>
      <c r="D979" s="171">
        <v>36.869999999999997</v>
      </c>
      <c r="E979" s="171">
        <v>33.71</v>
      </c>
      <c r="F979" s="171">
        <v>33.5</v>
      </c>
      <c r="G979" s="171">
        <v>30.87</v>
      </c>
      <c r="H979" s="171">
        <v>29</v>
      </c>
      <c r="I979" s="171">
        <v>34</v>
      </c>
      <c r="J979" s="171">
        <v>46.02</v>
      </c>
      <c r="K979" s="171">
        <v>54.22</v>
      </c>
      <c r="L979" s="171">
        <v>59.08</v>
      </c>
      <c r="M979" s="171">
        <v>58.68</v>
      </c>
      <c r="N979" s="171">
        <v>58.57</v>
      </c>
      <c r="O979" s="171">
        <v>58.410000000000004</v>
      </c>
      <c r="P979" s="171">
        <v>57.63</v>
      </c>
      <c r="Q979" s="171">
        <v>53.63</v>
      </c>
      <c r="R979" s="171">
        <v>52.050000000000004</v>
      </c>
      <c r="S979" s="171">
        <v>49.01</v>
      </c>
      <c r="T979" s="171">
        <v>50.75</v>
      </c>
      <c r="U979" s="171">
        <v>60</v>
      </c>
      <c r="V979" s="171">
        <v>65</v>
      </c>
      <c r="W979" s="171">
        <v>53.660000000000004</v>
      </c>
      <c r="X979" s="171">
        <v>48</v>
      </c>
      <c r="Y979" s="171">
        <v>43.4</v>
      </c>
      <c r="Z979" s="171">
        <v>45</v>
      </c>
      <c r="AA979" s="171">
        <v>41</v>
      </c>
      <c r="AB979" s="171">
        <v>65</v>
      </c>
      <c r="AC979" s="171">
        <v>43.4</v>
      </c>
      <c r="AD979" s="171">
        <v>39.630000000000003</v>
      </c>
      <c r="AF979" s="171">
        <f t="shared" si="47"/>
        <v>2010</v>
      </c>
      <c r="AG979" s="171">
        <f t="shared" si="48"/>
        <v>7</v>
      </c>
      <c r="AH979" s="700">
        <f>SUMIF(D$3:$AA979,"&lt;="&amp;$AH$1)/COUNTIF(D$3:$AA979,"&lt;="&amp;$AH$1)</f>
        <v>29.630891693811026</v>
      </c>
    </row>
    <row r="980" spans="2:34" x14ac:dyDescent="0.25">
      <c r="B980" s="910">
        <v>40198</v>
      </c>
      <c r="C980" s="581">
        <f t="shared" si="46"/>
        <v>1</v>
      </c>
      <c r="D980" s="171">
        <v>36.020000000000003</v>
      </c>
      <c r="E980" s="171">
        <v>33.5</v>
      </c>
      <c r="F980" s="171">
        <v>31.64</v>
      </c>
      <c r="G980" s="171">
        <v>29.310000000000002</v>
      </c>
      <c r="H980" s="171">
        <v>28.91</v>
      </c>
      <c r="I980" s="171">
        <v>32.96</v>
      </c>
      <c r="J980" s="171">
        <v>39.6</v>
      </c>
      <c r="K980" s="171">
        <v>51.800000000000004</v>
      </c>
      <c r="L980" s="171">
        <v>53</v>
      </c>
      <c r="M980" s="171">
        <v>52.59</v>
      </c>
      <c r="N980" s="171">
        <v>53.09</v>
      </c>
      <c r="O980" s="171">
        <v>53.09</v>
      </c>
      <c r="P980" s="171">
        <v>51</v>
      </c>
      <c r="Q980" s="171">
        <v>52.46</v>
      </c>
      <c r="R980" s="171">
        <v>51.4</v>
      </c>
      <c r="S980" s="171">
        <v>49.78</v>
      </c>
      <c r="T980" s="171">
        <v>49.99</v>
      </c>
      <c r="U980" s="171">
        <v>54.93</v>
      </c>
      <c r="V980" s="171">
        <v>53.38</v>
      </c>
      <c r="W980" s="171">
        <v>47.1</v>
      </c>
      <c r="X980" s="171">
        <v>46.83</v>
      </c>
      <c r="Y980" s="171">
        <v>43</v>
      </c>
      <c r="Z980" s="171">
        <v>44.46</v>
      </c>
      <c r="AA980" s="171">
        <v>39.93</v>
      </c>
      <c r="AB980" s="171">
        <v>54.93</v>
      </c>
      <c r="AC980" s="171">
        <v>43</v>
      </c>
      <c r="AD980" s="171">
        <v>38.160000000000004</v>
      </c>
      <c r="AF980" s="171">
        <f t="shared" si="47"/>
        <v>2010</v>
      </c>
      <c r="AG980" s="171">
        <f t="shared" si="48"/>
        <v>8</v>
      </c>
      <c r="AH980" s="700">
        <f>SUMIF(D$3:$AA980,"&lt;="&amp;$AH$1)/COUNTIF(D$3:$AA980,"&lt;="&amp;$AH$1)</f>
        <v>29.634433482506054</v>
      </c>
    </row>
    <row r="981" spans="2:34" x14ac:dyDescent="0.25">
      <c r="B981" s="910">
        <v>40199</v>
      </c>
      <c r="C981" s="581">
        <f t="shared" si="46"/>
        <v>1</v>
      </c>
      <c r="D981" s="171">
        <v>36.74</v>
      </c>
      <c r="E981" s="171">
        <v>36</v>
      </c>
      <c r="F981" s="171">
        <v>33.049999999999997</v>
      </c>
      <c r="G981" s="171">
        <v>28.810000000000002</v>
      </c>
      <c r="H981" s="171">
        <v>27.54</v>
      </c>
      <c r="I981" s="171">
        <v>34</v>
      </c>
      <c r="J981" s="171">
        <v>39.96</v>
      </c>
      <c r="K981" s="171">
        <v>52.88</v>
      </c>
      <c r="L981" s="171">
        <v>55.27</v>
      </c>
      <c r="M981" s="171">
        <v>52.5</v>
      </c>
      <c r="N981" s="171">
        <v>53</v>
      </c>
      <c r="O981" s="171">
        <v>53.5</v>
      </c>
      <c r="P981" s="171">
        <v>50.5</v>
      </c>
      <c r="Q981" s="171">
        <v>50.07</v>
      </c>
      <c r="R981" s="171">
        <v>49.93</v>
      </c>
      <c r="S981" s="171">
        <v>48.09</v>
      </c>
      <c r="T981" s="171">
        <v>49.94</v>
      </c>
      <c r="U981" s="171">
        <v>56.27</v>
      </c>
      <c r="V981" s="171">
        <v>56</v>
      </c>
      <c r="W981" s="171">
        <v>47.58</v>
      </c>
      <c r="X981" s="171">
        <v>44.93</v>
      </c>
      <c r="Y981" s="171">
        <v>42</v>
      </c>
      <c r="Z981" s="171">
        <v>45</v>
      </c>
      <c r="AA981" s="171">
        <v>40.47</v>
      </c>
      <c r="AB981" s="171">
        <v>56.27</v>
      </c>
      <c r="AC981" s="171">
        <v>42</v>
      </c>
      <c r="AD981" s="171">
        <v>38.450000000000003</v>
      </c>
      <c r="AF981" s="171">
        <f t="shared" si="47"/>
        <v>2010</v>
      </c>
      <c r="AG981" s="171">
        <f t="shared" si="48"/>
        <v>9</v>
      </c>
      <c r="AH981" s="700">
        <f>SUMIF(D$3:$AA981,"&lt;="&amp;$AH$1)/COUNTIF(D$3:$AA981,"&lt;="&amp;$AH$1)</f>
        <v>29.639703282186716</v>
      </c>
    </row>
    <row r="982" spans="2:34" x14ac:dyDescent="0.25">
      <c r="B982" s="910">
        <v>40200</v>
      </c>
      <c r="C982" s="581">
        <f t="shared" si="46"/>
        <v>1</v>
      </c>
      <c r="D982" s="171">
        <v>37.75</v>
      </c>
      <c r="E982" s="171">
        <v>34.99</v>
      </c>
      <c r="F982" s="171">
        <v>32.480000000000004</v>
      </c>
      <c r="G982" s="171">
        <v>30.3</v>
      </c>
      <c r="H982" s="171">
        <v>29.34</v>
      </c>
      <c r="I982" s="171">
        <v>31.34</v>
      </c>
      <c r="J982" s="171">
        <v>36.99</v>
      </c>
      <c r="K982" s="171">
        <v>50.550000000000004</v>
      </c>
      <c r="L982" s="171">
        <v>55</v>
      </c>
      <c r="M982" s="171">
        <v>56.7</v>
      </c>
      <c r="N982" s="171">
        <v>54.56</v>
      </c>
      <c r="O982" s="171">
        <v>55.39</v>
      </c>
      <c r="P982" s="171">
        <v>52.92</v>
      </c>
      <c r="Q982" s="171">
        <v>50</v>
      </c>
      <c r="R982" s="171">
        <v>48.45</v>
      </c>
      <c r="S982" s="171">
        <v>44.96</v>
      </c>
      <c r="T982" s="171">
        <v>45.5</v>
      </c>
      <c r="U982" s="171">
        <v>51.22</v>
      </c>
      <c r="V982" s="171">
        <v>51.43</v>
      </c>
      <c r="W982" s="171">
        <v>44.88</v>
      </c>
      <c r="X982" s="171">
        <v>41.5</v>
      </c>
      <c r="Y982" s="171">
        <v>42.4</v>
      </c>
      <c r="Z982" s="171">
        <v>43.47</v>
      </c>
      <c r="AA982" s="171">
        <v>40.51</v>
      </c>
      <c r="AB982" s="171">
        <v>56.7</v>
      </c>
      <c r="AC982" s="171">
        <v>41.5</v>
      </c>
      <c r="AD982" s="171">
        <v>37.630000000000003</v>
      </c>
      <c r="AF982" s="171">
        <f t="shared" si="47"/>
        <v>2010</v>
      </c>
      <c r="AG982" s="171">
        <f t="shared" si="48"/>
        <v>10</v>
      </c>
      <c r="AH982" s="700">
        <f>SUMIF(D$3:$AA982,"&lt;="&amp;$AH$1)/COUNTIF(D$3:$AA982,"&lt;="&amp;$AH$1)</f>
        <v>29.645916150644556</v>
      </c>
    </row>
    <row r="983" spans="2:34" x14ac:dyDescent="0.25">
      <c r="B983" s="910">
        <v>40203</v>
      </c>
      <c r="C983" s="581">
        <f t="shared" si="46"/>
        <v>1</v>
      </c>
      <c r="D983" s="171">
        <v>37.71</v>
      </c>
      <c r="E983" s="171">
        <v>34.15</v>
      </c>
      <c r="F983" s="171">
        <v>31</v>
      </c>
      <c r="G983" s="171">
        <v>27</v>
      </c>
      <c r="H983" s="171">
        <v>27.97</v>
      </c>
      <c r="I983" s="171">
        <v>33</v>
      </c>
      <c r="J983" s="171">
        <v>43.45</v>
      </c>
      <c r="K983" s="171">
        <v>53.6</v>
      </c>
      <c r="L983" s="171">
        <v>57.11</v>
      </c>
      <c r="M983" s="171">
        <v>61</v>
      </c>
      <c r="N983" s="171">
        <v>62.7</v>
      </c>
      <c r="O983" s="171">
        <v>62.7</v>
      </c>
      <c r="P983" s="171">
        <v>59.04</v>
      </c>
      <c r="Q983" s="171">
        <v>60.04</v>
      </c>
      <c r="R983" s="171">
        <v>55.58</v>
      </c>
      <c r="S983" s="171">
        <v>50.660000000000004</v>
      </c>
      <c r="T983" s="171">
        <v>51</v>
      </c>
      <c r="U983" s="171">
        <v>60.67</v>
      </c>
      <c r="V983" s="171">
        <v>58.85</v>
      </c>
      <c r="W983" s="171">
        <v>50</v>
      </c>
      <c r="X983" s="171">
        <v>49.9</v>
      </c>
      <c r="Y983" s="171">
        <v>44.37</v>
      </c>
      <c r="Z983" s="171">
        <v>42.89</v>
      </c>
      <c r="AA983" s="171">
        <v>39.840000000000003</v>
      </c>
      <c r="AB983" s="171">
        <v>62.7</v>
      </c>
      <c r="AC983" s="171">
        <v>42.89</v>
      </c>
      <c r="AD983" s="171">
        <v>38.74</v>
      </c>
      <c r="AF983" s="171">
        <f t="shared" si="47"/>
        <v>2010</v>
      </c>
      <c r="AG983" s="171">
        <f t="shared" si="48"/>
        <v>7</v>
      </c>
      <c r="AH983" s="700">
        <f>SUMIF(D$3:$AA983,"&lt;="&amp;$AH$1)/COUNTIF(D$3:$AA983,"&lt;="&amp;$AH$1)</f>
        <v>29.64826435382426</v>
      </c>
    </row>
    <row r="984" spans="2:34" x14ac:dyDescent="0.25">
      <c r="B984" s="910">
        <v>40204</v>
      </c>
      <c r="C984" s="581">
        <f t="shared" si="46"/>
        <v>1</v>
      </c>
      <c r="D984" s="171">
        <v>41.910000000000004</v>
      </c>
      <c r="E984" s="171">
        <v>40</v>
      </c>
      <c r="F984" s="171">
        <v>36.25</v>
      </c>
      <c r="G984" s="171">
        <v>31.080000000000002</v>
      </c>
      <c r="H984" s="171">
        <v>30</v>
      </c>
      <c r="I984" s="171">
        <v>37.01</v>
      </c>
      <c r="J984" s="171">
        <v>44.11</v>
      </c>
      <c r="K984" s="171">
        <v>56.300000000000004</v>
      </c>
      <c r="L984" s="171">
        <v>60.61</v>
      </c>
      <c r="M984" s="171">
        <v>62.38</v>
      </c>
      <c r="N984" s="171">
        <v>63.34</v>
      </c>
      <c r="O984" s="171">
        <v>63</v>
      </c>
      <c r="P984" s="171">
        <v>62.2</v>
      </c>
      <c r="Q984" s="171">
        <v>60.660000000000004</v>
      </c>
      <c r="R984" s="171">
        <v>58.35</v>
      </c>
      <c r="S984" s="171">
        <v>54.94</v>
      </c>
      <c r="T984" s="171">
        <v>55</v>
      </c>
      <c r="U984" s="171">
        <v>66.19</v>
      </c>
      <c r="V984" s="171">
        <v>70.180000000000007</v>
      </c>
      <c r="W984" s="171">
        <v>61.07</v>
      </c>
      <c r="X984" s="171">
        <v>50.77</v>
      </c>
      <c r="Y984" s="171">
        <v>46.72</v>
      </c>
      <c r="Z984" s="171">
        <v>46.1</v>
      </c>
      <c r="AA984" s="171">
        <v>44</v>
      </c>
      <c r="AB984" s="171">
        <v>70.180000000000007</v>
      </c>
      <c r="AC984" s="171">
        <v>46.1</v>
      </c>
      <c r="AD984" s="171">
        <v>42.02</v>
      </c>
      <c r="AF984" s="171">
        <f t="shared" si="47"/>
        <v>2010</v>
      </c>
      <c r="AG984" s="171">
        <f t="shared" si="48"/>
        <v>6</v>
      </c>
      <c r="AH984" s="700">
        <f>SUMIF(D$3:$AA984,"&lt;="&amp;$AH$1)/COUNTIF(D$3:$AA984,"&lt;="&amp;$AH$1)</f>
        <v>29.652153284671488</v>
      </c>
    </row>
    <row r="985" spans="2:34" x14ac:dyDescent="0.25">
      <c r="B985" s="910">
        <v>40205</v>
      </c>
      <c r="C985" s="581">
        <f t="shared" si="46"/>
        <v>1</v>
      </c>
      <c r="D985" s="171">
        <v>43.11</v>
      </c>
      <c r="E985" s="171">
        <v>38.910000000000004</v>
      </c>
      <c r="F985" s="171">
        <v>36.590000000000003</v>
      </c>
      <c r="G985" s="171">
        <v>34.5</v>
      </c>
      <c r="H985" s="171">
        <v>33.5</v>
      </c>
      <c r="I985" s="171">
        <v>34.81</v>
      </c>
      <c r="J985" s="171">
        <v>44.480000000000004</v>
      </c>
      <c r="K985" s="171">
        <v>60.97</v>
      </c>
      <c r="L985" s="171">
        <v>66.510000000000005</v>
      </c>
      <c r="M985" s="171">
        <v>67.33</v>
      </c>
      <c r="N985" s="171">
        <v>66</v>
      </c>
      <c r="O985" s="171">
        <v>65.5</v>
      </c>
      <c r="P985" s="171">
        <v>59</v>
      </c>
      <c r="Q985" s="171">
        <v>54.99</v>
      </c>
      <c r="R985" s="171">
        <v>51</v>
      </c>
      <c r="S985" s="171">
        <v>47.5</v>
      </c>
      <c r="T985" s="171">
        <v>47.86</v>
      </c>
      <c r="U985" s="171">
        <v>52</v>
      </c>
      <c r="V985" s="171">
        <v>51.1</v>
      </c>
      <c r="W985" s="171">
        <v>44.93</v>
      </c>
      <c r="X985" s="171">
        <v>38</v>
      </c>
      <c r="Y985" s="171">
        <v>33.980000000000004</v>
      </c>
      <c r="Z985" s="171">
        <v>33</v>
      </c>
      <c r="AA985" s="171">
        <v>30</v>
      </c>
      <c r="AB985" s="171">
        <v>67.33</v>
      </c>
      <c r="AC985" s="171">
        <v>33</v>
      </c>
      <c r="AD985" s="171">
        <v>38.49</v>
      </c>
      <c r="AF985" s="171">
        <f t="shared" si="47"/>
        <v>2010</v>
      </c>
      <c r="AG985" s="171">
        <f t="shared" si="48"/>
        <v>9</v>
      </c>
      <c r="AH985" s="700">
        <f>SUMIF(D$3:$AA985,"&lt;="&amp;$AH$1)/COUNTIF(D$3:$AA985,"&lt;="&amp;$AH$1)</f>
        <v>29.656855059252461</v>
      </c>
    </row>
    <row r="986" spans="2:34" x14ac:dyDescent="0.25">
      <c r="B986" s="910">
        <v>40206</v>
      </c>
      <c r="C986" s="581">
        <f t="shared" si="46"/>
        <v>1</v>
      </c>
      <c r="D986" s="171">
        <v>28</v>
      </c>
      <c r="E986" s="171">
        <v>25.3</v>
      </c>
      <c r="F986" s="171">
        <v>24</v>
      </c>
      <c r="G986" s="171">
        <v>22.51</v>
      </c>
      <c r="H986" s="171">
        <v>24.5</v>
      </c>
      <c r="I986" s="171">
        <v>28</v>
      </c>
      <c r="J986" s="171">
        <v>35.9</v>
      </c>
      <c r="K986" s="171">
        <v>45.96</v>
      </c>
      <c r="L986" s="171">
        <v>50.25</v>
      </c>
      <c r="M986" s="171">
        <v>51.99</v>
      </c>
      <c r="N986" s="171">
        <v>50.99</v>
      </c>
      <c r="O986" s="171">
        <v>49.94</v>
      </c>
      <c r="P986" s="171">
        <v>47</v>
      </c>
      <c r="Q986" s="171">
        <v>45.75</v>
      </c>
      <c r="R986" s="171">
        <v>44</v>
      </c>
      <c r="S986" s="171">
        <v>43.15</v>
      </c>
      <c r="T986" s="171">
        <v>44</v>
      </c>
      <c r="U986" s="171">
        <v>53.43</v>
      </c>
      <c r="V986" s="171">
        <v>54.93</v>
      </c>
      <c r="W986" s="171">
        <v>48</v>
      </c>
      <c r="X986" s="171">
        <v>47</v>
      </c>
      <c r="Y986" s="171">
        <v>41.5</v>
      </c>
      <c r="Z986" s="171">
        <v>40</v>
      </c>
      <c r="AA986" s="171">
        <v>39.75</v>
      </c>
      <c r="AB986" s="171">
        <v>54.93</v>
      </c>
      <c r="AC986" s="171">
        <v>40</v>
      </c>
      <c r="AD986" s="171">
        <v>33.53</v>
      </c>
      <c r="AF986" s="171">
        <f t="shared" si="47"/>
        <v>2010</v>
      </c>
      <c r="AG986" s="171">
        <f t="shared" si="48"/>
        <v>10</v>
      </c>
      <c r="AH986" s="700">
        <f>SUMIF(D$3:$AA986,"&lt;="&amp;$AH$1)/COUNTIF(D$3:$AA986,"&lt;="&amp;$AH$1)</f>
        <v>29.658159465749222</v>
      </c>
    </row>
    <row r="987" spans="2:34" x14ac:dyDescent="0.25">
      <c r="B987" s="910">
        <v>40207</v>
      </c>
      <c r="C987" s="581">
        <f t="shared" si="46"/>
        <v>1</v>
      </c>
      <c r="D987" s="171">
        <v>37.15</v>
      </c>
      <c r="E987" s="171">
        <v>35</v>
      </c>
      <c r="F987" s="171">
        <v>34</v>
      </c>
      <c r="G987" s="171">
        <v>31.5</v>
      </c>
      <c r="H987" s="171">
        <v>31.5</v>
      </c>
      <c r="I987" s="171">
        <v>35.270000000000003</v>
      </c>
      <c r="J987" s="171">
        <v>45</v>
      </c>
      <c r="K987" s="171">
        <v>59.59</v>
      </c>
      <c r="L987" s="171">
        <v>67</v>
      </c>
      <c r="M987" s="171">
        <v>67.75</v>
      </c>
      <c r="N987" s="171">
        <v>68</v>
      </c>
      <c r="O987" s="171">
        <v>69</v>
      </c>
      <c r="P987" s="171">
        <v>62</v>
      </c>
      <c r="Q987" s="171">
        <v>55.63</v>
      </c>
      <c r="R987" s="171">
        <v>53</v>
      </c>
      <c r="S987" s="171">
        <v>50</v>
      </c>
      <c r="T987" s="171">
        <v>50</v>
      </c>
      <c r="U987" s="171">
        <v>55</v>
      </c>
      <c r="V987" s="171">
        <v>58.5</v>
      </c>
      <c r="W987" s="171">
        <v>55</v>
      </c>
      <c r="X987" s="171">
        <v>48.94</v>
      </c>
      <c r="Y987" s="171">
        <v>42</v>
      </c>
      <c r="Z987" s="171">
        <v>44.33</v>
      </c>
      <c r="AA987" s="171">
        <v>38.020000000000003</v>
      </c>
      <c r="AB987" s="171">
        <v>69</v>
      </c>
      <c r="AC987" s="171">
        <v>42</v>
      </c>
      <c r="AD987" s="171">
        <v>40.19</v>
      </c>
      <c r="AF987" s="171">
        <f t="shared" si="47"/>
        <v>2010</v>
      </c>
      <c r="AG987" s="171">
        <f t="shared" si="48"/>
        <v>8</v>
      </c>
      <c r="AH987" s="700">
        <f>SUMIF(D$3:$AA987,"&lt;="&amp;$AH$1)/COUNTIF(D$3:$AA987,"&lt;="&amp;$AH$1)</f>
        <v>29.662928925285573</v>
      </c>
    </row>
    <row r="988" spans="2:34" x14ac:dyDescent="0.25">
      <c r="B988" s="910">
        <v>40210</v>
      </c>
      <c r="C988" s="581">
        <f t="shared" si="46"/>
        <v>2</v>
      </c>
      <c r="D988" s="171">
        <v>36.5</v>
      </c>
      <c r="E988" s="171">
        <v>34</v>
      </c>
      <c r="F988" s="171">
        <v>30.650000000000002</v>
      </c>
      <c r="G988" s="171">
        <v>29.93</v>
      </c>
      <c r="H988" s="171">
        <v>27.8</v>
      </c>
      <c r="I988" s="171">
        <v>31</v>
      </c>
      <c r="J988" s="171">
        <v>40.28</v>
      </c>
      <c r="K988" s="171">
        <v>57</v>
      </c>
      <c r="L988" s="171">
        <v>63.54</v>
      </c>
      <c r="M988" s="171">
        <v>65</v>
      </c>
      <c r="N988" s="171">
        <v>65</v>
      </c>
      <c r="O988" s="171">
        <v>69</v>
      </c>
      <c r="P988" s="171">
        <v>65.25</v>
      </c>
      <c r="Q988" s="171">
        <v>64.430000000000007</v>
      </c>
      <c r="R988" s="171">
        <v>62.33</v>
      </c>
      <c r="S988" s="171">
        <v>55.92</v>
      </c>
      <c r="T988" s="171">
        <v>56.5</v>
      </c>
      <c r="U988" s="171">
        <v>71.53</v>
      </c>
      <c r="V988" s="171">
        <v>82</v>
      </c>
      <c r="W988" s="171">
        <v>67</v>
      </c>
      <c r="X988" s="171">
        <v>50.5</v>
      </c>
      <c r="Y988" s="171">
        <v>43.050000000000004</v>
      </c>
      <c r="Z988" s="171">
        <v>41.38</v>
      </c>
      <c r="AA988" s="171">
        <v>37.5</v>
      </c>
      <c r="AB988" s="171">
        <v>82</v>
      </c>
      <c r="AC988" s="171">
        <v>41.38</v>
      </c>
      <c r="AD988" s="171">
        <v>38.300000000000004</v>
      </c>
      <c r="AF988" s="171">
        <f t="shared" si="47"/>
        <v>2010</v>
      </c>
      <c r="AG988" s="171">
        <f t="shared" si="48"/>
        <v>9</v>
      </c>
      <c r="AH988" s="700">
        <f>SUMIF(D$3:$AA988,"&lt;="&amp;$AH$1)/COUNTIF(D$3:$AA988,"&lt;="&amp;$AH$1)</f>
        <v>29.667178787878754</v>
      </c>
    </row>
    <row r="989" spans="2:34" x14ac:dyDescent="0.25">
      <c r="B989" s="910">
        <v>40211</v>
      </c>
      <c r="C989" s="581">
        <f t="shared" si="46"/>
        <v>2</v>
      </c>
      <c r="D989" s="171">
        <v>34.64</v>
      </c>
      <c r="E989" s="171">
        <v>32.79</v>
      </c>
      <c r="F989" s="171">
        <v>30</v>
      </c>
      <c r="G989" s="171">
        <v>29</v>
      </c>
      <c r="H989" s="171">
        <v>28</v>
      </c>
      <c r="I989" s="171">
        <v>30.080000000000002</v>
      </c>
      <c r="J989" s="171">
        <v>34</v>
      </c>
      <c r="K989" s="171">
        <v>44.64</v>
      </c>
      <c r="L989" s="171">
        <v>49.94</v>
      </c>
      <c r="M989" s="171">
        <v>49.5</v>
      </c>
      <c r="N989" s="171">
        <v>49</v>
      </c>
      <c r="O989" s="171">
        <v>49.94</v>
      </c>
      <c r="P989" s="171">
        <v>47.51</v>
      </c>
      <c r="Q989" s="171">
        <v>47.88</v>
      </c>
      <c r="R989" s="171">
        <v>44.99</v>
      </c>
      <c r="S989" s="171">
        <v>44.65</v>
      </c>
      <c r="T989" s="171">
        <v>44</v>
      </c>
      <c r="U989" s="171">
        <v>52.5</v>
      </c>
      <c r="V989" s="171">
        <v>52.64</v>
      </c>
      <c r="W989" s="171">
        <v>45</v>
      </c>
      <c r="X989" s="171">
        <v>42.43</v>
      </c>
      <c r="Y989" s="171">
        <v>35.53</v>
      </c>
      <c r="Z989" s="171">
        <v>36</v>
      </c>
      <c r="AA989" s="171">
        <v>31.51</v>
      </c>
      <c r="AB989" s="171">
        <v>52.64</v>
      </c>
      <c r="AC989" s="171">
        <v>35.53</v>
      </c>
      <c r="AD989" s="171">
        <v>34.049999999999997</v>
      </c>
      <c r="AF989" s="171">
        <f t="shared" si="47"/>
        <v>2010</v>
      </c>
      <c r="AG989" s="171">
        <f t="shared" si="48"/>
        <v>11</v>
      </c>
      <c r="AH989" s="700">
        <f>SUMIF(D$3:$AA989,"&lt;="&amp;$AH$1)/COUNTIF(D$3:$AA989,"&lt;="&amp;$AH$1)</f>
        <v>29.670976692563787</v>
      </c>
    </row>
    <row r="990" spans="2:34" x14ac:dyDescent="0.25">
      <c r="B990" s="910">
        <v>40212</v>
      </c>
      <c r="C990" s="581">
        <f t="shared" si="46"/>
        <v>2</v>
      </c>
      <c r="D990" s="171">
        <v>29.490000000000002</v>
      </c>
      <c r="E990" s="171">
        <v>25</v>
      </c>
      <c r="F990" s="171">
        <v>21</v>
      </c>
      <c r="G990" s="171">
        <v>19.78</v>
      </c>
      <c r="H990" s="171">
        <v>24</v>
      </c>
      <c r="I990" s="171">
        <v>29.490000000000002</v>
      </c>
      <c r="J990" s="171">
        <v>37</v>
      </c>
      <c r="K990" s="171">
        <v>49.93</v>
      </c>
      <c r="L990" s="171">
        <v>52.5</v>
      </c>
      <c r="M990" s="171">
        <v>56.07</v>
      </c>
      <c r="N990" s="171">
        <v>55</v>
      </c>
      <c r="O990" s="171">
        <v>52.97</v>
      </c>
      <c r="P990" s="171">
        <v>49.58</v>
      </c>
      <c r="Q990" s="171">
        <v>47.22</v>
      </c>
      <c r="R990" s="171">
        <v>45.5</v>
      </c>
      <c r="S990" s="171">
        <v>45.1</v>
      </c>
      <c r="T990" s="171">
        <v>46.39</v>
      </c>
      <c r="U990" s="171">
        <v>54.5</v>
      </c>
      <c r="V990" s="171">
        <v>64.900000000000006</v>
      </c>
      <c r="W990" s="171">
        <v>59.11</v>
      </c>
      <c r="X990" s="171">
        <v>47.5</v>
      </c>
      <c r="Y990" s="171">
        <v>45.03</v>
      </c>
      <c r="Z990" s="171">
        <v>41.71</v>
      </c>
      <c r="AA990" s="171">
        <v>38</v>
      </c>
      <c r="AB990" s="171">
        <v>64.900000000000006</v>
      </c>
      <c r="AC990" s="171">
        <v>41.71</v>
      </c>
      <c r="AD990" s="171">
        <v>33.99</v>
      </c>
      <c r="AF990" s="171">
        <f t="shared" si="47"/>
        <v>2010</v>
      </c>
      <c r="AG990" s="171">
        <f t="shared" si="48"/>
        <v>9</v>
      </c>
      <c r="AH990" s="700">
        <f>SUMIF(D$3:$AA990,"&lt;="&amp;$AH$1)/COUNTIF(D$3:$AA990,"&lt;="&amp;$AH$1)</f>
        <v>29.670818548387068</v>
      </c>
    </row>
    <row r="991" spans="2:34" x14ac:dyDescent="0.25">
      <c r="B991" s="910">
        <v>40213</v>
      </c>
      <c r="C991" s="581">
        <f t="shared" si="46"/>
        <v>2</v>
      </c>
      <c r="D991" s="171">
        <v>37.64</v>
      </c>
      <c r="E991" s="171">
        <v>31.25</v>
      </c>
      <c r="F991" s="171">
        <v>29.96</v>
      </c>
      <c r="G991" s="171">
        <v>29.93</v>
      </c>
      <c r="H991" s="171">
        <v>30</v>
      </c>
      <c r="I991" s="171">
        <v>36</v>
      </c>
      <c r="J991" s="171">
        <v>44.74</v>
      </c>
      <c r="K991" s="171">
        <v>56.910000000000004</v>
      </c>
      <c r="L991" s="171">
        <v>57.95</v>
      </c>
      <c r="M991" s="171">
        <v>59.25</v>
      </c>
      <c r="N991" s="171">
        <v>58.92</v>
      </c>
      <c r="O991" s="171">
        <v>59.300000000000004</v>
      </c>
      <c r="P991" s="171">
        <v>56.88</v>
      </c>
      <c r="Q991" s="171">
        <v>56.34</v>
      </c>
      <c r="R991" s="171">
        <v>54</v>
      </c>
      <c r="S991" s="171">
        <v>51</v>
      </c>
      <c r="T991" s="171">
        <v>49.99</v>
      </c>
      <c r="U991" s="171">
        <v>58</v>
      </c>
      <c r="V991" s="171">
        <v>70.680000000000007</v>
      </c>
      <c r="W991" s="171">
        <v>59.74</v>
      </c>
      <c r="X991" s="171">
        <v>51.24</v>
      </c>
      <c r="Y991" s="171">
        <v>43.61</v>
      </c>
      <c r="Z991" s="171">
        <v>44</v>
      </c>
      <c r="AA991" s="171">
        <v>39.22</v>
      </c>
      <c r="AB991" s="171">
        <v>70.680000000000007</v>
      </c>
      <c r="AC991" s="171">
        <v>43.61</v>
      </c>
      <c r="AD991" s="171">
        <v>39.54</v>
      </c>
      <c r="AF991" s="171">
        <f t="shared" si="47"/>
        <v>2010</v>
      </c>
      <c r="AG991" s="171">
        <f t="shared" si="48"/>
        <v>7</v>
      </c>
      <c r="AH991" s="700">
        <f>SUMIF(D$3:$AA991,"&lt;="&amp;$AH$1)/COUNTIF(D$3:$AA991,"&lt;="&amp;$AH$1)</f>
        <v>29.673468318726677</v>
      </c>
    </row>
    <row r="992" spans="2:34" x14ac:dyDescent="0.25">
      <c r="B992" s="910">
        <v>40214</v>
      </c>
      <c r="C992" s="581">
        <f t="shared" si="46"/>
        <v>2</v>
      </c>
      <c r="D992" s="171">
        <v>35.07</v>
      </c>
      <c r="E992" s="171">
        <v>34.19</v>
      </c>
      <c r="F992" s="171">
        <v>32.340000000000003</v>
      </c>
      <c r="G992" s="171">
        <v>29.03</v>
      </c>
      <c r="H992" s="171">
        <v>28.17</v>
      </c>
      <c r="I992" s="171">
        <v>32.58</v>
      </c>
      <c r="J992" s="171">
        <v>38.97</v>
      </c>
      <c r="K992" s="171">
        <v>50.5</v>
      </c>
      <c r="L992" s="171">
        <v>50.75</v>
      </c>
      <c r="M992" s="171">
        <v>52</v>
      </c>
      <c r="N992" s="171">
        <v>52.68</v>
      </c>
      <c r="O992" s="171">
        <v>53</v>
      </c>
      <c r="P992" s="171">
        <v>52.4</v>
      </c>
      <c r="Q992" s="171">
        <v>49.19</v>
      </c>
      <c r="R992" s="171">
        <v>45.06</v>
      </c>
      <c r="S992" s="171">
        <v>41</v>
      </c>
      <c r="T992" s="171">
        <v>40.83</v>
      </c>
      <c r="U992" s="171">
        <v>47</v>
      </c>
      <c r="V992" s="171">
        <v>57.1</v>
      </c>
      <c r="W992" s="171">
        <v>53.06</v>
      </c>
      <c r="X992" s="171">
        <v>46.43</v>
      </c>
      <c r="Y992" s="171">
        <v>39.910000000000004</v>
      </c>
      <c r="Z992" s="171">
        <v>42.07</v>
      </c>
      <c r="AA992" s="171">
        <v>40.42</v>
      </c>
      <c r="AB992" s="171">
        <v>57.1</v>
      </c>
      <c r="AC992" s="171">
        <v>39.910000000000004</v>
      </c>
      <c r="AD992" s="171">
        <v>37.47</v>
      </c>
      <c r="AF992" s="171">
        <f t="shared" si="47"/>
        <v>2010</v>
      </c>
      <c r="AG992" s="171">
        <f t="shared" si="48"/>
        <v>12</v>
      </c>
      <c r="AH992" s="700">
        <f>SUMIF(D$3:$AA992,"&lt;="&amp;$AH$1)/COUNTIF(D$3:$AA992,"&lt;="&amp;$AH$1)</f>
        <v>29.681366334641286</v>
      </c>
    </row>
    <row r="993" spans="2:34" x14ac:dyDescent="0.25">
      <c r="B993" s="910">
        <v>40217</v>
      </c>
      <c r="C993" s="581">
        <f t="shared" si="46"/>
        <v>2</v>
      </c>
      <c r="D993" s="171">
        <v>37.25</v>
      </c>
      <c r="E993" s="171">
        <v>36.050000000000004</v>
      </c>
      <c r="F993" s="171">
        <v>33.54</v>
      </c>
      <c r="G993" s="171">
        <v>30</v>
      </c>
      <c r="H993" s="171">
        <v>29.73</v>
      </c>
      <c r="I993" s="171">
        <v>33</v>
      </c>
      <c r="J993" s="171">
        <v>45</v>
      </c>
      <c r="K993" s="171">
        <v>57</v>
      </c>
      <c r="L993" s="171">
        <v>64.900000000000006</v>
      </c>
      <c r="M993" s="171">
        <v>69.61</v>
      </c>
      <c r="N993" s="171">
        <v>69.86</v>
      </c>
      <c r="O993" s="171">
        <v>66.27</v>
      </c>
      <c r="P993" s="171">
        <v>66</v>
      </c>
      <c r="Q993" s="171">
        <v>61.99</v>
      </c>
      <c r="R993" s="171">
        <v>56.51</v>
      </c>
      <c r="S993" s="171">
        <v>53.6</v>
      </c>
      <c r="T993" s="171">
        <v>53</v>
      </c>
      <c r="U993" s="171">
        <v>63.14</v>
      </c>
      <c r="V993" s="171">
        <v>96.4</v>
      </c>
      <c r="W993" s="171">
        <v>67.5</v>
      </c>
      <c r="X993" s="171">
        <v>55.26</v>
      </c>
      <c r="Y993" s="171">
        <v>45.87</v>
      </c>
      <c r="Z993" s="171">
        <v>43.33</v>
      </c>
      <c r="AA993" s="171">
        <v>41</v>
      </c>
      <c r="AB993" s="171">
        <v>96.4</v>
      </c>
      <c r="AC993" s="171">
        <v>43.33</v>
      </c>
      <c r="AD993" s="171">
        <v>40.590000000000003</v>
      </c>
      <c r="AF993" s="171">
        <f t="shared" si="47"/>
        <v>2010</v>
      </c>
      <c r="AG993" s="171">
        <f t="shared" si="48"/>
        <v>7</v>
      </c>
      <c r="AH993" s="700">
        <f>SUMIF(D$3:$AA993,"&lt;="&amp;$AH$1)/COUNTIF(D$3:$AA993,"&lt;="&amp;$AH$1)</f>
        <v>29.684664186607652</v>
      </c>
    </row>
    <row r="994" spans="2:34" x14ac:dyDescent="0.25">
      <c r="B994" s="910">
        <v>40218</v>
      </c>
      <c r="C994" s="581">
        <f t="shared" si="46"/>
        <v>2</v>
      </c>
      <c r="D994" s="171">
        <v>39.96</v>
      </c>
      <c r="E994" s="171">
        <v>39</v>
      </c>
      <c r="F994" s="171">
        <v>35</v>
      </c>
      <c r="G994" s="171">
        <v>30</v>
      </c>
      <c r="H994" s="171">
        <v>29.5</v>
      </c>
      <c r="I994" s="171">
        <v>36.090000000000003</v>
      </c>
      <c r="J994" s="171">
        <v>46.410000000000004</v>
      </c>
      <c r="K994" s="171">
        <v>58</v>
      </c>
      <c r="L994" s="171">
        <v>62.59</v>
      </c>
      <c r="M994" s="171">
        <v>63.18</v>
      </c>
      <c r="N994" s="171">
        <v>64.099999999999994</v>
      </c>
      <c r="O994" s="171">
        <v>64</v>
      </c>
      <c r="P994" s="171">
        <v>60.53</v>
      </c>
      <c r="Q994" s="171">
        <v>57.230000000000004</v>
      </c>
      <c r="R994" s="171">
        <v>56.27</v>
      </c>
      <c r="S994" s="171">
        <v>53.02</v>
      </c>
      <c r="T994" s="171">
        <v>54.13</v>
      </c>
      <c r="U994" s="171">
        <v>60.800000000000004</v>
      </c>
      <c r="V994" s="171">
        <v>78.41</v>
      </c>
      <c r="W994" s="171">
        <v>70.09</v>
      </c>
      <c r="X994" s="171">
        <v>54.61</v>
      </c>
      <c r="Y994" s="171">
        <v>46.43</v>
      </c>
      <c r="Z994" s="171">
        <v>46.5</v>
      </c>
      <c r="AA994" s="171">
        <v>44.61</v>
      </c>
      <c r="AB994" s="171">
        <v>78.41</v>
      </c>
      <c r="AC994" s="171">
        <v>46.43</v>
      </c>
      <c r="AD994" s="171">
        <v>42.18</v>
      </c>
      <c r="AF994" s="171">
        <f t="shared" si="47"/>
        <v>2010</v>
      </c>
      <c r="AG994" s="171">
        <f t="shared" si="48"/>
        <v>6</v>
      </c>
      <c r="AH994" s="700">
        <f>SUMIF(D$3:$AA994,"&lt;="&amp;$AH$1)/COUNTIF(D$3:$AA994,"&lt;="&amp;$AH$1)</f>
        <v>29.687823553054635</v>
      </c>
    </row>
    <row r="995" spans="2:34" x14ac:dyDescent="0.25">
      <c r="B995" s="910">
        <v>40219</v>
      </c>
      <c r="C995" s="581">
        <f t="shared" si="46"/>
        <v>2</v>
      </c>
      <c r="D995" s="171">
        <v>39.94</v>
      </c>
      <c r="E995" s="171">
        <v>37.5</v>
      </c>
      <c r="F995" s="171">
        <v>35.090000000000003</v>
      </c>
      <c r="G995" s="171">
        <v>31.96</v>
      </c>
      <c r="H995" s="171">
        <v>30.72</v>
      </c>
      <c r="I995" s="171">
        <v>37</v>
      </c>
      <c r="J995" s="171">
        <v>44.75</v>
      </c>
      <c r="K995" s="171">
        <v>59.99</v>
      </c>
      <c r="L995" s="171">
        <v>63.36</v>
      </c>
      <c r="M995" s="171">
        <v>66.19</v>
      </c>
      <c r="N995" s="171">
        <v>66.09</v>
      </c>
      <c r="O995" s="171">
        <v>66.260000000000005</v>
      </c>
      <c r="P995" s="171">
        <v>64.290000000000006</v>
      </c>
      <c r="Q995" s="171">
        <v>62.4</v>
      </c>
      <c r="R995" s="171">
        <v>57.5</v>
      </c>
      <c r="S995" s="171">
        <v>53.06</v>
      </c>
      <c r="T995" s="171">
        <v>51.43</v>
      </c>
      <c r="U995" s="171">
        <v>58.7</v>
      </c>
      <c r="V995" s="171">
        <v>73.5</v>
      </c>
      <c r="W995" s="171">
        <v>66.650000000000006</v>
      </c>
      <c r="X995" s="171">
        <v>52</v>
      </c>
      <c r="Y995" s="171">
        <v>46</v>
      </c>
      <c r="Z995" s="171">
        <v>43.6</v>
      </c>
      <c r="AA995" s="171">
        <v>39.18</v>
      </c>
      <c r="AB995" s="171">
        <v>73.5</v>
      </c>
      <c r="AC995" s="171">
        <v>43.6</v>
      </c>
      <c r="AD995" s="171">
        <v>41.480000000000004</v>
      </c>
      <c r="AF995" s="171">
        <f t="shared" si="47"/>
        <v>2010</v>
      </c>
      <c r="AG995" s="171">
        <f t="shared" si="48"/>
        <v>7</v>
      </c>
      <c r="AH995" s="700">
        <f>SUMIF(D$3:$AA995,"&lt;="&amp;$AH$1)/COUNTIF(D$3:$AA995,"&lt;="&amp;$AH$1)</f>
        <v>29.692199015965432</v>
      </c>
    </row>
    <row r="996" spans="2:34" x14ac:dyDescent="0.25">
      <c r="B996" s="910">
        <v>40220</v>
      </c>
      <c r="C996" s="581">
        <f t="shared" si="46"/>
        <v>2</v>
      </c>
      <c r="D996" s="171">
        <v>37</v>
      </c>
      <c r="E996" s="171">
        <v>35</v>
      </c>
      <c r="F996" s="171">
        <v>34.160000000000004</v>
      </c>
      <c r="G996" s="171">
        <v>31</v>
      </c>
      <c r="H996" s="171">
        <v>30.650000000000002</v>
      </c>
      <c r="I996" s="171">
        <v>34.160000000000004</v>
      </c>
      <c r="J996" s="171">
        <v>36.69</v>
      </c>
      <c r="K996" s="171">
        <v>52</v>
      </c>
      <c r="L996" s="171">
        <v>56.1</v>
      </c>
      <c r="M996" s="171">
        <v>59</v>
      </c>
      <c r="N996" s="171">
        <v>58.58</v>
      </c>
      <c r="O996" s="171">
        <v>59</v>
      </c>
      <c r="P996" s="171">
        <v>55.17</v>
      </c>
      <c r="Q996" s="171">
        <v>51.9</v>
      </c>
      <c r="R996" s="171">
        <v>49.75</v>
      </c>
      <c r="S996" s="171">
        <v>48.39</v>
      </c>
      <c r="T996" s="171">
        <v>47.33</v>
      </c>
      <c r="U996" s="171">
        <v>55</v>
      </c>
      <c r="V996" s="171">
        <v>63.5</v>
      </c>
      <c r="W996" s="171">
        <v>57</v>
      </c>
      <c r="X996" s="171">
        <v>48</v>
      </c>
      <c r="Y996" s="171">
        <v>42.14</v>
      </c>
      <c r="Z996" s="171">
        <v>40.700000000000003</v>
      </c>
      <c r="AA996" s="171">
        <v>36.58</v>
      </c>
      <c r="AB996" s="171">
        <v>63.5</v>
      </c>
      <c r="AC996" s="171">
        <v>40.700000000000003</v>
      </c>
      <c r="AD996" s="171">
        <v>38.17</v>
      </c>
      <c r="AF996" s="171">
        <f t="shared" si="47"/>
        <v>2010</v>
      </c>
      <c r="AG996" s="171">
        <f t="shared" si="48"/>
        <v>10</v>
      </c>
      <c r="AH996" s="700">
        <f>SUMIF(D$3:$AA996,"&lt;="&amp;$AH$1)/COUNTIF(D$3:$AA996,"&lt;="&amp;$AH$1)</f>
        <v>29.698333834888132</v>
      </c>
    </row>
    <row r="997" spans="2:34" x14ac:dyDescent="0.25">
      <c r="B997" s="910">
        <v>40221</v>
      </c>
      <c r="C997" s="581">
        <f t="shared" si="46"/>
        <v>2</v>
      </c>
      <c r="D997" s="171">
        <v>35.24</v>
      </c>
      <c r="E997" s="171">
        <v>34.69</v>
      </c>
      <c r="F997" s="171">
        <v>34.369999999999997</v>
      </c>
      <c r="G997" s="171">
        <v>30.03</v>
      </c>
      <c r="H997" s="171">
        <v>30.650000000000002</v>
      </c>
      <c r="I997" s="171">
        <v>34.770000000000003</v>
      </c>
      <c r="J997" s="171">
        <v>42.730000000000004</v>
      </c>
      <c r="K997" s="171">
        <v>55.050000000000004</v>
      </c>
      <c r="L997" s="171">
        <v>62.46</v>
      </c>
      <c r="M997" s="171">
        <v>70</v>
      </c>
      <c r="N997" s="171">
        <v>66.87</v>
      </c>
      <c r="O997" s="171">
        <v>64.930000000000007</v>
      </c>
      <c r="P997" s="171">
        <v>58.410000000000004</v>
      </c>
      <c r="Q997" s="171">
        <v>53.5</v>
      </c>
      <c r="R997" s="171">
        <v>50.5</v>
      </c>
      <c r="S997" s="171">
        <v>49.35</v>
      </c>
      <c r="T997" s="171">
        <v>48</v>
      </c>
      <c r="U997" s="171">
        <v>54.93</v>
      </c>
      <c r="V997" s="171">
        <v>65.84</v>
      </c>
      <c r="W997" s="171">
        <v>58.22</v>
      </c>
      <c r="X997" s="171">
        <v>48</v>
      </c>
      <c r="Y997" s="171">
        <v>42.33</v>
      </c>
      <c r="Z997" s="171">
        <v>43.28</v>
      </c>
      <c r="AA997" s="171">
        <v>39.29</v>
      </c>
      <c r="AB997" s="171">
        <v>70</v>
      </c>
      <c r="AC997" s="171">
        <v>42.33</v>
      </c>
      <c r="AD997" s="171">
        <v>39.200000000000003</v>
      </c>
      <c r="AF997" s="171">
        <f t="shared" si="47"/>
        <v>2010</v>
      </c>
      <c r="AG997" s="171">
        <f t="shared" si="48"/>
        <v>8</v>
      </c>
      <c r="AH997" s="700">
        <f>SUMIF(D$3:$AA997,"&lt;="&amp;$AH$1)/COUNTIF(D$3:$AA997,"&lt;="&amp;$AH$1)</f>
        <v>29.702722261200744</v>
      </c>
    </row>
    <row r="998" spans="2:34" x14ac:dyDescent="0.25">
      <c r="B998" s="910">
        <v>40224</v>
      </c>
      <c r="C998" s="581">
        <f t="shared" si="46"/>
        <v>2</v>
      </c>
      <c r="D998" s="171">
        <v>40</v>
      </c>
      <c r="E998" s="171">
        <v>37.61</v>
      </c>
      <c r="F998" s="171">
        <v>36</v>
      </c>
      <c r="G998" s="171">
        <v>35</v>
      </c>
      <c r="H998" s="171">
        <v>32.99</v>
      </c>
      <c r="I998" s="171">
        <v>35.1</v>
      </c>
      <c r="J998" s="171">
        <v>49.5</v>
      </c>
      <c r="K998" s="171">
        <v>63.190000000000005</v>
      </c>
      <c r="L998" s="171">
        <v>62.82</v>
      </c>
      <c r="M998" s="171">
        <v>71.5</v>
      </c>
      <c r="N998" s="171">
        <v>74.31</v>
      </c>
      <c r="O998" s="171">
        <v>79.25</v>
      </c>
      <c r="P998" s="171">
        <v>66.3</v>
      </c>
      <c r="Q998" s="171">
        <v>66</v>
      </c>
      <c r="R998" s="171">
        <v>64.930000000000007</v>
      </c>
      <c r="S998" s="171">
        <v>58.52</v>
      </c>
      <c r="T998" s="171">
        <v>56.7</v>
      </c>
      <c r="U998" s="171">
        <v>62.45</v>
      </c>
      <c r="V998" s="171">
        <v>78.11</v>
      </c>
      <c r="W998" s="171">
        <v>64</v>
      </c>
      <c r="X998" s="171">
        <v>55.72</v>
      </c>
      <c r="Y998" s="171">
        <v>46</v>
      </c>
      <c r="Z998" s="171">
        <v>47</v>
      </c>
      <c r="AA998" s="171">
        <v>41</v>
      </c>
      <c r="AB998" s="171">
        <v>79.25</v>
      </c>
      <c r="AC998" s="171">
        <v>46</v>
      </c>
      <c r="AD998" s="171">
        <v>43.26</v>
      </c>
      <c r="AF998" s="171">
        <f t="shared" si="47"/>
        <v>2010</v>
      </c>
      <c r="AG998" s="171">
        <f t="shared" si="48"/>
        <v>7</v>
      </c>
      <c r="AH998" s="700">
        <f>SUMIF(D$3:$AA998,"&lt;="&amp;$AH$1)/COUNTIF(D$3:$AA998,"&lt;="&amp;$AH$1)</f>
        <v>29.707708333333311</v>
      </c>
    </row>
    <row r="999" spans="2:34" x14ac:dyDescent="0.25">
      <c r="B999" s="910">
        <v>40225</v>
      </c>
      <c r="C999" s="581">
        <f t="shared" si="46"/>
        <v>2</v>
      </c>
      <c r="D999" s="171">
        <v>39</v>
      </c>
      <c r="E999" s="171">
        <v>35</v>
      </c>
      <c r="F999" s="171">
        <v>34</v>
      </c>
      <c r="G999" s="171">
        <v>34</v>
      </c>
      <c r="H999" s="171">
        <v>33.03</v>
      </c>
      <c r="I999" s="171">
        <v>34.93</v>
      </c>
      <c r="J999" s="171">
        <v>44</v>
      </c>
      <c r="K999" s="171">
        <v>58.620000000000005</v>
      </c>
      <c r="L999" s="171">
        <v>56</v>
      </c>
      <c r="M999" s="171">
        <v>61.5</v>
      </c>
      <c r="N999" s="171">
        <v>62.4</v>
      </c>
      <c r="O999" s="171">
        <v>65.44</v>
      </c>
      <c r="P999" s="171">
        <v>58.800000000000004</v>
      </c>
      <c r="Q999" s="171">
        <v>56</v>
      </c>
      <c r="R999" s="171">
        <v>51.980000000000004</v>
      </c>
      <c r="S999" s="171">
        <v>49.94</v>
      </c>
      <c r="T999" s="171">
        <v>46</v>
      </c>
      <c r="U999" s="171">
        <v>56</v>
      </c>
      <c r="V999" s="171">
        <v>67.5</v>
      </c>
      <c r="W999" s="171">
        <v>59.69</v>
      </c>
      <c r="X999" s="171">
        <v>51.18</v>
      </c>
      <c r="Y999" s="171">
        <v>43.5</v>
      </c>
      <c r="Z999" s="171">
        <v>43.87</v>
      </c>
      <c r="AA999" s="171">
        <v>40</v>
      </c>
      <c r="AB999" s="171">
        <v>67.5</v>
      </c>
      <c r="AC999" s="171">
        <v>43.5</v>
      </c>
      <c r="AD999" s="171">
        <v>40.93</v>
      </c>
      <c r="AF999" s="171">
        <f t="shared" si="47"/>
        <v>2010</v>
      </c>
      <c r="AG999" s="171">
        <f t="shared" si="48"/>
        <v>7</v>
      </c>
      <c r="AH999" s="700">
        <f>SUMIF(D$3:$AA999,"&lt;="&amp;$AH$1)/COUNTIF(D$3:$AA999,"&lt;="&amp;$AH$1)</f>
        <v>29.711912721449284</v>
      </c>
    </row>
    <row r="1000" spans="2:34" x14ac:dyDescent="0.25">
      <c r="B1000" s="910">
        <v>40226</v>
      </c>
      <c r="C1000" s="581">
        <f t="shared" si="46"/>
        <v>2</v>
      </c>
      <c r="D1000" s="171">
        <v>41.5</v>
      </c>
      <c r="E1000" s="171">
        <v>38</v>
      </c>
      <c r="F1000" s="171">
        <v>36.99</v>
      </c>
      <c r="G1000" s="171">
        <v>36.99</v>
      </c>
      <c r="H1000" s="171">
        <v>34.93</v>
      </c>
      <c r="I1000" s="171">
        <v>37</v>
      </c>
      <c r="J1000" s="171">
        <v>44.93</v>
      </c>
      <c r="K1000" s="171">
        <v>60</v>
      </c>
      <c r="L1000" s="171">
        <v>60</v>
      </c>
      <c r="M1000" s="171">
        <v>64.8</v>
      </c>
      <c r="N1000" s="171">
        <v>64.989999999999995</v>
      </c>
      <c r="O1000" s="171">
        <v>67.75</v>
      </c>
      <c r="P1000" s="171">
        <v>63.25</v>
      </c>
      <c r="Q1000" s="171">
        <v>61.5</v>
      </c>
      <c r="R1000" s="171">
        <v>55.5</v>
      </c>
      <c r="S1000" s="171">
        <v>54</v>
      </c>
      <c r="T1000" s="171">
        <v>52</v>
      </c>
      <c r="U1000" s="171">
        <v>57.5</v>
      </c>
      <c r="V1000" s="171">
        <v>65.81</v>
      </c>
      <c r="W1000" s="171">
        <v>60.5</v>
      </c>
      <c r="X1000" s="171">
        <v>51.660000000000004</v>
      </c>
      <c r="Y1000" s="171">
        <v>45</v>
      </c>
      <c r="Z1000" s="171">
        <v>47.27</v>
      </c>
      <c r="AA1000" s="171">
        <v>43.5</v>
      </c>
      <c r="AB1000" s="171">
        <v>67.75</v>
      </c>
      <c r="AC1000" s="171">
        <v>45</v>
      </c>
      <c r="AD1000" s="171">
        <v>43.15</v>
      </c>
      <c r="AF1000" s="171">
        <f t="shared" si="47"/>
        <v>2010</v>
      </c>
      <c r="AG1000" s="171">
        <f t="shared" si="48"/>
        <v>6</v>
      </c>
      <c r="AH1000" s="700">
        <f>SUMIF(D$3:$AA1000,"&lt;="&amp;$AH$1)/COUNTIF(D$3:$AA1000,"&lt;="&amp;$AH$1)</f>
        <v>29.716627988396496</v>
      </c>
    </row>
    <row r="1001" spans="2:34" x14ac:dyDescent="0.25">
      <c r="B1001" s="910">
        <v>40227</v>
      </c>
      <c r="C1001" s="581">
        <f t="shared" si="46"/>
        <v>2</v>
      </c>
      <c r="D1001" s="171">
        <v>38.15</v>
      </c>
      <c r="E1001" s="171">
        <v>37</v>
      </c>
      <c r="F1001" s="171">
        <v>34</v>
      </c>
      <c r="G1001" s="171">
        <v>29.57</v>
      </c>
      <c r="H1001" s="171">
        <v>29</v>
      </c>
      <c r="I1001" s="171">
        <v>34.43</v>
      </c>
      <c r="J1001" s="171">
        <v>42</v>
      </c>
      <c r="K1001" s="171">
        <v>54.2</v>
      </c>
      <c r="L1001" s="171">
        <v>57.01</v>
      </c>
      <c r="M1001" s="171">
        <v>59.64</v>
      </c>
      <c r="N1001" s="171">
        <v>58.76</v>
      </c>
      <c r="O1001" s="171">
        <v>59.99</v>
      </c>
      <c r="P1001" s="171">
        <v>57.42</v>
      </c>
      <c r="Q1001" s="171">
        <v>56</v>
      </c>
      <c r="R1001" s="171">
        <v>51.370000000000005</v>
      </c>
      <c r="S1001" s="171">
        <v>47.83</v>
      </c>
      <c r="T1001" s="171">
        <v>46.18</v>
      </c>
      <c r="U1001" s="171">
        <v>49.49</v>
      </c>
      <c r="V1001" s="171">
        <v>58.7</v>
      </c>
      <c r="W1001" s="171">
        <v>54.78</v>
      </c>
      <c r="X1001" s="171">
        <v>46.18</v>
      </c>
      <c r="Y1001" s="171">
        <v>39.5</v>
      </c>
      <c r="Z1001" s="171">
        <v>41.04</v>
      </c>
      <c r="AA1001" s="171">
        <v>38</v>
      </c>
      <c r="AB1001" s="171">
        <v>59.99</v>
      </c>
      <c r="AC1001" s="171">
        <v>39.5</v>
      </c>
      <c r="AD1001" s="171">
        <v>38.590000000000003</v>
      </c>
      <c r="AF1001" s="171">
        <f t="shared" si="47"/>
        <v>2010</v>
      </c>
      <c r="AG1001" s="171">
        <f t="shared" si="48"/>
        <v>10</v>
      </c>
      <c r="AH1001" s="700">
        <f>SUMIF(D$3:$AA1001,"&lt;="&amp;$AH$1)/COUNTIF(D$3:$AA1001,"&lt;="&amp;$AH$1)</f>
        <v>29.723175776956108</v>
      </c>
    </row>
    <row r="1002" spans="2:34" x14ac:dyDescent="0.25">
      <c r="B1002" s="910">
        <v>40228</v>
      </c>
      <c r="C1002" s="581">
        <f t="shared" si="46"/>
        <v>2</v>
      </c>
      <c r="D1002" s="171">
        <v>34.67</v>
      </c>
      <c r="E1002" s="171">
        <v>33</v>
      </c>
      <c r="F1002" s="171">
        <v>31.28</v>
      </c>
      <c r="G1002" s="171">
        <v>27.310000000000002</v>
      </c>
      <c r="H1002" s="171">
        <v>25.01</v>
      </c>
      <c r="I1002" s="171">
        <v>30.04</v>
      </c>
      <c r="J1002" s="171">
        <v>38.86</v>
      </c>
      <c r="K1002" s="171">
        <v>48.49</v>
      </c>
      <c r="L1002" s="171">
        <v>51</v>
      </c>
      <c r="M1002" s="171">
        <v>54.93</v>
      </c>
      <c r="N1002" s="171">
        <v>53</v>
      </c>
      <c r="O1002" s="171">
        <v>56.27</v>
      </c>
      <c r="P1002" s="171">
        <v>54.83</v>
      </c>
      <c r="Q1002" s="171">
        <v>48.85</v>
      </c>
      <c r="R1002" s="171">
        <v>45</v>
      </c>
      <c r="S1002" s="171">
        <v>41.480000000000004</v>
      </c>
      <c r="T1002" s="171">
        <v>40.910000000000004</v>
      </c>
      <c r="U1002" s="171">
        <v>43.79</v>
      </c>
      <c r="V1002" s="171">
        <v>54</v>
      </c>
      <c r="W1002" s="171">
        <v>47.85</v>
      </c>
      <c r="X1002" s="171">
        <v>42.19</v>
      </c>
      <c r="Y1002" s="171">
        <v>34</v>
      </c>
      <c r="Z1002" s="171">
        <v>35.72</v>
      </c>
      <c r="AA1002" s="171">
        <v>34.480000000000004</v>
      </c>
      <c r="AB1002" s="171">
        <v>56.27</v>
      </c>
      <c r="AC1002" s="171">
        <v>34</v>
      </c>
      <c r="AD1002" s="171">
        <v>34.590000000000003</v>
      </c>
      <c r="AF1002" s="171">
        <f t="shared" si="47"/>
        <v>2010</v>
      </c>
      <c r="AG1002" s="171">
        <f t="shared" si="48"/>
        <v>13</v>
      </c>
      <c r="AH1002" s="700">
        <f>SUMIF(D$3:$AA1002,"&lt;="&amp;$AH$1)/COUNTIF(D$3:$AA1002,"&lt;="&amp;$AH$1)</f>
        <v>29.729418163672623</v>
      </c>
    </row>
    <row r="1003" spans="2:34" x14ac:dyDescent="0.25">
      <c r="B1003" s="910">
        <v>40231</v>
      </c>
      <c r="C1003" s="581">
        <f t="shared" si="46"/>
        <v>2</v>
      </c>
      <c r="D1003" s="171">
        <v>30.01</v>
      </c>
      <c r="E1003" s="171">
        <v>29.1</v>
      </c>
      <c r="F1003" s="171">
        <v>26.69</v>
      </c>
      <c r="G1003" s="171">
        <v>21.94</v>
      </c>
      <c r="H1003" s="171">
        <v>15.92</v>
      </c>
      <c r="I1003" s="171">
        <v>25.990000000000002</v>
      </c>
      <c r="J1003" s="171">
        <v>33.03</v>
      </c>
      <c r="K1003" s="171">
        <v>43</v>
      </c>
      <c r="L1003" s="171">
        <v>47.660000000000004</v>
      </c>
      <c r="M1003" s="171">
        <v>49.79</v>
      </c>
      <c r="N1003" s="171">
        <v>49.19</v>
      </c>
      <c r="O1003" s="171">
        <v>49.5</v>
      </c>
      <c r="P1003" s="171">
        <v>47.5</v>
      </c>
      <c r="Q1003" s="171">
        <v>44.75</v>
      </c>
      <c r="R1003" s="171">
        <v>40.43</v>
      </c>
      <c r="S1003" s="171">
        <v>36.550000000000004</v>
      </c>
      <c r="T1003" s="171">
        <v>35.81</v>
      </c>
      <c r="U1003" s="171">
        <v>40.18</v>
      </c>
      <c r="V1003" s="171">
        <v>54.11</v>
      </c>
      <c r="W1003" s="171">
        <v>49.27</v>
      </c>
      <c r="X1003" s="171">
        <v>41.300000000000004</v>
      </c>
      <c r="Y1003" s="171">
        <v>34.93</v>
      </c>
      <c r="Z1003" s="171">
        <v>33</v>
      </c>
      <c r="AA1003" s="171">
        <v>29.96</v>
      </c>
      <c r="AB1003" s="171">
        <v>54.11</v>
      </c>
      <c r="AC1003" s="171">
        <v>33</v>
      </c>
      <c r="AD1003" s="171">
        <v>30.41</v>
      </c>
      <c r="AF1003" s="171">
        <f t="shared" si="47"/>
        <v>2010</v>
      </c>
      <c r="AG1003" s="171">
        <f t="shared" si="48"/>
        <v>15</v>
      </c>
      <c r="AH1003" s="700">
        <f>SUMIF(D$3:$AA1003,"&lt;="&amp;$AH$1)/COUNTIF(D$3:$AA1003,"&lt;="&amp;$AH$1)</f>
        <v>29.732297957149939</v>
      </c>
    </row>
    <row r="1004" spans="2:34" x14ac:dyDescent="0.25">
      <c r="B1004" s="910">
        <v>40232</v>
      </c>
      <c r="C1004" s="581">
        <f t="shared" si="46"/>
        <v>2</v>
      </c>
      <c r="D1004" s="171">
        <v>30.47</v>
      </c>
      <c r="E1004" s="171">
        <v>26.91</v>
      </c>
      <c r="F1004" s="171">
        <v>22.64</v>
      </c>
      <c r="G1004" s="171">
        <v>19.11</v>
      </c>
      <c r="H1004" s="171">
        <v>18.28</v>
      </c>
      <c r="I1004" s="171">
        <v>26.330000000000002</v>
      </c>
      <c r="J1004" s="171">
        <v>35</v>
      </c>
      <c r="K1004" s="171">
        <v>44.39</v>
      </c>
      <c r="L1004" s="171">
        <v>46.46</v>
      </c>
      <c r="M1004" s="171">
        <v>47.660000000000004</v>
      </c>
      <c r="N1004" s="171">
        <v>48.28</v>
      </c>
      <c r="O1004" s="171">
        <v>50.25</v>
      </c>
      <c r="P1004" s="171">
        <v>47.58</v>
      </c>
      <c r="Q1004" s="171">
        <v>46.02</v>
      </c>
      <c r="R1004" s="171">
        <v>43.46</v>
      </c>
      <c r="S1004" s="171">
        <v>39.700000000000003</v>
      </c>
      <c r="T1004" s="171">
        <v>38.5</v>
      </c>
      <c r="U1004" s="171">
        <v>40</v>
      </c>
      <c r="V1004" s="171">
        <v>52.64</v>
      </c>
      <c r="W1004" s="171">
        <v>49.89</v>
      </c>
      <c r="X1004" s="171">
        <v>39.5</v>
      </c>
      <c r="Y1004" s="171">
        <v>35.700000000000003</v>
      </c>
      <c r="Z1004" s="171">
        <v>35.270000000000003</v>
      </c>
      <c r="AA1004" s="171">
        <v>33.28</v>
      </c>
      <c r="AB1004" s="171">
        <v>52.64</v>
      </c>
      <c r="AC1004" s="171">
        <v>35.270000000000003</v>
      </c>
      <c r="AD1004" s="171">
        <v>30.57</v>
      </c>
      <c r="AF1004" s="171">
        <f t="shared" si="47"/>
        <v>2010</v>
      </c>
      <c r="AG1004" s="171">
        <f t="shared" si="48"/>
        <v>14</v>
      </c>
      <c r="AH1004" s="700">
        <f>SUMIF(D$3:$AA1004,"&lt;="&amp;$AH$1)/COUNTIF(D$3:$AA1004,"&lt;="&amp;$AH$1)</f>
        <v>29.734729823863042</v>
      </c>
    </row>
    <row r="1005" spans="2:34" x14ac:dyDescent="0.25">
      <c r="B1005" s="910">
        <v>40233</v>
      </c>
      <c r="C1005" s="581">
        <f t="shared" si="46"/>
        <v>2</v>
      </c>
      <c r="D1005" s="171">
        <v>32.840000000000003</v>
      </c>
      <c r="E1005" s="171">
        <v>31.19</v>
      </c>
      <c r="F1005" s="171">
        <v>28.39</v>
      </c>
      <c r="G1005" s="171">
        <v>22.66</v>
      </c>
      <c r="H1005" s="171">
        <v>21.96</v>
      </c>
      <c r="I1005" s="171">
        <v>29.18</v>
      </c>
      <c r="J1005" s="171">
        <v>33.4</v>
      </c>
      <c r="K1005" s="171">
        <v>40.5</v>
      </c>
      <c r="L1005" s="171">
        <v>44.5</v>
      </c>
      <c r="M1005" s="171">
        <v>46.03</v>
      </c>
      <c r="N1005" s="171">
        <v>47.38</v>
      </c>
      <c r="O1005" s="171">
        <v>49</v>
      </c>
      <c r="P1005" s="171">
        <v>47.39</v>
      </c>
      <c r="Q1005" s="171">
        <v>46.21</v>
      </c>
      <c r="R1005" s="171">
        <v>44.93</v>
      </c>
      <c r="S1005" s="171">
        <v>41.38</v>
      </c>
      <c r="T1005" s="171">
        <v>40</v>
      </c>
      <c r="U1005" s="171">
        <v>41.5</v>
      </c>
      <c r="V1005" s="171">
        <v>56</v>
      </c>
      <c r="W1005" s="171">
        <v>56.04</v>
      </c>
      <c r="X1005" s="171">
        <v>43</v>
      </c>
      <c r="Y1005" s="171">
        <v>37</v>
      </c>
      <c r="Z1005" s="171">
        <v>36.880000000000003</v>
      </c>
      <c r="AA1005" s="171">
        <v>34.1</v>
      </c>
      <c r="AB1005" s="171">
        <v>56.04</v>
      </c>
      <c r="AC1005" s="171">
        <v>36.880000000000003</v>
      </c>
      <c r="AD1005" s="171">
        <v>32.590000000000003</v>
      </c>
      <c r="AF1005" s="171">
        <f t="shared" si="47"/>
        <v>2010</v>
      </c>
      <c r="AG1005" s="171">
        <f t="shared" si="48"/>
        <v>14</v>
      </c>
      <c r="AH1005" s="700">
        <f>SUMIF(D$3:$AA1005,"&lt;="&amp;$AH$1)/COUNTIF(D$3:$AA1005,"&lt;="&amp;$AH$1)</f>
        <v>29.740164960747265</v>
      </c>
    </row>
    <row r="1006" spans="2:34" x14ac:dyDescent="0.25">
      <c r="B1006" s="910">
        <v>40234</v>
      </c>
      <c r="C1006" s="581">
        <f t="shared" si="46"/>
        <v>2</v>
      </c>
      <c r="D1006" s="171">
        <v>29</v>
      </c>
      <c r="E1006" s="171">
        <v>27.560000000000002</v>
      </c>
      <c r="F1006" s="171">
        <v>25.77</v>
      </c>
      <c r="G1006" s="171">
        <v>17.27</v>
      </c>
      <c r="H1006" s="171">
        <v>18</v>
      </c>
      <c r="I1006" s="171">
        <v>24.990000000000002</v>
      </c>
      <c r="J1006" s="171">
        <v>32.53</v>
      </c>
      <c r="K1006" s="171">
        <v>43.5</v>
      </c>
      <c r="L1006" s="171">
        <v>44.160000000000004</v>
      </c>
      <c r="M1006" s="171">
        <v>45.32</v>
      </c>
      <c r="N1006" s="171">
        <v>46.46</v>
      </c>
      <c r="O1006" s="171">
        <v>47.5</v>
      </c>
      <c r="P1006" s="171">
        <v>46</v>
      </c>
      <c r="Q1006" s="171">
        <v>43.88</v>
      </c>
      <c r="R1006" s="171">
        <v>42.12</v>
      </c>
      <c r="S1006" s="171">
        <v>39.07</v>
      </c>
      <c r="T1006" s="171">
        <v>37.840000000000003</v>
      </c>
      <c r="U1006" s="171">
        <v>37.880000000000003</v>
      </c>
      <c r="V1006" s="171">
        <v>52</v>
      </c>
      <c r="W1006" s="171">
        <v>52.32</v>
      </c>
      <c r="X1006" s="171">
        <v>42.08</v>
      </c>
      <c r="Y1006" s="171">
        <v>36.200000000000003</v>
      </c>
      <c r="Z1006" s="171">
        <v>35</v>
      </c>
      <c r="AA1006" s="171">
        <v>32.29</v>
      </c>
      <c r="AB1006" s="171">
        <v>52.32</v>
      </c>
      <c r="AC1006" s="171">
        <v>35</v>
      </c>
      <c r="AD1006" s="171">
        <v>30.35</v>
      </c>
      <c r="AF1006" s="171">
        <f t="shared" si="47"/>
        <v>2010</v>
      </c>
      <c r="AG1006" s="171">
        <f t="shared" si="48"/>
        <v>15</v>
      </c>
      <c r="AH1006" s="700">
        <f>SUMIF(D$3:$AA1006,"&lt;="&amp;$AH$1)/COUNTIF(D$3:$AA1006,"&lt;="&amp;$AH$1)</f>
        <v>29.743290335383989</v>
      </c>
    </row>
    <row r="1007" spans="2:34" x14ac:dyDescent="0.25">
      <c r="B1007" s="910">
        <v>40235</v>
      </c>
      <c r="C1007" s="581">
        <f t="shared" si="46"/>
        <v>2</v>
      </c>
      <c r="D1007" s="171">
        <v>28.830000000000002</v>
      </c>
      <c r="E1007" s="171">
        <v>24.51</v>
      </c>
      <c r="F1007" s="171">
        <v>21.580000000000002</v>
      </c>
      <c r="G1007" s="171">
        <v>15.66</v>
      </c>
      <c r="H1007" s="171">
        <v>15.9</v>
      </c>
      <c r="I1007" s="171">
        <v>23.990000000000002</v>
      </c>
      <c r="J1007" s="171">
        <v>31.85</v>
      </c>
      <c r="K1007" s="171">
        <v>41.2</v>
      </c>
      <c r="L1007" s="171">
        <v>44</v>
      </c>
      <c r="M1007" s="171">
        <v>45.28</v>
      </c>
      <c r="N1007" s="171">
        <v>46.32</v>
      </c>
      <c r="O1007" s="171">
        <v>47.31</v>
      </c>
      <c r="P1007" s="171">
        <v>44.87</v>
      </c>
      <c r="Q1007" s="171">
        <v>42.43</v>
      </c>
      <c r="R1007" s="171">
        <v>39.46</v>
      </c>
      <c r="S1007" s="171">
        <v>36.11</v>
      </c>
      <c r="T1007" s="171">
        <v>35.96</v>
      </c>
      <c r="U1007" s="171">
        <v>35.44</v>
      </c>
      <c r="V1007" s="171">
        <v>46</v>
      </c>
      <c r="W1007" s="171">
        <v>43.5</v>
      </c>
      <c r="X1007" s="171">
        <v>38</v>
      </c>
      <c r="Y1007" s="171">
        <v>32</v>
      </c>
      <c r="Z1007" s="171">
        <v>33.5</v>
      </c>
      <c r="AA1007" s="171">
        <v>30.650000000000002</v>
      </c>
      <c r="AB1007" s="171">
        <v>47.31</v>
      </c>
      <c r="AC1007" s="171">
        <v>32</v>
      </c>
      <c r="AD1007" s="171">
        <v>28.14</v>
      </c>
      <c r="AF1007" s="171">
        <f t="shared" si="47"/>
        <v>2010</v>
      </c>
      <c r="AG1007" s="171">
        <f t="shared" si="48"/>
        <v>17</v>
      </c>
      <c r="AH1007" s="700">
        <f>SUMIF(D$3:$AA1007,"&lt;="&amp;$AH$1)/COUNTIF(D$3:$AA1007,"&lt;="&amp;$AH$1)</f>
        <v>29.745413571074778</v>
      </c>
    </row>
    <row r="1008" spans="2:34" x14ac:dyDescent="0.25">
      <c r="B1008" s="910">
        <v>40238</v>
      </c>
      <c r="C1008" s="581">
        <f t="shared" si="46"/>
        <v>3</v>
      </c>
      <c r="D1008" s="171">
        <v>21.26</v>
      </c>
      <c r="E1008" s="171">
        <v>0.01</v>
      </c>
      <c r="F1008" s="171">
        <v>0.01</v>
      </c>
      <c r="G1008" s="171">
        <v>0.01</v>
      </c>
      <c r="H1008" s="171">
        <v>0.01</v>
      </c>
      <c r="I1008" s="171">
        <v>0.01</v>
      </c>
      <c r="J1008" s="171">
        <v>28</v>
      </c>
      <c r="K1008" s="171">
        <v>36.5</v>
      </c>
      <c r="L1008" s="171">
        <v>42.24</v>
      </c>
      <c r="M1008" s="171">
        <v>45.62</v>
      </c>
      <c r="N1008" s="171">
        <v>42.88</v>
      </c>
      <c r="O1008" s="171">
        <v>46.83</v>
      </c>
      <c r="P1008" s="171">
        <v>46.04</v>
      </c>
      <c r="Q1008" s="171">
        <v>44.74</v>
      </c>
      <c r="R1008" s="171">
        <v>41.550000000000004</v>
      </c>
      <c r="S1008" s="171">
        <v>36.86</v>
      </c>
      <c r="T1008" s="171">
        <v>34.93</v>
      </c>
      <c r="U1008" s="171">
        <v>35</v>
      </c>
      <c r="V1008" s="171">
        <v>50.9</v>
      </c>
      <c r="W1008" s="171">
        <v>57.96</v>
      </c>
      <c r="X1008" s="171">
        <v>48</v>
      </c>
      <c r="Y1008" s="171">
        <v>39</v>
      </c>
      <c r="Z1008" s="171">
        <v>35</v>
      </c>
      <c r="AA1008" s="171">
        <v>33</v>
      </c>
      <c r="AB1008" s="171">
        <v>57.96</v>
      </c>
      <c r="AC1008" s="171">
        <v>34.93</v>
      </c>
      <c r="AD1008" s="171">
        <v>20.07</v>
      </c>
      <c r="AF1008" s="171">
        <f t="shared" si="47"/>
        <v>2010</v>
      </c>
      <c r="AG1008" s="171">
        <f t="shared" si="48"/>
        <v>16</v>
      </c>
      <c r="AH1008" s="700">
        <f>SUMIF(D$3:$AA1008,"&lt;="&amp;$AH$1)/COUNTIF(D$3:$AA1008,"&lt;="&amp;$AH$1)</f>
        <v>29.736261497379083</v>
      </c>
    </row>
    <row r="1009" spans="2:34" x14ac:dyDescent="0.25">
      <c r="B1009" s="910">
        <v>40239</v>
      </c>
      <c r="C1009" s="581">
        <f t="shared" si="46"/>
        <v>3</v>
      </c>
      <c r="D1009" s="171">
        <v>34.93</v>
      </c>
      <c r="E1009" s="171">
        <v>34.28</v>
      </c>
      <c r="F1009" s="171">
        <v>30.32</v>
      </c>
      <c r="G1009" s="171">
        <v>25</v>
      </c>
      <c r="H1009" s="171">
        <v>25.3</v>
      </c>
      <c r="I1009" s="171">
        <v>33.49</v>
      </c>
      <c r="J1009" s="171">
        <v>40</v>
      </c>
      <c r="K1009" s="171">
        <v>48.620000000000005</v>
      </c>
      <c r="L1009" s="171">
        <v>54</v>
      </c>
      <c r="M1009" s="171">
        <v>54.730000000000004</v>
      </c>
      <c r="N1009" s="171">
        <v>52.43</v>
      </c>
      <c r="O1009" s="171">
        <v>51.21</v>
      </c>
      <c r="P1009" s="171">
        <v>49</v>
      </c>
      <c r="Q1009" s="171">
        <v>44.44</v>
      </c>
      <c r="R1009" s="171">
        <v>40.67</v>
      </c>
      <c r="S1009" s="171">
        <v>38.5</v>
      </c>
      <c r="T1009" s="171">
        <v>38.39</v>
      </c>
      <c r="U1009" s="171">
        <v>39.93</v>
      </c>
      <c r="V1009" s="171">
        <v>54.74</v>
      </c>
      <c r="W1009" s="171">
        <v>56.97</v>
      </c>
      <c r="X1009" s="171">
        <v>48.29</v>
      </c>
      <c r="Y1009" s="171">
        <v>41.32</v>
      </c>
      <c r="Z1009" s="171">
        <v>40.57</v>
      </c>
      <c r="AA1009" s="171">
        <v>36.08</v>
      </c>
      <c r="AB1009" s="171">
        <v>56.97</v>
      </c>
      <c r="AC1009" s="171">
        <v>38.39</v>
      </c>
      <c r="AD1009" s="171">
        <v>36.520000000000003</v>
      </c>
      <c r="AF1009" s="171">
        <f t="shared" si="47"/>
        <v>2010</v>
      </c>
      <c r="AG1009" s="171">
        <f t="shared" si="48"/>
        <v>14</v>
      </c>
      <c r="AH1009" s="700">
        <f>SUMIF(D$3:$AA1009,"&lt;="&amp;$AH$1)/COUNTIF(D$3:$AA1009,"&lt;="&amp;$AH$1)</f>
        <v>29.744406913580242</v>
      </c>
    </row>
    <row r="1010" spans="2:34" x14ac:dyDescent="0.25">
      <c r="B1010" s="910">
        <v>40240</v>
      </c>
      <c r="C1010" s="581">
        <f t="shared" si="46"/>
        <v>3</v>
      </c>
      <c r="D1010" s="171">
        <v>31.150000000000002</v>
      </c>
      <c r="E1010" s="171">
        <v>30</v>
      </c>
      <c r="F1010" s="171">
        <v>28.03</v>
      </c>
      <c r="G1010" s="171">
        <v>26.990000000000002</v>
      </c>
      <c r="H1010" s="171">
        <v>27</v>
      </c>
      <c r="I1010" s="171">
        <v>31.35</v>
      </c>
      <c r="J1010" s="171">
        <v>39.54</v>
      </c>
      <c r="K1010" s="171">
        <v>48</v>
      </c>
      <c r="L1010" s="171">
        <v>47.5</v>
      </c>
      <c r="M1010" s="171">
        <v>48.26</v>
      </c>
      <c r="N1010" s="171">
        <v>47.6</v>
      </c>
      <c r="O1010" s="171">
        <v>47.660000000000004</v>
      </c>
      <c r="P1010" s="171">
        <v>46.230000000000004</v>
      </c>
      <c r="Q1010" s="171">
        <v>42.76</v>
      </c>
      <c r="R1010" s="171">
        <v>39.700000000000003</v>
      </c>
      <c r="S1010" s="171">
        <v>37</v>
      </c>
      <c r="T1010" s="171">
        <v>37.49</v>
      </c>
      <c r="U1010" s="171">
        <v>40.18</v>
      </c>
      <c r="V1010" s="171">
        <v>54</v>
      </c>
      <c r="W1010" s="171">
        <v>55.04</v>
      </c>
      <c r="X1010" s="171">
        <v>47</v>
      </c>
      <c r="Y1010" s="171">
        <v>39.480000000000004</v>
      </c>
      <c r="Z1010" s="171">
        <v>38.880000000000003</v>
      </c>
      <c r="AA1010" s="171">
        <v>35.590000000000003</v>
      </c>
      <c r="AB1010" s="171">
        <v>55.04</v>
      </c>
      <c r="AC1010" s="171">
        <v>37</v>
      </c>
      <c r="AD1010" s="171">
        <v>35.25</v>
      </c>
      <c r="AF1010" s="171">
        <f t="shared" si="47"/>
        <v>2010</v>
      </c>
      <c r="AG1010" s="171">
        <f t="shared" si="48"/>
        <v>14</v>
      </c>
      <c r="AH1010" s="700">
        <f>SUMIF(D$3:$AA1010,"&lt;="&amp;$AH$1)/COUNTIF(D$3:$AA1010,"&lt;="&amp;$AH$1)</f>
        <v>29.750912318769103</v>
      </c>
    </row>
    <row r="1011" spans="2:34" x14ac:dyDescent="0.25">
      <c r="B1011" s="910">
        <v>40241</v>
      </c>
      <c r="C1011" s="581">
        <f t="shared" si="46"/>
        <v>3</v>
      </c>
      <c r="D1011" s="171">
        <v>34.93</v>
      </c>
      <c r="E1011" s="171">
        <v>33.049999999999997</v>
      </c>
      <c r="F1011" s="171">
        <v>29.990000000000002</v>
      </c>
      <c r="G1011" s="171">
        <v>27.32</v>
      </c>
      <c r="H1011" s="171">
        <v>26.28</v>
      </c>
      <c r="I1011" s="171">
        <v>30.71</v>
      </c>
      <c r="J1011" s="171">
        <v>37.99</v>
      </c>
      <c r="K1011" s="171">
        <v>38.700000000000003</v>
      </c>
      <c r="L1011" s="171">
        <v>48.14</v>
      </c>
      <c r="M1011" s="171">
        <v>47.5</v>
      </c>
      <c r="N1011" s="171">
        <v>45.5</v>
      </c>
      <c r="O1011" s="171">
        <v>45.5</v>
      </c>
      <c r="P1011" s="171">
        <v>44.800000000000004</v>
      </c>
      <c r="Q1011" s="171">
        <v>41.5</v>
      </c>
      <c r="R1011" s="171">
        <v>40.050000000000004</v>
      </c>
      <c r="S1011" s="171">
        <v>37.56</v>
      </c>
      <c r="T1011" s="171">
        <v>36.83</v>
      </c>
      <c r="U1011" s="171">
        <v>39.020000000000003</v>
      </c>
      <c r="V1011" s="171">
        <v>53.64</v>
      </c>
      <c r="W1011" s="171">
        <v>58</v>
      </c>
      <c r="X1011" s="171">
        <v>45.5</v>
      </c>
      <c r="Y1011" s="171">
        <v>39.6</v>
      </c>
      <c r="Z1011" s="171">
        <v>38.020000000000003</v>
      </c>
      <c r="AA1011" s="171">
        <v>38.090000000000003</v>
      </c>
      <c r="AB1011" s="171">
        <v>58</v>
      </c>
      <c r="AC1011" s="171">
        <v>36.83</v>
      </c>
      <c r="AD1011" s="171">
        <v>35.01</v>
      </c>
      <c r="AF1011" s="171">
        <f t="shared" si="47"/>
        <v>2010</v>
      </c>
      <c r="AG1011" s="171">
        <f t="shared" si="48"/>
        <v>16</v>
      </c>
      <c r="AH1011" s="700">
        <f>SUMIF(D$3:$AA1011,"&lt;="&amp;$AH$1)/COUNTIF(D$3:$AA1011,"&lt;="&amp;$AH$1)</f>
        <v>29.760131954702118</v>
      </c>
    </row>
    <row r="1012" spans="2:34" x14ac:dyDescent="0.25">
      <c r="B1012" s="910">
        <v>40242</v>
      </c>
      <c r="C1012" s="581">
        <f t="shared" si="46"/>
        <v>3</v>
      </c>
      <c r="D1012" s="171">
        <v>35.730000000000004</v>
      </c>
      <c r="E1012" s="171">
        <v>34.700000000000003</v>
      </c>
      <c r="F1012" s="171">
        <v>32.15</v>
      </c>
      <c r="G1012" s="171">
        <v>28.57</v>
      </c>
      <c r="H1012" s="171">
        <v>29.22</v>
      </c>
      <c r="I1012" s="171">
        <v>34.01</v>
      </c>
      <c r="J1012" s="171">
        <v>42.79</v>
      </c>
      <c r="K1012" s="171">
        <v>53.18</v>
      </c>
      <c r="L1012" s="171">
        <v>56.76</v>
      </c>
      <c r="M1012" s="171">
        <v>57.300000000000004</v>
      </c>
      <c r="N1012" s="171">
        <v>56.5</v>
      </c>
      <c r="O1012" s="171">
        <v>54.84</v>
      </c>
      <c r="P1012" s="171">
        <v>48</v>
      </c>
      <c r="Q1012" s="171">
        <v>44.730000000000004</v>
      </c>
      <c r="R1012" s="171">
        <v>40.28</v>
      </c>
      <c r="S1012" s="171">
        <v>38.1</v>
      </c>
      <c r="T1012" s="171">
        <v>37.74</v>
      </c>
      <c r="U1012" s="171">
        <v>37.200000000000003</v>
      </c>
      <c r="V1012" s="171">
        <v>44</v>
      </c>
      <c r="W1012" s="171">
        <v>44.93</v>
      </c>
      <c r="X1012" s="171">
        <v>39.880000000000003</v>
      </c>
      <c r="Y1012" s="171">
        <v>36.4</v>
      </c>
      <c r="Z1012" s="171">
        <v>35.99</v>
      </c>
      <c r="AA1012" s="171">
        <v>37</v>
      </c>
      <c r="AB1012" s="171">
        <v>57.300000000000004</v>
      </c>
      <c r="AC1012" s="171">
        <v>35.99</v>
      </c>
      <c r="AD1012" s="171">
        <v>36.630000000000003</v>
      </c>
      <c r="AF1012" s="171">
        <f t="shared" si="47"/>
        <v>2010</v>
      </c>
      <c r="AG1012" s="171">
        <f t="shared" si="48"/>
        <v>14</v>
      </c>
      <c r="AH1012" s="700">
        <f>SUMIF(D$3:$AA1012,"&lt;="&amp;$AH$1)/COUNTIF(D$3:$AA1012,"&lt;="&amp;$AH$1)</f>
        <v>29.768031271511461</v>
      </c>
    </row>
    <row r="1013" spans="2:34" x14ac:dyDescent="0.25">
      <c r="B1013" s="910">
        <v>40245</v>
      </c>
      <c r="C1013" s="581">
        <f t="shared" si="46"/>
        <v>3</v>
      </c>
      <c r="D1013" s="171">
        <v>34.93</v>
      </c>
      <c r="E1013" s="171">
        <v>30.11</v>
      </c>
      <c r="F1013" s="171">
        <v>29.02</v>
      </c>
      <c r="G1013" s="171">
        <v>27.03</v>
      </c>
      <c r="H1013" s="171">
        <v>27.38</v>
      </c>
      <c r="I1013" s="171">
        <v>30</v>
      </c>
      <c r="J1013" s="171">
        <v>41</v>
      </c>
      <c r="K1013" s="171">
        <v>62.4</v>
      </c>
      <c r="L1013" s="171">
        <v>63.46</v>
      </c>
      <c r="M1013" s="171">
        <v>60.67</v>
      </c>
      <c r="N1013" s="171">
        <v>60.35</v>
      </c>
      <c r="O1013" s="171">
        <v>61</v>
      </c>
      <c r="P1013" s="171">
        <v>56.99</v>
      </c>
      <c r="Q1013" s="171">
        <v>54.660000000000004</v>
      </c>
      <c r="R1013" s="171">
        <v>51.160000000000004</v>
      </c>
      <c r="S1013" s="171">
        <v>48.96</v>
      </c>
      <c r="T1013" s="171">
        <v>44.31</v>
      </c>
      <c r="U1013" s="171">
        <v>43.09</v>
      </c>
      <c r="V1013" s="171">
        <v>65.8</v>
      </c>
      <c r="W1013" s="171">
        <v>66</v>
      </c>
      <c r="X1013" s="171">
        <v>52.870000000000005</v>
      </c>
      <c r="Y1013" s="171">
        <v>45</v>
      </c>
      <c r="Z1013" s="171">
        <v>44.6</v>
      </c>
      <c r="AA1013" s="171">
        <v>39.82</v>
      </c>
      <c r="AB1013" s="171">
        <v>66</v>
      </c>
      <c r="AC1013" s="171">
        <v>43.09</v>
      </c>
      <c r="AD1013" s="171">
        <v>38.68</v>
      </c>
      <c r="AF1013" s="171">
        <f t="shared" si="47"/>
        <v>2010</v>
      </c>
      <c r="AG1013" s="171">
        <f t="shared" si="48"/>
        <v>8</v>
      </c>
      <c r="AH1013" s="700">
        <f>SUMIF(D$3:$AA1013,"&lt;="&amp;$AH$1)/COUNTIF(D$3:$AA1013,"&lt;="&amp;$AH$1)</f>
        <v>29.770109069470383</v>
      </c>
    </row>
    <row r="1014" spans="2:34" x14ac:dyDescent="0.25">
      <c r="B1014" s="910">
        <v>40246</v>
      </c>
      <c r="C1014" s="581">
        <f t="shared" si="46"/>
        <v>3</v>
      </c>
      <c r="D1014" s="171">
        <v>38.300000000000004</v>
      </c>
      <c r="E1014" s="171">
        <v>36.06</v>
      </c>
      <c r="F1014" s="171">
        <v>33.21</v>
      </c>
      <c r="G1014" s="171">
        <v>31.990000000000002</v>
      </c>
      <c r="H1014" s="171">
        <v>32</v>
      </c>
      <c r="I1014" s="171">
        <v>36</v>
      </c>
      <c r="J1014" s="171">
        <v>47.410000000000004</v>
      </c>
      <c r="K1014" s="171">
        <v>61.980000000000004</v>
      </c>
      <c r="L1014" s="171">
        <v>68</v>
      </c>
      <c r="M1014" s="171">
        <v>64.95</v>
      </c>
      <c r="N1014" s="171">
        <v>61</v>
      </c>
      <c r="O1014" s="171">
        <v>64.59</v>
      </c>
      <c r="P1014" s="171">
        <v>58.88</v>
      </c>
      <c r="Q1014" s="171">
        <v>56</v>
      </c>
      <c r="R1014" s="171">
        <v>52</v>
      </c>
      <c r="S1014" s="171">
        <v>46.26</v>
      </c>
      <c r="T1014" s="171">
        <v>44.410000000000004</v>
      </c>
      <c r="U1014" s="171">
        <v>47.32</v>
      </c>
      <c r="V1014" s="171">
        <v>66</v>
      </c>
      <c r="W1014" s="171">
        <v>70.17</v>
      </c>
      <c r="X1014" s="171">
        <v>55</v>
      </c>
      <c r="Y1014" s="171">
        <v>47</v>
      </c>
      <c r="Z1014" s="171">
        <v>44.410000000000004</v>
      </c>
      <c r="AA1014" s="171">
        <v>43.19</v>
      </c>
      <c r="AB1014" s="171">
        <v>70.17</v>
      </c>
      <c r="AC1014" s="171">
        <v>44.410000000000004</v>
      </c>
      <c r="AD1014" s="171">
        <v>42.21</v>
      </c>
      <c r="AF1014" s="171">
        <f t="shared" si="47"/>
        <v>2010</v>
      </c>
      <c r="AG1014" s="171">
        <f t="shared" si="48"/>
        <v>6</v>
      </c>
      <c r="AH1014" s="700">
        <f>SUMIF(D$3:$AA1014,"&lt;="&amp;$AH$1)/COUNTIF(D$3:$AA1014,"&lt;="&amp;$AH$1)</f>
        <v>29.772950996759313</v>
      </c>
    </row>
    <row r="1015" spans="2:34" x14ac:dyDescent="0.25">
      <c r="B1015" s="910">
        <v>40247</v>
      </c>
      <c r="C1015" s="581">
        <f t="shared" si="46"/>
        <v>3</v>
      </c>
      <c r="D1015" s="171">
        <v>42</v>
      </c>
      <c r="E1015" s="171">
        <v>36.42</v>
      </c>
      <c r="F1015" s="171">
        <v>35.5</v>
      </c>
      <c r="G1015" s="171">
        <v>33.93</v>
      </c>
      <c r="H1015" s="171">
        <v>33.93</v>
      </c>
      <c r="I1015" s="171">
        <v>33.840000000000003</v>
      </c>
      <c r="J1015" s="171">
        <v>47</v>
      </c>
      <c r="K1015" s="171">
        <v>65</v>
      </c>
      <c r="L1015" s="171">
        <v>72.42</v>
      </c>
      <c r="M1015" s="171">
        <v>70.03</v>
      </c>
      <c r="N1015" s="171">
        <v>68.5</v>
      </c>
      <c r="O1015" s="171">
        <v>65.349999999999994</v>
      </c>
      <c r="P1015" s="171">
        <v>66.41</v>
      </c>
      <c r="Q1015" s="171">
        <v>62</v>
      </c>
      <c r="R1015" s="171">
        <v>55</v>
      </c>
      <c r="S1015" s="171">
        <v>49.26</v>
      </c>
      <c r="T1015" s="171">
        <v>47.58</v>
      </c>
      <c r="U1015" s="171">
        <v>51.46</v>
      </c>
      <c r="V1015" s="171">
        <v>65</v>
      </c>
      <c r="W1015" s="171">
        <v>69.95</v>
      </c>
      <c r="X1015" s="171">
        <v>59.93</v>
      </c>
      <c r="Y1015" s="171">
        <v>47.18</v>
      </c>
      <c r="Z1015" s="171">
        <v>44.33</v>
      </c>
      <c r="AA1015" s="171">
        <v>43.85</v>
      </c>
      <c r="AB1015" s="171">
        <v>72.42</v>
      </c>
      <c r="AC1015" s="171">
        <v>44.33</v>
      </c>
      <c r="AD1015" s="171">
        <v>43.58</v>
      </c>
      <c r="AF1015" s="171">
        <f t="shared" si="47"/>
        <v>2010</v>
      </c>
      <c r="AG1015" s="171">
        <f t="shared" si="48"/>
        <v>6</v>
      </c>
      <c r="AH1015" s="700">
        <f>SUMIF(D$3:$AA1015,"&lt;="&amp;$AH$1)/COUNTIF(D$3:$AA1015,"&lt;="&amp;$AH$1)</f>
        <v>29.77658062616548</v>
      </c>
    </row>
    <row r="1016" spans="2:34" x14ac:dyDescent="0.25">
      <c r="B1016" s="910">
        <v>40248</v>
      </c>
      <c r="C1016" s="581">
        <f t="shared" si="46"/>
        <v>3</v>
      </c>
      <c r="D1016" s="171">
        <v>39</v>
      </c>
      <c r="E1016" s="171">
        <v>35.03</v>
      </c>
      <c r="F1016" s="171">
        <v>34.32</v>
      </c>
      <c r="G1016" s="171">
        <v>32.380000000000003</v>
      </c>
      <c r="H1016" s="171">
        <v>32.369999999999997</v>
      </c>
      <c r="I1016" s="171">
        <v>33</v>
      </c>
      <c r="J1016" s="171">
        <v>43.57</v>
      </c>
      <c r="K1016" s="171">
        <v>61.9</v>
      </c>
      <c r="L1016" s="171">
        <v>69</v>
      </c>
      <c r="M1016" s="171">
        <v>66.5</v>
      </c>
      <c r="N1016" s="171">
        <v>63.050000000000004</v>
      </c>
      <c r="O1016" s="171">
        <v>64</v>
      </c>
      <c r="P1016" s="171">
        <v>63</v>
      </c>
      <c r="Q1016" s="171">
        <v>58.2</v>
      </c>
      <c r="R1016" s="171">
        <v>51.160000000000004</v>
      </c>
      <c r="S1016" s="171">
        <v>49.43</v>
      </c>
      <c r="T1016" s="171">
        <v>47</v>
      </c>
      <c r="U1016" s="171">
        <v>51.4</v>
      </c>
      <c r="V1016" s="171">
        <v>67.95</v>
      </c>
      <c r="W1016" s="171">
        <v>70</v>
      </c>
      <c r="X1016" s="171">
        <v>62.9</v>
      </c>
      <c r="Y1016" s="171">
        <v>46.230000000000004</v>
      </c>
      <c r="Z1016" s="171">
        <v>43.5</v>
      </c>
      <c r="AA1016" s="171">
        <v>39.97</v>
      </c>
      <c r="AB1016" s="171">
        <v>70</v>
      </c>
      <c r="AC1016" s="171">
        <v>43.5</v>
      </c>
      <c r="AD1016" s="171">
        <v>42.01</v>
      </c>
      <c r="AF1016" s="171">
        <f t="shared" si="47"/>
        <v>2010</v>
      </c>
      <c r="AG1016" s="171">
        <f t="shared" si="48"/>
        <v>7</v>
      </c>
      <c r="AH1016" s="700">
        <f>SUMIF(D$3:$AA1016,"&lt;="&amp;$AH$1)/COUNTIF(D$3:$AA1016,"&lt;="&amp;$AH$1)</f>
        <v>29.780271675166741</v>
      </c>
    </row>
    <row r="1017" spans="2:34" x14ac:dyDescent="0.25">
      <c r="B1017" s="910">
        <v>40249</v>
      </c>
      <c r="C1017" s="581">
        <f t="shared" si="46"/>
        <v>3</v>
      </c>
      <c r="D1017" s="171">
        <v>39</v>
      </c>
      <c r="E1017" s="171">
        <v>35.119999999999997</v>
      </c>
      <c r="F1017" s="171">
        <v>33.950000000000003</v>
      </c>
      <c r="G1017" s="171">
        <v>33.1</v>
      </c>
      <c r="H1017" s="171">
        <v>32.69</v>
      </c>
      <c r="I1017" s="171">
        <v>37</v>
      </c>
      <c r="J1017" s="171">
        <v>43.26</v>
      </c>
      <c r="K1017" s="171">
        <v>53</v>
      </c>
      <c r="L1017" s="171">
        <v>57.39</v>
      </c>
      <c r="M1017" s="171">
        <v>57.120000000000005</v>
      </c>
      <c r="N1017" s="171">
        <v>53.660000000000004</v>
      </c>
      <c r="O1017" s="171">
        <v>54.18</v>
      </c>
      <c r="P1017" s="171">
        <v>50.5</v>
      </c>
      <c r="Q1017" s="171">
        <v>47.67</v>
      </c>
      <c r="R1017" s="171">
        <v>47.82</v>
      </c>
      <c r="S1017" s="171">
        <v>45</v>
      </c>
      <c r="T1017" s="171">
        <v>43.75</v>
      </c>
      <c r="U1017" s="171">
        <v>45.76</v>
      </c>
      <c r="V1017" s="171">
        <v>52</v>
      </c>
      <c r="W1017" s="171">
        <v>51</v>
      </c>
      <c r="X1017" s="171">
        <v>45.2</v>
      </c>
      <c r="Y1017" s="171">
        <v>37.26</v>
      </c>
      <c r="Z1017" s="171">
        <v>39</v>
      </c>
      <c r="AA1017" s="171">
        <v>39</v>
      </c>
      <c r="AB1017" s="171">
        <v>57.39</v>
      </c>
      <c r="AC1017" s="171">
        <v>37.26</v>
      </c>
      <c r="AD1017" s="171">
        <v>38.97</v>
      </c>
      <c r="AF1017" s="171">
        <f t="shared" si="47"/>
        <v>2010</v>
      </c>
      <c r="AG1017" s="171">
        <f t="shared" si="48"/>
        <v>9</v>
      </c>
      <c r="AH1017" s="700">
        <f>SUMIF(D$3:$AA1017,"&lt;="&amp;$AH$1)/COUNTIF(D$3:$AA1017,"&lt;="&amp;$AH$1)</f>
        <v>29.785964723174921</v>
      </c>
    </row>
    <row r="1018" spans="2:34" x14ac:dyDescent="0.25">
      <c r="B1018" s="910">
        <v>40252</v>
      </c>
      <c r="C1018" s="581">
        <f t="shared" si="46"/>
        <v>3</v>
      </c>
      <c r="D1018" s="171">
        <v>30</v>
      </c>
      <c r="E1018" s="171">
        <v>29</v>
      </c>
      <c r="F1018" s="171">
        <v>26</v>
      </c>
      <c r="G1018" s="171">
        <v>22.5</v>
      </c>
      <c r="H1018" s="171">
        <v>23.5</v>
      </c>
      <c r="I1018" s="171">
        <v>27.51</v>
      </c>
      <c r="J1018" s="171">
        <v>38.5</v>
      </c>
      <c r="K1018" s="171">
        <v>45</v>
      </c>
      <c r="L1018" s="171">
        <v>53.01</v>
      </c>
      <c r="M1018" s="171">
        <v>53.120000000000005</v>
      </c>
      <c r="N1018" s="171">
        <v>54.800000000000004</v>
      </c>
      <c r="O1018" s="171">
        <v>53.94</v>
      </c>
      <c r="P1018" s="171">
        <v>50.660000000000004</v>
      </c>
      <c r="Q1018" s="171">
        <v>52.300000000000004</v>
      </c>
      <c r="R1018" s="171">
        <v>47.5</v>
      </c>
      <c r="S1018" s="171">
        <v>43.9</v>
      </c>
      <c r="T1018" s="171">
        <v>40</v>
      </c>
      <c r="U1018" s="171">
        <v>40</v>
      </c>
      <c r="V1018" s="171">
        <v>44.93</v>
      </c>
      <c r="W1018" s="171">
        <v>54.96</v>
      </c>
      <c r="X1018" s="171">
        <v>45.9</v>
      </c>
      <c r="Y1018" s="171">
        <v>36.090000000000003</v>
      </c>
      <c r="Z1018" s="171">
        <v>36.99</v>
      </c>
      <c r="AA1018" s="171">
        <v>39.93</v>
      </c>
      <c r="AB1018" s="171">
        <v>54.96</v>
      </c>
      <c r="AC1018" s="171">
        <v>36.090000000000003</v>
      </c>
      <c r="AD1018" s="171">
        <v>33.410000000000004</v>
      </c>
      <c r="AF1018" s="171">
        <f t="shared" si="47"/>
        <v>2010</v>
      </c>
      <c r="AG1018" s="171">
        <f t="shared" si="48"/>
        <v>12</v>
      </c>
      <c r="AH1018" s="700">
        <f>SUMIF(D$3:$AA1018,"&lt;="&amp;$AH$1)/COUNTIF(D$3:$AA1018,"&lt;="&amp;$AH$1)</f>
        <v>29.78915435059216</v>
      </c>
    </row>
    <row r="1019" spans="2:34" x14ac:dyDescent="0.25">
      <c r="B1019" s="910">
        <v>40253</v>
      </c>
      <c r="C1019" s="581">
        <f t="shared" si="46"/>
        <v>3</v>
      </c>
      <c r="D1019" s="171">
        <v>36.99</v>
      </c>
      <c r="E1019" s="171">
        <v>32</v>
      </c>
      <c r="F1019" s="171">
        <v>30</v>
      </c>
      <c r="G1019" s="171">
        <v>29.72</v>
      </c>
      <c r="H1019" s="171">
        <v>28.45</v>
      </c>
      <c r="I1019" s="171">
        <v>30</v>
      </c>
      <c r="J1019" s="171">
        <v>45</v>
      </c>
      <c r="K1019" s="171">
        <v>58.76</v>
      </c>
      <c r="L1019" s="171">
        <v>66.2</v>
      </c>
      <c r="M1019" s="171">
        <v>64.320000000000007</v>
      </c>
      <c r="N1019" s="171">
        <v>59.410000000000004</v>
      </c>
      <c r="O1019" s="171">
        <v>61.25</v>
      </c>
      <c r="P1019" s="171">
        <v>58.95</v>
      </c>
      <c r="Q1019" s="171">
        <v>55</v>
      </c>
      <c r="R1019" s="171">
        <v>51.5</v>
      </c>
      <c r="S1019" s="171">
        <v>44.77</v>
      </c>
      <c r="T1019" s="171">
        <v>41.38</v>
      </c>
      <c r="U1019" s="171">
        <v>44</v>
      </c>
      <c r="V1019" s="171">
        <v>56.28</v>
      </c>
      <c r="W1019" s="171">
        <v>71.36</v>
      </c>
      <c r="X1019" s="171">
        <v>55.910000000000004</v>
      </c>
      <c r="Y1019" s="171">
        <v>43</v>
      </c>
      <c r="Z1019" s="171">
        <v>40.340000000000003</v>
      </c>
      <c r="AA1019" s="171">
        <v>40</v>
      </c>
      <c r="AB1019" s="171">
        <v>71.36</v>
      </c>
      <c r="AC1019" s="171">
        <v>40.340000000000003</v>
      </c>
      <c r="AD1019" s="171">
        <v>39.18</v>
      </c>
      <c r="AF1019" s="171">
        <f t="shared" si="47"/>
        <v>2010</v>
      </c>
      <c r="AG1019" s="171">
        <f t="shared" si="48"/>
        <v>9</v>
      </c>
      <c r="AH1019" s="700">
        <f>SUMIF(D$3:$AA1019,"&lt;="&amp;$AH$1)/COUNTIF(D$3:$AA1019,"&lt;="&amp;$AH$1)</f>
        <v>29.793141991003335</v>
      </c>
    </row>
    <row r="1020" spans="2:34" x14ac:dyDescent="0.25">
      <c r="B1020" s="910">
        <v>40254</v>
      </c>
      <c r="C1020" s="581">
        <f t="shared" si="46"/>
        <v>3</v>
      </c>
      <c r="D1020" s="171">
        <v>34</v>
      </c>
      <c r="E1020" s="171">
        <v>32.69</v>
      </c>
      <c r="F1020" s="171">
        <v>30</v>
      </c>
      <c r="G1020" s="171">
        <v>29.88</v>
      </c>
      <c r="H1020" s="171">
        <v>29.72</v>
      </c>
      <c r="I1020" s="171">
        <v>29.900000000000002</v>
      </c>
      <c r="J1020" s="171">
        <v>39.26</v>
      </c>
      <c r="K1020" s="171">
        <v>52.17</v>
      </c>
      <c r="L1020" s="171">
        <v>57.11</v>
      </c>
      <c r="M1020" s="171">
        <v>55.26</v>
      </c>
      <c r="N1020" s="171">
        <v>54</v>
      </c>
      <c r="O1020" s="171">
        <v>52.9</v>
      </c>
      <c r="P1020" s="171">
        <v>48.84</v>
      </c>
      <c r="Q1020" s="171">
        <v>47.57</v>
      </c>
      <c r="R1020" s="171">
        <v>43.800000000000004</v>
      </c>
      <c r="S1020" s="171">
        <v>40.119999999999997</v>
      </c>
      <c r="T1020" s="171">
        <v>40.15</v>
      </c>
      <c r="U1020" s="171">
        <v>40</v>
      </c>
      <c r="V1020" s="171">
        <v>45.81</v>
      </c>
      <c r="W1020" s="171">
        <v>57.29</v>
      </c>
      <c r="X1020" s="171">
        <v>50</v>
      </c>
      <c r="Y1020" s="171">
        <v>42.49</v>
      </c>
      <c r="Z1020" s="171">
        <v>40.340000000000003</v>
      </c>
      <c r="AA1020" s="171">
        <v>37.5</v>
      </c>
      <c r="AB1020" s="171">
        <v>57.29</v>
      </c>
      <c r="AC1020" s="171">
        <v>40</v>
      </c>
      <c r="AD1020" s="171">
        <v>37.33</v>
      </c>
      <c r="AF1020" s="171">
        <f t="shared" si="47"/>
        <v>2010</v>
      </c>
      <c r="AG1020" s="171">
        <f t="shared" si="48"/>
        <v>13</v>
      </c>
      <c r="AH1020" s="700">
        <f>SUMIF(D$3:$AA1020,"&lt;="&amp;$AH$1)/COUNTIF(D$3:$AA1020,"&lt;="&amp;$AH$1)</f>
        <v>29.800832112511003</v>
      </c>
    </row>
    <row r="1021" spans="2:34" x14ac:dyDescent="0.25">
      <c r="B1021" s="910">
        <v>40255</v>
      </c>
      <c r="C1021" s="581">
        <f t="shared" si="46"/>
        <v>3</v>
      </c>
      <c r="D1021" s="171">
        <v>34.6</v>
      </c>
      <c r="E1021" s="171">
        <v>31.18</v>
      </c>
      <c r="F1021" s="171">
        <v>29.3</v>
      </c>
      <c r="G1021" s="171">
        <v>27.5</v>
      </c>
      <c r="H1021" s="171">
        <v>28.43</v>
      </c>
      <c r="I1021" s="171">
        <v>29.96</v>
      </c>
      <c r="J1021" s="171">
        <v>39.1</v>
      </c>
      <c r="K1021" s="171">
        <v>47.480000000000004</v>
      </c>
      <c r="L1021" s="171">
        <v>49</v>
      </c>
      <c r="M1021" s="171">
        <v>50</v>
      </c>
      <c r="N1021" s="171">
        <v>48.5</v>
      </c>
      <c r="O1021" s="171">
        <v>49.32</v>
      </c>
      <c r="P1021" s="171">
        <v>47.1</v>
      </c>
      <c r="Q1021" s="171">
        <v>43.68</v>
      </c>
      <c r="R1021" s="171">
        <v>41</v>
      </c>
      <c r="S1021" s="171">
        <v>38</v>
      </c>
      <c r="T1021" s="171">
        <v>37.78</v>
      </c>
      <c r="U1021" s="171">
        <v>37.75</v>
      </c>
      <c r="V1021" s="171">
        <v>42.800000000000004</v>
      </c>
      <c r="W1021" s="171">
        <v>51.22</v>
      </c>
      <c r="X1021" s="171">
        <v>44.96</v>
      </c>
      <c r="Y1021" s="171">
        <v>36.5</v>
      </c>
      <c r="Z1021" s="171">
        <v>34.43</v>
      </c>
      <c r="AA1021" s="171">
        <v>31.43</v>
      </c>
      <c r="AB1021" s="171">
        <v>51.22</v>
      </c>
      <c r="AC1021" s="171">
        <v>34.43</v>
      </c>
      <c r="AD1021" s="171">
        <v>34.57</v>
      </c>
      <c r="AF1021" s="171">
        <f t="shared" si="47"/>
        <v>2010</v>
      </c>
      <c r="AG1021" s="171">
        <f t="shared" si="48"/>
        <v>14</v>
      </c>
      <c r="AH1021" s="700">
        <f>SUMIF(D$3:$AA1021,"&lt;="&amp;$AH$1)/COUNTIF(D$3:$AA1021,"&lt;="&amp;$AH$1)</f>
        <v>29.806659514288512</v>
      </c>
    </row>
    <row r="1022" spans="2:34" x14ac:dyDescent="0.25">
      <c r="B1022" s="910">
        <v>40256</v>
      </c>
      <c r="C1022" s="581">
        <f t="shared" si="46"/>
        <v>3</v>
      </c>
      <c r="D1022" s="171">
        <v>29.72</v>
      </c>
      <c r="E1022" s="171">
        <v>28.61</v>
      </c>
      <c r="F1022" s="171">
        <v>27.5</v>
      </c>
      <c r="G1022" s="171">
        <v>23.94</v>
      </c>
      <c r="H1022" s="171">
        <v>22.400000000000002</v>
      </c>
      <c r="I1022" s="171">
        <v>27.5</v>
      </c>
      <c r="J1022" s="171">
        <v>36.410000000000004</v>
      </c>
      <c r="K1022" s="171">
        <v>46</v>
      </c>
      <c r="L1022" s="171">
        <v>45</v>
      </c>
      <c r="M1022" s="171">
        <v>45.03</v>
      </c>
      <c r="N1022" s="171">
        <v>46.480000000000004</v>
      </c>
      <c r="O1022" s="171">
        <v>45</v>
      </c>
      <c r="P1022" s="171">
        <v>43.2</v>
      </c>
      <c r="Q1022" s="171">
        <v>40.090000000000003</v>
      </c>
      <c r="R1022" s="171">
        <v>38.700000000000003</v>
      </c>
      <c r="S1022" s="171">
        <v>36.72</v>
      </c>
      <c r="T1022" s="171">
        <v>37.770000000000003</v>
      </c>
      <c r="U1022" s="171">
        <v>37.17</v>
      </c>
      <c r="V1022" s="171">
        <v>43.87</v>
      </c>
      <c r="W1022" s="171">
        <v>50.82</v>
      </c>
      <c r="X1022" s="171">
        <v>44.22</v>
      </c>
      <c r="Y1022" s="171">
        <v>38.200000000000003</v>
      </c>
      <c r="Z1022" s="171">
        <v>38.24</v>
      </c>
      <c r="AA1022" s="171">
        <v>35</v>
      </c>
      <c r="AB1022" s="171">
        <v>50.82</v>
      </c>
      <c r="AC1022" s="171">
        <v>36.72</v>
      </c>
      <c r="AD1022" s="171">
        <v>33.15</v>
      </c>
      <c r="AF1022" s="171">
        <f t="shared" si="47"/>
        <v>2010</v>
      </c>
      <c r="AG1022" s="171">
        <f t="shared" si="48"/>
        <v>15</v>
      </c>
      <c r="AH1022" s="700">
        <f>SUMIF(D$3:$AA1022,"&lt;="&amp;$AH$1)/COUNTIF(D$3:$AA1022,"&lt;="&amp;$AH$1)</f>
        <v>29.811613751460857</v>
      </c>
    </row>
    <row r="1023" spans="2:34" x14ac:dyDescent="0.25">
      <c r="B1023" s="910">
        <v>40259</v>
      </c>
      <c r="C1023" s="581">
        <f t="shared" si="46"/>
        <v>3</v>
      </c>
      <c r="D1023" s="171">
        <v>35.35</v>
      </c>
      <c r="E1023" s="171">
        <v>31.6</v>
      </c>
      <c r="F1023" s="171">
        <v>27.34</v>
      </c>
      <c r="G1023" s="171">
        <v>22.39</v>
      </c>
      <c r="H1023" s="171">
        <v>22.84</v>
      </c>
      <c r="I1023" s="171">
        <v>30.41</v>
      </c>
      <c r="J1023" s="171">
        <v>37.89</v>
      </c>
      <c r="K1023" s="171">
        <v>49.1</v>
      </c>
      <c r="L1023" s="171">
        <v>49.76</v>
      </c>
      <c r="M1023" s="171">
        <v>50.22</v>
      </c>
      <c r="N1023" s="171">
        <v>50.6</v>
      </c>
      <c r="O1023" s="171">
        <v>51.2</v>
      </c>
      <c r="P1023" s="171">
        <v>50.550000000000004</v>
      </c>
      <c r="Q1023" s="171">
        <v>47.980000000000004</v>
      </c>
      <c r="R1023" s="171">
        <v>44.980000000000004</v>
      </c>
      <c r="S1023" s="171">
        <v>40.67</v>
      </c>
      <c r="T1023" s="171">
        <v>39.700000000000003</v>
      </c>
      <c r="U1023" s="171">
        <v>39.83</v>
      </c>
      <c r="V1023" s="171">
        <v>47.44</v>
      </c>
      <c r="W1023" s="171">
        <v>63.56</v>
      </c>
      <c r="X1023" s="171">
        <v>53.56</v>
      </c>
      <c r="Y1023" s="171">
        <v>46.11</v>
      </c>
      <c r="Z1023" s="171">
        <v>42.12</v>
      </c>
      <c r="AA1023" s="171">
        <v>37.68</v>
      </c>
      <c r="AB1023" s="171">
        <v>63.56</v>
      </c>
      <c r="AC1023" s="171">
        <v>39.700000000000003</v>
      </c>
      <c r="AD1023" s="171">
        <v>36.369999999999997</v>
      </c>
      <c r="AF1023" s="171">
        <f t="shared" si="47"/>
        <v>2010</v>
      </c>
      <c r="AG1023" s="171">
        <f t="shared" si="48"/>
        <v>12</v>
      </c>
      <c r="AH1023" s="700">
        <f>SUMIF(D$3:$AA1023,"&lt;="&amp;$AH$1)/COUNTIF(D$3:$AA1023,"&lt;="&amp;$AH$1)</f>
        <v>29.816485408560318</v>
      </c>
    </row>
    <row r="1024" spans="2:34" x14ac:dyDescent="0.25">
      <c r="B1024" s="910">
        <v>40260</v>
      </c>
      <c r="C1024" s="581">
        <f t="shared" si="46"/>
        <v>3</v>
      </c>
      <c r="D1024" s="171">
        <v>31.13</v>
      </c>
      <c r="E1024" s="171">
        <v>29</v>
      </c>
      <c r="F1024" s="171">
        <v>26.1</v>
      </c>
      <c r="G1024" s="171">
        <v>25</v>
      </c>
      <c r="H1024" s="171">
        <v>24.990000000000002</v>
      </c>
      <c r="I1024" s="171">
        <v>30.19</v>
      </c>
      <c r="J1024" s="171">
        <v>39.39</v>
      </c>
      <c r="K1024" s="171">
        <v>47.99</v>
      </c>
      <c r="L1024" s="171">
        <v>50.45</v>
      </c>
      <c r="M1024" s="171">
        <v>50.93</v>
      </c>
      <c r="N1024" s="171">
        <v>49.480000000000004</v>
      </c>
      <c r="O1024" s="171">
        <v>49.34</v>
      </c>
      <c r="P1024" s="171">
        <v>48.9</v>
      </c>
      <c r="Q1024" s="171">
        <v>47.9</v>
      </c>
      <c r="R1024" s="171">
        <v>43.82</v>
      </c>
      <c r="S1024" s="171">
        <v>39.69</v>
      </c>
      <c r="T1024" s="171">
        <v>39.93</v>
      </c>
      <c r="U1024" s="171">
        <v>39.619999999999997</v>
      </c>
      <c r="V1024" s="171">
        <v>44.71</v>
      </c>
      <c r="W1024" s="171">
        <v>54.79</v>
      </c>
      <c r="X1024" s="171">
        <v>47.730000000000004</v>
      </c>
      <c r="Y1024" s="171">
        <v>39.42</v>
      </c>
      <c r="Z1024" s="171">
        <v>35.86</v>
      </c>
      <c r="AA1024" s="171">
        <v>33.5</v>
      </c>
      <c r="AB1024" s="171">
        <v>54.79</v>
      </c>
      <c r="AC1024" s="171">
        <v>35.86</v>
      </c>
      <c r="AD1024" s="171">
        <v>34.19</v>
      </c>
      <c r="AF1024" s="171">
        <f t="shared" si="47"/>
        <v>2010</v>
      </c>
      <c r="AG1024" s="171">
        <f t="shared" si="48"/>
        <v>13</v>
      </c>
      <c r="AH1024" s="700">
        <f>SUMIF(D$3:$AA1024,"&lt;="&amp;$AH$1)/COUNTIF(D$3:$AA1024,"&lt;="&amp;$AH$1)</f>
        <v>29.820974448654429</v>
      </c>
    </row>
    <row r="1025" spans="2:34" x14ac:dyDescent="0.25">
      <c r="B1025" s="910">
        <v>40261</v>
      </c>
      <c r="C1025" s="581">
        <f t="shared" si="46"/>
        <v>3</v>
      </c>
      <c r="D1025" s="171">
        <v>28.97</v>
      </c>
      <c r="E1025" s="171">
        <v>26.21</v>
      </c>
      <c r="F1025" s="171">
        <v>22.85</v>
      </c>
      <c r="G1025" s="171">
        <v>19.080000000000002</v>
      </c>
      <c r="H1025" s="171">
        <v>18.740000000000002</v>
      </c>
      <c r="I1025" s="171">
        <v>24.51</v>
      </c>
      <c r="J1025" s="171">
        <v>29.310000000000002</v>
      </c>
      <c r="K1025" s="171">
        <v>36.800000000000004</v>
      </c>
      <c r="L1025" s="171">
        <v>42.1</v>
      </c>
      <c r="M1025" s="171">
        <v>43.18</v>
      </c>
      <c r="N1025" s="171">
        <v>43.49</v>
      </c>
      <c r="O1025" s="171">
        <v>43</v>
      </c>
      <c r="P1025" s="171">
        <v>41.93</v>
      </c>
      <c r="Q1025" s="171">
        <v>40.01</v>
      </c>
      <c r="R1025" s="171">
        <v>36.72</v>
      </c>
      <c r="S1025" s="171">
        <v>34.85</v>
      </c>
      <c r="T1025" s="171">
        <v>33.22</v>
      </c>
      <c r="U1025" s="171">
        <v>32</v>
      </c>
      <c r="V1025" s="171">
        <v>41.14</v>
      </c>
      <c r="W1025" s="171">
        <v>51.81</v>
      </c>
      <c r="X1025" s="171">
        <v>43.06</v>
      </c>
      <c r="Y1025" s="171">
        <v>34.69</v>
      </c>
      <c r="Z1025" s="171">
        <v>33.380000000000003</v>
      </c>
      <c r="AA1025" s="171">
        <v>31.2</v>
      </c>
      <c r="AB1025" s="171">
        <v>51.81</v>
      </c>
      <c r="AC1025" s="171">
        <v>32</v>
      </c>
      <c r="AD1025" s="171">
        <v>29.07</v>
      </c>
      <c r="AF1025" s="171">
        <f t="shared" si="47"/>
        <v>2010</v>
      </c>
      <c r="AG1025" s="171">
        <f t="shared" si="48"/>
        <v>19</v>
      </c>
      <c r="AH1025" s="700">
        <f>SUMIF(D$3:$AA1025,"&lt;="&amp;$AH$1)/COUNTIF(D$3:$AA1025,"&lt;="&amp;$AH$1)</f>
        <v>29.824961210240492</v>
      </c>
    </row>
    <row r="1026" spans="2:34" x14ac:dyDescent="0.25">
      <c r="B1026" s="910">
        <v>40262</v>
      </c>
      <c r="C1026" s="581">
        <f t="shared" si="46"/>
        <v>3</v>
      </c>
      <c r="D1026" s="171">
        <v>28.5</v>
      </c>
      <c r="E1026" s="171">
        <v>25.34</v>
      </c>
      <c r="F1026" s="171">
        <v>21.94</v>
      </c>
      <c r="G1026" s="171">
        <v>20.059999999999999</v>
      </c>
      <c r="H1026" s="171">
        <v>20.82</v>
      </c>
      <c r="I1026" s="171">
        <v>25.54</v>
      </c>
      <c r="J1026" s="171">
        <v>32.840000000000003</v>
      </c>
      <c r="K1026" s="171">
        <v>40.25</v>
      </c>
      <c r="L1026" s="171">
        <v>41.9</v>
      </c>
      <c r="M1026" s="171">
        <v>42.07</v>
      </c>
      <c r="N1026" s="171">
        <v>42.7</v>
      </c>
      <c r="O1026" s="171">
        <v>42.67</v>
      </c>
      <c r="P1026" s="171">
        <v>40.94</v>
      </c>
      <c r="Q1026" s="171">
        <v>39.93</v>
      </c>
      <c r="R1026" s="171">
        <v>36.64</v>
      </c>
      <c r="S1026" s="171">
        <v>35</v>
      </c>
      <c r="T1026" s="171">
        <v>34</v>
      </c>
      <c r="U1026" s="171">
        <v>34.56</v>
      </c>
      <c r="V1026" s="171">
        <v>40.06</v>
      </c>
      <c r="W1026" s="171">
        <v>49.53</v>
      </c>
      <c r="X1026" s="171">
        <v>41.480000000000004</v>
      </c>
      <c r="Y1026" s="171">
        <v>36.43</v>
      </c>
      <c r="Z1026" s="171">
        <v>33.75</v>
      </c>
      <c r="AA1026" s="171">
        <v>30.66</v>
      </c>
      <c r="AB1026" s="171">
        <v>49.53</v>
      </c>
      <c r="AC1026" s="171">
        <v>33.75</v>
      </c>
      <c r="AD1026" s="171">
        <v>29.8</v>
      </c>
      <c r="AF1026" s="171">
        <f t="shared" si="47"/>
        <v>2010</v>
      </c>
      <c r="AG1026" s="171">
        <f t="shared" si="48"/>
        <v>21</v>
      </c>
      <c r="AH1026" s="700">
        <f>SUMIF(D$3:$AA1026,"&lt;="&amp;$AH$1)/COUNTIF(D$3:$AA1026,"&lt;="&amp;$AH$1)</f>
        <v>29.832353624310457</v>
      </c>
    </row>
    <row r="1027" spans="2:34" x14ac:dyDescent="0.25">
      <c r="B1027" s="910">
        <v>40263</v>
      </c>
      <c r="C1027" s="581">
        <f t="shared" si="46"/>
        <v>3</v>
      </c>
      <c r="D1027" s="171">
        <v>26.11</v>
      </c>
      <c r="E1027" s="171">
        <v>23.97</v>
      </c>
      <c r="F1027" s="171">
        <v>20</v>
      </c>
      <c r="G1027" s="171">
        <v>16.8</v>
      </c>
      <c r="H1027" s="171">
        <v>19.39</v>
      </c>
      <c r="I1027" s="171">
        <v>25.32</v>
      </c>
      <c r="J1027" s="171">
        <v>30.060000000000002</v>
      </c>
      <c r="K1027" s="171">
        <v>38.39</v>
      </c>
      <c r="L1027" s="171">
        <v>42.38</v>
      </c>
      <c r="M1027" s="171">
        <v>42.4</v>
      </c>
      <c r="N1027" s="171">
        <v>44.71</v>
      </c>
      <c r="O1027" s="171">
        <v>44.67</v>
      </c>
      <c r="P1027" s="171">
        <v>44.38</v>
      </c>
      <c r="Q1027" s="171">
        <v>40.6</v>
      </c>
      <c r="R1027" s="171">
        <v>37.380000000000003</v>
      </c>
      <c r="S1027" s="171">
        <v>35.380000000000003</v>
      </c>
      <c r="T1027" s="171">
        <v>35</v>
      </c>
      <c r="U1027" s="171">
        <v>35.300000000000004</v>
      </c>
      <c r="V1027" s="171">
        <v>39.770000000000003</v>
      </c>
      <c r="W1027" s="171">
        <v>49.6</v>
      </c>
      <c r="X1027" s="171">
        <v>42.5</v>
      </c>
      <c r="Y1027" s="171">
        <v>35.590000000000003</v>
      </c>
      <c r="Z1027" s="171">
        <v>35.67</v>
      </c>
      <c r="AA1027" s="171">
        <v>30.69</v>
      </c>
      <c r="AB1027" s="171">
        <v>49.6</v>
      </c>
      <c r="AC1027" s="171">
        <v>35</v>
      </c>
      <c r="AD1027" s="171">
        <v>28.71</v>
      </c>
      <c r="AF1027" s="171">
        <f t="shared" si="47"/>
        <v>2010</v>
      </c>
      <c r="AG1027" s="171">
        <f t="shared" si="48"/>
        <v>20</v>
      </c>
      <c r="AH1027" s="700">
        <f>SUMIF(D$3:$AA1027,"&lt;="&amp;$AH$1)/COUNTIF(D$3:$AA1027,"&lt;="&amp;$AH$1)</f>
        <v>29.837767796773878</v>
      </c>
    </row>
    <row r="1028" spans="2:34" x14ac:dyDescent="0.25">
      <c r="B1028" s="910">
        <v>40266</v>
      </c>
      <c r="C1028" s="581">
        <f t="shared" ref="C1028:C1091" si="49">MONTH(B1028)</f>
        <v>3</v>
      </c>
      <c r="D1028" s="171">
        <v>29.84</v>
      </c>
      <c r="E1028" s="171">
        <v>23.44</v>
      </c>
      <c r="F1028" s="171">
        <v>18</v>
      </c>
      <c r="G1028" s="171">
        <v>15.02</v>
      </c>
      <c r="H1028" s="171">
        <v>16</v>
      </c>
      <c r="I1028" s="171">
        <v>24.41</v>
      </c>
      <c r="J1028" s="171">
        <v>38.19</v>
      </c>
      <c r="K1028" s="171">
        <v>51.99</v>
      </c>
      <c r="L1028" s="171">
        <v>52.1</v>
      </c>
      <c r="M1028" s="171">
        <v>54.04</v>
      </c>
      <c r="N1028" s="171">
        <v>52.88</v>
      </c>
      <c r="O1028" s="171">
        <v>52.06</v>
      </c>
      <c r="P1028" s="171">
        <v>51.79</v>
      </c>
      <c r="Q1028" s="171">
        <v>48.480000000000004</v>
      </c>
      <c r="R1028" s="171">
        <v>46.99</v>
      </c>
      <c r="S1028" s="171">
        <v>41.72</v>
      </c>
      <c r="T1028" s="171">
        <v>39.33</v>
      </c>
      <c r="U1028" s="171">
        <v>39</v>
      </c>
      <c r="V1028" s="171">
        <v>40.869999999999997</v>
      </c>
      <c r="W1028" s="171">
        <v>44.85</v>
      </c>
      <c r="X1028" s="171">
        <v>46.9</v>
      </c>
      <c r="Y1028" s="171">
        <v>40</v>
      </c>
      <c r="Z1028" s="171">
        <v>39.660000000000004</v>
      </c>
      <c r="AA1028" s="171">
        <v>33.869999999999997</v>
      </c>
      <c r="AB1028" s="171">
        <v>54.04</v>
      </c>
      <c r="AC1028" s="171">
        <v>39</v>
      </c>
      <c r="AD1028" s="171">
        <v>31.44</v>
      </c>
      <c r="AF1028" s="171">
        <f t="shared" ref="AF1028:AF1091" si="50">YEAR(B1028)</f>
        <v>2010</v>
      </c>
      <c r="AG1028" s="171">
        <f t="shared" ref="AG1028:AG1091" si="51">COUNTIF(D1028:AA1028,"&lt;="&amp;$AH$1)</f>
        <v>14</v>
      </c>
      <c r="AH1028" s="700">
        <f>SUMIF(D$3:$AA1028,"&lt;="&amp;$AH$1)/COUNTIF(D$3:$AA1028,"&lt;="&amp;$AH$1)</f>
        <v>29.839853380920221</v>
      </c>
    </row>
    <row r="1029" spans="2:34" x14ac:dyDescent="0.25">
      <c r="B1029" s="910">
        <v>40267</v>
      </c>
      <c r="C1029" s="581">
        <f t="shared" si="49"/>
        <v>3</v>
      </c>
      <c r="D1029" s="171">
        <v>27.18</v>
      </c>
      <c r="E1029" s="171">
        <v>22.64</v>
      </c>
      <c r="F1029" s="171">
        <v>21.330000000000002</v>
      </c>
      <c r="G1029" s="171">
        <v>15.99</v>
      </c>
      <c r="H1029" s="171">
        <v>15</v>
      </c>
      <c r="I1029" s="171">
        <v>23.28</v>
      </c>
      <c r="J1029" s="171">
        <v>32.520000000000003</v>
      </c>
      <c r="K1029" s="171">
        <v>40.300000000000004</v>
      </c>
      <c r="L1029" s="171">
        <v>43.37</v>
      </c>
      <c r="M1029" s="171">
        <v>45.980000000000004</v>
      </c>
      <c r="N1029" s="171">
        <v>45.99</v>
      </c>
      <c r="O1029" s="171">
        <v>46.5</v>
      </c>
      <c r="P1029" s="171">
        <v>47.34</v>
      </c>
      <c r="Q1029" s="171">
        <v>44.18</v>
      </c>
      <c r="R1029" s="171">
        <v>42.36</v>
      </c>
      <c r="S1029" s="171">
        <v>38.74</v>
      </c>
      <c r="T1029" s="171">
        <v>37.92</v>
      </c>
      <c r="U1029" s="171">
        <v>38.03</v>
      </c>
      <c r="V1029" s="171">
        <v>40</v>
      </c>
      <c r="W1029" s="171">
        <v>45.04</v>
      </c>
      <c r="X1029" s="171">
        <v>45.33</v>
      </c>
      <c r="Y1029" s="171">
        <v>38</v>
      </c>
      <c r="Z1029" s="171">
        <v>36.18</v>
      </c>
      <c r="AA1029" s="171">
        <v>32.43</v>
      </c>
      <c r="AB1029" s="171">
        <v>47.34</v>
      </c>
      <c r="AC1029" s="171">
        <v>36.18</v>
      </c>
      <c r="AD1029" s="171">
        <v>29.18</v>
      </c>
      <c r="AF1029" s="171">
        <f t="shared" si="50"/>
        <v>2010</v>
      </c>
      <c r="AG1029" s="171">
        <f t="shared" si="51"/>
        <v>16</v>
      </c>
      <c r="AH1029" s="700">
        <f>SUMIF(D$3:$AA1029,"&lt;="&amp;$AH$1)/COUNTIF(D$3:$AA1029,"&lt;="&amp;$AH$1)</f>
        <v>29.842209380718479</v>
      </c>
    </row>
    <row r="1030" spans="2:34" x14ac:dyDescent="0.25">
      <c r="B1030" s="910">
        <v>40268</v>
      </c>
      <c r="C1030" s="581">
        <f t="shared" si="49"/>
        <v>3</v>
      </c>
      <c r="D1030" s="171">
        <v>29.55</v>
      </c>
      <c r="E1030" s="171">
        <v>27.900000000000002</v>
      </c>
      <c r="F1030" s="171">
        <v>21.97</v>
      </c>
      <c r="G1030" s="171">
        <v>19</v>
      </c>
      <c r="H1030" s="171">
        <v>17</v>
      </c>
      <c r="I1030" s="171">
        <v>26.72</v>
      </c>
      <c r="J1030" s="171">
        <v>35.410000000000004</v>
      </c>
      <c r="K1030" s="171">
        <v>41.21</v>
      </c>
      <c r="L1030" s="171">
        <v>42.43</v>
      </c>
      <c r="M1030" s="171">
        <v>43.08</v>
      </c>
      <c r="N1030" s="171">
        <v>43.550000000000004</v>
      </c>
      <c r="O1030" s="171">
        <v>43.21</v>
      </c>
      <c r="P1030" s="171">
        <v>43</v>
      </c>
      <c r="Q1030" s="171">
        <v>41.75</v>
      </c>
      <c r="R1030" s="171">
        <v>40</v>
      </c>
      <c r="S1030" s="171">
        <v>37.369999999999997</v>
      </c>
      <c r="T1030" s="171">
        <v>36.71</v>
      </c>
      <c r="U1030" s="171">
        <v>34.93</v>
      </c>
      <c r="V1030" s="171">
        <v>38.25</v>
      </c>
      <c r="W1030" s="171">
        <v>41.99</v>
      </c>
      <c r="X1030" s="171">
        <v>46.01</v>
      </c>
      <c r="Y1030" s="171">
        <v>40.47</v>
      </c>
      <c r="Z1030" s="171">
        <v>37.61</v>
      </c>
      <c r="AA1030" s="171">
        <v>34.86</v>
      </c>
      <c r="AB1030" s="171">
        <v>46.01</v>
      </c>
      <c r="AC1030" s="171">
        <v>34.93</v>
      </c>
      <c r="AD1030" s="171">
        <v>31.48</v>
      </c>
      <c r="AF1030" s="171">
        <f t="shared" si="50"/>
        <v>2010</v>
      </c>
      <c r="AG1030" s="171">
        <f t="shared" si="51"/>
        <v>19</v>
      </c>
      <c r="AH1030" s="700">
        <f>SUMIF(D$3:$AA1030,"&lt;="&amp;$AH$1)/COUNTIF(D$3:$AA1030,"&lt;="&amp;$AH$1)</f>
        <v>29.849720246106504</v>
      </c>
    </row>
    <row r="1031" spans="2:34" x14ac:dyDescent="0.25">
      <c r="B1031" s="910">
        <v>40269</v>
      </c>
      <c r="C1031" s="581">
        <f t="shared" si="49"/>
        <v>4</v>
      </c>
      <c r="D1031" s="171">
        <v>29.03</v>
      </c>
      <c r="E1031" s="171">
        <v>25.2</v>
      </c>
      <c r="F1031" s="171">
        <v>23.1</v>
      </c>
      <c r="G1031" s="171">
        <v>22</v>
      </c>
      <c r="H1031" s="171">
        <v>21.5</v>
      </c>
      <c r="I1031" s="171">
        <v>27.44</v>
      </c>
      <c r="J1031" s="171">
        <v>38.130000000000003</v>
      </c>
      <c r="K1031" s="171">
        <v>48.92</v>
      </c>
      <c r="L1031" s="171">
        <v>46</v>
      </c>
      <c r="M1031" s="171">
        <v>46.800000000000004</v>
      </c>
      <c r="N1031" s="171">
        <v>45</v>
      </c>
      <c r="O1031" s="171">
        <v>45</v>
      </c>
      <c r="P1031" s="171">
        <v>43.65</v>
      </c>
      <c r="Q1031" s="171">
        <v>42.17</v>
      </c>
      <c r="R1031" s="171">
        <v>39.93</v>
      </c>
      <c r="S1031" s="171">
        <v>39.380000000000003</v>
      </c>
      <c r="T1031" s="171">
        <v>38</v>
      </c>
      <c r="U1031" s="171">
        <v>37.25</v>
      </c>
      <c r="V1031" s="171">
        <v>40</v>
      </c>
      <c r="W1031" s="171">
        <v>43.1</v>
      </c>
      <c r="X1031" s="171">
        <v>46.15</v>
      </c>
      <c r="Y1031" s="171">
        <v>42.27</v>
      </c>
      <c r="Z1031" s="171">
        <v>39.92</v>
      </c>
      <c r="AA1031" s="171">
        <v>36</v>
      </c>
      <c r="AB1031" s="171">
        <v>48.92</v>
      </c>
      <c r="AC1031" s="171">
        <v>37.25</v>
      </c>
      <c r="AD1031" s="171">
        <v>33.31</v>
      </c>
      <c r="AF1031" s="171">
        <f t="shared" si="50"/>
        <v>2010</v>
      </c>
      <c r="AG1031" s="171">
        <f t="shared" si="51"/>
        <v>16</v>
      </c>
      <c r="AH1031" s="700">
        <f>SUMIF(D$3:$AA1031,"&lt;="&amp;$AH$1)/COUNTIF(D$3:$AA1031,"&lt;="&amp;$AH$1)</f>
        <v>29.855837012862342</v>
      </c>
    </row>
    <row r="1032" spans="2:34" x14ac:dyDescent="0.25">
      <c r="B1032" s="910">
        <v>40270</v>
      </c>
      <c r="C1032" s="581">
        <f t="shared" si="49"/>
        <v>4</v>
      </c>
      <c r="D1032" s="171">
        <v>29.96</v>
      </c>
      <c r="E1032" s="171">
        <v>28.71</v>
      </c>
      <c r="F1032" s="171">
        <v>26</v>
      </c>
      <c r="G1032" s="171">
        <v>25.53</v>
      </c>
      <c r="H1032" s="171">
        <v>26</v>
      </c>
      <c r="I1032" s="171">
        <v>26.5</v>
      </c>
      <c r="J1032" s="171">
        <v>29.16</v>
      </c>
      <c r="K1032" s="171">
        <v>35.43</v>
      </c>
      <c r="L1032" s="171">
        <v>38.950000000000003</v>
      </c>
      <c r="M1032" s="171">
        <v>40.89</v>
      </c>
      <c r="N1032" s="171">
        <v>46.32</v>
      </c>
      <c r="O1032" s="171">
        <v>45</v>
      </c>
      <c r="P1032" s="171">
        <v>45</v>
      </c>
      <c r="Q1032" s="171">
        <v>39.96</v>
      </c>
      <c r="R1032" s="171">
        <v>37.31</v>
      </c>
      <c r="S1032" s="171">
        <v>34.96</v>
      </c>
      <c r="T1032" s="171">
        <v>34.94</v>
      </c>
      <c r="U1032" s="171">
        <v>35.46</v>
      </c>
      <c r="V1032" s="171">
        <v>37.08</v>
      </c>
      <c r="W1032" s="171">
        <v>38.5</v>
      </c>
      <c r="X1032" s="171">
        <v>44.89</v>
      </c>
      <c r="Y1032" s="171">
        <v>42.800000000000004</v>
      </c>
      <c r="Z1032" s="171">
        <v>40.07</v>
      </c>
      <c r="AA1032" s="171">
        <v>34.97</v>
      </c>
      <c r="AB1032" s="171">
        <v>46.32</v>
      </c>
      <c r="AC1032" s="171">
        <v>34.94</v>
      </c>
      <c r="AD1032" s="171">
        <v>32.5</v>
      </c>
      <c r="AF1032" s="171">
        <f t="shared" si="50"/>
        <v>2010</v>
      </c>
      <c r="AG1032" s="171">
        <f t="shared" si="51"/>
        <v>19</v>
      </c>
      <c r="AH1032" s="700">
        <f>SUMIF(D$3:$AA1032,"&lt;="&amp;$AH$1)/COUNTIF(D$3:$AA1032,"&lt;="&amp;$AH$1)</f>
        <v>29.862842770911179</v>
      </c>
    </row>
    <row r="1033" spans="2:34" x14ac:dyDescent="0.25">
      <c r="B1033" s="910">
        <v>40273</v>
      </c>
      <c r="C1033" s="581">
        <f t="shared" si="49"/>
        <v>4</v>
      </c>
      <c r="D1033" s="171">
        <v>36.32</v>
      </c>
      <c r="E1033" s="171">
        <v>35.03</v>
      </c>
      <c r="F1033" s="171">
        <v>31.32</v>
      </c>
      <c r="G1033" s="171">
        <v>25.26</v>
      </c>
      <c r="H1033" s="171">
        <v>20.7</v>
      </c>
      <c r="I1033" s="171">
        <v>24.55</v>
      </c>
      <c r="J1033" s="171">
        <v>26.650000000000002</v>
      </c>
      <c r="K1033" s="171">
        <v>24.330000000000002</v>
      </c>
      <c r="L1033" s="171">
        <v>31.27</v>
      </c>
      <c r="M1033" s="171">
        <v>36.43</v>
      </c>
      <c r="N1033" s="171">
        <v>39.53</v>
      </c>
      <c r="O1033" s="171">
        <v>41.46</v>
      </c>
      <c r="P1033" s="171">
        <v>41.25</v>
      </c>
      <c r="Q1033" s="171">
        <v>35</v>
      </c>
      <c r="R1033" s="171">
        <v>29.85</v>
      </c>
      <c r="S1033" s="171">
        <v>23.61</v>
      </c>
      <c r="T1033" s="171">
        <v>22.67</v>
      </c>
      <c r="U1033" s="171">
        <v>25.7</v>
      </c>
      <c r="V1033" s="171">
        <v>32.1</v>
      </c>
      <c r="W1033" s="171">
        <v>36.160000000000004</v>
      </c>
      <c r="X1033" s="171">
        <v>46.88</v>
      </c>
      <c r="Y1033" s="171">
        <v>47.56</v>
      </c>
      <c r="Z1033" s="171">
        <v>47.08</v>
      </c>
      <c r="AA1033" s="171">
        <v>39.49</v>
      </c>
      <c r="AB1033" s="171">
        <v>47.56</v>
      </c>
      <c r="AC1033" s="171">
        <v>22.67</v>
      </c>
      <c r="AD1033" s="171">
        <v>32.5</v>
      </c>
      <c r="AF1033" s="171">
        <f t="shared" si="50"/>
        <v>2010</v>
      </c>
      <c r="AG1033" s="171">
        <f t="shared" si="51"/>
        <v>21</v>
      </c>
      <c r="AH1033" s="700">
        <f>SUMIF(D$3:$AA1033,"&lt;="&amp;$AH$1)/COUNTIF(D$3:$AA1033,"&lt;="&amp;$AH$1)</f>
        <v>29.86586058519794</v>
      </c>
    </row>
    <row r="1034" spans="2:34" x14ac:dyDescent="0.25">
      <c r="B1034" s="910">
        <v>40274</v>
      </c>
      <c r="C1034" s="581">
        <f t="shared" si="49"/>
        <v>4</v>
      </c>
      <c r="D1034" s="171">
        <v>36.32</v>
      </c>
      <c r="E1034" s="171">
        <v>35.03</v>
      </c>
      <c r="F1034" s="171">
        <v>31.32</v>
      </c>
      <c r="G1034" s="171">
        <v>25.26</v>
      </c>
      <c r="H1034" s="171">
        <v>20.7</v>
      </c>
      <c r="I1034" s="171">
        <v>24.55</v>
      </c>
      <c r="J1034" s="171">
        <v>26.650000000000002</v>
      </c>
      <c r="K1034" s="171">
        <v>24.330000000000002</v>
      </c>
      <c r="L1034" s="171">
        <v>31.27</v>
      </c>
      <c r="M1034" s="171">
        <v>36.43</v>
      </c>
      <c r="N1034" s="171">
        <v>39.53</v>
      </c>
      <c r="O1034" s="171">
        <v>41.46</v>
      </c>
      <c r="P1034" s="171">
        <v>41.25</v>
      </c>
      <c r="Q1034" s="171">
        <v>35</v>
      </c>
      <c r="R1034" s="171">
        <v>29.85</v>
      </c>
      <c r="S1034" s="171">
        <v>23.61</v>
      </c>
      <c r="T1034" s="171">
        <v>22.67</v>
      </c>
      <c r="U1034" s="171">
        <v>25.7</v>
      </c>
      <c r="V1034" s="171">
        <v>32.1</v>
      </c>
      <c r="W1034" s="171">
        <v>36.160000000000004</v>
      </c>
      <c r="X1034" s="171">
        <v>46.88</v>
      </c>
      <c r="Y1034" s="171">
        <v>47.56</v>
      </c>
      <c r="Z1034" s="171">
        <v>47.08</v>
      </c>
      <c r="AA1034" s="171">
        <v>39.49</v>
      </c>
      <c r="AB1034" s="171">
        <v>47.56</v>
      </c>
      <c r="AC1034" s="171">
        <v>22.67</v>
      </c>
      <c r="AD1034" s="171">
        <v>32.5</v>
      </c>
      <c r="AF1034" s="171">
        <f t="shared" si="50"/>
        <v>2010</v>
      </c>
      <c r="AG1034" s="171">
        <f t="shared" si="51"/>
        <v>21</v>
      </c>
      <c r="AH1034" s="700">
        <f>SUMIF(D$3:$AA1034,"&lt;="&amp;$AH$1)/COUNTIF(D$3:$AA1034,"&lt;="&amp;$AH$1)</f>
        <v>29.868866304036654</v>
      </c>
    </row>
    <row r="1035" spans="2:34" x14ac:dyDescent="0.25">
      <c r="B1035" s="910">
        <v>40275</v>
      </c>
      <c r="C1035" s="581">
        <f t="shared" si="49"/>
        <v>4</v>
      </c>
      <c r="D1035" s="171">
        <v>36.200000000000003</v>
      </c>
      <c r="E1035" s="171">
        <v>32.96</v>
      </c>
      <c r="F1035" s="171">
        <v>28.75</v>
      </c>
      <c r="G1035" s="171">
        <v>25.39</v>
      </c>
      <c r="H1035" s="171">
        <v>26.37</v>
      </c>
      <c r="I1035" s="171">
        <v>33.46</v>
      </c>
      <c r="J1035" s="171">
        <v>49.39</v>
      </c>
      <c r="K1035" s="171">
        <v>61.26</v>
      </c>
      <c r="L1035" s="171">
        <v>59.52</v>
      </c>
      <c r="M1035" s="171">
        <v>60.77</v>
      </c>
      <c r="N1035" s="171">
        <v>58.83</v>
      </c>
      <c r="O1035" s="171">
        <v>58.58</v>
      </c>
      <c r="P1035" s="171">
        <v>56.7</v>
      </c>
      <c r="Q1035" s="171">
        <v>53.300000000000004</v>
      </c>
      <c r="R1035" s="171">
        <v>53.2</v>
      </c>
      <c r="S1035" s="171">
        <v>47.13</v>
      </c>
      <c r="T1035" s="171">
        <v>46.11</v>
      </c>
      <c r="U1035" s="171">
        <v>44.85</v>
      </c>
      <c r="V1035" s="171">
        <v>47.36</v>
      </c>
      <c r="W1035" s="171">
        <v>48.800000000000004</v>
      </c>
      <c r="X1035" s="171">
        <v>54.82</v>
      </c>
      <c r="Y1035" s="171">
        <v>49.49</v>
      </c>
      <c r="Z1035" s="171">
        <v>46</v>
      </c>
      <c r="AA1035" s="171">
        <v>42.07</v>
      </c>
      <c r="AB1035" s="171">
        <v>61.26</v>
      </c>
      <c r="AC1035" s="171">
        <v>44.85</v>
      </c>
      <c r="AD1035" s="171">
        <v>40.51</v>
      </c>
      <c r="AF1035" s="171">
        <f t="shared" si="50"/>
        <v>2010</v>
      </c>
      <c r="AG1035" s="171">
        <f t="shared" si="51"/>
        <v>7</v>
      </c>
      <c r="AH1035" s="700">
        <f>SUMIF(D$3:$AA1035,"&lt;="&amp;$AH$1)/COUNTIF(D$3:$AA1035,"&lt;="&amp;$AH$1)</f>
        <v>29.870403395002878</v>
      </c>
    </row>
    <row r="1036" spans="2:34" x14ac:dyDescent="0.25">
      <c r="B1036" s="910">
        <v>40276</v>
      </c>
      <c r="C1036" s="581">
        <f t="shared" si="49"/>
        <v>4</v>
      </c>
      <c r="D1036" s="171">
        <v>37</v>
      </c>
      <c r="E1036" s="171">
        <v>34.730000000000004</v>
      </c>
      <c r="F1036" s="171">
        <v>31.78</v>
      </c>
      <c r="G1036" s="171">
        <v>28.8</v>
      </c>
      <c r="H1036" s="171">
        <v>28.75</v>
      </c>
      <c r="I1036" s="171">
        <v>34.28</v>
      </c>
      <c r="J1036" s="171">
        <v>43.72</v>
      </c>
      <c r="K1036" s="171">
        <v>54</v>
      </c>
      <c r="L1036" s="171">
        <v>56</v>
      </c>
      <c r="M1036" s="171">
        <v>58</v>
      </c>
      <c r="N1036" s="171">
        <v>58.5</v>
      </c>
      <c r="O1036" s="171">
        <v>60</v>
      </c>
      <c r="P1036" s="171">
        <v>56</v>
      </c>
      <c r="Q1036" s="171">
        <v>54.07</v>
      </c>
      <c r="R1036" s="171">
        <v>49.800000000000004</v>
      </c>
      <c r="S1036" s="171">
        <v>46.6</v>
      </c>
      <c r="T1036" s="171">
        <v>43.94</v>
      </c>
      <c r="U1036" s="171">
        <v>41.72</v>
      </c>
      <c r="V1036" s="171">
        <v>45.14</v>
      </c>
      <c r="W1036" s="171">
        <v>45.53</v>
      </c>
      <c r="X1036" s="171">
        <v>52.43</v>
      </c>
      <c r="Y1036" s="171">
        <v>48.01</v>
      </c>
      <c r="Z1036" s="171">
        <v>43.5</v>
      </c>
      <c r="AA1036" s="171">
        <v>40</v>
      </c>
      <c r="AB1036" s="171">
        <v>60</v>
      </c>
      <c r="AC1036" s="171">
        <v>41.72</v>
      </c>
      <c r="AD1036" s="171">
        <v>39.75</v>
      </c>
      <c r="AF1036" s="171">
        <f t="shared" si="50"/>
        <v>2010</v>
      </c>
      <c r="AG1036" s="171">
        <f t="shared" si="51"/>
        <v>8</v>
      </c>
      <c r="AH1036" s="700">
        <f>SUMIF(D$3:$AA1036,"&lt;="&amp;$AH$1)/COUNTIF(D$3:$AA1036,"&lt;="&amp;$AH$1)</f>
        <v>29.874033733562051</v>
      </c>
    </row>
    <row r="1037" spans="2:34" x14ac:dyDescent="0.25">
      <c r="B1037" s="910">
        <v>40277</v>
      </c>
      <c r="C1037" s="581">
        <f t="shared" si="49"/>
        <v>4</v>
      </c>
      <c r="D1037" s="171">
        <v>33</v>
      </c>
      <c r="E1037" s="171">
        <v>28.36</v>
      </c>
      <c r="F1037" s="171">
        <v>27.48</v>
      </c>
      <c r="G1037" s="171">
        <v>22.740000000000002</v>
      </c>
      <c r="H1037" s="171">
        <v>21.01</v>
      </c>
      <c r="I1037" s="171">
        <v>21.5</v>
      </c>
      <c r="J1037" s="171">
        <v>17.25</v>
      </c>
      <c r="K1037" s="171">
        <v>19.170000000000002</v>
      </c>
      <c r="L1037" s="171">
        <v>29.060000000000002</v>
      </c>
      <c r="M1037" s="171">
        <v>32.410000000000004</v>
      </c>
      <c r="N1037" s="171">
        <v>34.99</v>
      </c>
      <c r="O1037" s="171">
        <v>37</v>
      </c>
      <c r="P1037" s="171">
        <v>38.9</v>
      </c>
      <c r="Q1037" s="171">
        <v>33.4</v>
      </c>
      <c r="R1037" s="171">
        <v>29.13</v>
      </c>
      <c r="S1037" s="171">
        <v>24.8</v>
      </c>
      <c r="T1037" s="171">
        <v>22.78</v>
      </c>
      <c r="U1037" s="171">
        <v>28.5</v>
      </c>
      <c r="V1037" s="171">
        <v>34.24</v>
      </c>
      <c r="W1037" s="171">
        <v>37.43</v>
      </c>
      <c r="X1037" s="171">
        <v>46.7</v>
      </c>
      <c r="Y1037" s="171">
        <v>48.82</v>
      </c>
      <c r="Z1037" s="171">
        <v>46.72</v>
      </c>
      <c r="AA1037" s="171">
        <v>37.380000000000003</v>
      </c>
      <c r="AB1037" s="171">
        <v>48.82</v>
      </c>
      <c r="AC1037" s="171">
        <v>19.170000000000002</v>
      </c>
      <c r="AD1037" s="171">
        <v>39.08</v>
      </c>
      <c r="AF1037" s="171">
        <f t="shared" si="50"/>
        <v>2010</v>
      </c>
      <c r="AG1037" s="171">
        <f t="shared" si="51"/>
        <v>21</v>
      </c>
      <c r="AH1037" s="700">
        <f>SUMIF(D$3:$AA1037,"&lt;="&amp;$AH$1)/COUNTIF(D$3:$AA1037,"&lt;="&amp;$AH$1)</f>
        <v>29.872433666191167</v>
      </c>
    </row>
    <row r="1038" spans="2:34" x14ac:dyDescent="0.25">
      <c r="B1038" s="910">
        <v>40280</v>
      </c>
      <c r="C1038" s="581">
        <f t="shared" si="49"/>
        <v>4</v>
      </c>
      <c r="D1038" s="171">
        <v>33</v>
      </c>
      <c r="E1038" s="171">
        <v>28.36</v>
      </c>
      <c r="F1038" s="171">
        <v>27.48</v>
      </c>
      <c r="G1038" s="171">
        <v>22.740000000000002</v>
      </c>
      <c r="H1038" s="171">
        <v>21.01</v>
      </c>
      <c r="I1038" s="171">
        <v>21.5</v>
      </c>
      <c r="J1038" s="171">
        <v>17.25</v>
      </c>
      <c r="K1038" s="171">
        <v>19.170000000000002</v>
      </c>
      <c r="L1038" s="171">
        <v>29.060000000000002</v>
      </c>
      <c r="M1038" s="171">
        <v>32.410000000000004</v>
      </c>
      <c r="N1038" s="171">
        <v>34.99</v>
      </c>
      <c r="O1038" s="171">
        <v>37</v>
      </c>
      <c r="P1038" s="171">
        <v>38.9</v>
      </c>
      <c r="Q1038" s="171">
        <v>33.4</v>
      </c>
      <c r="R1038" s="171">
        <v>29.13</v>
      </c>
      <c r="S1038" s="171">
        <v>24.8</v>
      </c>
      <c r="T1038" s="171">
        <v>22.78</v>
      </c>
      <c r="U1038" s="171">
        <v>28.5</v>
      </c>
      <c r="V1038" s="171">
        <v>34.24</v>
      </c>
      <c r="W1038" s="171">
        <v>37.43</v>
      </c>
      <c r="X1038" s="171">
        <v>46.7</v>
      </c>
      <c r="Y1038" s="171">
        <v>48.82</v>
      </c>
      <c r="Z1038" s="171">
        <v>46.72</v>
      </c>
      <c r="AA1038" s="171">
        <v>37.380000000000003</v>
      </c>
      <c r="AB1038" s="171">
        <v>48.82</v>
      </c>
      <c r="AC1038" s="171">
        <v>19.170000000000002</v>
      </c>
      <c r="AD1038" s="171">
        <v>39.08</v>
      </c>
      <c r="AF1038" s="171">
        <f t="shared" si="50"/>
        <v>2010</v>
      </c>
      <c r="AG1038" s="171">
        <f t="shared" si="51"/>
        <v>21</v>
      </c>
      <c r="AH1038" s="700">
        <f>SUMIF(D$3:$AA1038,"&lt;="&amp;$AH$1)/COUNTIF(D$3:$AA1038,"&lt;="&amp;$AH$1)</f>
        <v>29.870839977220967</v>
      </c>
    </row>
    <row r="1039" spans="2:34" x14ac:dyDescent="0.25">
      <c r="B1039" s="910">
        <v>40281</v>
      </c>
      <c r="C1039" s="581">
        <f t="shared" si="49"/>
        <v>4</v>
      </c>
      <c r="D1039" s="171">
        <v>37.15</v>
      </c>
      <c r="E1039" s="171">
        <v>35</v>
      </c>
      <c r="F1039" s="171">
        <v>33</v>
      </c>
      <c r="G1039" s="171">
        <v>27.55</v>
      </c>
      <c r="H1039" s="171">
        <v>27.97</v>
      </c>
      <c r="I1039" s="171">
        <v>35.050000000000004</v>
      </c>
      <c r="J1039" s="171">
        <v>42.19</v>
      </c>
      <c r="K1039" s="171">
        <v>56.22</v>
      </c>
      <c r="L1039" s="171">
        <v>65.290000000000006</v>
      </c>
      <c r="M1039" s="171">
        <v>72.5</v>
      </c>
      <c r="N1039" s="171">
        <v>70.5</v>
      </c>
      <c r="O1039" s="171">
        <v>70</v>
      </c>
      <c r="P1039" s="171">
        <v>59.88</v>
      </c>
      <c r="Q1039" s="171">
        <v>54.43</v>
      </c>
      <c r="R1039" s="171">
        <v>51.21</v>
      </c>
      <c r="S1039" s="171">
        <v>46.54</v>
      </c>
      <c r="T1039" s="171">
        <v>42.38</v>
      </c>
      <c r="U1039" s="171">
        <v>41.52</v>
      </c>
      <c r="V1039" s="171">
        <v>43.230000000000004</v>
      </c>
      <c r="W1039" s="171">
        <v>45.04</v>
      </c>
      <c r="X1039" s="171">
        <v>50</v>
      </c>
      <c r="Y1039" s="171">
        <v>46.86</v>
      </c>
      <c r="Z1039" s="171">
        <v>44.6</v>
      </c>
      <c r="AA1039" s="171">
        <v>40</v>
      </c>
      <c r="AB1039" s="171">
        <v>72.5</v>
      </c>
      <c r="AC1039" s="171">
        <v>41.52</v>
      </c>
      <c r="AD1039" s="171">
        <v>39.630000000000003</v>
      </c>
      <c r="AF1039" s="171">
        <f t="shared" si="50"/>
        <v>2010</v>
      </c>
      <c r="AG1039" s="171">
        <f t="shared" si="51"/>
        <v>10</v>
      </c>
      <c r="AH1039" s="700">
        <f>SUMIF(D$3:$AA1039,"&lt;="&amp;$AH$1)/COUNTIF(D$3:$AA1039,"&lt;="&amp;$AH$1)</f>
        <v>29.876823440166898</v>
      </c>
    </row>
    <row r="1040" spans="2:34" x14ac:dyDescent="0.25">
      <c r="B1040" s="910">
        <v>40282</v>
      </c>
      <c r="C1040" s="581">
        <f t="shared" si="49"/>
        <v>4</v>
      </c>
      <c r="D1040" s="171">
        <v>37</v>
      </c>
      <c r="E1040" s="171">
        <v>34.020000000000003</v>
      </c>
      <c r="F1040" s="171">
        <v>32.5</v>
      </c>
      <c r="G1040" s="171">
        <v>31</v>
      </c>
      <c r="H1040" s="171">
        <v>32.01</v>
      </c>
      <c r="I1040" s="171">
        <v>39.25</v>
      </c>
      <c r="J1040" s="171">
        <v>43.56</v>
      </c>
      <c r="K1040" s="171">
        <v>53.2</v>
      </c>
      <c r="L1040" s="171">
        <v>57.480000000000004</v>
      </c>
      <c r="M1040" s="171">
        <v>62.29</v>
      </c>
      <c r="N1040" s="171">
        <v>60</v>
      </c>
      <c r="O1040" s="171">
        <v>60</v>
      </c>
      <c r="P1040" s="171">
        <v>53.03</v>
      </c>
      <c r="Q1040" s="171">
        <v>53.02</v>
      </c>
      <c r="R1040" s="171">
        <v>48.01</v>
      </c>
      <c r="S1040" s="171">
        <v>43.31</v>
      </c>
      <c r="T1040" s="171">
        <v>44.300000000000004</v>
      </c>
      <c r="U1040" s="171">
        <v>43.99</v>
      </c>
      <c r="V1040" s="171">
        <v>44.02</v>
      </c>
      <c r="W1040" s="171">
        <v>44.12</v>
      </c>
      <c r="X1040" s="171">
        <v>49.51</v>
      </c>
      <c r="Y1040" s="171">
        <v>47.89</v>
      </c>
      <c r="Z1040" s="171">
        <v>44.03</v>
      </c>
      <c r="AA1040" s="171">
        <v>38.99</v>
      </c>
      <c r="AB1040" s="171">
        <v>62.29</v>
      </c>
      <c r="AC1040" s="171">
        <v>43.31</v>
      </c>
      <c r="AD1040" s="171">
        <v>40.25</v>
      </c>
      <c r="AF1040" s="171">
        <f t="shared" si="50"/>
        <v>2010</v>
      </c>
      <c r="AG1040" s="171">
        <f t="shared" si="51"/>
        <v>7</v>
      </c>
      <c r="AH1040" s="700">
        <f>SUMIF(D$3:$AA1040,"&lt;="&amp;$AH$1)/COUNTIF(D$3:$AA1040,"&lt;="&amp;$AH$1)</f>
        <v>29.880199943144142</v>
      </c>
    </row>
    <row r="1041" spans="2:34" x14ac:dyDescent="0.25">
      <c r="B1041" s="910">
        <v>40283</v>
      </c>
      <c r="C1041" s="581">
        <f t="shared" si="49"/>
        <v>4</v>
      </c>
      <c r="D1041" s="171">
        <v>39.590000000000003</v>
      </c>
      <c r="E1041" s="171">
        <v>36</v>
      </c>
      <c r="F1041" s="171">
        <v>33.369999999999997</v>
      </c>
      <c r="G1041" s="171">
        <v>31</v>
      </c>
      <c r="H1041" s="171">
        <v>31.5</v>
      </c>
      <c r="I1041" s="171">
        <v>38</v>
      </c>
      <c r="J1041" s="171">
        <v>47</v>
      </c>
      <c r="K1041" s="171">
        <v>58.28</v>
      </c>
      <c r="L1041" s="171">
        <v>64.5</v>
      </c>
      <c r="M1041" s="171">
        <v>69</v>
      </c>
      <c r="N1041" s="171">
        <v>64.680000000000007</v>
      </c>
      <c r="O1041" s="171">
        <v>62.56</v>
      </c>
      <c r="P1041" s="171">
        <v>59.61</v>
      </c>
      <c r="Q1041" s="171">
        <v>55.4</v>
      </c>
      <c r="R1041" s="171">
        <v>53.83</v>
      </c>
      <c r="S1041" s="171">
        <v>50.46</v>
      </c>
      <c r="T1041" s="171">
        <v>45.18</v>
      </c>
      <c r="U1041" s="171">
        <v>42.95</v>
      </c>
      <c r="V1041" s="171">
        <v>46</v>
      </c>
      <c r="W1041" s="171">
        <v>48.96</v>
      </c>
      <c r="X1041" s="171">
        <v>48</v>
      </c>
      <c r="Y1041" s="171">
        <v>47.2</v>
      </c>
      <c r="Z1041" s="171">
        <v>47</v>
      </c>
      <c r="AA1041" s="171">
        <v>42.51</v>
      </c>
      <c r="AB1041" s="171">
        <v>69</v>
      </c>
      <c r="AC1041" s="171">
        <v>42.95</v>
      </c>
      <c r="AD1041" s="171">
        <v>41.62</v>
      </c>
      <c r="AF1041" s="171">
        <f t="shared" si="50"/>
        <v>2010</v>
      </c>
      <c r="AG1041" s="171">
        <f t="shared" si="51"/>
        <v>7</v>
      </c>
      <c r="AH1041" s="700">
        <f>SUMIF(D$3:$AA1041,"&lt;="&amp;$AH$1)/COUNTIF(D$3:$AA1041,"&lt;="&amp;$AH$1)</f>
        <v>29.884253787878801</v>
      </c>
    </row>
    <row r="1042" spans="2:34" x14ac:dyDescent="0.25">
      <c r="B1042" s="910">
        <v>40284</v>
      </c>
      <c r="C1042" s="581">
        <f t="shared" si="49"/>
        <v>4</v>
      </c>
      <c r="D1042" s="171">
        <v>37.49</v>
      </c>
      <c r="E1042" s="171">
        <v>35.700000000000003</v>
      </c>
      <c r="F1042" s="171">
        <v>33.64</v>
      </c>
      <c r="G1042" s="171">
        <v>31.18</v>
      </c>
      <c r="H1042" s="171">
        <v>30.19</v>
      </c>
      <c r="I1042" s="171">
        <v>36</v>
      </c>
      <c r="J1042" s="171">
        <v>41.29</v>
      </c>
      <c r="K1042" s="171">
        <v>52.5</v>
      </c>
      <c r="L1042" s="171">
        <v>57.300000000000004</v>
      </c>
      <c r="M1042" s="171">
        <v>59.5</v>
      </c>
      <c r="N1042" s="171">
        <v>57.21</v>
      </c>
      <c r="O1042" s="171">
        <v>54.47</v>
      </c>
      <c r="P1042" s="171">
        <v>51.81</v>
      </c>
      <c r="Q1042" s="171">
        <v>47.08</v>
      </c>
      <c r="R1042" s="171">
        <v>44</v>
      </c>
      <c r="S1042" s="171">
        <v>41.6</v>
      </c>
      <c r="T1042" s="171">
        <v>40</v>
      </c>
      <c r="U1042" s="171">
        <v>39.93</v>
      </c>
      <c r="V1042" s="171">
        <v>42.79</v>
      </c>
      <c r="W1042" s="171">
        <v>43</v>
      </c>
      <c r="X1042" s="171">
        <v>47.77</v>
      </c>
      <c r="Y1042" s="171">
        <v>48.38</v>
      </c>
      <c r="Z1042" s="171">
        <v>46</v>
      </c>
      <c r="AA1042" s="171">
        <v>43.28</v>
      </c>
      <c r="AB1042" s="171">
        <v>59.5</v>
      </c>
      <c r="AC1042" s="171">
        <v>39.93</v>
      </c>
      <c r="AD1042" s="171">
        <v>40.28</v>
      </c>
      <c r="AF1042" s="171">
        <f t="shared" si="50"/>
        <v>2010</v>
      </c>
      <c r="AG1042" s="171">
        <f t="shared" si="51"/>
        <v>10</v>
      </c>
      <c r="AH1042" s="700">
        <f>SUMIF(D$3:$AA1042,"&lt;="&amp;$AH$1)/COUNTIF(D$3:$AA1042,"&lt;="&amp;$AH$1)</f>
        <v>29.890703878902563</v>
      </c>
    </row>
    <row r="1043" spans="2:34" x14ac:dyDescent="0.25">
      <c r="B1043" s="910">
        <v>40287</v>
      </c>
      <c r="C1043" s="581">
        <f t="shared" si="49"/>
        <v>4</v>
      </c>
      <c r="D1043" s="171">
        <v>37.25</v>
      </c>
      <c r="E1043" s="171">
        <v>31.68</v>
      </c>
      <c r="F1043" s="171">
        <v>28.67</v>
      </c>
      <c r="G1043" s="171">
        <v>25.62</v>
      </c>
      <c r="H1043" s="171">
        <v>25.900000000000002</v>
      </c>
      <c r="I1043" s="171">
        <v>33.36</v>
      </c>
      <c r="J1043" s="171">
        <v>43</v>
      </c>
      <c r="K1043" s="171">
        <v>56.19</v>
      </c>
      <c r="L1043" s="171">
        <v>62.88</v>
      </c>
      <c r="M1043" s="171">
        <v>65</v>
      </c>
      <c r="N1043" s="171">
        <v>63</v>
      </c>
      <c r="O1043" s="171">
        <v>63.32</v>
      </c>
      <c r="P1043" s="171">
        <v>58.7</v>
      </c>
      <c r="Q1043" s="171">
        <v>56.6</v>
      </c>
      <c r="R1043" s="171">
        <v>54.1</v>
      </c>
      <c r="S1043" s="171">
        <v>49.730000000000004</v>
      </c>
      <c r="T1043" s="171">
        <v>47.36</v>
      </c>
      <c r="U1043" s="171">
        <v>46.25</v>
      </c>
      <c r="V1043" s="171">
        <v>48.730000000000004</v>
      </c>
      <c r="W1043" s="171">
        <v>49.370000000000005</v>
      </c>
      <c r="X1043" s="171">
        <v>50.84</v>
      </c>
      <c r="Y1043" s="171">
        <v>48.9</v>
      </c>
      <c r="Z1043" s="171">
        <v>47.09</v>
      </c>
      <c r="AA1043" s="171">
        <v>44.04</v>
      </c>
      <c r="AB1043" s="171">
        <v>65</v>
      </c>
      <c r="AC1043" s="171">
        <v>46.25</v>
      </c>
      <c r="AD1043" s="171">
        <v>39.380000000000003</v>
      </c>
      <c r="AF1043" s="171">
        <f t="shared" si="50"/>
        <v>2010</v>
      </c>
      <c r="AG1043" s="171">
        <f t="shared" si="51"/>
        <v>6</v>
      </c>
      <c r="AH1043" s="700">
        <f>SUMIF(D$3:$AA1043,"&lt;="&amp;$AH$1)/COUNTIF(D$3:$AA1043,"&lt;="&amp;$AH$1)</f>
        <v>29.891000378214834</v>
      </c>
    </row>
    <row r="1044" spans="2:34" x14ac:dyDescent="0.25">
      <c r="B1044" s="910">
        <v>40288</v>
      </c>
      <c r="C1044" s="581">
        <f t="shared" si="49"/>
        <v>4</v>
      </c>
      <c r="D1044" s="171">
        <v>38.76</v>
      </c>
      <c r="E1044" s="171">
        <v>35.54</v>
      </c>
      <c r="F1044" s="171">
        <v>32</v>
      </c>
      <c r="G1044" s="171">
        <v>30.6</v>
      </c>
      <c r="H1044" s="171">
        <v>30.330000000000002</v>
      </c>
      <c r="I1044" s="171">
        <v>36.74</v>
      </c>
      <c r="J1044" s="171">
        <v>45</v>
      </c>
      <c r="K1044" s="171">
        <v>53.4</v>
      </c>
      <c r="L1044" s="171">
        <v>54.08</v>
      </c>
      <c r="M1044" s="171">
        <v>56.5</v>
      </c>
      <c r="N1044" s="171">
        <v>53.36</v>
      </c>
      <c r="O1044" s="171">
        <v>52.800000000000004</v>
      </c>
      <c r="P1044" s="171">
        <v>51.76</v>
      </c>
      <c r="Q1044" s="171">
        <v>50.75</v>
      </c>
      <c r="R1044" s="171">
        <v>48.33</v>
      </c>
      <c r="S1044" s="171">
        <v>43.51</v>
      </c>
      <c r="T1044" s="171">
        <v>41.2</v>
      </c>
      <c r="U1044" s="171">
        <v>40.369999999999997</v>
      </c>
      <c r="V1044" s="171">
        <v>42.11</v>
      </c>
      <c r="W1044" s="171">
        <v>42.5</v>
      </c>
      <c r="X1044" s="171">
        <v>45.050000000000004</v>
      </c>
      <c r="Y1044" s="171">
        <v>45.26</v>
      </c>
      <c r="Z1044" s="171">
        <v>43.15</v>
      </c>
      <c r="AA1044" s="171">
        <v>42.22</v>
      </c>
      <c r="AB1044" s="171">
        <v>56.5</v>
      </c>
      <c r="AC1044" s="171">
        <v>40.369999999999997</v>
      </c>
      <c r="AD1044" s="171">
        <v>39.840000000000003</v>
      </c>
      <c r="AF1044" s="171">
        <f t="shared" si="50"/>
        <v>2010</v>
      </c>
      <c r="AG1044" s="171">
        <f t="shared" si="51"/>
        <v>11</v>
      </c>
      <c r="AH1044" s="700">
        <f>SUMIF(D$3:$AA1044,"&lt;="&amp;$AH$1)/COUNTIF(D$3:$AA1044,"&lt;="&amp;$AH$1)</f>
        <v>29.898893926513651</v>
      </c>
    </row>
    <row r="1045" spans="2:34" x14ac:dyDescent="0.25">
      <c r="B1045" s="910">
        <v>40289</v>
      </c>
      <c r="C1045" s="581">
        <f t="shared" si="49"/>
        <v>4</v>
      </c>
      <c r="D1045" s="171">
        <v>35.81</v>
      </c>
      <c r="E1045" s="171">
        <v>32.299999999999997</v>
      </c>
      <c r="F1045" s="171">
        <v>29.25</v>
      </c>
      <c r="G1045" s="171">
        <v>28</v>
      </c>
      <c r="H1045" s="171">
        <v>27.97</v>
      </c>
      <c r="I1045" s="171">
        <v>35</v>
      </c>
      <c r="J1045" s="171">
        <v>39</v>
      </c>
      <c r="K1045" s="171">
        <v>47.17</v>
      </c>
      <c r="L1045" s="171">
        <v>49</v>
      </c>
      <c r="M1045" s="171">
        <v>48.78</v>
      </c>
      <c r="N1045" s="171">
        <v>46</v>
      </c>
      <c r="O1045" s="171">
        <v>46.07</v>
      </c>
      <c r="P1045" s="171">
        <v>45</v>
      </c>
      <c r="Q1045" s="171">
        <v>44.4</v>
      </c>
      <c r="R1045" s="171">
        <v>42.21</v>
      </c>
      <c r="S1045" s="171">
        <v>42.64</v>
      </c>
      <c r="T1045" s="171">
        <v>40.5</v>
      </c>
      <c r="U1045" s="171">
        <v>40.86</v>
      </c>
      <c r="V1045" s="171">
        <v>40</v>
      </c>
      <c r="W1045" s="171">
        <v>41.4</v>
      </c>
      <c r="X1045" s="171">
        <v>44.6</v>
      </c>
      <c r="Y1045" s="171">
        <v>46.15</v>
      </c>
      <c r="Z1045" s="171">
        <v>43.77</v>
      </c>
      <c r="AA1045" s="171">
        <v>40.5</v>
      </c>
      <c r="AB1045" s="171">
        <v>49</v>
      </c>
      <c r="AC1045" s="171">
        <v>40</v>
      </c>
      <c r="AD1045" s="171">
        <v>37.46</v>
      </c>
      <c r="AF1045" s="171">
        <f t="shared" si="50"/>
        <v>2010</v>
      </c>
      <c r="AG1045" s="171">
        <f t="shared" si="51"/>
        <v>13</v>
      </c>
      <c r="AH1045" s="700">
        <f>SUMIF(D$3:$AA1045,"&lt;="&amp;$AH$1)/COUNTIF(D$3:$AA1045,"&lt;="&amp;$AH$1)</f>
        <v>29.906829245283021</v>
      </c>
    </row>
    <row r="1046" spans="2:34" x14ac:dyDescent="0.25">
      <c r="B1046" s="910">
        <v>40290</v>
      </c>
      <c r="C1046" s="581">
        <f t="shared" si="49"/>
        <v>4</v>
      </c>
      <c r="D1046" s="171">
        <v>45.4</v>
      </c>
      <c r="E1046" s="171">
        <v>42.43</v>
      </c>
      <c r="F1046" s="171">
        <v>36.25</v>
      </c>
      <c r="G1046" s="171">
        <v>29.990000000000002</v>
      </c>
      <c r="H1046" s="171">
        <v>27.5</v>
      </c>
      <c r="I1046" s="171">
        <v>35.4</v>
      </c>
      <c r="J1046" s="171">
        <v>42.09</v>
      </c>
      <c r="K1046" s="171">
        <v>53.27</v>
      </c>
      <c r="L1046" s="171">
        <v>56.27</v>
      </c>
      <c r="M1046" s="171">
        <v>66.19</v>
      </c>
      <c r="N1046" s="171">
        <v>63.85</v>
      </c>
      <c r="O1046" s="171">
        <v>66.19</v>
      </c>
      <c r="P1046" s="171">
        <v>66.19</v>
      </c>
      <c r="Q1046" s="171">
        <v>58.660000000000004</v>
      </c>
      <c r="R1046" s="171">
        <v>52.230000000000004</v>
      </c>
      <c r="S1046" s="171">
        <v>46.1</v>
      </c>
      <c r="T1046" s="171">
        <v>45.6</v>
      </c>
      <c r="U1046" s="171">
        <v>44.59</v>
      </c>
      <c r="V1046" s="171">
        <v>45.13</v>
      </c>
      <c r="W1046" s="171">
        <v>46.62</v>
      </c>
      <c r="X1046" s="171">
        <v>50.7</v>
      </c>
      <c r="Y1046" s="171">
        <v>51.25</v>
      </c>
      <c r="Z1046" s="171">
        <v>52.11</v>
      </c>
      <c r="AA1046" s="171">
        <v>45.01</v>
      </c>
      <c r="AB1046" s="171">
        <v>66.19</v>
      </c>
      <c r="AC1046" s="171">
        <v>44.59</v>
      </c>
      <c r="AD1046" s="171">
        <v>42.62</v>
      </c>
      <c r="AF1046" s="171">
        <f t="shared" si="50"/>
        <v>2010</v>
      </c>
      <c r="AG1046" s="171">
        <f t="shared" si="51"/>
        <v>6</v>
      </c>
      <c r="AH1046" s="700">
        <f>SUMIF(D$3:$AA1046,"&lt;="&amp;$AH$1)/COUNTIF(D$3:$AA1046,"&lt;="&amp;$AH$1)</f>
        <v>29.910055628889314</v>
      </c>
    </row>
    <row r="1047" spans="2:34" x14ac:dyDescent="0.25">
      <c r="B1047" s="910">
        <v>40291</v>
      </c>
      <c r="C1047" s="581">
        <f t="shared" si="49"/>
        <v>4</v>
      </c>
      <c r="D1047" s="171">
        <v>39.19</v>
      </c>
      <c r="E1047" s="171">
        <v>34.93</v>
      </c>
      <c r="F1047" s="171">
        <v>32.380000000000003</v>
      </c>
      <c r="G1047" s="171">
        <v>30.23</v>
      </c>
      <c r="H1047" s="171">
        <v>30</v>
      </c>
      <c r="I1047" s="171">
        <v>36.35</v>
      </c>
      <c r="J1047" s="171">
        <v>42.050000000000004</v>
      </c>
      <c r="K1047" s="171">
        <v>50.660000000000004</v>
      </c>
      <c r="L1047" s="171">
        <v>54.18</v>
      </c>
      <c r="M1047" s="171">
        <v>56.18</v>
      </c>
      <c r="N1047" s="171">
        <v>56.14</v>
      </c>
      <c r="O1047" s="171">
        <v>56</v>
      </c>
      <c r="P1047" s="171">
        <v>55.21</v>
      </c>
      <c r="Q1047" s="171">
        <v>50.95</v>
      </c>
      <c r="R1047" s="171">
        <v>47</v>
      </c>
      <c r="S1047" s="171">
        <v>42.550000000000004</v>
      </c>
      <c r="T1047" s="171">
        <v>42.86</v>
      </c>
      <c r="U1047" s="171">
        <v>41.47</v>
      </c>
      <c r="V1047" s="171">
        <v>43.42</v>
      </c>
      <c r="W1047" s="171">
        <v>43.46</v>
      </c>
      <c r="X1047" s="171">
        <v>46</v>
      </c>
      <c r="Y1047" s="171">
        <v>46.53</v>
      </c>
      <c r="Z1047" s="171">
        <v>44.83</v>
      </c>
      <c r="AA1047" s="171">
        <v>41.5</v>
      </c>
      <c r="AB1047" s="171">
        <v>56.18</v>
      </c>
      <c r="AC1047" s="171">
        <v>41.47</v>
      </c>
      <c r="AD1047" s="171">
        <v>39.550000000000004</v>
      </c>
      <c r="AF1047" s="171">
        <f t="shared" si="50"/>
        <v>2010</v>
      </c>
      <c r="AG1047" s="171">
        <f t="shared" si="51"/>
        <v>10</v>
      </c>
      <c r="AH1047" s="700">
        <f>SUMIF(D$3:$AA1047,"&lt;="&amp;$AH$1)/COUNTIF(D$3:$AA1047,"&lt;="&amp;$AH$1)</f>
        <v>29.916795403165029</v>
      </c>
    </row>
    <row r="1048" spans="2:34" x14ac:dyDescent="0.25">
      <c r="B1048" s="910">
        <v>40294</v>
      </c>
      <c r="C1048" s="581">
        <f t="shared" si="49"/>
        <v>4</v>
      </c>
      <c r="D1048" s="171">
        <v>28.34</v>
      </c>
      <c r="E1048" s="171">
        <v>25.89</v>
      </c>
      <c r="F1048" s="171">
        <v>20.51</v>
      </c>
      <c r="G1048" s="171">
        <v>20</v>
      </c>
      <c r="H1048" s="171">
        <v>20.12</v>
      </c>
      <c r="I1048" s="171">
        <v>24.900000000000002</v>
      </c>
      <c r="J1048" s="171">
        <v>33.39</v>
      </c>
      <c r="K1048" s="171">
        <v>44.96</v>
      </c>
      <c r="L1048" s="171">
        <v>50.01</v>
      </c>
      <c r="M1048" s="171">
        <v>52.09</v>
      </c>
      <c r="N1048" s="171">
        <v>51.6</v>
      </c>
      <c r="O1048" s="171">
        <v>53.03</v>
      </c>
      <c r="P1048" s="171">
        <v>52.230000000000004</v>
      </c>
      <c r="Q1048" s="171">
        <v>51.42</v>
      </c>
      <c r="R1048" s="171">
        <v>50.71</v>
      </c>
      <c r="S1048" s="171">
        <v>48</v>
      </c>
      <c r="T1048" s="171">
        <v>44.07</v>
      </c>
      <c r="U1048" s="171">
        <v>43.19</v>
      </c>
      <c r="V1048" s="171">
        <v>45.49</v>
      </c>
      <c r="W1048" s="171">
        <v>44.28</v>
      </c>
      <c r="X1048" s="171">
        <v>47.28</v>
      </c>
      <c r="Y1048" s="171">
        <v>47.81</v>
      </c>
      <c r="Z1048" s="171">
        <v>45.69</v>
      </c>
      <c r="AA1048" s="171">
        <v>41</v>
      </c>
      <c r="AB1048" s="171">
        <v>53.03</v>
      </c>
      <c r="AC1048" s="171">
        <v>43.19</v>
      </c>
      <c r="AD1048" s="171">
        <v>33.32</v>
      </c>
      <c r="AF1048" s="171">
        <f t="shared" si="50"/>
        <v>2010</v>
      </c>
      <c r="AG1048" s="171">
        <f t="shared" si="51"/>
        <v>8</v>
      </c>
      <c r="AH1048" s="700">
        <f>SUMIF(D$3:$AA1048,"&lt;="&amp;$AH$1)/COUNTIF(D$3:$AA1048,"&lt;="&amp;$AH$1)</f>
        <v>29.914424887048195</v>
      </c>
    </row>
    <row r="1049" spans="2:34" x14ac:dyDescent="0.25">
      <c r="B1049" s="910">
        <v>40295</v>
      </c>
      <c r="C1049" s="581">
        <f t="shared" si="49"/>
        <v>4</v>
      </c>
      <c r="D1049" s="171">
        <v>31.91</v>
      </c>
      <c r="E1049" s="171">
        <v>29.580000000000002</v>
      </c>
      <c r="F1049" s="171">
        <v>26</v>
      </c>
      <c r="G1049" s="171">
        <v>24.92</v>
      </c>
      <c r="H1049" s="171">
        <v>24.59</v>
      </c>
      <c r="I1049" s="171">
        <v>30.09</v>
      </c>
      <c r="J1049" s="171">
        <v>41.24</v>
      </c>
      <c r="K1049" s="171">
        <v>49</v>
      </c>
      <c r="L1049" s="171">
        <v>52.7</v>
      </c>
      <c r="M1049" s="171">
        <v>54.93</v>
      </c>
      <c r="N1049" s="171">
        <v>53.27</v>
      </c>
      <c r="O1049" s="171">
        <v>54.17</v>
      </c>
      <c r="P1049" s="171">
        <v>50.99</v>
      </c>
      <c r="Q1049" s="171">
        <v>50</v>
      </c>
      <c r="R1049" s="171">
        <v>49.5</v>
      </c>
      <c r="S1049" s="171">
        <v>47.43</v>
      </c>
      <c r="T1049" s="171">
        <v>46</v>
      </c>
      <c r="U1049" s="171">
        <v>43.01</v>
      </c>
      <c r="V1049" s="171">
        <v>44.07</v>
      </c>
      <c r="W1049" s="171">
        <v>43.12</v>
      </c>
      <c r="X1049" s="171">
        <v>45.71</v>
      </c>
      <c r="Y1049" s="171">
        <v>46.97</v>
      </c>
      <c r="Z1049" s="171">
        <v>45.1</v>
      </c>
      <c r="AA1049" s="171">
        <v>40.270000000000003</v>
      </c>
      <c r="AB1049" s="171">
        <v>54.93</v>
      </c>
      <c r="AC1049" s="171">
        <v>43.01</v>
      </c>
      <c r="AD1049" s="171">
        <v>36.28</v>
      </c>
      <c r="AF1049" s="171">
        <f t="shared" si="50"/>
        <v>2010</v>
      </c>
      <c r="AG1049" s="171">
        <f t="shared" si="51"/>
        <v>8</v>
      </c>
      <c r="AH1049" s="700">
        <f>SUMIF(D$3:$AA1049,"&lt;="&amp;$AH$1)/COUNTIF(D$3:$AA1049,"&lt;="&amp;$AH$1)</f>
        <v>29.915298156508658</v>
      </c>
    </row>
    <row r="1050" spans="2:34" x14ac:dyDescent="0.25">
      <c r="B1050" s="910">
        <v>40296</v>
      </c>
      <c r="C1050" s="581">
        <f t="shared" si="49"/>
        <v>4</v>
      </c>
      <c r="D1050" s="171">
        <v>35.42</v>
      </c>
      <c r="E1050" s="171">
        <v>32.410000000000004</v>
      </c>
      <c r="F1050" s="171">
        <v>27.560000000000002</v>
      </c>
      <c r="G1050" s="171">
        <v>25</v>
      </c>
      <c r="H1050" s="171">
        <v>24.86</v>
      </c>
      <c r="I1050" s="171">
        <v>30.45</v>
      </c>
      <c r="J1050" s="171">
        <v>36.520000000000003</v>
      </c>
      <c r="K1050" s="171">
        <v>45.800000000000004</v>
      </c>
      <c r="L1050" s="171">
        <v>51.51</v>
      </c>
      <c r="M1050" s="171">
        <v>51.2</v>
      </c>
      <c r="N1050" s="171">
        <v>51.38</v>
      </c>
      <c r="O1050" s="171">
        <v>51.730000000000004</v>
      </c>
      <c r="P1050" s="171">
        <v>51</v>
      </c>
      <c r="Q1050" s="171">
        <v>50.46</v>
      </c>
      <c r="R1050" s="171">
        <v>49.76</v>
      </c>
      <c r="S1050" s="171">
        <v>48.26</v>
      </c>
      <c r="T1050" s="171">
        <v>46.660000000000004</v>
      </c>
      <c r="U1050" s="171">
        <v>45.94</v>
      </c>
      <c r="V1050" s="171">
        <v>46.63</v>
      </c>
      <c r="W1050" s="171">
        <v>45</v>
      </c>
      <c r="X1050" s="171">
        <v>45.4</v>
      </c>
      <c r="Y1050" s="171">
        <v>46.77</v>
      </c>
      <c r="Z1050" s="171">
        <v>46.550000000000004</v>
      </c>
      <c r="AA1050" s="171">
        <v>40.08</v>
      </c>
      <c r="AB1050" s="171">
        <v>51.730000000000004</v>
      </c>
      <c r="AC1050" s="171">
        <v>45</v>
      </c>
      <c r="AD1050" s="171">
        <v>36.4</v>
      </c>
      <c r="AF1050" s="171">
        <f t="shared" si="50"/>
        <v>2010</v>
      </c>
      <c r="AG1050" s="171">
        <f t="shared" si="51"/>
        <v>8</v>
      </c>
      <c r="AH1050" s="700">
        <f>SUMIF(D$3:$AA1050,"&lt;="&amp;$AH$1)/COUNTIF(D$3:$AA1050,"&lt;="&amp;$AH$1)</f>
        <v>29.916517857142864</v>
      </c>
    </row>
    <row r="1051" spans="2:34" x14ac:dyDescent="0.25">
      <c r="B1051" s="910">
        <v>40297</v>
      </c>
      <c r="C1051" s="581">
        <f t="shared" si="49"/>
        <v>4</v>
      </c>
      <c r="D1051" s="171">
        <v>36.869999999999997</v>
      </c>
      <c r="E1051" s="171">
        <v>32.770000000000003</v>
      </c>
      <c r="F1051" s="171">
        <v>28</v>
      </c>
      <c r="G1051" s="171">
        <v>24.25</v>
      </c>
      <c r="H1051" s="171">
        <v>23</v>
      </c>
      <c r="I1051" s="171">
        <v>30.09</v>
      </c>
      <c r="J1051" s="171">
        <v>38.93</v>
      </c>
      <c r="K1051" s="171">
        <v>45.29</v>
      </c>
      <c r="L1051" s="171">
        <v>49</v>
      </c>
      <c r="M1051" s="171">
        <v>49.86</v>
      </c>
      <c r="N1051" s="171">
        <v>50.61</v>
      </c>
      <c r="O1051" s="171">
        <v>52.160000000000004</v>
      </c>
      <c r="P1051" s="171">
        <v>51.81</v>
      </c>
      <c r="Q1051" s="171">
        <v>50.25</v>
      </c>
      <c r="R1051" s="171">
        <v>49.21</v>
      </c>
      <c r="S1051" s="171">
        <v>46.5</v>
      </c>
      <c r="T1051" s="171">
        <v>44</v>
      </c>
      <c r="U1051" s="171">
        <v>43</v>
      </c>
      <c r="V1051" s="171">
        <v>44.29</v>
      </c>
      <c r="W1051" s="171">
        <v>42.730000000000004</v>
      </c>
      <c r="X1051" s="171">
        <v>45.32</v>
      </c>
      <c r="Y1051" s="171">
        <v>45.56</v>
      </c>
      <c r="Z1051" s="171">
        <v>44.76</v>
      </c>
      <c r="AA1051" s="171">
        <v>39.51</v>
      </c>
      <c r="AB1051" s="171">
        <v>52.160000000000004</v>
      </c>
      <c r="AC1051" s="171">
        <v>42.730000000000004</v>
      </c>
      <c r="AD1051" s="171">
        <v>36.200000000000003</v>
      </c>
      <c r="AF1051" s="171">
        <f t="shared" si="50"/>
        <v>2010</v>
      </c>
      <c r="AG1051" s="171">
        <f t="shared" si="51"/>
        <v>8</v>
      </c>
      <c r="AH1051" s="700">
        <f>SUMIF(D$3:$AA1051,"&lt;="&amp;$AH$1)/COUNTIF(D$3:$AA1051,"&lt;="&amp;$AH$1)</f>
        <v>29.91784090909092</v>
      </c>
    </row>
    <row r="1052" spans="2:34" x14ac:dyDescent="0.25">
      <c r="B1052" s="910">
        <v>40298</v>
      </c>
      <c r="C1052" s="581">
        <f t="shared" si="49"/>
        <v>4</v>
      </c>
      <c r="D1052" s="171">
        <v>31.25</v>
      </c>
      <c r="E1052" s="171">
        <v>29</v>
      </c>
      <c r="F1052" s="171">
        <v>25.400000000000002</v>
      </c>
      <c r="G1052" s="171">
        <v>20</v>
      </c>
      <c r="H1052" s="171">
        <v>18.5</v>
      </c>
      <c r="I1052" s="171">
        <v>19.5</v>
      </c>
      <c r="J1052" s="171">
        <v>15</v>
      </c>
      <c r="K1052" s="171">
        <v>15.040000000000001</v>
      </c>
      <c r="L1052" s="171">
        <v>21.77</v>
      </c>
      <c r="M1052" s="171">
        <v>29</v>
      </c>
      <c r="N1052" s="171">
        <v>33.880000000000003</v>
      </c>
      <c r="O1052" s="171">
        <v>37.61</v>
      </c>
      <c r="P1052" s="171">
        <v>36.47</v>
      </c>
      <c r="Q1052" s="171">
        <v>31.490000000000002</v>
      </c>
      <c r="R1052" s="171">
        <v>28</v>
      </c>
      <c r="S1052" s="171">
        <v>25.080000000000002</v>
      </c>
      <c r="T1052" s="171">
        <v>22.79</v>
      </c>
      <c r="U1052" s="171">
        <v>26.650000000000002</v>
      </c>
      <c r="V1052" s="171">
        <v>32.200000000000003</v>
      </c>
      <c r="W1052" s="171">
        <v>34.450000000000003</v>
      </c>
      <c r="X1052" s="171">
        <v>38.1</v>
      </c>
      <c r="Y1052" s="171">
        <v>42.04</v>
      </c>
      <c r="Z1052" s="171">
        <v>39.93</v>
      </c>
      <c r="AA1052" s="171">
        <v>34.03</v>
      </c>
      <c r="AB1052" s="171">
        <v>42.04</v>
      </c>
      <c r="AC1052" s="171">
        <v>15.040000000000001</v>
      </c>
      <c r="AD1052" s="171">
        <v>36.29</v>
      </c>
      <c r="AF1052" s="171">
        <f t="shared" si="50"/>
        <v>2010</v>
      </c>
      <c r="AG1052" s="171">
        <f t="shared" si="51"/>
        <v>24</v>
      </c>
      <c r="AH1052" s="700">
        <f>SUMIF(D$3:$AA1052,"&lt;="&amp;$AH$1)/COUNTIF(D$3:$AA1052,"&lt;="&amp;$AH$1)</f>
        <v>29.914950337331344</v>
      </c>
    </row>
    <row r="1053" spans="2:34" x14ac:dyDescent="0.25">
      <c r="B1053" s="910">
        <v>40301</v>
      </c>
      <c r="C1053" s="581">
        <f t="shared" si="49"/>
        <v>5</v>
      </c>
      <c r="D1053" s="171">
        <v>31.25</v>
      </c>
      <c r="E1053" s="171">
        <v>29</v>
      </c>
      <c r="F1053" s="171">
        <v>25.400000000000002</v>
      </c>
      <c r="G1053" s="171">
        <v>20</v>
      </c>
      <c r="H1053" s="171">
        <v>18.5</v>
      </c>
      <c r="I1053" s="171">
        <v>19.5</v>
      </c>
      <c r="J1053" s="171">
        <v>15</v>
      </c>
      <c r="K1053" s="171">
        <v>15.040000000000001</v>
      </c>
      <c r="L1053" s="171">
        <v>21.77</v>
      </c>
      <c r="M1053" s="171">
        <v>29</v>
      </c>
      <c r="N1053" s="171">
        <v>33.880000000000003</v>
      </c>
      <c r="O1053" s="171">
        <v>37.61</v>
      </c>
      <c r="P1053" s="171">
        <v>36.47</v>
      </c>
      <c r="Q1053" s="171">
        <v>31.490000000000002</v>
      </c>
      <c r="R1053" s="171">
        <v>28</v>
      </c>
      <c r="S1053" s="171">
        <v>25.080000000000002</v>
      </c>
      <c r="T1053" s="171">
        <v>22.79</v>
      </c>
      <c r="U1053" s="171">
        <v>26.650000000000002</v>
      </c>
      <c r="V1053" s="171">
        <v>32.200000000000003</v>
      </c>
      <c r="W1053" s="171">
        <v>34.450000000000003</v>
      </c>
      <c r="X1053" s="171">
        <v>38.1</v>
      </c>
      <c r="Y1053" s="171">
        <v>42.04</v>
      </c>
      <c r="Z1053" s="171">
        <v>39.93</v>
      </c>
      <c r="AA1053" s="171">
        <v>34.03</v>
      </c>
      <c r="AB1053" s="171">
        <v>42.04</v>
      </c>
      <c r="AC1053" s="171">
        <v>15.040000000000001</v>
      </c>
      <c r="AD1053" s="171">
        <v>36.29</v>
      </c>
      <c r="AF1053" s="171">
        <f t="shared" si="50"/>
        <v>2010</v>
      </c>
      <c r="AG1053" s="171">
        <f t="shared" si="51"/>
        <v>24</v>
      </c>
      <c r="AH1053" s="700">
        <f>SUMIF(D$3:$AA1053,"&lt;="&amp;$AH$1)/COUNTIF(D$3:$AA1053,"&lt;="&amp;$AH$1)</f>
        <v>29.912072737471959</v>
      </c>
    </row>
    <row r="1054" spans="2:34" x14ac:dyDescent="0.25">
      <c r="B1054" s="910">
        <v>40302</v>
      </c>
      <c r="C1054" s="581">
        <f t="shared" si="49"/>
        <v>5</v>
      </c>
      <c r="D1054" s="171">
        <v>39</v>
      </c>
      <c r="E1054" s="171">
        <v>35.800000000000004</v>
      </c>
      <c r="F1054" s="171">
        <v>32.94</v>
      </c>
      <c r="G1054" s="171">
        <v>29.36</v>
      </c>
      <c r="H1054" s="171">
        <v>29.990000000000002</v>
      </c>
      <c r="I1054" s="171">
        <v>35.619999999999997</v>
      </c>
      <c r="J1054" s="171">
        <v>44.45</v>
      </c>
      <c r="K1054" s="171">
        <v>51.71</v>
      </c>
      <c r="L1054" s="171">
        <v>52.94</v>
      </c>
      <c r="M1054" s="171">
        <v>53.27</v>
      </c>
      <c r="N1054" s="171">
        <v>53.910000000000004</v>
      </c>
      <c r="O1054" s="171">
        <v>55.25</v>
      </c>
      <c r="P1054" s="171">
        <v>54.6</v>
      </c>
      <c r="Q1054" s="171">
        <v>55</v>
      </c>
      <c r="R1054" s="171">
        <v>51.59</v>
      </c>
      <c r="S1054" s="171">
        <v>47</v>
      </c>
      <c r="T1054" s="171">
        <v>46.86</v>
      </c>
      <c r="U1054" s="171">
        <v>46</v>
      </c>
      <c r="V1054" s="171">
        <v>47.76</v>
      </c>
      <c r="W1054" s="171">
        <v>46.300000000000004</v>
      </c>
      <c r="X1054" s="171">
        <v>45.72</v>
      </c>
      <c r="Y1054" s="171">
        <v>48.04</v>
      </c>
      <c r="Z1054" s="171">
        <v>46.28</v>
      </c>
      <c r="AA1054" s="171">
        <v>39.75</v>
      </c>
      <c r="AB1054" s="171">
        <v>55.25</v>
      </c>
      <c r="AC1054" s="171">
        <v>45.72</v>
      </c>
      <c r="AD1054" s="171">
        <v>39.89</v>
      </c>
      <c r="AF1054" s="171">
        <f t="shared" si="50"/>
        <v>2010</v>
      </c>
      <c r="AG1054" s="171">
        <f t="shared" si="51"/>
        <v>7</v>
      </c>
      <c r="AH1054" s="700">
        <f>SUMIF(D$3:$AA1054,"&lt;="&amp;$AH$1)/COUNTIF(D$3:$AA1054,"&lt;="&amp;$AH$1)</f>
        <v>29.915163038400454</v>
      </c>
    </row>
    <row r="1055" spans="2:34" x14ac:dyDescent="0.25">
      <c r="B1055" s="910">
        <v>40303</v>
      </c>
      <c r="C1055" s="581">
        <f t="shared" si="49"/>
        <v>5</v>
      </c>
      <c r="D1055" s="171">
        <v>36.99</v>
      </c>
      <c r="E1055" s="171">
        <v>35.4</v>
      </c>
      <c r="F1055" s="171">
        <v>34.800000000000004</v>
      </c>
      <c r="G1055" s="171">
        <v>31.63</v>
      </c>
      <c r="H1055" s="171">
        <v>31.720000000000002</v>
      </c>
      <c r="I1055" s="171">
        <v>36.49</v>
      </c>
      <c r="J1055" s="171">
        <v>40.18</v>
      </c>
      <c r="K1055" s="171">
        <v>50.2</v>
      </c>
      <c r="L1055" s="171">
        <v>55.58</v>
      </c>
      <c r="M1055" s="171">
        <v>57.32</v>
      </c>
      <c r="N1055" s="171">
        <v>61.1</v>
      </c>
      <c r="O1055" s="171">
        <v>60</v>
      </c>
      <c r="P1055" s="171">
        <v>58.2</v>
      </c>
      <c r="Q1055" s="171">
        <v>58.02</v>
      </c>
      <c r="R1055" s="171">
        <v>55.17</v>
      </c>
      <c r="S1055" s="171">
        <v>51</v>
      </c>
      <c r="T1055" s="171">
        <v>48</v>
      </c>
      <c r="U1055" s="171">
        <v>45.660000000000004</v>
      </c>
      <c r="V1055" s="171">
        <v>47.99</v>
      </c>
      <c r="W1055" s="171">
        <v>47.09</v>
      </c>
      <c r="X1055" s="171">
        <v>47.62</v>
      </c>
      <c r="Y1055" s="171">
        <v>48.03</v>
      </c>
      <c r="Z1055" s="171">
        <v>48</v>
      </c>
      <c r="AA1055" s="171">
        <v>41</v>
      </c>
      <c r="AB1055" s="171">
        <v>61.1</v>
      </c>
      <c r="AC1055" s="171">
        <v>45.660000000000004</v>
      </c>
      <c r="AD1055" s="171">
        <v>40.17</v>
      </c>
      <c r="AF1055" s="171">
        <f t="shared" si="50"/>
        <v>2010</v>
      </c>
      <c r="AG1055" s="171">
        <f t="shared" si="51"/>
        <v>8</v>
      </c>
      <c r="AH1055" s="700">
        <f>SUMIF(D$3:$AA1055,"&lt;="&amp;$AH$1)/COUNTIF(D$3:$AA1055,"&lt;="&amp;$AH$1)</f>
        <v>29.919727383064142</v>
      </c>
    </row>
    <row r="1056" spans="2:34" x14ac:dyDescent="0.25">
      <c r="B1056" s="910">
        <v>40304</v>
      </c>
      <c r="C1056" s="581">
        <f t="shared" si="49"/>
        <v>5</v>
      </c>
      <c r="D1056" s="171">
        <v>37.160000000000004</v>
      </c>
      <c r="E1056" s="171">
        <v>34.57</v>
      </c>
      <c r="F1056" s="171">
        <v>31.98</v>
      </c>
      <c r="G1056" s="171">
        <v>29.92</v>
      </c>
      <c r="H1056" s="171">
        <v>30</v>
      </c>
      <c r="I1056" s="171">
        <v>36.5</v>
      </c>
      <c r="J1056" s="171">
        <v>43.65</v>
      </c>
      <c r="K1056" s="171">
        <v>53.2</v>
      </c>
      <c r="L1056" s="171">
        <v>62.980000000000004</v>
      </c>
      <c r="M1056" s="171">
        <v>56.660000000000004</v>
      </c>
      <c r="N1056" s="171">
        <v>57.95</v>
      </c>
      <c r="O1056" s="171">
        <v>56.21</v>
      </c>
      <c r="P1056" s="171">
        <v>54.85</v>
      </c>
      <c r="Q1056" s="171">
        <v>54.28</v>
      </c>
      <c r="R1056" s="171">
        <v>54.43</v>
      </c>
      <c r="S1056" s="171">
        <v>52.61</v>
      </c>
      <c r="T1056" s="171">
        <v>49.32</v>
      </c>
      <c r="U1056" s="171">
        <v>49</v>
      </c>
      <c r="V1056" s="171">
        <v>51</v>
      </c>
      <c r="W1056" s="171">
        <v>49.71</v>
      </c>
      <c r="X1056" s="171">
        <v>49.480000000000004</v>
      </c>
      <c r="Y1056" s="171">
        <v>51.17</v>
      </c>
      <c r="Z1056" s="171">
        <v>50.97</v>
      </c>
      <c r="AA1056" s="171">
        <v>44</v>
      </c>
      <c r="AB1056" s="171">
        <v>62.980000000000004</v>
      </c>
      <c r="AC1056" s="171">
        <v>49</v>
      </c>
      <c r="AD1056" s="171">
        <v>41.050000000000004</v>
      </c>
      <c r="AF1056" s="171">
        <f t="shared" si="50"/>
        <v>2010</v>
      </c>
      <c r="AG1056" s="171">
        <f t="shared" si="51"/>
        <v>6</v>
      </c>
      <c r="AH1056" s="700">
        <f>SUMIF(D$3:$AA1056,"&lt;="&amp;$AH$1)/COUNTIF(D$3:$AA1056,"&lt;="&amp;$AH$1)</f>
        <v>29.921650648502375</v>
      </c>
    </row>
    <row r="1057" spans="2:34" x14ac:dyDescent="0.25">
      <c r="B1057" s="910">
        <v>40305</v>
      </c>
      <c r="C1057" s="581">
        <f t="shared" si="49"/>
        <v>5</v>
      </c>
      <c r="D1057" s="171">
        <v>41.52</v>
      </c>
      <c r="E1057" s="171">
        <v>36.950000000000003</v>
      </c>
      <c r="F1057" s="171">
        <v>35</v>
      </c>
      <c r="G1057" s="171">
        <v>33.880000000000003</v>
      </c>
      <c r="H1057" s="171">
        <v>33.65</v>
      </c>
      <c r="I1057" s="171">
        <v>38.93</v>
      </c>
      <c r="J1057" s="171">
        <v>48.86</v>
      </c>
      <c r="K1057" s="171">
        <v>58</v>
      </c>
      <c r="L1057" s="171">
        <v>60.77</v>
      </c>
      <c r="M1057" s="171">
        <v>62.54</v>
      </c>
      <c r="N1057" s="171">
        <v>63</v>
      </c>
      <c r="O1057" s="171">
        <v>65.67</v>
      </c>
      <c r="P1057" s="171">
        <v>62.83</v>
      </c>
      <c r="Q1057" s="171">
        <v>59.68</v>
      </c>
      <c r="R1057" s="171">
        <v>56.27</v>
      </c>
      <c r="S1057" s="171">
        <v>52.99</v>
      </c>
      <c r="T1057" s="171">
        <v>52.58</v>
      </c>
      <c r="U1057" s="171">
        <v>52</v>
      </c>
      <c r="V1057" s="171">
        <v>52</v>
      </c>
      <c r="W1057" s="171">
        <v>50.31</v>
      </c>
      <c r="X1057" s="171">
        <v>50.230000000000004</v>
      </c>
      <c r="Y1057" s="171">
        <v>50.92</v>
      </c>
      <c r="Z1057" s="171">
        <v>50.95</v>
      </c>
      <c r="AA1057" s="171">
        <v>46.43</v>
      </c>
      <c r="AB1057" s="171">
        <v>65.67</v>
      </c>
      <c r="AC1057" s="171">
        <v>50.230000000000004</v>
      </c>
      <c r="AD1057" s="171">
        <v>43.78</v>
      </c>
      <c r="AF1057" s="171">
        <f t="shared" si="50"/>
        <v>2010</v>
      </c>
      <c r="AG1057" s="171">
        <f t="shared" si="51"/>
        <v>6</v>
      </c>
      <c r="AH1057" s="700">
        <f>SUMIF(D$3:$AA1057,"&lt;="&amp;$AH$1)/COUNTIF(D$3:$AA1057,"&lt;="&amp;$AH$1)</f>
        <v>29.925418259815352</v>
      </c>
    </row>
    <row r="1058" spans="2:34" x14ac:dyDescent="0.25">
      <c r="B1058" s="910">
        <v>40308</v>
      </c>
      <c r="C1058" s="581">
        <f t="shared" si="49"/>
        <v>5</v>
      </c>
      <c r="D1058" s="171">
        <v>37.74</v>
      </c>
      <c r="E1058" s="171">
        <v>33.75</v>
      </c>
      <c r="F1058" s="171">
        <v>28.5</v>
      </c>
      <c r="G1058" s="171">
        <v>27.57</v>
      </c>
      <c r="H1058" s="171">
        <v>31</v>
      </c>
      <c r="I1058" s="171">
        <v>37.5</v>
      </c>
      <c r="J1058" s="171">
        <v>49.07</v>
      </c>
      <c r="K1058" s="171">
        <v>58.02</v>
      </c>
      <c r="L1058" s="171">
        <v>63.120000000000005</v>
      </c>
      <c r="M1058" s="171">
        <v>62.99</v>
      </c>
      <c r="N1058" s="171">
        <v>65</v>
      </c>
      <c r="O1058" s="171">
        <v>66.61</v>
      </c>
      <c r="P1058" s="171">
        <v>63.53</v>
      </c>
      <c r="Q1058" s="171">
        <v>62</v>
      </c>
      <c r="R1058" s="171">
        <v>59.81</v>
      </c>
      <c r="S1058" s="171">
        <v>57.26</v>
      </c>
      <c r="T1058" s="171">
        <v>56.17</v>
      </c>
      <c r="U1058" s="171">
        <v>53.29</v>
      </c>
      <c r="V1058" s="171">
        <v>54</v>
      </c>
      <c r="W1058" s="171">
        <v>52</v>
      </c>
      <c r="X1058" s="171">
        <v>51</v>
      </c>
      <c r="Y1058" s="171">
        <v>53</v>
      </c>
      <c r="Z1058" s="171">
        <v>52.910000000000004</v>
      </c>
      <c r="AA1058" s="171">
        <v>45.99</v>
      </c>
      <c r="AB1058" s="171">
        <v>66.61</v>
      </c>
      <c r="AC1058" s="171">
        <v>51</v>
      </c>
      <c r="AD1058" s="171">
        <v>42.17</v>
      </c>
      <c r="AF1058" s="171">
        <f t="shared" si="50"/>
        <v>2010</v>
      </c>
      <c r="AG1058" s="171">
        <f t="shared" si="51"/>
        <v>6</v>
      </c>
      <c r="AH1058" s="700">
        <f>SUMIF(D$3:$AA1058,"&lt;="&amp;$AH$1)/COUNTIF(D$3:$AA1058,"&lt;="&amp;$AH$1)</f>
        <v>29.926956845931588</v>
      </c>
    </row>
    <row r="1059" spans="2:34" x14ac:dyDescent="0.25">
      <c r="B1059" s="910">
        <v>40309</v>
      </c>
      <c r="C1059" s="581">
        <f t="shared" si="49"/>
        <v>5</v>
      </c>
      <c r="D1059" s="171">
        <v>44</v>
      </c>
      <c r="E1059" s="171">
        <v>40.76</v>
      </c>
      <c r="F1059" s="171">
        <v>37.35</v>
      </c>
      <c r="G1059" s="171">
        <v>32.08</v>
      </c>
      <c r="H1059" s="171">
        <v>33.33</v>
      </c>
      <c r="I1059" s="171">
        <v>37.6</v>
      </c>
      <c r="J1059" s="171">
        <v>46.29</v>
      </c>
      <c r="K1059" s="171">
        <v>55.77</v>
      </c>
      <c r="L1059" s="171">
        <v>61.92</v>
      </c>
      <c r="M1059" s="171">
        <v>65.83</v>
      </c>
      <c r="N1059" s="171">
        <v>67.180000000000007</v>
      </c>
      <c r="O1059" s="171">
        <v>69.400000000000006</v>
      </c>
      <c r="P1059" s="171">
        <v>65.070000000000007</v>
      </c>
      <c r="Q1059" s="171">
        <v>62.49</v>
      </c>
      <c r="R1059" s="171">
        <v>63.06</v>
      </c>
      <c r="S1059" s="171">
        <v>59.08</v>
      </c>
      <c r="T1059" s="171">
        <v>55.76</v>
      </c>
      <c r="U1059" s="171">
        <v>55.32</v>
      </c>
      <c r="V1059" s="171">
        <v>53.57</v>
      </c>
      <c r="W1059" s="171">
        <v>52.03</v>
      </c>
      <c r="X1059" s="171">
        <v>50</v>
      </c>
      <c r="Y1059" s="171">
        <v>52.65</v>
      </c>
      <c r="Z1059" s="171">
        <v>51</v>
      </c>
      <c r="AA1059" s="171">
        <v>45.550000000000004</v>
      </c>
      <c r="AB1059" s="171">
        <v>69.400000000000006</v>
      </c>
      <c r="AC1059" s="171">
        <v>50</v>
      </c>
      <c r="AD1059" s="171">
        <v>43.87</v>
      </c>
      <c r="AF1059" s="171">
        <f t="shared" si="50"/>
        <v>2010</v>
      </c>
      <c r="AG1059" s="171">
        <f t="shared" si="51"/>
        <v>5</v>
      </c>
      <c r="AH1059" s="700">
        <f>SUMIF(D$3:$AA1059,"&lt;="&amp;$AH$1)/COUNTIF(D$3:$AA1059,"&lt;="&amp;$AH$1)</f>
        <v>29.929890068939816</v>
      </c>
    </row>
    <row r="1060" spans="2:34" x14ac:dyDescent="0.25">
      <c r="B1060" s="910">
        <v>40310</v>
      </c>
      <c r="C1060" s="581">
        <f t="shared" si="49"/>
        <v>5</v>
      </c>
      <c r="D1060" s="171">
        <v>42.21</v>
      </c>
      <c r="E1060" s="171">
        <v>38.590000000000003</v>
      </c>
      <c r="F1060" s="171">
        <v>35.86</v>
      </c>
      <c r="G1060" s="171">
        <v>32.43</v>
      </c>
      <c r="H1060" s="171">
        <v>33</v>
      </c>
      <c r="I1060" s="171">
        <v>35.480000000000004</v>
      </c>
      <c r="J1060" s="171">
        <v>41.18</v>
      </c>
      <c r="K1060" s="171">
        <v>54</v>
      </c>
      <c r="L1060" s="171">
        <v>57.71</v>
      </c>
      <c r="M1060" s="171">
        <v>56.86</v>
      </c>
      <c r="N1060" s="171">
        <v>57.76</v>
      </c>
      <c r="O1060" s="171">
        <v>60</v>
      </c>
      <c r="P1060" s="171">
        <v>58.13</v>
      </c>
      <c r="Q1060" s="171">
        <v>56</v>
      </c>
      <c r="R1060" s="171">
        <v>53.9</v>
      </c>
      <c r="S1060" s="171">
        <v>54.46</v>
      </c>
      <c r="T1060" s="171">
        <v>53.02</v>
      </c>
      <c r="U1060" s="171">
        <v>51.2</v>
      </c>
      <c r="V1060" s="171">
        <v>51</v>
      </c>
      <c r="W1060" s="171">
        <v>49.870000000000005</v>
      </c>
      <c r="X1060" s="171">
        <v>49.36</v>
      </c>
      <c r="Y1060" s="171">
        <v>49.84</v>
      </c>
      <c r="Z1060" s="171">
        <v>50.04</v>
      </c>
      <c r="AA1060" s="171">
        <v>45.300000000000004</v>
      </c>
      <c r="AB1060" s="171">
        <v>60</v>
      </c>
      <c r="AC1060" s="171">
        <v>49.36</v>
      </c>
      <c r="AD1060" s="171">
        <v>42.27</v>
      </c>
      <c r="AF1060" s="171">
        <f t="shared" si="50"/>
        <v>2010</v>
      </c>
      <c r="AG1060" s="171">
        <f t="shared" si="51"/>
        <v>7</v>
      </c>
      <c r="AH1060" s="700">
        <f>SUMIF(D$3:$AA1060,"&lt;="&amp;$AH$1)/COUNTIF(D$3:$AA1060,"&lt;="&amp;$AH$1)</f>
        <v>29.934474443720323</v>
      </c>
    </row>
    <row r="1061" spans="2:34" x14ac:dyDescent="0.25">
      <c r="B1061" s="910">
        <v>40311</v>
      </c>
      <c r="C1061" s="581">
        <f t="shared" si="49"/>
        <v>5</v>
      </c>
      <c r="D1061" s="171">
        <v>42.21</v>
      </c>
      <c r="E1061" s="171">
        <v>38.590000000000003</v>
      </c>
      <c r="F1061" s="171">
        <v>35.86</v>
      </c>
      <c r="G1061" s="171">
        <v>32.43</v>
      </c>
      <c r="H1061" s="171">
        <v>33</v>
      </c>
      <c r="I1061" s="171">
        <v>35.480000000000004</v>
      </c>
      <c r="J1061" s="171">
        <v>41.18</v>
      </c>
      <c r="K1061" s="171">
        <v>54</v>
      </c>
      <c r="L1061" s="171">
        <v>57.71</v>
      </c>
      <c r="M1061" s="171">
        <v>56.86</v>
      </c>
      <c r="N1061" s="171">
        <v>57.76</v>
      </c>
      <c r="O1061" s="171">
        <v>60</v>
      </c>
      <c r="P1061" s="171">
        <v>58.13</v>
      </c>
      <c r="Q1061" s="171">
        <v>56</v>
      </c>
      <c r="R1061" s="171">
        <v>53.9</v>
      </c>
      <c r="S1061" s="171">
        <v>54.46</v>
      </c>
      <c r="T1061" s="171">
        <v>53.02</v>
      </c>
      <c r="U1061" s="171">
        <v>51.2</v>
      </c>
      <c r="V1061" s="171">
        <v>51</v>
      </c>
      <c r="W1061" s="171">
        <v>49.870000000000005</v>
      </c>
      <c r="X1061" s="171">
        <v>49.36</v>
      </c>
      <c r="Y1061" s="171">
        <v>49.84</v>
      </c>
      <c r="Z1061" s="171">
        <v>50.04</v>
      </c>
      <c r="AA1061" s="171">
        <v>45.300000000000004</v>
      </c>
      <c r="AB1061" s="171">
        <v>60</v>
      </c>
      <c r="AC1061" s="171">
        <v>49.36</v>
      </c>
      <c r="AD1061" s="171">
        <v>42.27</v>
      </c>
      <c r="AF1061" s="171">
        <f t="shared" si="50"/>
        <v>2010</v>
      </c>
      <c r="AG1061" s="171">
        <f t="shared" si="51"/>
        <v>7</v>
      </c>
      <c r="AH1061" s="700">
        <f>SUMIF(D$3:$AA1061,"&lt;="&amp;$AH$1)/COUNTIF(D$3:$AA1061,"&lt;="&amp;$AH$1)</f>
        <v>29.93905284704131</v>
      </c>
    </row>
    <row r="1062" spans="2:34" x14ac:dyDescent="0.25">
      <c r="B1062" s="910">
        <v>40312</v>
      </c>
      <c r="C1062" s="581">
        <f t="shared" si="49"/>
        <v>5</v>
      </c>
      <c r="D1062" s="171">
        <v>41.26</v>
      </c>
      <c r="E1062" s="171">
        <v>39.5</v>
      </c>
      <c r="F1062" s="171">
        <v>36.18</v>
      </c>
      <c r="G1062" s="171">
        <v>34.01</v>
      </c>
      <c r="H1062" s="171">
        <v>35.07</v>
      </c>
      <c r="I1062" s="171">
        <v>39.5</v>
      </c>
      <c r="J1062" s="171">
        <v>44.01</v>
      </c>
      <c r="K1062" s="171">
        <v>50.15</v>
      </c>
      <c r="L1062" s="171">
        <v>54</v>
      </c>
      <c r="M1062" s="171">
        <v>56.910000000000004</v>
      </c>
      <c r="N1062" s="171">
        <v>57.800000000000004</v>
      </c>
      <c r="O1062" s="171">
        <v>58.57</v>
      </c>
      <c r="P1062" s="171">
        <v>57.67</v>
      </c>
      <c r="Q1062" s="171">
        <v>53.08</v>
      </c>
      <c r="R1062" s="171">
        <v>50.31</v>
      </c>
      <c r="S1062" s="171">
        <v>49.83</v>
      </c>
      <c r="T1062" s="171">
        <v>48</v>
      </c>
      <c r="U1062" s="171">
        <v>49.2</v>
      </c>
      <c r="V1062" s="171">
        <v>50.5</v>
      </c>
      <c r="W1062" s="171">
        <v>50.92</v>
      </c>
      <c r="X1062" s="171">
        <v>49.18</v>
      </c>
      <c r="Y1062" s="171">
        <v>50</v>
      </c>
      <c r="Z1062" s="171">
        <v>50.300000000000004</v>
      </c>
      <c r="AA1062" s="171">
        <v>44.910000000000004</v>
      </c>
      <c r="AB1062" s="171">
        <v>58.57</v>
      </c>
      <c r="AC1062" s="171">
        <v>48</v>
      </c>
      <c r="AD1062" s="171">
        <v>42.84</v>
      </c>
      <c r="AF1062" s="171">
        <f t="shared" si="50"/>
        <v>2010</v>
      </c>
      <c r="AG1062" s="171">
        <f t="shared" si="51"/>
        <v>6</v>
      </c>
      <c r="AH1062" s="700">
        <f>SUMIF(D$3:$AA1062,"&lt;="&amp;$AH$1)/COUNTIF(D$3:$AA1062,"&lt;="&amp;$AH$1)</f>
        <v>29.943319694997211</v>
      </c>
    </row>
    <row r="1063" spans="2:34" x14ac:dyDescent="0.25">
      <c r="B1063" s="910">
        <v>40315</v>
      </c>
      <c r="C1063" s="581">
        <f t="shared" si="49"/>
        <v>5</v>
      </c>
      <c r="D1063" s="171">
        <v>35.11</v>
      </c>
      <c r="E1063" s="171">
        <v>31.900000000000002</v>
      </c>
      <c r="F1063" s="171">
        <v>28</v>
      </c>
      <c r="G1063" s="171">
        <v>25.810000000000002</v>
      </c>
      <c r="H1063" s="171">
        <v>29.85</v>
      </c>
      <c r="I1063" s="171">
        <v>32.520000000000003</v>
      </c>
      <c r="J1063" s="171">
        <v>44.03</v>
      </c>
      <c r="K1063" s="171">
        <v>56.25</v>
      </c>
      <c r="L1063" s="171">
        <v>66</v>
      </c>
      <c r="M1063" s="171">
        <v>70.69</v>
      </c>
      <c r="N1063" s="171">
        <v>69.2</v>
      </c>
      <c r="O1063" s="171">
        <v>68.540000000000006</v>
      </c>
      <c r="P1063" s="171">
        <v>65.52</v>
      </c>
      <c r="Q1063" s="171">
        <v>61.29</v>
      </c>
      <c r="R1063" s="171">
        <v>55.1</v>
      </c>
      <c r="S1063" s="171">
        <v>55.5</v>
      </c>
      <c r="T1063" s="171">
        <v>53.15</v>
      </c>
      <c r="U1063" s="171">
        <v>50.550000000000004</v>
      </c>
      <c r="V1063" s="171">
        <v>48</v>
      </c>
      <c r="W1063" s="171">
        <v>46.300000000000004</v>
      </c>
      <c r="X1063" s="171">
        <v>47.74</v>
      </c>
      <c r="Y1063" s="171">
        <v>49.18</v>
      </c>
      <c r="Z1063" s="171">
        <v>52.5</v>
      </c>
      <c r="AA1063" s="171">
        <v>45.36</v>
      </c>
      <c r="AB1063" s="171">
        <v>70.69</v>
      </c>
      <c r="AC1063" s="171">
        <v>46.300000000000004</v>
      </c>
      <c r="AD1063" s="171">
        <v>39.85</v>
      </c>
      <c r="AF1063" s="171">
        <f t="shared" si="50"/>
        <v>2010</v>
      </c>
      <c r="AG1063" s="171">
        <f t="shared" si="51"/>
        <v>6</v>
      </c>
      <c r="AH1063" s="700">
        <f>SUMIF(D$3:$AA1063,"&lt;="&amp;$AH$1)/COUNTIF(D$3:$AA1063,"&lt;="&amp;$AH$1)</f>
        <v>29.94364776951673</v>
      </c>
    </row>
    <row r="1064" spans="2:34" x14ac:dyDescent="0.25">
      <c r="B1064" s="910">
        <v>40316</v>
      </c>
      <c r="C1064" s="581">
        <f t="shared" si="49"/>
        <v>5</v>
      </c>
      <c r="D1064" s="171">
        <v>37.5</v>
      </c>
      <c r="E1064" s="171">
        <v>36</v>
      </c>
      <c r="F1064" s="171">
        <v>32.5</v>
      </c>
      <c r="G1064" s="171">
        <v>28</v>
      </c>
      <c r="H1064" s="171">
        <v>28.61</v>
      </c>
      <c r="I1064" s="171">
        <v>36.08</v>
      </c>
      <c r="J1064" s="171">
        <v>46</v>
      </c>
      <c r="K1064" s="171">
        <v>55.800000000000004</v>
      </c>
      <c r="L1064" s="171">
        <v>56</v>
      </c>
      <c r="M1064" s="171">
        <v>57.85</v>
      </c>
      <c r="N1064" s="171">
        <v>59.52</v>
      </c>
      <c r="O1064" s="171">
        <v>61.46</v>
      </c>
      <c r="P1064" s="171">
        <v>57.21</v>
      </c>
      <c r="Q1064" s="171">
        <v>55.63</v>
      </c>
      <c r="R1064" s="171">
        <v>50.22</v>
      </c>
      <c r="S1064" s="171">
        <v>49.300000000000004</v>
      </c>
      <c r="T1064" s="171">
        <v>49</v>
      </c>
      <c r="U1064" s="171">
        <v>49</v>
      </c>
      <c r="V1064" s="171">
        <v>48.64</v>
      </c>
      <c r="W1064" s="171">
        <v>48.63</v>
      </c>
      <c r="X1064" s="171">
        <v>47.5</v>
      </c>
      <c r="Y1064" s="171">
        <v>48.92</v>
      </c>
      <c r="Z1064" s="171">
        <v>48.25</v>
      </c>
      <c r="AA1064" s="171">
        <v>43</v>
      </c>
      <c r="AB1064" s="171">
        <v>61.46</v>
      </c>
      <c r="AC1064" s="171">
        <v>47.5</v>
      </c>
      <c r="AD1064" s="171">
        <v>40.68</v>
      </c>
      <c r="AF1064" s="171">
        <f t="shared" si="50"/>
        <v>2010</v>
      </c>
      <c r="AG1064" s="171">
        <f t="shared" si="51"/>
        <v>6</v>
      </c>
      <c r="AH1064" s="700">
        <f>SUMIF(D$3:$AA1064,"&lt;="&amp;$AH$1)/COUNTIF(D$3:$AA1064,"&lt;="&amp;$AH$1)</f>
        <v>29.945415195987369</v>
      </c>
    </row>
    <row r="1065" spans="2:34" x14ac:dyDescent="0.25">
      <c r="B1065" s="910">
        <v>40317</v>
      </c>
      <c r="C1065" s="581">
        <f t="shared" si="49"/>
        <v>5</v>
      </c>
      <c r="D1065" s="171">
        <v>42</v>
      </c>
      <c r="E1065" s="171">
        <v>37.04</v>
      </c>
      <c r="F1065" s="171">
        <v>33.840000000000003</v>
      </c>
      <c r="G1065" s="171">
        <v>28.17</v>
      </c>
      <c r="H1065" s="171">
        <v>28.5</v>
      </c>
      <c r="I1065" s="171">
        <v>34.79</v>
      </c>
      <c r="J1065" s="171">
        <v>43.64</v>
      </c>
      <c r="K1065" s="171">
        <v>55.84</v>
      </c>
      <c r="L1065" s="171">
        <v>59</v>
      </c>
      <c r="M1065" s="171">
        <v>59.96</v>
      </c>
      <c r="N1065" s="171">
        <v>60</v>
      </c>
      <c r="O1065" s="171">
        <v>60</v>
      </c>
      <c r="P1065" s="171">
        <v>58.9</v>
      </c>
      <c r="Q1065" s="171">
        <v>58.21</v>
      </c>
      <c r="R1065" s="171">
        <v>53.300000000000004</v>
      </c>
      <c r="S1065" s="171">
        <v>51.08</v>
      </c>
      <c r="T1065" s="171">
        <v>52</v>
      </c>
      <c r="U1065" s="171">
        <v>51.34</v>
      </c>
      <c r="V1065" s="171">
        <v>50</v>
      </c>
      <c r="W1065" s="171">
        <v>48.43</v>
      </c>
      <c r="X1065" s="171">
        <v>47.77</v>
      </c>
      <c r="Y1065" s="171">
        <v>49.93</v>
      </c>
      <c r="Z1065" s="171">
        <v>50</v>
      </c>
      <c r="AA1065" s="171">
        <v>43</v>
      </c>
      <c r="AB1065" s="171">
        <v>60</v>
      </c>
      <c r="AC1065" s="171">
        <v>47.77</v>
      </c>
      <c r="AD1065" s="171">
        <v>41.21</v>
      </c>
      <c r="AF1065" s="171">
        <f t="shared" si="50"/>
        <v>2010</v>
      </c>
      <c r="AG1065" s="171">
        <f t="shared" si="51"/>
        <v>6</v>
      </c>
      <c r="AH1065" s="700">
        <f>SUMIF(D$3:$AA1065,"&lt;="&amp;$AH$1)/COUNTIF(D$3:$AA1065,"&lt;="&amp;$AH$1)</f>
        <v>29.947705161529893</v>
      </c>
    </row>
    <row r="1066" spans="2:34" x14ac:dyDescent="0.25">
      <c r="B1066" s="910">
        <v>40318</v>
      </c>
      <c r="C1066" s="581">
        <f t="shared" si="49"/>
        <v>5</v>
      </c>
      <c r="D1066" s="171">
        <v>39.01</v>
      </c>
      <c r="E1066" s="171">
        <v>35.83</v>
      </c>
      <c r="F1066" s="171">
        <v>32.5</v>
      </c>
      <c r="G1066" s="171">
        <v>31</v>
      </c>
      <c r="H1066" s="171">
        <v>31.5</v>
      </c>
      <c r="I1066" s="171">
        <v>34.410000000000004</v>
      </c>
      <c r="J1066" s="171">
        <v>42</v>
      </c>
      <c r="K1066" s="171">
        <v>53.71</v>
      </c>
      <c r="L1066" s="171">
        <v>57.89</v>
      </c>
      <c r="M1066" s="171">
        <v>59.870000000000005</v>
      </c>
      <c r="N1066" s="171">
        <v>60.76</v>
      </c>
      <c r="O1066" s="171">
        <v>62.43</v>
      </c>
      <c r="P1066" s="171">
        <v>62.300000000000004</v>
      </c>
      <c r="Q1066" s="171">
        <v>61.71</v>
      </c>
      <c r="R1066" s="171">
        <v>59.99</v>
      </c>
      <c r="S1066" s="171">
        <v>55.77</v>
      </c>
      <c r="T1066" s="171">
        <v>52.620000000000005</v>
      </c>
      <c r="U1066" s="171">
        <v>49.89</v>
      </c>
      <c r="V1066" s="171">
        <v>51.65</v>
      </c>
      <c r="W1066" s="171">
        <v>49.47</v>
      </c>
      <c r="X1066" s="171">
        <v>48.5</v>
      </c>
      <c r="Y1066" s="171">
        <v>48.67</v>
      </c>
      <c r="Z1066" s="171">
        <v>46.78</v>
      </c>
      <c r="AA1066" s="171">
        <v>42</v>
      </c>
      <c r="AB1066" s="171">
        <v>62.43</v>
      </c>
      <c r="AC1066" s="171">
        <v>46.78</v>
      </c>
      <c r="AD1066" s="171">
        <v>40.49</v>
      </c>
      <c r="AF1066" s="171">
        <f t="shared" si="50"/>
        <v>2010</v>
      </c>
      <c r="AG1066" s="171">
        <f t="shared" si="51"/>
        <v>8</v>
      </c>
      <c r="AH1066" s="700">
        <f>SUMIF(D$3:$AA1066,"&lt;="&amp;$AH$1)/COUNTIF(D$3:$AA1066,"&lt;="&amp;$AH$1)</f>
        <v>29.952219851576995</v>
      </c>
    </row>
    <row r="1067" spans="2:34" x14ac:dyDescent="0.25">
      <c r="B1067" s="910">
        <v>40319</v>
      </c>
      <c r="C1067" s="581">
        <f t="shared" si="49"/>
        <v>5</v>
      </c>
      <c r="D1067" s="171">
        <v>38.5</v>
      </c>
      <c r="E1067" s="171">
        <v>35</v>
      </c>
      <c r="F1067" s="171">
        <v>31</v>
      </c>
      <c r="G1067" s="171">
        <v>29.43</v>
      </c>
      <c r="H1067" s="171">
        <v>29.7</v>
      </c>
      <c r="I1067" s="171">
        <v>34.200000000000003</v>
      </c>
      <c r="J1067" s="171">
        <v>40.050000000000004</v>
      </c>
      <c r="K1067" s="171">
        <v>54.72</v>
      </c>
      <c r="L1067" s="171">
        <v>56.06</v>
      </c>
      <c r="M1067" s="171">
        <v>59.5</v>
      </c>
      <c r="N1067" s="171">
        <v>61.77</v>
      </c>
      <c r="O1067" s="171">
        <v>63.2</v>
      </c>
      <c r="P1067" s="171">
        <v>58.85</v>
      </c>
      <c r="Q1067" s="171">
        <v>54.09</v>
      </c>
      <c r="R1067" s="171">
        <v>54.22</v>
      </c>
      <c r="S1067" s="171">
        <v>48.5</v>
      </c>
      <c r="T1067" s="171">
        <v>47.09</v>
      </c>
      <c r="U1067" s="171">
        <v>46.89</v>
      </c>
      <c r="V1067" s="171">
        <v>45.5</v>
      </c>
      <c r="W1067" s="171">
        <v>44.63</v>
      </c>
      <c r="X1067" s="171">
        <v>45.13</v>
      </c>
      <c r="Y1067" s="171">
        <v>45.78</v>
      </c>
      <c r="Z1067" s="171">
        <v>44.88</v>
      </c>
      <c r="AA1067" s="171">
        <v>40.42</v>
      </c>
      <c r="AB1067" s="171">
        <v>63.2</v>
      </c>
      <c r="AC1067" s="171">
        <v>44.63</v>
      </c>
      <c r="AD1067" s="171">
        <v>39.07</v>
      </c>
      <c r="AF1067" s="171">
        <f t="shared" si="50"/>
        <v>2010</v>
      </c>
      <c r="AG1067" s="171">
        <f t="shared" si="51"/>
        <v>8</v>
      </c>
      <c r="AH1067" s="700">
        <f>SUMIF(D$3:$AA1067,"&lt;="&amp;$AH$1)/COUNTIF(D$3:$AA1067,"&lt;="&amp;$AH$1)</f>
        <v>29.955805524657023</v>
      </c>
    </row>
    <row r="1068" spans="2:34" x14ac:dyDescent="0.25">
      <c r="B1068" s="910">
        <v>40322</v>
      </c>
      <c r="C1068" s="581">
        <f t="shared" si="49"/>
        <v>5</v>
      </c>
      <c r="D1068" s="171">
        <v>21.51</v>
      </c>
      <c r="E1068" s="171">
        <v>16.48</v>
      </c>
      <c r="F1068" s="171">
        <v>12.52</v>
      </c>
      <c r="G1068" s="171">
        <v>10</v>
      </c>
      <c r="H1068" s="171">
        <v>10.01</v>
      </c>
      <c r="I1068" s="171">
        <v>7</v>
      </c>
      <c r="J1068" s="171">
        <v>0.99</v>
      </c>
      <c r="K1068" s="171">
        <v>6.69</v>
      </c>
      <c r="L1068" s="171">
        <v>18.25</v>
      </c>
      <c r="M1068" s="171">
        <v>26.7</v>
      </c>
      <c r="N1068" s="171">
        <v>30.36</v>
      </c>
      <c r="O1068" s="171">
        <v>34.93</v>
      </c>
      <c r="P1068" s="171">
        <v>35.99</v>
      </c>
      <c r="Q1068" s="171">
        <v>27.86</v>
      </c>
      <c r="R1068" s="171">
        <v>24.740000000000002</v>
      </c>
      <c r="S1068" s="171">
        <v>19.91</v>
      </c>
      <c r="T1068" s="171">
        <v>17.66</v>
      </c>
      <c r="U1068" s="171">
        <v>24</v>
      </c>
      <c r="V1068" s="171">
        <v>27.45</v>
      </c>
      <c r="W1068" s="171">
        <v>30</v>
      </c>
      <c r="X1068" s="171">
        <v>35.31</v>
      </c>
      <c r="Y1068" s="171">
        <v>36.619999999999997</v>
      </c>
      <c r="Z1068" s="171">
        <v>44.1</v>
      </c>
      <c r="AA1068" s="171">
        <v>34.35</v>
      </c>
      <c r="AB1068" s="171">
        <v>44.1</v>
      </c>
      <c r="AC1068" s="171">
        <v>6.69</v>
      </c>
      <c r="AD1068" s="171">
        <v>19.63</v>
      </c>
      <c r="AF1068" s="171">
        <f t="shared" si="50"/>
        <v>2010</v>
      </c>
      <c r="AG1068" s="171">
        <f t="shared" si="51"/>
        <v>23</v>
      </c>
      <c r="AH1068" s="700">
        <f>SUMIF(D$3:$AA1068,"&lt;="&amp;$AH$1)/COUNTIF(D$3:$AA1068,"&lt;="&amp;$AH$1)</f>
        <v>29.939187864212364</v>
      </c>
    </row>
    <row r="1069" spans="2:34" x14ac:dyDescent="0.25">
      <c r="B1069" s="910">
        <v>40323</v>
      </c>
      <c r="C1069" s="581">
        <f t="shared" si="49"/>
        <v>5</v>
      </c>
      <c r="D1069" s="171">
        <v>34.369999999999997</v>
      </c>
      <c r="E1069" s="171">
        <v>24.650000000000002</v>
      </c>
      <c r="F1069" s="171">
        <v>20.900000000000002</v>
      </c>
      <c r="G1069" s="171">
        <v>16.100000000000001</v>
      </c>
      <c r="H1069" s="171">
        <v>17.07</v>
      </c>
      <c r="I1069" s="171">
        <v>23.63</v>
      </c>
      <c r="J1069" s="171">
        <v>36</v>
      </c>
      <c r="K1069" s="171">
        <v>48.51</v>
      </c>
      <c r="L1069" s="171">
        <v>53</v>
      </c>
      <c r="M1069" s="171">
        <v>55</v>
      </c>
      <c r="N1069" s="171">
        <v>58.9</v>
      </c>
      <c r="O1069" s="171">
        <v>60.38</v>
      </c>
      <c r="P1069" s="171">
        <v>59.34</v>
      </c>
      <c r="Q1069" s="171">
        <v>56.21</v>
      </c>
      <c r="R1069" s="171">
        <v>55.5</v>
      </c>
      <c r="S1069" s="171">
        <v>53.06</v>
      </c>
      <c r="T1069" s="171">
        <v>50.22</v>
      </c>
      <c r="U1069" s="171">
        <v>48.61</v>
      </c>
      <c r="V1069" s="171">
        <v>49.7</v>
      </c>
      <c r="W1069" s="171">
        <v>48.01</v>
      </c>
      <c r="X1069" s="171">
        <v>49.370000000000005</v>
      </c>
      <c r="Y1069" s="171">
        <v>49.08</v>
      </c>
      <c r="Z1069" s="171">
        <v>50.910000000000004</v>
      </c>
      <c r="AA1069" s="171">
        <v>43.43</v>
      </c>
      <c r="AB1069" s="171">
        <v>60.38</v>
      </c>
      <c r="AC1069" s="171">
        <v>48.01</v>
      </c>
      <c r="AD1069" s="171">
        <v>34.5</v>
      </c>
      <c r="AF1069" s="171">
        <f t="shared" si="50"/>
        <v>2010</v>
      </c>
      <c r="AG1069" s="171">
        <f t="shared" si="51"/>
        <v>7</v>
      </c>
      <c r="AH1069" s="700">
        <f>SUMIF(D$3:$AA1069,"&lt;="&amp;$AH$1)/COUNTIF(D$3:$AA1069,"&lt;="&amp;$AH$1)</f>
        <v>29.935781105564793</v>
      </c>
    </row>
    <row r="1070" spans="2:34" x14ac:dyDescent="0.25">
      <c r="B1070" s="910">
        <v>40324</v>
      </c>
      <c r="C1070" s="581">
        <f t="shared" si="49"/>
        <v>5</v>
      </c>
      <c r="D1070" s="171">
        <v>39.880000000000003</v>
      </c>
      <c r="E1070" s="171">
        <v>37</v>
      </c>
      <c r="F1070" s="171">
        <v>32.1</v>
      </c>
      <c r="G1070" s="171">
        <v>27.25</v>
      </c>
      <c r="H1070" s="171">
        <v>25</v>
      </c>
      <c r="I1070" s="171">
        <v>32</v>
      </c>
      <c r="J1070" s="171">
        <v>40.9</v>
      </c>
      <c r="K1070" s="171">
        <v>54.19</v>
      </c>
      <c r="L1070" s="171">
        <v>53.03</v>
      </c>
      <c r="M1070" s="171">
        <v>56.800000000000004</v>
      </c>
      <c r="N1070" s="171">
        <v>61.61</v>
      </c>
      <c r="O1070" s="171">
        <v>64.180000000000007</v>
      </c>
      <c r="P1070" s="171">
        <v>61.300000000000004</v>
      </c>
      <c r="Q1070" s="171">
        <v>59.2</v>
      </c>
      <c r="R1070" s="171">
        <v>57.22</v>
      </c>
      <c r="S1070" s="171">
        <v>55.11</v>
      </c>
      <c r="T1070" s="171">
        <v>51.11</v>
      </c>
      <c r="U1070" s="171">
        <v>49.81</v>
      </c>
      <c r="V1070" s="171">
        <v>49.620000000000005</v>
      </c>
      <c r="W1070" s="171">
        <v>48.59</v>
      </c>
      <c r="X1070" s="171">
        <v>46.75</v>
      </c>
      <c r="Y1070" s="171">
        <v>49.300000000000004</v>
      </c>
      <c r="Z1070" s="171">
        <v>51.050000000000004</v>
      </c>
      <c r="AA1070" s="171">
        <v>44.86</v>
      </c>
      <c r="AB1070" s="171">
        <v>64.180000000000007</v>
      </c>
      <c r="AC1070" s="171">
        <v>46.75</v>
      </c>
      <c r="AD1070" s="171">
        <v>40.020000000000003</v>
      </c>
      <c r="AF1070" s="171">
        <f t="shared" si="50"/>
        <v>2010</v>
      </c>
      <c r="AG1070" s="171">
        <f t="shared" si="51"/>
        <v>7</v>
      </c>
      <c r="AH1070" s="700">
        <f>SUMIF(D$3:$AA1070,"&lt;="&amp;$AH$1)/COUNTIF(D$3:$AA1070,"&lt;="&amp;$AH$1)</f>
        <v>29.938051732101609</v>
      </c>
    </row>
    <row r="1071" spans="2:34" x14ac:dyDescent="0.25">
      <c r="B1071" s="910">
        <v>40325</v>
      </c>
      <c r="C1071" s="581">
        <f t="shared" si="49"/>
        <v>5</v>
      </c>
      <c r="D1071" s="171">
        <v>37.33</v>
      </c>
      <c r="E1071" s="171">
        <v>35.24</v>
      </c>
      <c r="F1071" s="171">
        <v>32.480000000000004</v>
      </c>
      <c r="G1071" s="171">
        <v>28.060000000000002</v>
      </c>
      <c r="H1071" s="171">
        <v>29</v>
      </c>
      <c r="I1071" s="171">
        <v>34.550000000000004</v>
      </c>
      <c r="J1071" s="171">
        <v>43.83</v>
      </c>
      <c r="K1071" s="171">
        <v>49.5</v>
      </c>
      <c r="L1071" s="171">
        <v>53.480000000000004</v>
      </c>
      <c r="M1071" s="171">
        <v>56.39</v>
      </c>
      <c r="N1071" s="171">
        <v>60.2</v>
      </c>
      <c r="O1071" s="171">
        <v>63.65</v>
      </c>
      <c r="P1071" s="171">
        <v>60</v>
      </c>
      <c r="Q1071" s="171">
        <v>58.95</v>
      </c>
      <c r="R1071" s="171">
        <v>57.31</v>
      </c>
      <c r="S1071" s="171">
        <v>54.54</v>
      </c>
      <c r="T1071" s="171">
        <v>52</v>
      </c>
      <c r="U1071" s="171">
        <v>52.31</v>
      </c>
      <c r="V1071" s="171">
        <v>50.07</v>
      </c>
      <c r="W1071" s="171">
        <v>49.120000000000005</v>
      </c>
      <c r="X1071" s="171">
        <v>47.69</v>
      </c>
      <c r="Y1071" s="171">
        <v>46.88</v>
      </c>
      <c r="Z1071" s="171">
        <v>48.15</v>
      </c>
      <c r="AA1071" s="171">
        <v>42.160000000000004</v>
      </c>
      <c r="AB1071" s="171">
        <v>63.65</v>
      </c>
      <c r="AC1071" s="171">
        <v>46.88</v>
      </c>
      <c r="AD1071" s="171">
        <v>39.57</v>
      </c>
      <c r="AF1071" s="171">
        <f t="shared" si="50"/>
        <v>2010</v>
      </c>
      <c r="AG1071" s="171">
        <f t="shared" si="51"/>
        <v>7</v>
      </c>
      <c r="AH1071" s="700">
        <f>SUMIF(D$3:$AA1071,"&lt;="&amp;$AH$1)/COUNTIF(D$3:$AA1071,"&lt;="&amp;$AH$1)</f>
        <v>29.940752400295409</v>
      </c>
    </row>
    <row r="1072" spans="2:34" x14ac:dyDescent="0.25">
      <c r="B1072" s="910">
        <v>40326</v>
      </c>
      <c r="C1072" s="581">
        <f t="shared" si="49"/>
        <v>5</v>
      </c>
      <c r="D1072" s="171">
        <v>37.26</v>
      </c>
      <c r="E1072" s="171">
        <v>32.82</v>
      </c>
      <c r="F1072" s="171">
        <v>28.84</v>
      </c>
      <c r="G1072" s="171">
        <v>24.73</v>
      </c>
      <c r="H1072" s="171">
        <v>25.39</v>
      </c>
      <c r="I1072" s="171">
        <v>31.69</v>
      </c>
      <c r="J1072" s="171">
        <v>37.980000000000004</v>
      </c>
      <c r="K1072" s="171">
        <v>44.34</v>
      </c>
      <c r="L1072" s="171">
        <v>51.02</v>
      </c>
      <c r="M1072" s="171">
        <v>53.39</v>
      </c>
      <c r="N1072" s="171">
        <v>55.96</v>
      </c>
      <c r="O1072" s="171">
        <v>58.1</v>
      </c>
      <c r="P1072" s="171">
        <v>55.6</v>
      </c>
      <c r="Q1072" s="171">
        <v>52.49</v>
      </c>
      <c r="R1072" s="171">
        <v>49.230000000000004</v>
      </c>
      <c r="S1072" s="171">
        <v>46.13</v>
      </c>
      <c r="T1072" s="171">
        <v>44.44</v>
      </c>
      <c r="U1072" s="171">
        <v>45.15</v>
      </c>
      <c r="V1072" s="171">
        <v>44.77</v>
      </c>
      <c r="W1072" s="171">
        <v>44.93</v>
      </c>
      <c r="X1072" s="171">
        <v>43.550000000000004</v>
      </c>
      <c r="Y1072" s="171">
        <v>44.19</v>
      </c>
      <c r="Z1072" s="171">
        <v>45.800000000000004</v>
      </c>
      <c r="AA1072" s="171">
        <v>39.800000000000004</v>
      </c>
      <c r="AB1072" s="171">
        <v>58.1</v>
      </c>
      <c r="AC1072" s="171">
        <v>43.550000000000004</v>
      </c>
      <c r="AD1072" s="171">
        <v>36.369999999999997</v>
      </c>
      <c r="AF1072" s="171">
        <f t="shared" si="50"/>
        <v>2010</v>
      </c>
      <c r="AG1072" s="171">
        <f t="shared" si="51"/>
        <v>8</v>
      </c>
      <c r="AH1072" s="700">
        <f>SUMIF(D$3:$AA1072,"&lt;="&amp;$AH$1)/COUNTIF(D$3:$AA1072,"&lt;="&amp;$AH$1)</f>
        <v>29.94250369003689</v>
      </c>
    </row>
    <row r="1073" spans="2:34" x14ac:dyDescent="0.25">
      <c r="B1073" s="910">
        <v>40329</v>
      </c>
      <c r="C1073" s="581">
        <f t="shared" si="49"/>
        <v>5</v>
      </c>
      <c r="D1073" s="171">
        <v>15</v>
      </c>
      <c r="E1073" s="171">
        <v>9.49</v>
      </c>
      <c r="F1073" s="171">
        <v>7.09</v>
      </c>
      <c r="G1073" s="171">
        <v>3.52</v>
      </c>
      <c r="H1073" s="171">
        <v>6.48</v>
      </c>
      <c r="I1073" s="171">
        <v>9.5</v>
      </c>
      <c r="J1073" s="171">
        <v>27.5</v>
      </c>
      <c r="K1073" s="171">
        <v>48.63</v>
      </c>
      <c r="L1073" s="171">
        <v>48.63</v>
      </c>
      <c r="M1073" s="171">
        <v>50.550000000000004</v>
      </c>
      <c r="N1073" s="171">
        <v>53.47</v>
      </c>
      <c r="O1073" s="171">
        <v>56.27</v>
      </c>
      <c r="P1073" s="171">
        <v>56.29</v>
      </c>
      <c r="Q1073" s="171">
        <v>56.99</v>
      </c>
      <c r="R1073" s="171">
        <v>53.02</v>
      </c>
      <c r="S1073" s="171">
        <v>49.370000000000005</v>
      </c>
      <c r="T1073" s="171">
        <v>46.54</v>
      </c>
      <c r="U1073" s="171">
        <v>45.81</v>
      </c>
      <c r="V1073" s="171">
        <v>46.72</v>
      </c>
      <c r="W1073" s="171">
        <v>46.22</v>
      </c>
      <c r="X1073" s="171">
        <v>44.54</v>
      </c>
      <c r="Y1073" s="171">
        <v>43</v>
      </c>
      <c r="Z1073" s="171">
        <v>46.07</v>
      </c>
      <c r="AA1073" s="171">
        <v>41</v>
      </c>
      <c r="AB1073" s="171">
        <v>56.99</v>
      </c>
      <c r="AC1073" s="171">
        <v>43</v>
      </c>
      <c r="AD1073" s="171">
        <v>25.150000000000002</v>
      </c>
      <c r="AF1073" s="171">
        <f t="shared" si="50"/>
        <v>2010</v>
      </c>
      <c r="AG1073" s="171">
        <f t="shared" si="51"/>
        <v>8</v>
      </c>
      <c r="AH1073" s="700">
        <f>SUMIF(D$3:$AA1073,"&lt;="&amp;$AH$1)/COUNTIF(D$3:$AA1073,"&lt;="&amp;$AH$1)</f>
        <v>29.931445427728605</v>
      </c>
    </row>
    <row r="1074" spans="2:34" x14ac:dyDescent="0.25">
      <c r="B1074" s="910">
        <v>40330</v>
      </c>
      <c r="C1074" s="581">
        <f t="shared" si="49"/>
        <v>6</v>
      </c>
      <c r="D1074" s="171">
        <v>35</v>
      </c>
      <c r="E1074" s="171">
        <v>22.5</v>
      </c>
      <c r="F1074" s="171">
        <v>20.68</v>
      </c>
      <c r="G1074" s="171">
        <v>15.18</v>
      </c>
      <c r="H1074" s="171">
        <v>17.5</v>
      </c>
      <c r="I1074" s="171">
        <v>28.59</v>
      </c>
      <c r="J1074" s="171">
        <v>36.660000000000004</v>
      </c>
      <c r="K1074" s="171">
        <v>47.76</v>
      </c>
      <c r="L1074" s="171">
        <v>53.27</v>
      </c>
      <c r="M1074" s="171">
        <v>55.19</v>
      </c>
      <c r="N1074" s="171">
        <v>56.85</v>
      </c>
      <c r="O1074" s="171">
        <v>61.71</v>
      </c>
      <c r="P1074" s="171">
        <v>60</v>
      </c>
      <c r="Q1074" s="171">
        <v>58.82</v>
      </c>
      <c r="R1074" s="171">
        <v>53.94</v>
      </c>
      <c r="S1074" s="171">
        <v>53.27</v>
      </c>
      <c r="T1074" s="171">
        <v>48.58</v>
      </c>
      <c r="U1074" s="171">
        <v>48</v>
      </c>
      <c r="V1074" s="171">
        <v>46.730000000000004</v>
      </c>
      <c r="W1074" s="171">
        <v>45.02</v>
      </c>
      <c r="X1074" s="171">
        <v>42.44</v>
      </c>
      <c r="Y1074" s="171">
        <v>40.61</v>
      </c>
      <c r="Z1074" s="171">
        <v>44.92</v>
      </c>
      <c r="AA1074" s="171">
        <v>39</v>
      </c>
      <c r="AB1074" s="171">
        <v>61.71</v>
      </c>
      <c r="AC1074" s="171">
        <v>40.61</v>
      </c>
      <c r="AD1074" s="171">
        <v>32.57</v>
      </c>
      <c r="AF1074" s="171">
        <f t="shared" si="50"/>
        <v>2010</v>
      </c>
      <c r="AG1074" s="171">
        <f t="shared" si="51"/>
        <v>10</v>
      </c>
      <c r="AH1074" s="700">
        <f>SUMIF(D$3:$AA1074,"&lt;="&amp;$AH$1)/COUNTIF(D$3:$AA1074,"&lt;="&amp;$AH$1)</f>
        <v>29.931339104807503</v>
      </c>
    </row>
    <row r="1075" spans="2:34" x14ac:dyDescent="0.25">
      <c r="B1075" s="910">
        <v>40331</v>
      </c>
      <c r="C1075" s="581">
        <f t="shared" si="49"/>
        <v>6</v>
      </c>
      <c r="D1075" s="171">
        <v>30.7</v>
      </c>
      <c r="E1075" s="171">
        <v>24.3</v>
      </c>
      <c r="F1075" s="171">
        <v>15.63</v>
      </c>
      <c r="G1075" s="171">
        <v>11.91</v>
      </c>
      <c r="H1075" s="171">
        <v>10.19</v>
      </c>
      <c r="I1075" s="171">
        <v>22</v>
      </c>
      <c r="J1075" s="171">
        <v>34.01</v>
      </c>
      <c r="K1075" s="171">
        <v>43.62</v>
      </c>
      <c r="L1075" s="171">
        <v>46.64</v>
      </c>
      <c r="M1075" s="171">
        <v>49.31</v>
      </c>
      <c r="N1075" s="171">
        <v>50.96</v>
      </c>
      <c r="O1075" s="171">
        <v>53.5</v>
      </c>
      <c r="P1075" s="171">
        <v>52.31</v>
      </c>
      <c r="Q1075" s="171">
        <v>50.550000000000004</v>
      </c>
      <c r="R1075" s="171">
        <v>48.4</v>
      </c>
      <c r="S1075" s="171">
        <v>45.95</v>
      </c>
      <c r="T1075" s="171">
        <v>46.660000000000004</v>
      </c>
      <c r="U1075" s="171">
        <v>45</v>
      </c>
      <c r="V1075" s="171">
        <v>44.980000000000004</v>
      </c>
      <c r="W1075" s="171">
        <v>44</v>
      </c>
      <c r="X1075" s="171">
        <v>41.99</v>
      </c>
      <c r="Y1075" s="171">
        <v>40.590000000000003</v>
      </c>
      <c r="Z1075" s="171">
        <v>43.27</v>
      </c>
      <c r="AA1075" s="171">
        <v>37.980000000000004</v>
      </c>
      <c r="AB1075" s="171">
        <v>53.5</v>
      </c>
      <c r="AC1075" s="171">
        <v>40.590000000000003</v>
      </c>
      <c r="AD1075" s="171">
        <v>29.68</v>
      </c>
      <c r="AF1075" s="171">
        <f t="shared" si="50"/>
        <v>2010</v>
      </c>
      <c r="AG1075" s="171">
        <f t="shared" si="51"/>
        <v>10</v>
      </c>
      <c r="AH1075" s="700">
        <f>SUMIF(D$3:$AA1075,"&lt;="&amp;$AH$1)/COUNTIF(D$3:$AA1075,"&lt;="&amp;$AH$1)</f>
        <v>29.928577475156409</v>
      </c>
    </row>
    <row r="1076" spans="2:34" x14ac:dyDescent="0.25">
      <c r="B1076" s="910">
        <v>40332</v>
      </c>
      <c r="C1076" s="581">
        <f t="shared" si="49"/>
        <v>6</v>
      </c>
      <c r="D1076" s="171">
        <v>25.77</v>
      </c>
      <c r="E1076" s="171">
        <v>17.260000000000002</v>
      </c>
      <c r="F1076" s="171">
        <v>12.26</v>
      </c>
      <c r="G1076" s="171">
        <v>9.5</v>
      </c>
      <c r="H1076" s="171">
        <v>10.01</v>
      </c>
      <c r="I1076" s="171">
        <v>16.2</v>
      </c>
      <c r="J1076" s="171">
        <v>34.32</v>
      </c>
      <c r="K1076" s="171">
        <v>46</v>
      </c>
      <c r="L1076" s="171">
        <v>48.65</v>
      </c>
      <c r="M1076" s="171">
        <v>49.72</v>
      </c>
      <c r="N1076" s="171">
        <v>52.51</v>
      </c>
      <c r="O1076" s="171">
        <v>52.050000000000004</v>
      </c>
      <c r="P1076" s="171">
        <v>53.09</v>
      </c>
      <c r="Q1076" s="171">
        <v>50.910000000000004</v>
      </c>
      <c r="R1076" s="171">
        <v>49.81</v>
      </c>
      <c r="S1076" s="171">
        <v>47.11</v>
      </c>
      <c r="T1076" s="171">
        <v>45.9</v>
      </c>
      <c r="U1076" s="171">
        <v>43.64</v>
      </c>
      <c r="V1076" s="171">
        <v>44.46</v>
      </c>
      <c r="W1076" s="171">
        <v>43.36</v>
      </c>
      <c r="X1076" s="171">
        <v>43.82</v>
      </c>
      <c r="Y1076" s="171">
        <v>42.45</v>
      </c>
      <c r="Z1076" s="171">
        <v>46.19</v>
      </c>
      <c r="AA1076" s="171">
        <v>39.410000000000004</v>
      </c>
      <c r="AB1076" s="171">
        <v>53.09</v>
      </c>
      <c r="AC1076" s="171">
        <v>42.45</v>
      </c>
      <c r="AD1076" s="171">
        <v>28.6</v>
      </c>
      <c r="AF1076" s="171">
        <f t="shared" si="50"/>
        <v>2010</v>
      </c>
      <c r="AG1076" s="171">
        <f t="shared" si="51"/>
        <v>9</v>
      </c>
      <c r="AH1076" s="700">
        <f>SUMIF(D$3:$AA1076,"&lt;="&amp;$AH$1)/COUNTIF(D$3:$AA1076,"&lt;="&amp;$AH$1)</f>
        <v>29.922861083019207</v>
      </c>
    </row>
    <row r="1077" spans="2:34" x14ac:dyDescent="0.25">
      <c r="B1077" s="910">
        <v>40333</v>
      </c>
      <c r="C1077" s="581">
        <f t="shared" si="49"/>
        <v>6</v>
      </c>
      <c r="D1077" s="171">
        <v>34.6</v>
      </c>
      <c r="E1077" s="171">
        <v>25.19</v>
      </c>
      <c r="F1077" s="171">
        <v>16.07</v>
      </c>
      <c r="G1077" s="171">
        <v>12.02</v>
      </c>
      <c r="H1077" s="171">
        <v>13.38</v>
      </c>
      <c r="I1077" s="171">
        <v>23.580000000000002</v>
      </c>
      <c r="J1077" s="171">
        <v>38.71</v>
      </c>
      <c r="K1077" s="171">
        <v>49.36</v>
      </c>
      <c r="L1077" s="171">
        <v>52.050000000000004</v>
      </c>
      <c r="M1077" s="171">
        <v>54.2</v>
      </c>
      <c r="N1077" s="171">
        <v>56</v>
      </c>
      <c r="O1077" s="171">
        <v>58.13</v>
      </c>
      <c r="P1077" s="171">
        <v>55.78</v>
      </c>
      <c r="Q1077" s="171">
        <v>52.49</v>
      </c>
      <c r="R1077" s="171">
        <v>50.67</v>
      </c>
      <c r="S1077" s="171">
        <v>49.58</v>
      </c>
      <c r="T1077" s="171">
        <v>46.85</v>
      </c>
      <c r="U1077" s="171">
        <v>46.9</v>
      </c>
      <c r="V1077" s="171">
        <v>47.08</v>
      </c>
      <c r="W1077" s="171">
        <v>45.5</v>
      </c>
      <c r="X1077" s="171">
        <v>44.89</v>
      </c>
      <c r="Y1077" s="171">
        <v>43.35</v>
      </c>
      <c r="Z1077" s="171">
        <v>45.64</v>
      </c>
      <c r="AA1077" s="171">
        <v>38.980000000000004</v>
      </c>
      <c r="AB1077" s="171">
        <v>58.13</v>
      </c>
      <c r="AC1077" s="171">
        <v>43.35</v>
      </c>
      <c r="AD1077" s="171">
        <v>32.15</v>
      </c>
      <c r="AF1077" s="171">
        <f t="shared" si="50"/>
        <v>2010</v>
      </c>
      <c r="AG1077" s="171">
        <f t="shared" si="51"/>
        <v>8</v>
      </c>
      <c r="AH1077" s="700">
        <f>SUMIF(D$3:$AA1077,"&lt;="&amp;$AH$1)/COUNTIF(D$3:$AA1077,"&lt;="&amp;$AH$1)</f>
        <v>29.919475424896639</v>
      </c>
    </row>
    <row r="1078" spans="2:34" x14ac:dyDescent="0.25">
      <c r="B1078" s="910">
        <v>40336</v>
      </c>
      <c r="C1078" s="581">
        <f t="shared" si="49"/>
        <v>6</v>
      </c>
      <c r="D1078" s="171">
        <v>35</v>
      </c>
      <c r="E1078" s="171">
        <v>28.2</v>
      </c>
      <c r="F1078" s="171">
        <v>20</v>
      </c>
      <c r="G1078" s="171">
        <v>15</v>
      </c>
      <c r="H1078" s="171">
        <v>16.75</v>
      </c>
      <c r="I1078" s="171">
        <v>26</v>
      </c>
      <c r="J1078" s="171">
        <v>37.9</v>
      </c>
      <c r="K1078" s="171">
        <v>46.25</v>
      </c>
      <c r="L1078" s="171">
        <v>53.2</v>
      </c>
      <c r="M1078" s="171">
        <v>54.89</v>
      </c>
      <c r="N1078" s="171">
        <v>56.18</v>
      </c>
      <c r="O1078" s="171">
        <v>58.57</v>
      </c>
      <c r="P1078" s="171">
        <v>58.08</v>
      </c>
      <c r="Q1078" s="171">
        <v>56.17</v>
      </c>
      <c r="R1078" s="171">
        <v>55</v>
      </c>
      <c r="S1078" s="171">
        <v>51.04</v>
      </c>
      <c r="T1078" s="171">
        <v>50.1</v>
      </c>
      <c r="U1078" s="171">
        <v>49.58</v>
      </c>
      <c r="V1078" s="171">
        <v>49.99</v>
      </c>
      <c r="W1078" s="171">
        <v>49.97</v>
      </c>
      <c r="X1078" s="171">
        <v>48.58</v>
      </c>
      <c r="Y1078" s="171">
        <v>45.92</v>
      </c>
      <c r="Z1078" s="171">
        <v>51.14</v>
      </c>
      <c r="AA1078" s="171">
        <v>44</v>
      </c>
      <c r="AB1078" s="171">
        <v>58.57</v>
      </c>
      <c r="AC1078" s="171">
        <v>45.92</v>
      </c>
      <c r="AD1078" s="171">
        <v>34.56</v>
      </c>
      <c r="AF1078" s="171">
        <f t="shared" si="50"/>
        <v>2010</v>
      </c>
      <c r="AG1078" s="171">
        <f t="shared" si="51"/>
        <v>7</v>
      </c>
      <c r="AH1078" s="700">
        <f>SUMIF(D$3:$AA1078,"&lt;="&amp;$AH$1)/COUNTIF(D$3:$AA1078,"&lt;="&amp;$AH$1)</f>
        <v>29.916667278736686</v>
      </c>
    </row>
    <row r="1079" spans="2:34" x14ac:dyDescent="0.25">
      <c r="B1079" s="910">
        <v>40337</v>
      </c>
      <c r="C1079" s="581">
        <f t="shared" si="49"/>
        <v>6</v>
      </c>
      <c r="D1079" s="171">
        <v>37</v>
      </c>
      <c r="E1079" s="171">
        <v>34.5</v>
      </c>
      <c r="F1079" s="171">
        <v>31.7</v>
      </c>
      <c r="G1079" s="171">
        <v>24</v>
      </c>
      <c r="H1079" s="171">
        <v>24.8</v>
      </c>
      <c r="I1079" s="171">
        <v>29.810000000000002</v>
      </c>
      <c r="J1079" s="171">
        <v>41.2</v>
      </c>
      <c r="K1079" s="171">
        <v>52.81</v>
      </c>
      <c r="L1079" s="171">
        <v>56.82</v>
      </c>
      <c r="M1079" s="171">
        <v>62.1</v>
      </c>
      <c r="N1079" s="171">
        <v>68.05</v>
      </c>
      <c r="O1079" s="171">
        <v>70.5</v>
      </c>
      <c r="P1079" s="171">
        <v>66.03</v>
      </c>
      <c r="Q1079" s="171">
        <v>62.54</v>
      </c>
      <c r="R1079" s="171">
        <v>60</v>
      </c>
      <c r="S1079" s="171">
        <v>57.25</v>
      </c>
      <c r="T1079" s="171">
        <v>55.76</v>
      </c>
      <c r="U1079" s="171">
        <v>54.27</v>
      </c>
      <c r="V1079" s="171">
        <v>51</v>
      </c>
      <c r="W1079" s="171">
        <v>49.5</v>
      </c>
      <c r="X1079" s="171">
        <v>46.800000000000004</v>
      </c>
      <c r="Y1079" s="171">
        <v>46.19</v>
      </c>
      <c r="Z1079" s="171">
        <v>47.85</v>
      </c>
      <c r="AA1079" s="171">
        <v>41.730000000000004</v>
      </c>
      <c r="AB1079" s="171">
        <v>70.5</v>
      </c>
      <c r="AC1079" s="171">
        <v>46.19</v>
      </c>
      <c r="AD1079" s="171">
        <v>38.200000000000003</v>
      </c>
      <c r="AF1079" s="171">
        <f t="shared" si="50"/>
        <v>2010</v>
      </c>
      <c r="AG1079" s="171">
        <f t="shared" si="51"/>
        <v>8</v>
      </c>
      <c r="AH1079" s="700">
        <f>SUMIF(D$3:$AA1079,"&lt;="&amp;$AH$1)/COUNTIF(D$3:$AA1079,"&lt;="&amp;$AH$1)</f>
        <v>29.918998165137612</v>
      </c>
    </row>
    <row r="1080" spans="2:34" x14ac:dyDescent="0.25">
      <c r="B1080" s="910">
        <v>40338</v>
      </c>
      <c r="C1080" s="581">
        <f t="shared" si="49"/>
        <v>6</v>
      </c>
      <c r="D1080" s="171">
        <v>41.08</v>
      </c>
      <c r="E1080" s="171">
        <v>38.47</v>
      </c>
      <c r="F1080" s="171">
        <v>36.17</v>
      </c>
      <c r="G1080" s="171">
        <v>29.3</v>
      </c>
      <c r="H1080" s="171">
        <v>29.7</v>
      </c>
      <c r="I1080" s="171">
        <v>33.480000000000004</v>
      </c>
      <c r="J1080" s="171">
        <v>40.300000000000004</v>
      </c>
      <c r="K1080" s="171">
        <v>52.89</v>
      </c>
      <c r="L1080" s="171">
        <v>57.03</v>
      </c>
      <c r="M1080" s="171">
        <v>63.63</v>
      </c>
      <c r="N1080" s="171">
        <v>72.7</v>
      </c>
      <c r="O1080" s="171">
        <v>80.06</v>
      </c>
      <c r="P1080" s="171">
        <v>70.320000000000007</v>
      </c>
      <c r="Q1080" s="171">
        <v>66.2</v>
      </c>
      <c r="R1080" s="171">
        <v>66.430000000000007</v>
      </c>
      <c r="S1080" s="171">
        <v>60</v>
      </c>
      <c r="T1080" s="171">
        <v>58.31</v>
      </c>
      <c r="U1080" s="171">
        <v>56.7</v>
      </c>
      <c r="V1080" s="171">
        <v>55.2</v>
      </c>
      <c r="W1080" s="171">
        <v>50.11</v>
      </c>
      <c r="X1080" s="171">
        <v>48.61</v>
      </c>
      <c r="Y1080" s="171">
        <v>47.69</v>
      </c>
      <c r="Z1080" s="171">
        <v>50.08</v>
      </c>
      <c r="AA1080" s="171">
        <v>45.17</v>
      </c>
      <c r="AB1080" s="171">
        <v>80.06</v>
      </c>
      <c r="AC1080" s="171">
        <v>47.69</v>
      </c>
      <c r="AD1080" s="171">
        <v>41.08</v>
      </c>
      <c r="AF1080" s="171">
        <f t="shared" si="50"/>
        <v>2010</v>
      </c>
      <c r="AG1080" s="171">
        <f t="shared" si="51"/>
        <v>7</v>
      </c>
      <c r="AH1080" s="700">
        <f>SUMIF(D$3:$AA1080,"&lt;="&amp;$AH$1)/COUNTIF(D$3:$AA1080,"&lt;="&amp;$AH$1)</f>
        <v>29.922579994498935</v>
      </c>
    </row>
    <row r="1081" spans="2:34" x14ac:dyDescent="0.25">
      <c r="B1081" s="910">
        <v>40339</v>
      </c>
      <c r="C1081" s="581">
        <f t="shared" si="49"/>
        <v>6</v>
      </c>
      <c r="D1081" s="171">
        <v>39.300000000000004</v>
      </c>
      <c r="E1081" s="171">
        <v>36.29</v>
      </c>
      <c r="F1081" s="171">
        <v>30.64</v>
      </c>
      <c r="G1081" s="171">
        <v>23</v>
      </c>
      <c r="H1081" s="171">
        <v>25</v>
      </c>
      <c r="I1081" s="171">
        <v>32.799999999999997</v>
      </c>
      <c r="J1081" s="171">
        <v>43.6</v>
      </c>
      <c r="K1081" s="171">
        <v>53</v>
      </c>
      <c r="L1081" s="171">
        <v>57.47</v>
      </c>
      <c r="M1081" s="171">
        <v>62.370000000000005</v>
      </c>
      <c r="N1081" s="171">
        <v>66.070000000000007</v>
      </c>
      <c r="O1081" s="171">
        <v>72.88</v>
      </c>
      <c r="P1081" s="171">
        <v>66.12</v>
      </c>
      <c r="Q1081" s="171">
        <v>63.730000000000004</v>
      </c>
      <c r="R1081" s="171">
        <v>62.85</v>
      </c>
      <c r="S1081" s="171">
        <v>57.82</v>
      </c>
      <c r="T1081" s="171">
        <v>55.71</v>
      </c>
      <c r="U1081" s="171">
        <v>54.77</v>
      </c>
      <c r="V1081" s="171">
        <v>53</v>
      </c>
      <c r="W1081" s="171">
        <v>49.63</v>
      </c>
      <c r="X1081" s="171">
        <v>51.25</v>
      </c>
      <c r="Y1081" s="171">
        <v>50.04</v>
      </c>
      <c r="Z1081" s="171">
        <v>50</v>
      </c>
      <c r="AA1081" s="171">
        <v>43</v>
      </c>
      <c r="AB1081" s="171">
        <v>72.88</v>
      </c>
      <c r="AC1081" s="171">
        <v>49.63</v>
      </c>
      <c r="AD1081" s="171">
        <v>39.83</v>
      </c>
      <c r="AF1081" s="171">
        <f t="shared" si="50"/>
        <v>2010</v>
      </c>
      <c r="AG1081" s="171">
        <f t="shared" si="51"/>
        <v>6</v>
      </c>
      <c r="AH1081" s="700">
        <f>SUMIF(D$3:$AA1081,"&lt;="&amp;$AH$1)/COUNTIF(D$3:$AA1081,"&lt;="&amp;$AH$1)</f>
        <v>29.923266746082643</v>
      </c>
    </row>
    <row r="1082" spans="2:34" x14ac:dyDescent="0.25">
      <c r="B1082" s="910">
        <v>40340</v>
      </c>
      <c r="C1082" s="581">
        <f t="shared" si="49"/>
        <v>6</v>
      </c>
      <c r="D1082" s="171">
        <v>38.9</v>
      </c>
      <c r="E1082" s="171">
        <v>34.980000000000004</v>
      </c>
      <c r="F1082" s="171">
        <v>28.25</v>
      </c>
      <c r="G1082" s="171">
        <v>22.5</v>
      </c>
      <c r="H1082" s="171">
        <v>25</v>
      </c>
      <c r="I1082" s="171">
        <v>30</v>
      </c>
      <c r="J1082" s="171">
        <v>40</v>
      </c>
      <c r="K1082" s="171">
        <v>51.78</v>
      </c>
      <c r="L1082" s="171">
        <v>56.19</v>
      </c>
      <c r="M1082" s="171">
        <v>59.01</v>
      </c>
      <c r="N1082" s="171">
        <v>60.32</v>
      </c>
      <c r="O1082" s="171">
        <v>66.62</v>
      </c>
      <c r="P1082" s="171">
        <v>62.2</v>
      </c>
      <c r="Q1082" s="171">
        <v>59.24</v>
      </c>
      <c r="R1082" s="171">
        <v>56</v>
      </c>
      <c r="S1082" s="171">
        <v>51.04</v>
      </c>
      <c r="T1082" s="171">
        <v>47.33</v>
      </c>
      <c r="U1082" s="171">
        <v>46.980000000000004</v>
      </c>
      <c r="V1082" s="171">
        <v>46.550000000000004</v>
      </c>
      <c r="W1082" s="171">
        <v>45.86</v>
      </c>
      <c r="X1082" s="171">
        <v>44.54</v>
      </c>
      <c r="Y1082" s="171">
        <v>43.5</v>
      </c>
      <c r="Z1082" s="171">
        <v>46.59</v>
      </c>
      <c r="AA1082" s="171">
        <v>42.99</v>
      </c>
      <c r="AB1082" s="171">
        <v>66.62</v>
      </c>
      <c r="AC1082" s="171">
        <v>43.5</v>
      </c>
      <c r="AD1082" s="171">
        <v>37.42</v>
      </c>
      <c r="AF1082" s="171">
        <f t="shared" si="50"/>
        <v>2010</v>
      </c>
      <c r="AG1082" s="171">
        <f t="shared" si="51"/>
        <v>7</v>
      </c>
      <c r="AH1082" s="700">
        <f>SUMIF(D$3:$AA1082,"&lt;="&amp;$AH$1)/COUNTIF(D$3:$AA1082,"&lt;="&amp;$AH$1)</f>
        <v>29.924197802197792</v>
      </c>
    </row>
    <row r="1083" spans="2:34" x14ac:dyDescent="0.25">
      <c r="B1083" s="910">
        <v>40343</v>
      </c>
      <c r="C1083" s="581">
        <f t="shared" si="49"/>
        <v>6</v>
      </c>
      <c r="D1083" s="171">
        <v>39</v>
      </c>
      <c r="E1083" s="171">
        <v>28.6</v>
      </c>
      <c r="F1083" s="171">
        <v>22.5</v>
      </c>
      <c r="G1083" s="171">
        <v>16.740000000000002</v>
      </c>
      <c r="H1083" s="171">
        <v>21.13</v>
      </c>
      <c r="I1083" s="171">
        <v>30</v>
      </c>
      <c r="J1083" s="171">
        <v>46</v>
      </c>
      <c r="K1083" s="171">
        <v>55.28</v>
      </c>
      <c r="L1083" s="171">
        <v>59.01</v>
      </c>
      <c r="M1083" s="171">
        <v>63</v>
      </c>
      <c r="N1083" s="171">
        <v>65.5</v>
      </c>
      <c r="O1083" s="171">
        <v>73.5</v>
      </c>
      <c r="P1083" s="171">
        <v>67.89</v>
      </c>
      <c r="Q1083" s="171">
        <v>64.56</v>
      </c>
      <c r="R1083" s="171">
        <v>62.190000000000005</v>
      </c>
      <c r="S1083" s="171">
        <v>55.34</v>
      </c>
      <c r="T1083" s="171">
        <v>54.29</v>
      </c>
      <c r="U1083" s="171">
        <v>53.03</v>
      </c>
      <c r="V1083" s="171">
        <v>53.04</v>
      </c>
      <c r="W1083" s="171">
        <v>50.13</v>
      </c>
      <c r="X1083" s="171">
        <v>49.22</v>
      </c>
      <c r="Y1083" s="171">
        <v>45.11</v>
      </c>
      <c r="Z1083" s="171">
        <v>48</v>
      </c>
      <c r="AA1083" s="171">
        <v>42.01</v>
      </c>
      <c r="AB1083" s="171">
        <v>73.5</v>
      </c>
      <c r="AC1083" s="171">
        <v>45.11</v>
      </c>
      <c r="AD1083" s="171">
        <v>36.97</v>
      </c>
      <c r="AF1083" s="171">
        <f t="shared" si="50"/>
        <v>2010</v>
      </c>
      <c r="AG1083" s="171">
        <f t="shared" si="51"/>
        <v>7</v>
      </c>
      <c r="AH1083" s="700">
        <f>SUMIF(D$3:$AA1083,"&lt;="&amp;$AH$1)/COUNTIF(D$3:$AA1083,"&lt;="&amp;$AH$1)</f>
        <v>29.923329367621474</v>
      </c>
    </row>
    <row r="1084" spans="2:34" x14ac:dyDescent="0.25">
      <c r="B1084" s="910">
        <v>40344</v>
      </c>
      <c r="C1084" s="581">
        <f t="shared" si="49"/>
        <v>6</v>
      </c>
      <c r="D1084" s="171">
        <v>33.200000000000003</v>
      </c>
      <c r="E1084" s="171">
        <v>26.13</v>
      </c>
      <c r="F1084" s="171">
        <v>19.7</v>
      </c>
      <c r="G1084" s="171">
        <v>14</v>
      </c>
      <c r="H1084" s="171">
        <v>15</v>
      </c>
      <c r="I1084" s="171">
        <v>20</v>
      </c>
      <c r="J1084" s="171">
        <v>42</v>
      </c>
      <c r="K1084" s="171">
        <v>49.980000000000004</v>
      </c>
      <c r="L1084" s="171">
        <v>55.32</v>
      </c>
      <c r="M1084" s="171">
        <v>58.1</v>
      </c>
      <c r="N1084" s="171">
        <v>62.64</v>
      </c>
      <c r="O1084" s="171">
        <v>69.239999999999995</v>
      </c>
      <c r="P1084" s="171">
        <v>62.2</v>
      </c>
      <c r="Q1084" s="171">
        <v>60.5</v>
      </c>
      <c r="R1084" s="171">
        <v>56.59</v>
      </c>
      <c r="S1084" s="171">
        <v>52</v>
      </c>
      <c r="T1084" s="171">
        <v>50.74</v>
      </c>
      <c r="U1084" s="171">
        <v>49.06</v>
      </c>
      <c r="V1084" s="171">
        <v>49.06</v>
      </c>
      <c r="W1084" s="171">
        <v>48.09</v>
      </c>
      <c r="X1084" s="171">
        <v>43.02</v>
      </c>
      <c r="Y1084" s="171">
        <v>41</v>
      </c>
      <c r="Z1084" s="171">
        <v>44.480000000000004</v>
      </c>
      <c r="AA1084" s="171">
        <v>38.25</v>
      </c>
      <c r="AB1084" s="171">
        <v>69.239999999999995</v>
      </c>
      <c r="AC1084" s="171">
        <v>41</v>
      </c>
      <c r="AD1084" s="171">
        <v>32.230000000000004</v>
      </c>
      <c r="AF1084" s="171">
        <f t="shared" si="50"/>
        <v>2010</v>
      </c>
      <c r="AG1084" s="171">
        <f t="shared" si="51"/>
        <v>9</v>
      </c>
      <c r="AH1084" s="700">
        <f>SUMIF(D$3:$AA1084,"&lt;="&amp;$AH$1)/COUNTIF(D$3:$AA1084,"&lt;="&amp;$AH$1)</f>
        <v>29.921497805413303</v>
      </c>
    </row>
    <row r="1085" spans="2:34" x14ac:dyDescent="0.25">
      <c r="B1085" s="910">
        <v>40345</v>
      </c>
      <c r="C1085" s="581">
        <f t="shared" si="49"/>
        <v>6</v>
      </c>
      <c r="D1085" s="171">
        <v>33</v>
      </c>
      <c r="E1085" s="171">
        <v>29.990000000000002</v>
      </c>
      <c r="F1085" s="171">
        <v>21.6</v>
      </c>
      <c r="G1085" s="171">
        <v>16.34</v>
      </c>
      <c r="H1085" s="171">
        <v>17</v>
      </c>
      <c r="I1085" s="171">
        <v>22.01</v>
      </c>
      <c r="J1085" s="171">
        <v>41</v>
      </c>
      <c r="K1085" s="171">
        <v>48.38</v>
      </c>
      <c r="L1085" s="171">
        <v>52.74</v>
      </c>
      <c r="M1085" s="171">
        <v>55.81</v>
      </c>
      <c r="N1085" s="171">
        <v>58.120000000000005</v>
      </c>
      <c r="O1085" s="171">
        <v>63.22</v>
      </c>
      <c r="P1085" s="171">
        <v>57.84</v>
      </c>
      <c r="Q1085" s="171">
        <v>56.44</v>
      </c>
      <c r="R1085" s="171">
        <v>55.36</v>
      </c>
      <c r="S1085" s="171">
        <v>51.550000000000004</v>
      </c>
      <c r="T1085" s="171">
        <v>51</v>
      </c>
      <c r="U1085" s="171">
        <v>49.95</v>
      </c>
      <c r="V1085" s="171">
        <v>49.47</v>
      </c>
      <c r="W1085" s="171">
        <v>47.050000000000004</v>
      </c>
      <c r="X1085" s="171">
        <v>44.29</v>
      </c>
      <c r="Y1085" s="171">
        <v>43.11</v>
      </c>
      <c r="Z1085" s="171">
        <v>47.160000000000004</v>
      </c>
      <c r="AA1085" s="171">
        <v>40.5</v>
      </c>
      <c r="AB1085" s="171">
        <v>63.22</v>
      </c>
      <c r="AC1085" s="171">
        <v>43.11</v>
      </c>
      <c r="AD1085" s="171">
        <v>33.700000000000003</v>
      </c>
      <c r="AF1085" s="171">
        <f t="shared" si="50"/>
        <v>2010</v>
      </c>
      <c r="AG1085" s="171">
        <f t="shared" si="51"/>
        <v>8</v>
      </c>
      <c r="AH1085" s="700">
        <f>SUMIF(D$3:$AA1085,"&lt;="&amp;$AH$1)/COUNTIF(D$3:$AA1085,"&lt;="&amp;$AH$1)</f>
        <v>29.919859283625719</v>
      </c>
    </row>
    <row r="1086" spans="2:34" x14ac:dyDescent="0.25">
      <c r="B1086" s="910">
        <v>40346</v>
      </c>
      <c r="C1086" s="581">
        <f t="shared" si="49"/>
        <v>6</v>
      </c>
      <c r="D1086" s="171">
        <v>36.39</v>
      </c>
      <c r="E1086" s="171">
        <v>35</v>
      </c>
      <c r="F1086" s="171">
        <v>28.05</v>
      </c>
      <c r="G1086" s="171">
        <v>20</v>
      </c>
      <c r="H1086" s="171">
        <v>20.04</v>
      </c>
      <c r="I1086" s="171">
        <v>30</v>
      </c>
      <c r="J1086" s="171">
        <v>43</v>
      </c>
      <c r="K1086" s="171">
        <v>51.77</v>
      </c>
      <c r="L1086" s="171">
        <v>56.44</v>
      </c>
      <c r="M1086" s="171">
        <v>59.2</v>
      </c>
      <c r="N1086" s="171">
        <v>62</v>
      </c>
      <c r="O1086" s="171">
        <v>67.210000000000008</v>
      </c>
      <c r="P1086" s="171">
        <v>63</v>
      </c>
      <c r="Q1086" s="171">
        <v>60.39</v>
      </c>
      <c r="R1086" s="171">
        <v>58.85</v>
      </c>
      <c r="S1086" s="171">
        <v>53.9</v>
      </c>
      <c r="T1086" s="171">
        <v>53.11</v>
      </c>
      <c r="U1086" s="171">
        <v>52.95</v>
      </c>
      <c r="V1086" s="171">
        <v>53.56</v>
      </c>
      <c r="W1086" s="171">
        <v>53.300000000000004</v>
      </c>
      <c r="X1086" s="171">
        <v>51.5</v>
      </c>
      <c r="Y1086" s="171">
        <v>48</v>
      </c>
      <c r="Z1086" s="171">
        <v>53.99</v>
      </c>
      <c r="AA1086" s="171">
        <v>47</v>
      </c>
      <c r="AB1086" s="171">
        <v>67.210000000000008</v>
      </c>
      <c r="AC1086" s="171">
        <v>48</v>
      </c>
      <c r="AD1086" s="171">
        <v>38.730000000000004</v>
      </c>
      <c r="AF1086" s="171">
        <f t="shared" si="50"/>
        <v>2010</v>
      </c>
      <c r="AG1086" s="171">
        <f t="shared" si="51"/>
        <v>6</v>
      </c>
      <c r="AH1086" s="700">
        <f>SUMIF(D$3:$AA1086,"&lt;="&amp;$AH$1)/COUNTIF(D$3:$AA1086,"&lt;="&amp;$AH$1)</f>
        <v>29.918942465753414</v>
      </c>
    </row>
    <row r="1087" spans="2:34" x14ac:dyDescent="0.25">
      <c r="B1087" s="910">
        <v>40347</v>
      </c>
      <c r="C1087" s="581">
        <f t="shared" si="49"/>
        <v>6</v>
      </c>
      <c r="D1087" s="171">
        <v>44.800000000000004</v>
      </c>
      <c r="E1087" s="171">
        <v>40.590000000000003</v>
      </c>
      <c r="F1087" s="171">
        <v>35.5</v>
      </c>
      <c r="G1087" s="171">
        <v>28.1</v>
      </c>
      <c r="H1087" s="171">
        <v>30.03</v>
      </c>
      <c r="I1087" s="171">
        <v>35</v>
      </c>
      <c r="J1087" s="171">
        <v>45.5</v>
      </c>
      <c r="K1087" s="171">
        <v>54.4</v>
      </c>
      <c r="L1087" s="171">
        <v>56.19</v>
      </c>
      <c r="M1087" s="171">
        <v>58.36</v>
      </c>
      <c r="N1087" s="171">
        <v>62.24</v>
      </c>
      <c r="O1087" s="171">
        <v>66.180000000000007</v>
      </c>
      <c r="P1087" s="171">
        <v>61.1</v>
      </c>
      <c r="Q1087" s="171">
        <v>55.09</v>
      </c>
      <c r="R1087" s="171">
        <v>51.53</v>
      </c>
      <c r="S1087" s="171">
        <v>46.59</v>
      </c>
      <c r="T1087" s="171">
        <v>47.47</v>
      </c>
      <c r="U1087" s="171">
        <v>49.13</v>
      </c>
      <c r="V1087" s="171">
        <v>48.800000000000004</v>
      </c>
      <c r="W1087" s="171">
        <v>45.38</v>
      </c>
      <c r="X1087" s="171">
        <v>44.71</v>
      </c>
      <c r="Y1087" s="171">
        <v>43.06</v>
      </c>
      <c r="Z1087" s="171">
        <v>48.300000000000004</v>
      </c>
      <c r="AA1087" s="171">
        <v>41.300000000000004</v>
      </c>
      <c r="AB1087" s="171">
        <v>66.180000000000007</v>
      </c>
      <c r="AC1087" s="171">
        <v>43.06</v>
      </c>
      <c r="AD1087" s="171">
        <v>40.94</v>
      </c>
      <c r="AF1087" s="171">
        <f t="shared" si="50"/>
        <v>2010</v>
      </c>
      <c r="AG1087" s="171">
        <f t="shared" si="51"/>
        <v>6</v>
      </c>
      <c r="AH1087" s="700">
        <f>SUMIF(D$3:$AA1087,"&lt;="&amp;$AH$1)/COUNTIF(D$3:$AA1087,"&lt;="&amp;$AH$1)</f>
        <v>29.921772544724341</v>
      </c>
    </row>
    <row r="1088" spans="2:34" x14ac:dyDescent="0.25">
      <c r="B1088" s="910">
        <v>40350</v>
      </c>
      <c r="C1088" s="581">
        <f t="shared" si="49"/>
        <v>6</v>
      </c>
      <c r="D1088" s="171">
        <v>36.520000000000003</v>
      </c>
      <c r="E1088" s="171">
        <v>30.5</v>
      </c>
      <c r="F1088" s="171">
        <v>25.7</v>
      </c>
      <c r="G1088" s="171">
        <v>19</v>
      </c>
      <c r="H1088" s="171">
        <v>19</v>
      </c>
      <c r="I1088" s="171">
        <v>30</v>
      </c>
      <c r="J1088" s="171">
        <v>44.93</v>
      </c>
      <c r="K1088" s="171">
        <v>53.99</v>
      </c>
      <c r="L1088" s="171">
        <v>57</v>
      </c>
      <c r="M1088" s="171">
        <v>60.69</v>
      </c>
      <c r="N1088" s="171">
        <v>65</v>
      </c>
      <c r="O1088" s="171">
        <v>73</v>
      </c>
      <c r="P1088" s="171">
        <v>65.760000000000005</v>
      </c>
      <c r="Q1088" s="171">
        <v>61</v>
      </c>
      <c r="R1088" s="171">
        <v>59</v>
      </c>
      <c r="S1088" s="171">
        <v>53.14</v>
      </c>
      <c r="T1088" s="171">
        <v>51.06</v>
      </c>
      <c r="U1088" s="171">
        <v>50.24</v>
      </c>
      <c r="V1088" s="171">
        <v>50.120000000000005</v>
      </c>
      <c r="W1088" s="171">
        <v>47.99</v>
      </c>
      <c r="X1088" s="171">
        <v>48</v>
      </c>
      <c r="Y1088" s="171">
        <v>45.08</v>
      </c>
      <c r="Z1088" s="171">
        <v>49.64</v>
      </c>
      <c r="AA1088" s="171">
        <v>43.72</v>
      </c>
      <c r="AB1088" s="171">
        <v>73</v>
      </c>
      <c r="AC1088" s="171">
        <v>45.08</v>
      </c>
      <c r="AD1088" s="171">
        <v>37.17</v>
      </c>
      <c r="AF1088" s="171">
        <f t="shared" si="50"/>
        <v>2010</v>
      </c>
      <c r="AG1088" s="171">
        <f t="shared" si="51"/>
        <v>6</v>
      </c>
      <c r="AH1088" s="700">
        <f>SUMIF(D$3:$AA1088,"&lt;="&amp;$AH$1)/COUNTIF(D$3:$AA1088,"&lt;="&amp;$AH$1)</f>
        <v>29.920056559022068</v>
      </c>
    </row>
    <row r="1089" spans="2:34" x14ac:dyDescent="0.25">
      <c r="B1089" s="910">
        <v>40351</v>
      </c>
      <c r="C1089" s="581">
        <f t="shared" si="49"/>
        <v>6</v>
      </c>
      <c r="D1089" s="171">
        <v>42.99</v>
      </c>
      <c r="E1089" s="171">
        <v>37.97</v>
      </c>
      <c r="F1089" s="171">
        <v>33.630000000000003</v>
      </c>
      <c r="G1089" s="171">
        <v>27.32</v>
      </c>
      <c r="H1089" s="171">
        <v>26.75</v>
      </c>
      <c r="I1089" s="171">
        <v>31.080000000000002</v>
      </c>
      <c r="J1089" s="171">
        <v>45.050000000000004</v>
      </c>
      <c r="K1089" s="171">
        <v>54.39</v>
      </c>
      <c r="L1089" s="171">
        <v>54.910000000000004</v>
      </c>
      <c r="M1089" s="171">
        <v>58.57</v>
      </c>
      <c r="N1089" s="171">
        <v>64</v>
      </c>
      <c r="O1089" s="171">
        <v>71.5</v>
      </c>
      <c r="P1089" s="171">
        <v>67.8</v>
      </c>
      <c r="Q1089" s="171">
        <v>62.01</v>
      </c>
      <c r="R1089" s="171">
        <v>58.51</v>
      </c>
      <c r="S1089" s="171">
        <v>53.17</v>
      </c>
      <c r="T1089" s="171">
        <v>53.11</v>
      </c>
      <c r="U1089" s="171">
        <v>50.980000000000004</v>
      </c>
      <c r="V1089" s="171">
        <v>52.44</v>
      </c>
      <c r="W1089" s="171">
        <v>49.44</v>
      </c>
      <c r="X1089" s="171">
        <v>49.5</v>
      </c>
      <c r="Y1089" s="171">
        <v>46.57</v>
      </c>
      <c r="Z1089" s="171">
        <v>50.26</v>
      </c>
      <c r="AA1089" s="171">
        <v>44.82</v>
      </c>
      <c r="AB1089" s="171">
        <v>71.5</v>
      </c>
      <c r="AC1089" s="171">
        <v>46.57</v>
      </c>
      <c r="AD1089" s="171">
        <v>40.86</v>
      </c>
      <c r="AF1089" s="171">
        <f t="shared" si="50"/>
        <v>2010</v>
      </c>
      <c r="AG1089" s="171">
        <f t="shared" si="51"/>
        <v>5</v>
      </c>
      <c r="AH1089" s="700">
        <f>SUMIF(D$3:$AA1089,"&lt;="&amp;$AH$1)/COUNTIF(D$3:$AA1089,"&lt;="&amp;$AH$1)</f>
        <v>29.920708489103667</v>
      </c>
    </row>
    <row r="1090" spans="2:34" x14ac:dyDescent="0.25">
      <c r="B1090" s="910">
        <v>40352</v>
      </c>
      <c r="C1090" s="581">
        <f t="shared" si="49"/>
        <v>6</v>
      </c>
      <c r="D1090" s="171">
        <v>40.480000000000004</v>
      </c>
      <c r="E1090" s="171">
        <v>36.590000000000003</v>
      </c>
      <c r="F1090" s="171">
        <v>31.6</v>
      </c>
      <c r="G1090" s="171">
        <v>29.25</v>
      </c>
      <c r="H1090" s="171">
        <v>31</v>
      </c>
      <c r="I1090" s="171">
        <v>37</v>
      </c>
      <c r="J1090" s="171">
        <v>45.31</v>
      </c>
      <c r="K1090" s="171">
        <v>57.6</v>
      </c>
      <c r="L1090" s="171">
        <v>56.84</v>
      </c>
      <c r="M1090" s="171">
        <v>60.300000000000004</v>
      </c>
      <c r="N1090" s="171">
        <v>63.86</v>
      </c>
      <c r="O1090" s="171">
        <v>70.36</v>
      </c>
      <c r="P1090" s="171">
        <v>64.8</v>
      </c>
      <c r="Q1090" s="171">
        <v>60.76</v>
      </c>
      <c r="R1090" s="171">
        <v>56.29</v>
      </c>
      <c r="S1090" s="171">
        <v>51.730000000000004</v>
      </c>
      <c r="T1090" s="171">
        <v>51.980000000000004</v>
      </c>
      <c r="U1090" s="171">
        <v>49.84</v>
      </c>
      <c r="V1090" s="171">
        <v>50.160000000000004</v>
      </c>
      <c r="W1090" s="171">
        <v>49.34</v>
      </c>
      <c r="X1090" s="171">
        <v>50.57</v>
      </c>
      <c r="Y1090" s="171">
        <v>50</v>
      </c>
      <c r="Z1090" s="171">
        <v>51</v>
      </c>
      <c r="AA1090" s="171">
        <v>45.980000000000004</v>
      </c>
      <c r="AB1090" s="171">
        <v>70.36</v>
      </c>
      <c r="AC1090" s="171">
        <v>49.34</v>
      </c>
      <c r="AD1090" s="171">
        <v>42.2</v>
      </c>
      <c r="AF1090" s="171">
        <f t="shared" si="50"/>
        <v>2010</v>
      </c>
      <c r="AG1090" s="171">
        <f t="shared" si="51"/>
        <v>6</v>
      </c>
      <c r="AH1090" s="700">
        <f>SUMIF(D$3:$AA1090,"&lt;="&amp;$AH$1)/COUNTIF(D$3:$AA1090,"&lt;="&amp;$AH$1)</f>
        <v>29.923114007108349</v>
      </c>
    </row>
    <row r="1091" spans="2:34" x14ac:dyDescent="0.25">
      <c r="B1091" s="910">
        <v>40353</v>
      </c>
      <c r="C1091" s="581">
        <f t="shared" si="49"/>
        <v>6</v>
      </c>
      <c r="D1091" s="171">
        <v>42.11</v>
      </c>
      <c r="E1091" s="171">
        <v>38.1</v>
      </c>
      <c r="F1091" s="171">
        <v>35.43</v>
      </c>
      <c r="G1091" s="171">
        <v>32.299999999999997</v>
      </c>
      <c r="H1091" s="171">
        <v>34.96</v>
      </c>
      <c r="I1091" s="171">
        <v>35.96</v>
      </c>
      <c r="J1091" s="171">
        <v>45.99</v>
      </c>
      <c r="K1091" s="171">
        <v>54.35</v>
      </c>
      <c r="L1091" s="171">
        <v>59.160000000000004</v>
      </c>
      <c r="M1091" s="171">
        <v>58.92</v>
      </c>
      <c r="N1091" s="171">
        <v>62.300000000000004</v>
      </c>
      <c r="O1091" s="171">
        <v>67.790000000000006</v>
      </c>
      <c r="P1091" s="171">
        <v>63.7</v>
      </c>
      <c r="Q1091" s="171">
        <v>61.34</v>
      </c>
      <c r="R1091" s="171">
        <v>57.370000000000005</v>
      </c>
      <c r="S1091" s="171">
        <v>54.13</v>
      </c>
      <c r="T1091" s="171">
        <v>52.64</v>
      </c>
      <c r="U1091" s="171">
        <v>53.83</v>
      </c>
      <c r="V1091" s="171">
        <v>53.18</v>
      </c>
      <c r="W1091" s="171">
        <v>52.42</v>
      </c>
      <c r="X1091" s="171">
        <v>49.03</v>
      </c>
      <c r="Y1091" s="171">
        <v>47.300000000000004</v>
      </c>
      <c r="Z1091" s="171">
        <v>49.86</v>
      </c>
      <c r="AA1091" s="171">
        <v>44.85</v>
      </c>
      <c r="AB1091" s="171">
        <v>67.790000000000006</v>
      </c>
      <c r="AC1091" s="171">
        <v>47.300000000000004</v>
      </c>
      <c r="AD1091" s="171">
        <v>42.52</v>
      </c>
      <c r="AF1091" s="171">
        <f t="shared" si="50"/>
        <v>2010</v>
      </c>
      <c r="AG1091" s="171">
        <f t="shared" si="51"/>
        <v>6</v>
      </c>
      <c r="AH1091" s="700">
        <f>SUMIF(D$3:$AA1091,"&lt;="&amp;$AH$1)/COUNTIF(D$3:$AA1091,"&lt;="&amp;$AH$1)</f>
        <v>29.926695509609242</v>
      </c>
    </row>
    <row r="1092" spans="2:34" x14ac:dyDescent="0.25">
      <c r="B1092" s="910">
        <v>40354</v>
      </c>
      <c r="C1092" s="581">
        <f t="shared" ref="C1092:C1155" si="52">MONTH(B1092)</f>
        <v>6</v>
      </c>
      <c r="D1092" s="171">
        <v>43</v>
      </c>
      <c r="E1092" s="171">
        <v>40.050000000000004</v>
      </c>
      <c r="F1092" s="171">
        <v>37.76</v>
      </c>
      <c r="G1092" s="171">
        <v>33.230000000000004</v>
      </c>
      <c r="H1092" s="171">
        <v>34.5</v>
      </c>
      <c r="I1092" s="171">
        <v>35</v>
      </c>
      <c r="J1092" s="171">
        <v>42.69</v>
      </c>
      <c r="K1092" s="171">
        <v>54.6</v>
      </c>
      <c r="L1092" s="171">
        <v>59</v>
      </c>
      <c r="M1092" s="171">
        <v>61.370000000000005</v>
      </c>
      <c r="N1092" s="171">
        <v>65.86</v>
      </c>
      <c r="O1092" s="171">
        <v>71.3</v>
      </c>
      <c r="P1092" s="171">
        <v>66.39</v>
      </c>
      <c r="Q1092" s="171">
        <v>62</v>
      </c>
      <c r="R1092" s="171">
        <v>57.07</v>
      </c>
      <c r="S1092" s="171">
        <v>53</v>
      </c>
      <c r="T1092" s="171">
        <v>53.1</v>
      </c>
      <c r="U1092" s="171">
        <v>53.6</v>
      </c>
      <c r="V1092" s="171">
        <v>51.870000000000005</v>
      </c>
      <c r="W1092" s="171">
        <v>48.5</v>
      </c>
      <c r="X1092" s="171">
        <v>48.870000000000005</v>
      </c>
      <c r="Y1092" s="171">
        <v>46.43</v>
      </c>
      <c r="Z1092" s="171">
        <v>48.61</v>
      </c>
      <c r="AA1092" s="171">
        <v>45.83</v>
      </c>
      <c r="AB1092" s="171">
        <v>71.3</v>
      </c>
      <c r="AC1092" s="171">
        <v>46.43</v>
      </c>
      <c r="AD1092" s="171">
        <v>42.550000000000004</v>
      </c>
      <c r="AF1092" s="171">
        <f t="shared" ref="AF1092:AF1155" si="53">YEAR(B1092)</f>
        <v>2010</v>
      </c>
      <c r="AG1092" s="171">
        <f t="shared" ref="AG1092:AG1155" si="54">COUNTIF(D1092:AA1092,"&lt;="&amp;$AH$1)</f>
        <v>5</v>
      </c>
      <c r="AH1092" s="700">
        <f>SUMIF(D$3:$AA1092,"&lt;="&amp;$AH$1)/COUNTIF(D$3:$AA1092,"&lt;="&amp;$AH$1)</f>
        <v>29.929509286234509</v>
      </c>
    </row>
    <row r="1093" spans="2:34" x14ac:dyDescent="0.25">
      <c r="B1093" s="910">
        <v>40357</v>
      </c>
      <c r="C1093" s="581">
        <f t="shared" si="52"/>
        <v>6</v>
      </c>
      <c r="D1093" s="171">
        <v>43.06</v>
      </c>
      <c r="E1093" s="171">
        <v>39</v>
      </c>
      <c r="F1093" s="171">
        <v>36.99</v>
      </c>
      <c r="G1093" s="171">
        <v>31.580000000000002</v>
      </c>
      <c r="H1093" s="171">
        <v>29</v>
      </c>
      <c r="I1093" s="171">
        <v>32.06</v>
      </c>
      <c r="J1093" s="171">
        <v>46.07</v>
      </c>
      <c r="K1093" s="171">
        <v>59.6</v>
      </c>
      <c r="L1093" s="171">
        <v>60.86</v>
      </c>
      <c r="M1093" s="171">
        <v>64.95</v>
      </c>
      <c r="N1093" s="171">
        <v>67.099999999999994</v>
      </c>
      <c r="O1093" s="171">
        <v>74.960000000000008</v>
      </c>
      <c r="P1093" s="171">
        <v>72.5</v>
      </c>
      <c r="Q1093" s="171">
        <v>69.41</v>
      </c>
      <c r="R1093" s="171">
        <v>68.040000000000006</v>
      </c>
      <c r="S1093" s="171">
        <v>63.2</v>
      </c>
      <c r="T1093" s="171">
        <v>60</v>
      </c>
      <c r="U1093" s="171">
        <v>59.5</v>
      </c>
      <c r="V1093" s="171">
        <v>57.660000000000004</v>
      </c>
      <c r="W1093" s="171">
        <v>55.5</v>
      </c>
      <c r="X1093" s="171">
        <v>53.95</v>
      </c>
      <c r="Y1093" s="171">
        <v>50.25</v>
      </c>
      <c r="Z1093" s="171">
        <v>53.03</v>
      </c>
      <c r="AA1093" s="171">
        <v>49.2</v>
      </c>
      <c r="AB1093" s="171">
        <v>74.960000000000008</v>
      </c>
      <c r="AC1093" s="171">
        <v>50.25</v>
      </c>
      <c r="AD1093" s="171">
        <v>43.65</v>
      </c>
      <c r="AF1093" s="171">
        <f t="shared" si="53"/>
        <v>2010</v>
      </c>
      <c r="AG1093" s="171">
        <f t="shared" si="54"/>
        <v>5</v>
      </c>
      <c r="AH1093" s="700">
        <f>SUMIF(D$3:$AA1093,"&lt;="&amp;$AH$1)/COUNTIF(D$3:$AA1093,"&lt;="&amp;$AH$1)</f>
        <v>29.931236691236681</v>
      </c>
    </row>
    <row r="1094" spans="2:34" x14ac:dyDescent="0.25">
      <c r="B1094" s="910">
        <v>40358</v>
      </c>
      <c r="C1094" s="581">
        <f t="shared" si="52"/>
        <v>6</v>
      </c>
      <c r="D1094" s="171">
        <v>43.65</v>
      </c>
      <c r="E1094" s="171">
        <v>38.5</v>
      </c>
      <c r="F1094" s="171">
        <v>36.5</v>
      </c>
      <c r="G1094" s="171">
        <v>34.020000000000003</v>
      </c>
      <c r="H1094" s="171">
        <v>34.020000000000003</v>
      </c>
      <c r="I1094" s="171">
        <v>36.96</v>
      </c>
      <c r="J1094" s="171">
        <v>41</v>
      </c>
      <c r="K1094" s="171">
        <v>53.64</v>
      </c>
      <c r="L1094" s="171">
        <v>60</v>
      </c>
      <c r="M1094" s="171">
        <v>61.19</v>
      </c>
      <c r="N1094" s="171">
        <v>65</v>
      </c>
      <c r="O1094" s="171">
        <v>72.25</v>
      </c>
      <c r="P1094" s="171">
        <v>69.63</v>
      </c>
      <c r="Q1094" s="171">
        <v>65</v>
      </c>
      <c r="R1094" s="171">
        <v>62.85</v>
      </c>
      <c r="S1094" s="171">
        <v>59</v>
      </c>
      <c r="T1094" s="171">
        <v>57.43</v>
      </c>
      <c r="U1094" s="171">
        <v>57.620000000000005</v>
      </c>
      <c r="V1094" s="171">
        <v>54.33</v>
      </c>
      <c r="W1094" s="171">
        <v>52.46</v>
      </c>
      <c r="X1094" s="171">
        <v>49.02</v>
      </c>
      <c r="Y1094" s="171">
        <v>46.01</v>
      </c>
      <c r="Z1094" s="171">
        <v>50</v>
      </c>
      <c r="AA1094" s="171">
        <v>45.81</v>
      </c>
      <c r="AB1094" s="171">
        <v>72.25</v>
      </c>
      <c r="AC1094" s="171">
        <v>46.01</v>
      </c>
      <c r="AD1094" s="171">
        <v>42.43</v>
      </c>
      <c r="AF1094" s="171">
        <f t="shared" si="53"/>
        <v>2010</v>
      </c>
      <c r="AG1094" s="171">
        <f t="shared" si="54"/>
        <v>6</v>
      </c>
      <c r="AH1094" s="700">
        <f>SUMIF(D$3:$AA1094,"&lt;="&amp;$AH$1)/COUNTIF(D$3:$AA1094,"&lt;="&amp;$AH$1)</f>
        <v>29.935003183265113</v>
      </c>
    </row>
    <row r="1095" spans="2:34" x14ac:dyDescent="0.25">
      <c r="B1095" s="910">
        <v>40359</v>
      </c>
      <c r="C1095" s="581">
        <f t="shared" si="52"/>
        <v>6</v>
      </c>
      <c r="D1095" s="171">
        <v>37.79</v>
      </c>
      <c r="E1095" s="171">
        <v>36.1</v>
      </c>
      <c r="F1095" s="171">
        <v>32.630000000000003</v>
      </c>
      <c r="G1095" s="171">
        <v>31.46</v>
      </c>
      <c r="H1095" s="171">
        <v>34.700000000000003</v>
      </c>
      <c r="I1095" s="171">
        <v>35.840000000000003</v>
      </c>
      <c r="J1095" s="171">
        <v>39.6</v>
      </c>
      <c r="K1095" s="171">
        <v>51.5</v>
      </c>
      <c r="L1095" s="171">
        <v>55.74</v>
      </c>
      <c r="M1095" s="171">
        <v>60.06</v>
      </c>
      <c r="N1095" s="171">
        <v>63.01</v>
      </c>
      <c r="O1095" s="171">
        <v>68.02</v>
      </c>
      <c r="P1095" s="171">
        <v>65</v>
      </c>
      <c r="Q1095" s="171">
        <v>64.17</v>
      </c>
      <c r="R1095" s="171">
        <v>62.5</v>
      </c>
      <c r="S1095" s="171">
        <v>57.5</v>
      </c>
      <c r="T1095" s="171">
        <v>56</v>
      </c>
      <c r="U1095" s="171">
        <v>55.76</v>
      </c>
      <c r="V1095" s="171">
        <v>53.17</v>
      </c>
      <c r="W1095" s="171">
        <v>49.03</v>
      </c>
      <c r="X1095" s="171">
        <v>48.63</v>
      </c>
      <c r="Y1095" s="171">
        <v>46.99</v>
      </c>
      <c r="Z1095" s="171">
        <v>48.54</v>
      </c>
      <c r="AA1095" s="171">
        <v>43.71</v>
      </c>
      <c r="AB1095" s="171">
        <v>68.02</v>
      </c>
      <c r="AC1095" s="171">
        <v>46.99</v>
      </c>
      <c r="AD1095" s="171">
        <v>40.619999999999997</v>
      </c>
      <c r="AF1095" s="171">
        <f t="shared" si="53"/>
        <v>2010</v>
      </c>
      <c r="AG1095" s="171">
        <f t="shared" si="54"/>
        <v>7</v>
      </c>
      <c r="AH1095" s="700">
        <f>SUMIF(D$3:$AA1095,"&lt;="&amp;$AH$1)/COUNTIF(D$3:$AA1095,"&lt;="&amp;$AH$1)</f>
        <v>29.938509361934187</v>
      </c>
    </row>
    <row r="1096" spans="2:34" x14ac:dyDescent="0.25">
      <c r="B1096" s="910">
        <v>40360</v>
      </c>
      <c r="C1096" s="581">
        <f t="shared" si="52"/>
        <v>7</v>
      </c>
      <c r="D1096" s="171">
        <v>42.79</v>
      </c>
      <c r="E1096" s="171">
        <v>40.090000000000003</v>
      </c>
      <c r="F1096" s="171">
        <v>36.300000000000004</v>
      </c>
      <c r="G1096" s="171">
        <v>35.1</v>
      </c>
      <c r="H1096" s="171">
        <v>35.46</v>
      </c>
      <c r="I1096" s="171">
        <v>36.94</v>
      </c>
      <c r="J1096" s="171">
        <v>43.12</v>
      </c>
      <c r="K1096" s="171">
        <v>53.25</v>
      </c>
      <c r="L1096" s="171">
        <v>57.38</v>
      </c>
      <c r="M1096" s="171">
        <v>58.77</v>
      </c>
      <c r="N1096" s="171">
        <v>61.9</v>
      </c>
      <c r="O1096" s="171">
        <v>72</v>
      </c>
      <c r="P1096" s="171">
        <v>66.25</v>
      </c>
      <c r="Q1096" s="171">
        <v>64.930000000000007</v>
      </c>
      <c r="R1096" s="171">
        <v>63.120000000000005</v>
      </c>
      <c r="S1096" s="171">
        <v>60.800000000000004</v>
      </c>
      <c r="T1096" s="171">
        <v>57.78</v>
      </c>
      <c r="U1096" s="171">
        <v>56.42</v>
      </c>
      <c r="V1096" s="171">
        <v>55.11</v>
      </c>
      <c r="W1096" s="171">
        <v>52.52</v>
      </c>
      <c r="X1096" s="171">
        <v>49.4</v>
      </c>
      <c r="Y1096" s="171">
        <v>47.27</v>
      </c>
      <c r="Z1096" s="171">
        <v>51</v>
      </c>
      <c r="AA1096" s="171">
        <v>45.1</v>
      </c>
      <c r="AB1096" s="171">
        <v>72</v>
      </c>
      <c r="AC1096" s="171">
        <v>47.27</v>
      </c>
      <c r="AD1096" s="171">
        <v>42.99</v>
      </c>
      <c r="AF1096" s="171">
        <f t="shared" si="53"/>
        <v>2010</v>
      </c>
      <c r="AG1096" s="171">
        <f t="shared" si="54"/>
        <v>5</v>
      </c>
      <c r="AH1096" s="700">
        <f>SUMIF(D$3:$AA1096,"&lt;="&amp;$AH$1)/COUNTIF(D$3:$AA1096,"&lt;="&amp;$AH$1)</f>
        <v>29.941616244208227</v>
      </c>
    </row>
    <row r="1097" spans="2:34" x14ac:dyDescent="0.25">
      <c r="B1097" s="910">
        <v>40361</v>
      </c>
      <c r="C1097" s="581">
        <f t="shared" si="52"/>
        <v>7</v>
      </c>
      <c r="D1097" s="171">
        <v>45</v>
      </c>
      <c r="E1097" s="171">
        <v>41.43</v>
      </c>
      <c r="F1097" s="171">
        <v>37.020000000000003</v>
      </c>
      <c r="G1097" s="171">
        <v>36.31</v>
      </c>
      <c r="H1097" s="171">
        <v>35.28</v>
      </c>
      <c r="I1097" s="171">
        <v>36.24</v>
      </c>
      <c r="J1097" s="171">
        <v>41.14</v>
      </c>
      <c r="K1097" s="171">
        <v>53.11</v>
      </c>
      <c r="L1097" s="171">
        <v>60.14</v>
      </c>
      <c r="M1097" s="171">
        <v>65.989999999999995</v>
      </c>
      <c r="N1097" s="171">
        <v>68.600000000000009</v>
      </c>
      <c r="O1097" s="171">
        <v>74.86</v>
      </c>
      <c r="P1097" s="171">
        <v>68.45</v>
      </c>
      <c r="Q1097" s="171">
        <v>66</v>
      </c>
      <c r="R1097" s="171">
        <v>63.95</v>
      </c>
      <c r="S1097" s="171">
        <v>61.480000000000004</v>
      </c>
      <c r="T1097" s="171">
        <v>58.01</v>
      </c>
      <c r="U1097" s="171">
        <v>54.6</v>
      </c>
      <c r="V1097" s="171">
        <v>54</v>
      </c>
      <c r="W1097" s="171">
        <v>50.5</v>
      </c>
      <c r="X1097" s="171">
        <v>48.95</v>
      </c>
      <c r="Y1097" s="171">
        <v>49.980000000000004</v>
      </c>
      <c r="Z1097" s="171">
        <v>55.02</v>
      </c>
      <c r="AA1097" s="171">
        <v>49.4</v>
      </c>
      <c r="AB1097" s="171">
        <v>74.86</v>
      </c>
      <c r="AC1097" s="171">
        <v>48.95</v>
      </c>
      <c r="AD1097" s="171">
        <v>44.07</v>
      </c>
      <c r="AF1097" s="171">
        <f t="shared" si="53"/>
        <v>2010</v>
      </c>
      <c r="AG1097" s="171">
        <f t="shared" si="54"/>
        <v>6</v>
      </c>
      <c r="AH1097" s="700">
        <f>SUMIF(D$3:$AA1097,"&lt;="&amp;$AH$1)/COUNTIF(D$3:$AA1097,"&lt;="&amp;$AH$1)</f>
        <v>29.945953872695902</v>
      </c>
    </row>
    <row r="1098" spans="2:34" x14ac:dyDescent="0.25">
      <c r="B1098" s="910">
        <v>40364</v>
      </c>
      <c r="C1098" s="581">
        <f t="shared" si="52"/>
        <v>7</v>
      </c>
      <c r="D1098" s="171">
        <v>42.15</v>
      </c>
      <c r="E1098" s="171">
        <v>38.54</v>
      </c>
      <c r="F1098" s="171">
        <v>34.93</v>
      </c>
      <c r="G1098" s="171">
        <v>31.91</v>
      </c>
      <c r="H1098" s="171">
        <v>27.88</v>
      </c>
      <c r="I1098" s="171">
        <v>31.560000000000002</v>
      </c>
      <c r="J1098" s="171">
        <v>39.49</v>
      </c>
      <c r="K1098" s="171">
        <v>52.120000000000005</v>
      </c>
      <c r="L1098" s="171">
        <v>56.19</v>
      </c>
      <c r="M1098" s="171">
        <v>58.660000000000004</v>
      </c>
      <c r="N1098" s="171">
        <v>63.42</v>
      </c>
      <c r="O1098" s="171">
        <v>68.25</v>
      </c>
      <c r="P1098" s="171">
        <v>65.84</v>
      </c>
      <c r="Q1098" s="171">
        <v>63.7</v>
      </c>
      <c r="R1098" s="171">
        <v>63.910000000000004</v>
      </c>
      <c r="S1098" s="171">
        <v>60.32</v>
      </c>
      <c r="T1098" s="171">
        <v>58.120000000000005</v>
      </c>
      <c r="U1098" s="171">
        <v>53.730000000000004</v>
      </c>
      <c r="V1098" s="171">
        <v>52.02</v>
      </c>
      <c r="W1098" s="171">
        <v>48.800000000000004</v>
      </c>
      <c r="X1098" s="171">
        <v>47.12</v>
      </c>
      <c r="Y1098" s="171">
        <v>43.93</v>
      </c>
      <c r="Z1098" s="171">
        <v>47.870000000000005</v>
      </c>
      <c r="AA1098" s="171">
        <v>42.980000000000004</v>
      </c>
      <c r="AB1098" s="171">
        <v>68.25</v>
      </c>
      <c r="AC1098" s="171">
        <v>43.93</v>
      </c>
      <c r="AD1098" s="171">
        <v>40.04</v>
      </c>
      <c r="AF1098" s="171">
        <f t="shared" si="53"/>
        <v>2010</v>
      </c>
      <c r="AG1098" s="171">
        <f t="shared" si="54"/>
        <v>7</v>
      </c>
      <c r="AH1098" s="700">
        <f>SUMIF(D$3:$AA1098,"&lt;="&amp;$AH$1)/COUNTIF(D$3:$AA1098,"&lt;="&amp;$AH$1)</f>
        <v>29.949296733212336</v>
      </c>
    </row>
    <row r="1099" spans="2:34" x14ac:dyDescent="0.25">
      <c r="B1099" s="910">
        <v>40365</v>
      </c>
      <c r="C1099" s="581">
        <f t="shared" si="52"/>
        <v>7</v>
      </c>
      <c r="D1099" s="171">
        <v>41.81</v>
      </c>
      <c r="E1099" s="171">
        <v>41</v>
      </c>
      <c r="F1099" s="171">
        <v>36.450000000000003</v>
      </c>
      <c r="G1099" s="171">
        <v>32.82</v>
      </c>
      <c r="H1099" s="171">
        <v>31.6</v>
      </c>
      <c r="I1099" s="171">
        <v>34.950000000000003</v>
      </c>
      <c r="J1099" s="171">
        <v>39.520000000000003</v>
      </c>
      <c r="K1099" s="171">
        <v>51.14</v>
      </c>
      <c r="L1099" s="171">
        <v>53.34</v>
      </c>
      <c r="M1099" s="171">
        <v>57</v>
      </c>
      <c r="N1099" s="171">
        <v>60.47</v>
      </c>
      <c r="O1099" s="171">
        <v>64</v>
      </c>
      <c r="P1099" s="171">
        <v>60.300000000000004</v>
      </c>
      <c r="Q1099" s="171">
        <v>58.51</v>
      </c>
      <c r="R1099" s="171">
        <v>56.4</v>
      </c>
      <c r="S1099" s="171">
        <v>54.370000000000005</v>
      </c>
      <c r="T1099" s="171">
        <v>53.69</v>
      </c>
      <c r="U1099" s="171">
        <v>51.18</v>
      </c>
      <c r="V1099" s="171">
        <v>51.27</v>
      </c>
      <c r="W1099" s="171">
        <v>50</v>
      </c>
      <c r="X1099" s="171">
        <v>50.61</v>
      </c>
      <c r="Y1099" s="171">
        <v>48.5</v>
      </c>
      <c r="Z1099" s="171">
        <v>50.53</v>
      </c>
      <c r="AA1099" s="171">
        <v>44.89</v>
      </c>
      <c r="AB1099" s="171">
        <v>64</v>
      </c>
      <c r="AC1099" s="171">
        <v>48.5</v>
      </c>
      <c r="AD1099" s="171">
        <v>41.99</v>
      </c>
      <c r="AF1099" s="171">
        <f t="shared" si="53"/>
        <v>2010</v>
      </c>
      <c r="AG1099" s="171">
        <f t="shared" si="54"/>
        <v>7</v>
      </c>
      <c r="AH1099" s="700">
        <f>SUMIF(D$3:$AA1099,"&lt;="&amp;$AH$1)/COUNTIF(D$3:$AA1099,"&lt;="&amp;$AH$1)</f>
        <v>29.953695474743807</v>
      </c>
    </row>
    <row r="1100" spans="2:34" x14ac:dyDescent="0.25">
      <c r="B1100" s="910">
        <v>40366</v>
      </c>
      <c r="C1100" s="581">
        <f t="shared" si="52"/>
        <v>7</v>
      </c>
      <c r="D1100" s="171">
        <v>41.11</v>
      </c>
      <c r="E1100" s="171">
        <v>38.35</v>
      </c>
      <c r="F1100" s="171">
        <v>34.380000000000003</v>
      </c>
      <c r="G1100" s="171">
        <v>32.58</v>
      </c>
      <c r="H1100" s="171">
        <v>33.799999999999997</v>
      </c>
      <c r="I1100" s="171">
        <v>34.300000000000004</v>
      </c>
      <c r="J1100" s="171">
        <v>40</v>
      </c>
      <c r="K1100" s="171">
        <v>47.9</v>
      </c>
      <c r="L1100" s="171">
        <v>54</v>
      </c>
      <c r="M1100" s="171">
        <v>56.9</v>
      </c>
      <c r="N1100" s="171">
        <v>62.5</v>
      </c>
      <c r="O1100" s="171">
        <v>64.19</v>
      </c>
      <c r="P1100" s="171">
        <v>63.18</v>
      </c>
      <c r="Q1100" s="171">
        <v>60.870000000000005</v>
      </c>
      <c r="R1100" s="171">
        <v>60</v>
      </c>
      <c r="S1100" s="171">
        <v>56.980000000000004</v>
      </c>
      <c r="T1100" s="171">
        <v>58.45</v>
      </c>
      <c r="U1100" s="171">
        <v>56.18</v>
      </c>
      <c r="V1100" s="171">
        <v>55</v>
      </c>
      <c r="W1100" s="171">
        <v>54</v>
      </c>
      <c r="X1100" s="171">
        <v>50</v>
      </c>
      <c r="Y1100" s="171">
        <v>48.79</v>
      </c>
      <c r="Z1100" s="171">
        <v>50.25</v>
      </c>
      <c r="AA1100" s="171">
        <v>45</v>
      </c>
      <c r="AB1100" s="171">
        <v>64.19</v>
      </c>
      <c r="AC1100" s="171">
        <v>47.9</v>
      </c>
      <c r="AD1100" s="171">
        <v>41.37</v>
      </c>
      <c r="AF1100" s="171">
        <f t="shared" si="53"/>
        <v>2010</v>
      </c>
      <c r="AG1100" s="171">
        <f t="shared" si="54"/>
        <v>7</v>
      </c>
      <c r="AH1100" s="700">
        <f>SUMIF(D$3:$AA1100,"&lt;="&amp;$AH$1)/COUNTIF(D$3:$AA1100,"&lt;="&amp;$AH$1)</f>
        <v>29.957759651984766</v>
      </c>
    </row>
    <row r="1101" spans="2:34" x14ac:dyDescent="0.25">
      <c r="B1101" s="910">
        <v>40367</v>
      </c>
      <c r="C1101" s="581">
        <f t="shared" si="52"/>
        <v>7</v>
      </c>
      <c r="D1101" s="171">
        <v>42.58</v>
      </c>
      <c r="E1101" s="171">
        <v>38.910000000000004</v>
      </c>
      <c r="F1101" s="171">
        <v>36.6</v>
      </c>
      <c r="G1101" s="171">
        <v>33.49</v>
      </c>
      <c r="H1101" s="171">
        <v>36.270000000000003</v>
      </c>
      <c r="I1101" s="171">
        <v>37.6</v>
      </c>
      <c r="J1101" s="171">
        <v>46</v>
      </c>
      <c r="K1101" s="171">
        <v>54.71</v>
      </c>
      <c r="L1101" s="171">
        <v>59.75</v>
      </c>
      <c r="M1101" s="171">
        <v>62.25</v>
      </c>
      <c r="N1101" s="171">
        <v>64.64</v>
      </c>
      <c r="O1101" s="171">
        <v>67</v>
      </c>
      <c r="P1101" s="171">
        <v>64.5</v>
      </c>
      <c r="Q1101" s="171">
        <v>63</v>
      </c>
      <c r="R1101" s="171">
        <v>63.4</v>
      </c>
      <c r="S1101" s="171">
        <v>60.71</v>
      </c>
      <c r="T1101" s="171">
        <v>60</v>
      </c>
      <c r="U1101" s="171">
        <v>59.46</v>
      </c>
      <c r="V1101" s="171">
        <v>57.6</v>
      </c>
      <c r="W1101" s="171">
        <v>54</v>
      </c>
      <c r="X1101" s="171">
        <v>52.03</v>
      </c>
      <c r="Y1101" s="171">
        <v>49.71</v>
      </c>
      <c r="Z1101" s="171">
        <v>53.5</v>
      </c>
      <c r="AA1101" s="171">
        <v>46.800000000000004</v>
      </c>
      <c r="AB1101" s="171">
        <v>67</v>
      </c>
      <c r="AC1101" s="171">
        <v>49.71</v>
      </c>
      <c r="AD1101" s="171">
        <v>44.02</v>
      </c>
      <c r="AF1101" s="171">
        <f t="shared" si="53"/>
        <v>2010</v>
      </c>
      <c r="AG1101" s="171">
        <f t="shared" si="54"/>
        <v>5</v>
      </c>
      <c r="AH1101" s="700">
        <f>SUMIF(D$3:$AA1101,"&lt;="&amp;$AH$1)/COUNTIF(D$3:$AA1101,"&lt;="&amp;$AH$1)</f>
        <v>29.960756409095016</v>
      </c>
    </row>
    <row r="1102" spans="2:34" x14ac:dyDescent="0.25">
      <c r="B1102" s="910">
        <v>40368</v>
      </c>
      <c r="C1102" s="581">
        <f t="shared" si="52"/>
        <v>7</v>
      </c>
      <c r="D1102" s="171">
        <v>46.54</v>
      </c>
      <c r="E1102" s="171">
        <v>42.800000000000004</v>
      </c>
      <c r="F1102" s="171">
        <v>39.910000000000004</v>
      </c>
      <c r="G1102" s="171">
        <v>36.79</v>
      </c>
      <c r="H1102" s="171">
        <v>36.5</v>
      </c>
      <c r="I1102" s="171">
        <v>39.22</v>
      </c>
      <c r="J1102" s="171">
        <v>44.39</v>
      </c>
      <c r="K1102" s="171">
        <v>55</v>
      </c>
      <c r="L1102" s="171">
        <v>60.44</v>
      </c>
      <c r="M1102" s="171">
        <v>63.99</v>
      </c>
      <c r="N1102" s="171">
        <v>68.47</v>
      </c>
      <c r="O1102" s="171">
        <v>72.14</v>
      </c>
      <c r="P1102" s="171">
        <v>70.11</v>
      </c>
      <c r="Q1102" s="171">
        <v>67.010000000000005</v>
      </c>
      <c r="R1102" s="171">
        <v>67</v>
      </c>
      <c r="S1102" s="171">
        <v>63.11</v>
      </c>
      <c r="T1102" s="171">
        <v>59.620000000000005</v>
      </c>
      <c r="U1102" s="171">
        <v>57.9</v>
      </c>
      <c r="V1102" s="171">
        <v>56.44</v>
      </c>
      <c r="W1102" s="171">
        <v>53.54</v>
      </c>
      <c r="X1102" s="171">
        <v>50.910000000000004</v>
      </c>
      <c r="Y1102" s="171">
        <v>50.92</v>
      </c>
      <c r="Z1102" s="171">
        <v>53.63</v>
      </c>
      <c r="AA1102" s="171">
        <v>47.01</v>
      </c>
      <c r="AB1102" s="171">
        <v>72.14</v>
      </c>
      <c r="AC1102" s="171">
        <v>50.910000000000004</v>
      </c>
      <c r="AD1102" s="171">
        <v>45.300000000000004</v>
      </c>
      <c r="AF1102" s="171">
        <f t="shared" si="53"/>
        <v>2010</v>
      </c>
      <c r="AG1102" s="171">
        <f t="shared" si="54"/>
        <v>4</v>
      </c>
      <c r="AH1102" s="700">
        <f>SUMIF(D$3:$AA1102,"&lt;="&amp;$AH$1)/COUNTIF(D$3:$AA1102,"&lt;="&amp;$AH$1)</f>
        <v>29.963706420356768</v>
      </c>
    </row>
    <row r="1103" spans="2:34" x14ac:dyDescent="0.25">
      <c r="B1103" s="910">
        <v>40371</v>
      </c>
      <c r="C1103" s="581">
        <f t="shared" si="52"/>
        <v>7</v>
      </c>
      <c r="D1103" s="171">
        <v>46.27</v>
      </c>
      <c r="E1103" s="171">
        <v>43.03</v>
      </c>
      <c r="F1103" s="171">
        <v>38.869999999999997</v>
      </c>
      <c r="G1103" s="171">
        <v>34.03</v>
      </c>
      <c r="H1103" s="171">
        <v>32.53</v>
      </c>
      <c r="I1103" s="171">
        <v>34.9</v>
      </c>
      <c r="J1103" s="171">
        <v>43</v>
      </c>
      <c r="K1103" s="171">
        <v>55.7</v>
      </c>
      <c r="L1103" s="171">
        <v>64</v>
      </c>
      <c r="M1103" s="171">
        <v>69.33</v>
      </c>
      <c r="N1103" s="171">
        <v>76.91</v>
      </c>
      <c r="O1103" s="171">
        <v>87.87</v>
      </c>
      <c r="P1103" s="171">
        <v>77.75</v>
      </c>
      <c r="Q1103" s="171">
        <v>76.210000000000008</v>
      </c>
      <c r="R1103" s="171">
        <v>78.180000000000007</v>
      </c>
      <c r="S1103" s="171">
        <v>74.260000000000005</v>
      </c>
      <c r="T1103" s="171">
        <v>71.11</v>
      </c>
      <c r="U1103" s="171">
        <v>66.260000000000005</v>
      </c>
      <c r="V1103" s="171">
        <v>64.760000000000005</v>
      </c>
      <c r="W1103" s="171">
        <v>57.61</v>
      </c>
      <c r="X1103" s="171">
        <v>52.09</v>
      </c>
      <c r="Y1103" s="171">
        <v>50</v>
      </c>
      <c r="Z1103" s="171">
        <v>56.46</v>
      </c>
      <c r="AA1103" s="171">
        <v>48.69</v>
      </c>
      <c r="AB1103" s="171">
        <v>87.87</v>
      </c>
      <c r="AC1103" s="171">
        <v>50</v>
      </c>
      <c r="AD1103" s="171">
        <v>44.63</v>
      </c>
      <c r="AF1103" s="171">
        <f t="shared" si="53"/>
        <v>2010</v>
      </c>
      <c r="AG1103" s="171">
        <f t="shared" si="54"/>
        <v>4</v>
      </c>
      <c r="AH1103" s="700">
        <f>SUMIF(D$3:$AA1103,"&lt;="&amp;$AH$1)/COUNTIF(D$3:$AA1103,"&lt;="&amp;$AH$1)</f>
        <v>29.965559880510533</v>
      </c>
    </row>
    <row r="1104" spans="2:34" x14ac:dyDescent="0.25">
      <c r="B1104" s="910">
        <v>40372</v>
      </c>
      <c r="C1104" s="581">
        <f t="shared" si="52"/>
        <v>7</v>
      </c>
      <c r="D1104" s="171">
        <v>42.11</v>
      </c>
      <c r="E1104" s="171">
        <v>39.9</v>
      </c>
      <c r="F1104" s="171">
        <v>36.950000000000003</v>
      </c>
      <c r="G1104" s="171">
        <v>35</v>
      </c>
      <c r="H1104" s="171">
        <v>36.630000000000003</v>
      </c>
      <c r="I1104" s="171">
        <v>37.6</v>
      </c>
      <c r="J1104" s="171">
        <v>43.44</v>
      </c>
      <c r="K1104" s="171">
        <v>50.04</v>
      </c>
      <c r="L1104" s="171">
        <v>60.39</v>
      </c>
      <c r="M1104" s="171">
        <v>62</v>
      </c>
      <c r="N1104" s="171">
        <v>67.14</v>
      </c>
      <c r="O1104" s="171">
        <v>74.34</v>
      </c>
      <c r="P1104" s="171">
        <v>69.67</v>
      </c>
      <c r="Q1104" s="171">
        <v>67.33</v>
      </c>
      <c r="R1104" s="171">
        <v>68.75</v>
      </c>
      <c r="S1104" s="171">
        <v>66.19</v>
      </c>
      <c r="T1104" s="171">
        <v>63.550000000000004</v>
      </c>
      <c r="U1104" s="171">
        <v>61.410000000000004</v>
      </c>
      <c r="V1104" s="171">
        <v>60.82</v>
      </c>
      <c r="W1104" s="171">
        <v>56.07</v>
      </c>
      <c r="X1104" s="171">
        <v>51.06</v>
      </c>
      <c r="Y1104" s="171">
        <v>49.29</v>
      </c>
      <c r="Z1104" s="171">
        <v>51.800000000000004</v>
      </c>
      <c r="AA1104" s="171">
        <v>47.050000000000004</v>
      </c>
      <c r="AB1104" s="171">
        <v>74.34</v>
      </c>
      <c r="AC1104" s="171">
        <v>49.29</v>
      </c>
      <c r="AD1104" s="171">
        <v>43.410000000000004</v>
      </c>
      <c r="AF1104" s="171">
        <f t="shared" si="53"/>
        <v>2010</v>
      </c>
      <c r="AG1104" s="171">
        <f t="shared" si="54"/>
        <v>6</v>
      </c>
      <c r="AH1104" s="700">
        <f>SUMIF(D$3:$AA1104,"&lt;="&amp;$AH$1)/COUNTIF(D$3:$AA1104,"&lt;="&amp;$AH$1)</f>
        <v>29.96993847824119</v>
      </c>
    </row>
    <row r="1105" spans="2:34" x14ac:dyDescent="0.25">
      <c r="B1105" s="910">
        <v>40373</v>
      </c>
      <c r="C1105" s="581">
        <f t="shared" si="52"/>
        <v>7</v>
      </c>
      <c r="D1105" s="171">
        <v>42.6</v>
      </c>
      <c r="E1105" s="171">
        <v>41.15</v>
      </c>
      <c r="F1105" s="171">
        <v>37.160000000000004</v>
      </c>
      <c r="G1105" s="171">
        <v>33.03</v>
      </c>
      <c r="H1105" s="171">
        <v>33.21</v>
      </c>
      <c r="I1105" s="171">
        <v>36.54</v>
      </c>
      <c r="J1105" s="171">
        <v>42</v>
      </c>
      <c r="K1105" s="171">
        <v>49.92</v>
      </c>
      <c r="L1105" s="171">
        <v>53.4</v>
      </c>
      <c r="M1105" s="171">
        <v>58</v>
      </c>
      <c r="N1105" s="171">
        <v>61</v>
      </c>
      <c r="O1105" s="171">
        <v>64.44</v>
      </c>
      <c r="P1105" s="171">
        <v>64.12</v>
      </c>
      <c r="Q1105" s="171">
        <v>62.56</v>
      </c>
      <c r="R1105" s="171">
        <v>59</v>
      </c>
      <c r="S1105" s="171">
        <v>59.49</v>
      </c>
      <c r="T1105" s="171">
        <v>56.36</v>
      </c>
      <c r="U1105" s="171">
        <v>55.13</v>
      </c>
      <c r="V1105" s="171">
        <v>52.95</v>
      </c>
      <c r="W1105" s="171">
        <v>50.54</v>
      </c>
      <c r="X1105" s="171">
        <v>48.95</v>
      </c>
      <c r="Y1105" s="171">
        <v>47.59</v>
      </c>
      <c r="Z1105" s="171">
        <v>53.28</v>
      </c>
      <c r="AA1105" s="171">
        <v>47.46</v>
      </c>
      <c r="AB1105" s="171">
        <v>64.44</v>
      </c>
      <c r="AC1105" s="171">
        <v>47.59</v>
      </c>
      <c r="AD1105" s="171">
        <v>42.74</v>
      </c>
      <c r="AF1105" s="171">
        <f t="shared" si="53"/>
        <v>2010</v>
      </c>
      <c r="AG1105" s="171">
        <f t="shared" si="54"/>
        <v>6</v>
      </c>
      <c r="AH1105" s="700">
        <f>SUMIF(D$3:$AA1105,"&lt;="&amp;$AH$1)/COUNTIF(D$3:$AA1105,"&lt;="&amp;$AH$1)</f>
        <v>29.973851161949533</v>
      </c>
    </row>
    <row r="1106" spans="2:34" x14ac:dyDescent="0.25">
      <c r="B1106" s="910">
        <v>40374</v>
      </c>
      <c r="C1106" s="581">
        <f t="shared" si="52"/>
        <v>7</v>
      </c>
      <c r="D1106" s="171">
        <v>41.9</v>
      </c>
      <c r="E1106" s="171">
        <v>38.92</v>
      </c>
      <c r="F1106" s="171">
        <v>32.5</v>
      </c>
      <c r="G1106" s="171">
        <v>29.8</v>
      </c>
      <c r="H1106" s="171">
        <v>30.28</v>
      </c>
      <c r="I1106" s="171">
        <v>36.950000000000003</v>
      </c>
      <c r="J1106" s="171">
        <v>42.300000000000004</v>
      </c>
      <c r="K1106" s="171">
        <v>50.07</v>
      </c>
      <c r="L1106" s="171">
        <v>54.96</v>
      </c>
      <c r="M1106" s="171">
        <v>60.29</v>
      </c>
      <c r="N1106" s="171">
        <v>63.99</v>
      </c>
      <c r="O1106" s="171">
        <v>68.52</v>
      </c>
      <c r="P1106" s="171">
        <v>66.8</v>
      </c>
      <c r="Q1106" s="171">
        <v>64.2</v>
      </c>
      <c r="R1106" s="171">
        <v>63.4</v>
      </c>
      <c r="S1106" s="171">
        <v>63</v>
      </c>
      <c r="T1106" s="171">
        <v>61.19</v>
      </c>
      <c r="U1106" s="171">
        <v>60.04</v>
      </c>
      <c r="V1106" s="171">
        <v>57.33</v>
      </c>
      <c r="W1106" s="171">
        <v>53.67</v>
      </c>
      <c r="X1106" s="171">
        <v>50.92</v>
      </c>
      <c r="Y1106" s="171">
        <v>49.870000000000005</v>
      </c>
      <c r="Z1106" s="171">
        <v>52.99</v>
      </c>
      <c r="AA1106" s="171">
        <v>46.02</v>
      </c>
      <c r="AB1106" s="171">
        <v>68.52</v>
      </c>
      <c r="AC1106" s="171">
        <v>49.870000000000005</v>
      </c>
      <c r="AD1106" s="171">
        <v>41.88</v>
      </c>
      <c r="AF1106" s="171">
        <f t="shared" si="53"/>
        <v>2010</v>
      </c>
      <c r="AG1106" s="171">
        <f t="shared" si="54"/>
        <v>7</v>
      </c>
      <c r="AH1106" s="700">
        <f>SUMIF(D$3:$AA1106,"&lt;="&amp;$AH$1)/COUNTIF(D$3:$AA1106,"&lt;="&amp;$AH$1)</f>
        <v>29.977721850713891</v>
      </c>
    </row>
    <row r="1107" spans="2:34" x14ac:dyDescent="0.25">
      <c r="B1107" s="910">
        <v>40375</v>
      </c>
      <c r="C1107" s="581">
        <f t="shared" si="52"/>
        <v>7</v>
      </c>
      <c r="D1107" s="171">
        <v>43.39</v>
      </c>
      <c r="E1107" s="171">
        <v>40</v>
      </c>
      <c r="F1107" s="171">
        <v>37.57</v>
      </c>
      <c r="G1107" s="171">
        <v>34.94</v>
      </c>
      <c r="H1107" s="171">
        <v>34.99</v>
      </c>
      <c r="I1107" s="171">
        <v>36.15</v>
      </c>
      <c r="J1107" s="171">
        <v>42.24</v>
      </c>
      <c r="K1107" s="171">
        <v>52.620000000000005</v>
      </c>
      <c r="L1107" s="171">
        <v>54.2</v>
      </c>
      <c r="M1107" s="171">
        <v>61.36</v>
      </c>
      <c r="N1107" s="171">
        <v>64.400000000000006</v>
      </c>
      <c r="O1107" s="171">
        <v>67</v>
      </c>
      <c r="P1107" s="171">
        <v>64.989999999999995</v>
      </c>
      <c r="Q1107" s="171">
        <v>60</v>
      </c>
      <c r="R1107" s="171">
        <v>59.1</v>
      </c>
      <c r="S1107" s="171">
        <v>57.17</v>
      </c>
      <c r="T1107" s="171">
        <v>54.980000000000004</v>
      </c>
      <c r="U1107" s="171">
        <v>55.13</v>
      </c>
      <c r="V1107" s="171">
        <v>55.19</v>
      </c>
      <c r="W1107" s="171">
        <v>51.51</v>
      </c>
      <c r="X1107" s="171">
        <v>48.93</v>
      </c>
      <c r="Y1107" s="171">
        <v>47.300000000000004</v>
      </c>
      <c r="Z1107" s="171">
        <v>51.4</v>
      </c>
      <c r="AA1107" s="171">
        <v>46</v>
      </c>
      <c r="AB1107" s="171">
        <v>67</v>
      </c>
      <c r="AC1107" s="171">
        <v>47.300000000000004</v>
      </c>
      <c r="AD1107" s="171">
        <v>42.96</v>
      </c>
      <c r="AF1107" s="171">
        <f t="shared" si="53"/>
        <v>2010</v>
      </c>
      <c r="AG1107" s="171">
        <f t="shared" si="54"/>
        <v>6</v>
      </c>
      <c r="AH1107" s="700">
        <f>SUMIF(D$3:$AA1107,"&lt;="&amp;$AH$1)/COUNTIF(D$3:$AA1107,"&lt;="&amp;$AH$1)</f>
        <v>29.981878612716756</v>
      </c>
    </row>
    <row r="1108" spans="2:34" x14ac:dyDescent="0.25">
      <c r="B1108" s="910">
        <v>40378</v>
      </c>
      <c r="C1108" s="581">
        <f t="shared" si="52"/>
        <v>7</v>
      </c>
      <c r="D1108" s="171">
        <v>43</v>
      </c>
      <c r="E1108" s="171">
        <v>37.04</v>
      </c>
      <c r="F1108" s="171">
        <v>34.910000000000004</v>
      </c>
      <c r="G1108" s="171">
        <v>32.090000000000003</v>
      </c>
      <c r="H1108" s="171">
        <v>30.5</v>
      </c>
      <c r="I1108" s="171">
        <v>30</v>
      </c>
      <c r="J1108" s="171">
        <v>35.67</v>
      </c>
      <c r="K1108" s="171">
        <v>48</v>
      </c>
      <c r="L1108" s="171">
        <v>51.77</v>
      </c>
      <c r="M1108" s="171">
        <v>56.7</v>
      </c>
      <c r="N1108" s="171">
        <v>59.21</v>
      </c>
      <c r="O1108" s="171">
        <v>63.96</v>
      </c>
      <c r="P1108" s="171">
        <v>60.09</v>
      </c>
      <c r="Q1108" s="171">
        <v>59.31</v>
      </c>
      <c r="R1108" s="171">
        <v>59.11</v>
      </c>
      <c r="S1108" s="171">
        <v>58</v>
      </c>
      <c r="T1108" s="171">
        <v>55.300000000000004</v>
      </c>
      <c r="U1108" s="171">
        <v>54.09</v>
      </c>
      <c r="V1108" s="171">
        <v>53.4</v>
      </c>
      <c r="W1108" s="171">
        <v>50.28</v>
      </c>
      <c r="X1108" s="171">
        <v>48</v>
      </c>
      <c r="Y1108" s="171">
        <v>47.42</v>
      </c>
      <c r="Z1108" s="171">
        <v>47.93</v>
      </c>
      <c r="AA1108" s="171">
        <v>41.01</v>
      </c>
      <c r="AB1108" s="171">
        <v>63.96</v>
      </c>
      <c r="AC1108" s="171">
        <v>47.42</v>
      </c>
      <c r="AD1108" s="171">
        <v>39.630000000000003</v>
      </c>
      <c r="AF1108" s="171">
        <f t="shared" si="53"/>
        <v>2010</v>
      </c>
      <c r="AG1108" s="171">
        <f t="shared" si="54"/>
        <v>7</v>
      </c>
      <c r="AH1108" s="700">
        <f>SUMIF(D$3:$AA1108,"&lt;="&amp;$AH$1)/COUNTIF(D$3:$AA1108,"&lt;="&amp;$AH$1)</f>
        <v>29.98470800613773</v>
      </c>
    </row>
    <row r="1109" spans="2:34" x14ac:dyDescent="0.25">
      <c r="B1109" s="910">
        <v>40379</v>
      </c>
      <c r="C1109" s="581">
        <f t="shared" si="52"/>
        <v>7</v>
      </c>
      <c r="D1109" s="171">
        <v>40.9</v>
      </c>
      <c r="E1109" s="171">
        <v>38.5</v>
      </c>
      <c r="F1109" s="171">
        <v>36</v>
      </c>
      <c r="G1109" s="171">
        <v>34.15</v>
      </c>
      <c r="H1109" s="171">
        <v>34.700000000000003</v>
      </c>
      <c r="I1109" s="171">
        <v>38.1</v>
      </c>
      <c r="J1109" s="171">
        <v>43.9</v>
      </c>
      <c r="K1109" s="171">
        <v>47</v>
      </c>
      <c r="L1109" s="171">
        <v>50.57</v>
      </c>
      <c r="M1109" s="171">
        <v>56.800000000000004</v>
      </c>
      <c r="N1109" s="171">
        <v>59.31</v>
      </c>
      <c r="O1109" s="171">
        <v>63.76</v>
      </c>
      <c r="P1109" s="171">
        <v>62.01</v>
      </c>
      <c r="Q1109" s="171">
        <v>61.36</v>
      </c>
      <c r="R1109" s="171">
        <v>60.78</v>
      </c>
      <c r="S1109" s="171">
        <v>58.480000000000004</v>
      </c>
      <c r="T1109" s="171">
        <v>55.25</v>
      </c>
      <c r="U1109" s="171">
        <v>55.28</v>
      </c>
      <c r="V1109" s="171">
        <v>54.5</v>
      </c>
      <c r="W1109" s="171">
        <v>52.01</v>
      </c>
      <c r="X1109" s="171">
        <v>47.83</v>
      </c>
      <c r="Y1109" s="171">
        <v>47.1</v>
      </c>
      <c r="Z1109" s="171">
        <v>51.5</v>
      </c>
      <c r="AA1109" s="171">
        <v>45.75</v>
      </c>
      <c r="AB1109" s="171">
        <v>63.76</v>
      </c>
      <c r="AC1109" s="171">
        <v>47</v>
      </c>
      <c r="AD1109" s="171">
        <v>42.12</v>
      </c>
      <c r="AF1109" s="171">
        <f t="shared" si="53"/>
        <v>2010</v>
      </c>
      <c r="AG1109" s="171">
        <f t="shared" si="54"/>
        <v>6</v>
      </c>
      <c r="AH1109" s="700">
        <f>SUMIF(D$3:$AA1109,"&lt;="&amp;$AH$1)/COUNTIF(D$3:$AA1109,"&lt;="&amp;$AH$1)</f>
        <v>29.988536761389259</v>
      </c>
    </row>
    <row r="1110" spans="2:34" x14ac:dyDescent="0.25">
      <c r="B1110" s="910">
        <v>40380</v>
      </c>
      <c r="C1110" s="581">
        <f t="shared" si="52"/>
        <v>7</v>
      </c>
      <c r="D1110" s="171">
        <v>42.410000000000004</v>
      </c>
      <c r="E1110" s="171">
        <v>39.32</v>
      </c>
      <c r="F1110" s="171">
        <v>37.090000000000003</v>
      </c>
      <c r="G1110" s="171">
        <v>37.520000000000003</v>
      </c>
      <c r="H1110" s="171">
        <v>37</v>
      </c>
      <c r="I1110" s="171">
        <v>38.76</v>
      </c>
      <c r="J1110" s="171">
        <v>43.01</v>
      </c>
      <c r="K1110" s="171">
        <v>46.67</v>
      </c>
      <c r="L1110" s="171">
        <v>49</v>
      </c>
      <c r="M1110" s="171">
        <v>54.4</v>
      </c>
      <c r="N1110" s="171">
        <v>57.44</v>
      </c>
      <c r="O1110" s="171">
        <v>61.050000000000004</v>
      </c>
      <c r="P1110" s="171">
        <v>60.08</v>
      </c>
      <c r="Q1110" s="171">
        <v>59.31</v>
      </c>
      <c r="R1110" s="171">
        <v>56.77</v>
      </c>
      <c r="S1110" s="171">
        <v>55.81</v>
      </c>
      <c r="T1110" s="171">
        <v>53</v>
      </c>
      <c r="U1110" s="171">
        <v>55</v>
      </c>
      <c r="V1110" s="171">
        <v>53.72</v>
      </c>
      <c r="W1110" s="171">
        <v>51</v>
      </c>
      <c r="X1110" s="171">
        <v>49</v>
      </c>
      <c r="Y1110" s="171">
        <v>48.26</v>
      </c>
      <c r="Z1110" s="171">
        <v>50.2</v>
      </c>
      <c r="AA1110" s="171">
        <v>46</v>
      </c>
      <c r="AB1110" s="171">
        <v>61.050000000000004</v>
      </c>
      <c r="AC1110" s="171">
        <v>46.67</v>
      </c>
      <c r="AD1110" s="171">
        <v>42.94</v>
      </c>
      <c r="AF1110" s="171">
        <f t="shared" si="53"/>
        <v>2010</v>
      </c>
      <c r="AG1110" s="171">
        <f t="shared" si="54"/>
        <v>6</v>
      </c>
      <c r="AH1110" s="700">
        <f>SUMIF(D$3:$AA1110,"&lt;="&amp;$AH$1)/COUNTIF(D$3:$AA1110,"&lt;="&amp;$AH$1)</f>
        <v>29.993240465242085</v>
      </c>
    </row>
    <row r="1111" spans="2:34" x14ac:dyDescent="0.25">
      <c r="B1111" s="910">
        <v>40381</v>
      </c>
      <c r="C1111" s="581">
        <f t="shared" si="52"/>
        <v>7</v>
      </c>
      <c r="D1111" s="171">
        <v>42.59</v>
      </c>
      <c r="E1111" s="171">
        <v>40</v>
      </c>
      <c r="F1111" s="171">
        <v>37.300000000000004</v>
      </c>
      <c r="G1111" s="171">
        <v>35.1</v>
      </c>
      <c r="H1111" s="171">
        <v>34.58</v>
      </c>
      <c r="I1111" s="171">
        <v>36.86</v>
      </c>
      <c r="J1111" s="171">
        <v>43</v>
      </c>
      <c r="K1111" s="171">
        <v>48.980000000000004</v>
      </c>
      <c r="L1111" s="171">
        <v>52.54</v>
      </c>
      <c r="M1111" s="171">
        <v>56.980000000000004</v>
      </c>
      <c r="N1111" s="171">
        <v>57</v>
      </c>
      <c r="O1111" s="171">
        <v>61.050000000000004</v>
      </c>
      <c r="P1111" s="171">
        <v>59</v>
      </c>
      <c r="Q1111" s="171">
        <v>57.52</v>
      </c>
      <c r="R1111" s="171">
        <v>57.43</v>
      </c>
      <c r="S1111" s="171">
        <v>56.99</v>
      </c>
      <c r="T1111" s="171">
        <v>54.99</v>
      </c>
      <c r="U1111" s="171">
        <v>54.93</v>
      </c>
      <c r="V1111" s="171">
        <v>55</v>
      </c>
      <c r="W1111" s="171">
        <v>50.84</v>
      </c>
      <c r="X1111" s="171">
        <v>50.51</v>
      </c>
      <c r="Y1111" s="171">
        <v>48.5</v>
      </c>
      <c r="Z1111" s="171">
        <v>51</v>
      </c>
      <c r="AA1111" s="171">
        <v>45.5</v>
      </c>
      <c r="AB1111" s="171">
        <v>61.050000000000004</v>
      </c>
      <c r="AC1111" s="171">
        <v>48.5</v>
      </c>
      <c r="AD1111" s="171">
        <v>42.83</v>
      </c>
      <c r="AF1111" s="171">
        <f t="shared" si="53"/>
        <v>2010</v>
      </c>
      <c r="AG1111" s="171">
        <f t="shared" si="54"/>
        <v>5</v>
      </c>
      <c r="AH1111" s="700">
        <f>SUMIF(D$3:$AA1111,"&lt;="&amp;$AH$1)/COUNTIF(D$3:$AA1111,"&lt;="&amp;$AH$1)</f>
        <v>29.996293258832004</v>
      </c>
    </row>
    <row r="1112" spans="2:34" x14ac:dyDescent="0.25">
      <c r="B1112" s="910">
        <v>40382</v>
      </c>
      <c r="C1112" s="581">
        <f t="shared" si="52"/>
        <v>7</v>
      </c>
      <c r="D1112" s="171">
        <v>41.06</v>
      </c>
      <c r="E1112" s="171">
        <v>38.49</v>
      </c>
      <c r="F1112" s="171">
        <v>34.75</v>
      </c>
      <c r="G1112" s="171">
        <v>33.869999999999997</v>
      </c>
      <c r="H1112" s="171">
        <v>33</v>
      </c>
      <c r="I1112" s="171">
        <v>35.590000000000003</v>
      </c>
      <c r="J1112" s="171">
        <v>42</v>
      </c>
      <c r="K1112" s="171">
        <v>48.75</v>
      </c>
      <c r="L1112" s="171">
        <v>52.75</v>
      </c>
      <c r="M1112" s="171">
        <v>56.5</v>
      </c>
      <c r="N1112" s="171">
        <v>56.78</v>
      </c>
      <c r="O1112" s="171">
        <v>58.050000000000004</v>
      </c>
      <c r="P1112" s="171">
        <v>56.99</v>
      </c>
      <c r="Q1112" s="171">
        <v>53.61</v>
      </c>
      <c r="R1112" s="171">
        <v>54.88</v>
      </c>
      <c r="S1112" s="171">
        <v>50.96</v>
      </c>
      <c r="T1112" s="171">
        <v>49.27</v>
      </c>
      <c r="U1112" s="171">
        <v>49.57</v>
      </c>
      <c r="V1112" s="171">
        <v>51.300000000000004</v>
      </c>
      <c r="W1112" s="171">
        <v>46.85</v>
      </c>
      <c r="X1112" s="171">
        <v>45</v>
      </c>
      <c r="Y1112" s="171">
        <v>44.03</v>
      </c>
      <c r="Z1112" s="171">
        <v>47.26</v>
      </c>
      <c r="AA1112" s="171">
        <v>45.06</v>
      </c>
      <c r="AB1112" s="171">
        <v>58.050000000000004</v>
      </c>
      <c r="AC1112" s="171">
        <v>44.03</v>
      </c>
      <c r="AD1112" s="171">
        <v>40.74</v>
      </c>
      <c r="AF1112" s="171">
        <f t="shared" si="53"/>
        <v>2010</v>
      </c>
      <c r="AG1112" s="171">
        <f t="shared" si="54"/>
        <v>7</v>
      </c>
      <c r="AH1112" s="700">
        <f>SUMIF(D$3:$AA1112,"&lt;="&amp;$AH$1)/COUNTIF(D$3:$AA1112,"&lt;="&amp;$AH$1)</f>
        <v>30.000687201657204</v>
      </c>
    </row>
    <row r="1113" spans="2:34" x14ac:dyDescent="0.25">
      <c r="B1113" s="910">
        <v>40385</v>
      </c>
      <c r="C1113" s="581">
        <f t="shared" si="52"/>
        <v>7</v>
      </c>
      <c r="D1113" s="171">
        <v>43.39</v>
      </c>
      <c r="E1113" s="171">
        <v>34.840000000000003</v>
      </c>
      <c r="F1113" s="171">
        <v>31.45</v>
      </c>
      <c r="G1113" s="171">
        <v>31.75</v>
      </c>
      <c r="H1113" s="171">
        <v>22.7</v>
      </c>
      <c r="I1113" s="171">
        <v>29.5</v>
      </c>
      <c r="J1113" s="171">
        <v>37.6</v>
      </c>
      <c r="K1113" s="171">
        <v>44.34</v>
      </c>
      <c r="L1113" s="171">
        <v>48.5</v>
      </c>
      <c r="M1113" s="171">
        <v>49.9</v>
      </c>
      <c r="N1113" s="171">
        <v>53.19</v>
      </c>
      <c r="O1113" s="171">
        <v>54.69</v>
      </c>
      <c r="P1113" s="171">
        <v>54.730000000000004</v>
      </c>
      <c r="Q1113" s="171">
        <v>53</v>
      </c>
      <c r="R1113" s="171">
        <v>52.99</v>
      </c>
      <c r="S1113" s="171">
        <v>48.49</v>
      </c>
      <c r="T1113" s="171">
        <v>48.25</v>
      </c>
      <c r="U1113" s="171">
        <v>47.35</v>
      </c>
      <c r="V1113" s="171">
        <v>47.67</v>
      </c>
      <c r="W1113" s="171">
        <v>45.67</v>
      </c>
      <c r="X1113" s="171">
        <v>44.160000000000004</v>
      </c>
      <c r="Y1113" s="171">
        <v>43.5</v>
      </c>
      <c r="Z1113" s="171">
        <v>47</v>
      </c>
      <c r="AA1113" s="171">
        <v>41.38</v>
      </c>
      <c r="AB1113" s="171">
        <v>54.730000000000004</v>
      </c>
      <c r="AC1113" s="171">
        <v>43.5</v>
      </c>
      <c r="AD1113" s="171">
        <v>37.630000000000003</v>
      </c>
      <c r="AF1113" s="171">
        <f t="shared" si="53"/>
        <v>2010</v>
      </c>
      <c r="AG1113" s="171">
        <f t="shared" si="54"/>
        <v>7</v>
      </c>
      <c r="AH1113" s="700">
        <f>SUMIF(D$3:$AA1113,"&lt;="&amp;$AH$1)/COUNTIF(D$3:$AA1113,"&lt;="&amp;$AH$1)</f>
        <v>30.002416741674164</v>
      </c>
    </row>
    <row r="1114" spans="2:34" x14ac:dyDescent="0.25">
      <c r="B1114" s="910">
        <v>40386</v>
      </c>
      <c r="C1114" s="581">
        <f t="shared" si="52"/>
        <v>7</v>
      </c>
      <c r="D1114" s="171">
        <v>37.78</v>
      </c>
      <c r="E1114" s="171">
        <v>35.46</v>
      </c>
      <c r="F1114" s="171">
        <v>34</v>
      </c>
      <c r="G1114" s="171">
        <v>30</v>
      </c>
      <c r="H1114" s="171">
        <v>30.8</v>
      </c>
      <c r="I1114" s="171">
        <v>35.46</v>
      </c>
      <c r="J1114" s="171">
        <v>42</v>
      </c>
      <c r="K1114" s="171">
        <v>46.54</v>
      </c>
      <c r="L1114" s="171">
        <v>47.72</v>
      </c>
      <c r="M1114" s="171">
        <v>50.53</v>
      </c>
      <c r="N1114" s="171">
        <v>54.78</v>
      </c>
      <c r="O1114" s="171">
        <v>56.19</v>
      </c>
      <c r="P1114" s="171">
        <v>55.99</v>
      </c>
      <c r="Q1114" s="171">
        <v>54</v>
      </c>
      <c r="R1114" s="171">
        <v>53.410000000000004</v>
      </c>
      <c r="S1114" s="171">
        <v>50.89</v>
      </c>
      <c r="T1114" s="171">
        <v>50.480000000000004</v>
      </c>
      <c r="U1114" s="171">
        <v>50</v>
      </c>
      <c r="V1114" s="171">
        <v>49.64</v>
      </c>
      <c r="W1114" s="171">
        <v>46.74</v>
      </c>
      <c r="X1114" s="171">
        <v>46.660000000000004</v>
      </c>
      <c r="Y1114" s="171">
        <v>46.79</v>
      </c>
      <c r="Z1114" s="171">
        <v>47.99</v>
      </c>
      <c r="AA1114" s="171">
        <v>43.25</v>
      </c>
      <c r="AB1114" s="171">
        <v>56.19</v>
      </c>
      <c r="AC1114" s="171">
        <v>46.54</v>
      </c>
      <c r="AD1114" s="171">
        <v>39.730000000000004</v>
      </c>
      <c r="AF1114" s="171">
        <f t="shared" si="53"/>
        <v>2010</v>
      </c>
      <c r="AG1114" s="171">
        <f t="shared" si="54"/>
        <v>7</v>
      </c>
      <c r="AH1114" s="700">
        <f>SUMIF(D$3:$AA1114,"&lt;="&amp;$AH$1)/COUNTIF(D$3:$AA1114,"&lt;="&amp;$AH$1)</f>
        <v>30.00560852748044</v>
      </c>
    </row>
    <row r="1115" spans="2:34" x14ac:dyDescent="0.25">
      <c r="B1115" s="910">
        <v>40387</v>
      </c>
      <c r="C1115" s="581">
        <f t="shared" si="52"/>
        <v>7</v>
      </c>
      <c r="D1115" s="171">
        <v>40</v>
      </c>
      <c r="E1115" s="171">
        <v>36.950000000000003</v>
      </c>
      <c r="F1115" s="171">
        <v>35.380000000000003</v>
      </c>
      <c r="G1115" s="171">
        <v>32.93</v>
      </c>
      <c r="H1115" s="171">
        <v>33.5</v>
      </c>
      <c r="I1115" s="171">
        <v>35.79</v>
      </c>
      <c r="J1115" s="171">
        <v>38.730000000000004</v>
      </c>
      <c r="K1115" s="171">
        <v>42.82</v>
      </c>
      <c r="L1115" s="171">
        <v>46.5</v>
      </c>
      <c r="M1115" s="171">
        <v>49.07</v>
      </c>
      <c r="N1115" s="171">
        <v>52.5</v>
      </c>
      <c r="O1115" s="171">
        <v>55.76</v>
      </c>
      <c r="P1115" s="171">
        <v>53.45</v>
      </c>
      <c r="Q1115" s="171">
        <v>52.45</v>
      </c>
      <c r="R1115" s="171">
        <v>52.75</v>
      </c>
      <c r="S1115" s="171">
        <v>49.93</v>
      </c>
      <c r="T1115" s="171">
        <v>48.4</v>
      </c>
      <c r="U1115" s="171">
        <v>47</v>
      </c>
      <c r="V1115" s="171">
        <v>46.72</v>
      </c>
      <c r="W1115" s="171">
        <v>44.5</v>
      </c>
      <c r="X1115" s="171">
        <v>44.26</v>
      </c>
      <c r="Y1115" s="171">
        <v>43</v>
      </c>
      <c r="Z1115" s="171">
        <v>45.01</v>
      </c>
      <c r="AA1115" s="171">
        <v>39.28</v>
      </c>
      <c r="AB1115" s="171">
        <v>55.76</v>
      </c>
      <c r="AC1115" s="171">
        <v>42.82</v>
      </c>
      <c r="AD1115" s="171">
        <v>38.97</v>
      </c>
      <c r="AF1115" s="171">
        <f t="shared" si="53"/>
        <v>2010</v>
      </c>
      <c r="AG1115" s="171">
        <f t="shared" si="54"/>
        <v>8</v>
      </c>
      <c r="AH1115" s="700">
        <f>SUMIF(D$3:$AA1115,"&lt;="&amp;$AH$1)/COUNTIF(D$3:$AA1115,"&lt;="&amp;$AH$1)</f>
        <v>30.010328988764048</v>
      </c>
    </row>
    <row r="1116" spans="2:34" x14ac:dyDescent="0.25">
      <c r="B1116" s="910">
        <v>40388</v>
      </c>
      <c r="C1116" s="581">
        <f t="shared" si="52"/>
        <v>7</v>
      </c>
      <c r="D1116" s="171">
        <v>35.700000000000003</v>
      </c>
      <c r="E1116" s="171">
        <v>32.01</v>
      </c>
      <c r="F1116" s="171">
        <v>29</v>
      </c>
      <c r="G1116" s="171">
        <v>26</v>
      </c>
      <c r="H1116" s="171">
        <v>26</v>
      </c>
      <c r="I1116" s="171">
        <v>33</v>
      </c>
      <c r="J1116" s="171">
        <v>40.770000000000003</v>
      </c>
      <c r="K1116" s="171">
        <v>43.52</v>
      </c>
      <c r="L1116" s="171">
        <v>47.7</v>
      </c>
      <c r="M1116" s="171">
        <v>49.92</v>
      </c>
      <c r="N1116" s="171">
        <v>49.99</v>
      </c>
      <c r="O1116" s="171">
        <v>52.89</v>
      </c>
      <c r="P1116" s="171">
        <v>50.21</v>
      </c>
      <c r="Q1116" s="171">
        <v>49.85</v>
      </c>
      <c r="R1116" s="171">
        <v>50.02</v>
      </c>
      <c r="S1116" s="171">
        <v>48.800000000000004</v>
      </c>
      <c r="T1116" s="171">
        <v>47.2</v>
      </c>
      <c r="U1116" s="171">
        <v>45.25</v>
      </c>
      <c r="V1116" s="171">
        <v>45.43</v>
      </c>
      <c r="W1116" s="171">
        <v>44.58</v>
      </c>
      <c r="X1116" s="171">
        <v>44</v>
      </c>
      <c r="Y1116" s="171">
        <v>42.85</v>
      </c>
      <c r="Z1116" s="171">
        <v>45.92</v>
      </c>
      <c r="AA1116" s="171">
        <v>40.230000000000004</v>
      </c>
      <c r="AB1116" s="171">
        <v>52.89</v>
      </c>
      <c r="AC1116" s="171">
        <v>42.85</v>
      </c>
      <c r="AD1116" s="171">
        <v>36.58</v>
      </c>
      <c r="AF1116" s="171">
        <f t="shared" si="53"/>
        <v>2010</v>
      </c>
      <c r="AG1116" s="171">
        <f t="shared" si="54"/>
        <v>8</v>
      </c>
      <c r="AH1116" s="700">
        <f>SUMIF(D$3:$AA1116,"&lt;="&amp;$AH$1)/COUNTIF(D$3:$AA1116,"&lt;="&amp;$AH$1)</f>
        <v>30.012361447947548</v>
      </c>
    </row>
    <row r="1117" spans="2:34" x14ac:dyDescent="0.25">
      <c r="B1117" s="910">
        <v>40389</v>
      </c>
      <c r="C1117" s="581">
        <f t="shared" si="52"/>
        <v>7</v>
      </c>
      <c r="D1117" s="171">
        <v>37.6</v>
      </c>
      <c r="E1117" s="171">
        <v>34.94</v>
      </c>
      <c r="F1117" s="171">
        <v>32.840000000000003</v>
      </c>
      <c r="G1117" s="171">
        <v>29.36</v>
      </c>
      <c r="H1117" s="171">
        <v>29.25</v>
      </c>
      <c r="I1117" s="171">
        <v>35.51</v>
      </c>
      <c r="J1117" s="171">
        <v>37.869999999999997</v>
      </c>
      <c r="K1117" s="171">
        <v>43</v>
      </c>
      <c r="L1117" s="171">
        <v>48.2</v>
      </c>
      <c r="M1117" s="171">
        <v>50.2</v>
      </c>
      <c r="N1117" s="171">
        <v>51.38</v>
      </c>
      <c r="O1117" s="171">
        <v>53.29</v>
      </c>
      <c r="P1117" s="171">
        <v>51.7</v>
      </c>
      <c r="Q1117" s="171">
        <v>49.25</v>
      </c>
      <c r="R1117" s="171">
        <v>48.09</v>
      </c>
      <c r="S1117" s="171">
        <v>47</v>
      </c>
      <c r="T1117" s="171">
        <v>45</v>
      </c>
      <c r="U1117" s="171">
        <v>45.11</v>
      </c>
      <c r="V1117" s="171">
        <v>45</v>
      </c>
      <c r="W1117" s="171">
        <v>42.87</v>
      </c>
      <c r="X1117" s="171">
        <v>42.75</v>
      </c>
      <c r="Y1117" s="171">
        <v>42</v>
      </c>
      <c r="Z1117" s="171">
        <v>44.5</v>
      </c>
      <c r="AA1117" s="171">
        <v>40.1</v>
      </c>
      <c r="AB1117" s="171">
        <v>53.29</v>
      </c>
      <c r="AC1117" s="171">
        <v>42</v>
      </c>
      <c r="AD1117" s="171">
        <v>37.480000000000004</v>
      </c>
      <c r="AF1117" s="171">
        <f t="shared" si="53"/>
        <v>2010</v>
      </c>
      <c r="AG1117" s="171">
        <f t="shared" si="54"/>
        <v>9</v>
      </c>
      <c r="AH1117" s="700">
        <f>SUMIF(D$3:$AA1117,"&lt;="&amp;$AH$1)/COUNTIF(D$3:$AA1117,"&lt;="&amp;$AH$1)</f>
        <v>30.016791419852812</v>
      </c>
    </row>
    <row r="1118" spans="2:34" x14ac:dyDescent="0.25">
      <c r="B1118" s="910">
        <v>40392</v>
      </c>
      <c r="C1118" s="581">
        <f t="shared" si="52"/>
        <v>8</v>
      </c>
      <c r="D1118" s="171">
        <v>36.92</v>
      </c>
      <c r="E1118" s="171">
        <v>30.25</v>
      </c>
      <c r="F1118" s="171">
        <v>22.79</v>
      </c>
      <c r="G1118" s="171">
        <v>17.5</v>
      </c>
      <c r="H1118" s="171">
        <v>18</v>
      </c>
      <c r="I1118" s="171">
        <v>25.5</v>
      </c>
      <c r="J1118" s="171">
        <v>39</v>
      </c>
      <c r="K1118" s="171">
        <v>43</v>
      </c>
      <c r="L1118" s="171">
        <v>44.97</v>
      </c>
      <c r="M1118" s="171">
        <v>48.45</v>
      </c>
      <c r="N1118" s="171">
        <v>50.5</v>
      </c>
      <c r="O1118" s="171">
        <v>52.32</v>
      </c>
      <c r="P1118" s="171">
        <v>53</v>
      </c>
      <c r="Q1118" s="171">
        <v>50.04</v>
      </c>
      <c r="R1118" s="171">
        <v>49.27</v>
      </c>
      <c r="S1118" s="171">
        <v>46.07</v>
      </c>
      <c r="T1118" s="171">
        <v>45.410000000000004</v>
      </c>
      <c r="U1118" s="171">
        <v>44.69</v>
      </c>
      <c r="V1118" s="171">
        <v>45.18</v>
      </c>
      <c r="W1118" s="171">
        <v>43.9</v>
      </c>
      <c r="X1118" s="171">
        <v>42.63</v>
      </c>
      <c r="Y1118" s="171">
        <v>42.47</v>
      </c>
      <c r="Z1118" s="171">
        <v>44.11</v>
      </c>
      <c r="AA1118" s="171">
        <v>40.26</v>
      </c>
      <c r="AB1118" s="171">
        <v>53</v>
      </c>
      <c r="AC1118" s="171">
        <v>42.47</v>
      </c>
      <c r="AD1118" s="171">
        <v>33.54</v>
      </c>
      <c r="AF1118" s="171">
        <f t="shared" si="53"/>
        <v>2010</v>
      </c>
      <c r="AG1118" s="171">
        <f t="shared" si="54"/>
        <v>9</v>
      </c>
      <c r="AH1118" s="700">
        <f>SUMIF(D$3:$AA1118,"&lt;="&amp;$AH$1)/COUNTIF(D$3:$AA1118,"&lt;="&amp;$AH$1)</f>
        <v>30.017019101425877</v>
      </c>
    </row>
    <row r="1119" spans="2:34" x14ac:dyDescent="0.25">
      <c r="B1119" s="910">
        <v>40393</v>
      </c>
      <c r="C1119" s="581">
        <f t="shared" si="52"/>
        <v>8</v>
      </c>
      <c r="D1119" s="171">
        <v>38.200000000000003</v>
      </c>
      <c r="E1119" s="171">
        <v>32.5</v>
      </c>
      <c r="F1119" s="171">
        <v>29.47</v>
      </c>
      <c r="G1119" s="171">
        <v>23.240000000000002</v>
      </c>
      <c r="H1119" s="171">
        <v>23.650000000000002</v>
      </c>
      <c r="I1119" s="171">
        <v>30</v>
      </c>
      <c r="J1119" s="171">
        <v>39.57</v>
      </c>
      <c r="K1119" s="171">
        <v>42.5</v>
      </c>
      <c r="L1119" s="171">
        <v>45.75</v>
      </c>
      <c r="M1119" s="171">
        <v>47</v>
      </c>
      <c r="N1119" s="171">
        <v>47</v>
      </c>
      <c r="O1119" s="171">
        <v>49.07</v>
      </c>
      <c r="P1119" s="171">
        <v>48.59</v>
      </c>
      <c r="Q1119" s="171">
        <v>46.93</v>
      </c>
      <c r="R1119" s="171">
        <v>46.25</v>
      </c>
      <c r="S1119" s="171">
        <v>45.9</v>
      </c>
      <c r="T1119" s="171">
        <v>45.02</v>
      </c>
      <c r="U1119" s="171">
        <v>44.87</v>
      </c>
      <c r="V1119" s="171">
        <v>45.39</v>
      </c>
      <c r="W1119" s="171">
        <v>43.910000000000004</v>
      </c>
      <c r="X1119" s="171">
        <v>44.51</v>
      </c>
      <c r="Y1119" s="171">
        <v>45.43</v>
      </c>
      <c r="Z1119" s="171">
        <v>45.800000000000004</v>
      </c>
      <c r="AA1119" s="171">
        <v>40.33</v>
      </c>
      <c r="AB1119" s="171">
        <v>49.07</v>
      </c>
      <c r="AC1119" s="171">
        <v>42.5</v>
      </c>
      <c r="AD1119" s="171">
        <v>36.270000000000003</v>
      </c>
      <c r="AF1119" s="171">
        <f t="shared" si="53"/>
        <v>2010</v>
      </c>
      <c r="AG1119" s="171">
        <f t="shared" si="54"/>
        <v>9</v>
      </c>
      <c r="AH1119" s="700">
        <f>SUMIF(D$3:$AA1119,"&lt;="&amp;$AH$1)/COUNTIF(D$3:$AA1119,"&lt;="&amp;$AH$1)</f>
        <v>30.01964516129032</v>
      </c>
    </row>
    <row r="1120" spans="2:34" x14ac:dyDescent="0.25">
      <c r="B1120" s="910">
        <v>40394</v>
      </c>
      <c r="C1120" s="581">
        <f t="shared" si="52"/>
        <v>8</v>
      </c>
      <c r="D1120" s="171">
        <v>35.5</v>
      </c>
      <c r="E1120" s="171">
        <v>30.02</v>
      </c>
      <c r="F1120" s="171">
        <v>25.240000000000002</v>
      </c>
      <c r="G1120" s="171">
        <v>20.59</v>
      </c>
      <c r="H1120" s="171">
        <v>23.38</v>
      </c>
      <c r="I1120" s="171">
        <v>33.31</v>
      </c>
      <c r="J1120" s="171">
        <v>39.300000000000004</v>
      </c>
      <c r="K1120" s="171">
        <v>43.62</v>
      </c>
      <c r="L1120" s="171">
        <v>46.99</v>
      </c>
      <c r="M1120" s="171">
        <v>45.92</v>
      </c>
      <c r="N1120" s="171">
        <v>46.45</v>
      </c>
      <c r="O1120" s="171">
        <v>48.45</v>
      </c>
      <c r="P1120" s="171">
        <v>48.45</v>
      </c>
      <c r="Q1120" s="171">
        <v>47</v>
      </c>
      <c r="R1120" s="171">
        <v>46.45</v>
      </c>
      <c r="S1120" s="171">
        <v>46.89</v>
      </c>
      <c r="T1120" s="171">
        <v>45.38</v>
      </c>
      <c r="U1120" s="171">
        <v>45.54</v>
      </c>
      <c r="V1120" s="171">
        <v>45.75</v>
      </c>
      <c r="W1120" s="171">
        <v>44.53</v>
      </c>
      <c r="X1120" s="171">
        <v>44.6</v>
      </c>
      <c r="Y1120" s="171">
        <v>45.25</v>
      </c>
      <c r="Z1120" s="171">
        <v>44.81</v>
      </c>
      <c r="AA1120" s="171">
        <v>40.5</v>
      </c>
      <c r="AB1120" s="171">
        <v>48.45</v>
      </c>
      <c r="AC1120" s="171">
        <v>43.62</v>
      </c>
      <c r="AD1120" s="171">
        <v>35.51</v>
      </c>
      <c r="AF1120" s="171">
        <f t="shared" si="53"/>
        <v>2010</v>
      </c>
      <c r="AG1120" s="171">
        <f t="shared" si="54"/>
        <v>8</v>
      </c>
      <c r="AH1120" s="700">
        <f>SUMIF(D$3:$AA1120,"&lt;="&amp;$AH$1)/COUNTIF(D$3:$AA1120,"&lt;="&amp;$AH$1)</f>
        <v>30.020333094555877</v>
      </c>
    </row>
    <row r="1121" spans="2:34" x14ac:dyDescent="0.25">
      <c r="B1121" s="910">
        <v>40395</v>
      </c>
      <c r="C1121" s="581">
        <f t="shared" si="52"/>
        <v>8</v>
      </c>
      <c r="D1121" s="171">
        <v>27.84</v>
      </c>
      <c r="E1121" s="171">
        <v>26.12</v>
      </c>
      <c r="F1121" s="171">
        <v>22.400000000000002</v>
      </c>
      <c r="G1121" s="171">
        <v>18.8</v>
      </c>
      <c r="H1121" s="171">
        <v>21.6</v>
      </c>
      <c r="I1121" s="171">
        <v>32.4</v>
      </c>
      <c r="J1121" s="171">
        <v>39.25</v>
      </c>
      <c r="K1121" s="171">
        <v>43.5</v>
      </c>
      <c r="L1121" s="171">
        <v>43.910000000000004</v>
      </c>
      <c r="M1121" s="171">
        <v>45.18</v>
      </c>
      <c r="N1121" s="171">
        <v>47.9</v>
      </c>
      <c r="O1121" s="171">
        <v>49.160000000000004</v>
      </c>
      <c r="P1121" s="171">
        <v>49.67</v>
      </c>
      <c r="Q1121" s="171">
        <v>48</v>
      </c>
      <c r="R1121" s="171">
        <v>45.9</v>
      </c>
      <c r="S1121" s="171">
        <v>45.15</v>
      </c>
      <c r="T1121" s="171">
        <v>45</v>
      </c>
      <c r="U1121" s="171">
        <v>45.87</v>
      </c>
      <c r="V1121" s="171">
        <v>45.5</v>
      </c>
      <c r="W1121" s="171">
        <v>43.95</v>
      </c>
      <c r="X1121" s="171">
        <v>44.24</v>
      </c>
      <c r="Y1121" s="171">
        <v>46.76</v>
      </c>
      <c r="Z1121" s="171">
        <v>45.5</v>
      </c>
      <c r="AA1121" s="171">
        <v>40.07</v>
      </c>
      <c r="AB1121" s="171">
        <v>49.67</v>
      </c>
      <c r="AC1121" s="171">
        <v>43.5</v>
      </c>
      <c r="AD1121" s="171">
        <v>34.04</v>
      </c>
      <c r="AF1121" s="171">
        <f t="shared" si="53"/>
        <v>2010</v>
      </c>
      <c r="AG1121" s="171">
        <f t="shared" si="54"/>
        <v>8</v>
      </c>
      <c r="AH1121" s="700">
        <f>SUMIF(D$3:$AA1121,"&lt;="&amp;$AH$1)/COUNTIF(D$3:$AA1121,"&lt;="&amp;$AH$1)</f>
        <v>30.019287759484616</v>
      </c>
    </row>
    <row r="1122" spans="2:34" x14ac:dyDescent="0.25">
      <c r="B1122" s="910">
        <v>40396</v>
      </c>
      <c r="C1122" s="581">
        <f t="shared" si="52"/>
        <v>8</v>
      </c>
      <c r="D1122" s="171">
        <v>28.900000000000002</v>
      </c>
      <c r="E1122" s="171">
        <v>26.310000000000002</v>
      </c>
      <c r="F1122" s="171">
        <v>20.100000000000001</v>
      </c>
      <c r="G1122" s="171">
        <v>19</v>
      </c>
      <c r="H1122" s="171">
        <v>18.61</v>
      </c>
      <c r="I1122" s="171">
        <v>24.95</v>
      </c>
      <c r="J1122" s="171">
        <v>37.82</v>
      </c>
      <c r="K1122" s="171">
        <v>41.160000000000004</v>
      </c>
      <c r="L1122" s="171">
        <v>44.68</v>
      </c>
      <c r="M1122" s="171">
        <v>45.49</v>
      </c>
      <c r="N1122" s="171">
        <v>47.46</v>
      </c>
      <c r="O1122" s="171">
        <v>48.89</v>
      </c>
      <c r="P1122" s="171">
        <v>48.5</v>
      </c>
      <c r="Q1122" s="171">
        <v>45.45</v>
      </c>
      <c r="R1122" s="171">
        <v>44.11</v>
      </c>
      <c r="S1122" s="171">
        <v>44</v>
      </c>
      <c r="T1122" s="171">
        <v>42.43</v>
      </c>
      <c r="U1122" s="171">
        <v>42.87</v>
      </c>
      <c r="V1122" s="171">
        <v>42.5</v>
      </c>
      <c r="W1122" s="171">
        <v>42.11</v>
      </c>
      <c r="X1122" s="171">
        <v>42.95</v>
      </c>
      <c r="Y1122" s="171">
        <v>42.4</v>
      </c>
      <c r="Z1122" s="171">
        <v>42.71</v>
      </c>
      <c r="AA1122" s="171">
        <v>40.28</v>
      </c>
      <c r="AB1122" s="171">
        <v>48.89</v>
      </c>
      <c r="AC1122" s="171">
        <v>41.160000000000004</v>
      </c>
      <c r="AD1122" s="171">
        <v>32.1</v>
      </c>
      <c r="AF1122" s="171">
        <f t="shared" si="53"/>
        <v>2010</v>
      </c>
      <c r="AG1122" s="171">
        <f t="shared" si="54"/>
        <v>13</v>
      </c>
      <c r="AH1122" s="700">
        <f>SUMIF(D$3:$AA1122,"&lt;="&amp;$AH$1)/COUNTIF(D$3:$AA1122,"&lt;="&amp;$AH$1)</f>
        <v>30.02253373849317</v>
      </c>
    </row>
    <row r="1123" spans="2:34" x14ac:dyDescent="0.25">
      <c r="B1123" s="910">
        <v>40399</v>
      </c>
      <c r="C1123" s="581">
        <f t="shared" si="52"/>
        <v>8</v>
      </c>
      <c r="D1123" s="171">
        <v>31.59</v>
      </c>
      <c r="E1123" s="171">
        <v>24</v>
      </c>
      <c r="F1123" s="171">
        <v>19.8</v>
      </c>
      <c r="G1123" s="171">
        <v>15.5</v>
      </c>
      <c r="H1123" s="171">
        <v>17.080000000000002</v>
      </c>
      <c r="I1123" s="171">
        <v>28</v>
      </c>
      <c r="J1123" s="171">
        <v>41.07</v>
      </c>
      <c r="K1123" s="171">
        <v>42.35</v>
      </c>
      <c r="L1123" s="171">
        <v>46.18</v>
      </c>
      <c r="M1123" s="171">
        <v>48.660000000000004</v>
      </c>
      <c r="N1123" s="171">
        <v>48.09</v>
      </c>
      <c r="O1123" s="171">
        <v>50.29</v>
      </c>
      <c r="P1123" s="171">
        <v>49.54</v>
      </c>
      <c r="Q1123" s="171">
        <v>48.58</v>
      </c>
      <c r="R1123" s="171">
        <v>47.9</v>
      </c>
      <c r="S1123" s="171">
        <v>45.52</v>
      </c>
      <c r="T1123" s="171">
        <v>44.6</v>
      </c>
      <c r="U1123" s="171">
        <v>44.44</v>
      </c>
      <c r="V1123" s="171">
        <v>44.34</v>
      </c>
      <c r="W1123" s="171">
        <v>43.75</v>
      </c>
      <c r="X1123" s="171">
        <v>44.11</v>
      </c>
      <c r="Y1123" s="171">
        <v>44.89</v>
      </c>
      <c r="Z1123" s="171">
        <v>43.65</v>
      </c>
      <c r="AA1123" s="171">
        <v>40.03</v>
      </c>
      <c r="AB1123" s="171">
        <v>50.29</v>
      </c>
      <c r="AC1123" s="171">
        <v>42.35</v>
      </c>
      <c r="AD1123" s="171">
        <v>32.67</v>
      </c>
      <c r="AF1123" s="171">
        <f t="shared" si="53"/>
        <v>2010</v>
      </c>
      <c r="AG1123" s="171">
        <f t="shared" si="54"/>
        <v>9</v>
      </c>
      <c r="AH1123" s="700">
        <f>SUMIF(D$3:$AA1123,"&lt;="&amp;$AH$1)/COUNTIF(D$3:$AA1123,"&lt;="&amp;$AH$1)</f>
        <v>30.021570816217192</v>
      </c>
    </row>
    <row r="1124" spans="2:34" x14ac:dyDescent="0.25">
      <c r="B1124" s="910">
        <v>40400</v>
      </c>
      <c r="C1124" s="581">
        <f t="shared" si="52"/>
        <v>8</v>
      </c>
      <c r="D1124" s="171">
        <v>39.630000000000003</v>
      </c>
      <c r="E1124" s="171">
        <v>32</v>
      </c>
      <c r="F1124" s="171">
        <v>30.240000000000002</v>
      </c>
      <c r="G1124" s="171">
        <v>23.93</v>
      </c>
      <c r="H1124" s="171">
        <v>25.2</v>
      </c>
      <c r="I1124" s="171">
        <v>33.799999999999997</v>
      </c>
      <c r="J1124" s="171">
        <v>42</v>
      </c>
      <c r="K1124" s="171">
        <v>46.35</v>
      </c>
      <c r="L1124" s="171">
        <v>45.5</v>
      </c>
      <c r="M1124" s="171">
        <v>46</v>
      </c>
      <c r="N1124" s="171">
        <v>48</v>
      </c>
      <c r="O1124" s="171">
        <v>50.33</v>
      </c>
      <c r="P1124" s="171">
        <v>49.52</v>
      </c>
      <c r="Q1124" s="171">
        <v>47.61</v>
      </c>
      <c r="R1124" s="171">
        <v>46.15</v>
      </c>
      <c r="S1124" s="171">
        <v>45</v>
      </c>
      <c r="T1124" s="171">
        <v>45</v>
      </c>
      <c r="U1124" s="171">
        <v>45</v>
      </c>
      <c r="V1124" s="171">
        <v>45.5</v>
      </c>
      <c r="W1124" s="171">
        <v>44.26</v>
      </c>
      <c r="X1124" s="171">
        <v>44.5</v>
      </c>
      <c r="Y1124" s="171">
        <v>45.93</v>
      </c>
      <c r="Z1124" s="171">
        <v>45.43</v>
      </c>
      <c r="AA1124" s="171">
        <v>40.5</v>
      </c>
      <c r="AB1124" s="171">
        <v>50.33</v>
      </c>
      <c r="AC1124" s="171">
        <v>44.26</v>
      </c>
      <c r="AD1124" s="171">
        <v>37.46</v>
      </c>
      <c r="AF1124" s="171">
        <f t="shared" si="53"/>
        <v>2010</v>
      </c>
      <c r="AG1124" s="171">
        <f t="shared" si="54"/>
        <v>8</v>
      </c>
      <c r="AH1124" s="700">
        <f>SUMIF(D$3:$AA1124,"&lt;="&amp;$AH$1)/COUNTIF(D$3:$AA1124,"&lt;="&amp;$AH$1)</f>
        <v>30.023991611636632</v>
      </c>
    </row>
    <row r="1125" spans="2:34" x14ac:dyDescent="0.25">
      <c r="B1125" s="910">
        <v>40401</v>
      </c>
      <c r="C1125" s="581">
        <f t="shared" si="52"/>
        <v>8</v>
      </c>
      <c r="D1125" s="171">
        <v>36.200000000000003</v>
      </c>
      <c r="E1125" s="171">
        <v>32</v>
      </c>
      <c r="F1125" s="171">
        <v>26.91</v>
      </c>
      <c r="G1125" s="171">
        <v>26.8</v>
      </c>
      <c r="H1125" s="171">
        <v>29</v>
      </c>
      <c r="I1125" s="171">
        <v>34.93</v>
      </c>
      <c r="J1125" s="171">
        <v>40.9</v>
      </c>
      <c r="K1125" s="171">
        <v>45.31</v>
      </c>
      <c r="L1125" s="171">
        <v>46.050000000000004</v>
      </c>
      <c r="M1125" s="171">
        <v>47.56</v>
      </c>
      <c r="N1125" s="171">
        <v>49.75</v>
      </c>
      <c r="O1125" s="171">
        <v>51.300000000000004</v>
      </c>
      <c r="P1125" s="171">
        <v>50</v>
      </c>
      <c r="Q1125" s="171">
        <v>48.71</v>
      </c>
      <c r="R1125" s="171">
        <v>48.38</v>
      </c>
      <c r="S1125" s="171">
        <v>47.33</v>
      </c>
      <c r="T1125" s="171">
        <v>46.54</v>
      </c>
      <c r="U1125" s="171">
        <v>46.5</v>
      </c>
      <c r="V1125" s="171">
        <v>47.42</v>
      </c>
      <c r="W1125" s="171">
        <v>46.65</v>
      </c>
      <c r="X1125" s="171">
        <v>45.07</v>
      </c>
      <c r="Y1125" s="171">
        <v>46.17</v>
      </c>
      <c r="Z1125" s="171">
        <v>46.5</v>
      </c>
      <c r="AA1125" s="171">
        <v>41.5</v>
      </c>
      <c r="AB1125" s="171">
        <v>51.300000000000004</v>
      </c>
      <c r="AC1125" s="171">
        <v>45.07</v>
      </c>
      <c r="AD1125" s="171">
        <v>37.61</v>
      </c>
      <c r="AF1125" s="171">
        <f t="shared" si="53"/>
        <v>2010</v>
      </c>
      <c r="AG1125" s="171">
        <f t="shared" si="54"/>
        <v>8</v>
      </c>
      <c r="AH1125" s="700">
        <f>SUMIF(D$3:$AA1125,"&lt;="&amp;$AH$1)/COUNTIF(D$3:$AA1125,"&lt;="&amp;$AH$1)</f>
        <v>30.026492776886041</v>
      </c>
    </row>
    <row r="1126" spans="2:34" x14ac:dyDescent="0.25">
      <c r="B1126" s="910">
        <v>40402</v>
      </c>
      <c r="C1126" s="581">
        <f t="shared" si="52"/>
        <v>8</v>
      </c>
      <c r="D1126" s="171">
        <v>36.6</v>
      </c>
      <c r="E1126" s="171">
        <v>33.08</v>
      </c>
      <c r="F1126" s="171">
        <v>28.78</v>
      </c>
      <c r="G1126" s="171">
        <v>28.97</v>
      </c>
      <c r="H1126" s="171">
        <v>30</v>
      </c>
      <c r="I1126" s="171">
        <v>37</v>
      </c>
      <c r="J1126" s="171">
        <v>41</v>
      </c>
      <c r="K1126" s="171">
        <v>45.09</v>
      </c>
      <c r="L1126" s="171">
        <v>46.800000000000004</v>
      </c>
      <c r="M1126" s="171">
        <v>48</v>
      </c>
      <c r="N1126" s="171">
        <v>48.6</v>
      </c>
      <c r="O1126" s="171">
        <v>50.36</v>
      </c>
      <c r="P1126" s="171">
        <v>51.06</v>
      </c>
      <c r="Q1126" s="171">
        <v>48.29</v>
      </c>
      <c r="R1126" s="171">
        <v>47.71</v>
      </c>
      <c r="S1126" s="171">
        <v>46.800000000000004</v>
      </c>
      <c r="T1126" s="171">
        <v>44.75</v>
      </c>
      <c r="U1126" s="171">
        <v>45.44</v>
      </c>
      <c r="V1126" s="171">
        <v>45.56</v>
      </c>
      <c r="W1126" s="171">
        <v>44.75</v>
      </c>
      <c r="X1126" s="171">
        <v>45.2</v>
      </c>
      <c r="Y1126" s="171">
        <v>44.96</v>
      </c>
      <c r="Z1126" s="171">
        <v>44.72</v>
      </c>
      <c r="AA1126" s="171">
        <v>40</v>
      </c>
      <c r="AB1126" s="171">
        <v>51.06</v>
      </c>
      <c r="AC1126" s="171">
        <v>44.72</v>
      </c>
      <c r="AD1126" s="171">
        <v>37.950000000000003</v>
      </c>
      <c r="AF1126" s="171">
        <f t="shared" si="53"/>
        <v>2010</v>
      </c>
      <c r="AG1126" s="171">
        <f t="shared" si="54"/>
        <v>8</v>
      </c>
      <c r="AH1126" s="700">
        <f>SUMIF(D$3:$AA1126,"&lt;="&amp;$AH$1)/COUNTIF(D$3:$AA1126,"&lt;="&amp;$AH$1)</f>
        <v>30.029631081803608</v>
      </c>
    </row>
    <row r="1127" spans="2:34" x14ac:dyDescent="0.25">
      <c r="B1127" s="910">
        <v>40403</v>
      </c>
      <c r="C1127" s="581">
        <f t="shared" si="52"/>
        <v>8</v>
      </c>
      <c r="D1127" s="171">
        <v>40.26</v>
      </c>
      <c r="E1127" s="171">
        <v>36.5</v>
      </c>
      <c r="F1127" s="171">
        <v>34.76</v>
      </c>
      <c r="G1127" s="171">
        <v>31.42</v>
      </c>
      <c r="H1127" s="171">
        <v>33.14</v>
      </c>
      <c r="I1127" s="171">
        <v>37.800000000000004</v>
      </c>
      <c r="J1127" s="171">
        <v>41.5</v>
      </c>
      <c r="K1127" s="171">
        <v>44.5</v>
      </c>
      <c r="L1127" s="171">
        <v>47.08</v>
      </c>
      <c r="M1127" s="171">
        <v>47.9</v>
      </c>
      <c r="N1127" s="171">
        <v>48.910000000000004</v>
      </c>
      <c r="O1127" s="171">
        <v>51</v>
      </c>
      <c r="P1127" s="171">
        <v>51.44</v>
      </c>
      <c r="Q1127" s="171">
        <v>49.01</v>
      </c>
      <c r="R1127" s="171">
        <v>47.5</v>
      </c>
      <c r="S1127" s="171">
        <v>45.2</v>
      </c>
      <c r="T1127" s="171">
        <v>45</v>
      </c>
      <c r="U1127" s="171">
        <v>45.300000000000004</v>
      </c>
      <c r="V1127" s="171">
        <v>45.69</v>
      </c>
      <c r="W1127" s="171">
        <v>44.61</v>
      </c>
      <c r="X1127" s="171">
        <v>45.39</v>
      </c>
      <c r="Y1127" s="171">
        <v>45.6</v>
      </c>
      <c r="Z1127" s="171">
        <v>46.14</v>
      </c>
      <c r="AA1127" s="171">
        <v>41.69</v>
      </c>
      <c r="AB1127" s="171">
        <v>51.44</v>
      </c>
      <c r="AC1127" s="171">
        <v>44.5</v>
      </c>
      <c r="AD1127" s="171">
        <v>39.89</v>
      </c>
      <c r="AF1127" s="171">
        <f t="shared" si="53"/>
        <v>2010</v>
      </c>
      <c r="AG1127" s="171">
        <f t="shared" si="54"/>
        <v>8</v>
      </c>
      <c r="AH1127" s="700">
        <f>SUMIF(D$3:$AA1127,"&lt;="&amp;$AH$1)/COUNTIF(D$3:$AA1127,"&lt;="&amp;$AH$1)</f>
        <v>30.034691896705262</v>
      </c>
    </row>
    <row r="1128" spans="2:34" x14ac:dyDescent="0.25">
      <c r="B1128" s="910">
        <v>40406</v>
      </c>
      <c r="C1128" s="581">
        <f t="shared" si="52"/>
        <v>8</v>
      </c>
      <c r="D1128" s="171">
        <v>35.230000000000004</v>
      </c>
      <c r="E1128" s="171">
        <v>29.71</v>
      </c>
      <c r="F1128" s="171">
        <v>24.51</v>
      </c>
      <c r="G1128" s="171">
        <v>19</v>
      </c>
      <c r="H1128" s="171">
        <v>22.7</v>
      </c>
      <c r="I1128" s="171">
        <v>32.549999999999997</v>
      </c>
      <c r="J1128" s="171">
        <v>42.9</v>
      </c>
      <c r="K1128" s="171">
        <v>47.5</v>
      </c>
      <c r="L1128" s="171">
        <v>49.19</v>
      </c>
      <c r="M1128" s="171">
        <v>50</v>
      </c>
      <c r="N1128" s="171">
        <v>52.79</v>
      </c>
      <c r="O1128" s="171">
        <v>53</v>
      </c>
      <c r="P1128" s="171">
        <v>51.81</v>
      </c>
      <c r="Q1128" s="171">
        <v>50.910000000000004</v>
      </c>
      <c r="R1128" s="171">
        <v>49</v>
      </c>
      <c r="S1128" s="171">
        <v>48.14</v>
      </c>
      <c r="T1128" s="171">
        <v>45.71</v>
      </c>
      <c r="U1128" s="171">
        <v>46.09</v>
      </c>
      <c r="V1128" s="171">
        <v>46.65</v>
      </c>
      <c r="W1128" s="171">
        <v>47</v>
      </c>
      <c r="X1128" s="171">
        <v>47.97</v>
      </c>
      <c r="Y1128" s="171">
        <v>49.5</v>
      </c>
      <c r="Z1128" s="171">
        <v>46.87</v>
      </c>
      <c r="AA1128" s="171">
        <v>42.77</v>
      </c>
      <c r="AB1128" s="171">
        <v>53</v>
      </c>
      <c r="AC1128" s="171">
        <v>45.71</v>
      </c>
      <c r="AD1128" s="171">
        <v>36.770000000000003</v>
      </c>
      <c r="AF1128" s="171">
        <f t="shared" si="53"/>
        <v>2010</v>
      </c>
      <c r="AG1128" s="171">
        <f t="shared" si="54"/>
        <v>6</v>
      </c>
      <c r="AH1128" s="700">
        <f>SUMIF(D$3:$AA1128,"&lt;="&amp;$AH$1)/COUNTIF(D$3:$AA1128,"&lt;="&amp;$AH$1)</f>
        <v>30.0332226771093</v>
      </c>
    </row>
    <row r="1129" spans="2:34" x14ac:dyDescent="0.25">
      <c r="B1129" s="910">
        <v>40407</v>
      </c>
      <c r="C1129" s="581">
        <f t="shared" si="52"/>
        <v>8</v>
      </c>
      <c r="D1129" s="171">
        <v>37.72</v>
      </c>
      <c r="E1129" s="171">
        <v>36.1</v>
      </c>
      <c r="F1129" s="171">
        <v>29.7</v>
      </c>
      <c r="G1129" s="171">
        <v>27</v>
      </c>
      <c r="H1129" s="171">
        <v>28</v>
      </c>
      <c r="I1129" s="171">
        <v>34.049999999999997</v>
      </c>
      <c r="J1129" s="171">
        <v>38.6</v>
      </c>
      <c r="K1129" s="171">
        <v>44.93</v>
      </c>
      <c r="L1129" s="171">
        <v>49</v>
      </c>
      <c r="M1129" s="171">
        <v>51.370000000000005</v>
      </c>
      <c r="N1129" s="171">
        <v>53.5</v>
      </c>
      <c r="O1129" s="171">
        <v>54.64</v>
      </c>
      <c r="P1129" s="171">
        <v>53.230000000000004</v>
      </c>
      <c r="Q1129" s="171">
        <v>51.15</v>
      </c>
      <c r="R1129" s="171">
        <v>49.81</v>
      </c>
      <c r="S1129" s="171">
        <v>47.6</v>
      </c>
      <c r="T1129" s="171">
        <v>44.86</v>
      </c>
      <c r="U1129" s="171">
        <v>45.5</v>
      </c>
      <c r="V1129" s="171">
        <v>46.54</v>
      </c>
      <c r="W1129" s="171">
        <v>46.19</v>
      </c>
      <c r="X1129" s="171">
        <v>42.46</v>
      </c>
      <c r="Y1129" s="171">
        <v>43.7</v>
      </c>
      <c r="Z1129" s="171">
        <v>42.4</v>
      </c>
      <c r="AA1129" s="171">
        <v>36.380000000000003</v>
      </c>
      <c r="AB1129" s="171">
        <v>54.64</v>
      </c>
      <c r="AC1129" s="171">
        <v>42.4</v>
      </c>
      <c r="AD1129" s="171">
        <v>36.75</v>
      </c>
      <c r="AF1129" s="171">
        <f t="shared" si="53"/>
        <v>2010</v>
      </c>
      <c r="AG1129" s="171">
        <f t="shared" si="54"/>
        <v>10</v>
      </c>
      <c r="AH1129" s="700">
        <f>SUMIF(D$3:$AA1129,"&lt;="&amp;$AH$1)/COUNTIF(D$3:$AA1129,"&lt;="&amp;$AH$1)</f>
        <v>30.037853459007653</v>
      </c>
    </row>
    <row r="1130" spans="2:34" x14ac:dyDescent="0.25">
      <c r="B1130" s="910">
        <v>40408</v>
      </c>
      <c r="C1130" s="581">
        <f t="shared" si="52"/>
        <v>8</v>
      </c>
      <c r="D1130" s="171">
        <v>27.96</v>
      </c>
      <c r="E1130" s="171">
        <v>22.490000000000002</v>
      </c>
      <c r="F1130" s="171">
        <v>18</v>
      </c>
      <c r="G1130" s="171">
        <v>12.5</v>
      </c>
      <c r="H1130" s="171">
        <v>11.98</v>
      </c>
      <c r="I1130" s="171">
        <v>26</v>
      </c>
      <c r="J1130" s="171">
        <v>37.619999999999997</v>
      </c>
      <c r="K1130" s="171">
        <v>41.5</v>
      </c>
      <c r="L1130" s="171">
        <v>44.61</v>
      </c>
      <c r="M1130" s="171">
        <v>47</v>
      </c>
      <c r="N1130" s="171">
        <v>51.69</v>
      </c>
      <c r="O1130" s="171">
        <v>54</v>
      </c>
      <c r="P1130" s="171">
        <v>53.21</v>
      </c>
      <c r="Q1130" s="171">
        <v>50.92</v>
      </c>
      <c r="R1130" s="171">
        <v>47.660000000000004</v>
      </c>
      <c r="S1130" s="171">
        <v>45.77</v>
      </c>
      <c r="T1130" s="171">
        <v>43.81</v>
      </c>
      <c r="U1130" s="171">
        <v>44.93</v>
      </c>
      <c r="V1130" s="171">
        <v>45.57</v>
      </c>
      <c r="W1130" s="171">
        <v>44.5</v>
      </c>
      <c r="X1130" s="171">
        <v>44.96</v>
      </c>
      <c r="Y1130" s="171">
        <v>45.2</v>
      </c>
      <c r="Z1130" s="171">
        <v>43.230000000000004</v>
      </c>
      <c r="AA1130" s="171">
        <v>39.5</v>
      </c>
      <c r="AB1130" s="171">
        <v>54</v>
      </c>
      <c r="AC1130" s="171">
        <v>41.5</v>
      </c>
      <c r="AD1130" s="171">
        <v>30.91</v>
      </c>
      <c r="AF1130" s="171">
        <f t="shared" si="53"/>
        <v>2010</v>
      </c>
      <c r="AG1130" s="171">
        <f t="shared" si="54"/>
        <v>9</v>
      </c>
      <c r="AH1130" s="700">
        <f>SUMIF(D$3:$AA1130,"&lt;="&amp;$AH$1)/COUNTIF(D$3:$AA1130,"&lt;="&amp;$AH$1)</f>
        <v>30.034940026654827</v>
      </c>
    </row>
    <row r="1131" spans="2:34" x14ac:dyDescent="0.25">
      <c r="B1131" s="910">
        <v>40409</v>
      </c>
      <c r="C1131" s="581">
        <f t="shared" si="52"/>
        <v>8</v>
      </c>
      <c r="D1131" s="171">
        <v>32.96</v>
      </c>
      <c r="E1131" s="171">
        <v>25.37</v>
      </c>
      <c r="F1131" s="171">
        <v>18</v>
      </c>
      <c r="G1131" s="171">
        <v>16.740000000000002</v>
      </c>
      <c r="H1131" s="171">
        <v>16.78</v>
      </c>
      <c r="I1131" s="171">
        <v>25.11</v>
      </c>
      <c r="J1131" s="171">
        <v>37.9</v>
      </c>
      <c r="K1131" s="171">
        <v>42.15</v>
      </c>
      <c r="L1131" s="171">
        <v>44.980000000000004</v>
      </c>
      <c r="M1131" s="171">
        <v>47</v>
      </c>
      <c r="N1131" s="171">
        <v>50.47</v>
      </c>
      <c r="O1131" s="171">
        <v>53.99</v>
      </c>
      <c r="P1131" s="171">
        <v>54.32</v>
      </c>
      <c r="Q1131" s="171">
        <v>49.67</v>
      </c>
      <c r="R1131" s="171">
        <v>48.19</v>
      </c>
      <c r="S1131" s="171">
        <v>47</v>
      </c>
      <c r="T1131" s="171">
        <v>46</v>
      </c>
      <c r="U1131" s="171">
        <v>46.96</v>
      </c>
      <c r="V1131" s="171">
        <v>47.69</v>
      </c>
      <c r="W1131" s="171">
        <v>47.47</v>
      </c>
      <c r="X1131" s="171">
        <v>48</v>
      </c>
      <c r="Y1131" s="171">
        <v>48.300000000000004</v>
      </c>
      <c r="Z1131" s="171">
        <v>46.17</v>
      </c>
      <c r="AA1131" s="171">
        <v>42.1</v>
      </c>
      <c r="AB1131" s="171">
        <v>54.32</v>
      </c>
      <c r="AC1131" s="171">
        <v>42.15</v>
      </c>
      <c r="AD1131" s="171">
        <v>33.299999999999997</v>
      </c>
      <c r="AF1131" s="171">
        <f t="shared" si="53"/>
        <v>2010</v>
      </c>
      <c r="AG1131" s="171">
        <f t="shared" si="54"/>
        <v>9</v>
      </c>
      <c r="AH1131" s="700">
        <f>SUMIF(D$3:$AA1131,"&lt;="&amp;$AH$1)/COUNTIF(D$3:$AA1131,"&lt;="&amp;$AH$1)</f>
        <v>30.033767755681826</v>
      </c>
    </row>
    <row r="1132" spans="2:34" x14ac:dyDescent="0.25">
      <c r="B1132" s="910">
        <v>40410</v>
      </c>
      <c r="C1132" s="581">
        <f t="shared" si="52"/>
        <v>8</v>
      </c>
      <c r="D1132" s="171">
        <v>39</v>
      </c>
      <c r="E1132" s="171">
        <v>34.17</v>
      </c>
      <c r="F1132" s="171">
        <v>30.330000000000002</v>
      </c>
      <c r="G1132" s="171">
        <v>29.5</v>
      </c>
      <c r="H1132" s="171">
        <v>30.14</v>
      </c>
      <c r="I1132" s="171">
        <v>36</v>
      </c>
      <c r="J1132" s="171">
        <v>43.35</v>
      </c>
      <c r="K1132" s="171">
        <v>48</v>
      </c>
      <c r="L1132" s="171">
        <v>49.61</v>
      </c>
      <c r="M1132" s="171">
        <v>52.2</v>
      </c>
      <c r="N1132" s="171">
        <v>55</v>
      </c>
      <c r="O1132" s="171">
        <v>56.29</v>
      </c>
      <c r="P1132" s="171">
        <v>53.19</v>
      </c>
      <c r="Q1132" s="171">
        <v>51</v>
      </c>
      <c r="R1132" s="171">
        <v>49</v>
      </c>
      <c r="S1132" s="171">
        <v>45.96</v>
      </c>
      <c r="T1132" s="171">
        <v>46</v>
      </c>
      <c r="U1132" s="171">
        <v>46.35</v>
      </c>
      <c r="V1132" s="171">
        <v>46.12</v>
      </c>
      <c r="W1132" s="171">
        <v>45.01</v>
      </c>
      <c r="X1132" s="171">
        <v>45.03</v>
      </c>
      <c r="Y1132" s="171">
        <v>45</v>
      </c>
      <c r="Z1132" s="171">
        <v>44.37</v>
      </c>
      <c r="AA1132" s="171">
        <v>42.33</v>
      </c>
      <c r="AB1132" s="171">
        <v>56.29</v>
      </c>
      <c r="AC1132" s="171">
        <v>44.37</v>
      </c>
      <c r="AD1132" s="171">
        <v>38.94</v>
      </c>
      <c r="AF1132" s="171">
        <f t="shared" si="53"/>
        <v>2010</v>
      </c>
      <c r="AG1132" s="171">
        <f t="shared" si="54"/>
        <v>7</v>
      </c>
      <c r="AH1132" s="700">
        <f>SUMIF(D$3:$AA1132,"&lt;="&amp;$AH$1)/COUNTIF(D$3:$AA1132,"&lt;="&amp;$AH$1)</f>
        <v>30.036538905154835</v>
      </c>
    </row>
    <row r="1133" spans="2:34" x14ac:dyDescent="0.25">
      <c r="B1133" s="910">
        <v>40413</v>
      </c>
      <c r="C1133" s="581">
        <f t="shared" si="52"/>
        <v>8</v>
      </c>
      <c r="D1133" s="171">
        <v>40</v>
      </c>
      <c r="E1133" s="171">
        <v>38.78</v>
      </c>
      <c r="F1133" s="171">
        <v>30.8</v>
      </c>
      <c r="G1133" s="171">
        <v>28</v>
      </c>
      <c r="H1133" s="171">
        <v>26</v>
      </c>
      <c r="I1133" s="171">
        <v>32</v>
      </c>
      <c r="J1133" s="171">
        <v>40.380000000000003</v>
      </c>
      <c r="K1133" s="171">
        <v>47</v>
      </c>
      <c r="L1133" s="171">
        <v>49.120000000000005</v>
      </c>
      <c r="M1133" s="171">
        <v>50.5</v>
      </c>
      <c r="N1133" s="171">
        <v>51.78</v>
      </c>
      <c r="O1133" s="171">
        <v>53.76</v>
      </c>
      <c r="P1133" s="171">
        <v>53.27</v>
      </c>
      <c r="Q1133" s="171">
        <v>50.01</v>
      </c>
      <c r="R1133" s="171">
        <v>47.72</v>
      </c>
      <c r="S1133" s="171">
        <v>45.12</v>
      </c>
      <c r="T1133" s="171">
        <v>42.78</v>
      </c>
      <c r="U1133" s="171">
        <v>42.78</v>
      </c>
      <c r="V1133" s="171">
        <v>42.51</v>
      </c>
      <c r="W1133" s="171">
        <v>41.53</v>
      </c>
      <c r="X1133" s="171">
        <v>42</v>
      </c>
      <c r="Y1133" s="171">
        <v>43.11</v>
      </c>
      <c r="Z1133" s="171">
        <v>41.5</v>
      </c>
      <c r="AA1133" s="171">
        <v>36</v>
      </c>
      <c r="AB1133" s="171">
        <v>53.76</v>
      </c>
      <c r="AC1133" s="171">
        <v>41.5</v>
      </c>
      <c r="AD1133" s="171">
        <v>37.130000000000003</v>
      </c>
      <c r="AF1133" s="171">
        <f t="shared" si="53"/>
        <v>2010</v>
      </c>
      <c r="AG1133" s="171">
        <f t="shared" si="54"/>
        <v>12</v>
      </c>
      <c r="AH1133" s="700">
        <f>SUMIF(D$3:$AA1133,"&lt;="&amp;$AH$1)/COUNTIF(D$3:$AA1133,"&lt;="&amp;$AH$1)</f>
        <v>30.043546042719154</v>
      </c>
    </row>
    <row r="1134" spans="2:34" x14ac:dyDescent="0.25">
      <c r="B1134" s="910">
        <v>40414</v>
      </c>
      <c r="C1134" s="581">
        <f t="shared" si="52"/>
        <v>8</v>
      </c>
      <c r="D1134" s="171">
        <v>29.6</v>
      </c>
      <c r="E1134" s="171">
        <v>25</v>
      </c>
      <c r="F1134" s="171">
        <v>19.38</v>
      </c>
      <c r="G1134" s="171">
        <v>12.51</v>
      </c>
      <c r="H1134" s="171">
        <v>13.31</v>
      </c>
      <c r="I1134" s="171">
        <v>26.400000000000002</v>
      </c>
      <c r="J1134" s="171">
        <v>40</v>
      </c>
      <c r="K1134" s="171">
        <v>46.6</v>
      </c>
      <c r="L1134" s="171">
        <v>48</v>
      </c>
      <c r="M1134" s="171">
        <v>49.63</v>
      </c>
      <c r="N1134" s="171">
        <v>52.92</v>
      </c>
      <c r="O1134" s="171">
        <v>54.32</v>
      </c>
      <c r="P1134" s="171">
        <v>52.93</v>
      </c>
      <c r="Q1134" s="171">
        <v>48.050000000000004</v>
      </c>
      <c r="R1134" s="171">
        <v>47.2</v>
      </c>
      <c r="S1134" s="171">
        <v>46.480000000000004</v>
      </c>
      <c r="T1134" s="171">
        <v>44</v>
      </c>
      <c r="U1134" s="171">
        <v>43.06</v>
      </c>
      <c r="V1134" s="171">
        <v>43.26</v>
      </c>
      <c r="W1134" s="171">
        <v>43</v>
      </c>
      <c r="X1134" s="171">
        <v>46</v>
      </c>
      <c r="Y1134" s="171">
        <v>47</v>
      </c>
      <c r="Z1134" s="171">
        <v>44.56</v>
      </c>
      <c r="AA1134" s="171">
        <v>38.800000000000004</v>
      </c>
      <c r="AB1134" s="171">
        <v>54.32</v>
      </c>
      <c r="AC1134" s="171">
        <v>43</v>
      </c>
      <c r="AD1134" s="171">
        <v>32.43</v>
      </c>
      <c r="AF1134" s="171">
        <f t="shared" si="53"/>
        <v>2010</v>
      </c>
      <c r="AG1134" s="171">
        <f t="shared" si="54"/>
        <v>8</v>
      </c>
      <c r="AH1134" s="700">
        <f>SUMIF(D$3:$AA1134,"&lt;="&amp;$AH$1)/COUNTIF(D$3:$AA1134,"&lt;="&amp;$AH$1)</f>
        <v>30.040415375077512</v>
      </c>
    </row>
    <row r="1135" spans="2:34" x14ac:dyDescent="0.25">
      <c r="B1135" s="910">
        <v>40415</v>
      </c>
      <c r="C1135" s="581">
        <f t="shared" si="52"/>
        <v>8</v>
      </c>
      <c r="D1135" s="171">
        <v>28</v>
      </c>
      <c r="E1135" s="171">
        <v>19.96</v>
      </c>
      <c r="F1135" s="171">
        <v>12.530000000000001</v>
      </c>
      <c r="G1135" s="171">
        <v>10.26</v>
      </c>
      <c r="H1135" s="171">
        <v>12.4</v>
      </c>
      <c r="I1135" s="171">
        <v>24.46</v>
      </c>
      <c r="J1135" s="171">
        <v>41.58</v>
      </c>
      <c r="K1135" s="171">
        <v>46.93</v>
      </c>
      <c r="L1135" s="171">
        <v>49.01</v>
      </c>
      <c r="M1135" s="171">
        <v>50.44</v>
      </c>
      <c r="N1135" s="171">
        <v>52</v>
      </c>
      <c r="O1135" s="171">
        <v>53.04</v>
      </c>
      <c r="P1135" s="171">
        <v>52</v>
      </c>
      <c r="Q1135" s="171">
        <v>49.870000000000005</v>
      </c>
      <c r="R1135" s="171">
        <v>48.9</v>
      </c>
      <c r="S1135" s="171">
        <v>48.370000000000005</v>
      </c>
      <c r="T1135" s="171">
        <v>47.2</v>
      </c>
      <c r="U1135" s="171">
        <v>48.86</v>
      </c>
      <c r="V1135" s="171">
        <v>49.38</v>
      </c>
      <c r="W1135" s="171">
        <v>49.29</v>
      </c>
      <c r="X1135" s="171">
        <v>50.910000000000004</v>
      </c>
      <c r="Y1135" s="171">
        <v>51</v>
      </c>
      <c r="Z1135" s="171">
        <v>49.11</v>
      </c>
      <c r="AA1135" s="171">
        <v>44.78</v>
      </c>
      <c r="AB1135" s="171">
        <v>53.04</v>
      </c>
      <c r="AC1135" s="171">
        <v>46.93</v>
      </c>
      <c r="AD1135" s="171">
        <v>32.660000000000004</v>
      </c>
      <c r="AF1135" s="171">
        <f t="shared" si="53"/>
        <v>2010</v>
      </c>
      <c r="AG1135" s="171">
        <f t="shared" si="54"/>
        <v>7</v>
      </c>
      <c r="AH1135" s="700">
        <f>SUMIF(D$3:$AA1135,"&lt;="&amp;$AH$1)/COUNTIF(D$3:$AA1135,"&lt;="&amp;$AH$1)</f>
        <v>30.035007966011712</v>
      </c>
    </row>
    <row r="1136" spans="2:34" x14ac:dyDescent="0.25">
      <c r="B1136" s="910">
        <v>40416</v>
      </c>
      <c r="C1136" s="581">
        <f t="shared" si="52"/>
        <v>8</v>
      </c>
      <c r="D1136" s="171">
        <v>41.62</v>
      </c>
      <c r="E1136" s="171">
        <v>37.81</v>
      </c>
      <c r="F1136" s="171">
        <v>32.94</v>
      </c>
      <c r="G1136" s="171">
        <v>24.740000000000002</v>
      </c>
      <c r="H1136" s="171">
        <v>25.810000000000002</v>
      </c>
      <c r="I1136" s="171">
        <v>36.21</v>
      </c>
      <c r="J1136" s="171">
        <v>43.34</v>
      </c>
      <c r="K1136" s="171">
        <v>50</v>
      </c>
      <c r="L1136" s="171">
        <v>51.410000000000004</v>
      </c>
      <c r="M1136" s="171">
        <v>55</v>
      </c>
      <c r="N1136" s="171">
        <v>55.76</v>
      </c>
      <c r="O1136" s="171">
        <v>60.01</v>
      </c>
      <c r="P1136" s="171">
        <v>58</v>
      </c>
      <c r="Q1136" s="171">
        <v>55.730000000000004</v>
      </c>
      <c r="R1136" s="171">
        <v>54.2</v>
      </c>
      <c r="S1136" s="171">
        <v>53.01</v>
      </c>
      <c r="T1136" s="171">
        <v>51.06</v>
      </c>
      <c r="U1136" s="171">
        <v>51.33</v>
      </c>
      <c r="V1136" s="171">
        <v>52.82</v>
      </c>
      <c r="W1136" s="171">
        <v>51</v>
      </c>
      <c r="X1136" s="171">
        <v>52</v>
      </c>
      <c r="Y1136" s="171">
        <v>51.24</v>
      </c>
      <c r="Z1136" s="171">
        <v>49</v>
      </c>
      <c r="AA1136" s="171">
        <v>44.69</v>
      </c>
      <c r="AB1136" s="171">
        <v>60.01</v>
      </c>
      <c r="AC1136" s="171">
        <v>49</v>
      </c>
      <c r="AD1136" s="171">
        <v>40.78</v>
      </c>
      <c r="AF1136" s="171">
        <f t="shared" si="53"/>
        <v>2010</v>
      </c>
      <c r="AG1136" s="171">
        <f t="shared" si="54"/>
        <v>6</v>
      </c>
      <c r="AH1136" s="700">
        <f>SUMIF(D$3:$AA1136,"&lt;="&amp;$AH$1)/COUNTIF(D$3:$AA1136,"&lt;="&amp;$AH$1)</f>
        <v>30.036681705590969</v>
      </c>
    </row>
    <row r="1137" spans="2:34" x14ac:dyDescent="0.25">
      <c r="B1137" s="910">
        <v>40417</v>
      </c>
      <c r="C1137" s="581">
        <f t="shared" si="52"/>
        <v>8</v>
      </c>
      <c r="D1137" s="171">
        <v>42.84</v>
      </c>
      <c r="E1137" s="171">
        <v>40.380000000000003</v>
      </c>
      <c r="F1137" s="171">
        <v>38.06</v>
      </c>
      <c r="G1137" s="171">
        <v>34</v>
      </c>
      <c r="H1137" s="171">
        <v>34.99</v>
      </c>
      <c r="I1137" s="171">
        <v>39.64</v>
      </c>
      <c r="J1137" s="171">
        <v>48</v>
      </c>
      <c r="K1137" s="171">
        <v>53.75</v>
      </c>
      <c r="L1137" s="171">
        <v>53.02</v>
      </c>
      <c r="M1137" s="171">
        <v>56.660000000000004</v>
      </c>
      <c r="N1137" s="171">
        <v>60.7</v>
      </c>
      <c r="O1137" s="171">
        <v>64</v>
      </c>
      <c r="P1137" s="171">
        <v>61.75</v>
      </c>
      <c r="Q1137" s="171">
        <v>57</v>
      </c>
      <c r="R1137" s="171">
        <v>54.96</v>
      </c>
      <c r="S1137" s="171">
        <v>51.01</v>
      </c>
      <c r="T1137" s="171">
        <v>49.6</v>
      </c>
      <c r="U1137" s="171">
        <v>49.77</v>
      </c>
      <c r="V1137" s="171">
        <v>50</v>
      </c>
      <c r="W1137" s="171">
        <v>48.03</v>
      </c>
      <c r="X1137" s="171">
        <v>49.800000000000004</v>
      </c>
      <c r="Y1137" s="171">
        <v>50.72</v>
      </c>
      <c r="Z1137" s="171">
        <v>49.4</v>
      </c>
      <c r="AA1137" s="171">
        <v>46.300000000000004</v>
      </c>
      <c r="AB1137" s="171">
        <v>64</v>
      </c>
      <c r="AC1137" s="171">
        <v>48.03</v>
      </c>
      <c r="AD1137" s="171">
        <v>43.99</v>
      </c>
      <c r="AF1137" s="171">
        <f t="shared" si="53"/>
        <v>2010</v>
      </c>
      <c r="AG1137" s="171">
        <f t="shared" si="54"/>
        <v>5</v>
      </c>
      <c r="AH1137" s="700">
        <f>SUMIF(D$3:$AA1137,"&lt;="&amp;$AH$1)/COUNTIF(D$3:$AA1137,"&lt;="&amp;$AH$1)</f>
        <v>30.039943407905238</v>
      </c>
    </row>
    <row r="1138" spans="2:34" x14ac:dyDescent="0.25">
      <c r="B1138" s="910">
        <v>40420</v>
      </c>
      <c r="C1138" s="581">
        <f t="shared" si="52"/>
        <v>8</v>
      </c>
      <c r="D1138" s="171">
        <v>33.85</v>
      </c>
      <c r="E1138" s="171">
        <v>28.5</v>
      </c>
      <c r="F1138" s="171">
        <v>20</v>
      </c>
      <c r="G1138" s="171">
        <v>16</v>
      </c>
      <c r="H1138" s="171">
        <v>14.72</v>
      </c>
      <c r="I1138" s="171">
        <v>28</v>
      </c>
      <c r="J1138" s="171">
        <v>40</v>
      </c>
      <c r="K1138" s="171">
        <v>48.81</v>
      </c>
      <c r="L1138" s="171">
        <v>50.21</v>
      </c>
      <c r="M1138" s="171">
        <v>53.03</v>
      </c>
      <c r="N1138" s="171">
        <v>55.92</v>
      </c>
      <c r="O1138" s="171">
        <v>59.58</v>
      </c>
      <c r="P1138" s="171">
        <v>56.4</v>
      </c>
      <c r="Q1138" s="171">
        <v>55.38</v>
      </c>
      <c r="R1138" s="171">
        <v>53.72</v>
      </c>
      <c r="S1138" s="171">
        <v>49.34</v>
      </c>
      <c r="T1138" s="171">
        <v>49.96</v>
      </c>
      <c r="U1138" s="171">
        <v>49.19</v>
      </c>
      <c r="V1138" s="171">
        <v>49.69</v>
      </c>
      <c r="W1138" s="171">
        <v>48.83</v>
      </c>
      <c r="X1138" s="171">
        <v>49.99</v>
      </c>
      <c r="Y1138" s="171">
        <v>50.050000000000004</v>
      </c>
      <c r="Z1138" s="171">
        <v>48</v>
      </c>
      <c r="AA1138" s="171">
        <v>44.39</v>
      </c>
      <c r="AB1138" s="171">
        <v>59.58</v>
      </c>
      <c r="AC1138" s="171">
        <v>48</v>
      </c>
      <c r="AD1138" s="171">
        <v>35.19</v>
      </c>
      <c r="AF1138" s="171">
        <f t="shared" si="53"/>
        <v>2010</v>
      </c>
      <c r="AG1138" s="171">
        <f t="shared" si="54"/>
        <v>7</v>
      </c>
      <c r="AH1138" s="700">
        <f>SUMIF(D$3:$AA1138,"&lt;="&amp;$AH$1)/COUNTIF(D$3:$AA1138,"&lt;="&amp;$AH$1)</f>
        <v>30.037362142099706</v>
      </c>
    </row>
    <row r="1139" spans="2:34" x14ac:dyDescent="0.25">
      <c r="B1139" s="910">
        <v>40421</v>
      </c>
      <c r="C1139" s="581">
        <f t="shared" si="52"/>
        <v>8</v>
      </c>
      <c r="D1139" s="171">
        <v>37.54</v>
      </c>
      <c r="E1139" s="171">
        <v>33.35</v>
      </c>
      <c r="F1139" s="171">
        <v>28.55</v>
      </c>
      <c r="G1139" s="171">
        <v>27.03</v>
      </c>
      <c r="H1139" s="171">
        <v>26.310000000000002</v>
      </c>
      <c r="I1139" s="171">
        <v>36.24</v>
      </c>
      <c r="J1139" s="171">
        <v>41.95</v>
      </c>
      <c r="K1139" s="171">
        <v>48.04</v>
      </c>
      <c r="L1139" s="171">
        <v>51.81</v>
      </c>
      <c r="M1139" s="171">
        <v>54.93</v>
      </c>
      <c r="N1139" s="171">
        <v>57.01</v>
      </c>
      <c r="O1139" s="171">
        <v>61.660000000000004</v>
      </c>
      <c r="P1139" s="171">
        <v>60.17</v>
      </c>
      <c r="Q1139" s="171">
        <v>57.5</v>
      </c>
      <c r="R1139" s="171">
        <v>56</v>
      </c>
      <c r="S1139" s="171">
        <v>52.660000000000004</v>
      </c>
      <c r="T1139" s="171">
        <v>51.33</v>
      </c>
      <c r="U1139" s="171">
        <v>50.44</v>
      </c>
      <c r="V1139" s="171">
        <v>51.67</v>
      </c>
      <c r="W1139" s="171">
        <v>51.1</v>
      </c>
      <c r="X1139" s="171">
        <v>51.980000000000004</v>
      </c>
      <c r="Y1139" s="171">
        <v>49.6</v>
      </c>
      <c r="Z1139" s="171">
        <v>47.04</v>
      </c>
      <c r="AA1139" s="171">
        <v>43.57</v>
      </c>
      <c r="AB1139" s="171">
        <v>61.660000000000004</v>
      </c>
      <c r="AC1139" s="171">
        <v>47.04</v>
      </c>
      <c r="AD1139" s="171">
        <v>39.270000000000003</v>
      </c>
      <c r="AF1139" s="171">
        <f t="shared" si="53"/>
        <v>2010</v>
      </c>
      <c r="AG1139" s="171">
        <f t="shared" si="54"/>
        <v>7</v>
      </c>
      <c r="AH1139" s="700">
        <f>SUMIF(D$3:$AA1139,"&lt;="&amp;$AH$1)/COUNTIF(D$3:$AA1139,"&lt;="&amp;$AH$1)</f>
        <v>30.039191027112977</v>
      </c>
    </row>
    <row r="1140" spans="2:34" x14ac:dyDescent="0.25">
      <c r="B1140" s="910">
        <v>40422</v>
      </c>
      <c r="C1140" s="581">
        <f t="shared" si="52"/>
        <v>9</v>
      </c>
      <c r="D1140" s="171">
        <v>37.75</v>
      </c>
      <c r="E1140" s="171">
        <v>36.86</v>
      </c>
      <c r="F1140" s="171">
        <v>33.480000000000004</v>
      </c>
      <c r="G1140" s="171">
        <v>32.869999999999997</v>
      </c>
      <c r="H1140" s="171">
        <v>34.300000000000004</v>
      </c>
      <c r="I1140" s="171">
        <v>38.5</v>
      </c>
      <c r="J1140" s="171">
        <v>49.5</v>
      </c>
      <c r="K1140" s="171">
        <v>53.11</v>
      </c>
      <c r="L1140" s="171">
        <v>54.5</v>
      </c>
      <c r="M1140" s="171">
        <v>55.2</v>
      </c>
      <c r="N1140" s="171">
        <v>57.2</v>
      </c>
      <c r="O1140" s="171">
        <v>60.24</v>
      </c>
      <c r="P1140" s="171">
        <v>58.09</v>
      </c>
      <c r="Q1140" s="171">
        <v>55.78</v>
      </c>
      <c r="R1140" s="171">
        <v>54.61</v>
      </c>
      <c r="S1140" s="171">
        <v>53.03</v>
      </c>
      <c r="T1140" s="171">
        <v>51.45</v>
      </c>
      <c r="U1140" s="171">
        <v>50.4</v>
      </c>
      <c r="V1140" s="171">
        <v>53.1</v>
      </c>
      <c r="W1140" s="171">
        <v>52.730000000000004</v>
      </c>
      <c r="X1140" s="171">
        <v>54.550000000000004</v>
      </c>
      <c r="Y1140" s="171">
        <v>49.61</v>
      </c>
      <c r="Z1140" s="171">
        <v>45.72</v>
      </c>
      <c r="AA1140" s="171">
        <v>41.75</v>
      </c>
      <c r="AB1140" s="171">
        <v>60.24</v>
      </c>
      <c r="AC1140" s="171">
        <v>45.72</v>
      </c>
      <c r="AD1140" s="171">
        <v>42.33</v>
      </c>
      <c r="AF1140" s="171">
        <f t="shared" si="53"/>
        <v>2010</v>
      </c>
      <c r="AG1140" s="171">
        <f t="shared" si="54"/>
        <v>7</v>
      </c>
      <c r="AH1140" s="700">
        <f>SUMIF(D$3:$AA1140,"&lt;="&amp;$AH$1)/COUNTIF(D$3:$AA1140,"&lt;="&amp;$AH$1)</f>
        <v>30.043183583406901</v>
      </c>
    </row>
    <row r="1141" spans="2:34" x14ac:dyDescent="0.25">
      <c r="B1141" s="910">
        <v>40423</v>
      </c>
      <c r="C1141" s="581">
        <f t="shared" si="52"/>
        <v>9</v>
      </c>
      <c r="D1141" s="171">
        <v>34.69</v>
      </c>
      <c r="E1141" s="171">
        <v>32.450000000000003</v>
      </c>
      <c r="F1141" s="171">
        <v>30.8</v>
      </c>
      <c r="G1141" s="171">
        <v>25.18</v>
      </c>
      <c r="H1141" s="171">
        <v>31.8</v>
      </c>
      <c r="I1141" s="171">
        <v>32.700000000000003</v>
      </c>
      <c r="J1141" s="171">
        <v>41.95</v>
      </c>
      <c r="K1141" s="171">
        <v>49.25</v>
      </c>
      <c r="L1141" s="171">
        <v>51.9</v>
      </c>
      <c r="M1141" s="171">
        <v>53</v>
      </c>
      <c r="N1141" s="171">
        <v>55</v>
      </c>
      <c r="O1141" s="171">
        <v>57.09</v>
      </c>
      <c r="P1141" s="171">
        <v>55.94</v>
      </c>
      <c r="Q1141" s="171">
        <v>53.77</v>
      </c>
      <c r="R1141" s="171">
        <v>54.01</v>
      </c>
      <c r="S1141" s="171">
        <v>51.5</v>
      </c>
      <c r="T1141" s="171">
        <v>50.9</v>
      </c>
      <c r="U1141" s="171">
        <v>50.01</v>
      </c>
      <c r="V1141" s="171">
        <v>51.050000000000004</v>
      </c>
      <c r="W1141" s="171">
        <v>50.300000000000004</v>
      </c>
      <c r="X1141" s="171">
        <v>52.96</v>
      </c>
      <c r="Y1141" s="171">
        <v>49.550000000000004</v>
      </c>
      <c r="Z1141" s="171">
        <v>46.050000000000004</v>
      </c>
      <c r="AA1141" s="171">
        <v>41.38</v>
      </c>
      <c r="AB1141" s="171">
        <v>57.09</v>
      </c>
      <c r="AC1141" s="171">
        <v>46.050000000000004</v>
      </c>
      <c r="AD1141" s="171">
        <v>39.06</v>
      </c>
      <c r="AF1141" s="171">
        <f t="shared" si="53"/>
        <v>2010</v>
      </c>
      <c r="AG1141" s="171">
        <f t="shared" si="54"/>
        <v>8</v>
      </c>
      <c r="AH1141" s="700">
        <f>SUMIF(D$3:$AA1141,"&lt;="&amp;$AH$1)/COUNTIF(D$3:$AA1141,"&lt;="&amp;$AH$1)</f>
        <v>30.045882871758707</v>
      </c>
    </row>
    <row r="1142" spans="2:34" x14ac:dyDescent="0.25">
      <c r="B1142" s="910">
        <v>40424</v>
      </c>
      <c r="C1142" s="581">
        <f t="shared" si="52"/>
        <v>9</v>
      </c>
      <c r="D1142" s="171">
        <v>40.5</v>
      </c>
      <c r="E1142" s="171">
        <v>37.76</v>
      </c>
      <c r="F1142" s="171">
        <v>35.800000000000004</v>
      </c>
      <c r="G1142" s="171">
        <v>29.71</v>
      </c>
      <c r="H1142" s="171">
        <v>31.51</v>
      </c>
      <c r="I1142" s="171">
        <v>39.07</v>
      </c>
      <c r="J1142" s="171">
        <v>47</v>
      </c>
      <c r="K1142" s="171">
        <v>52.13</v>
      </c>
      <c r="L1142" s="171">
        <v>54.25</v>
      </c>
      <c r="M1142" s="171">
        <v>55.27</v>
      </c>
      <c r="N1142" s="171">
        <v>57.72</v>
      </c>
      <c r="O1142" s="171">
        <v>59.81</v>
      </c>
      <c r="P1142" s="171">
        <v>58</v>
      </c>
      <c r="Q1142" s="171">
        <v>56.42</v>
      </c>
      <c r="R1142" s="171">
        <v>54.83</v>
      </c>
      <c r="S1142" s="171">
        <v>53</v>
      </c>
      <c r="T1142" s="171">
        <v>49.61</v>
      </c>
      <c r="U1142" s="171">
        <v>49.77</v>
      </c>
      <c r="V1142" s="171">
        <v>50.17</v>
      </c>
      <c r="W1142" s="171">
        <v>50</v>
      </c>
      <c r="X1142" s="171">
        <v>52.81</v>
      </c>
      <c r="Y1142" s="171">
        <v>50.910000000000004</v>
      </c>
      <c r="Z1142" s="171">
        <v>48.730000000000004</v>
      </c>
      <c r="AA1142" s="171">
        <v>46.5</v>
      </c>
      <c r="AB1142" s="171">
        <v>59.81</v>
      </c>
      <c r="AC1142" s="171">
        <v>48.730000000000004</v>
      </c>
      <c r="AD1142" s="171">
        <v>42.7</v>
      </c>
      <c r="AF1142" s="171">
        <f t="shared" si="53"/>
        <v>2010</v>
      </c>
      <c r="AG1142" s="171">
        <f t="shared" si="54"/>
        <v>6</v>
      </c>
      <c r="AH1142" s="700">
        <f>SUMIF(D$3:$AA1142,"&lt;="&amp;$AH$1)/COUNTIF(D$3:$AA1142,"&lt;="&amp;$AH$1)</f>
        <v>30.048886636107213</v>
      </c>
    </row>
    <row r="1143" spans="2:34" x14ac:dyDescent="0.25">
      <c r="B1143" s="910">
        <v>40427</v>
      </c>
      <c r="C1143" s="581">
        <f t="shared" si="52"/>
        <v>9</v>
      </c>
      <c r="D1143" s="171">
        <v>40.630000000000003</v>
      </c>
      <c r="E1143" s="171">
        <v>38.25</v>
      </c>
      <c r="F1143" s="171">
        <v>34.5</v>
      </c>
      <c r="G1143" s="171">
        <v>29.59</v>
      </c>
      <c r="H1143" s="171">
        <v>28.7</v>
      </c>
      <c r="I1143" s="171">
        <v>30</v>
      </c>
      <c r="J1143" s="171">
        <v>40.050000000000004</v>
      </c>
      <c r="K1143" s="171">
        <v>49.68</v>
      </c>
      <c r="L1143" s="171">
        <v>53.89</v>
      </c>
      <c r="M1143" s="171">
        <v>55.76</v>
      </c>
      <c r="N1143" s="171">
        <v>57.620000000000005</v>
      </c>
      <c r="O1143" s="171">
        <v>57.5</v>
      </c>
      <c r="P1143" s="171">
        <v>56.25</v>
      </c>
      <c r="Q1143" s="171">
        <v>54.6</v>
      </c>
      <c r="R1143" s="171">
        <v>53.2</v>
      </c>
      <c r="S1143" s="171">
        <v>50.910000000000004</v>
      </c>
      <c r="T1143" s="171">
        <v>49.84</v>
      </c>
      <c r="U1143" s="171">
        <v>48.89</v>
      </c>
      <c r="V1143" s="171">
        <v>50.26</v>
      </c>
      <c r="W1143" s="171">
        <v>49.43</v>
      </c>
      <c r="X1143" s="171">
        <v>52.5</v>
      </c>
      <c r="Y1143" s="171">
        <v>49.5</v>
      </c>
      <c r="Z1143" s="171">
        <v>43.56</v>
      </c>
      <c r="AA1143" s="171">
        <v>35.93</v>
      </c>
      <c r="AB1143" s="171">
        <v>57.620000000000005</v>
      </c>
      <c r="AC1143" s="171">
        <v>43.56</v>
      </c>
      <c r="AD1143" s="171">
        <v>39.410000000000004</v>
      </c>
      <c r="AF1143" s="171">
        <f t="shared" si="53"/>
        <v>2010</v>
      </c>
      <c r="AG1143" s="171">
        <f t="shared" si="54"/>
        <v>8</v>
      </c>
      <c r="AH1143" s="700">
        <f>SUMIF(D$3:$AA1143,"&lt;="&amp;$AH$1)/COUNTIF(D$3:$AA1143,"&lt;="&amp;$AH$1)</f>
        <v>30.052168780831593</v>
      </c>
    </row>
    <row r="1144" spans="2:34" x14ac:dyDescent="0.25">
      <c r="B1144" s="910">
        <v>40428</v>
      </c>
      <c r="C1144" s="581">
        <f t="shared" si="52"/>
        <v>9</v>
      </c>
      <c r="D1144" s="171">
        <v>35.119999999999997</v>
      </c>
      <c r="E1144" s="171">
        <v>31.77</v>
      </c>
      <c r="F1144" s="171">
        <v>29.88</v>
      </c>
      <c r="G1144" s="171">
        <v>28.5</v>
      </c>
      <c r="H1144" s="171">
        <v>30.34</v>
      </c>
      <c r="I1144" s="171">
        <v>35.65</v>
      </c>
      <c r="J1144" s="171">
        <v>37.33</v>
      </c>
      <c r="K1144" s="171">
        <v>46.480000000000004</v>
      </c>
      <c r="L1144" s="171">
        <v>56.28</v>
      </c>
      <c r="M1144" s="171">
        <v>56.800000000000004</v>
      </c>
      <c r="N1144" s="171">
        <v>58.13</v>
      </c>
      <c r="O1144" s="171">
        <v>59.07</v>
      </c>
      <c r="P1144" s="171">
        <v>54.58</v>
      </c>
      <c r="Q1144" s="171">
        <v>54.300000000000004</v>
      </c>
      <c r="R1144" s="171">
        <v>52.5</v>
      </c>
      <c r="S1144" s="171">
        <v>52</v>
      </c>
      <c r="T1144" s="171">
        <v>51</v>
      </c>
      <c r="U1144" s="171">
        <v>50.910000000000004</v>
      </c>
      <c r="V1144" s="171">
        <v>50.800000000000004</v>
      </c>
      <c r="W1144" s="171">
        <v>52.160000000000004</v>
      </c>
      <c r="X1144" s="171">
        <v>52.4</v>
      </c>
      <c r="Y1144" s="171">
        <v>46.99</v>
      </c>
      <c r="Z1144" s="171">
        <v>41.7</v>
      </c>
      <c r="AA1144" s="171">
        <v>35.119999999999997</v>
      </c>
      <c r="AB1144" s="171">
        <v>59.07</v>
      </c>
      <c r="AC1144" s="171">
        <v>41.7</v>
      </c>
      <c r="AD1144" s="171">
        <v>37.61</v>
      </c>
      <c r="AF1144" s="171">
        <f t="shared" si="53"/>
        <v>2010</v>
      </c>
      <c r="AG1144" s="171">
        <f t="shared" si="54"/>
        <v>9</v>
      </c>
      <c r="AH1144" s="700">
        <f>SUMIF(D$3:$AA1144,"&lt;="&amp;$AH$1)/COUNTIF(D$3:$AA1144,"&lt;="&amp;$AH$1)</f>
        <v>30.055244256667578</v>
      </c>
    </row>
    <row r="1145" spans="2:34" x14ac:dyDescent="0.25">
      <c r="B1145" s="910">
        <v>40429</v>
      </c>
      <c r="C1145" s="581">
        <f t="shared" si="52"/>
        <v>9</v>
      </c>
      <c r="D1145" s="171">
        <v>16.66</v>
      </c>
      <c r="E1145" s="171">
        <v>14.6</v>
      </c>
      <c r="F1145" s="171">
        <v>10.69</v>
      </c>
      <c r="G1145" s="171">
        <v>10.65</v>
      </c>
      <c r="H1145" s="171">
        <v>10.68</v>
      </c>
      <c r="I1145" s="171">
        <v>18.190000000000001</v>
      </c>
      <c r="J1145" s="171">
        <v>39.29</v>
      </c>
      <c r="K1145" s="171">
        <v>46.44</v>
      </c>
      <c r="L1145" s="171">
        <v>49.9</v>
      </c>
      <c r="M1145" s="171">
        <v>50.29</v>
      </c>
      <c r="N1145" s="171">
        <v>51.31</v>
      </c>
      <c r="O1145" s="171">
        <v>53.02</v>
      </c>
      <c r="P1145" s="171">
        <v>52.120000000000005</v>
      </c>
      <c r="Q1145" s="171">
        <v>50.56</v>
      </c>
      <c r="R1145" s="171">
        <v>50.21</v>
      </c>
      <c r="S1145" s="171">
        <v>49.25</v>
      </c>
      <c r="T1145" s="171">
        <v>48.01</v>
      </c>
      <c r="U1145" s="171">
        <v>47.52</v>
      </c>
      <c r="V1145" s="171">
        <v>48.620000000000005</v>
      </c>
      <c r="W1145" s="171">
        <v>47.35</v>
      </c>
      <c r="X1145" s="171">
        <v>50.81</v>
      </c>
      <c r="Y1145" s="171">
        <v>46.61</v>
      </c>
      <c r="Z1145" s="171">
        <v>44.13</v>
      </c>
      <c r="AA1145" s="171">
        <v>38.270000000000003</v>
      </c>
      <c r="AB1145" s="171">
        <v>53.02</v>
      </c>
      <c r="AC1145" s="171">
        <v>44.13</v>
      </c>
      <c r="AD1145" s="171">
        <v>28.92</v>
      </c>
      <c r="AF1145" s="171">
        <f t="shared" si="53"/>
        <v>2010</v>
      </c>
      <c r="AG1145" s="171">
        <f t="shared" si="54"/>
        <v>8</v>
      </c>
      <c r="AH1145" s="700">
        <f>SUMIF(D$3:$AA1145,"&lt;="&amp;$AH$1)/COUNTIF(D$3:$AA1145,"&lt;="&amp;$AH$1)</f>
        <v>30.048083384642478</v>
      </c>
    </row>
    <row r="1146" spans="2:34" x14ac:dyDescent="0.25">
      <c r="B1146" s="910">
        <v>40430</v>
      </c>
      <c r="C1146" s="581">
        <f t="shared" si="52"/>
        <v>9</v>
      </c>
      <c r="D1146" s="171">
        <v>33.43</v>
      </c>
      <c r="E1146" s="171">
        <v>30</v>
      </c>
      <c r="F1146" s="171">
        <v>26.02</v>
      </c>
      <c r="G1146" s="171">
        <v>21.3</v>
      </c>
      <c r="H1146" s="171">
        <v>22.29</v>
      </c>
      <c r="I1146" s="171">
        <v>35.160000000000004</v>
      </c>
      <c r="J1146" s="171">
        <v>44</v>
      </c>
      <c r="K1146" s="171">
        <v>48.980000000000004</v>
      </c>
      <c r="L1146" s="171">
        <v>54.77</v>
      </c>
      <c r="M1146" s="171">
        <v>54.59</v>
      </c>
      <c r="N1146" s="171">
        <v>55.76</v>
      </c>
      <c r="O1146" s="171">
        <v>57.25</v>
      </c>
      <c r="P1146" s="171">
        <v>56.29</v>
      </c>
      <c r="Q1146" s="171">
        <v>55.11</v>
      </c>
      <c r="R1146" s="171">
        <v>52.9</v>
      </c>
      <c r="S1146" s="171">
        <v>51</v>
      </c>
      <c r="T1146" s="171">
        <v>49.6</v>
      </c>
      <c r="U1146" s="171">
        <v>49.11</v>
      </c>
      <c r="V1146" s="171">
        <v>49.870000000000005</v>
      </c>
      <c r="W1146" s="171">
        <v>49.9</v>
      </c>
      <c r="X1146" s="171">
        <v>55.6</v>
      </c>
      <c r="Y1146" s="171">
        <v>50</v>
      </c>
      <c r="Z1146" s="171">
        <v>47.44</v>
      </c>
      <c r="AA1146" s="171">
        <v>41.910000000000004</v>
      </c>
      <c r="AB1146" s="171">
        <v>57.25</v>
      </c>
      <c r="AC1146" s="171">
        <v>47.44</v>
      </c>
      <c r="AD1146" s="171">
        <v>38.01</v>
      </c>
      <c r="AF1146" s="171">
        <f t="shared" si="53"/>
        <v>2010</v>
      </c>
      <c r="AG1146" s="171">
        <f t="shared" si="54"/>
        <v>7</v>
      </c>
      <c r="AH1146" s="700">
        <f>SUMIF(D$3:$AA1146,"&lt;="&amp;$AH$1)/COUNTIF(D$3:$AA1146,"&lt;="&amp;$AH$1)</f>
        <v>30.048063466947983</v>
      </c>
    </row>
    <row r="1147" spans="2:34" x14ac:dyDescent="0.25">
      <c r="B1147" s="910">
        <v>40431</v>
      </c>
      <c r="C1147" s="581">
        <f t="shared" si="52"/>
        <v>9</v>
      </c>
      <c r="D1147" s="171">
        <v>37.9</v>
      </c>
      <c r="E1147" s="171">
        <v>35.700000000000003</v>
      </c>
      <c r="F1147" s="171">
        <v>29.82</v>
      </c>
      <c r="G1147" s="171">
        <v>26.01</v>
      </c>
      <c r="H1147" s="171">
        <v>32.6</v>
      </c>
      <c r="I1147" s="171">
        <v>44</v>
      </c>
      <c r="J1147" s="171">
        <v>47.800000000000004</v>
      </c>
      <c r="K1147" s="171">
        <v>51.800000000000004</v>
      </c>
      <c r="L1147" s="171">
        <v>53.120000000000005</v>
      </c>
      <c r="M1147" s="171">
        <v>53.800000000000004</v>
      </c>
      <c r="N1147" s="171">
        <v>54.46</v>
      </c>
      <c r="O1147" s="171">
        <v>56.19</v>
      </c>
      <c r="P1147" s="171">
        <v>54.19</v>
      </c>
      <c r="Q1147" s="171">
        <v>51.32</v>
      </c>
      <c r="R1147" s="171">
        <v>50.300000000000004</v>
      </c>
      <c r="S1147" s="171">
        <v>49.33</v>
      </c>
      <c r="T1147" s="171">
        <v>47.64</v>
      </c>
      <c r="U1147" s="171">
        <v>46.62</v>
      </c>
      <c r="V1147" s="171">
        <v>49</v>
      </c>
      <c r="W1147" s="171">
        <v>49.46</v>
      </c>
      <c r="X1147" s="171">
        <v>52.59</v>
      </c>
      <c r="Y1147" s="171">
        <v>47.7</v>
      </c>
      <c r="Z1147" s="171">
        <v>47</v>
      </c>
      <c r="AA1147" s="171">
        <v>42.37</v>
      </c>
      <c r="AB1147" s="171">
        <v>56.19</v>
      </c>
      <c r="AC1147" s="171">
        <v>46.62</v>
      </c>
      <c r="AD1147" s="171">
        <v>41.27</v>
      </c>
      <c r="AF1147" s="171">
        <f t="shared" si="53"/>
        <v>2010</v>
      </c>
      <c r="AG1147" s="171">
        <f t="shared" si="54"/>
        <v>6</v>
      </c>
      <c r="AH1147" s="700">
        <f>SUMIF(D$3:$AA1147,"&lt;="&amp;$AH$1)/COUNTIF(D$3:$AA1147,"&lt;="&amp;$AH$1)</f>
        <v>30.050181866104399</v>
      </c>
    </row>
    <row r="1148" spans="2:34" x14ac:dyDescent="0.25">
      <c r="B1148" s="910">
        <v>40434</v>
      </c>
      <c r="C1148" s="581">
        <f t="shared" si="52"/>
        <v>9</v>
      </c>
      <c r="D1148" s="171">
        <v>34.619999999999997</v>
      </c>
      <c r="E1148" s="171">
        <v>29</v>
      </c>
      <c r="F1148" s="171">
        <v>24</v>
      </c>
      <c r="G1148" s="171">
        <v>23</v>
      </c>
      <c r="H1148" s="171">
        <v>27</v>
      </c>
      <c r="I1148" s="171">
        <v>35.75</v>
      </c>
      <c r="J1148" s="171">
        <v>50.19</v>
      </c>
      <c r="K1148" s="171">
        <v>55.050000000000004</v>
      </c>
      <c r="L1148" s="171">
        <v>56.39</v>
      </c>
      <c r="M1148" s="171">
        <v>56.42</v>
      </c>
      <c r="N1148" s="171">
        <v>57.49</v>
      </c>
      <c r="O1148" s="171">
        <v>60.94</v>
      </c>
      <c r="P1148" s="171">
        <v>58.59</v>
      </c>
      <c r="Q1148" s="171">
        <v>56.77</v>
      </c>
      <c r="R1148" s="171">
        <v>55.01</v>
      </c>
      <c r="S1148" s="171">
        <v>52</v>
      </c>
      <c r="T1148" s="171">
        <v>51.370000000000005</v>
      </c>
      <c r="U1148" s="171">
        <v>50.95</v>
      </c>
      <c r="V1148" s="171">
        <v>51.47</v>
      </c>
      <c r="W1148" s="171">
        <v>53.160000000000004</v>
      </c>
      <c r="X1148" s="171">
        <v>55.76</v>
      </c>
      <c r="Y1148" s="171">
        <v>51.660000000000004</v>
      </c>
      <c r="Z1148" s="171">
        <v>48.18</v>
      </c>
      <c r="AA1148" s="171">
        <v>42.39</v>
      </c>
      <c r="AB1148" s="171">
        <v>60.94</v>
      </c>
      <c r="AC1148" s="171">
        <v>48.18</v>
      </c>
      <c r="AD1148" s="171">
        <v>39.72</v>
      </c>
      <c r="AF1148" s="171">
        <f t="shared" si="53"/>
        <v>2010</v>
      </c>
      <c r="AG1148" s="171">
        <f t="shared" si="54"/>
        <v>7</v>
      </c>
      <c r="AH1148" s="700">
        <f>SUMIF(D$3:$AA1148,"&lt;="&amp;$AH$1)/COUNTIF(D$3:$AA1148,"&lt;="&amp;$AH$1)</f>
        <v>30.050656774080277</v>
      </c>
    </row>
    <row r="1149" spans="2:34" x14ac:dyDescent="0.25">
      <c r="B1149" s="910">
        <v>40435</v>
      </c>
      <c r="C1149" s="581">
        <f t="shared" si="52"/>
        <v>9</v>
      </c>
      <c r="D1149" s="171">
        <v>39</v>
      </c>
      <c r="E1149" s="171">
        <v>34.07</v>
      </c>
      <c r="F1149" s="171">
        <v>25.91</v>
      </c>
      <c r="G1149" s="171">
        <v>17.07</v>
      </c>
      <c r="H1149" s="171">
        <v>18.27</v>
      </c>
      <c r="I1149" s="171">
        <v>32.5</v>
      </c>
      <c r="J1149" s="171">
        <v>48.5</v>
      </c>
      <c r="K1149" s="171">
        <v>56.230000000000004</v>
      </c>
      <c r="L1149" s="171">
        <v>53.27</v>
      </c>
      <c r="M1149" s="171">
        <v>53.620000000000005</v>
      </c>
      <c r="N1149" s="171">
        <v>54.18</v>
      </c>
      <c r="O1149" s="171">
        <v>56.74</v>
      </c>
      <c r="P1149" s="171">
        <v>54.9</v>
      </c>
      <c r="Q1149" s="171">
        <v>53.03</v>
      </c>
      <c r="R1149" s="171">
        <v>51.08</v>
      </c>
      <c r="S1149" s="171">
        <v>50.33</v>
      </c>
      <c r="T1149" s="171">
        <v>49.95</v>
      </c>
      <c r="U1149" s="171">
        <v>49.03</v>
      </c>
      <c r="V1149" s="171">
        <v>50.01</v>
      </c>
      <c r="W1149" s="171">
        <v>51</v>
      </c>
      <c r="X1149" s="171">
        <v>54</v>
      </c>
      <c r="Y1149" s="171">
        <v>46.92</v>
      </c>
      <c r="Z1149" s="171">
        <v>45</v>
      </c>
      <c r="AA1149" s="171">
        <v>39.160000000000004</v>
      </c>
      <c r="AB1149" s="171">
        <v>56.74</v>
      </c>
      <c r="AC1149" s="171">
        <v>45</v>
      </c>
      <c r="AD1149" s="171">
        <v>38.050000000000004</v>
      </c>
      <c r="AF1149" s="171">
        <f t="shared" si="53"/>
        <v>2010</v>
      </c>
      <c r="AG1149" s="171">
        <f t="shared" si="54"/>
        <v>7</v>
      </c>
      <c r="AH1149" s="700">
        <f>SUMIF(D$3:$AA1149,"&lt;="&amp;$AH$1)/COUNTIF(D$3:$AA1149,"&lt;="&amp;$AH$1)</f>
        <v>30.050272902772925</v>
      </c>
    </row>
    <row r="1150" spans="2:34" x14ac:dyDescent="0.25">
      <c r="B1150" s="910">
        <v>40436</v>
      </c>
      <c r="C1150" s="581">
        <f t="shared" si="52"/>
        <v>9</v>
      </c>
      <c r="D1150" s="171">
        <v>38.14</v>
      </c>
      <c r="E1150" s="171">
        <v>34.24</v>
      </c>
      <c r="F1150" s="171">
        <v>26</v>
      </c>
      <c r="G1150" s="171">
        <v>15.83</v>
      </c>
      <c r="H1150" s="171">
        <v>18.809999999999999</v>
      </c>
      <c r="I1150" s="171">
        <v>36.5</v>
      </c>
      <c r="J1150" s="171">
        <v>47.01</v>
      </c>
      <c r="K1150" s="171">
        <v>52.5</v>
      </c>
      <c r="L1150" s="171">
        <v>52.38</v>
      </c>
      <c r="M1150" s="171">
        <v>53.13</v>
      </c>
      <c r="N1150" s="171">
        <v>53.5</v>
      </c>
      <c r="O1150" s="171">
        <v>54.88</v>
      </c>
      <c r="P1150" s="171">
        <v>53.75</v>
      </c>
      <c r="Q1150" s="171">
        <v>52.410000000000004</v>
      </c>
      <c r="R1150" s="171">
        <v>51.43</v>
      </c>
      <c r="S1150" s="171">
        <v>49.27</v>
      </c>
      <c r="T1150" s="171">
        <v>49.93</v>
      </c>
      <c r="U1150" s="171">
        <v>49.18</v>
      </c>
      <c r="V1150" s="171">
        <v>49</v>
      </c>
      <c r="W1150" s="171">
        <v>50.92</v>
      </c>
      <c r="X1150" s="171">
        <v>54.29</v>
      </c>
      <c r="Y1150" s="171">
        <v>48.72</v>
      </c>
      <c r="Z1150" s="171">
        <v>45.72</v>
      </c>
      <c r="AA1150" s="171">
        <v>40.57</v>
      </c>
      <c r="AB1150" s="171">
        <v>54.88</v>
      </c>
      <c r="AC1150" s="171">
        <v>45.72</v>
      </c>
      <c r="AD1150" s="171">
        <v>38.19</v>
      </c>
      <c r="AF1150" s="171">
        <f t="shared" si="53"/>
        <v>2010</v>
      </c>
      <c r="AG1150" s="171">
        <f t="shared" si="54"/>
        <v>7</v>
      </c>
      <c r="AH1150" s="700">
        <f>SUMIF(D$3:$AA1150,"&lt;="&amp;$AH$1)/COUNTIF(D$3:$AA1150,"&lt;="&amp;$AH$1)</f>
        <v>30.05024993422786</v>
      </c>
    </row>
    <row r="1151" spans="2:34" x14ac:dyDescent="0.25">
      <c r="B1151" s="910">
        <v>40437</v>
      </c>
      <c r="C1151" s="581">
        <f t="shared" si="52"/>
        <v>9</v>
      </c>
      <c r="D1151" s="171">
        <v>38.99</v>
      </c>
      <c r="E1151" s="171">
        <v>37.43</v>
      </c>
      <c r="F1151" s="171">
        <v>29.990000000000002</v>
      </c>
      <c r="G1151" s="171">
        <v>21.81</v>
      </c>
      <c r="H1151" s="171">
        <v>26</v>
      </c>
      <c r="I1151" s="171">
        <v>40.200000000000003</v>
      </c>
      <c r="J1151" s="171">
        <v>47.6</v>
      </c>
      <c r="K1151" s="171">
        <v>52.95</v>
      </c>
      <c r="L1151" s="171">
        <v>55</v>
      </c>
      <c r="M1151" s="171">
        <v>54.47</v>
      </c>
      <c r="N1151" s="171">
        <v>56.49</v>
      </c>
      <c r="O1151" s="171">
        <v>57.7</v>
      </c>
      <c r="P1151" s="171">
        <v>53.370000000000005</v>
      </c>
      <c r="Q1151" s="171">
        <v>53</v>
      </c>
      <c r="R1151" s="171">
        <v>52</v>
      </c>
      <c r="S1151" s="171">
        <v>50.2</v>
      </c>
      <c r="T1151" s="171">
        <v>50.94</v>
      </c>
      <c r="U1151" s="171">
        <v>51.88</v>
      </c>
      <c r="V1151" s="171">
        <v>53.38</v>
      </c>
      <c r="W1151" s="171">
        <v>55.120000000000005</v>
      </c>
      <c r="X1151" s="171">
        <v>56.76</v>
      </c>
      <c r="Y1151" s="171">
        <v>51.1</v>
      </c>
      <c r="Z1151" s="171">
        <v>50.230000000000004</v>
      </c>
      <c r="AA1151" s="171">
        <v>44.13</v>
      </c>
      <c r="AB1151" s="171">
        <v>57.7</v>
      </c>
      <c r="AC1151" s="171">
        <v>50.2</v>
      </c>
      <c r="AD1151" s="171">
        <v>41.43</v>
      </c>
      <c r="AF1151" s="171">
        <f t="shared" si="53"/>
        <v>2010</v>
      </c>
      <c r="AG1151" s="171">
        <f t="shared" si="54"/>
        <v>6</v>
      </c>
      <c r="AH1151" s="700">
        <f>SUMIF(D$3:$AA1151,"&lt;="&amp;$AH$1)/COUNTIF(D$3:$AA1151,"&lt;="&amp;$AH$1)</f>
        <v>30.05148742221056</v>
      </c>
    </row>
    <row r="1152" spans="2:34" x14ac:dyDescent="0.25">
      <c r="B1152" s="910">
        <v>40438</v>
      </c>
      <c r="C1152" s="581">
        <f t="shared" si="52"/>
        <v>9</v>
      </c>
      <c r="D1152" s="171">
        <v>44.09</v>
      </c>
      <c r="E1152" s="171">
        <v>40.64</v>
      </c>
      <c r="F1152" s="171">
        <v>36.01</v>
      </c>
      <c r="G1152" s="171">
        <v>31.11</v>
      </c>
      <c r="H1152" s="171">
        <v>34</v>
      </c>
      <c r="I1152" s="171">
        <v>40.76</v>
      </c>
      <c r="J1152" s="171">
        <v>46.480000000000004</v>
      </c>
      <c r="K1152" s="171">
        <v>54.74</v>
      </c>
      <c r="L1152" s="171">
        <v>58.11</v>
      </c>
      <c r="M1152" s="171">
        <v>57.07</v>
      </c>
      <c r="N1152" s="171">
        <v>58.5</v>
      </c>
      <c r="O1152" s="171">
        <v>58.800000000000004</v>
      </c>
      <c r="P1152" s="171">
        <v>54.96</v>
      </c>
      <c r="Q1152" s="171">
        <v>53.03</v>
      </c>
      <c r="R1152" s="171">
        <v>51.22</v>
      </c>
      <c r="S1152" s="171">
        <v>49.56</v>
      </c>
      <c r="T1152" s="171">
        <v>47.43</v>
      </c>
      <c r="U1152" s="171">
        <v>49.49</v>
      </c>
      <c r="V1152" s="171">
        <v>50.44</v>
      </c>
      <c r="W1152" s="171">
        <v>53.03</v>
      </c>
      <c r="X1152" s="171">
        <v>55.31</v>
      </c>
      <c r="Y1152" s="171">
        <v>50.69</v>
      </c>
      <c r="Z1152" s="171">
        <v>48.75</v>
      </c>
      <c r="AA1152" s="171">
        <v>44.410000000000004</v>
      </c>
      <c r="AB1152" s="171">
        <v>58.800000000000004</v>
      </c>
      <c r="AC1152" s="171">
        <v>47.43</v>
      </c>
      <c r="AD1152" s="171">
        <v>43.92</v>
      </c>
      <c r="AF1152" s="171">
        <f t="shared" si="53"/>
        <v>2010</v>
      </c>
      <c r="AG1152" s="171">
        <f t="shared" si="54"/>
        <v>5</v>
      </c>
      <c r="AH1152" s="700">
        <f>SUMIF(D$3:$AA1152,"&lt;="&amp;$AH$1)/COUNTIF(D$3:$AA1152,"&lt;="&amp;$AH$1)</f>
        <v>30.054314000350473</v>
      </c>
    </row>
    <row r="1153" spans="2:34" x14ac:dyDescent="0.25">
      <c r="B1153" s="910">
        <v>40441</v>
      </c>
      <c r="C1153" s="581">
        <f t="shared" si="52"/>
        <v>9</v>
      </c>
      <c r="D1153" s="171">
        <v>38</v>
      </c>
      <c r="E1153" s="171">
        <v>34.93</v>
      </c>
      <c r="F1153" s="171">
        <v>30.82</v>
      </c>
      <c r="G1153" s="171">
        <v>27.13</v>
      </c>
      <c r="H1153" s="171">
        <v>28.32</v>
      </c>
      <c r="I1153" s="171">
        <v>37</v>
      </c>
      <c r="J1153" s="171">
        <v>46</v>
      </c>
      <c r="K1153" s="171">
        <v>54.14</v>
      </c>
      <c r="L1153" s="171">
        <v>57.61</v>
      </c>
      <c r="M1153" s="171">
        <v>57</v>
      </c>
      <c r="N1153" s="171">
        <v>58.51</v>
      </c>
      <c r="O1153" s="171">
        <v>59.32</v>
      </c>
      <c r="P1153" s="171">
        <v>57.33</v>
      </c>
      <c r="Q1153" s="171">
        <v>55.2</v>
      </c>
      <c r="R1153" s="171">
        <v>53.980000000000004</v>
      </c>
      <c r="S1153" s="171">
        <v>52.01</v>
      </c>
      <c r="T1153" s="171">
        <v>52.5</v>
      </c>
      <c r="U1153" s="171">
        <v>52</v>
      </c>
      <c r="V1153" s="171">
        <v>54.5</v>
      </c>
      <c r="W1153" s="171">
        <v>59.15</v>
      </c>
      <c r="X1153" s="171">
        <v>60</v>
      </c>
      <c r="Y1153" s="171">
        <v>50.5</v>
      </c>
      <c r="Z1153" s="171">
        <v>49.93</v>
      </c>
      <c r="AA1153" s="171">
        <v>44.84</v>
      </c>
      <c r="AB1153" s="171">
        <v>60</v>
      </c>
      <c r="AC1153" s="171">
        <v>49.93</v>
      </c>
      <c r="AD1153" s="171">
        <v>41.800000000000004</v>
      </c>
      <c r="AF1153" s="171">
        <f t="shared" si="53"/>
        <v>2010</v>
      </c>
      <c r="AG1153" s="171">
        <f t="shared" si="54"/>
        <v>6</v>
      </c>
      <c r="AH1153" s="700">
        <f>SUMIF(D$3:$AA1153,"&lt;="&amp;$AH$1)/COUNTIF(D$3:$AA1153,"&lt;="&amp;$AH$1)</f>
        <v>30.055704028021044</v>
      </c>
    </row>
    <row r="1154" spans="2:34" x14ac:dyDescent="0.25">
      <c r="B1154" s="910">
        <v>40442</v>
      </c>
      <c r="C1154" s="581">
        <f t="shared" si="52"/>
        <v>9</v>
      </c>
      <c r="D1154" s="171">
        <v>37</v>
      </c>
      <c r="E1154" s="171">
        <v>36.230000000000004</v>
      </c>
      <c r="F1154" s="171">
        <v>30.5</v>
      </c>
      <c r="G1154" s="171">
        <v>29.5</v>
      </c>
      <c r="H1154" s="171">
        <v>31.59</v>
      </c>
      <c r="I1154" s="171">
        <v>38</v>
      </c>
      <c r="J1154" s="171">
        <v>47.82</v>
      </c>
      <c r="K1154" s="171">
        <v>55.58</v>
      </c>
      <c r="L1154" s="171">
        <v>56.19</v>
      </c>
      <c r="M1154" s="171">
        <v>56.2</v>
      </c>
      <c r="N1154" s="171">
        <v>57.51</v>
      </c>
      <c r="O1154" s="171">
        <v>58.2</v>
      </c>
      <c r="P1154" s="171">
        <v>57.370000000000005</v>
      </c>
      <c r="Q1154" s="171">
        <v>55.300000000000004</v>
      </c>
      <c r="R1154" s="171">
        <v>54.93</v>
      </c>
      <c r="S1154" s="171">
        <v>53</v>
      </c>
      <c r="T1154" s="171">
        <v>49.96</v>
      </c>
      <c r="U1154" s="171">
        <v>51.5</v>
      </c>
      <c r="V1154" s="171">
        <v>53.28</v>
      </c>
      <c r="W1154" s="171">
        <v>57.02</v>
      </c>
      <c r="X1154" s="171">
        <v>59.65</v>
      </c>
      <c r="Y1154" s="171">
        <v>52</v>
      </c>
      <c r="Z1154" s="171">
        <v>49.2</v>
      </c>
      <c r="AA1154" s="171">
        <v>45.94</v>
      </c>
      <c r="AB1154" s="171">
        <v>59.65</v>
      </c>
      <c r="AC1154" s="171">
        <v>49.2</v>
      </c>
      <c r="AD1154" s="171">
        <v>42.75</v>
      </c>
      <c r="AF1154" s="171">
        <f t="shared" si="53"/>
        <v>2010</v>
      </c>
      <c r="AG1154" s="171">
        <f t="shared" si="54"/>
        <v>6</v>
      </c>
      <c r="AH1154" s="700">
        <f>SUMIF(D$3:$AA1154,"&lt;="&amp;$AH$1)/COUNTIF(D$3:$AA1154,"&lt;="&amp;$AH$1)</f>
        <v>30.057671976194673</v>
      </c>
    </row>
    <row r="1155" spans="2:34" x14ac:dyDescent="0.25">
      <c r="B1155" s="910">
        <v>40443</v>
      </c>
      <c r="C1155" s="581">
        <f t="shared" si="52"/>
        <v>9</v>
      </c>
      <c r="D1155" s="171">
        <v>40.99</v>
      </c>
      <c r="E1155" s="171">
        <v>38.700000000000003</v>
      </c>
      <c r="F1155" s="171">
        <v>35</v>
      </c>
      <c r="G1155" s="171">
        <v>32.700000000000003</v>
      </c>
      <c r="H1155" s="171">
        <v>34</v>
      </c>
      <c r="I1155" s="171">
        <v>37.57</v>
      </c>
      <c r="J1155" s="171">
        <v>48</v>
      </c>
      <c r="K1155" s="171">
        <v>55.59</v>
      </c>
      <c r="L1155" s="171">
        <v>59.03</v>
      </c>
      <c r="M1155" s="171">
        <v>58.5</v>
      </c>
      <c r="N1155" s="171">
        <v>59.06</v>
      </c>
      <c r="O1155" s="171">
        <v>60.83</v>
      </c>
      <c r="P1155" s="171">
        <v>58.550000000000004</v>
      </c>
      <c r="Q1155" s="171">
        <v>57.51</v>
      </c>
      <c r="R1155" s="171">
        <v>56.5</v>
      </c>
      <c r="S1155" s="171">
        <v>53.2</v>
      </c>
      <c r="T1155" s="171">
        <v>53.58</v>
      </c>
      <c r="U1155" s="171">
        <v>55</v>
      </c>
      <c r="V1155" s="171">
        <v>57.4</v>
      </c>
      <c r="W1155" s="171">
        <v>60.660000000000004</v>
      </c>
      <c r="X1155" s="171">
        <v>63.620000000000005</v>
      </c>
      <c r="Y1155" s="171">
        <v>55.65</v>
      </c>
      <c r="Z1155" s="171">
        <v>50.9</v>
      </c>
      <c r="AA1155" s="171">
        <v>44.800000000000004</v>
      </c>
      <c r="AB1155" s="171">
        <v>63.620000000000005</v>
      </c>
      <c r="AC1155" s="171">
        <v>50.9</v>
      </c>
      <c r="AD1155" s="171">
        <v>44.79</v>
      </c>
      <c r="AF1155" s="171">
        <f t="shared" si="53"/>
        <v>2010</v>
      </c>
      <c r="AG1155" s="171">
        <f t="shared" si="54"/>
        <v>6</v>
      </c>
      <c r="AH1155" s="700">
        <f>SUMIF(D$3:$AA1155,"&lt;="&amp;$AH$1)/COUNTIF(D$3:$AA1155,"&lt;="&amp;$AH$1)</f>
        <v>30.061049685094499</v>
      </c>
    </row>
    <row r="1156" spans="2:34" x14ac:dyDescent="0.25">
      <c r="B1156" s="910">
        <v>40444</v>
      </c>
      <c r="C1156" s="581">
        <f t="shared" ref="C1156:C1219" si="55">MONTH(B1156)</f>
        <v>9</v>
      </c>
      <c r="D1156" s="171">
        <v>39.800000000000004</v>
      </c>
      <c r="E1156" s="171">
        <v>38.17</v>
      </c>
      <c r="F1156" s="171">
        <v>36.36</v>
      </c>
      <c r="G1156" s="171">
        <v>34.020000000000003</v>
      </c>
      <c r="H1156" s="171">
        <v>36.230000000000004</v>
      </c>
      <c r="I1156" s="171">
        <v>37.700000000000003</v>
      </c>
      <c r="J1156" s="171">
        <v>46.2</v>
      </c>
      <c r="K1156" s="171">
        <v>54</v>
      </c>
      <c r="L1156" s="171">
        <v>61</v>
      </c>
      <c r="M1156" s="171">
        <v>59.7</v>
      </c>
      <c r="N1156" s="171">
        <v>58.68</v>
      </c>
      <c r="O1156" s="171">
        <v>59</v>
      </c>
      <c r="P1156" s="171">
        <v>57.28</v>
      </c>
      <c r="Q1156" s="171">
        <v>57</v>
      </c>
      <c r="R1156" s="171">
        <v>56.61</v>
      </c>
      <c r="S1156" s="171">
        <v>53.45</v>
      </c>
      <c r="T1156" s="171">
        <v>54.550000000000004</v>
      </c>
      <c r="U1156" s="171">
        <v>56.1</v>
      </c>
      <c r="V1156" s="171">
        <v>57.5</v>
      </c>
      <c r="W1156" s="171">
        <v>60.84</v>
      </c>
      <c r="X1156" s="171">
        <v>58.06</v>
      </c>
      <c r="Y1156" s="171">
        <v>47.67</v>
      </c>
      <c r="Z1156" s="171">
        <v>45.65</v>
      </c>
      <c r="AA1156" s="171">
        <v>41.09</v>
      </c>
      <c r="AB1156" s="171">
        <v>61</v>
      </c>
      <c r="AC1156" s="171">
        <v>45.65</v>
      </c>
      <c r="AD1156" s="171">
        <v>42.910000000000004</v>
      </c>
      <c r="AF1156" s="171">
        <f t="shared" ref="AF1156:AF1219" si="56">YEAR(B1156)</f>
        <v>2010</v>
      </c>
      <c r="AG1156" s="171">
        <f t="shared" ref="AG1156:AG1219" si="57">COUNTIF(D1156:AA1156,"&lt;="&amp;$AH$1)</f>
        <v>7</v>
      </c>
      <c r="AH1156" s="700">
        <f>SUMIF(D$3:$AA1156,"&lt;="&amp;$AH$1)/COUNTIF(D$3:$AA1156,"&lt;="&amp;$AH$1)</f>
        <v>30.065677943876242</v>
      </c>
    </row>
    <row r="1157" spans="2:34" x14ac:dyDescent="0.25">
      <c r="B1157" s="910">
        <v>40445</v>
      </c>
      <c r="C1157" s="581">
        <f t="shared" si="55"/>
        <v>9</v>
      </c>
      <c r="D1157" s="171">
        <v>40.4</v>
      </c>
      <c r="E1157" s="171">
        <v>37.92</v>
      </c>
      <c r="F1157" s="171">
        <v>35.700000000000003</v>
      </c>
      <c r="G1157" s="171">
        <v>33.4</v>
      </c>
      <c r="H1157" s="171">
        <v>34.11</v>
      </c>
      <c r="I1157" s="171">
        <v>35.410000000000004</v>
      </c>
      <c r="J1157" s="171">
        <v>45</v>
      </c>
      <c r="K1157" s="171">
        <v>55.050000000000004</v>
      </c>
      <c r="L1157" s="171">
        <v>58.22</v>
      </c>
      <c r="M1157" s="171">
        <v>59.550000000000004</v>
      </c>
      <c r="N1157" s="171">
        <v>60.44</v>
      </c>
      <c r="O1157" s="171">
        <v>60.93</v>
      </c>
      <c r="P1157" s="171">
        <v>58.88</v>
      </c>
      <c r="Q1157" s="171">
        <v>56.83</v>
      </c>
      <c r="R1157" s="171">
        <v>55.32</v>
      </c>
      <c r="S1157" s="171">
        <v>52.050000000000004</v>
      </c>
      <c r="T1157" s="171">
        <v>49.76</v>
      </c>
      <c r="U1157" s="171">
        <v>50.33</v>
      </c>
      <c r="V1157" s="171">
        <v>51.25</v>
      </c>
      <c r="W1157" s="171">
        <v>56.72</v>
      </c>
      <c r="X1157" s="171">
        <v>56.94</v>
      </c>
      <c r="Y1157" s="171">
        <v>49.96</v>
      </c>
      <c r="Z1157" s="171">
        <v>48.27</v>
      </c>
      <c r="AA1157" s="171">
        <v>46</v>
      </c>
      <c r="AB1157" s="171">
        <v>60.93</v>
      </c>
      <c r="AC1157" s="171">
        <v>48.27</v>
      </c>
      <c r="AD1157" s="171">
        <v>43.18</v>
      </c>
      <c r="AF1157" s="171">
        <f t="shared" si="56"/>
        <v>2010</v>
      </c>
      <c r="AG1157" s="171">
        <f t="shared" si="57"/>
        <v>6</v>
      </c>
      <c r="AH1157" s="700">
        <f>SUMIF(D$3:$AA1157,"&lt;="&amp;$AH$1)/COUNTIF(D$3:$AA1157,"&lt;="&amp;$AH$1)</f>
        <v>30.06887112276106</v>
      </c>
    </row>
    <row r="1158" spans="2:34" x14ac:dyDescent="0.25">
      <c r="B1158" s="910">
        <v>40448</v>
      </c>
      <c r="C1158" s="581">
        <f t="shared" si="55"/>
        <v>9</v>
      </c>
      <c r="D1158" s="171">
        <v>43.99</v>
      </c>
      <c r="E1158" s="171">
        <v>42.01</v>
      </c>
      <c r="F1158" s="171">
        <v>36.33</v>
      </c>
      <c r="G1158" s="171">
        <v>30.36</v>
      </c>
      <c r="H1158" s="171">
        <v>30.01</v>
      </c>
      <c r="I1158" s="171">
        <v>37.69</v>
      </c>
      <c r="J1158" s="171">
        <v>53.28</v>
      </c>
      <c r="K1158" s="171">
        <v>61.1</v>
      </c>
      <c r="L1158" s="171">
        <v>63.36</v>
      </c>
      <c r="M1158" s="171">
        <v>63.5</v>
      </c>
      <c r="N1158" s="171">
        <v>63.18</v>
      </c>
      <c r="O1158" s="171">
        <v>64.2</v>
      </c>
      <c r="P1158" s="171">
        <v>63.36</v>
      </c>
      <c r="Q1158" s="171">
        <v>62.9</v>
      </c>
      <c r="R1158" s="171">
        <v>61</v>
      </c>
      <c r="S1158" s="171">
        <v>56.19</v>
      </c>
      <c r="T1158" s="171">
        <v>53.99</v>
      </c>
      <c r="U1158" s="171">
        <v>53.54</v>
      </c>
      <c r="V1158" s="171">
        <v>56.88</v>
      </c>
      <c r="W1158" s="171">
        <v>63.2</v>
      </c>
      <c r="X1158" s="171">
        <v>63</v>
      </c>
      <c r="Y1158" s="171">
        <v>54.71</v>
      </c>
      <c r="Z1158" s="171">
        <v>54.29</v>
      </c>
      <c r="AA1158" s="171">
        <v>52.09</v>
      </c>
      <c r="AB1158" s="171">
        <v>64.2</v>
      </c>
      <c r="AC1158" s="171">
        <v>53.54</v>
      </c>
      <c r="AD1158" s="171">
        <v>46.57</v>
      </c>
      <c r="AF1158" s="171">
        <f t="shared" si="56"/>
        <v>2010</v>
      </c>
      <c r="AG1158" s="171">
        <f t="shared" si="57"/>
        <v>5</v>
      </c>
      <c r="AH1158" s="700">
        <f>SUMIF(D$3:$AA1158,"&lt;="&amp;$AH$1)/COUNTIF(D$3:$AA1158,"&lt;="&amp;$AH$1)</f>
        <v>30.071146724890859</v>
      </c>
    </row>
    <row r="1159" spans="2:34" x14ac:dyDescent="0.25">
      <c r="B1159" s="910">
        <v>40449</v>
      </c>
      <c r="C1159" s="581">
        <f t="shared" si="55"/>
        <v>9</v>
      </c>
      <c r="D1159" s="171">
        <v>43.84</v>
      </c>
      <c r="E1159" s="171">
        <v>41</v>
      </c>
      <c r="F1159" s="171">
        <v>38.800000000000004</v>
      </c>
      <c r="G1159" s="171">
        <v>36</v>
      </c>
      <c r="H1159" s="171">
        <v>36.99</v>
      </c>
      <c r="I1159" s="171">
        <v>41.51</v>
      </c>
      <c r="J1159" s="171">
        <v>49.980000000000004</v>
      </c>
      <c r="K1159" s="171">
        <v>62.95</v>
      </c>
      <c r="L1159" s="171">
        <v>64.06</v>
      </c>
      <c r="M1159" s="171">
        <v>64.75</v>
      </c>
      <c r="N1159" s="171">
        <v>63.46</v>
      </c>
      <c r="O1159" s="171">
        <v>65</v>
      </c>
      <c r="P1159" s="171">
        <v>63</v>
      </c>
      <c r="Q1159" s="171">
        <v>61</v>
      </c>
      <c r="R1159" s="171">
        <v>60.7</v>
      </c>
      <c r="S1159" s="171">
        <v>56.74</v>
      </c>
      <c r="T1159" s="171">
        <v>57.2</v>
      </c>
      <c r="U1159" s="171">
        <v>57.08</v>
      </c>
      <c r="V1159" s="171">
        <v>60.7</v>
      </c>
      <c r="W1159" s="171">
        <v>65.91</v>
      </c>
      <c r="X1159" s="171">
        <v>63.18</v>
      </c>
      <c r="Y1159" s="171">
        <v>52.46</v>
      </c>
      <c r="Z1159" s="171">
        <v>50.050000000000004</v>
      </c>
      <c r="AA1159" s="171">
        <v>45.17</v>
      </c>
      <c r="AB1159" s="171">
        <v>65.91</v>
      </c>
      <c r="AC1159" s="171">
        <v>50.050000000000004</v>
      </c>
      <c r="AD1159" s="171">
        <v>46.83</v>
      </c>
      <c r="AF1159" s="171">
        <f t="shared" si="56"/>
        <v>2010</v>
      </c>
      <c r="AG1159" s="171">
        <f t="shared" si="57"/>
        <v>5</v>
      </c>
      <c r="AH1159" s="700">
        <f>SUMIF(D$3:$AA1159,"&lt;="&amp;$AH$1)/COUNTIF(D$3:$AA1159,"&lt;="&amp;$AH$1)</f>
        <v>30.074982976866028</v>
      </c>
    </row>
    <row r="1160" spans="2:34" x14ac:dyDescent="0.25">
      <c r="B1160" s="910">
        <v>40450</v>
      </c>
      <c r="C1160" s="581">
        <f t="shared" si="55"/>
        <v>9</v>
      </c>
      <c r="D1160" s="171">
        <v>44.01</v>
      </c>
      <c r="E1160" s="171">
        <v>40.81</v>
      </c>
      <c r="F1160" s="171">
        <v>38.17</v>
      </c>
      <c r="G1160" s="171">
        <v>35.99</v>
      </c>
      <c r="H1160" s="171">
        <v>36.64</v>
      </c>
      <c r="I1160" s="171">
        <v>40.14</v>
      </c>
      <c r="J1160" s="171">
        <v>49.22</v>
      </c>
      <c r="K1160" s="171">
        <v>63</v>
      </c>
      <c r="L1160" s="171">
        <v>65</v>
      </c>
      <c r="M1160" s="171">
        <v>66.7</v>
      </c>
      <c r="N1160" s="171">
        <v>66.099999999999994</v>
      </c>
      <c r="O1160" s="171">
        <v>68.400000000000006</v>
      </c>
      <c r="P1160" s="171">
        <v>66.31</v>
      </c>
      <c r="Q1160" s="171">
        <v>64.05</v>
      </c>
      <c r="R1160" s="171">
        <v>61.89</v>
      </c>
      <c r="S1160" s="171">
        <v>57</v>
      </c>
      <c r="T1160" s="171">
        <v>56.29</v>
      </c>
      <c r="U1160" s="171">
        <v>56.1</v>
      </c>
      <c r="V1160" s="171">
        <v>59.24</v>
      </c>
      <c r="W1160" s="171">
        <v>66.06</v>
      </c>
      <c r="X1160" s="171">
        <v>65.3</v>
      </c>
      <c r="Y1160" s="171">
        <v>53.19</v>
      </c>
      <c r="Z1160" s="171">
        <v>51.480000000000004</v>
      </c>
      <c r="AA1160" s="171">
        <v>47.22</v>
      </c>
      <c r="AB1160" s="171">
        <v>68.400000000000006</v>
      </c>
      <c r="AC1160" s="171">
        <v>51.480000000000004</v>
      </c>
      <c r="AD1160" s="171">
        <v>47.1</v>
      </c>
      <c r="AF1160" s="171">
        <f t="shared" si="56"/>
        <v>2010</v>
      </c>
      <c r="AG1160" s="171">
        <f t="shared" si="57"/>
        <v>5</v>
      </c>
      <c r="AH1160" s="700">
        <f>SUMIF(D$3:$AA1160,"&lt;="&amp;$AH$1)/COUNTIF(D$3:$AA1160,"&lt;="&amp;$AH$1)</f>
        <v>30.078593368237378</v>
      </c>
    </row>
    <row r="1161" spans="2:34" x14ac:dyDescent="0.25">
      <c r="B1161" s="910">
        <v>40451</v>
      </c>
      <c r="C1161" s="581">
        <f t="shared" si="55"/>
        <v>9</v>
      </c>
      <c r="D1161" s="171">
        <v>41.71</v>
      </c>
      <c r="E1161" s="171">
        <v>38.89</v>
      </c>
      <c r="F1161" s="171">
        <v>37.86</v>
      </c>
      <c r="G1161" s="171">
        <v>37.47</v>
      </c>
      <c r="H1161" s="171">
        <v>38.06</v>
      </c>
      <c r="I1161" s="171">
        <v>39.96</v>
      </c>
      <c r="J1161" s="171">
        <v>47.25</v>
      </c>
      <c r="K1161" s="171">
        <v>61.79</v>
      </c>
      <c r="L1161" s="171">
        <v>66</v>
      </c>
      <c r="M1161" s="171">
        <v>66.02</v>
      </c>
      <c r="N1161" s="171">
        <v>64.7</v>
      </c>
      <c r="O1161" s="171">
        <v>66.5</v>
      </c>
      <c r="P1161" s="171">
        <v>63.5</v>
      </c>
      <c r="Q1161" s="171">
        <v>61.96</v>
      </c>
      <c r="R1161" s="171">
        <v>59.050000000000004</v>
      </c>
      <c r="S1161" s="171">
        <v>57.56</v>
      </c>
      <c r="T1161" s="171">
        <v>56.35</v>
      </c>
      <c r="U1161" s="171">
        <v>56.410000000000004</v>
      </c>
      <c r="V1161" s="171">
        <v>62.01</v>
      </c>
      <c r="W1161" s="171">
        <v>67.900000000000006</v>
      </c>
      <c r="X1161" s="171">
        <v>65</v>
      </c>
      <c r="Y1161" s="171">
        <v>53.58</v>
      </c>
      <c r="Z1161" s="171">
        <v>49.83</v>
      </c>
      <c r="AA1161" s="171">
        <v>46.410000000000004</v>
      </c>
      <c r="AB1161" s="171">
        <v>67.900000000000006</v>
      </c>
      <c r="AC1161" s="171">
        <v>49.83</v>
      </c>
      <c r="AD1161" s="171">
        <v>46.480000000000004</v>
      </c>
      <c r="AF1161" s="171">
        <f t="shared" si="56"/>
        <v>2010</v>
      </c>
      <c r="AG1161" s="171">
        <f t="shared" si="57"/>
        <v>6</v>
      </c>
      <c r="AH1161" s="700">
        <f>SUMIF(D$3:$AA1161,"&lt;="&amp;$AH$1)/COUNTIF(D$3:$AA1161,"&lt;="&amp;$AH$1)</f>
        <v>30.083257456828917</v>
      </c>
    </row>
    <row r="1162" spans="2:34" x14ac:dyDescent="0.25">
      <c r="B1162" s="910">
        <v>40452</v>
      </c>
      <c r="C1162" s="581">
        <f t="shared" si="55"/>
        <v>10</v>
      </c>
      <c r="D1162" s="171">
        <v>43.660000000000004</v>
      </c>
      <c r="E1162" s="171">
        <v>42</v>
      </c>
      <c r="F1162" s="171">
        <v>39.29</v>
      </c>
      <c r="G1162" s="171">
        <v>36.369999999999997</v>
      </c>
      <c r="H1162" s="171">
        <v>37.35</v>
      </c>
      <c r="I1162" s="171">
        <v>41.13</v>
      </c>
      <c r="J1162" s="171">
        <v>50.86</v>
      </c>
      <c r="K1162" s="171">
        <v>68.900000000000006</v>
      </c>
      <c r="L1162" s="171">
        <v>73.03</v>
      </c>
      <c r="M1162" s="171">
        <v>73</v>
      </c>
      <c r="N1162" s="171">
        <v>72</v>
      </c>
      <c r="O1162" s="171">
        <v>71.41</v>
      </c>
      <c r="P1162" s="171">
        <v>67.31</v>
      </c>
      <c r="Q1162" s="171">
        <v>62.03</v>
      </c>
      <c r="R1162" s="171">
        <v>58</v>
      </c>
      <c r="S1162" s="171">
        <v>53.19</v>
      </c>
      <c r="T1162" s="171">
        <v>49.32</v>
      </c>
      <c r="U1162" s="171">
        <v>49.95</v>
      </c>
      <c r="V1162" s="171">
        <v>55.85</v>
      </c>
      <c r="W1162" s="171">
        <v>64.070000000000007</v>
      </c>
      <c r="X1162" s="171">
        <v>61.9</v>
      </c>
      <c r="Y1162" s="171">
        <v>49.14</v>
      </c>
      <c r="Z1162" s="171">
        <v>44</v>
      </c>
      <c r="AA1162" s="171">
        <v>42.52</v>
      </c>
      <c r="AB1162" s="171">
        <v>73.03</v>
      </c>
      <c r="AC1162" s="171">
        <v>44</v>
      </c>
      <c r="AD1162" s="171">
        <v>46.43</v>
      </c>
      <c r="AF1162" s="171">
        <f t="shared" si="56"/>
        <v>2010</v>
      </c>
      <c r="AG1162" s="171">
        <f t="shared" si="57"/>
        <v>6</v>
      </c>
      <c r="AH1162" s="700">
        <f>SUMIF(D$3:$AA1162,"&lt;="&amp;$AH$1)/COUNTIF(D$3:$AA1162,"&lt;="&amp;$AH$1)</f>
        <v>30.088327231520253</v>
      </c>
    </row>
    <row r="1163" spans="2:34" x14ac:dyDescent="0.25">
      <c r="B1163" s="910">
        <v>40455</v>
      </c>
      <c r="C1163" s="581">
        <f t="shared" si="55"/>
        <v>10</v>
      </c>
      <c r="D1163" s="171">
        <v>36.5</v>
      </c>
      <c r="E1163" s="171">
        <v>33.4</v>
      </c>
      <c r="F1163" s="171">
        <v>27.86</v>
      </c>
      <c r="G1163" s="171">
        <v>27.35</v>
      </c>
      <c r="H1163" s="171">
        <v>29.5</v>
      </c>
      <c r="I1163" s="171">
        <v>36.71</v>
      </c>
      <c r="J1163" s="171">
        <v>47.88</v>
      </c>
      <c r="K1163" s="171">
        <v>58.53</v>
      </c>
      <c r="L1163" s="171">
        <v>60.550000000000004</v>
      </c>
      <c r="M1163" s="171">
        <v>61.2</v>
      </c>
      <c r="N1163" s="171">
        <v>60.18</v>
      </c>
      <c r="O1163" s="171">
        <v>62.6</v>
      </c>
      <c r="P1163" s="171">
        <v>62.230000000000004</v>
      </c>
      <c r="Q1163" s="171">
        <v>61.2</v>
      </c>
      <c r="R1163" s="171">
        <v>58.92</v>
      </c>
      <c r="S1163" s="171">
        <v>55.14</v>
      </c>
      <c r="T1163" s="171">
        <v>53.29</v>
      </c>
      <c r="U1163" s="171">
        <v>53.88</v>
      </c>
      <c r="V1163" s="171">
        <v>58.300000000000004</v>
      </c>
      <c r="W1163" s="171">
        <v>63.52</v>
      </c>
      <c r="X1163" s="171">
        <v>58.370000000000005</v>
      </c>
      <c r="Y1163" s="171">
        <v>51.6</v>
      </c>
      <c r="Z1163" s="171">
        <v>50</v>
      </c>
      <c r="AA1163" s="171">
        <v>46.9</v>
      </c>
      <c r="AB1163" s="171">
        <v>63.52</v>
      </c>
      <c r="AC1163" s="171">
        <v>50</v>
      </c>
      <c r="AD1163" s="171">
        <v>42.050000000000004</v>
      </c>
      <c r="AF1163" s="171">
        <f t="shared" si="56"/>
        <v>2010</v>
      </c>
      <c r="AG1163" s="171">
        <f t="shared" si="57"/>
        <v>6</v>
      </c>
      <c r="AH1163" s="700">
        <f>SUMIF(D$3:$AA1163,"&lt;="&amp;$AH$1)/COUNTIF(D$3:$AA1163,"&lt;="&amp;$AH$1)</f>
        <v>30.089267293953679</v>
      </c>
    </row>
    <row r="1164" spans="2:34" x14ac:dyDescent="0.25">
      <c r="B1164" s="910">
        <v>40456</v>
      </c>
      <c r="C1164" s="581">
        <f t="shared" si="55"/>
        <v>10</v>
      </c>
      <c r="D1164" s="171">
        <v>38</v>
      </c>
      <c r="E1164" s="171">
        <v>35.01</v>
      </c>
      <c r="F1164" s="171">
        <v>33.01</v>
      </c>
      <c r="G1164" s="171">
        <v>30.75</v>
      </c>
      <c r="H1164" s="171">
        <v>32.020000000000003</v>
      </c>
      <c r="I1164" s="171">
        <v>36.450000000000003</v>
      </c>
      <c r="J1164" s="171">
        <v>47.61</v>
      </c>
      <c r="K1164" s="171">
        <v>58.67</v>
      </c>
      <c r="L1164" s="171">
        <v>59.07</v>
      </c>
      <c r="M1164" s="171">
        <v>58.67</v>
      </c>
      <c r="N1164" s="171">
        <v>57.53</v>
      </c>
      <c r="O1164" s="171">
        <v>59</v>
      </c>
      <c r="P1164" s="171">
        <v>59.96</v>
      </c>
      <c r="Q1164" s="171">
        <v>60.27</v>
      </c>
      <c r="R1164" s="171">
        <v>59.71</v>
      </c>
      <c r="S1164" s="171">
        <v>55.5</v>
      </c>
      <c r="T1164" s="171">
        <v>54.96</v>
      </c>
      <c r="U1164" s="171">
        <v>53.02</v>
      </c>
      <c r="V1164" s="171">
        <v>57.550000000000004</v>
      </c>
      <c r="W1164" s="171">
        <v>64.960000000000008</v>
      </c>
      <c r="X1164" s="171">
        <v>60</v>
      </c>
      <c r="Y1164" s="171">
        <v>50.77</v>
      </c>
      <c r="Z1164" s="171">
        <v>48</v>
      </c>
      <c r="AA1164" s="171">
        <v>45.07</v>
      </c>
      <c r="AB1164" s="171">
        <v>64.960000000000008</v>
      </c>
      <c r="AC1164" s="171">
        <v>48</v>
      </c>
      <c r="AD1164" s="171">
        <v>42.95</v>
      </c>
      <c r="AF1164" s="171">
        <f t="shared" si="56"/>
        <v>2010</v>
      </c>
      <c r="AG1164" s="171">
        <f t="shared" si="57"/>
        <v>6</v>
      </c>
      <c r="AH1164" s="700">
        <f>SUMIF(D$3:$AA1164,"&lt;="&amp;$AH$1)/COUNTIF(D$3:$AA1164,"&lt;="&amp;$AH$1)</f>
        <v>30.091418495297837</v>
      </c>
    </row>
    <row r="1165" spans="2:34" x14ac:dyDescent="0.25">
      <c r="B1165" s="910">
        <v>40457</v>
      </c>
      <c r="C1165" s="581">
        <f t="shared" si="55"/>
        <v>10</v>
      </c>
      <c r="D1165" s="171">
        <v>43.39</v>
      </c>
      <c r="E1165" s="171">
        <v>41.01</v>
      </c>
      <c r="F1165" s="171">
        <v>38.08</v>
      </c>
      <c r="G1165" s="171">
        <v>35.08</v>
      </c>
      <c r="H1165" s="171">
        <v>35.14</v>
      </c>
      <c r="I1165" s="171">
        <v>39</v>
      </c>
      <c r="J1165" s="171">
        <v>46.730000000000004</v>
      </c>
      <c r="K1165" s="171">
        <v>57.02</v>
      </c>
      <c r="L1165" s="171">
        <v>61</v>
      </c>
      <c r="M1165" s="171">
        <v>60.620000000000005</v>
      </c>
      <c r="N1165" s="171">
        <v>60.82</v>
      </c>
      <c r="O1165" s="171">
        <v>61.19</v>
      </c>
      <c r="P1165" s="171">
        <v>59.5</v>
      </c>
      <c r="Q1165" s="171">
        <v>59.99</v>
      </c>
      <c r="R1165" s="171">
        <v>59</v>
      </c>
      <c r="S1165" s="171">
        <v>56.59</v>
      </c>
      <c r="T1165" s="171">
        <v>54.96</v>
      </c>
      <c r="U1165" s="171">
        <v>56.51</v>
      </c>
      <c r="V1165" s="171">
        <v>59.27</v>
      </c>
      <c r="W1165" s="171">
        <v>67</v>
      </c>
      <c r="X1165" s="171">
        <v>61.1</v>
      </c>
      <c r="Y1165" s="171">
        <v>51.660000000000004</v>
      </c>
      <c r="Z1165" s="171">
        <v>48.5</v>
      </c>
      <c r="AA1165" s="171">
        <v>47.27</v>
      </c>
      <c r="AB1165" s="171">
        <v>67</v>
      </c>
      <c r="AC1165" s="171">
        <v>48.5</v>
      </c>
      <c r="AD1165" s="171">
        <v>45.33</v>
      </c>
      <c r="AF1165" s="171">
        <f t="shared" si="56"/>
        <v>2010</v>
      </c>
      <c r="AG1165" s="171">
        <f t="shared" si="57"/>
        <v>5</v>
      </c>
      <c r="AH1165" s="700">
        <f>SUMIF(D$3:$AA1165,"&lt;="&amp;$AH$1)/COUNTIF(D$3:$AA1165,"&lt;="&amp;$AH$1)</f>
        <v>30.094713203934237</v>
      </c>
    </row>
    <row r="1166" spans="2:34" x14ac:dyDescent="0.25">
      <c r="B1166" s="910">
        <v>40458</v>
      </c>
      <c r="C1166" s="581">
        <f t="shared" si="55"/>
        <v>10</v>
      </c>
      <c r="D1166" s="171">
        <v>44.300000000000004</v>
      </c>
      <c r="E1166" s="171">
        <v>41</v>
      </c>
      <c r="F1166" s="171">
        <v>38.090000000000003</v>
      </c>
      <c r="G1166" s="171">
        <v>35.99</v>
      </c>
      <c r="H1166" s="171">
        <v>36.06</v>
      </c>
      <c r="I1166" s="171">
        <v>39.57</v>
      </c>
      <c r="J1166" s="171">
        <v>49.49</v>
      </c>
      <c r="K1166" s="171">
        <v>62.35</v>
      </c>
      <c r="L1166" s="171">
        <v>61.58</v>
      </c>
      <c r="M1166" s="171">
        <v>61.36</v>
      </c>
      <c r="N1166" s="171">
        <v>61.18</v>
      </c>
      <c r="O1166" s="171">
        <v>62.54</v>
      </c>
      <c r="P1166" s="171">
        <v>60.44</v>
      </c>
      <c r="Q1166" s="171">
        <v>59</v>
      </c>
      <c r="R1166" s="171">
        <v>57.81</v>
      </c>
      <c r="S1166" s="171">
        <v>54.800000000000004</v>
      </c>
      <c r="T1166" s="171">
        <v>53.46</v>
      </c>
      <c r="U1166" s="171">
        <v>54</v>
      </c>
      <c r="V1166" s="171">
        <v>59.22</v>
      </c>
      <c r="W1166" s="171">
        <v>69.33</v>
      </c>
      <c r="X1166" s="171">
        <v>64.62</v>
      </c>
      <c r="Y1166" s="171">
        <v>51.56</v>
      </c>
      <c r="Z1166" s="171">
        <v>49.01</v>
      </c>
      <c r="AA1166" s="171">
        <v>45.01</v>
      </c>
      <c r="AB1166" s="171">
        <v>69.33</v>
      </c>
      <c r="AC1166" s="171">
        <v>49.01</v>
      </c>
      <c r="AD1166" s="171">
        <v>46.42</v>
      </c>
      <c r="AF1166" s="171">
        <f t="shared" si="56"/>
        <v>2010</v>
      </c>
      <c r="AG1166" s="171">
        <f t="shared" si="57"/>
        <v>5</v>
      </c>
      <c r="AH1166" s="700">
        <f>SUMIF(D$3:$AA1166,"&lt;="&amp;$AH$1)/COUNTIF(D$3:$AA1166,"&lt;="&amp;$AH$1)</f>
        <v>30.098213850704756</v>
      </c>
    </row>
    <row r="1167" spans="2:34" x14ac:dyDescent="0.25">
      <c r="B1167" s="910">
        <v>40459</v>
      </c>
      <c r="C1167" s="581">
        <f t="shared" si="55"/>
        <v>10</v>
      </c>
      <c r="D1167" s="171">
        <v>43.160000000000004</v>
      </c>
      <c r="E1167" s="171">
        <v>38.47</v>
      </c>
      <c r="F1167" s="171">
        <v>36.14</v>
      </c>
      <c r="G1167" s="171">
        <v>32.81</v>
      </c>
      <c r="H1167" s="171">
        <v>33.36</v>
      </c>
      <c r="I1167" s="171">
        <v>38.24</v>
      </c>
      <c r="J1167" s="171">
        <v>46.04</v>
      </c>
      <c r="K1167" s="171">
        <v>57.72</v>
      </c>
      <c r="L1167" s="171">
        <v>61.32</v>
      </c>
      <c r="M1167" s="171">
        <v>63.2</v>
      </c>
      <c r="N1167" s="171">
        <v>62.4</v>
      </c>
      <c r="O1167" s="171">
        <v>61.95</v>
      </c>
      <c r="P1167" s="171">
        <v>59.7</v>
      </c>
      <c r="Q1167" s="171">
        <v>57.31</v>
      </c>
      <c r="R1167" s="171">
        <v>53.7</v>
      </c>
      <c r="S1167" s="171">
        <v>48.410000000000004</v>
      </c>
      <c r="T1167" s="171">
        <v>48.77</v>
      </c>
      <c r="U1167" s="171">
        <v>48.59</v>
      </c>
      <c r="V1167" s="171">
        <v>54.65</v>
      </c>
      <c r="W1167" s="171">
        <v>61.230000000000004</v>
      </c>
      <c r="X1167" s="171">
        <v>57.39</v>
      </c>
      <c r="Y1167" s="171">
        <v>47.93</v>
      </c>
      <c r="Z1167" s="171">
        <v>47.99</v>
      </c>
      <c r="AA1167" s="171">
        <v>45.4</v>
      </c>
      <c r="AB1167" s="171">
        <v>63.2</v>
      </c>
      <c r="AC1167" s="171">
        <v>47.93</v>
      </c>
      <c r="AD1167" s="171">
        <v>43.72</v>
      </c>
      <c r="AF1167" s="171">
        <f t="shared" si="56"/>
        <v>2010</v>
      </c>
      <c r="AG1167" s="171">
        <f t="shared" si="57"/>
        <v>5</v>
      </c>
      <c r="AH1167" s="700">
        <f>SUMIF(D$3:$AA1167,"&lt;="&amp;$AH$1)/COUNTIF(D$3:$AA1167,"&lt;="&amp;$AH$1)</f>
        <v>30.100694843029867</v>
      </c>
    </row>
    <row r="1168" spans="2:34" x14ac:dyDescent="0.25">
      <c r="B1168" s="910">
        <v>40462</v>
      </c>
      <c r="C1168" s="581">
        <f t="shared" si="55"/>
        <v>10</v>
      </c>
      <c r="D1168" s="171">
        <v>34.08</v>
      </c>
      <c r="E1168" s="171">
        <v>31.57</v>
      </c>
      <c r="F1168" s="171">
        <v>26.240000000000002</v>
      </c>
      <c r="G1168" s="171">
        <v>22.14</v>
      </c>
      <c r="H1168" s="171">
        <v>16.760000000000002</v>
      </c>
      <c r="I1168" s="171">
        <v>21.5</v>
      </c>
      <c r="J1168" s="171">
        <v>41.13</v>
      </c>
      <c r="K1168" s="171">
        <v>58.03</v>
      </c>
      <c r="L1168" s="171">
        <v>59.15</v>
      </c>
      <c r="M1168" s="171">
        <v>61.34</v>
      </c>
      <c r="N1168" s="171">
        <v>61</v>
      </c>
      <c r="O1168" s="171">
        <v>61.08</v>
      </c>
      <c r="P1168" s="171">
        <v>58.5</v>
      </c>
      <c r="Q1168" s="171">
        <v>58.86</v>
      </c>
      <c r="R1168" s="171">
        <v>56.72</v>
      </c>
      <c r="S1168" s="171">
        <v>53.14</v>
      </c>
      <c r="T1168" s="171">
        <v>50.910000000000004</v>
      </c>
      <c r="U1168" s="171">
        <v>50.09</v>
      </c>
      <c r="V1168" s="171">
        <v>56.89</v>
      </c>
      <c r="W1168" s="171">
        <v>67.760000000000005</v>
      </c>
      <c r="X1168" s="171">
        <v>59.75</v>
      </c>
      <c r="Y1168" s="171">
        <v>50</v>
      </c>
      <c r="Z1168" s="171">
        <v>46.49</v>
      </c>
      <c r="AA1168" s="171">
        <v>44.88</v>
      </c>
      <c r="AB1168" s="171">
        <v>67.760000000000005</v>
      </c>
      <c r="AC1168" s="171">
        <v>46.49</v>
      </c>
      <c r="AD1168" s="171">
        <v>37.71</v>
      </c>
      <c r="AF1168" s="171">
        <f t="shared" si="56"/>
        <v>2010</v>
      </c>
      <c r="AG1168" s="171">
        <f t="shared" si="57"/>
        <v>7</v>
      </c>
      <c r="AH1168" s="700">
        <f>SUMIF(D$3:$AA1168,"&lt;="&amp;$AH$1)/COUNTIF(D$3:$AA1168,"&lt;="&amp;$AH$1)</f>
        <v>30.099192595167779</v>
      </c>
    </row>
    <row r="1169" spans="2:34" x14ac:dyDescent="0.25">
      <c r="B1169" s="910">
        <v>40463</v>
      </c>
      <c r="C1169" s="581">
        <f t="shared" si="55"/>
        <v>10</v>
      </c>
      <c r="D1169" s="171">
        <v>46</v>
      </c>
      <c r="E1169" s="171">
        <v>42.7</v>
      </c>
      <c r="F1169" s="171">
        <v>41</v>
      </c>
      <c r="G1169" s="171">
        <v>39.72</v>
      </c>
      <c r="H1169" s="171">
        <v>41.07</v>
      </c>
      <c r="I1169" s="171">
        <v>43.36</v>
      </c>
      <c r="J1169" s="171">
        <v>55.21</v>
      </c>
      <c r="K1169" s="171">
        <v>64.960000000000008</v>
      </c>
      <c r="L1169" s="171">
        <v>69.010000000000005</v>
      </c>
      <c r="M1169" s="171">
        <v>69.150000000000006</v>
      </c>
      <c r="N1169" s="171">
        <v>68.42</v>
      </c>
      <c r="O1169" s="171">
        <v>68.53</v>
      </c>
      <c r="P1169" s="171">
        <v>64.58</v>
      </c>
      <c r="Q1169" s="171">
        <v>62.6</v>
      </c>
      <c r="R1169" s="171">
        <v>60.5</v>
      </c>
      <c r="S1169" s="171">
        <v>57.74</v>
      </c>
      <c r="T1169" s="171">
        <v>55.800000000000004</v>
      </c>
      <c r="U1169" s="171">
        <v>56.4</v>
      </c>
      <c r="V1169" s="171">
        <v>64.010000000000005</v>
      </c>
      <c r="W1169" s="171">
        <v>76</v>
      </c>
      <c r="X1169" s="171">
        <v>64.44</v>
      </c>
      <c r="Y1169" s="171">
        <v>53.800000000000004</v>
      </c>
      <c r="Z1169" s="171">
        <v>50.43</v>
      </c>
      <c r="AA1169" s="171">
        <v>47</v>
      </c>
      <c r="AB1169" s="171">
        <v>76</v>
      </c>
      <c r="AC1169" s="171">
        <v>50.43</v>
      </c>
      <c r="AD1169" s="171">
        <v>49.14</v>
      </c>
      <c r="AF1169" s="171">
        <f t="shared" si="56"/>
        <v>2010</v>
      </c>
      <c r="AG1169" s="171">
        <f t="shared" si="57"/>
        <v>3</v>
      </c>
      <c r="AH1169" s="700">
        <f>SUMIF(D$3:$AA1169,"&lt;="&amp;$AH$1)/COUNTIF(D$3:$AA1169,"&lt;="&amp;$AH$1)</f>
        <v>30.101928925189021</v>
      </c>
    </row>
    <row r="1170" spans="2:34" x14ac:dyDescent="0.25">
      <c r="B1170" s="910">
        <v>40464</v>
      </c>
      <c r="C1170" s="581">
        <f t="shared" si="55"/>
        <v>10</v>
      </c>
      <c r="D1170" s="171">
        <v>41.160000000000004</v>
      </c>
      <c r="E1170" s="171">
        <v>40.76</v>
      </c>
      <c r="F1170" s="171">
        <v>38</v>
      </c>
      <c r="G1170" s="171">
        <v>35.26</v>
      </c>
      <c r="H1170" s="171">
        <v>37.18</v>
      </c>
      <c r="I1170" s="171">
        <v>40.68</v>
      </c>
      <c r="J1170" s="171">
        <v>49.57</v>
      </c>
      <c r="K1170" s="171">
        <v>65.5</v>
      </c>
      <c r="L1170" s="171">
        <v>72.2</v>
      </c>
      <c r="M1170" s="171">
        <v>70.14</v>
      </c>
      <c r="N1170" s="171">
        <v>68.86</v>
      </c>
      <c r="O1170" s="171">
        <v>69.210000000000008</v>
      </c>
      <c r="P1170" s="171">
        <v>64.09</v>
      </c>
      <c r="Q1170" s="171">
        <v>61.06</v>
      </c>
      <c r="R1170" s="171">
        <v>59</v>
      </c>
      <c r="S1170" s="171">
        <v>56.01</v>
      </c>
      <c r="T1170" s="171">
        <v>51.74</v>
      </c>
      <c r="U1170" s="171">
        <v>53.02</v>
      </c>
      <c r="V1170" s="171">
        <v>61.65</v>
      </c>
      <c r="W1170" s="171">
        <v>75.790000000000006</v>
      </c>
      <c r="X1170" s="171">
        <v>61</v>
      </c>
      <c r="Y1170" s="171">
        <v>53.7</v>
      </c>
      <c r="Z1170" s="171">
        <v>49.45</v>
      </c>
      <c r="AA1170" s="171">
        <v>47.58</v>
      </c>
      <c r="AB1170" s="171">
        <v>75.790000000000006</v>
      </c>
      <c r="AC1170" s="171">
        <v>49.45</v>
      </c>
      <c r="AD1170" s="171">
        <v>46.65</v>
      </c>
      <c r="AF1170" s="171">
        <f t="shared" si="56"/>
        <v>2010</v>
      </c>
      <c r="AG1170" s="171">
        <f t="shared" si="57"/>
        <v>6</v>
      </c>
      <c r="AH1170" s="700">
        <f>SUMIF(D$3:$AA1170,"&lt;="&amp;$AH$1)/COUNTIF(D$3:$AA1170,"&lt;="&amp;$AH$1)</f>
        <v>30.106481980026089</v>
      </c>
    </row>
    <row r="1171" spans="2:34" x14ac:dyDescent="0.25">
      <c r="B1171" s="910">
        <v>40465</v>
      </c>
      <c r="C1171" s="581">
        <f t="shared" si="55"/>
        <v>10</v>
      </c>
      <c r="D1171" s="171">
        <v>42.660000000000004</v>
      </c>
      <c r="E1171" s="171">
        <v>39.300000000000004</v>
      </c>
      <c r="F1171" s="171">
        <v>37.14</v>
      </c>
      <c r="G1171" s="171">
        <v>36.92</v>
      </c>
      <c r="H1171" s="171">
        <v>38</v>
      </c>
      <c r="I1171" s="171">
        <v>42.97</v>
      </c>
      <c r="J1171" s="171">
        <v>53.32</v>
      </c>
      <c r="K1171" s="171">
        <v>71</v>
      </c>
      <c r="L1171" s="171">
        <v>70.8</v>
      </c>
      <c r="M1171" s="171">
        <v>73.19</v>
      </c>
      <c r="N1171" s="171">
        <v>72.489999999999995</v>
      </c>
      <c r="O1171" s="171">
        <v>70</v>
      </c>
      <c r="P1171" s="171">
        <v>64.010000000000005</v>
      </c>
      <c r="Q1171" s="171">
        <v>63</v>
      </c>
      <c r="R1171" s="171">
        <v>57.78</v>
      </c>
      <c r="S1171" s="171">
        <v>55.72</v>
      </c>
      <c r="T1171" s="171">
        <v>52.44</v>
      </c>
      <c r="U1171" s="171">
        <v>54.120000000000005</v>
      </c>
      <c r="V1171" s="171">
        <v>63.18</v>
      </c>
      <c r="W1171" s="171">
        <v>73.19</v>
      </c>
      <c r="X1171" s="171">
        <v>65</v>
      </c>
      <c r="Y1171" s="171">
        <v>52</v>
      </c>
      <c r="Z1171" s="171">
        <v>47.99</v>
      </c>
      <c r="AA1171" s="171">
        <v>44.4</v>
      </c>
      <c r="AB1171" s="171">
        <v>73.19</v>
      </c>
      <c r="AC1171" s="171">
        <v>47.99</v>
      </c>
      <c r="AD1171" s="171">
        <v>47.56</v>
      </c>
      <c r="AF1171" s="171">
        <f t="shared" si="56"/>
        <v>2010</v>
      </c>
      <c r="AG1171" s="171">
        <f t="shared" si="57"/>
        <v>4</v>
      </c>
      <c r="AH1171" s="700">
        <f>SUMIF(D$3:$AA1171,"&lt;="&amp;$AH$1)/COUNTIF(D$3:$AA1171,"&lt;="&amp;$AH$1)</f>
        <v>30.109167462453374</v>
      </c>
    </row>
    <row r="1172" spans="2:34" x14ac:dyDescent="0.25">
      <c r="B1172" s="910">
        <v>40466</v>
      </c>
      <c r="C1172" s="581">
        <f t="shared" si="55"/>
        <v>10</v>
      </c>
      <c r="D1172" s="171">
        <v>44.74</v>
      </c>
      <c r="E1172" s="171">
        <v>42.95</v>
      </c>
      <c r="F1172" s="171">
        <v>39.74</v>
      </c>
      <c r="G1172" s="171">
        <v>38.590000000000003</v>
      </c>
      <c r="H1172" s="171">
        <v>40.6</v>
      </c>
      <c r="I1172" s="171">
        <v>43.37</v>
      </c>
      <c r="J1172" s="171">
        <v>54.89</v>
      </c>
      <c r="K1172" s="171">
        <v>72.34</v>
      </c>
      <c r="L1172" s="171">
        <v>74.91</v>
      </c>
      <c r="M1172" s="171">
        <v>75.400000000000006</v>
      </c>
      <c r="N1172" s="171">
        <v>75.010000000000005</v>
      </c>
      <c r="O1172" s="171">
        <v>73.62</v>
      </c>
      <c r="P1172" s="171">
        <v>68</v>
      </c>
      <c r="Q1172" s="171">
        <v>62.9</v>
      </c>
      <c r="R1172" s="171">
        <v>59</v>
      </c>
      <c r="S1172" s="171">
        <v>53.99</v>
      </c>
      <c r="T1172" s="171">
        <v>52.2</v>
      </c>
      <c r="U1172" s="171">
        <v>54</v>
      </c>
      <c r="V1172" s="171">
        <v>61.5</v>
      </c>
      <c r="W1172" s="171">
        <v>71.91</v>
      </c>
      <c r="X1172" s="171">
        <v>63.24</v>
      </c>
      <c r="Y1172" s="171">
        <v>53.03</v>
      </c>
      <c r="Z1172" s="171">
        <v>50.120000000000005</v>
      </c>
      <c r="AA1172" s="171">
        <v>49</v>
      </c>
      <c r="AB1172" s="171">
        <v>75.400000000000006</v>
      </c>
      <c r="AC1172" s="171">
        <v>50.120000000000005</v>
      </c>
      <c r="AD1172" s="171">
        <v>49.38</v>
      </c>
      <c r="AF1172" s="171">
        <f t="shared" si="56"/>
        <v>2010</v>
      </c>
      <c r="AG1172" s="171">
        <f t="shared" si="57"/>
        <v>3</v>
      </c>
      <c r="AH1172" s="700">
        <f>SUMIF(D$3:$AA1172,"&lt;="&amp;$AH$1)/COUNTIF(D$3:$AA1172,"&lt;="&amp;$AH$1)</f>
        <v>30.111649887172401</v>
      </c>
    </row>
    <row r="1173" spans="2:34" x14ac:dyDescent="0.25">
      <c r="B1173" s="910">
        <v>40469</v>
      </c>
      <c r="C1173" s="581">
        <f t="shared" si="55"/>
        <v>10</v>
      </c>
      <c r="D1173" s="171">
        <v>42.7</v>
      </c>
      <c r="E1173" s="171">
        <v>40.700000000000003</v>
      </c>
      <c r="F1173" s="171">
        <v>39.4</v>
      </c>
      <c r="G1173" s="171">
        <v>37.76</v>
      </c>
      <c r="H1173" s="171">
        <v>37.700000000000003</v>
      </c>
      <c r="I1173" s="171">
        <v>41.28</v>
      </c>
      <c r="J1173" s="171">
        <v>50.29</v>
      </c>
      <c r="K1173" s="171">
        <v>60.120000000000005</v>
      </c>
      <c r="L1173" s="171">
        <v>70.350000000000009</v>
      </c>
      <c r="M1173" s="171">
        <v>70.59</v>
      </c>
      <c r="N1173" s="171">
        <v>69.97</v>
      </c>
      <c r="O1173" s="171">
        <v>68.16</v>
      </c>
      <c r="P1173" s="171">
        <v>64.16</v>
      </c>
      <c r="Q1173" s="171">
        <v>60</v>
      </c>
      <c r="R1173" s="171">
        <v>56.09</v>
      </c>
      <c r="S1173" s="171">
        <v>52.300000000000004</v>
      </c>
      <c r="T1173" s="171">
        <v>51</v>
      </c>
      <c r="U1173" s="171">
        <v>54.93</v>
      </c>
      <c r="V1173" s="171">
        <v>57.59</v>
      </c>
      <c r="W1173" s="171">
        <v>70</v>
      </c>
      <c r="X1173" s="171">
        <v>60.57</v>
      </c>
      <c r="Y1173" s="171">
        <v>51.84</v>
      </c>
      <c r="Z1173" s="171">
        <v>47.92</v>
      </c>
      <c r="AA1173" s="171">
        <v>45.12</v>
      </c>
      <c r="AB1173" s="171">
        <v>70.59</v>
      </c>
      <c r="AC1173" s="171">
        <v>47.92</v>
      </c>
      <c r="AD1173" s="171">
        <v>46.28</v>
      </c>
      <c r="AF1173" s="171">
        <f t="shared" si="56"/>
        <v>2010</v>
      </c>
      <c r="AG1173" s="171">
        <f t="shared" si="57"/>
        <v>5</v>
      </c>
      <c r="AH1173" s="700">
        <f>SUMIF(D$3:$AA1173,"&lt;="&amp;$AH$1)/COUNTIF(D$3:$AA1173,"&lt;="&amp;$AH$1)</f>
        <v>30.1156649605275</v>
      </c>
    </row>
    <row r="1174" spans="2:34" x14ac:dyDescent="0.25">
      <c r="B1174" s="910">
        <v>40470</v>
      </c>
      <c r="C1174" s="581">
        <f t="shared" si="55"/>
        <v>10</v>
      </c>
      <c r="D1174" s="171">
        <v>41.31</v>
      </c>
      <c r="E1174" s="171">
        <v>39.96</v>
      </c>
      <c r="F1174" s="171">
        <v>40.15</v>
      </c>
      <c r="G1174" s="171">
        <v>39</v>
      </c>
      <c r="H1174" s="171">
        <v>39.96</v>
      </c>
      <c r="I1174" s="171">
        <v>42.99</v>
      </c>
      <c r="J1174" s="171">
        <v>50.31</v>
      </c>
      <c r="K1174" s="171">
        <v>59.65</v>
      </c>
      <c r="L1174" s="171">
        <v>70</v>
      </c>
      <c r="M1174" s="171">
        <v>69.960000000000008</v>
      </c>
      <c r="N1174" s="171">
        <v>68</v>
      </c>
      <c r="O1174" s="171">
        <v>68.850000000000009</v>
      </c>
      <c r="P1174" s="171">
        <v>62.86</v>
      </c>
      <c r="Q1174" s="171">
        <v>60.59</v>
      </c>
      <c r="R1174" s="171">
        <v>58</v>
      </c>
      <c r="S1174" s="171">
        <v>54.09</v>
      </c>
      <c r="T1174" s="171">
        <v>52</v>
      </c>
      <c r="U1174" s="171">
        <v>54.61</v>
      </c>
      <c r="V1174" s="171">
        <v>62.410000000000004</v>
      </c>
      <c r="W1174" s="171">
        <v>73.95</v>
      </c>
      <c r="X1174" s="171">
        <v>63.730000000000004</v>
      </c>
      <c r="Y1174" s="171">
        <v>54</v>
      </c>
      <c r="Z1174" s="171">
        <v>48.61</v>
      </c>
      <c r="AA1174" s="171">
        <v>46.04</v>
      </c>
      <c r="AB1174" s="171">
        <v>73.95</v>
      </c>
      <c r="AC1174" s="171">
        <v>48.61</v>
      </c>
      <c r="AD1174" s="171">
        <v>47.14</v>
      </c>
      <c r="AF1174" s="171">
        <f t="shared" si="56"/>
        <v>2010</v>
      </c>
      <c r="AG1174" s="171">
        <f t="shared" si="57"/>
        <v>5</v>
      </c>
      <c r="AH1174" s="700">
        <f>SUMIF(D$3:$AA1174,"&lt;="&amp;$AH$1)/COUNTIF(D$3:$AA1174,"&lt;="&amp;$AH$1)</f>
        <v>30.119983524106882</v>
      </c>
    </row>
    <row r="1175" spans="2:34" x14ac:dyDescent="0.25">
      <c r="B1175" s="910">
        <v>40471</v>
      </c>
      <c r="C1175" s="581">
        <f t="shared" si="55"/>
        <v>10</v>
      </c>
      <c r="D1175" s="171">
        <v>43</v>
      </c>
      <c r="E1175" s="171">
        <v>42.04</v>
      </c>
      <c r="F1175" s="171">
        <v>41.32</v>
      </c>
      <c r="G1175" s="171">
        <v>37.980000000000004</v>
      </c>
      <c r="H1175" s="171">
        <v>37.980000000000004</v>
      </c>
      <c r="I1175" s="171">
        <v>39.56</v>
      </c>
      <c r="J1175" s="171">
        <v>45.87</v>
      </c>
      <c r="K1175" s="171">
        <v>54.96</v>
      </c>
      <c r="L1175" s="171">
        <v>66.5</v>
      </c>
      <c r="M1175" s="171">
        <v>67</v>
      </c>
      <c r="N1175" s="171">
        <v>66</v>
      </c>
      <c r="O1175" s="171">
        <v>64</v>
      </c>
      <c r="P1175" s="171">
        <v>58.480000000000004</v>
      </c>
      <c r="Q1175" s="171">
        <v>54.99</v>
      </c>
      <c r="R1175" s="171">
        <v>51</v>
      </c>
      <c r="S1175" s="171">
        <v>50.800000000000004</v>
      </c>
      <c r="T1175" s="171">
        <v>50.97</v>
      </c>
      <c r="U1175" s="171">
        <v>53.02</v>
      </c>
      <c r="V1175" s="171">
        <v>59</v>
      </c>
      <c r="W1175" s="171">
        <v>69.91</v>
      </c>
      <c r="X1175" s="171">
        <v>54.06</v>
      </c>
      <c r="Y1175" s="171">
        <v>50.88</v>
      </c>
      <c r="Z1175" s="171">
        <v>48</v>
      </c>
      <c r="AA1175" s="171">
        <v>48.5</v>
      </c>
      <c r="AB1175" s="171">
        <v>69.91</v>
      </c>
      <c r="AC1175" s="171">
        <v>48</v>
      </c>
      <c r="AD1175" s="171">
        <v>45.35</v>
      </c>
      <c r="AF1175" s="171">
        <f t="shared" si="56"/>
        <v>2010</v>
      </c>
      <c r="AG1175" s="171">
        <f t="shared" si="57"/>
        <v>5</v>
      </c>
      <c r="AH1175" s="700">
        <f>SUMIF(D$3:$AA1175,"&lt;="&amp;$AH$1)/COUNTIF(D$3:$AA1175,"&lt;="&amp;$AH$1)</f>
        <v>30.124168327988254</v>
      </c>
    </row>
    <row r="1176" spans="2:34" x14ac:dyDescent="0.25">
      <c r="B1176" s="910">
        <v>40472</v>
      </c>
      <c r="C1176" s="581">
        <f t="shared" si="55"/>
        <v>10</v>
      </c>
      <c r="D1176" s="171">
        <v>43</v>
      </c>
      <c r="E1176" s="171">
        <v>40.020000000000003</v>
      </c>
      <c r="F1176" s="171">
        <v>38.83</v>
      </c>
      <c r="G1176" s="171">
        <v>39.5</v>
      </c>
      <c r="H1176" s="171">
        <v>39.25</v>
      </c>
      <c r="I1176" s="171">
        <v>40.18</v>
      </c>
      <c r="J1176" s="171">
        <v>50.99</v>
      </c>
      <c r="K1176" s="171">
        <v>64.960000000000008</v>
      </c>
      <c r="L1176" s="171">
        <v>72.95</v>
      </c>
      <c r="M1176" s="171">
        <v>69.58</v>
      </c>
      <c r="N1176" s="171">
        <v>65.62</v>
      </c>
      <c r="O1176" s="171">
        <v>64.5</v>
      </c>
      <c r="P1176" s="171">
        <v>57.96</v>
      </c>
      <c r="Q1176" s="171">
        <v>54.28</v>
      </c>
      <c r="R1176" s="171">
        <v>52.99</v>
      </c>
      <c r="S1176" s="171">
        <v>50.99</v>
      </c>
      <c r="T1176" s="171">
        <v>49.93</v>
      </c>
      <c r="U1176" s="171">
        <v>50.01</v>
      </c>
      <c r="V1176" s="171">
        <v>59.96</v>
      </c>
      <c r="W1176" s="171">
        <v>67.36</v>
      </c>
      <c r="X1176" s="171">
        <v>55.5</v>
      </c>
      <c r="Y1176" s="171">
        <v>49.15</v>
      </c>
      <c r="Z1176" s="171">
        <v>46.5</v>
      </c>
      <c r="AA1176" s="171">
        <v>42</v>
      </c>
      <c r="AB1176" s="171">
        <v>72.95</v>
      </c>
      <c r="AC1176" s="171">
        <v>46.5</v>
      </c>
      <c r="AD1176" s="171">
        <v>45.82</v>
      </c>
      <c r="AF1176" s="171">
        <f t="shared" si="56"/>
        <v>2010</v>
      </c>
      <c r="AG1176" s="171">
        <f t="shared" si="57"/>
        <v>6</v>
      </c>
      <c r="AH1176" s="700">
        <f>SUMIF(D$3:$AA1176,"&lt;="&amp;$AH$1)/COUNTIF(D$3:$AA1176,"&lt;="&amp;$AH$1)</f>
        <v>30.129282682145067</v>
      </c>
    </row>
    <row r="1177" spans="2:34" x14ac:dyDescent="0.25">
      <c r="B1177" s="910">
        <v>40473</v>
      </c>
      <c r="C1177" s="581">
        <f t="shared" si="55"/>
        <v>10</v>
      </c>
      <c r="D1177" s="171">
        <v>38.36</v>
      </c>
      <c r="E1177" s="171">
        <v>35.5</v>
      </c>
      <c r="F1177" s="171">
        <v>34.93</v>
      </c>
      <c r="G1177" s="171">
        <v>34.94</v>
      </c>
      <c r="H1177" s="171">
        <v>34.090000000000003</v>
      </c>
      <c r="I1177" s="171">
        <v>34.94</v>
      </c>
      <c r="J1177" s="171">
        <v>35</v>
      </c>
      <c r="K1177" s="171">
        <v>37.39</v>
      </c>
      <c r="L1177" s="171">
        <v>40.25</v>
      </c>
      <c r="M1177" s="171">
        <v>43.800000000000004</v>
      </c>
      <c r="N1177" s="171">
        <v>47.45</v>
      </c>
      <c r="O1177" s="171">
        <v>48</v>
      </c>
      <c r="P1177" s="171">
        <v>47.31</v>
      </c>
      <c r="Q1177" s="171">
        <v>43.5</v>
      </c>
      <c r="R1177" s="171">
        <v>41</v>
      </c>
      <c r="S1177" s="171">
        <v>40</v>
      </c>
      <c r="T1177" s="171">
        <v>39.24</v>
      </c>
      <c r="U1177" s="171">
        <v>43.59</v>
      </c>
      <c r="V1177" s="171">
        <v>54.15</v>
      </c>
      <c r="W1177" s="171">
        <v>62</v>
      </c>
      <c r="X1177" s="171">
        <v>57.660000000000004</v>
      </c>
      <c r="Y1177" s="171">
        <v>52.53</v>
      </c>
      <c r="Z1177" s="171">
        <v>50</v>
      </c>
      <c r="AA1177" s="171">
        <v>45.93</v>
      </c>
      <c r="AB1177" s="171">
        <v>62</v>
      </c>
      <c r="AC1177" s="171">
        <v>37.39</v>
      </c>
      <c r="AD1177" s="171">
        <v>45.75</v>
      </c>
      <c r="AF1177" s="171">
        <f t="shared" si="56"/>
        <v>2010</v>
      </c>
      <c r="AG1177" s="171">
        <f t="shared" si="57"/>
        <v>12</v>
      </c>
      <c r="AH1177" s="700">
        <f>SUMIF(D$3:$AA1177,"&lt;="&amp;$AH$1)/COUNTIF(D$3:$AA1177,"&lt;="&amp;$AH$1)</f>
        <v>30.136559930765948</v>
      </c>
    </row>
    <row r="1178" spans="2:34" x14ac:dyDescent="0.25">
      <c r="B1178" s="910">
        <v>40476</v>
      </c>
      <c r="C1178" s="581">
        <f t="shared" si="55"/>
        <v>10</v>
      </c>
      <c r="D1178" s="171">
        <v>40.200000000000003</v>
      </c>
      <c r="E1178" s="171">
        <v>37.86</v>
      </c>
      <c r="F1178" s="171">
        <v>38.9</v>
      </c>
      <c r="G1178" s="171">
        <v>35.01</v>
      </c>
      <c r="H1178" s="171">
        <v>33.53</v>
      </c>
      <c r="I1178" s="171">
        <v>37.800000000000004</v>
      </c>
      <c r="J1178" s="171">
        <v>46</v>
      </c>
      <c r="K1178" s="171">
        <v>56.5</v>
      </c>
      <c r="L1178" s="171">
        <v>64</v>
      </c>
      <c r="M1178" s="171">
        <v>64.989999999999995</v>
      </c>
      <c r="N1178" s="171">
        <v>63.9</v>
      </c>
      <c r="O1178" s="171">
        <v>65</v>
      </c>
      <c r="P1178" s="171">
        <v>60.5</v>
      </c>
      <c r="Q1178" s="171">
        <v>56.63</v>
      </c>
      <c r="R1178" s="171">
        <v>52.36</v>
      </c>
      <c r="S1178" s="171">
        <v>51</v>
      </c>
      <c r="T1178" s="171">
        <v>50.92</v>
      </c>
      <c r="U1178" s="171">
        <v>53</v>
      </c>
      <c r="V1178" s="171">
        <v>58</v>
      </c>
      <c r="W1178" s="171">
        <v>71.600000000000009</v>
      </c>
      <c r="X1178" s="171">
        <v>52.75</v>
      </c>
      <c r="Y1178" s="171">
        <v>45</v>
      </c>
      <c r="Z1178" s="171">
        <v>43.25</v>
      </c>
      <c r="AA1178" s="171">
        <v>39.25</v>
      </c>
      <c r="AB1178" s="171">
        <v>71.600000000000009</v>
      </c>
      <c r="AC1178" s="171">
        <v>43.25</v>
      </c>
      <c r="AD1178" s="171">
        <v>42.17</v>
      </c>
      <c r="AF1178" s="171">
        <f t="shared" si="56"/>
        <v>2010</v>
      </c>
      <c r="AG1178" s="171">
        <f t="shared" si="57"/>
        <v>7</v>
      </c>
      <c r="AH1178" s="700">
        <f>SUMIF(D$3:$AA1178,"&lt;="&amp;$AH$1)/COUNTIF(D$3:$AA1178,"&lt;="&amp;$AH$1)</f>
        <v>30.141022314478516</v>
      </c>
    </row>
    <row r="1179" spans="2:34" x14ac:dyDescent="0.25">
      <c r="B1179" s="910">
        <v>40477</v>
      </c>
      <c r="C1179" s="581">
        <f t="shared" si="55"/>
        <v>10</v>
      </c>
      <c r="D1179" s="171">
        <v>43</v>
      </c>
      <c r="E1179" s="171">
        <v>40.300000000000004</v>
      </c>
      <c r="F1179" s="171">
        <v>40.31</v>
      </c>
      <c r="G1179" s="171">
        <v>40</v>
      </c>
      <c r="H1179" s="171">
        <v>41.24</v>
      </c>
      <c r="I1179" s="171">
        <v>44.59</v>
      </c>
      <c r="J1179" s="171">
        <v>53</v>
      </c>
      <c r="K1179" s="171">
        <v>63.81</v>
      </c>
      <c r="L1179" s="171">
        <v>70.94</v>
      </c>
      <c r="M1179" s="171">
        <v>70.28</v>
      </c>
      <c r="N1179" s="171">
        <v>71</v>
      </c>
      <c r="O1179" s="171">
        <v>71.73</v>
      </c>
      <c r="P1179" s="171">
        <v>64.510000000000005</v>
      </c>
      <c r="Q1179" s="171">
        <v>60</v>
      </c>
      <c r="R1179" s="171">
        <v>57.57</v>
      </c>
      <c r="S1179" s="171">
        <v>55.01</v>
      </c>
      <c r="T1179" s="171">
        <v>52.370000000000005</v>
      </c>
      <c r="U1179" s="171">
        <v>57.32</v>
      </c>
      <c r="V1179" s="171">
        <v>64.900000000000006</v>
      </c>
      <c r="W1179" s="171">
        <v>69.38</v>
      </c>
      <c r="X1179" s="171">
        <v>54</v>
      </c>
      <c r="Y1179" s="171">
        <v>47</v>
      </c>
      <c r="Z1179" s="171">
        <v>42.33</v>
      </c>
      <c r="AA1179" s="171">
        <v>42.43</v>
      </c>
      <c r="AB1179" s="171">
        <v>71.73</v>
      </c>
      <c r="AC1179" s="171">
        <v>42.33</v>
      </c>
      <c r="AD1179" s="171">
        <v>46</v>
      </c>
      <c r="AF1179" s="171">
        <f t="shared" si="56"/>
        <v>2010</v>
      </c>
      <c r="AG1179" s="171">
        <f t="shared" si="57"/>
        <v>6</v>
      </c>
      <c r="AH1179" s="700">
        <f>SUMIF(D$3:$AA1179,"&lt;="&amp;$AH$1)/COUNTIF(D$3:$AA1179,"&lt;="&amp;$AH$1)</f>
        <v>30.146707295988985</v>
      </c>
    </row>
    <row r="1180" spans="2:34" x14ac:dyDescent="0.25">
      <c r="B1180" s="910">
        <v>40478</v>
      </c>
      <c r="C1180" s="581">
        <f t="shared" si="55"/>
        <v>10</v>
      </c>
      <c r="D1180" s="171">
        <v>39</v>
      </c>
      <c r="E1180" s="171">
        <v>37.51</v>
      </c>
      <c r="F1180" s="171">
        <v>37.520000000000003</v>
      </c>
      <c r="G1180" s="171">
        <v>37.5</v>
      </c>
      <c r="H1180" s="171">
        <v>37.520000000000003</v>
      </c>
      <c r="I1180" s="171">
        <v>39.78</v>
      </c>
      <c r="J1180" s="171">
        <v>45</v>
      </c>
      <c r="K1180" s="171">
        <v>55.71</v>
      </c>
      <c r="L1180" s="171">
        <v>60.78</v>
      </c>
      <c r="M1180" s="171">
        <v>61.99</v>
      </c>
      <c r="N1180" s="171">
        <v>59.92</v>
      </c>
      <c r="O1180" s="171">
        <v>59.7</v>
      </c>
      <c r="P1180" s="171">
        <v>55.95</v>
      </c>
      <c r="Q1180" s="171">
        <v>52.5</v>
      </c>
      <c r="R1180" s="171">
        <v>50.6</v>
      </c>
      <c r="S1180" s="171">
        <v>50.5</v>
      </c>
      <c r="T1180" s="171">
        <v>50.5</v>
      </c>
      <c r="U1180" s="171">
        <v>56.85</v>
      </c>
      <c r="V1180" s="171">
        <v>69.36</v>
      </c>
      <c r="W1180" s="171">
        <v>73</v>
      </c>
      <c r="X1180" s="171">
        <v>60</v>
      </c>
      <c r="Y1180" s="171">
        <v>52.660000000000004</v>
      </c>
      <c r="Z1180" s="171">
        <v>49</v>
      </c>
      <c r="AA1180" s="171">
        <v>44.96</v>
      </c>
      <c r="AB1180" s="171">
        <v>73</v>
      </c>
      <c r="AC1180" s="171">
        <v>49</v>
      </c>
      <c r="AD1180" s="171">
        <v>44.68</v>
      </c>
      <c r="AF1180" s="171">
        <f t="shared" si="56"/>
        <v>2010</v>
      </c>
      <c r="AG1180" s="171">
        <f t="shared" si="57"/>
        <v>6</v>
      </c>
      <c r="AH1180" s="700">
        <f>SUMIF(D$3:$AA1180,"&lt;="&amp;$AH$1)/COUNTIF(D$3:$AA1180,"&lt;="&amp;$AH$1)</f>
        <v>30.150850181441218</v>
      </c>
    </row>
    <row r="1181" spans="2:34" x14ac:dyDescent="0.25">
      <c r="B1181" s="910">
        <v>40479</v>
      </c>
      <c r="C1181" s="581">
        <f t="shared" si="55"/>
        <v>10</v>
      </c>
      <c r="D1181" s="171">
        <v>40.65</v>
      </c>
      <c r="E1181" s="171">
        <v>38.25</v>
      </c>
      <c r="F1181" s="171">
        <v>37.81</v>
      </c>
      <c r="G1181" s="171">
        <v>38</v>
      </c>
      <c r="H1181" s="171">
        <v>38.44</v>
      </c>
      <c r="I1181" s="171">
        <v>40</v>
      </c>
      <c r="J1181" s="171">
        <v>48.9</v>
      </c>
      <c r="K1181" s="171">
        <v>58.61</v>
      </c>
      <c r="L1181" s="171">
        <v>63.72</v>
      </c>
      <c r="M1181" s="171">
        <v>59.94</v>
      </c>
      <c r="N1181" s="171">
        <v>58</v>
      </c>
      <c r="O1181" s="171">
        <v>55.980000000000004</v>
      </c>
      <c r="P1181" s="171">
        <v>54.13</v>
      </c>
      <c r="Q1181" s="171">
        <v>54</v>
      </c>
      <c r="R1181" s="171">
        <v>51.47</v>
      </c>
      <c r="S1181" s="171">
        <v>50.99</v>
      </c>
      <c r="T1181" s="171">
        <v>50.1</v>
      </c>
      <c r="U1181" s="171">
        <v>54.08</v>
      </c>
      <c r="V1181" s="171">
        <v>70</v>
      </c>
      <c r="W1181" s="171">
        <v>74.5</v>
      </c>
      <c r="X1181" s="171">
        <v>56.71</v>
      </c>
      <c r="Y1181" s="171">
        <v>50.5</v>
      </c>
      <c r="Z1181" s="171">
        <v>48.86</v>
      </c>
      <c r="AA1181" s="171">
        <v>46</v>
      </c>
      <c r="AB1181" s="171">
        <v>74.5</v>
      </c>
      <c r="AC1181" s="171">
        <v>48.86</v>
      </c>
      <c r="AD1181" s="171">
        <v>45.230000000000004</v>
      </c>
      <c r="AF1181" s="171">
        <f t="shared" si="56"/>
        <v>2010</v>
      </c>
      <c r="AG1181" s="171">
        <f t="shared" si="57"/>
        <v>6</v>
      </c>
      <c r="AH1181" s="700">
        <f>SUMIF(D$3:$AA1181,"&lt;="&amp;$AH$1)/COUNTIF(D$3:$AA1181,"&lt;="&amp;$AH$1)</f>
        <v>30.155361830742716</v>
      </c>
    </row>
    <row r="1182" spans="2:34" x14ac:dyDescent="0.25">
      <c r="B1182" s="910">
        <v>40480</v>
      </c>
      <c r="C1182" s="581">
        <f t="shared" si="55"/>
        <v>10</v>
      </c>
      <c r="D1182" s="171">
        <v>43.67</v>
      </c>
      <c r="E1182" s="171">
        <v>41.22</v>
      </c>
      <c r="F1182" s="171">
        <v>40.31</v>
      </c>
      <c r="G1182" s="171">
        <v>37.58</v>
      </c>
      <c r="H1182" s="171">
        <v>38.53</v>
      </c>
      <c r="I1182" s="171">
        <v>42.300000000000004</v>
      </c>
      <c r="J1182" s="171">
        <v>49.15</v>
      </c>
      <c r="K1182" s="171">
        <v>64</v>
      </c>
      <c r="L1182" s="171">
        <v>65</v>
      </c>
      <c r="M1182" s="171">
        <v>63.82</v>
      </c>
      <c r="N1182" s="171">
        <v>63.27</v>
      </c>
      <c r="O1182" s="171">
        <v>62.26</v>
      </c>
      <c r="P1182" s="171">
        <v>59.11</v>
      </c>
      <c r="Q1182" s="171">
        <v>55</v>
      </c>
      <c r="R1182" s="171">
        <v>53.28</v>
      </c>
      <c r="S1182" s="171">
        <v>49.2</v>
      </c>
      <c r="T1182" s="171">
        <v>48.4</v>
      </c>
      <c r="U1182" s="171">
        <v>50.120000000000005</v>
      </c>
      <c r="V1182" s="171">
        <v>64.430000000000007</v>
      </c>
      <c r="W1182" s="171">
        <v>69.5</v>
      </c>
      <c r="X1182" s="171">
        <v>52.36</v>
      </c>
      <c r="Y1182" s="171">
        <v>45.31</v>
      </c>
      <c r="Z1182" s="171">
        <v>45.95</v>
      </c>
      <c r="AA1182" s="171">
        <v>44</v>
      </c>
      <c r="AB1182" s="171">
        <v>69.5</v>
      </c>
      <c r="AC1182" s="171">
        <v>45.31</v>
      </c>
      <c r="AD1182" s="171">
        <v>45.37</v>
      </c>
      <c r="AF1182" s="171">
        <f t="shared" si="56"/>
        <v>2010</v>
      </c>
      <c r="AG1182" s="171">
        <f t="shared" si="57"/>
        <v>5</v>
      </c>
      <c r="AH1182" s="700">
        <f>SUMIF(D$3:$AA1182,"&lt;="&amp;$AH$1)/COUNTIF(D$3:$AA1182,"&lt;="&amp;$AH$1)</f>
        <v>30.159605524385039</v>
      </c>
    </row>
    <row r="1183" spans="2:34" x14ac:dyDescent="0.25">
      <c r="B1183" s="910">
        <v>40483</v>
      </c>
      <c r="C1183" s="581">
        <f t="shared" si="55"/>
        <v>11</v>
      </c>
      <c r="D1183" s="171">
        <v>44.11</v>
      </c>
      <c r="E1183" s="171">
        <v>38.58</v>
      </c>
      <c r="F1183" s="171">
        <v>35</v>
      </c>
      <c r="G1183" s="171">
        <v>33.96</v>
      </c>
      <c r="H1183" s="171">
        <v>29.13</v>
      </c>
      <c r="I1183" s="171">
        <v>34.910000000000004</v>
      </c>
      <c r="J1183" s="171">
        <v>39.76</v>
      </c>
      <c r="K1183" s="171">
        <v>45</v>
      </c>
      <c r="L1183" s="171">
        <v>42.33</v>
      </c>
      <c r="M1183" s="171">
        <v>46.84</v>
      </c>
      <c r="N1183" s="171">
        <v>48.79</v>
      </c>
      <c r="O1183" s="171">
        <v>50.480000000000004</v>
      </c>
      <c r="P1183" s="171">
        <v>53.03</v>
      </c>
      <c r="Q1183" s="171">
        <v>47.99</v>
      </c>
      <c r="R1183" s="171">
        <v>44.18</v>
      </c>
      <c r="S1183" s="171">
        <v>41.46</v>
      </c>
      <c r="T1183" s="171">
        <v>40.94</v>
      </c>
      <c r="U1183" s="171">
        <v>52.08</v>
      </c>
      <c r="V1183" s="171">
        <v>62.96</v>
      </c>
      <c r="W1183" s="171">
        <v>61</v>
      </c>
      <c r="X1183" s="171">
        <v>53</v>
      </c>
      <c r="Y1183" s="171">
        <v>47.01</v>
      </c>
      <c r="Z1183" s="171">
        <v>46.76</v>
      </c>
      <c r="AA1183" s="171">
        <v>44.93</v>
      </c>
      <c r="AB1183" s="171">
        <v>62.96</v>
      </c>
      <c r="AC1183" s="171">
        <v>40.94</v>
      </c>
      <c r="AD1183" s="171">
        <v>41.01</v>
      </c>
      <c r="AF1183" s="171">
        <f t="shared" si="56"/>
        <v>2010</v>
      </c>
      <c r="AG1183" s="171">
        <f t="shared" si="57"/>
        <v>9</v>
      </c>
      <c r="AH1183" s="700">
        <f>SUMIF(D$3:$AA1183,"&lt;="&amp;$AH$1)/COUNTIF(D$3:$AA1183,"&lt;="&amp;$AH$1)</f>
        <v>30.165180265654712</v>
      </c>
    </row>
    <row r="1184" spans="2:34" x14ac:dyDescent="0.25">
      <c r="B1184" s="910">
        <v>40484</v>
      </c>
      <c r="C1184" s="581">
        <f t="shared" si="55"/>
        <v>11</v>
      </c>
      <c r="D1184" s="171">
        <v>39.619999999999997</v>
      </c>
      <c r="E1184" s="171">
        <v>38</v>
      </c>
      <c r="F1184" s="171">
        <v>37.5</v>
      </c>
      <c r="G1184" s="171">
        <v>35.67</v>
      </c>
      <c r="H1184" s="171">
        <v>36.5</v>
      </c>
      <c r="I1184" s="171">
        <v>39.72</v>
      </c>
      <c r="J1184" s="171">
        <v>45.480000000000004</v>
      </c>
      <c r="K1184" s="171">
        <v>60.01</v>
      </c>
      <c r="L1184" s="171">
        <v>60.7</v>
      </c>
      <c r="M1184" s="171">
        <v>61.29</v>
      </c>
      <c r="N1184" s="171">
        <v>61.32</v>
      </c>
      <c r="O1184" s="171">
        <v>61.410000000000004</v>
      </c>
      <c r="P1184" s="171">
        <v>61</v>
      </c>
      <c r="Q1184" s="171">
        <v>57.32</v>
      </c>
      <c r="R1184" s="171">
        <v>54.96</v>
      </c>
      <c r="S1184" s="171">
        <v>51</v>
      </c>
      <c r="T1184" s="171">
        <v>49.95</v>
      </c>
      <c r="U1184" s="171">
        <v>60.01</v>
      </c>
      <c r="V1184" s="171">
        <v>70.5</v>
      </c>
      <c r="W1184" s="171">
        <v>65.5</v>
      </c>
      <c r="X1184" s="171">
        <v>53.28</v>
      </c>
      <c r="Y1184" s="171">
        <v>43.51</v>
      </c>
      <c r="Z1184" s="171">
        <v>45</v>
      </c>
      <c r="AA1184" s="171">
        <v>42.09</v>
      </c>
      <c r="AB1184" s="171">
        <v>70.5</v>
      </c>
      <c r="AC1184" s="171">
        <v>43.51</v>
      </c>
      <c r="AD1184" s="171">
        <v>43.03</v>
      </c>
      <c r="AF1184" s="171">
        <f t="shared" si="56"/>
        <v>2010</v>
      </c>
      <c r="AG1184" s="171">
        <f t="shared" si="57"/>
        <v>7</v>
      </c>
      <c r="AH1184" s="700">
        <f>SUMIF(D$3:$AA1184,"&lt;="&amp;$AH$1)/COUNTIF(D$3:$AA1184,"&lt;="&amp;$AH$1)</f>
        <v>30.170174984915153</v>
      </c>
    </row>
    <row r="1185" spans="2:34" x14ac:dyDescent="0.25">
      <c r="B1185" s="910">
        <v>40485</v>
      </c>
      <c r="C1185" s="581">
        <f t="shared" si="55"/>
        <v>11</v>
      </c>
      <c r="D1185" s="171">
        <v>34.93</v>
      </c>
      <c r="E1185" s="171">
        <v>28.6</v>
      </c>
      <c r="F1185" s="171">
        <v>25</v>
      </c>
      <c r="G1185" s="171">
        <v>21.6</v>
      </c>
      <c r="H1185" s="171">
        <v>22.18</v>
      </c>
      <c r="I1185" s="171">
        <v>33.950000000000003</v>
      </c>
      <c r="J1185" s="171">
        <v>40</v>
      </c>
      <c r="K1185" s="171">
        <v>49.19</v>
      </c>
      <c r="L1185" s="171">
        <v>50.800000000000004</v>
      </c>
      <c r="M1185" s="171">
        <v>51</v>
      </c>
      <c r="N1185" s="171">
        <v>51.5</v>
      </c>
      <c r="O1185" s="171">
        <v>51</v>
      </c>
      <c r="P1185" s="171">
        <v>51</v>
      </c>
      <c r="Q1185" s="171">
        <v>56.120000000000005</v>
      </c>
      <c r="R1185" s="171">
        <v>54</v>
      </c>
      <c r="S1185" s="171">
        <v>48.61</v>
      </c>
      <c r="T1185" s="171">
        <v>51.68</v>
      </c>
      <c r="U1185" s="171">
        <v>58.7</v>
      </c>
      <c r="V1185" s="171">
        <v>64.239999999999995</v>
      </c>
      <c r="W1185" s="171">
        <v>60.19</v>
      </c>
      <c r="X1185" s="171">
        <v>52.79</v>
      </c>
      <c r="Y1185" s="171">
        <v>45.15</v>
      </c>
      <c r="Z1185" s="171">
        <v>46.02</v>
      </c>
      <c r="AA1185" s="171">
        <v>40.340000000000003</v>
      </c>
      <c r="AB1185" s="171">
        <v>64.239999999999995</v>
      </c>
      <c r="AC1185" s="171">
        <v>45.15</v>
      </c>
      <c r="AD1185" s="171">
        <v>36.65</v>
      </c>
      <c r="AF1185" s="171">
        <f t="shared" si="56"/>
        <v>2010</v>
      </c>
      <c r="AG1185" s="171">
        <f t="shared" si="57"/>
        <v>8</v>
      </c>
      <c r="AH1185" s="700">
        <f>SUMIF(D$3:$AA1185,"&lt;="&amp;$AH$1)/COUNTIF(D$3:$AA1185,"&lt;="&amp;$AH$1)</f>
        <v>30.170626238263477</v>
      </c>
    </row>
    <row r="1186" spans="2:34" x14ac:dyDescent="0.25">
      <c r="B1186" s="910">
        <v>40486</v>
      </c>
      <c r="C1186" s="581">
        <f t="shared" si="55"/>
        <v>11</v>
      </c>
      <c r="D1186" s="171">
        <v>37.86</v>
      </c>
      <c r="E1186" s="171">
        <v>34.25</v>
      </c>
      <c r="F1186" s="171">
        <v>29.37</v>
      </c>
      <c r="G1186" s="171">
        <v>25.75</v>
      </c>
      <c r="H1186" s="171">
        <v>26.2</v>
      </c>
      <c r="I1186" s="171">
        <v>35.21</v>
      </c>
      <c r="J1186" s="171">
        <v>43.69</v>
      </c>
      <c r="K1186" s="171">
        <v>51.4</v>
      </c>
      <c r="L1186" s="171">
        <v>55.72</v>
      </c>
      <c r="M1186" s="171">
        <v>56</v>
      </c>
      <c r="N1186" s="171">
        <v>55.03</v>
      </c>
      <c r="O1186" s="171">
        <v>54</v>
      </c>
      <c r="P1186" s="171">
        <v>51.1</v>
      </c>
      <c r="Q1186" s="171">
        <v>49</v>
      </c>
      <c r="R1186" s="171">
        <v>49.07</v>
      </c>
      <c r="S1186" s="171">
        <v>47.5</v>
      </c>
      <c r="T1186" s="171">
        <v>46.78</v>
      </c>
      <c r="U1186" s="171">
        <v>52.6</v>
      </c>
      <c r="V1186" s="171">
        <v>54.24</v>
      </c>
      <c r="W1186" s="171">
        <v>55</v>
      </c>
      <c r="X1186" s="171">
        <v>49.1</v>
      </c>
      <c r="Y1186" s="171">
        <v>42.300000000000004</v>
      </c>
      <c r="Z1186" s="171">
        <v>39.96</v>
      </c>
      <c r="AA1186" s="171">
        <v>36.630000000000003</v>
      </c>
      <c r="AB1186" s="171">
        <v>56</v>
      </c>
      <c r="AC1186" s="171">
        <v>39.96</v>
      </c>
      <c r="AD1186" s="171">
        <v>37.64</v>
      </c>
      <c r="AF1186" s="171">
        <f t="shared" si="56"/>
        <v>2010</v>
      </c>
      <c r="AG1186" s="171">
        <f t="shared" si="57"/>
        <v>9</v>
      </c>
      <c r="AH1186" s="700">
        <f>SUMIF(D$3:$AA1186,"&lt;="&amp;$AH$1)/COUNTIF(D$3:$AA1186,"&lt;="&amp;$AH$1)</f>
        <v>30.173724393183054</v>
      </c>
    </row>
    <row r="1187" spans="2:34" x14ac:dyDescent="0.25">
      <c r="B1187" s="910">
        <v>40487</v>
      </c>
      <c r="C1187" s="581">
        <f t="shared" si="55"/>
        <v>11</v>
      </c>
      <c r="D1187" s="171">
        <v>38.270000000000003</v>
      </c>
      <c r="E1187" s="171">
        <v>37.21</v>
      </c>
      <c r="F1187" s="171">
        <v>30.11</v>
      </c>
      <c r="G1187" s="171">
        <v>10.370000000000001</v>
      </c>
      <c r="H1187" s="171">
        <v>14.620000000000001</v>
      </c>
      <c r="I1187" s="171">
        <v>32.090000000000003</v>
      </c>
      <c r="J1187" s="171">
        <v>42.95</v>
      </c>
      <c r="K1187" s="171">
        <v>49.96</v>
      </c>
      <c r="L1187" s="171">
        <v>51</v>
      </c>
      <c r="M1187" s="171">
        <v>52.76</v>
      </c>
      <c r="N1187" s="171">
        <v>53.730000000000004</v>
      </c>
      <c r="O1187" s="171">
        <v>52.81</v>
      </c>
      <c r="P1187" s="171">
        <v>53.5</v>
      </c>
      <c r="Q1187" s="171">
        <v>53.53</v>
      </c>
      <c r="R1187" s="171">
        <v>50.120000000000005</v>
      </c>
      <c r="S1187" s="171">
        <v>48.29</v>
      </c>
      <c r="T1187" s="171">
        <v>49.42</v>
      </c>
      <c r="U1187" s="171">
        <v>59.9</v>
      </c>
      <c r="V1187" s="171">
        <v>67.710000000000008</v>
      </c>
      <c r="W1187" s="171">
        <v>62.7</v>
      </c>
      <c r="X1187" s="171">
        <v>53.910000000000004</v>
      </c>
      <c r="Y1187" s="171">
        <v>45</v>
      </c>
      <c r="Z1187" s="171">
        <v>46.08</v>
      </c>
      <c r="AA1187" s="171">
        <v>43.58</v>
      </c>
      <c r="AB1187" s="171">
        <v>67.710000000000008</v>
      </c>
      <c r="AC1187" s="171">
        <v>45</v>
      </c>
      <c r="AD1187" s="171">
        <v>37.01</v>
      </c>
      <c r="AF1187" s="171">
        <f t="shared" si="56"/>
        <v>2010</v>
      </c>
      <c r="AG1187" s="171">
        <f t="shared" si="57"/>
        <v>6</v>
      </c>
      <c r="AH1187" s="700">
        <f>SUMIF(D$3:$AA1187,"&lt;="&amp;$AH$1)/COUNTIF(D$3:$AA1187,"&lt;="&amp;$AH$1)</f>
        <v>30.172143840330417</v>
      </c>
    </row>
    <row r="1188" spans="2:34" x14ac:dyDescent="0.25">
      <c r="B1188" s="910">
        <v>40490</v>
      </c>
      <c r="C1188" s="581">
        <f t="shared" si="55"/>
        <v>11</v>
      </c>
      <c r="D1188" s="171">
        <v>36.480000000000004</v>
      </c>
      <c r="E1188" s="171">
        <v>36.5</v>
      </c>
      <c r="F1188" s="171">
        <v>35.380000000000003</v>
      </c>
      <c r="G1188" s="171">
        <v>28.41</v>
      </c>
      <c r="H1188" s="171">
        <v>31.5</v>
      </c>
      <c r="I1188" s="171">
        <v>38.21</v>
      </c>
      <c r="J1188" s="171">
        <v>48.5</v>
      </c>
      <c r="K1188" s="171">
        <v>60</v>
      </c>
      <c r="L1188" s="171">
        <v>65.760000000000005</v>
      </c>
      <c r="M1188" s="171">
        <v>65.5</v>
      </c>
      <c r="N1188" s="171">
        <v>63.88</v>
      </c>
      <c r="O1188" s="171">
        <v>64.36</v>
      </c>
      <c r="P1188" s="171">
        <v>62.5</v>
      </c>
      <c r="Q1188" s="171">
        <v>61.120000000000005</v>
      </c>
      <c r="R1188" s="171">
        <v>56.51</v>
      </c>
      <c r="S1188" s="171">
        <v>54</v>
      </c>
      <c r="T1188" s="171">
        <v>57.5</v>
      </c>
      <c r="U1188" s="171">
        <v>68.989999999999995</v>
      </c>
      <c r="V1188" s="171">
        <v>73.5</v>
      </c>
      <c r="W1188" s="171">
        <v>68.5</v>
      </c>
      <c r="X1188" s="171">
        <v>53.71</v>
      </c>
      <c r="Y1188" s="171">
        <v>47.4</v>
      </c>
      <c r="Z1188" s="171">
        <v>45.62</v>
      </c>
      <c r="AA1188" s="171">
        <v>41.5</v>
      </c>
      <c r="AB1188" s="171">
        <v>73.5</v>
      </c>
      <c r="AC1188" s="171">
        <v>45.62</v>
      </c>
      <c r="AD1188" s="171">
        <v>41.93</v>
      </c>
      <c r="AF1188" s="171">
        <f t="shared" si="56"/>
        <v>2010</v>
      </c>
      <c r="AG1188" s="171">
        <f t="shared" si="57"/>
        <v>7</v>
      </c>
      <c r="AH1188" s="700">
        <f>SUMIF(D$3:$AA1188,"&lt;="&amp;$AH$1)/COUNTIF(D$3:$AA1188,"&lt;="&amp;$AH$1)</f>
        <v>30.17530564869751</v>
      </c>
    </row>
    <row r="1189" spans="2:34" x14ac:dyDescent="0.25">
      <c r="B1189" s="910">
        <v>40491</v>
      </c>
      <c r="C1189" s="581">
        <f t="shared" si="55"/>
        <v>11</v>
      </c>
      <c r="D1189" s="171">
        <v>39</v>
      </c>
      <c r="E1189" s="171">
        <v>39.44</v>
      </c>
      <c r="F1189" s="171">
        <v>36.230000000000004</v>
      </c>
      <c r="G1189" s="171">
        <v>25.05</v>
      </c>
      <c r="H1189" s="171">
        <v>24.990000000000002</v>
      </c>
      <c r="I1189" s="171">
        <v>36.69</v>
      </c>
      <c r="J1189" s="171">
        <v>44.93</v>
      </c>
      <c r="K1189" s="171">
        <v>58.71</v>
      </c>
      <c r="L1189" s="171">
        <v>54.26</v>
      </c>
      <c r="M1189" s="171">
        <v>59.910000000000004</v>
      </c>
      <c r="N1189" s="171">
        <v>59.71</v>
      </c>
      <c r="O1189" s="171">
        <v>61.28</v>
      </c>
      <c r="P1189" s="171">
        <v>58</v>
      </c>
      <c r="Q1189" s="171">
        <v>58.2</v>
      </c>
      <c r="R1189" s="171">
        <v>57.7</v>
      </c>
      <c r="S1189" s="171">
        <v>52.06</v>
      </c>
      <c r="T1189" s="171">
        <v>55.56</v>
      </c>
      <c r="U1189" s="171">
        <v>68</v>
      </c>
      <c r="V1189" s="171">
        <v>70.12</v>
      </c>
      <c r="W1189" s="171">
        <v>64.64</v>
      </c>
      <c r="X1189" s="171">
        <v>51.980000000000004</v>
      </c>
      <c r="Y1189" s="171">
        <v>45.45</v>
      </c>
      <c r="Z1189" s="171">
        <v>47.45</v>
      </c>
      <c r="AA1189" s="171">
        <v>42</v>
      </c>
      <c r="AB1189" s="171">
        <v>70.12</v>
      </c>
      <c r="AC1189" s="171">
        <v>45.45</v>
      </c>
      <c r="AD1189" s="171">
        <v>40.99</v>
      </c>
      <c r="AF1189" s="171">
        <f t="shared" si="56"/>
        <v>2010</v>
      </c>
      <c r="AG1189" s="171">
        <f t="shared" si="57"/>
        <v>7</v>
      </c>
      <c r="AH1189" s="700">
        <f>SUMIF(D$3:$AA1189,"&lt;="&amp;$AH$1)/COUNTIF(D$3:$AA1189,"&lt;="&amp;$AH$1)</f>
        <v>30.17807011514012</v>
      </c>
    </row>
    <row r="1190" spans="2:34" x14ac:dyDescent="0.25">
      <c r="B1190" s="910">
        <v>40492</v>
      </c>
      <c r="C1190" s="581">
        <f t="shared" si="55"/>
        <v>11</v>
      </c>
      <c r="D1190" s="171">
        <v>39.25</v>
      </c>
      <c r="E1190" s="171">
        <v>36.74</v>
      </c>
      <c r="F1190" s="171">
        <v>35.090000000000003</v>
      </c>
      <c r="G1190" s="171">
        <v>34.29</v>
      </c>
      <c r="H1190" s="171">
        <v>33.590000000000003</v>
      </c>
      <c r="I1190" s="171">
        <v>39.270000000000003</v>
      </c>
      <c r="J1190" s="171">
        <v>46.910000000000004</v>
      </c>
      <c r="K1190" s="171">
        <v>55.550000000000004</v>
      </c>
      <c r="L1190" s="171">
        <v>56.300000000000004</v>
      </c>
      <c r="M1190" s="171">
        <v>57.97</v>
      </c>
      <c r="N1190" s="171">
        <v>58.370000000000005</v>
      </c>
      <c r="O1190" s="171">
        <v>60.03</v>
      </c>
      <c r="P1190" s="171">
        <v>58.06</v>
      </c>
      <c r="Q1190" s="171">
        <v>56.910000000000004</v>
      </c>
      <c r="R1190" s="171">
        <v>53.17</v>
      </c>
      <c r="S1190" s="171">
        <v>52.54</v>
      </c>
      <c r="T1190" s="171">
        <v>56</v>
      </c>
      <c r="U1190" s="171">
        <v>66.260000000000005</v>
      </c>
      <c r="V1190" s="171">
        <v>75.06</v>
      </c>
      <c r="W1190" s="171">
        <v>66.33</v>
      </c>
      <c r="X1190" s="171">
        <v>56.19</v>
      </c>
      <c r="Y1190" s="171">
        <v>46.42</v>
      </c>
      <c r="Z1190" s="171">
        <v>46.94</v>
      </c>
      <c r="AA1190" s="171">
        <v>41.9</v>
      </c>
      <c r="AB1190" s="171">
        <v>75.06</v>
      </c>
      <c r="AC1190" s="171">
        <v>46.42</v>
      </c>
      <c r="AD1190" s="171">
        <v>42.68</v>
      </c>
      <c r="AF1190" s="171">
        <f t="shared" si="56"/>
        <v>2010</v>
      </c>
      <c r="AG1190" s="171">
        <f t="shared" si="57"/>
        <v>7</v>
      </c>
      <c r="AH1190" s="700">
        <f>SUMIF(D$3:$AA1190,"&lt;="&amp;$AH$1)/COUNTIF(D$3:$AA1190,"&lt;="&amp;$AH$1)</f>
        <v>30.182267926148626</v>
      </c>
    </row>
    <row r="1191" spans="2:34" x14ac:dyDescent="0.25">
      <c r="B1191" s="910">
        <v>40493</v>
      </c>
      <c r="C1191" s="581">
        <f t="shared" si="55"/>
        <v>11</v>
      </c>
      <c r="D1191" s="171">
        <v>37.51</v>
      </c>
      <c r="E1191" s="171">
        <v>37.090000000000003</v>
      </c>
      <c r="F1191" s="171">
        <v>36.33</v>
      </c>
      <c r="G1191" s="171">
        <v>32.01</v>
      </c>
      <c r="H1191" s="171">
        <v>33.65</v>
      </c>
      <c r="I1191" s="171">
        <v>36.6</v>
      </c>
      <c r="J1191" s="171">
        <v>45.71</v>
      </c>
      <c r="K1191" s="171">
        <v>52.65</v>
      </c>
      <c r="L1191" s="171">
        <v>49.88</v>
      </c>
      <c r="M1191" s="171">
        <v>47.61</v>
      </c>
      <c r="N1191" s="171">
        <v>46.300000000000004</v>
      </c>
      <c r="O1191" s="171">
        <v>46.92</v>
      </c>
      <c r="P1191" s="171">
        <v>46.06</v>
      </c>
      <c r="Q1191" s="171">
        <v>41.56</v>
      </c>
      <c r="R1191" s="171">
        <v>40.61</v>
      </c>
      <c r="S1191" s="171">
        <v>40.020000000000003</v>
      </c>
      <c r="T1191" s="171">
        <v>41.58</v>
      </c>
      <c r="U1191" s="171">
        <v>47.71</v>
      </c>
      <c r="V1191" s="171">
        <v>49.7</v>
      </c>
      <c r="W1191" s="171">
        <v>46.27</v>
      </c>
      <c r="X1191" s="171">
        <v>44.28</v>
      </c>
      <c r="Y1191" s="171">
        <v>39.270000000000003</v>
      </c>
      <c r="Z1191" s="171">
        <v>40.39</v>
      </c>
      <c r="AA1191" s="171">
        <v>35.68</v>
      </c>
      <c r="AB1191" s="171">
        <v>52.65</v>
      </c>
      <c r="AC1191" s="171">
        <v>39.270000000000003</v>
      </c>
      <c r="AD1191" s="171">
        <v>39.26</v>
      </c>
      <c r="AF1191" s="171">
        <f t="shared" si="56"/>
        <v>2010</v>
      </c>
      <c r="AG1191" s="171">
        <f t="shared" si="57"/>
        <v>13</v>
      </c>
      <c r="AH1191" s="700">
        <f>SUMIF(D$3:$AA1191,"&lt;="&amp;$AH$1)/COUNTIF(D$3:$AA1191,"&lt;="&amp;$AH$1)</f>
        <v>30.190839766683897</v>
      </c>
    </row>
    <row r="1192" spans="2:34" x14ac:dyDescent="0.25">
      <c r="B1192" s="910">
        <v>40494</v>
      </c>
      <c r="C1192" s="581">
        <f t="shared" si="55"/>
        <v>11</v>
      </c>
      <c r="D1192" s="171">
        <v>19.990000000000002</v>
      </c>
      <c r="E1192" s="171">
        <v>9.49</v>
      </c>
      <c r="F1192" s="171">
        <v>2.16</v>
      </c>
      <c r="G1192" s="171">
        <v>0.86</v>
      </c>
      <c r="H1192" s="171">
        <v>0.94000000000000006</v>
      </c>
      <c r="I1192" s="171">
        <v>12.14</v>
      </c>
      <c r="J1192" s="171">
        <v>43.03</v>
      </c>
      <c r="K1192" s="171">
        <v>51.160000000000004</v>
      </c>
      <c r="L1192" s="171">
        <v>49.980000000000004</v>
      </c>
      <c r="M1192" s="171">
        <v>49.85</v>
      </c>
      <c r="N1192" s="171">
        <v>49.76</v>
      </c>
      <c r="O1192" s="171">
        <v>49.58</v>
      </c>
      <c r="P1192" s="171">
        <v>49.47</v>
      </c>
      <c r="Q1192" s="171">
        <v>46.32</v>
      </c>
      <c r="R1192" s="171">
        <v>42.37</v>
      </c>
      <c r="S1192" s="171">
        <v>39.96</v>
      </c>
      <c r="T1192" s="171">
        <v>44.92</v>
      </c>
      <c r="U1192" s="171">
        <v>55.160000000000004</v>
      </c>
      <c r="V1192" s="171">
        <v>60.06</v>
      </c>
      <c r="W1192" s="171">
        <v>55.04</v>
      </c>
      <c r="X1192" s="171">
        <v>48.07</v>
      </c>
      <c r="Y1192" s="171">
        <v>43.27</v>
      </c>
      <c r="Z1192" s="171">
        <v>45.81</v>
      </c>
      <c r="AA1192" s="171">
        <v>39.200000000000003</v>
      </c>
      <c r="AB1192" s="171">
        <v>60.06</v>
      </c>
      <c r="AC1192" s="171">
        <v>39.96</v>
      </c>
      <c r="AD1192" s="171">
        <v>26.34</v>
      </c>
      <c r="AF1192" s="171">
        <f t="shared" si="56"/>
        <v>2010</v>
      </c>
      <c r="AG1192" s="171">
        <f t="shared" si="57"/>
        <v>9</v>
      </c>
      <c r="AH1192" s="700">
        <f>SUMIF(D$3:$AA1192,"&lt;="&amp;$AH$1)/COUNTIF(D$3:$AA1192,"&lt;="&amp;$AH$1)</f>
        <v>30.181873660752622</v>
      </c>
    </row>
    <row r="1193" spans="2:34" x14ac:dyDescent="0.25">
      <c r="B1193" s="910">
        <v>40497</v>
      </c>
      <c r="C1193" s="581">
        <f t="shared" si="55"/>
        <v>11</v>
      </c>
      <c r="D1193" s="171">
        <v>19.990000000000002</v>
      </c>
      <c r="E1193" s="171">
        <v>9.49</v>
      </c>
      <c r="F1193" s="171">
        <v>2.16</v>
      </c>
      <c r="G1193" s="171">
        <v>0.86</v>
      </c>
      <c r="H1193" s="171">
        <v>0.94000000000000006</v>
      </c>
      <c r="I1193" s="171">
        <v>12.14</v>
      </c>
      <c r="J1193" s="171">
        <v>43.03</v>
      </c>
      <c r="K1193" s="171">
        <v>51.160000000000004</v>
      </c>
      <c r="L1193" s="171">
        <v>49.980000000000004</v>
      </c>
      <c r="M1193" s="171">
        <v>49.85</v>
      </c>
      <c r="N1193" s="171">
        <v>49.76</v>
      </c>
      <c r="O1193" s="171">
        <v>49.58</v>
      </c>
      <c r="P1193" s="171">
        <v>49.47</v>
      </c>
      <c r="Q1193" s="171">
        <v>46.32</v>
      </c>
      <c r="R1193" s="171">
        <v>42.37</v>
      </c>
      <c r="S1193" s="171">
        <v>39.96</v>
      </c>
      <c r="T1193" s="171">
        <v>44.92</v>
      </c>
      <c r="U1193" s="171">
        <v>55.160000000000004</v>
      </c>
      <c r="V1193" s="171">
        <v>60.06</v>
      </c>
      <c r="W1193" s="171">
        <v>55.04</v>
      </c>
      <c r="X1193" s="171">
        <v>48.07</v>
      </c>
      <c r="Y1193" s="171">
        <v>43.27</v>
      </c>
      <c r="Z1193" s="171">
        <v>45.81</v>
      </c>
      <c r="AA1193" s="171">
        <v>39.200000000000003</v>
      </c>
      <c r="AB1193" s="171">
        <v>60.06</v>
      </c>
      <c r="AC1193" s="171">
        <v>39.96</v>
      </c>
      <c r="AD1193" s="171">
        <v>26.34</v>
      </c>
      <c r="AF1193" s="171">
        <f t="shared" si="56"/>
        <v>2010</v>
      </c>
      <c r="AG1193" s="171">
        <f t="shared" si="57"/>
        <v>9</v>
      </c>
      <c r="AH1193" s="700">
        <f>SUMIF(D$3:$AA1193,"&lt;="&amp;$AH$1)/COUNTIF(D$3:$AA1193,"&lt;="&amp;$AH$1)</f>
        <v>30.172921377184039</v>
      </c>
    </row>
    <row r="1194" spans="2:34" x14ac:dyDescent="0.25">
      <c r="B1194" s="910">
        <v>40498</v>
      </c>
      <c r="C1194" s="581">
        <f t="shared" si="55"/>
        <v>11</v>
      </c>
      <c r="D1194" s="171">
        <v>41.65</v>
      </c>
      <c r="E1194" s="171">
        <v>40.700000000000003</v>
      </c>
      <c r="F1194" s="171">
        <v>37.78</v>
      </c>
      <c r="G1194" s="171">
        <v>36</v>
      </c>
      <c r="H1194" s="171">
        <v>35.51</v>
      </c>
      <c r="I1194" s="171">
        <v>42.52</v>
      </c>
      <c r="J1194" s="171">
        <v>45.49</v>
      </c>
      <c r="K1194" s="171">
        <v>57.53</v>
      </c>
      <c r="L1194" s="171">
        <v>58.93</v>
      </c>
      <c r="M1194" s="171">
        <v>58.480000000000004</v>
      </c>
      <c r="N1194" s="171">
        <v>58.44</v>
      </c>
      <c r="O1194" s="171">
        <v>59.29</v>
      </c>
      <c r="P1194" s="171">
        <v>56.9</v>
      </c>
      <c r="Q1194" s="171">
        <v>56.97</v>
      </c>
      <c r="R1194" s="171">
        <v>55.08</v>
      </c>
      <c r="S1194" s="171">
        <v>55.15</v>
      </c>
      <c r="T1194" s="171">
        <v>59.99</v>
      </c>
      <c r="U1194" s="171">
        <v>71.320000000000007</v>
      </c>
      <c r="V1194" s="171">
        <v>71.03</v>
      </c>
      <c r="W1194" s="171">
        <v>63.4</v>
      </c>
      <c r="X1194" s="171">
        <v>53.03</v>
      </c>
      <c r="Y1194" s="171">
        <v>46.89</v>
      </c>
      <c r="Z1194" s="171">
        <v>46.03</v>
      </c>
      <c r="AA1194" s="171">
        <v>42.82</v>
      </c>
      <c r="AB1194" s="171">
        <v>71.320000000000007</v>
      </c>
      <c r="AC1194" s="171">
        <v>46.03</v>
      </c>
      <c r="AD1194" s="171">
        <v>43.83</v>
      </c>
      <c r="AF1194" s="171">
        <f t="shared" si="56"/>
        <v>2010</v>
      </c>
      <c r="AG1194" s="171">
        <f t="shared" si="57"/>
        <v>6</v>
      </c>
      <c r="AH1194" s="700">
        <f>SUMIF(D$3:$AA1194,"&lt;="&amp;$AH$1)/COUNTIF(D$3:$AA1194,"&lt;="&amp;$AH$1)</f>
        <v>30.177468755350191</v>
      </c>
    </row>
    <row r="1195" spans="2:34" x14ac:dyDescent="0.25">
      <c r="B1195" s="910">
        <v>40499</v>
      </c>
      <c r="C1195" s="581">
        <f t="shared" si="55"/>
        <v>11</v>
      </c>
      <c r="D1195" s="171">
        <v>38.85</v>
      </c>
      <c r="E1195" s="171">
        <v>38.67</v>
      </c>
      <c r="F1195" s="171">
        <v>37.82</v>
      </c>
      <c r="G1195" s="171">
        <v>31.01</v>
      </c>
      <c r="H1195" s="171">
        <v>32.99</v>
      </c>
      <c r="I1195" s="171">
        <v>40.840000000000003</v>
      </c>
      <c r="J1195" s="171">
        <v>47.43</v>
      </c>
      <c r="K1195" s="171">
        <v>55.21</v>
      </c>
      <c r="L1195" s="171">
        <v>58.96</v>
      </c>
      <c r="M1195" s="171">
        <v>58.97</v>
      </c>
      <c r="N1195" s="171">
        <v>59.120000000000005</v>
      </c>
      <c r="O1195" s="171">
        <v>61.04</v>
      </c>
      <c r="P1195" s="171">
        <v>59.09</v>
      </c>
      <c r="Q1195" s="171">
        <v>58.33</v>
      </c>
      <c r="R1195" s="171">
        <v>55.09</v>
      </c>
      <c r="S1195" s="171">
        <v>55.980000000000004</v>
      </c>
      <c r="T1195" s="171">
        <v>58.480000000000004</v>
      </c>
      <c r="U1195" s="171">
        <v>72.989999999999995</v>
      </c>
      <c r="V1195" s="171">
        <v>80.52</v>
      </c>
      <c r="W1195" s="171">
        <v>68.8</v>
      </c>
      <c r="X1195" s="171">
        <v>60</v>
      </c>
      <c r="Y1195" s="171">
        <v>49.97</v>
      </c>
      <c r="Z1195" s="171">
        <v>50.25</v>
      </c>
      <c r="AA1195" s="171">
        <v>45.47</v>
      </c>
      <c r="AB1195" s="171">
        <v>80.52</v>
      </c>
      <c r="AC1195" s="171">
        <v>49.97</v>
      </c>
      <c r="AD1195" s="171">
        <v>44.04</v>
      </c>
      <c r="AF1195" s="171">
        <f t="shared" si="56"/>
        <v>2010</v>
      </c>
      <c r="AG1195" s="171">
        <f t="shared" si="57"/>
        <v>6</v>
      </c>
      <c r="AH1195" s="700">
        <f>SUMIF(D$3:$AA1195,"&lt;="&amp;$AH$1)/COUNTIF(D$3:$AA1195,"&lt;="&amp;$AH$1)</f>
        <v>30.180815366187623</v>
      </c>
    </row>
    <row r="1196" spans="2:34" x14ac:dyDescent="0.25">
      <c r="B1196" s="910">
        <v>40500</v>
      </c>
      <c r="C1196" s="581">
        <f t="shared" si="55"/>
        <v>11</v>
      </c>
      <c r="D1196" s="171">
        <v>41.7</v>
      </c>
      <c r="E1196" s="171">
        <v>38.83</v>
      </c>
      <c r="F1196" s="171">
        <v>36.050000000000004</v>
      </c>
      <c r="G1196" s="171">
        <v>32.42</v>
      </c>
      <c r="H1196" s="171">
        <v>35.71</v>
      </c>
      <c r="I1196" s="171">
        <v>38.270000000000003</v>
      </c>
      <c r="J1196" s="171">
        <v>44</v>
      </c>
      <c r="K1196" s="171">
        <v>58.4</v>
      </c>
      <c r="L1196" s="171">
        <v>58.97</v>
      </c>
      <c r="M1196" s="171">
        <v>61.19</v>
      </c>
      <c r="N1196" s="171">
        <v>58.07</v>
      </c>
      <c r="O1196" s="171">
        <v>59.44</v>
      </c>
      <c r="P1196" s="171">
        <v>60</v>
      </c>
      <c r="Q1196" s="171">
        <v>57.910000000000004</v>
      </c>
      <c r="R1196" s="171">
        <v>58.99</v>
      </c>
      <c r="S1196" s="171">
        <v>57.02</v>
      </c>
      <c r="T1196" s="171">
        <v>62.45</v>
      </c>
      <c r="U1196" s="171">
        <v>75.010000000000005</v>
      </c>
      <c r="V1196" s="171">
        <v>80.42</v>
      </c>
      <c r="W1196" s="171">
        <v>63.190000000000005</v>
      </c>
      <c r="X1196" s="171">
        <v>57.24</v>
      </c>
      <c r="Y1196" s="171">
        <v>49.33</v>
      </c>
      <c r="Z1196" s="171">
        <v>50.81</v>
      </c>
      <c r="AA1196" s="171">
        <v>45.410000000000004</v>
      </c>
      <c r="AB1196" s="171">
        <v>80.42</v>
      </c>
      <c r="AC1196" s="171">
        <v>49.33</v>
      </c>
      <c r="AD1196" s="171">
        <v>44.01</v>
      </c>
      <c r="AF1196" s="171">
        <f t="shared" si="56"/>
        <v>2010</v>
      </c>
      <c r="AG1196" s="171">
        <f t="shared" si="57"/>
        <v>6</v>
      </c>
      <c r="AH1196" s="700">
        <f>SUMIF(D$3:$AA1196,"&lt;="&amp;$AH$1)/COUNTIF(D$3:$AA1196,"&lt;="&amp;$AH$1)</f>
        <v>30.184397981871129</v>
      </c>
    </row>
    <row r="1197" spans="2:34" x14ac:dyDescent="0.25">
      <c r="B1197" s="910">
        <v>40501</v>
      </c>
      <c r="C1197" s="581">
        <f t="shared" si="55"/>
        <v>11</v>
      </c>
      <c r="D1197" s="171">
        <v>42.79</v>
      </c>
      <c r="E1197" s="171">
        <v>41.42</v>
      </c>
      <c r="F1197" s="171">
        <v>38.1</v>
      </c>
      <c r="G1197" s="171">
        <v>36.020000000000003</v>
      </c>
      <c r="H1197" s="171">
        <v>36.07</v>
      </c>
      <c r="I1197" s="171">
        <v>40</v>
      </c>
      <c r="J1197" s="171">
        <v>44.85</v>
      </c>
      <c r="K1197" s="171">
        <v>59.97</v>
      </c>
      <c r="L1197" s="171">
        <v>63.04</v>
      </c>
      <c r="M1197" s="171">
        <v>61.92</v>
      </c>
      <c r="N1197" s="171">
        <v>62.25</v>
      </c>
      <c r="O1197" s="171">
        <v>62.35</v>
      </c>
      <c r="P1197" s="171">
        <v>61.99</v>
      </c>
      <c r="Q1197" s="171">
        <v>61.03</v>
      </c>
      <c r="R1197" s="171">
        <v>56.03</v>
      </c>
      <c r="S1197" s="171">
        <v>56.27</v>
      </c>
      <c r="T1197" s="171">
        <v>59.31</v>
      </c>
      <c r="U1197" s="171">
        <v>69.489999999999995</v>
      </c>
      <c r="V1197" s="171">
        <v>73</v>
      </c>
      <c r="W1197" s="171">
        <v>62.45</v>
      </c>
      <c r="X1197" s="171">
        <v>53.19</v>
      </c>
      <c r="Y1197" s="171">
        <v>47.37</v>
      </c>
      <c r="Z1197" s="171">
        <v>49.64</v>
      </c>
      <c r="AA1197" s="171">
        <v>47.31</v>
      </c>
      <c r="AB1197" s="171">
        <v>73</v>
      </c>
      <c r="AC1197" s="171">
        <v>47.37</v>
      </c>
      <c r="AD1197" s="171">
        <v>44.730000000000004</v>
      </c>
      <c r="AF1197" s="171">
        <f t="shared" si="56"/>
        <v>2010</v>
      </c>
      <c r="AG1197" s="171">
        <f t="shared" si="57"/>
        <v>5</v>
      </c>
      <c r="AH1197" s="700">
        <f>SUMIF(D$3:$AA1197,"&lt;="&amp;$AH$1)/COUNTIF(D$3:$AA1197,"&lt;="&amp;$AH$1)</f>
        <v>30.187875886828014</v>
      </c>
    </row>
    <row r="1198" spans="2:34" x14ac:dyDescent="0.25">
      <c r="B1198" s="910">
        <v>40504</v>
      </c>
      <c r="C1198" s="581">
        <f t="shared" si="55"/>
        <v>11</v>
      </c>
      <c r="D1198" s="171">
        <v>39.33</v>
      </c>
      <c r="E1198" s="171">
        <v>38.71</v>
      </c>
      <c r="F1198" s="171">
        <v>32.51</v>
      </c>
      <c r="G1198" s="171">
        <v>23.34</v>
      </c>
      <c r="H1198" s="171">
        <v>23.56</v>
      </c>
      <c r="I1198" s="171">
        <v>33.65</v>
      </c>
      <c r="J1198" s="171">
        <v>50.08</v>
      </c>
      <c r="K1198" s="171">
        <v>59.28</v>
      </c>
      <c r="L1198" s="171">
        <v>59.93</v>
      </c>
      <c r="M1198" s="171">
        <v>60.58</v>
      </c>
      <c r="N1198" s="171">
        <v>60.31</v>
      </c>
      <c r="O1198" s="171">
        <v>59.93</v>
      </c>
      <c r="P1198" s="171">
        <v>59.24</v>
      </c>
      <c r="Q1198" s="171">
        <v>58.46</v>
      </c>
      <c r="R1198" s="171">
        <v>58.56</v>
      </c>
      <c r="S1198" s="171">
        <v>56.03</v>
      </c>
      <c r="T1198" s="171">
        <v>59.42</v>
      </c>
      <c r="U1198" s="171">
        <v>67.25</v>
      </c>
      <c r="V1198" s="171">
        <v>68</v>
      </c>
      <c r="W1198" s="171">
        <v>63</v>
      </c>
      <c r="X1198" s="171">
        <v>51.07</v>
      </c>
      <c r="Y1198" s="171">
        <v>45.82</v>
      </c>
      <c r="Z1198" s="171">
        <v>44.730000000000004</v>
      </c>
      <c r="AA1198" s="171">
        <v>38.880000000000003</v>
      </c>
      <c r="AB1198" s="171">
        <v>68</v>
      </c>
      <c r="AC1198" s="171">
        <v>44.730000000000004</v>
      </c>
      <c r="AD1198" s="171">
        <v>40.08</v>
      </c>
      <c r="AF1198" s="171">
        <f t="shared" si="56"/>
        <v>2010</v>
      </c>
      <c r="AG1198" s="171">
        <f t="shared" si="57"/>
        <v>7</v>
      </c>
      <c r="AH1198" s="700">
        <f>SUMIF(D$3:$AA1198,"&lt;="&amp;$AH$1)/COUNTIF(D$3:$AA1198,"&lt;="&amp;$AH$1)</f>
        <v>30.189470357081927</v>
      </c>
    </row>
    <row r="1199" spans="2:34" x14ac:dyDescent="0.25">
      <c r="B1199" s="910">
        <v>40505</v>
      </c>
      <c r="C1199" s="581">
        <f t="shared" si="55"/>
        <v>11</v>
      </c>
      <c r="D1199" s="171">
        <v>41</v>
      </c>
      <c r="E1199" s="171">
        <v>37.130000000000003</v>
      </c>
      <c r="F1199" s="171">
        <v>36.74</v>
      </c>
      <c r="G1199" s="171">
        <v>35.08</v>
      </c>
      <c r="H1199" s="171">
        <v>33.99</v>
      </c>
      <c r="I1199" s="171">
        <v>38.35</v>
      </c>
      <c r="J1199" s="171">
        <v>45.12</v>
      </c>
      <c r="K1199" s="171">
        <v>58.59</v>
      </c>
      <c r="L1199" s="171">
        <v>61.43</v>
      </c>
      <c r="M1199" s="171">
        <v>60.870000000000005</v>
      </c>
      <c r="N1199" s="171">
        <v>60.69</v>
      </c>
      <c r="O1199" s="171">
        <v>61.33</v>
      </c>
      <c r="P1199" s="171">
        <v>58.910000000000004</v>
      </c>
      <c r="Q1199" s="171">
        <v>58.09</v>
      </c>
      <c r="R1199" s="171">
        <v>57.92</v>
      </c>
      <c r="S1199" s="171">
        <v>57.54</v>
      </c>
      <c r="T1199" s="171">
        <v>61.06</v>
      </c>
      <c r="U1199" s="171">
        <v>72.989999999999995</v>
      </c>
      <c r="V1199" s="171">
        <v>67.39</v>
      </c>
      <c r="W1199" s="171">
        <v>57.1</v>
      </c>
      <c r="X1199" s="171">
        <v>49.43</v>
      </c>
      <c r="Y1199" s="171">
        <v>45.4</v>
      </c>
      <c r="Z1199" s="171">
        <v>46.300000000000004</v>
      </c>
      <c r="AA1199" s="171">
        <v>42.49</v>
      </c>
      <c r="AB1199" s="171">
        <v>72.989999999999995</v>
      </c>
      <c r="AC1199" s="171">
        <v>45.4</v>
      </c>
      <c r="AD1199" s="171">
        <v>42.47</v>
      </c>
      <c r="AF1199" s="171">
        <f t="shared" si="56"/>
        <v>2010</v>
      </c>
      <c r="AG1199" s="171">
        <f t="shared" si="57"/>
        <v>7</v>
      </c>
      <c r="AH1199" s="700">
        <f>SUMIF(D$3:$AA1199,"&lt;="&amp;$AH$1)/COUNTIF(D$3:$AA1199,"&lt;="&amp;$AH$1)</f>
        <v>30.194033979339284</v>
      </c>
    </row>
    <row r="1200" spans="2:34" x14ac:dyDescent="0.25">
      <c r="B1200" s="910">
        <v>40506</v>
      </c>
      <c r="C1200" s="581">
        <f t="shared" si="55"/>
        <v>11</v>
      </c>
      <c r="D1200" s="171">
        <v>41.46</v>
      </c>
      <c r="E1200" s="171">
        <v>39.880000000000003</v>
      </c>
      <c r="F1200" s="171">
        <v>39.24</v>
      </c>
      <c r="G1200" s="171">
        <v>38.26</v>
      </c>
      <c r="H1200" s="171">
        <v>39.44</v>
      </c>
      <c r="I1200" s="171">
        <v>42</v>
      </c>
      <c r="J1200" s="171">
        <v>49.89</v>
      </c>
      <c r="K1200" s="171">
        <v>59.96</v>
      </c>
      <c r="L1200" s="171">
        <v>60.9</v>
      </c>
      <c r="M1200" s="171">
        <v>61.6</v>
      </c>
      <c r="N1200" s="171">
        <v>60.550000000000004</v>
      </c>
      <c r="O1200" s="171">
        <v>61.47</v>
      </c>
      <c r="P1200" s="171">
        <v>61.63</v>
      </c>
      <c r="Q1200" s="171">
        <v>61.7</v>
      </c>
      <c r="R1200" s="171">
        <v>61.81</v>
      </c>
      <c r="S1200" s="171">
        <v>64.08</v>
      </c>
      <c r="T1200" s="171">
        <v>65.94</v>
      </c>
      <c r="U1200" s="171">
        <v>82.03</v>
      </c>
      <c r="V1200" s="171">
        <v>80.320000000000007</v>
      </c>
      <c r="W1200" s="171">
        <v>64.930000000000007</v>
      </c>
      <c r="X1200" s="171">
        <v>58.06</v>
      </c>
      <c r="Y1200" s="171">
        <v>48.29</v>
      </c>
      <c r="Z1200" s="171">
        <v>47.28</v>
      </c>
      <c r="AA1200" s="171">
        <v>42.36</v>
      </c>
      <c r="AB1200" s="171">
        <v>82.03</v>
      </c>
      <c r="AC1200" s="171">
        <v>47.28</v>
      </c>
      <c r="AD1200" s="171">
        <v>45.51</v>
      </c>
      <c r="AF1200" s="171">
        <f t="shared" si="56"/>
        <v>2010</v>
      </c>
      <c r="AG1200" s="171">
        <f t="shared" si="57"/>
        <v>7</v>
      </c>
      <c r="AH1200" s="700">
        <f>SUMIF(D$3:$AA1200,"&lt;="&amp;$AH$1)/COUNTIF(D$3:$AA1200,"&lt;="&amp;$AH$1)</f>
        <v>30.20011604095572</v>
      </c>
    </row>
    <row r="1201" spans="2:34" x14ac:dyDescent="0.25">
      <c r="B1201" s="910">
        <v>40507</v>
      </c>
      <c r="C1201" s="581">
        <f t="shared" si="55"/>
        <v>11</v>
      </c>
      <c r="D1201" s="171">
        <v>43.980000000000004</v>
      </c>
      <c r="E1201" s="171">
        <v>42.160000000000004</v>
      </c>
      <c r="F1201" s="171">
        <v>43.22</v>
      </c>
      <c r="G1201" s="171">
        <v>41.14</v>
      </c>
      <c r="H1201" s="171">
        <v>40.92</v>
      </c>
      <c r="I1201" s="171">
        <v>42.39</v>
      </c>
      <c r="J1201" s="171">
        <v>49.67</v>
      </c>
      <c r="K1201" s="171">
        <v>72.8</v>
      </c>
      <c r="L1201" s="171">
        <v>68.320000000000007</v>
      </c>
      <c r="M1201" s="171">
        <v>68.180000000000007</v>
      </c>
      <c r="N1201" s="171">
        <v>67.790000000000006</v>
      </c>
      <c r="O1201" s="171">
        <v>69.84</v>
      </c>
      <c r="P1201" s="171">
        <v>67.489999999999995</v>
      </c>
      <c r="Q1201" s="171">
        <v>66.960000000000008</v>
      </c>
      <c r="R1201" s="171">
        <v>66.12</v>
      </c>
      <c r="S1201" s="171">
        <v>66.260000000000005</v>
      </c>
      <c r="T1201" s="171">
        <v>69.73</v>
      </c>
      <c r="U1201" s="171">
        <v>88.97</v>
      </c>
      <c r="V1201" s="171">
        <v>86.45</v>
      </c>
      <c r="W1201" s="171">
        <v>71.820000000000007</v>
      </c>
      <c r="X1201" s="171">
        <v>65.05</v>
      </c>
      <c r="Y1201" s="171">
        <v>59.97</v>
      </c>
      <c r="Z1201" s="171">
        <v>55</v>
      </c>
      <c r="AA1201" s="171">
        <v>48.44</v>
      </c>
      <c r="AB1201" s="171">
        <v>88.97</v>
      </c>
      <c r="AC1201" s="171">
        <v>55</v>
      </c>
      <c r="AD1201" s="171">
        <v>50.4</v>
      </c>
      <c r="AF1201" s="171">
        <f t="shared" si="56"/>
        <v>2010</v>
      </c>
      <c r="AG1201" s="171">
        <f t="shared" si="57"/>
        <v>4</v>
      </c>
      <c r="AH1201" s="700">
        <f>SUMIF(D$3:$AA1201,"&lt;="&amp;$AH$1)/COUNTIF(D$3:$AA1201,"&lt;="&amp;$AH$1)</f>
        <v>30.204023370863272</v>
      </c>
    </row>
    <row r="1202" spans="2:34" x14ac:dyDescent="0.25">
      <c r="B1202" s="910">
        <v>40508</v>
      </c>
      <c r="C1202" s="581">
        <f t="shared" si="55"/>
        <v>11</v>
      </c>
      <c r="D1202" s="171">
        <v>48.19</v>
      </c>
      <c r="E1202" s="171">
        <v>44.88</v>
      </c>
      <c r="F1202" s="171">
        <v>42.84</v>
      </c>
      <c r="G1202" s="171">
        <v>42</v>
      </c>
      <c r="H1202" s="171">
        <v>41.45</v>
      </c>
      <c r="I1202" s="171">
        <v>43.88</v>
      </c>
      <c r="J1202" s="171">
        <v>46.58</v>
      </c>
      <c r="K1202" s="171">
        <v>69.930000000000007</v>
      </c>
      <c r="L1202" s="171">
        <v>72.2</v>
      </c>
      <c r="M1202" s="171">
        <v>75.88</v>
      </c>
      <c r="N1202" s="171">
        <v>75.95</v>
      </c>
      <c r="O1202" s="171">
        <v>75.42</v>
      </c>
      <c r="P1202" s="171">
        <v>71.06</v>
      </c>
      <c r="Q1202" s="171">
        <v>67.03</v>
      </c>
      <c r="R1202" s="171">
        <v>64.84</v>
      </c>
      <c r="S1202" s="171">
        <v>62.54</v>
      </c>
      <c r="T1202" s="171">
        <v>66.11</v>
      </c>
      <c r="U1202" s="171">
        <v>77.31</v>
      </c>
      <c r="V1202" s="171">
        <v>79.460000000000008</v>
      </c>
      <c r="W1202" s="171">
        <v>67.06</v>
      </c>
      <c r="X1202" s="171">
        <v>59.17</v>
      </c>
      <c r="Y1202" s="171">
        <v>50.56</v>
      </c>
      <c r="Z1202" s="171">
        <v>50.06</v>
      </c>
      <c r="AA1202" s="171">
        <v>46.03</v>
      </c>
      <c r="AB1202" s="171">
        <v>79.460000000000008</v>
      </c>
      <c r="AC1202" s="171">
        <v>50.06</v>
      </c>
      <c r="AD1202" s="171">
        <v>48.800000000000004</v>
      </c>
      <c r="AF1202" s="171">
        <f t="shared" si="56"/>
        <v>2010</v>
      </c>
      <c r="AG1202" s="171">
        <f t="shared" si="57"/>
        <v>2</v>
      </c>
      <c r="AH1202" s="700">
        <f>SUMIF(D$3:$AA1202,"&lt;="&amp;$AH$1)/COUNTIF(D$3:$AA1202,"&lt;="&amp;$AH$1)</f>
        <v>30.205988401842149</v>
      </c>
    </row>
    <row r="1203" spans="2:34" x14ac:dyDescent="0.25">
      <c r="B1203" s="910">
        <v>40511</v>
      </c>
      <c r="C1203" s="581">
        <f t="shared" si="55"/>
        <v>11</v>
      </c>
      <c r="D1203" s="171">
        <v>43.1</v>
      </c>
      <c r="E1203" s="171">
        <v>40.480000000000004</v>
      </c>
      <c r="F1203" s="171">
        <v>39.96</v>
      </c>
      <c r="G1203" s="171">
        <v>36.39</v>
      </c>
      <c r="H1203" s="171">
        <v>37.520000000000003</v>
      </c>
      <c r="I1203" s="171">
        <v>39.800000000000004</v>
      </c>
      <c r="J1203" s="171">
        <v>49.93</v>
      </c>
      <c r="K1203" s="171">
        <v>58.82</v>
      </c>
      <c r="L1203" s="171">
        <v>67.48</v>
      </c>
      <c r="M1203" s="171">
        <v>62.74</v>
      </c>
      <c r="N1203" s="171">
        <v>63.09</v>
      </c>
      <c r="O1203" s="171">
        <v>63.36</v>
      </c>
      <c r="P1203" s="171">
        <v>63.39</v>
      </c>
      <c r="Q1203" s="171">
        <v>69.03</v>
      </c>
      <c r="R1203" s="171">
        <v>68.52</v>
      </c>
      <c r="S1203" s="171">
        <v>69.55</v>
      </c>
      <c r="T1203" s="171">
        <v>72.52</v>
      </c>
      <c r="U1203" s="171">
        <v>81.600000000000009</v>
      </c>
      <c r="V1203" s="171">
        <v>71.87</v>
      </c>
      <c r="W1203" s="171">
        <v>62.71</v>
      </c>
      <c r="X1203" s="171">
        <v>51.32</v>
      </c>
      <c r="Y1203" s="171">
        <v>49.93</v>
      </c>
      <c r="Z1203" s="171">
        <v>46.82</v>
      </c>
      <c r="AA1203" s="171">
        <v>44.22</v>
      </c>
      <c r="AB1203" s="171">
        <v>81.600000000000009</v>
      </c>
      <c r="AC1203" s="171">
        <v>46.82</v>
      </c>
      <c r="AD1203" s="171">
        <v>44.86</v>
      </c>
      <c r="AF1203" s="171">
        <f t="shared" si="56"/>
        <v>2010</v>
      </c>
      <c r="AG1203" s="171">
        <f t="shared" si="57"/>
        <v>5</v>
      </c>
      <c r="AH1203" s="700">
        <f>SUMIF(D$3:$AA1203,"&lt;="&amp;$AH$1)/COUNTIF(D$3:$AA1203,"&lt;="&amp;$AH$1)</f>
        <v>30.209664137754757</v>
      </c>
    </row>
    <row r="1204" spans="2:34" x14ac:dyDescent="0.25">
      <c r="B1204" s="910">
        <v>40512</v>
      </c>
      <c r="C1204" s="581">
        <f t="shared" si="55"/>
        <v>11</v>
      </c>
      <c r="D1204" s="171">
        <v>44.52</v>
      </c>
      <c r="E1204" s="171">
        <v>42.95</v>
      </c>
      <c r="F1204" s="171">
        <v>40.980000000000004</v>
      </c>
      <c r="G1204" s="171">
        <v>40.67</v>
      </c>
      <c r="H1204" s="171">
        <v>41.59</v>
      </c>
      <c r="I1204" s="171">
        <v>43.53</v>
      </c>
      <c r="J1204" s="171">
        <v>50.120000000000005</v>
      </c>
      <c r="K1204" s="171">
        <v>65.16</v>
      </c>
      <c r="L1204" s="171">
        <v>69.27</v>
      </c>
      <c r="M1204" s="171">
        <v>65.59</v>
      </c>
      <c r="N1204" s="171">
        <v>63</v>
      </c>
      <c r="O1204" s="171">
        <v>64.239999999999995</v>
      </c>
      <c r="P1204" s="171">
        <v>62.68</v>
      </c>
      <c r="Q1204" s="171">
        <v>65</v>
      </c>
      <c r="R1204" s="171">
        <v>60.59</v>
      </c>
      <c r="S1204" s="171">
        <v>65.59</v>
      </c>
      <c r="T1204" s="171">
        <v>74.97</v>
      </c>
      <c r="U1204" s="171">
        <v>97.02</v>
      </c>
      <c r="V1204" s="171">
        <v>73.78</v>
      </c>
      <c r="W1204" s="171">
        <v>64.930000000000007</v>
      </c>
      <c r="X1204" s="171">
        <v>58.51</v>
      </c>
      <c r="Y1204" s="171">
        <v>54.93</v>
      </c>
      <c r="Z1204" s="171">
        <v>56</v>
      </c>
      <c r="AA1204" s="171">
        <v>50</v>
      </c>
      <c r="AB1204" s="171">
        <v>97.02</v>
      </c>
      <c r="AC1204" s="171">
        <v>54.93</v>
      </c>
      <c r="AD1204" s="171">
        <v>49.08</v>
      </c>
      <c r="AF1204" s="171">
        <f t="shared" si="56"/>
        <v>2010</v>
      </c>
      <c r="AG1204" s="171">
        <f t="shared" si="57"/>
        <v>3</v>
      </c>
      <c r="AH1204" s="700">
        <f>SUMIF(D$3:$AA1204,"&lt;="&amp;$AH$1)/COUNTIF(D$3:$AA1204,"&lt;="&amp;$AH$1)</f>
        <v>30.212443327083779</v>
      </c>
    </row>
    <row r="1205" spans="2:34" x14ac:dyDescent="0.25">
      <c r="B1205" s="910">
        <v>40513</v>
      </c>
      <c r="C1205" s="581">
        <f t="shared" si="55"/>
        <v>12</v>
      </c>
      <c r="D1205" s="171">
        <v>46.38</v>
      </c>
      <c r="E1205" s="171">
        <v>43.27</v>
      </c>
      <c r="F1205" s="171">
        <v>42.47</v>
      </c>
      <c r="G1205" s="171">
        <v>39.22</v>
      </c>
      <c r="H1205" s="171">
        <v>38.06</v>
      </c>
      <c r="I1205" s="171">
        <v>43</v>
      </c>
      <c r="J1205" s="171">
        <v>48.95</v>
      </c>
      <c r="K1205" s="171">
        <v>65.210000000000008</v>
      </c>
      <c r="L1205" s="171">
        <v>60.07</v>
      </c>
      <c r="M1205" s="171">
        <v>59.61</v>
      </c>
      <c r="N1205" s="171">
        <v>58.99</v>
      </c>
      <c r="O1205" s="171">
        <v>59.93</v>
      </c>
      <c r="P1205" s="171">
        <v>55.38</v>
      </c>
      <c r="Q1205" s="171">
        <v>55.38</v>
      </c>
      <c r="R1205" s="171">
        <v>55.38</v>
      </c>
      <c r="S1205" s="171">
        <v>57.43</v>
      </c>
      <c r="T1205" s="171">
        <v>70.2</v>
      </c>
      <c r="U1205" s="171">
        <v>89</v>
      </c>
      <c r="V1205" s="171">
        <v>62.25</v>
      </c>
      <c r="W1205" s="171">
        <v>55.38</v>
      </c>
      <c r="X1205" s="171">
        <v>49.28</v>
      </c>
      <c r="Y1205" s="171">
        <v>46</v>
      </c>
      <c r="Z1205" s="171">
        <v>47.93</v>
      </c>
      <c r="AA1205" s="171">
        <v>42.910000000000004</v>
      </c>
      <c r="AB1205" s="171">
        <v>89</v>
      </c>
      <c r="AC1205" s="171">
        <v>46</v>
      </c>
      <c r="AD1205" s="171">
        <v>46.06</v>
      </c>
      <c r="AF1205" s="171">
        <f t="shared" si="56"/>
        <v>2010</v>
      </c>
      <c r="AG1205" s="171">
        <f t="shared" si="57"/>
        <v>3</v>
      </c>
      <c r="AH1205" s="700">
        <f>SUMIF(D$3:$AA1205,"&lt;="&amp;$AH$1)/COUNTIF(D$3:$AA1205,"&lt;="&amp;$AH$1)</f>
        <v>30.214923745420549</v>
      </c>
    </row>
    <row r="1206" spans="2:34" x14ac:dyDescent="0.25">
      <c r="B1206" s="910">
        <v>40514</v>
      </c>
      <c r="C1206" s="581">
        <f t="shared" si="55"/>
        <v>12</v>
      </c>
      <c r="D1206" s="171">
        <v>44.43</v>
      </c>
      <c r="E1206" s="171">
        <v>40.51</v>
      </c>
      <c r="F1206" s="171">
        <v>42.43</v>
      </c>
      <c r="G1206" s="171">
        <v>42.21</v>
      </c>
      <c r="H1206" s="171">
        <v>41.62</v>
      </c>
      <c r="I1206" s="171">
        <v>43.1</v>
      </c>
      <c r="J1206" s="171">
        <v>44.37</v>
      </c>
      <c r="K1206" s="171">
        <v>60.19</v>
      </c>
      <c r="L1206" s="171">
        <v>66.39</v>
      </c>
      <c r="M1206" s="171">
        <v>68.05</v>
      </c>
      <c r="N1206" s="171">
        <v>66.87</v>
      </c>
      <c r="O1206" s="171">
        <v>69.460000000000008</v>
      </c>
      <c r="P1206" s="171">
        <v>69.66</v>
      </c>
      <c r="Q1206" s="171">
        <v>69.94</v>
      </c>
      <c r="R1206" s="171">
        <v>78.02</v>
      </c>
      <c r="S1206" s="171">
        <v>81.45</v>
      </c>
      <c r="T1206" s="171">
        <v>83.14</v>
      </c>
      <c r="U1206" s="171">
        <v>114.79</v>
      </c>
      <c r="V1206" s="171">
        <v>88.17</v>
      </c>
      <c r="W1206" s="171">
        <v>75.100000000000009</v>
      </c>
      <c r="X1206" s="171">
        <v>70.42</v>
      </c>
      <c r="Y1206" s="171">
        <v>60.02</v>
      </c>
      <c r="Z1206" s="171">
        <v>58.74</v>
      </c>
      <c r="AA1206" s="171">
        <v>54.96</v>
      </c>
      <c r="AB1206" s="171">
        <v>114.79</v>
      </c>
      <c r="AC1206" s="171">
        <v>58.74</v>
      </c>
      <c r="AD1206" s="171">
        <v>50.25</v>
      </c>
      <c r="AF1206" s="171">
        <f t="shared" si="56"/>
        <v>2010</v>
      </c>
      <c r="AG1206" s="171">
        <f t="shared" si="57"/>
        <v>4</v>
      </c>
      <c r="AH1206" s="700">
        <f>SUMIF(D$3:$AA1206,"&lt;="&amp;$AH$1)/COUNTIF(D$3:$AA1206,"&lt;="&amp;$AH$1)</f>
        <v>30.218834000511116</v>
      </c>
    </row>
    <row r="1207" spans="2:34" x14ac:dyDescent="0.25">
      <c r="B1207" s="910">
        <v>40515</v>
      </c>
      <c r="C1207" s="581">
        <f t="shared" si="55"/>
        <v>12</v>
      </c>
      <c r="D1207" s="171">
        <v>51.45</v>
      </c>
      <c r="E1207" s="171">
        <v>48.59</v>
      </c>
      <c r="F1207" s="171">
        <v>48.59</v>
      </c>
      <c r="G1207" s="171">
        <v>50.15</v>
      </c>
      <c r="H1207" s="171">
        <v>51.11</v>
      </c>
      <c r="I1207" s="171">
        <v>49.15</v>
      </c>
      <c r="J1207" s="171">
        <v>59.02</v>
      </c>
      <c r="K1207" s="171">
        <v>90.19</v>
      </c>
      <c r="L1207" s="171">
        <v>98.710000000000008</v>
      </c>
      <c r="M1207" s="171">
        <v>96.62</v>
      </c>
      <c r="N1207" s="171">
        <v>96.990000000000009</v>
      </c>
      <c r="O1207" s="171">
        <v>93.33</v>
      </c>
      <c r="P1207" s="171">
        <v>85.09</v>
      </c>
      <c r="Q1207" s="171">
        <v>78</v>
      </c>
      <c r="R1207" s="171">
        <v>73.14</v>
      </c>
      <c r="S1207" s="171">
        <v>69.960000000000008</v>
      </c>
      <c r="T1207" s="171">
        <v>75.08</v>
      </c>
      <c r="U1207" s="171">
        <v>103.66</v>
      </c>
      <c r="V1207" s="171">
        <v>85.68</v>
      </c>
      <c r="W1207" s="171">
        <v>72.89</v>
      </c>
      <c r="X1207" s="171">
        <v>66.180000000000007</v>
      </c>
      <c r="Y1207" s="171">
        <v>55.07</v>
      </c>
      <c r="Z1207" s="171">
        <v>55.03</v>
      </c>
      <c r="AA1207" s="171">
        <v>48.870000000000005</v>
      </c>
      <c r="AB1207" s="171">
        <v>103.66</v>
      </c>
      <c r="AC1207" s="171">
        <v>55.03</v>
      </c>
      <c r="AD1207" s="171">
        <v>56.120000000000005</v>
      </c>
      <c r="AF1207" s="171">
        <f t="shared" si="56"/>
        <v>2010</v>
      </c>
      <c r="AG1207" s="171">
        <f t="shared" si="57"/>
        <v>0</v>
      </c>
      <c r="AH1207" s="700">
        <f>SUMIF(D$3:$AA1207,"&lt;="&amp;$AH$1)/COUNTIF(D$3:$AA1207,"&lt;="&amp;$AH$1)</f>
        <v>30.218834000511116</v>
      </c>
    </row>
    <row r="1208" spans="2:34" x14ac:dyDescent="0.25">
      <c r="B1208" s="910">
        <v>40518</v>
      </c>
      <c r="C1208" s="581">
        <f t="shared" si="55"/>
        <v>12</v>
      </c>
      <c r="D1208" s="171">
        <v>48.6</v>
      </c>
      <c r="E1208" s="171">
        <v>48.35</v>
      </c>
      <c r="F1208" s="171">
        <v>48.54</v>
      </c>
      <c r="G1208" s="171">
        <v>44.03</v>
      </c>
      <c r="H1208" s="171">
        <v>43.04</v>
      </c>
      <c r="I1208" s="171">
        <v>46.82</v>
      </c>
      <c r="J1208" s="171">
        <v>57.21</v>
      </c>
      <c r="K1208" s="171">
        <v>70.400000000000006</v>
      </c>
      <c r="L1208" s="171">
        <v>74.97</v>
      </c>
      <c r="M1208" s="171">
        <v>80.88</v>
      </c>
      <c r="N1208" s="171">
        <v>83.95</v>
      </c>
      <c r="O1208" s="171">
        <v>82.76</v>
      </c>
      <c r="P1208" s="171">
        <v>81.33</v>
      </c>
      <c r="Q1208" s="171">
        <v>80.92</v>
      </c>
      <c r="R1208" s="171">
        <v>78.489999999999995</v>
      </c>
      <c r="S1208" s="171">
        <v>81.350000000000009</v>
      </c>
      <c r="T1208" s="171">
        <v>94.97</v>
      </c>
      <c r="U1208" s="171">
        <v>125.01</v>
      </c>
      <c r="V1208" s="171">
        <v>91.350000000000009</v>
      </c>
      <c r="W1208" s="171">
        <v>79.930000000000007</v>
      </c>
      <c r="X1208" s="171">
        <v>67.47</v>
      </c>
      <c r="Y1208" s="171">
        <v>61.43</v>
      </c>
      <c r="Z1208" s="171">
        <v>59.93</v>
      </c>
      <c r="AA1208" s="171">
        <v>51.97</v>
      </c>
      <c r="AB1208" s="171">
        <v>125.01</v>
      </c>
      <c r="AC1208" s="171">
        <v>59.93</v>
      </c>
      <c r="AD1208" s="171">
        <v>53.980000000000004</v>
      </c>
      <c r="AF1208" s="171">
        <f t="shared" si="56"/>
        <v>2010</v>
      </c>
      <c r="AG1208" s="171">
        <f t="shared" si="57"/>
        <v>0</v>
      </c>
      <c r="AH1208" s="700">
        <f>SUMIF(D$3:$AA1208,"&lt;="&amp;$AH$1)/COUNTIF(D$3:$AA1208,"&lt;="&amp;$AH$1)</f>
        <v>30.218834000511116</v>
      </c>
    </row>
    <row r="1209" spans="2:34" x14ac:dyDescent="0.25">
      <c r="B1209" s="910">
        <v>40519</v>
      </c>
      <c r="C1209" s="581">
        <f t="shared" si="55"/>
        <v>12</v>
      </c>
      <c r="D1209" s="171">
        <v>47.76</v>
      </c>
      <c r="E1209" s="171">
        <v>45.93</v>
      </c>
      <c r="F1209" s="171">
        <v>45.910000000000004</v>
      </c>
      <c r="G1209" s="171">
        <v>42.99</v>
      </c>
      <c r="H1209" s="171">
        <v>42.4</v>
      </c>
      <c r="I1209" s="171">
        <v>47.89</v>
      </c>
      <c r="J1209" s="171">
        <v>55.39</v>
      </c>
      <c r="K1209" s="171">
        <v>82</v>
      </c>
      <c r="L1209" s="171">
        <v>83</v>
      </c>
      <c r="M1209" s="171">
        <v>84.850000000000009</v>
      </c>
      <c r="N1209" s="171">
        <v>88.66</v>
      </c>
      <c r="O1209" s="171">
        <v>90.28</v>
      </c>
      <c r="P1209" s="171">
        <v>82.92</v>
      </c>
      <c r="Q1209" s="171">
        <v>81.58</v>
      </c>
      <c r="R1209" s="171">
        <v>77.489999999999995</v>
      </c>
      <c r="S1209" s="171">
        <v>73.69</v>
      </c>
      <c r="T1209" s="171">
        <v>79.930000000000007</v>
      </c>
      <c r="U1209" s="171">
        <v>104.94</v>
      </c>
      <c r="V1209" s="171">
        <v>98.03</v>
      </c>
      <c r="W1209" s="171">
        <v>84.14</v>
      </c>
      <c r="X1209" s="171">
        <v>69.66</v>
      </c>
      <c r="Y1209" s="171">
        <v>58</v>
      </c>
      <c r="Z1209" s="171">
        <v>51.71</v>
      </c>
      <c r="AA1209" s="171">
        <v>48.18</v>
      </c>
      <c r="AB1209" s="171">
        <v>104.94</v>
      </c>
      <c r="AC1209" s="171">
        <v>51.71</v>
      </c>
      <c r="AD1209" s="171">
        <v>53.15</v>
      </c>
      <c r="AF1209" s="171">
        <f t="shared" si="56"/>
        <v>2010</v>
      </c>
      <c r="AG1209" s="171">
        <f t="shared" si="57"/>
        <v>1</v>
      </c>
      <c r="AH1209" s="700">
        <f>SUMIF(D$3:$AA1209,"&lt;="&amp;$AH$1)/COUNTIF(D$3:$AA1209,"&lt;="&amp;$AH$1)</f>
        <v>30.219871401805573</v>
      </c>
    </row>
    <row r="1210" spans="2:34" x14ac:dyDescent="0.25">
      <c r="B1210" s="910">
        <v>40520</v>
      </c>
      <c r="C1210" s="581">
        <f t="shared" si="55"/>
        <v>12</v>
      </c>
      <c r="D1210" s="171">
        <v>48.65</v>
      </c>
      <c r="E1210" s="171">
        <v>47.56</v>
      </c>
      <c r="F1210" s="171">
        <v>44.45</v>
      </c>
      <c r="G1210" s="171">
        <v>39.83</v>
      </c>
      <c r="H1210" s="171">
        <v>38.840000000000003</v>
      </c>
      <c r="I1210" s="171">
        <v>41.27</v>
      </c>
      <c r="J1210" s="171">
        <v>47.06</v>
      </c>
      <c r="K1210" s="171">
        <v>63.13</v>
      </c>
      <c r="L1210" s="171">
        <v>65.39</v>
      </c>
      <c r="M1210" s="171">
        <v>67.59</v>
      </c>
      <c r="N1210" s="171">
        <v>68.989999999999995</v>
      </c>
      <c r="O1210" s="171">
        <v>70.070000000000007</v>
      </c>
      <c r="P1210" s="171">
        <v>71.2</v>
      </c>
      <c r="Q1210" s="171">
        <v>68.92</v>
      </c>
      <c r="R1210" s="171">
        <v>67.28</v>
      </c>
      <c r="S1210" s="171">
        <v>65.2</v>
      </c>
      <c r="T1210" s="171">
        <v>67.28</v>
      </c>
      <c r="U1210" s="171">
        <v>79.680000000000007</v>
      </c>
      <c r="V1210" s="171">
        <v>79.2</v>
      </c>
      <c r="W1210" s="171">
        <v>72.48</v>
      </c>
      <c r="X1210" s="171">
        <v>65.13</v>
      </c>
      <c r="Y1210" s="171">
        <v>51.04</v>
      </c>
      <c r="Z1210" s="171">
        <v>50</v>
      </c>
      <c r="AA1210" s="171">
        <v>44.82</v>
      </c>
      <c r="AB1210" s="171">
        <v>79.680000000000007</v>
      </c>
      <c r="AC1210" s="171">
        <v>50</v>
      </c>
      <c r="AD1210" s="171">
        <v>48.480000000000004</v>
      </c>
      <c r="AF1210" s="171">
        <f t="shared" si="56"/>
        <v>2010</v>
      </c>
      <c r="AG1210" s="171">
        <f t="shared" si="57"/>
        <v>3</v>
      </c>
      <c r="AH1210" s="700">
        <f>SUMIF(D$3:$AA1210,"&lt;="&amp;$AH$1)/COUNTIF(D$3:$AA1210,"&lt;="&amp;$AH$1)</f>
        <v>30.222364410387492</v>
      </c>
    </row>
    <row r="1211" spans="2:34" x14ac:dyDescent="0.25">
      <c r="B1211" s="910">
        <v>40521</v>
      </c>
      <c r="C1211" s="581">
        <f t="shared" si="55"/>
        <v>12</v>
      </c>
      <c r="D1211" s="171">
        <v>46.32</v>
      </c>
      <c r="E1211" s="171">
        <v>44.1</v>
      </c>
      <c r="F1211" s="171">
        <v>37.82</v>
      </c>
      <c r="G1211" s="171">
        <v>30.09</v>
      </c>
      <c r="H1211" s="171">
        <v>29.150000000000002</v>
      </c>
      <c r="I1211" s="171">
        <v>41.300000000000004</v>
      </c>
      <c r="J1211" s="171">
        <v>45.54</v>
      </c>
      <c r="K1211" s="171">
        <v>59.79</v>
      </c>
      <c r="L1211" s="171">
        <v>67.23</v>
      </c>
      <c r="M1211" s="171">
        <v>69.760000000000005</v>
      </c>
      <c r="N1211" s="171">
        <v>71.55</v>
      </c>
      <c r="O1211" s="171">
        <v>71.61</v>
      </c>
      <c r="P1211" s="171">
        <v>69.210000000000008</v>
      </c>
      <c r="Q1211" s="171">
        <v>66.7</v>
      </c>
      <c r="R1211" s="171">
        <v>69.570000000000007</v>
      </c>
      <c r="S1211" s="171">
        <v>66.2</v>
      </c>
      <c r="T1211" s="171">
        <v>69.23</v>
      </c>
      <c r="U1211" s="171">
        <v>75.13</v>
      </c>
      <c r="V1211" s="171">
        <v>78.88</v>
      </c>
      <c r="W1211" s="171">
        <v>61.99</v>
      </c>
      <c r="X1211" s="171">
        <v>56.54</v>
      </c>
      <c r="Y1211" s="171">
        <v>48.24</v>
      </c>
      <c r="Z1211" s="171">
        <v>48.21</v>
      </c>
      <c r="AA1211" s="171">
        <v>44.96</v>
      </c>
      <c r="AB1211" s="171">
        <v>78.88</v>
      </c>
      <c r="AC1211" s="171">
        <v>48.21</v>
      </c>
      <c r="AD1211" s="171">
        <v>44.34</v>
      </c>
      <c r="AF1211" s="171">
        <f t="shared" si="56"/>
        <v>2010</v>
      </c>
      <c r="AG1211" s="171">
        <f t="shared" si="57"/>
        <v>4</v>
      </c>
      <c r="AH1211" s="700">
        <f>SUMIF(D$3:$AA1211,"&lt;="&amp;$AH$1)/COUNTIF(D$3:$AA1211,"&lt;="&amp;$AH$1)</f>
        <v>30.223851391607894</v>
      </c>
    </row>
    <row r="1212" spans="2:34" x14ac:dyDescent="0.25">
      <c r="B1212" s="910">
        <v>40522</v>
      </c>
      <c r="C1212" s="581">
        <f t="shared" si="55"/>
        <v>12</v>
      </c>
      <c r="D1212" s="171">
        <v>44.76</v>
      </c>
      <c r="E1212" s="171">
        <v>42.56</v>
      </c>
      <c r="F1212" s="171">
        <v>39.96</v>
      </c>
      <c r="G1212" s="171">
        <v>38.270000000000003</v>
      </c>
      <c r="H1212" s="171">
        <v>38.130000000000003</v>
      </c>
      <c r="I1212" s="171">
        <v>46.46</v>
      </c>
      <c r="J1212" s="171">
        <v>53.77</v>
      </c>
      <c r="K1212" s="171">
        <v>74.010000000000005</v>
      </c>
      <c r="L1212" s="171">
        <v>76.75</v>
      </c>
      <c r="M1212" s="171">
        <v>78.17</v>
      </c>
      <c r="N1212" s="171">
        <v>77.09</v>
      </c>
      <c r="O1212" s="171">
        <v>74.77</v>
      </c>
      <c r="P1212" s="171">
        <v>73.710000000000008</v>
      </c>
      <c r="Q1212" s="171">
        <v>69.040000000000006</v>
      </c>
      <c r="R1212" s="171">
        <v>65.13</v>
      </c>
      <c r="S1212" s="171">
        <v>65.39</v>
      </c>
      <c r="T1212" s="171">
        <v>68.47</v>
      </c>
      <c r="U1212" s="171">
        <v>75.7</v>
      </c>
      <c r="V1212" s="171">
        <v>68.180000000000007</v>
      </c>
      <c r="W1212" s="171">
        <v>57.85</v>
      </c>
      <c r="X1212" s="171">
        <v>54.86</v>
      </c>
      <c r="Y1212" s="171">
        <v>54.93</v>
      </c>
      <c r="Z1212" s="171">
        <v>50.88</v>
      </c>
      <c r="AA1212" s="171">
        <v>47.730000000000004</v>
      </c>
      <c r="AB1212" s="171">
        <v>78.17</v>
      </c>
      <c r="AC1212" s="171">
        <v>50.88</v>
      </c>
      <c r="AD1212" s="171">
        <v>48.86</v>
      </c>
      <c r="AF1212" s="171">
        <f t="shared" si="56"/>
        <v>2010</v>
      </c>
      <c r="AG1212" s="171">
        <f t="shared" si="57"/>
        <v>3</v>
      </c>
      <c r="AH1212" s="700">
        <f>SUMIF(D$3:$AA1212,"&lt;="&amp;$AH$1)/COUNTIF(D$3:$AA1212,"&lt;="&amp;$AH$1)</f>
        <v>30.226037270251972</v>
      </c>
    </row>
    <row r="1213" spans="2:34" x14ac:dyDescent="0.25">
      <c r="B1213" s="910">
        <v>40525</v>
      </c>
      <c r="C1213" s="581">
        <f t="shared" si="55"/>
        <v>12</v>
      </c>
      <c r="D1213" s="171">
        <v>42.95</v>
      </c>
      <c r="E1213" s="171">
        <v>42.01</v>
      </c>
      <c r="F1213" s="171">
        <v>40.5</v>
      </c>
      <c r="G1213" s="171">
        <v>35.03</v>
      </c>
      <c r="H1213" s="171">
        <v>36.770000000000003</v>
      </c>
      <c r="I1213" s="171">
        <v>43.08</v>
      </c>
      <c r="J1213" s="171">
        <v>48.78</v>
      </c>
      <c r="K1213" s="171">
        <v>74.600000000000009</v>
      </c>
      <c r="L1213" s="171">
        <v>77.63</v>
      </c>
      <c r="M1213" s="171">
        <v>76.98</v>
      </c>
      <c r="N1213" s="171">
        <v>74.680000000000007</v>
      </c>
      <c r="O1213" s="171">
        <v>74.650000000000006</v>
      </c>
      <c r="P1213" s="171">
        <v>72.95</v>
      </c>
      <c r="Q1213" s="171">
        <v>72.27</v>
      </c>
      <c r="R1213" s="171">
        <v>71.72</v>
      </c>
      <c r="S1213" s="171">
        <v>70.64</v>
      </c>
      <c r="T1213" s="171">
        <v>75.41</v>
      </c>
      <c r="U1213" s="171">
        <v>92.14</v>
      </c>
      <c r="V1213" s="171">
        <v>97.56</v>
      </c>
      <c r="W1213" s="171">
        <v>80.960000000000008</v>
      </c>
      <c r="X1213" s="171">
        <v>71.17</v>
      </c>
      <c r="Y1213" s="171">
        <v>57.370000000000005</v>
      </c>
      <c r="Z1213" s="171">
        <v>53.02</v>
      </c>
      <c r="AA1213" s="171">
        <v>45.25</v>
      </c>
      <c r="AB1213" s="171">
        <v>97.56</v>
      </c>
      <c r="AC1213" s="171">
        <v>53.02</v>
      </c>
      <c r="AD1213" s="171">
        <v>49.21</v>
      </c>
      <c r="AF1213" s="171">
        <f t="shared" si="56"/>
        <v>2010</v>
      </c>
      <c r="AG1213" s="171">
        <f t="shared" si="57"/>
        <v>4</v>
      </c>
      <c r="AH1213" s="700">
        <f>SUMIF(D$3:$AA1213,"&lt;="&amp;$AH$1)/COUNTIF(D$3:$AA1213,"&lt;="&amp;$AH$1)</f>
        <v>30.228878870364174</v>
      </c>
    </row>
    <row r="1214" spans="2:34" x14ac:dyDescent="0.25">
      <c r="B1214" s="910">
        <v>40526</v>
      </c>
      <c r="C1214" s="581">
        <f t="shared" si="55"/>
        <v>12</v>
      </c>
      <c r="D1214" s="171">
        <v>50.800000000000004</v>
      </c>
      <c r="E1214" s="171">
        <v>45.25</v>
      </c>
      <c r="F1214" s="171">
        <v>45.72</v>
      </c>
      <c r="G1214" s="171">
        <v>44.050000000000004</v>
      </c>
      <c r="H1214" s="171">
        <v>44.18</v>
      </c>
      <c r="I1214" s="171">
        <v>47.93</v>
      </c>
      <c r="J1214" s="171">
        <v>57.050000000000004</v>
      </c>
      <c r="K1214" s="171">
        <v>84.99</v>
      </c>
      <c r="L1214" s="171">
        <v>79.510000000000005</v>
      </c>
      <c r="M1214" s="171">
        <v>78.92</v>
      </c>
      <c r="N1214" s="171">
        <v>79.45</v>
      </c>
      <c r="O1214" s="171">
        <v>78.040000000000006</v>
      </c>
      <c r="P1214" s="171">
        <v>72.72</v>
      </c>
      <c r="Q1214" s="171">
        <v>74.930000000000007</v>
      </c>
      <c r="R1214" s="171">
        <v>73.27</v>
      </c>
      <c r="S1214" s="171">
        <v>73.040000000000006</v>
      </c>
      <c r="T1214" s="171">
        <v>78.320000000000007</v>
      </c>
      <c r="U1214" s="171">
        <v>103.48</v>
      </c>
      <c r="V1214" s="171">
        <v>92.75</v>
      </c>
      <c r="W1214" s="171">
        <v>77.55</v>
      </c>
      <c r="X1214" s="171">
        <v>71.86</v>
      </c>
      <c r="Y1214" s="171">
        <v>54.99</v>
      </c>
      <c r="Z1214" s="171">
        <v>52.910000000000004</v>
      </c>
      <c r="AA1214" s="171">
        <v>47.79</v>
      </c>
      <c r="AB1214" s="171">
        <v>103.48</v>
      </c>
      <c r="AC1214" s="171">
        <v>52.910000000000004</v>
      </c>
      <c r="AD1214" s="171">
        <v>53.96</v>
      </c>
      <c r="AF1214" s="171">
        <f t="shared" si="56"/>
        <v>2010</v>
      </c>
      <c r="AG1214" s="171">
        <f t="shared" si="57"/>
        <v>0</v>
      </c>
      <c r="AH1214" s="700">
        <f>SUMIF(D$3:$AA1214,"&lt;="&amp;$AH$1)/COUNTIF(D$3:$AA1214,"&lt;="&amp;$AH$1)</f>
        <v>30.228878870364174</v>
      </c>
    </row>
    <row r="1215" spans="2:34" x14ac:dyDescent="0.25">
      <c r="B1215" s="910">
        <v>40527</v>
      </c>
      <c r="C1215" s="581">
        <f t="shared" si="55"/>
        <v>12</v>
      </c>
      <c r="D1215" s="171">
        <v>49.550000000000004</v>
      </c>
      <c r="E1215" s="171">
        <v>48.15</v>
      </c>
      <c r="F1215" s="171">
        <v>43.44</v>
      </c>
      <c r="G1215" s="171">
        <v>42.39</v>
      </c>
      <c r="H1215" s="171">
        <v>41.1</v>
      </c>
      <c r="I1215" s="171">
        <v>44.2</v>
      </c>
      <c r="J1215" s="171">
        <v>49.94</v>
      </c>
      <c r="K1215" s="171">
        <v>73.33</v>
      </c>
      <c r="L1215" s="171">
        <v>77.69</v>
      </c>
      <c r="M1215" s="171">
        <v>79.06</v>
      </c>
      <c r="N1215" s="171">
        <v>80.11</v>
      </c>
      <c r="O1215" s="171">
        <v>80.36</v>
      </c>
      <c r="P1215" s="171">
        <v>78.27</v>
      </c>
      <c r="Q1215" s="171">
        <v>77.61</v>
      </c>
      <c r="R1215" s="171">
        <v>78.460000000000008</v>
      </c>
      <c r="S1215" s="171">
        <v>77.94</v>
      </c>
      <c r="T1215" s="171">
        <v>89.95</v>
      </c>
      <c r="U1215" s="171">
        <v>131.79</v>
      </c>
      <c r="V1215" s="171">
        <v>130.47999999999999</v>
      </c>
      <c r="W1215" s="171">
        <v>95</v>
      </c>
      <c r="X1215" s="171">
        <v>76.19</v>
      </c>
      <c r="Y1215" s="171">
        <v>68.41</v>
      </c>
      <c r="Z1215" s="171">
        <v>63.550000000000004</v>
      </c>
      <c r="AA1215" s="171">
        <v>52.56</v>
      </c>
      <c r="AB1215" s="171">
        <v>131.79</v>
      </c>
      <c r="AC1215" s="171">
        <v>63.550000000000004</v>
      </c>
      <c r="AD1215" s="171">
        <v>54.4</v>
      </c>
      <c r="AF1215" s="171">
        <f t="shared" si="56"/>
        <v>2010</v>
      </c>
      <c r="AG1215" s="171">
        <f t="shared" si="57"/>
        <v>2</v>
      </c>
      <c r="AH1215" s="700">
        <f>SUMIF(D$3:$AA1215,"&lt;="&amp;$AH$1)/COUNTIF(D$3:$AA1215,"&lt;="&amp;$AH$1)</f>
        <v>30.230837727504781</v>
      </c>
    </row>
    <row r="1216" spans="2:34" x14ac:dyDescent="0.25">
      <c r="B1216" s="910">
        <v>40528</v>
      </c>
      <c r="C1216" s="581">
        <f t="shared" si="55"/>
        <v>12</v>
      </c>
      <c r="D1216" s="171">
        <v>51.660000000000004</v>
      </c>
      <c r="E1216" s="171">
        <v>47.49</v>
      </c>
      <c r="F1216" s="171">
        <v>46.44</v>
      </c>
      <c r="G1216" s="171">
        <v>42.99</v>
      </c>
      <c r="H1216" s="171">
        <v>41.15</v>
      </c>
      <c r="I1216" s="171">
        <v>43.18</v>
      </c>
      <c r="J1216" s="171">
        <v>47.97</v>
      </c>
      <c r="K1216" s="171">
        <v>66.91</v>
      </c>
      <c r="L1216" s="171">
        <v>67.03</v>
      </c>
      <c r="M1216" s="171">
        <v>79.930000000000007</v>
      </c>
      <c r="N1216" s="171">
        <v>79.180000000000007</v>
      </c>
      <c r="O1216" s="171">
        <v>75.34</v>
      </c>
      <c r="P1216" s="171">
        <v>71.320000000000007</v>
      </c>
      <c r="Q1216" s="171">
        <v>69.44</v>
      </c>
      <c r="R1216" s="171">
        <v>69.930000000000007</v>
      </c>
      <c r="S1216" s="171">
        <v>70</v>
      </c>
      <c r="T1216" s="171">
        <v>69.010000000000005</v>
      </c>
      <c r="U1216" s="171">
        <v>89.070000000000007</v>
      </c>
      <c r="V1216" s="171">
        <v>85.04</v>
      </c>
      <c r="W1216" s="171">
        <v>75.72</v>
      </c>
      <c r="X1216" s="171">
        <v>69.900000000000006</v>
      </c>
      <c r="Y1216" s="171">
        <v>61.32</v>
      </c>
      <c r="Z1216" s="171">
        <v>59.660000000000004</v>
      </c>
      <c r="AA1216" s="171">
        <v>48.02</v>
      </c>
      <c r="AB1216" s="171">
        <v>89.070000000000007</v>
      </c>
      <c r="AC1216" s="171">
        <v>59.660000000000004</v>
      </c>
      <c r="AD1216" s="171">
        <v>52.22</v>
      </c>
      <c r="AF1216" s="171">
        <f t="shared" si="56"/>
        <v>2010</v>
      </c>
      <c r="AG1216" s="171">
        <f t="shared" si="57"/>
        <v>1</v>
      </c>
      <c r="AH1216" s="700">
        <f>SUMIF(D$3:$AA1216,"&lt;="&amp;$AH$1)/COUNTIF(D$3:$AA1216,"&lt;="&amp;$AH$1)</f>
        <v>30.231766306658837</v>
      </c>
    </row>
    <row r="1217" spans="2:34" x14ac:dyDescent="0.25">
      <c r="B1217" s="910">
        <v>40529</v>
      </c>
      <c r="C1217" s="581">
        <f t="shared" si="55"/>
        <v>12</v>
      </c>
      <c r="D1217" s="171">
        <v>47.85</v>
      </c>
      <c r="E1217" s="171">
        <v>47.89</v>
      </c>
      <c r="F1217" s="171">
        <v>47.88</v>
      </c>
      <c r="G1217" s="171">
        <v>45.93</v>
      </c>
      <c r="H1217" s="171">
        <v>46.79</v>
      </c>
      <c r="I1217" s="171">
        <v>49.33</v>
      </c>
      <c r="J1217" s="171">
        <v>61</v>
      </c>
      <c r="K1217" s="171">
        <v>79.48</v>
      </c>
      <c r="L1217" s="171">
        <v>79.31</v>
      </c>
      <c r="M1217" s="171">
        <v>77.98</v>
      </c>
      <c r="N1217" s="171">
        <v>75.75</v>
      </c>
      <c r="O1217" s="171">
        <v>78.92</v>
      </c>
      <c r="P1217" s="171">
        <v>74.400000000000006</v>
      </c>
      <c r="Q1217" s="171">
        <v>71.06</v>
      </c>
      <c r="R1217" s="171">
        <v>71.070000000000007</v>
      </c>
      <c r="S1217" s="171">
        <v>70.989999999999995</v>
      </c>
      <c r="T1217" s="171">
        <v>74.48</v>
      </c>
      <c r="U1217" s="171">
        <v>86.75</v>
      </c>
      <c r="V1217" s="171">
        <v>85.27</v>
      </c>
      <c r="W1217" s="171">
        <v>79.510000000000005</v>
      </c>
      <c r="X1217" s="171">
        <v>68.650000000000006</v>
      </c>
      <c r="Y1217" s="171">
        <v>64.290000000000006</v>
      </c>
      <c r="Z1217" s="171">
        <v>62.29</v>
      </c>
      <c r="AA1217" s="171">
        <v>59.93</v>
      </c>
      <c r="AB1217" s="171">
        <v>86.75</v>
      </c>
      <c r="AC1217" s="171">
        <v>62.29</v>
      </c>
      <c r="AD1217" s="171">
        <v>56.78</v>
      </c>
      <c r="AF1217" s="171">
        <f t="shared" si="56"/>
        <v>2010</v>
      </c>
      <c r="AG1217" s="171">
        <f t="shared" si="57"/>
        <v>0</v>
      </c>
      <c r="AH1217" s="700">
        <f>SUMIF(D$3:$AA1217,"&lt;="&amp;$AH$1)/COUNTIF(D$3:$AA1217,"&lt;="&amp;$AH$1)</f>
        <v>30.231766306658837</v>
      </c>
    </row>
    <row r="1218" spans="2:34" x14ac:dyDescent="0.25">
      <c r="B1218" s="910">
        <v>40532</v>
      </c>
      <c r="C1218" s="581">
        <f t="shared" si="55"/>
        <v>12</v>
      </c>
      <c r="D1218" s="171">
        <v>47.43</v>
      </c>
      <c r="E1218" s="171">
        <v>46.12</v>
      </c>
      <c r="F1218" s="171">
        <v>45.58</v>
      </c>
      <c r="G1218" s="171">
        <v>41.02</v>
      </c>
      <c r="H1218" s="171">
        <v>40.369999999999997</v>
      </c>
      <c r="I1218" s="171">
        <v>47.85</v>
      </c>
      <c r="J1218" s="171">
        <v>58.38</v>
      </c>
      <c r="K1218" s="171">
        <v>67.010000000000005</v>
      </c>
      <c r="L1218" s="171">
        <v>74.92</v>
      </c>
      <c r="M1218" s="171">
        <v>74.94</v>
      </c>
      <c r="N1218" s="171">
        <v>79.930000000000007</v>
      </c>
      <c r="O1218" s="171">
        <v>80.989999999999995</v>
      </c>
      <c r="P1218" s="171">
        <v>79.790000000000006</v>
      </c>
      <c r="Q1218" s="171">
        <v>79.210000000000008</v>
      </c>
      <c r="R1218" s="171">
        <v>77</v>
      </c>
      <c r="S1218" s="171">
        <v>76.91</v>
      </c>
      <c r="T1218" s="171">
        <v>75.900000000000006</v>
      </c>
      <c r="U1218" s="171">
        <v>89.960000000000008</v>
      </c>
      <c r="V1218" s="171">
        <v>88.18</v>
      </c>
      <c r="W1218" s="171">
        <v>73.430000000000007</v>
      </c>
      <c r="X1218" s="171">
        <v>66.95</v>
      </c>
      <c r="Y1218" s="171">
        <v>55.300000000000004</v>
      </c>
      <c r="Z1218" s="171">
        <v>49.96</v>
      </c>
      <c r="AA1218" s="171">
        <v>50.45</v>
      </c>
      <c r="AB1218" s="171">
        <v>89.960000000000008</v>
      </c>
      <c r="AC1218" s="171">
        <v>49.96</v>
      </c>
      <c r="AD1218" s="171">
        <v>51.370000000000005</v>
      </c>
      <c r="AF1218" s="171">
        <f t="shared" si="56"/>
        <v>2010</v>
      </c>
      <c r="AG1218" s="171">
        <f t="shared" si="57"/>
        <v>2</v>
      </c>
      <c r="AH1218" s="700">
        <f>SUMIF(D$3:$AA1218,"&lt;="&amp;$AH$1)/COUNTIF(D$3:$AA1218,"&lt;="&amp;$AH$1)</f>
        <v>30.233545616869421</v>
      </c>
    </row>
    <row r="1219" spans="2:34" x14ac:dyDescent="0.25">
      <c r="B1219" s="910">
        <v>40533</v>
      </c>
      <c r="C1219" s="581">
        <f t="shared" si="55"/>
        <v>12</v>
      </c>
      <c r="D1219" s="171">
        <v>49.550000000000004</v>
      </c>
      <c r="E1219" s="171">
        <v>46.9</v>
      </c>
      <c r="F1219" s="171">
        <v>47.04</v>
      </c>
      <c r="G1219" s="171">
        <v>45.49</v>
      </c>
      <c r="H1219" s="171">
        <v>45.49</v>
      </c>
      <c r="I1219" s="171">
        <v>47.58</v>
      </c>
      <c r="J1219" s="171">
        <v>51.53</v>
      </c>
      <c r="K1219" s="171">
        <v>70.040000000000006</v>
      </c>
      <c r="L1219" s="171">
        <v>74.930000000000007</v>
      </c>
      <c r="M1219" s="171">
        <v>78.64</v>
      </c>
      <c r="N1219" s="171">
        <v>77.87</v>
      </c>
      <c r="O1219" s="171">
        <v>79.94</v>
      </c>
      <c r="P1219" s="171">
        <v>78.33</v>
      </c>
      <c r="Q1219" s="171">
        <v>78.989999999999995</v>
      </c>
      <c r="R1219" s="171">
        <v>79.98</v>
      </c>
      <c r="S1219" s="171">
        <v>77.7</v>
      </c>
      <c r="T1219" s="171">
        <v>84.13</v>
      </c>
      <c r="U1219" s="171">
        <v>96.41</v>
      </c>
      <c r="V1219" s="171">
        <v>87.05</v>
      </c>
      <c r="W1219" s="171">
        <v>76.98</v>
      </c>
      <c r="X1219" s="171">
        <v>65.77</v>
      </c>
      <c r="Y1219" s="171">
        <v>58.86</v>
      </c>
      <c r="Z1219" s="171">
        <v>54.6</v>
      </c>
      <c r="AA1219" s="171">
        <v>46.660000000000004</v>
      </c>
      <c r="AB1219" s="171">
        <v>96.41</v>
      </c>
      <c r="AC1219" s="171">
        <v>54.6</v>
      </c>
      <c r="AD1219" s="171">
        <v>52.46</v>
      </c>
      <c r="AF1219" s="171">
        <f t="shared" si="56"/>
        <v>2010</v>
      </c>
      <c r="AG1219" s="171">
        <f t="shared" si="57"/>
        <v>0</v>
      </c>
      <c r="AH1219" s="700">
        <f>SUMIF(D$3:$AA1219,"&lt;="&amp;$AH$1)/COUNTIF(D$3:$AA1219,"&lt;="&amp;$AH$1)</f>
        <v>30.233545616869421</v>
      </c>
    </row>
    <row r="1220" spans="2:34" x14ac:dyDescent="0.25">
      <c r="B1220" s="910">
        <v>40534</v>
      </c>
      <c r="C1220" s="581">
        <f t="shared" ref="C1220:C1283" si="58">MONTH(B1220)</f>
        <v>12</v>
      </c>
      <c r="D1220" s="171">
        <v>47.7</v>
      </c>
      <c r="E1220" s="171">
        <v>47.52</v>
      </c>
      <c r="F1220" s="171">
        <v>44.06</v>
      </c>
      <c r="G1220" s="171">
        <v>35.46</v>
      </c>
      <c r="H1220" s="171">
        <v>35.47</v>
      </c>
      <c r="I1220" s="171">
        <v>41</v>
      </c>
      <c r="J1220" s="171">
        <v>48.03</v>
      </c>
      <c r="K1220" s="171">
        <v>61.09</v>
      </c>
      <c r="L1220" s="171">
        <v>66.23</v>
      </c>
      <c r="M1220" s="171">
        <v>68.41</v>
      </c>
      <c r="N1220" s="171">
        <v>67.510000000000005</v>
      </c>
      <c r="O1220" s="171">
        <v>67.41</v>
      </c>
      <c r="P1220" s="171">
        <v>65.95</v>
      </c>
      <c r="Q1220" s="171">
        <v>65.03</v>
      </c>
      <c r="R1220" s="171">
        <v>62.24</v>
      </c>
      <c r="S1220" s="171">
        <v>60.08</v>
      </c>
      <c r="T1220" s="171">
        <v>60.910000000000004</v>
      </c>
      <c r="U1220" s="171">
        <v>70.36</v>
      </c>
      <c r="V1220" s="171">
        <v>70.61</v>
      </c>
      <c r="W1220" s="171">
        <v>67.06</v>
      </c>
      <c r="X1220" s="171">
        <v>59.95</v>
      </c>
      <c r="Y1220" s="171">
        <v>49.99</v>
      </c>
      <c r="Z1220" s="171">
        <v>50.34</v>
      </c>
      <c r="AA1220" s="171">
        <v>46.78</v>
      </c>
      <c r="AB1220" s="171">
        <v>70.61</v>
      </c>
      <c r="AC1220" s="171">
        <v>49.99</v>
      </c>
      <c r="AD1220" s="171">
        <v>47.28</v>
      </c>
      <c r="AF1220" s="171">
        <f t="shared" ref="AF1220:AF1283" si="59">YEAR(B1220)</f>
        <v>2010</v>
      </c>
      <c r="AG1220" s="171">
        <f t="shared" ref="AG1220:AG1283" si="60">COUNTIF(D1220:AA1220,"&lt;="&amp;$AH$1)</f>
        <v>3</v>
      </c>
      <c r="AH1220" s="700">
        <f>SUMIF(D$3:$AA1220,"&lt;="&amp;$AH$1)/COUNTIF(D$3:$AA1220,"&lt;="&amp;$AH$1)</f>
        <v>30.235350221013366</v>
      </c>
    </row>
    <row r="1221" spans="2:34" x14ac:dyDescent="0.25">
      <c r="B1221" s="910">
        <v>40535</v>
      </c>
      <c r="C1221" s="581">
        <f t="shared" si="58"/>
        <v>12</v>
      </c>
      <c r="D1221" s="171">
        <v>49.22</v>
      </c>
      <c r="E1221" s="171">
        <v>46.51</v>
      </c>
      <c r="F1221" s="171">
        <v>41.33</v>
      </c>
      <c r="G1221" s="171">
        <v>31.29</v>
      </c>
      <c r="H1221" s="171">
        <v>26.5</v>
      </c>
      <c r="I1221" s="171">
        <v>39.93</v>
      </c>
      <c r="J1221" s="171">
        <v>50.47</v>
      </c>
      <c r="K1221" s="171">
        <v>61.18</v>
      </c>
      <c r="L1221" s="171">
        <v>60.96</v>
      </c>
      <c r="M1221" s="171">
        <v>61.06</v>
      </c>
      <c r="N1221" s="171">
        <v>63.690000000000005</v>
      </c>
      <c r="O1221" s="171">
        <v>67.03</v>
      </c>
      <c r="P1221" s="171">
        <v>66.680000000000007</v>
      </c>
      <c r="Q1221" s="171">
        <v>63.25</v>
      </c>
      <c r="R1221" s="171">
        <v>60.69</v>
      </c>
      <c r="S1221" s="171">
        <v>56.27</v>
      </c>
      <c r="T1221" s="171">
        <v>60.06</v>
      </c>
      <c r="U1221" s="171">
        <v>67.89</v>
      </c>
      <c r="V1221" s="171">
        <v>64.930000000000007</v>
      </c>
      <c r="W1221" s="171">
        <v>62.02</v>
      </c>
      <c r="X1221" s="171">
        <v>55.97</v>
      </c>
      <c r="Y1221" s="171">
        <v>52.99</v>
      </c>
      <c r="Z1221" s="171">
        <v>50.660000000000004</v>
      </c>
      <c r="AA1221" s="171">
        <v>41.65</v>
      </c>
      <c r="AB1221" s="171">
        <v>67.89</v>
      </c>
      <c r="AC1221" s="171">
        <v>50.660000000000004</v>
      </c>
      <c r="AD1221" s="171">
        <v>45.64</v>
      </c>
      <c r="AF1221" s="171">
        <f t="shared" si="59"/>
        <v>2010</v>
      </c>
      <c r="AG1221" s="171">
        <f t="shared" si="60"/>
        <v>5</v>
      </c>
      <c r="AH1221" s="700">
        <f>SUMIF(D$3:$AA1221,"&lt;="&amp;$AH$1)/COUNTIF(D$3:$AA1221,"&lt;="&amp;$AH$1)</f>
        <v>30.237858781544844</v>
      </c>
    </row>
    <row r="1222" spans="2:34" x14ac:dyDescent="0.25">
      <c r="B1222" s="910">
        <v>40536</v>
      </c>
      <c r="C1222" s="581">
        <f t="shared" si="58"/>
        <v>12</v>
      </c>
      <c r="D1222" s="171">
        <v>35.94</v>
      </c>
      <c r="E1222" s="171">
        <v>27.89</v>
      </c>
      <c r="F1222" s="171">
        <v>22.37</v>
      </c>
      <c r="G1222" s="171">
        <v>14.040000000000001</v>
      </c>
      <c r="H1222" s="171">
        <v>14.780000000000001</v>
      </c>
      <c r="I1222" s="171">
        <v>17.12</v>
      </c>
      <c r="J1222" s="171">
        <v>36.03</v>
      </c>
      <c r="K1222" s="171">
        <v>51.39</v>
      </c>
      <c r="L1222" s="171">
        <v>58.02</v>
      </c>
      <c r="M1222" s="171">
        <v>60.35</v>
      </c>
      <c r="N1222" s="171">
        <v>60.44</v>
      </c>
      <c r="O1222" s="171">
        <v>58.45</v>
      </c>
      <c r="P1222" s="171">
        <v>65.010000000000005</v>
      </c>
      <c r="Q1222" s="171">
        <v>56.36</v>
      </c>
      <c r="R1222" s="171">
        <v>52.69</v>
      </c>
      <c r="S1222" s="171">
        <v>48.050000000000004</v>
      </c>
      <c r="T1222" s="171">
        <v>51.75</v>
      </c>
      <c r="U1222" s="171">
        <v>61.13</v>
      </c>
      <c r="V1222" s="171">
        <v>58.96</v>
      </c>
      <c r="W1222" s="171">
        <v>50.04</v>
      </c>
      <c r="X1222" s="171">
        <v>48.02</v>
      </c>
      <c r="Y1222" s="171">
        <v>44.53</v>
      </c>
      <c r="Z1222" s="171">
        <v>49.96</v>
      </c>
      <c r="AA1222" s="171">
        <v>53.27</v>
      </c>
      <c r="AB1222" s="171">
        <v>65.010000000000005</v>
      </c>
      <c r="AC1222" s="171">
        <v>44.53</v>
      </c>
      <c r="AD1222" s="171">
        <v>34.61</v>
      </c>
      <c r="AF1222" s="171">
        <f t="shared" si="59"/>
        <v>2010</v>
      </c>
      <c r="AG1222" s="171">
        <f t="shared" si="60"/>
        <v>7</v>
      </c>
      <c r="AH1222" s="700">
        <f>SUMIF(D$3:$AA1222,"&lt;="&amp;$AH$1)/COUNTIF(D$3:$AA1222,"&lt;="&amp;$AH$1)</f>
        <v>30.234165251358807</v>
      </c>
    </row>
    <row r="1223" spans="2:34" x14ac:dyDescent="0.25">
      <c r="B1223" s="910">
        <v>40539</v>
      </c>
      <c r="C1223" s="581">
        <f t="shared" si="58"/>
        <v>12</v>
      </c>
      <c r="D1223" s="171">
        <v>35.94</v>
      </c>
      <c r="E1223" s="171">
        <v>27.89</v>
      </c>
      <c r="F1223" s="171">
        <v>22.37</v>
      </c>
      <c r="G1223" s="171">
        <v>14.040000000000001</v>
      </c>
      <c r="H1223" s="171">
        <v>14.780000000000001</v>
      </c>
      <c r="I1223" s="171">
        <v>17.12</v>
      </c>
      <c r="J1223" s="171">
        <v>36.03</v>
      </c>
      <c r="K1223" s="171">
        <v>51.39</v>
      </c>
      <c r="L1223" s="171">
        <v>58.02</v>
      </c>
      <c r="M1223" s="171">
        <v>60.35</v>
      </c>
      <c r="N1223" s="171">
        <v>60.44</v>
      </c>
      <c r="O1223" s="171">
        <v>58.45</v>
      </c>
      <c r="P1223" s="171">
        <v>65.010000000000005</v>
      </c>
      <c r="Q1223" s="171">
        <v>56.36</v>
      </c>
      <c r="R1223" s="171">
        <v>52.69</v>
      </c>
      <c r="S1223" s="171">
        <v>48.050000000000004</v>
      </c>
      <c r="T1223" s="171">
        <v>51.75</v>
      </c>
      <c r="U1223" s="171">
        <v>61.13</v>
      </c>
      <c r="V1223" s="171">
        <v>58.96</v>
      </c>
      <c r="W1223" s="171">
        <v>50.04</v>
      </c>
      <c r="X1223" s="171">
        <v>48.02</v>
      </c>
      <c r="Y1223" s="171">
        <v>44.53</v>
      </c>
      <c r="Z1223" s="171">
        <v>49.96</v>
      </c>
      <c r="AA1223" s="171">
        <v>53.27</v>
      </c>
      <c r="AB1223" s="171">
        <v>65.010000000000005</v>
      </c>
      <c r="AC1223" s="171">
        <v>44.53</v>
      </c>
      <c r="AD1223" s="171">
        <v>34.61</v>
      </c>
      <c r="AF1223" s="171">
        <f t="shared" si="59"/>
        <v>2010</v>
      </c>
      <c r="AG1223" s="171">
        <f t="shared" si="60"/>
        <v>7</v>
      </c>
      <c r="AH1223" s="700">
        <f>SUMIF(D$3:$AA1223,"&lt;="&amp;$AH$1)/COUNTIF(D$3:$AA1223,"&lt;="&amp;$AH$1)</f>
        <v>30.230476109649608</v>
      </c>
    </row>
    <row r="1224" spans="2:34" x14ac:dyDescent="0.25">
      <c r="B1224" s="910">
        <v>40540</v>
      </c>
      <c r="C1224" s="581">
        <f t="shared" si="58"/>
        <v>12</v>
      </c>
      <c r="D1224" s="171">
        <v>44.11</v>
      </c>
      <c r="E1224" s="171">
        <v>44.44</v>
      </c>
      <c r="F1224" s="171">
        <v>42.47</v>
      </c>
      <c r="G1224" s="171">
        <v>38.93</v>
      </c>
      <c r="H1224" s="171">
        <v>36.92</v>
      </c>
      <c r="I1224" s="171">
        <v>41.050000000000004</v>
      </c>
      <c r="J1224" s="171">
        <v>41.79</v>
      </c>
      <c r="K1224" s="171">
        <v>45.69</v>
      </c>
      <c r="L1224" s="171">
        <v>53.77</v>
      </c>
      <c r="M1224" s="171">
        <v>62.15</v>
      </c>
      <c r="N1224" s="171">
        <v>66.260000000000005</v>
      </c>
      <c r="O1224" s="171">
        <v>69.39</v>
      </c>
      <c r="P1224" s="171">
        <v>70.94</v>
      </c>
      <c r="Q1224" s="171">
        <v>66.260000000000005</v>
      </c>
      <c r="R1224" s="171">
        <v>62.58</v>
      </c>
      <c r="S1224" s="171">
        <v>62.050000000000004</v>
      </c>
      <c r="T1224" s="171">
        <v>64.44</v>
      </c>
      <c r="U1224" s="171">
        <v>74.91</v>
      </c>
      <c r="V1224" s="171">
        <v>74.930000000000007</v>
      </c>
      <c r="W1224" s="171">
        <v>71.17</v>
      </c>
      <c r="X1224" s="171">
        <v>65.14</v>
      </c>
      <c r="Y1224" s="171">
        <v>49.28</v>
      </c>
      <c r="Z1224" s="171">
        <v>48.51</v>
      </c>
      <c r="AA1224" s="171">
        <v>47.17</v>
      </c>
      <c r="AB1224" s="171">
        <v>74.930000000000007</v>
      </c>
      <c r="AC1224" s="171">
        <v>45.69</v>
      </c>
      <c r="AD1224" s="171">
        <v>45.46</v>
      </c>
      <c r="AF1224" s="171">
        <f t="shared" si="59"/>
        <v>2010</v>
      </c>
      <c r="AG1224" s="171">
        <f t="shared" si="60"/>
        <v>5</v>
      </c>
      <c r="AH1224" s="700">
        <f>SUMIF(D$3:$AA1224,"&lt;="&amp;$AH$1)/COUNTIF(D$3:$AA1224,"&lt;="&amp;$AH$1)</f>
        <v>30.234718357651957</v>
      </c>
    </row>
    <row r="1225" spans="2:34" x14ac:dyDescent="0.25">
      <c r="B1225" s="910">
        <v>40541</v>
      </c>
      <c r="C1225" s="581">
        <f t="shared" si="58"/>
        <v>12</v>
      </c>
      <c r="D1225" s="171">
        <v>47.06</v>
      </c>
      <c r="E1225" s="171">
        <v>42.02</v>
      </c>
      <c r="F1225" s="171">
        <v>41.08</v>
      </c>
      <c r="G1225" s="171">
        <v>36.340000000000003</v>
      </c>
      <c r="H1225" s="171">
        <v>37.03</v>
      </c>
      <c r="I1225" s="171">
        <v>42.78</v>
      </c>
      <c r="J1225" s="171">
        <v>44.550000000000004</v>
      </c>
      <c r="K1225" s="171">
        <v>49.99</v>
      </c>
      <c r="L1225" s="171">
        <v>53.870000000000005</v>
      </c>
      <c r="M1225" s="171">
        <v>60.35</v>
      </c>
      <c r="N1225" s="171">
        <v>63.910000000000004</v>
      </c>
      <c r="O1225" s="171">
        <v>63.63</v>
      </c>
      <c r="P1225" s="171">
        <v>65.820000000000007</v>
      </c>
      <c r="Q1225" s="171">
        <v>62.49</v>
      </c>
      <c r="R1225" s="171">
        <v>60.75</v>
      </c>
      <c r="S1225" s="171">
        <v>60.08</v>
      </c>
      <c r="T1225" s="171">
        <v>65.570000000000007</v>
      </c>
      <c r="U1225" s="171">
        <v>74.930000000000007</v>
      </c>
      <c r="V1225" s="171">
        <v>74.92</v>
      </c>
      <c r="W1225" s="171">
        <v>68.97</v>
      </c>
      <c r="X1225" s="171">
        <v>60.870000000000005</v>
      </c>
      <c r="Y1225" s="171">
        <v>52.72</v>
      </c>
      <c r="Z1225" s="171">
        <v>56.11</v>
      </c>
      <c r="AA1225" s="171">
        <v>50.32</v>
      </c>
      <c r="AB1225" s="171">
        <v>74.930000000000007</v>
      </c>
      <c r="AC1225" s="171">
        <v>49.99</v>
      </c>
      <c r="AD1225" s="171">
        <v>46.74</v>
      </c>
      <c r="AF1225" s="171">
        <f t="shared" si="59"/>
        <v>2010</v>
      </c>
      <c r="AG1225" s="171">
        <f t="shared" si="60"/>
        <v>4</v>
      </c>
      <c r="AH1225" s="700">
        <f>SUMIF(D$3:$AA1225,"&lt;="&amp;$AH$1)/COUNTIF(D$3:$AA1225,"&lt;="&amp;$AH$1)</f>
        <v>30.23773151289021</v>
      </c>
    </row>
    <row r="1226" spans="2:34" x14ac:dyDescent="0.25">
      <c r="B1226" s="910">
        <v>40542</v>
      </c>
      <c r="C1226" s="581">
        <f t="shared" si="58"/>
        <v>12</v>
      </c>
      <c r="D1226" s="171">
        <v>50.34</v>
      </c>
      <c r="E1226" s="171">
        <v>47.06</v>
      </c>
      <c r="F1226" s="171">
        <v>43.13</v>
      </c>
      <c r="G1226" s="171">
        <v>36.43</v>
      </c>
      <c r="H1226" s="171">
        <v>34.410000000000004</v>
      </c>
      <c r="I1226" s="171">
        <v>38.89</v>
      </c>
      <c r="J1226" s="171">
        <v>43.050000000000004</v>
      </c>
      <c r="K1226" s="171">
        <v>50.84</v>
      </c>
      <c r="L1226" s="171">
        <v>51.39</v>
      </c>
      <c r="M1226" s="171">
        <v>55.88</v>
      </c>
      <c r="N1226" s="171">
        <v>57.77</v>
      </c>
      <c r="O1226" s="171">
        <v>61.95</v>
      </c>
      <c r="P1226" s="171">
        <v>61.49</v>
      </c>
      <c r="Q1226" s="171">
        <v>58.7</v>
      </c>
      <c r="R1226" s="171">
        <v>54.75</v>
      </c>
      <c r="S1226" s="171">
        <v>52.36</v>
      </c>
      <c r="T1226" s="171">
        <v>56.64</v>
      </c>
      <c r="U1226" s="171">
        <v>68.98</v>
      </c>
      <c r="V1226" s="171">
        <v>70.900000000000006</v>
      </c>
      <c r="W1226" s="171">
        <v>66.17</v>
      </c>
      <c r="X1226" s="171">
        <v>56.300000000000004</v>
      </c>
      <c r="Y1226" s="171">
        <v>50.18</v>
      </c>
      <c r="Z1226" s="171">
        <v>50</v>
      </c>
      <c r="AA1226" s="171">
        <v>45.84</v>
      </c>
      <c r="AB1226" s="171">
        <v>70.900000000000006</v>
      </c>
      <c r="AC1226" s="171">
        <v>50</v>
      </c>
      <c r="AD1226" s="171">
        <v>45.54</v>
      </c>
      <c r="AF1226" s="171">
        <f t="shared" si="59"/>
        <v>2010</v>
      </c>
      <c r="AG1226" s="171">
        <f t="shared" si="60"/>
        <v>3</v>
      </c>
      <c r="AH1226" s="700">
        <f>SUMIF(D$3:$AA1226,"&lt;="&amp;$AH$1)/COUNTIF(D$3:$AA1226,"&lt;="&amp;$AH$1)</f>
        <v>30.239343789741529</v>
      </c>
    </row>
    <row r="1227" spans="2:34" x14ac:dyDescent="0.25">
      <c r="B1227" s="910">
        <v>40543</v>
      </c>
      <c r="C1227" s="581">
        <f t="shared" si="58"/>
        <v>12</v>
      </c>
      <c r="D1227" s="171">
        <v>49.94</v>
      </c>
      <c r="E1227" s="171">
        <v>50.33</v>
      </c>
      <c r="F1227" s="171">
        <v>39.81</v>
      </c>
      <c r="G1227" s="171">
        <v>29.35</v>
      </c>
      <c r="H1227" s="171">
        <v>27.900000000000002</v>
      </c>
      <c r="I1227" s="171">
        <v>35.01</v>
      </c>
      <c r="J1227" s="171">
        <v>47.74</v>
      </c>
      <c r="K1227" s="171">
        <v>53.01</v>
      </c>
      <c r="L1227" s="171">
        <v>54.6</v>
      </c>
      <c r="M1227" s="171">
        <v>60.730000000000004</v>
      </c>
      <c r="N1227" s="171">
        <v>64.820000000000007</v>
      </c>
      <c r="O1227" s="171">
        <v>66.180000000000007</v>
      </c>
      <c r="P1227" s="171">
        <v>66.33</v>
      </c>
      <c r="Q1227" s="171">
        <v>62.01</v>
      </c>
      <c r="R1227" s="171">
        <v>53.97</v>
      </c>
      <c r="S1227" s="171">
        <v>50.22</v>
      </c>
      <c r="T1227" s="171">
        <v>52.35</v>
      </c>
      <c r="U1227" s="171">
        <v>63.27</v>
      </c>
      <c r="V1227" s="171">
        <v>62.61</v>
      </c>
      <c r="W1227" s="171">
        <v>64.010000000000005</v>
      </c>
      <c r="X1227" s="171">
        <v>57.050000000000004</v>
      </c>
      <c r="Y1227" s="171">
        <v>49.93</v>
      </c>
      <c r="Z1227" s="171">
        <v>46.74</v>
      </c>
      <c r="AA1227" s="171">
        <v>53.67</v>
      </c>
      <c r="AB1227" s="171">
        <v>66.33</v>
      </c>
      <c r="AC1227" s="171">
        <v>46.74</v>
      </c>
      <c r="AD1227" s="171">
        <v>45.04</v>
      </c>
      <c r="AF1227" s="171">
        <f t="shared" si="59"/>
        <v>2010</v>
      </c>
      <c r="AG1227" s="171">
        <f t="shared" si="60"/>
        <v>4</v>
      </c>
      <c r="AH1227" s="700">
        <f>SUMIF(D$3:$AA1227,"&lt;="&amp;$AH$1)/COUNTIF(D$3:$AA1227,"&lt;="&amp;$AH$1)</f>
        <v>30.240285617425318</v>
      </c>
    </row>
    <row r="1228" spans="2:34" x14ac:dyDescent="0.25">
      <c r="B1228" s="910">
        <v>40546</v>
      </c>
      <c r="C1228" s="581">
        <f t="shared" si="58"/>
        <v>1</v>
      </c>
      <c r="D1228" s="171">
        <v>49.94</v>
      </c>
      <c r="E1228" s="171">
        <v>50.33</v>
      </c>
      <c r="F1228" s="171">
        <v>39.81</v>
      </c>
      <c r="G1228" s="171">
        <v>29.35</v>
      </c>
      <c r="H1228" s="171">
        <v>27.900000000000002</v>
      </c>
      <c r="I1228" s="171">
        <v>35.01</v>
      </c>
      <c r="J1228" s="171">
        <v>47.74</v>
      </c>
      <c r="K1228" s="171">
        <v>53.01</v>
      </c>
      <c r="L1228" s="171">
        <v>54.6</v>
      </c>
      <c r="M1228" s="171">
        <v>60.730000000000004</v>
      </c>
      <c r="N1228" s="171">
        <v>64.820000000000007</v>
      </c>
      <c r="O1228" s="171">
        <v>66.180000000000007</v>
      </c>
      <c r="P1228" s="171">
        <v>66.33</v>
      </c>
      <c r="Q1228" s="171">
        <v>62.01</v>
      </c>
      <c r="R1228" s="171">
        <v>53.97</v>
      </c>
      <c r="S1228" s="171">
        <v>50.22</v>
      </c>
      <c r="T1228" s="171">
        <v>52.35</v>
      </c>
      <c r="U1228" s="171">
        <v>63.27</v>
      </c>
      <c r="V1228" s="171">
        <v>62.61</v>
      </c>
      <c r="W1228" s="171">
        <v>64.010000000000005</v>
      </c>
      <c r="X1228" s="171">
        <v>57.050000000000004</v>
      </c>
      <c r="Y1228" s="171">
        <v>49.93</v>
      </c>
      <c r="Z1228" s="171">
        <v>46.74</v>
      </c>
      <c r="AA1228" s="171">
        <v>53.67</v>
      </c>
      <c r="AB1228" s="171">
        <v>66.33</v>
      </c>
      <c r="AC1228" s="171">
        <v>46.74</v>
      </c>
      <c r="AD1228" s="171">
        <v>45.04</v>
      </c>
      <c r="AF1228" s="171">
        <f t="shared" si="59"/>
        <v>2011</v>
      </c>
      <c r="AG1228" s="171">
        <f t="shared" si="60"/>
        <v>4</v>
      </c>
      <c r="AH1228" s="700">
        <f>SUMIF(D$3:$AA1228,"&lt;="&amp;$AH$1)/COUNTIF(D$3:$AA1228,"&lt;="&amp;$AH$1)</f>
        <v>30.241226806744162</v>
      </c>
    </row>
    <row r="1229" spans="2:34" x14ac:dyDescent="0.25">
      <c r="B1229" s="910">
        <v>40547</v>
      </c>
      <c r="C1229" s="581">
        <f t="shared" si="58"/>
        <v>1</v>
      </c>
      <c r="D1229" s="171">
        <v>48.54</v>
      </c>
      <c r="E1229" s="171">
        <v>48.03</v>
      </c>
      <c r="F1229" s="171">
        <v>45.81</v>
      </c>
      <c r="G1229" s="171">
        <v>41.93</v>
      </c>
      <c r="H1229" s="171">
        <v>39.01</v>
      </c>
      <c r="I1229" s="171">
        <v>45.93</v>
      </c>
      <c r="J1229" s="171">
        <v>48.47</v>
      </c>
      <c r="K1229" s="171">
        <v>70.930000000000007</v>
      </c>
      <c r="L1229" s="171">
        <v>70.64</v>
      </c>
      <c r="M1229" s="171">
        <v>69.820000000000007</v>
      </c>
      <c r="N1229" s="171">
        <v>69.989999999999995</v>
      </c>
      <c r="O1229" s="171">
        <v>72.08</v>
      </c>
      <c r="P1229" s="171">
        <v>69.460000000000008</v>
      </c>
      <c r="Q1229" s="171">
        <v>65.14</v>
      </c>
      <c r="R1229" s="171">
        <v>64.28</v>
      </c>
      <c r="S1229" s="171">
        <v>61.730000000000004</v>
      </c>
      <c r="T1229" s="171">
        <v>65.05</v>
      </c>
      <c r="U1229" s="171">
        <v>73.63</v>
      </c>
      <c r="V1229" s="171">
        <v>78</v>
      </c>
      <c r="W1229" s="171">
        <v>70.03</v>
      </c>
      <c r="X1229" s="171">
        <v>56.34</v>
      </c>
      <c r="Y1229" s="171">
        <v>50.06</v>
      </c>
      <c r="Z1229" s="171">
        <v>46.94</v>
      </c>
      <c r="AA1229" s="171">
        <v>44.19</v>
      </c>
      <c r="AB1229" s="171">
        <v>78</v>
      </c>
      <c r="AC1229" s="171">
        <v>46.94</v>
      </c>
      <c r="AD1229" s="171">
        <v>48.85</v>
      </c>
      <c r="AF1229" s="171">
        <f t="shared" si="59"/>
        <v>2011</v>
      </c>
      <c r="AG1229" s="171">
        <f t="shared" si="60"/>
        <v>2</v>
      </c>
      <c r="AH1229" s="700">
        <f>SUMIF(D$3:$AA1229,"&lt;="&amp;$AH$1)/COUNTIF(D$3:$AA1229,"&lt;="&amp;$AH$1)</f>
        <v>30.242959762812482</v>
      </c>
    </row>
    <row r="1230" spans="2:34" x14ac:dyDescent="0.25">
      <c r="B1230" s="910">
        <v>40548</v>
      </c>
      <c r="C1230" s="581">
        <f t="shared" si="58"/>
        <v>1</v>
      </c>
      <c r="D1230" s="171">
        <v>46.36</v>
      </c>
      <c r="E1230" s="171">
        <v>45.08</v>
      </c>
      <c r="F1230" s="171">
        <v>43.33</v>
      </c>
      <c r="G1230" s="171">
        <v>39.520000000000003</v>
      </c>
      <c r="H1230" s="171">
        <v>39.96</v>
      </c>
      <c r="I1230" s="171">
        <v>44.74</v>
      </c>
      <c r="J1230" s="171">
        <v>54.24</v>
      </c>
      <c r="K1230" s="171">
        <v>61.19</v>
      </c>
      <c r="L1230" s="171">
        <v>63.51</v>
      </c>
      <c r="M1230" s="171">
        <v>63.14</v>
      </c>
      <c r="N1230" s="171">
        <v>67.48</v>
      </c>
      <c r="O1230" s="171">
        <v>66.960000000000008</v>
      </c>
      <c r="P1230" s="171">
        <v>66.460000000000008</v>
      </c>
      <c r="Q1230" s="171">
        <v>65.83</v>
      </c>
      <c r="R1230" s="171">
        <v>64.739999999999995</v>
      </c>
      <c r="S1230" s="171">
        <v>60</v>
      </c>
      <c r="T1230" s="171">
        <v>64.59</v>
      </c>
      <c r="U1230" s="171">
        <v>69.77</v>
      </c>
      <c r="V1230" s="171">
        <v>73.5</v>
      </c>
      <c r="W1230" s="171">
        <v>68.45</v>
      </c>
      <c r="X1230" s="171">
        <v>63.190000000000005</v>
      </c>
      <c r="Y1230" s="171">
        <v>52.68</v>
      </c>
      <c r="Z1230" s="171">
        <v>49.94</v>
      </c>
      <c r="AA1230" s="171">
        <v>49.96</v>
      </c>
      <c r="AB1230" s="171">
        <v>73.5</v>
      </c>
      <c r="AC1230" s="171">
        <v>49.94</v>
      </c>
      <c r="AD1230" s="171">
        <v>49.18</v>
      </c>
      <c r="AF1230" s="171">
        <f t="shared" si="59"/>
        <v>2011</v>
      </c>
      <c r="AG1230" s="171">
        <f t="shared" si="60"/>
        <v>2</v>
      </c>
      <c r="AH1230" s="700">
        <f>SUMIF(D$3:$AA1230,"&lt;="&amp;$AH$1)/COUNTIF(D$3:$AA1230,"&lt;="&amp;$AH$1)</f>
        <v>30.244568476327721</v>
      </c>
    </row>
    <row r="1231" spans="2:34" x14ac:dyDescent="0.25">
      <c r="B1231" s="910">
        <v>40549</v>
      </c>
      <c r="C1231" s="581">
        <f t="shared" si="58"/>
        <v>1</v>
      </c>
      <c r="D1231" s="171">
        <v>53.28</v>
      </c>
      <c r="E1231" s="171">
        <v>52.68</v>
      </c>
      <c r="F1231" s="171">
        <v>49.1</v>
      </c>
      <c r="G1231" s="171">
        <v>35.950000000000003</v>
      </c>
      <c r="H1231" s="171">
        <v>30</v>
      </c>
      <c r="I1231" s="171">
        <v>45.03</v>
      </c>
      <c r="J1231" s="171">
        <v>53.96</v>
      </c>
      <c r="K1231" s="171">
        <v>66.25</v>
      </c>
      <c r="L1231" s="171">
        <v>68.489999999999995</v>
      </c>
      <c r="M1231" s="171">
        <v>69.5</v>
      </c>
      <c r="N1231" s="171">
        <v>67.989999999999995</v>
      </c>
      <c r="O1231" s="171">
        <v>68.08</v>
      </c>
      <c r="P1231" s="171">
        <v>67.19</v>
      </c>
      <c r="Q1231" s="171">
        <v>63.32</v>
      </c>
      <c r="R1231" s="171">
        <v>60.5</v>
      </c>
      <c r="S1231" s="171">
        <v>54.93</v>
      </c>
      <c r="T1231" s="171">
        <v>58.230000000000004</v>
      </c>
      <c r="U1231" s="171">
        <v>69.960000000000008</v>
      </c>
      <c r="V1231" s="171">
        <v>69.48</v>
      </c>
      <c r="W1231" s="171">
        <v>66.69</v>
      </c>
      <c r="X1231" s="171">
        <v>59.730000000000004</v>
      </c>
      <c r="Y1231" s="171">
        <v>53.07</v>
      </c>
      <c r="Z1231" s="171">
        <v>54.25</v>
      </c>
      <c r="AA1231" s="171">
        <v>49.49</v>
      </c>
      <c r="AB1231" s="171">
        <v>69.960000000000008</v>
      </c>
      <c r="AC1231" s="171">
        <v>53.07</v>
      </c>
      <c r="AD1231" s="171">
        <v>50.230000000000004</v>
      </c>
      <c r="AF1231" s="171">
        <f t="shared" si="59"/>
        <v>2011</v>
      </c>
      <c r="AG1231" s="171">
        <f t="shared" si="60"/>
        <v>2</v>
      </c>
      <c r="AH1231" s="700">
        <f>SUMIF(D$3:$AA1231,"&lt;="&amp;$AH$1)/COUNTIF(D$3:$AA1231,"&lt;="&amp;$AH$1)</f>
        <v>30.245030908629129</v>
      </c>
    </row>
    <row r="1232" spans="2:34" x14ac:dyDescent="0.25">
      <c r="B1232" s="910">
        <v>40550</v>
      </c>
      <c r="C1232" s="581">
        <f t="shared" si="58"/>
        <v>1</v>
      </c>
      <c r="D1232" s="171">
        <v>44.58</v>
      </c>
      <c r="E1232" s="171">
        <v>42.92</v>
      </c>
      <c r="F1232" s="171">
        <v>30.51</v>
      </c>
      <c r="G1232" s="171">
        <v>21.5</v>
      </c>
      <c r="H1232" s="171">
        <v>23.19</v>
      </c>
      <c r="I1232" s="171">
        <v>40.050000000000004</v>
      </c>
      <c r="J1232" s="171">
        <v>49.03</v>
      </c>
      <c r="K1232" s="171">
        <v>64.48</v>
      </c>
      <c r="L1232" s="171">
        <v>63.77</v>
      </c>
      <c r="M1232" s="171">
        <v>63.75</v>
      </c>
      <c r="N1232" s="171">
        <v>64.41</v>
      </c>
      <c r="O1232" s="171">
        <v>64.97</v>
      </c>
      <c r="P1232" s="171">
        <v>64.070000000000007</v>
      </c>
      <c r="Q1232" s="171">
        <v>62.88</v>
      </c>
      <c r="R1232" s="171">
        <v>57.19</v>
      </c>
      <c r="S1232" s="171">
        <v>53.46</v>
      </c>
      <c r="T1232" s="171">
        <v>59.550000000000004</v>
      </c>
      <c r="U1232" s="171">
        <v>63</v>
      </c>
      <c r="V1232" s="171">
        <v>61.86</v>
      </c>
      <c r="W1232" s="171">
        <v>56.13</v>
      </c>
      <c r="X1232" s="171">
        <v>51.14</v>
      </c>
      <c r="Y1232" s="171">
        <v>49.93</v>
      </c>
      <c r="Z1232" s="171">
        <v>52.480000000000004</v>
      </c>
      <c r="AA1232" s="171">
        <v>48.69</v>
      </c>
      <c r="AB1232" s="171">
        <v>64.97</v>
      </c>
      <c r="AC1232" s="171">
        <v>49.93</v>
      </c>
      <c r="AD1232" s="171">
        <v>43.21</v>
      </c>
      <c r="AF1232" s="171">
        <f t="shared" si="59"/>
        <v>2011</v>
      </c>
      <c r="AG1232" s="171">
        <f t="shared" si="60"/>
        <v>4</v>
      </c>
      <c r="AH1232" s="700">
        <f>SUMIF(D$3:$AA1232,"&lt;="&amp;$AH$1)/COUNTIF(D$3:$AA1232,"&lt;="&amp;$AH$1)</f>
        <v>30.244545839329671</v>
      </c>
    </row>
    <row r="1233" spans="2:34" x14ac:dyDescent="0.25">
      <c r="B1233" s="910">
        <v>40553</v>
      </c>
      <c r="C1233" s="581">
        <f t="shared" si="58"/>
        <v>1</v>
      </c>
      <c r="D1233" s="171">
        <v>30</v>
      </c>
      <c r="E1233" s="171">
        <v>25.09</v>
      </c>
      <c r="F1233" s="171">
        <v>20.57</v>
      </c>
      <c r="G1233" s="171">
        <v>15.040000000000001</v>
      </c>
      <c r="H1233" s="171">
        <v>15.700000000000001</v>
      </c>
      <c r="I1233" s="171">
        <v>25.63</v>
      </c>
      <c r="J1233" s="171">
        <v>51.64</v>
      </c>
      <c r="K1233" s="171">
        <v>63.300000000000004</v>
      </c>
      <c r="L1233" s="171">
        <v>62.99</v>
      </c>
      <c r="M1233" s="171">
        <v>61.2</v>
      </c>
      <c r="N1233" s="171">
        <v>62.67</v>
      </c>
      <c r="O1233" s="171">
        <v>62.980000000000004</v>
      </c>
      <c r="P1233" s="171">
        <v>62.88</v>
      </c>
      <c r="Q1233" s="171">
        <v>61.410000000000004</v>
      </c>
      <c r="R1233" s="171">
        <v>60.5</v>
      </c>
      <c r="S1233" s="171">
        <v>57.52</v>
      </c>
      <c r="T1233" s="171">
        <v>59.92</v>
      </c>
      <c r="U1233" s="171">
        <v>67.099999999999994</v>
      </c>
      <c r="V1233" s="171">
        <v>69.930000000000007</v>
      </c>
      <c r="W1233" s="171">
        <v>63.18</v>
      </c>
      <c r="X1233" s="171">
        <v>54.72</v>
      </c>
      <c r="Y1233" s="171">
        <v>43.94</v>
      </c>
      <c r="Z1233" s="171">
        <v>43.37</v>
      </c>
      <c r="AA1233" s="171">
        <v>32.32</v>
      </c>
      <c r="AB1233" s="171">
        <v>69.930000000000007</v>
      </c>
      <c r="AC1233" s="171">
        <v>43.37</v>
      </c>
      <c r="AD1233" s="171">
        <v>35.11</v>
      </c>
      <c r="AF1233" s="171">
        <f t="shared" si="59"/>
        <v>2011</v>
      </c>
      <c r="AG1233" s="171">
        <f t="shared" si="60"/>
        <v>7</v>
      </c>
      <c r="AH1233" s="700">
        <f>SUMIF(D$3:$AA1233,"&lt;="&amp;$AH$1)/COUNTIF(D$3:$AA1233,"&lt;="&amp;$AH$1)</f>
        <v>30.2405389170898</v>
      </c>
    </row>
    <row r="1234" spans="2:34" x14ac:dyDescent="0.25">
      <c r="B1234" s="910">
        <v>40554</v>
      </c>
      <c r="C1234" s="581">
        <f t="shared" si="58"/>
        <v>1</v>
      </c>
      <c r="D1234" s="171">
        <v>47.31</v>
      </c>
      <c r="E1234" s="171">
        <v>45.01</v>
      </c>
      <c r="F1234" s="171">
        <v>41.910000000000004</v>
      </c>
      <c r="G1234" s="171">
        <v>34.15</v>
      </c>
      <c r="H1234" s="171">
        <v>35.01</v>
      </c>
      <c r="I1234" s="171">
        <v>44.92</v>
      </c>
      <c r="J1234" s="171">
        <v>49.81</v>
      </c>
      <c r="K1234" s="171">
        <v>63.08</v>
      </c>
      <c r="L1234" s="171">
        <v>64.849999999999994</v>
      </c>
      <c r="M1234" s="171">
        <v>63.04</v>
      </c>
      <c r="N1234" s="171">
        <v>62.68</v>
      </c>
      <c r="O1234" s="171">
        <v>63.7</v>
      </c>
      <c r="P1234" s="171">
        <v>65.03</v>
      </c>
      <c r="Q1234" s="171">
        <v>65.040000000000006</v>
      </c>
      <c r="R1234" s="171">
        <v>62.95</v>
      </c>
      <c r="S1234" s="171">
        <v>60</v>
      </c>
      <c r="T1234" s="171">
        <v>62.940000000000005</v>
      </c>
      <c r="U1234" s="171">
        <v>69.040000000000006</v>
      </c>
      <c r="V1234" s="171">
        <v>71.61</v>
      </c>
      <c r="W1234" s="171">
        <v>67.989999999999995</v>
      </c>
      <c r="X1234" s="171">
        <v>63.67</v>
      </c>
      <c r="Y1234" s="171">
        <v>53.28</v>
      </c>
      <c r="Z1234" s="171">
        <v>56.18</v>
      </c>
      <c r="AA1234" s="171">
        <v>49.33</v>
      </c>
      <c r="AB1234" s="171">
        <v>71.61</v>
      </c>
      <c r="AC1234" s="171">
        <v>53.28</v>
      </c>
      <c r="AD1234" s="171">
        <v>48.64</v>
      </c>
      <c r="AF1234" s="171">
        <f t="shared" si="59"/>
        <v>2011</v>
      </c>
      <c r="AG1234" s="171">
        <f t="shared" si="60"/>
        <v>3</v>
      </c>
      <c r="AH1234" s="700">
        <f>SUMIF(D$3:$AA1234,"&lt;="&amp;$AH$1)/COUNTIF(D$3:$AA1234,"&lt;="&amp;$AH$1)</f>
        <v>30.24226000169174</v>
      </c>
    </row>
    <row r="1235" spans="2:34" x14ac:dyDescent="0.25">
      <c r="B1235" s="910">
        <v>40555</v>
      </c>
      <c r="C1235" s="581">
        <f t="shared" si="58"/>
        <v>1</v>
      </c>
      <c r="D1235" s="171">
        <v>37.93</v>
      </c>
      <c r="E1235" s="171">
        <v>34.020000000000003</v>
      </c>
      <c r="F1235" s="171">
        <v>24.29</v>
      </c>
      <c r="G1235" s="171">
        <v>16.510000000000002</v>
      </c>
      <c r="H1235" s="171">
        <v>14.06</v>
      </c>
      <c r="I1235" s="171">
        <v>32.549999999999997</v>
      </c>
      <c r="J1235" s="171">
        <v>43.69</v>
      </c>
      <c r="K1235" s="171">
        <v>57.65</v>
      </c>
      <c r="L1235" s="171">
        <v>60</v>
      </c>
      <c r="M1235" s="171">
        <v>60.38</v>
      </c>
      <c r="N1235" s="171">
        <v>61.43</v>
      </c>
      <c r="O1235" s="171">
        <v>63.050000000000004</v>
      </c>
      <c r="P1235" s="171">
        <v>60.43</v>
      </c>
      <c r="Q1235" s="171">
        <v>59.85</v>
      </c>
      <c r="R1235" s="171">
        <v>60</v>
      </c>
      <c r="S1235" s="171">
        <v>57.910000000000004</v>
      </c>
      <c r="T1235" s="171">
        <v>59.42</v>
      </c>
      <c r="U1235" s="171">
        <v>66.17</v>
      </c>
      <c r="V1235" s="171">
        <v>66.75</v>
      </c>
      <c r="W1235" s="171">
        <v>59.94</v>
      </c>
      <c r="X1235" s="171">
        <v>52.1</v>
      </c>
      <c r="Y1235" s="171">
        <v>46.83</v>
      </c>
      <c r="Z1235" s="171">
        <v>48.56</v>
      </c>
      <c r="AA1235" s="171">
        <v>43.89</v>
      </c>
      <c r="AB1235" s="171">
        <v>66.75</v>
      </c>
      <c r="AC1235" s="171">
        <v>46.83</v>
      </c>
      <c r="AD1235" s="171">
        <v>37.67</v>
      </c>
      <c r="AF1235" s="171">
        <f t="shared" si="59"/>
        <v>2011</v>
      </c>
      <c r="AG1235" s="171">
        <f t="shared" si="60"/>
        <v>6</v>
      </c>
      <c r="AH1235" s="700">
        <f>SUMIF(D$3:$AA1235,"&lt;="&amp;$AH$1)/COUNTIF(D$3:$AA1235,"&lt;="&amp;$AH$1)</f>
        <v>30.240392256319335</v>
      </c>
    </row>
    <row r="1236" spans="2:34" x14ac:dyDescent="0.25">
      <c r="B1236" s="910">
        <v>40556</v>
      </c>
      <c r="C1236" s="581">
        <f t="shared" si="58"/>
        <v>1</v>
      </c>
      <c r="D1236" s="171">
        <v>31.04</v>
      </c>
      <c r="E1236" s="171">
        <v>24.93</v>
      </c>
      <c r="F1236" s="171">
        <v>16.66</v>
      </c>
      <c r="G1236" s="171">
        <v>10.46</v>
      </c>
      <c r="H1236" s="171">
        <v>21.54</v>
      </c>
      <c r="I1236" s="171">
        <v>34.94</v>
      </c>
      <c r="J1236" s="171">
        <v>49.870000000000005</v>
      </c>
      <c r="K1236" s="171">
        <v>62.11</v>
      </c>
      <c r="L1236" s="171">
        <v>63.06</v>
      </c>
      <c r="M1236" s="171">
        <v>58.89</v>
      </c>
      <c r="N1236" s="171">
        <v>57.08</v>
      </c>
      <c r="O1236" s="171">
        <v>59.22</v>
      </c>
      <c r="P1236" s="171">
        <v>56.19</v>
      </c>
      <c r="Q1236" s="171">
        <v>54.93</v>
      </c>
      <c r="R1236" s="171">
        <v>50.54</v>
      </c>
      <c r="S1236" s="171">
        <v>50.050000000000004</v>
      </c>
      <c r="T1236" s="171">
        <v>56.38</v>
      </c>
      <c r="U1236" s="171">
        <v>63.09</v>
      </c>
      <c r="V1236" s="171">
        <v>64.95</v>
      </c>
      <c r="W1236" s="171">
        <v>57.92</v>
      </c>
      <c r="X1236" s="171">
        <v>54.45</v>
      </c>
      <c r="Y1236" s="171">
        <v>48.6</v>
      </c>
      <c r="Z1236" s="171">
        <v>49.44</v>
      </c>
      <c r="AA1236" s="171">
        <v>43.81</v>
      </c>
      <c r="AB1236" s="171">
        <v>64.95</v>
      </c>
      <c r="AC1236" s="171">
        <v>48.6</v>
      </c>
      <c r="AD1236" s="171">
        <v>37.32</v>
      </c>
      <c r="AF1236" s="171">
        <f t="shared" si="59"/>
        <v>2011</v>
      </c>
      <c r="AG1236" s="171">
        <f t="shared" si="60"/>
        <v>6</v>
      </c>
      <c r="AH1236" s="700">
        <f>SUMIF(D$3:$AA1236,"&lt;="&amp;$AH$1)/COUNTIF(D$3:$AA1236,"&lt;="&amp;$AH$1)</f>
        <v>30.236854245880977</v>
      </c>
    </row>
    <row r="1237" spans="2:34" x14ac:dyDescent="0.25">
      <c r="B1237" s="910">
        <v>40557</v>
      </c>
      <c r="C1237" s="581">
        <f t="shared" si="58"/>
        <v>1</v>
      </c>
      <c r="D1237" s="171">
        <v>25.21</v>
      </c>
      <c r="E1237" s="171">
        <v>18.03</v>
      </c>
      <c r="F1237" s="171">
        <v>14.08</v>
      </c>
      <c r="G1237" s="171">
        <v>10.36</v>
      </c>
      <c r="H1237" s="171">
        <v>10.51</v>
      </c>
      <c r="I1237" s="171">
        <v>23.05</v>
      </c>
      <c r="J1237" s="171">
        <v>43.09</v>
      </c>
      <c r="K1237" s="171">
        <v>62.21</v>
      </c>
      <c r="L1237" s="171">
        <v>65.010000000000005</v>
      </c>
      <c r="M1237" s="171">
        <v>64.48</v>
      </c>
      <c r="N1237" s="171">
        <v>61.26</v>
      </c>
      <c r="O1237" s="171">
        <v>61.42</v>
      </c>
      <c r="P1237" s="171">
        <v>57</v>
      </c>
      <c r="Q1237" s="171">
        <v>54.28</v>
      </c>
      <c r="R1237" s="171">
        <v>50.7</v>
      </c>
      <c r="S1237" s="171">
        <v>48.1</v>
      </c>
      <c r="T1237" s="171">
        <v>50.93</v>
      </c>
      <c r="U1237" s="171">
        <v>58.44</v>
      </c>
      <c r="V1237" s="171">
        <v>61.28</v>
      </c>
      <c r="W1237" s="171">
        <v>58.35</v>
      </c>
      <c r="X1237" s="171">
        <v>51.410000000000004</v>
      </c>
      <c r="Y1237" s="171">
        <v>49.36</v>
      </c>
      <c r="Z1237" s="171">
        <v>51.4</v>
      </c>
      <c r="AA1237" s="171">
        <v>44.08</v>
      </c>
      <c r="AB1237" s="171">
        <v>65.010000000000005</v>
      </c>
      <c r="AC1237" s="171">
        <v>48.1</v>
      </c>
      <c r="AD1237" s="171">
        <v>33.57</v>
      </c>
      <c r="AF1237" s="171">
        <f t="shared" si="59"/>
        <v>2011</v>
      </c>
      <c r="AG1237" s="171">
        <f t="shared" si="60"/>
        <v>6</v>
      </c>
      <c r="AH1237" s="700">
        <f>SUMIF(D$3:$AA1237,"&lt;="&amp;$AH$1)/COUNTIF(D$3:$AA1237,"&lt;="&amp;$AH$1)</f>
        <v>30.230082763280247</v>
      </c>
    </row>
    <row r="1238" spans="2:34" x14ac:dyDescent="0.25">
      <c r="B1238" s="910">
        <v>40560</v>
      </c>
      <c r="C1238" s="581">
        <f t="shared" si="58"/>
        <v>1</v>
      </c>
      <c r="D1238" s="171">
        <v>22.73</v>
      </c>
      <c r="E1238" s="171">
        <v>16.75</v>
      </c>
      <c r="F1238" s="171">
        <v>17.100000000000001</v>
      </c>
      <c r="G1238" s="171">
        <v>12.72</v>
      </c>
      <c r="H1238" s="171">
        <v>14.870000000000001</v>
      </c>
      <c r="I1238" s="171">
        <v>23.53</v>
      </c>
      <c r="J1238" s="171">
        <v>45.480000000000004</v>
      </c>
      <c r="K1238" s="171">
        <v>62.43</v>
      </c>
      <c r="L1238" s="171">
        <v>65.91</v>
      </c>
      <c r="M1238" s="171">
        <v>61.19</v>
      </c>
      <c r="N1238" s="171">
        <v>58.620000000000005</v>
      </c>
      <c r="O1238" s="171">
        <v>59.9</v>
      </c>
      <c r="P1238" s="171">
        <v>60.14</v>
      </c>
      <c r="Q1238" s="171">
        <v>58.4</v>
      </c>
      <c r="R1238" s="171">
        <v>52.54</v>
      </c>
      <c r="S1238" s="171">
        <v>52.93</v>
      </c>
      <c r="T1238" s="171">
        <v>58.52</v>
      </c>
      <c r="U1238" s="171">
        <v>67.260000000000005</v>
      </c>
      <c r="V1238" s="171">
        <v>68.36</v>
      </c>
      <c r="W1238" s="171">
        <v>65.97</v>
      </c>
      <c r="X1238" s="171">
        <v>60.2</v>
      </c>
      <c r="Y1238" s="171">
        <v>51.24</v>
      </c>
      <c r="Z1238" s="171">
        <v>50.89</v>
      </c>
      <c r="AA1238" s="171">
        <v>48.92</v>
      </c>
      <c r="AB1238" s="171">
        <v>68.36</v>
      </c>
      <c r="AC1238" s="171">
        <v>50.89</v>
      </c>
      <c r="AD1238" s="171">
        <v>35.57</v>
      </c>
      <c r="AF1238" s="171">
        <f t="shared" si="59"/>
        <v>2011</v>
      </c>
      <c r="AG1238" s="171">
        <f t="shared" si="60"/>
        <v>6</v>
      </c>
      <c r="AH1238" s="700">
        <f>SUMIF(D$3:$AA1238,"&lt;="&amp;$AH$1)/COUNTIF(D$3:$AA1238,"&lt;="&amp;$AH$1)</f>
        <v>30.223863425339864</v>
      </c>
    </row>
    <row r="1239" spans="2:34" x14ac:dyDescent="0.25">
      <c r="B1239" s="910">
        <v>40561</v>
      </c>
      <c r="C1239" s="581">
        <f t="shared" si="58"/>
        <v>1</v>
      </c>
      <c r="D1239" s="171">
        <v>37.65</v>
      </c>
      <c r="E1239" s="171">
        <v>37.28</v>
      </c>
      <c r="F1239" s="171">
        <v>34.94</v>
      </c>
      <c r="G1239" s="171">
        <v>25.3</v>
      </c>
      <c r="H1239" s="171">
        <v>28.8</v>
      </c>
      <c r="I1239" s="171">
        <v>40.49</v>
      </c>
      <c r="J1239" s="171">
        <v>45.24</v>
      </c>
      <c r="K1239" s="171">
        <v>59.6</v>
      </c>
      <c r="L1239" s="171">
        <v>63.27</v>
      </c>
      <c r="M1239" s="171">
        <v>61.63</v>
      </c>
      <c r="N1239" s="171">
        <v>63.32</v>
      </c>
      <c r="O1239" s="171">
        <v>63.58</v>
      </c>
      <c r="P1239" s="171">
        <v>62.89</v>
      </c>
      <c r="Q1239" s="171">
        <v>62.36</v>
      </c>
      <c r="R1239" s="171">
        <v>59.370000000000005</v>
      </c>
      <c r="S1239" s="171">
        <v>55.97</v>
      </c>
      <c r="T1239" s="171">
        <v>59.07</v>
      </c>
      <c r="U1239" s="171">
        <v>67.900000000000006</v>
      </c>
      <c r="V1239" s="171">
        <v>69.08</v>
      </c>
      <c r="W1239" s="171">
        <v>66.98</v>
      </c>
      <c r="X1239" s="171">
        <v>60.1</v>
      </c>
      <c r="Y1239" s="171">
        <v>50.01</v>
      </c>
      <c r="Z1239" s="171">
        <v>49.74</v>
      </c>
      <c r="AA1239" s="171">
        <v>45.89</v>
      </c>
      <c r="AB1239" s="171">
        <v>69.08</v>
      </c>
      <c r="AC1239" s="171">
        <v>49.74</v>
      </c>
      <c r="AD1239" s="171">
        <v>42.92</v>
      </c>
      <c r="AF1239" s="171">
        <f t="shared" si="59"/>
        <v>2011</v>
      </c>
      <c r="AG1239" s="171">
        <f t="shared" si="60"/>
        <v>6</v>
      </c>
      <c r="AH1239" s="700">
        <f>SUMIF(D$3:$AA1239,"&lt;="&amp;$AH$1)/COUNTIF(D$3:$AA1239,"&lt;="&amp;$AH$1)</f>
        <v>30.225813718046183</v>
      </c>
    </row>
    <row r="1240" spans="2:34" x14ac:dyDescent="0.25">
      <c r="B1240" s="910">
        <v>40562</v>
      </c>
      <c r="C1240" s="581">
        <f t="shared" si="58"/>
        <v>1</v>
      </c>
      <c r="D1240" s="171">
        <v>47.14</v>
      </c>
      <c r="E1240" s="171">
        <v>45.44</v>
      </c>
      <c r="F1240" s="171">
        <v>43.01</v>
      </c>
      <c r="G1240" s="171">
        <v>38.89</v>
      </c>
      <c r="H1240" s="171">
        <v>40.1</v>
      </c>
      <c r="I1240" s="171">
        <v>46.28</v>
      </c>
      <c r="J1240" s="171">
        <v>49.51</v>
      </c>
      <c r="K1240" s="171">
        <v>65.06</v>
      </c>
      <c r="L1240" s="171">
        <v>66.5</v>
      </c>
      <c r="M1240" s="171">
        <v>66.09</v>
      </c>
      <c r="N1240" s="171">
        <v>65.91</v>
      </c>
      <c r="O1240" s="171">
        <v>66</v>
      </c>
      <c r="P1240" s="171">
        <v>65.5</v>
      </c>
      <c r="Q1240" s="171">
        <v>65</v>
      </c>
      <c r="R1240" s="171">
        <v>62.940000000000005</v>
      </c>
      <c r="S1240" s="171">
        <v>61.08</v>
      </c>
      <c r="T1240" s="171">
        <v>61.19</v>
      </c>
      <c r="U1240" s="171">
        <v>66.88</v>
      </c>
      <c r="V1240" s="171">
        <v>69.22</v>
      </c>
      <c r="W1240" s="171">
        <v>66.460000000000008</v>
      </c>
      <c r="X1240" s="171">
        <v>61.19</v>
      </c>
      <c r="Y1240" s="171">
        <v>51.11</v>
      </c>
      <c r="Z1240" s="171">
        <v>52</v>
      </c>
      <c r="AA1240" s="171">
        <v>48.85</v>
      </c>
      <c r="AB1240" s="171">
        <v>69.22</v>
      </c>
      <c r="AC1240" s="171">
        <v>51.11</v>
      </c>
      <c r="AD1240" s="171">
        <v>49.050000000000004</v>
      </c>
      <c r="AF1240" s="171">
        <f t="shared" si="59"/>
        <v>2011</v>
      </c>
      <c r="AG1240" s="171">
        <f t="shared" si="60"/>
        <v>2</v>
      </c>
      <c r="AH1240" s="700">
        <f>SUMIF(D$3:$AA1240,"&lt;="&amp;$AH$1)/COUNTIF(D$3:$AA1240,"&lt;="&amp;$AH$1)</f>
        <v>30.227377477857562</v>
      </c>
    </row>
    <row r="1241" spans="2:34" x14ac:dyDescent="0.25">
      <c r="B1241" s="910">
        <v>40563</v>
      </c>
      <c r="C1241" s="581">
        <f t="shared" si="58"/>
        <v>1</v>
      </c>
      <c r="D1241" s="171">
        <v>43.09</v>
      </c>
      <c r="E1241" s="171">
        <v>42.63</v>
      </c>
      <c r="F1241" s="171">
        <v>42.6</v>
      </c>
      <c r="G1241" s="171">
        <v>40.06</v>
      </c>
      <c r="H1241" s="171">
        <v>39.96</v>
      </c>
      <c r="I1241" s="171">
        <v>41.77</v>
      </c>
      <c r="J1241" s="171">
        <v>48</v>
      </c>
      <c r="K1241" s="171">
        <v>63.300000000000004</v>
      </c>
      <c r="L1241" s="171">
        <v>66.09</v>
      </c>
      <c r="M1241" s="171">
        <v>66.08</v>
      </c>
      <c r="N1241" s="171">
        <v>65.83</v>
      </c>
      <c r="O1241" s="171">
        <v>65.63</v>
      </c>
      <c r="P1241" s="171">
        <v>64.930000000000007</v>
      </c>
      <c r="Q1241" s="171">
        <v>63.84</v>
      </c>
      <c r="R1241" s="171">
        <v>61.74</v>
      </c>
      <c r="S1241" s="171">
        <v>60.31</v>
      </c>
      <c r="T1241" s="171">
        <v>61.800000000000004</v>
      </c>
      <c r="U1241" s="171">
        <v>66.61</v>
      </c>
      <c r="V1241" s="171">
        <v>69.73</v>
      </c>
      <c r="W1241" s="171">
        <v>66.83</v>
      </c>
      <c r="X1241" s="171">
        <v>63.71</v>
      </c>
      <c r="Y1241" s="171">
        <v>53.02</v>
      </c>
      <c r="Z1241" s="171">
        <v>52.6</v>
      </c>
      <c r="AA1241" s="171">
        <v>48.46</v>
      </c>
      <c r="AB1241" s="171">
        <v>69.73</v>
      </c>
      <c r="AC1241" s="171">
        <v>52.6</v>
      </c>
      <c r="AD1241" s="171">
        <v>48.27</v>
      </c>
      <c r="AF1241" s="171">
        <f t="shared" si="59"/>
        <v>2011</v>
      </c>
      <c r="AG1241" s="171">
        <f t="shared" si="60"/>
        <v>3</v>
      </c>
      <c r="AH1241" s="700">
        <f>SUMIF(D$3:$AA1241,"&lt;="&amp;$AH$1)/COUNTIF(D$3:$AA1241,"&lt;="&amp;$AH$1)</f>
        <v>30.230000843312652</v>
      </c>
    </row>
    <row r="1242" spans="2:34" x14ac:dyDescent="0.25">
      <c r="B1242" s="910">
        <v>40564</v>
      </c>
      <c r="C1242" s="581">
        <f t="shared" si="58"/>
        <v>1</v>
      </c>
      <c r="D1242" s="171">
        <v>46.04</v>
      </c>
      <c r="E1242" s="171">
        <v>45.300000000000004</v>
      </c>
      <c r="F1242" s="171">
        <v>44.88</v>
      </c>
      <c r="G1242" s="171">
        <v>42.65</v>
      </c>
      <c r="H1242" s="171">
        <v>42.09</v>
      </c>
      <c r="I1242" s="171">
        <v>45.7</v>
      </c>
      <c r="J1242" s="171">
        <v>50.83</v>
      </c>
      <c r="K1242" s="171">
        <v>64.03</v>
      </c>
      <c r="L1242" s="171">
        <v>66.61</v>
      </c>
      <c r="M1242" s="171">
        <v>66.23</v>
      </c>
      <c r="N1242" s="171">
        <v>66</v>
      </c>
      <c r="O1242" s="171">
        <v>65.210000000000008</v>
      </c>
      <c r="P1242" s="171">
        <v>64.52</v>
      </c>
      <c r="Q1242" s="171">
        <v>62.980000000000004</v>
      </c>
      <c r="R1242" s="171">
        <v>60.17</v>
      </c>
      <c r="S1242" s="171">
        <v>56.19</v>
      </c>
      <c r="T1242" s="171">
        <v>62.07</v>
      </c>
      <c r="U1242" s="171">
        <v>66.13</v>
      </c>
      <c r="V1242" s="171">
        <v>67.849999999999994</v>
      </c>
      <c r="W1242" s="171">
        <v>66.27</v>
      </c>
      <c r="X1242" s="171">
        <v>60.81</v>
      </c>
      <c r="Y1242" s="171">
        <v>54.99</v>
      </c>
      <c r="Z1242" s="171">
        <v>56.96</v>
      </c>
      <c r="AA1242" s="171">
        <v>54.33</v>
      </c>
      <c r="AB1242" s="171">
        <v>67.849999999999994</v>
      </c>
      <c r="AC1242" s="171">
        <v>54.99</v>
      </c>
      <c r="AD1242" s="171">
        <v>50.72</v>
      </c>
      <c r="AF1242" s="171">
        <f t="shared" si="59"/>
        <v>2011</v>
      </c>
      <c r="AG1242" s="171">
        <f t="shared" si="60"/>
        <v>1</v>
      </c>
      <c r="AH1242" s="700">
        <f>SUMIF(D$3:$AA1242,"&lt;="&amp;$AH$1)/COUNTIF(D$3:$AA1242,"&lt;="&amp;$AH$1)</f>
        <v>30.231000927565685</v>
      </c>
    </row>
    <row r="1243" spans="2:34" x14ac:dyDescent="0.25">
      <c r="B1243" s="910">
        <v>40567</v>
      </c>
      <c r="C1243" s="581">
        <f t="shared" si="58"/>
        <v>1</v>
      </c>
      <c r="D1243" s="171">
        <v>48.15</v>
      </c>
      <c r="E1243" s="171">
        <v>47.47</v>
      </c>
      <c r="F1243" s="171">
        <v>45.82</v>
      </c>
      <c r="G1243" s="171">
        <v>43.54</v>
      </c>
      <c r="H1243" s="171">
        <v>42.39</v>
      </c>
      <c r="I1243" s="171">
        <v>44.910000000000004</v>
      </c>
      <c r="J1243" s="171">
        <v>57.17</v>
      </c>
      <c r="K1243" s="171">
        <v>68.290000000000006</v>
      </c>
      <c r="L1243" s="171">
        <v>67</v>
      </c>
      <c r="M1243" s="171">
        <v>66.37</v>
      </c>
      <c r="N1243" s="171">
        <v>66.739999999999995</v>
      </c>
      <c r="O1243" s="171">
        <v>65.989999999999995</v>
      </c>
      <c r="P1243" s="171">
        <v>66.16</v>
      </c>
      <c r="Q1243" s="171">
        <v>64.77</v>
      </c>
      <c r="R1243" s="171">
        <v>63.89</v>
      </c>
      <c r="S1243" s="171">
        <v>63.050000000000004</v>
      </c>
      <c r="T1243" s="171">
        <v>63.11</v>
      </c>
      <c r="U1243" s="171">
        <v>66.42</v>
      </c>
      <c r="V1243" s="171">
        <v>74.989999999999995</v>
      </c>
      <c r="W1243" s="171">
        <v>69.19</v>
      </c>
      <c r="X1243" s="171">
        <v>64.98</v>
      </c>
      <c r="Y1243" s="171">
        <v>54.54</v>
      </c>
      <c r="Z1243" s="171">
        <v>52.76</v>
      </c>
      <c r="AA1243" s="171">
        <v>47</v>
      </c>
      <c r="AB1243" s="171">
        <v>74.989999999999995</v>
      </c>
      <c r="AC1243" s="171">
        <v>52.76</v>
      </c>
      <c r="AD1243" s="171">
        <v>51.42</v>
      </c>
      <c r="AF1243" s="171">
        <f t="shared" si="59"/>
        <v>2011</v>
      </c>
      <c r="AG1243" s="171">
        <f t="shared" si="60"/>
        <v>1</v>
      </c>
      <c r="AH1243" s="700">
        <f>SUMIF(D$3:$AA1243,"&lt;="&amp;$AH$1)/COUNTIF(D$3:$AA1243,"&lt;="&amp;$AH$1)</f>
        <v>30.232026138280055</v>
      </c>
    </row>
    <row r="1244" spans="2:34" x14ac:dyDescent="0.25">
      <c r="B1244" s="910">
        <v>40568</v>
      </c>
      <c r="C1244" s="581">
        <f t="shared" si="58"/>
        <v>1</v>
      </c>
      <c r="D1244" s="171">
        <v>45</v>
      </c>
      <c r="E1244" s="171">
        <v>43.17</v>
      </c>
      <c r="F1244" s="171">
        <v>40.119999999999997</v>
      </c>
      <c r="G1244" s="171">
        <v>40</v>
      </c>
      <c r="H1244" s="171">
        <v>39.96</v>
      </c>
      <c r="I1244" s="171">
        <v>44.18</v>
      </c>
      <c r="J1244" s="171">
        <v>46</v>
      </c>
      <c r="K1244" s="171">
        <v>64.960000000000008</v>
      </c>
      <c r="L1244" s="171">
        <v>64.930000000000007</v>
      </c>
      <c r="M1244" s="171">
        <v>66.510000000000005</v>
      </c>
      <c r="N1244" s="171">
        <v>66.180000000000007</v>
      </c>
      <c r="O1244" s="171">
        <v>66.260000000000005</v>
      </c>
      <c r="P1244" s="171">
        <v>64.010000000000005</v>
      </c>
      <c r="Q1244" s="171">
        <v>64</v>
      </c>
      <c r="R1244" s="171">
        <v>60.58</v>
      </c>
      <c r="S1244" s="171">
        <v>58.7</v>
      </c>
      <c r="T1244" s="171">
        <v>61.18</v>
      </c>
      <c r="U1244" s="171">
        <v>65.16</v>
      </c>
      <c r="V1244" s="171">
        <v>66.77</v>
      </c>
      <c r="W1244" s="171">
        <v>66.010000000000005</v>
      </c>
      <c r="X1244" s="171">
        <v>61.050000000000004</v>
      </c>
      <c r="Y1244" s="171">
        <v>53.4</v>
      </c>
      <c r="Z1244" s="171">
        <v>53.050000000000004</v>
      </c>
      <c r="AA1244" s="171">
        <v>47.03</v>
      </c>
      <c r="AB1244" s="171">
        <v>66.77</v>
      </c>
      <c r="AC1244" s="171">
        <v>53.050000000000004</v>
      </c>
      <c r="AD1244" s="171">
        <v>48.160000000000004</v>
      </c>
      <c r="AF1244" s="171">
        <f t="shared" si="59"/>
        <v>2011</v>
      </c>
      <c r="AG1244" s="171">
        <f t="shared" si="60"/>
        <v>3</v>
      </c>
      <c r="AH1244" s="700">
        <f>SUMIF(D$3:$AA1244,"&lt;="&amp;$AH$1)/COUNTIF(D$3:$AA1244,"&lt;="&amp;$AH$1)</f>
        <v>30.234503076793516</v>
      </c>
    </row>
    <row r="1245" spans="2:34" x14ac:dyDescent="0.25">
      <c r="B1245" s="910">
        <v>40569</v>
      </c>
      <c r="C1245" s="581">
        <f t="shared" si="58"/>
        <v>1</v>
      </c>
      <c r="D1245" s="171">
        <v>47.07</v>
      </c>
      <c r="E1245" s="171">
        <v>47</v>
      </c>
      <c r="F1245" s="171">
        <v>46.24</v>
      </c>
      <c r="G1245" s="171">
        <v>44.14</v>
      </c>
      <c r="H1245" s="171">
        <v>44.75</v>
      </c>
      <c r="I1245" s="171">
        <v>46.980000000000004</v>
      </c>
      <c r="J1245" s="171">
        <v>52.86</v>
      </c>
      <c r="K1245" s="171">
        <v>67.320000000000007</v>
      </c>
      <c r="L1245" s="171">
        <v>68.38</v>
      </c>
      <c r="M1245" s="171">
        <v>67.78</v>
      </c>
      <c r="N1245" s="171">
        <v>67.460000000000008</v>
      </c>
      <c r="O1245" s="171">
        <v>67.540000000000006</v>
      </c>
      <c r="P1245" s="171">
        <v>66.25</v>
      </c>
      <c r="Q1245" s="171">
        <v>65.41</v>
      </c>
      <c r="R1245" s="171">
        <v>64.37</v>
      </c>
      <c r="S1245" s="171">
        <v>63.410000000000004</v>
      </c>
      <c r="T1245" s="171">
        <v>63.83</v>
      </c>
      <c r="U1245" s="171">
        <v>67.17</v>
      </c>
      <c r="V1245" s="171">
        <v>69.97</v>
      </c>
      <c r="W1245" s="171">
        <v>67.55</v>
      </c>
      <c r="X1245" s="171">
        <v>61.31</v>
      </c>
      <c r="Y1245" s="171">
        <v>52.47</v>
      </c>
      <c r="Z1245" s="171">
        <v>55.300000000000004</v>
      </c>
      <c r="AA1245" s="171">
        <v>51.08</v>
      </c>
      <c r="AB1245" s="171">
        <v>69.97</v>
      </c>
      <c r="AC1245" s="171">
        <v>52.47</v>
      </c>
      <c r="AD1245" s="171">
        <v>51.38</v>
      </c>
      <c r="AF1245" s="171">
        <f t="shared" si="59"/>
        <v>2011</v>
      </c>
      <c r="AG1245" s="171">
        <f t="shared" si="60"/>
        <v>0</v>
      </c>
      <c r="AH1245" s="700">
        <f>SUMIF(D$3:$AA1245,"&lt;="&amp;$AH$1)/COUNTIF(D$3:$AA1245,"&lt;="&amp;$AH$1)</f>
        <v>30.234503076793516</v>
      </c>
    </row>
    <row r="1246" spans="2:34" x14ac:dyDescent="0.25">
      <c r="B1246" s="910">
        <v>40570</v>
      </c>
      <c r="C1246" s="581">
        <f t="shared" si="58"/>
        <v>1</v>
      </c>
      <c r="D1246" s="171">
        <v>46.980000000000004</v>
      </c>
      <c r="E1246" s="171">
        <v>46.75</v>
      </c>
      <c r="F1246" s="171">
        <v>45.910000000000004</v>
      </c>
      <c r="G1246" s="171">
        <v>43.84</v>
      </c>
      <c r="H1246" s="171">
        <v>43.11</v>
      </c>
      <c r="I1246" s="171">
        <v>45.1</v>
      </c>
      <c r="J1246" s="171">
        <v>50.78</v>
      </c>
      <c r="K1246" s="171">
        <v>65.53</v>
      </c>
      <c r="L1246" s="171">
        <v>66.48</v>
      </c>
      <c r="M1246" s="171">
        <v>66.3</v>
      </c>
      <c r="N1246" s="171">
        <v>65.989999999999995</v>
      </c>
      <c r="O1246" s="171">
        <v>66.34</v>
      </c>
      <c r="P1246" s="171">
        <v>65.23</v>
      </c>
      <c r="Q1246" s="171">
        <v>64.41</v>
      </c>
      <c r="R1246" s="171">
        <v>63.65</v>
      </c>
      <c r="S1246" s="171">
        <v>62.24</v>
      </c>
      <c r="T1246" s="171">
        <v>63.92</v>
      </c>
      <c r="U1246" s="171">
        <v>66.64</v>
      </c>
      <c r="V1246" s="171">
        <v>71.33</v>
      </c>
      <c r="W1246" s="171">
        <v>67.94</v>
      </c>
      <c r="X1246" s="171">
        <v>62.71</v>
      </c>
      <c r="Y1246" s="171">
        <v>53.980000000000004</v>
      </c>
      <c r="Z1246" s="171">
        <v>54.36</v>
      </c>
      <c r="AA1246" s="171">
        <v>48.84</v>
      </c>
      <c r="AB1246" s="171">
        <v>71.33</v>
      </c>
      <c r="AC1246" s="171">
        <v>53.980000000000004</v>
      </c>
      <c r="AD1246" s="171">
        <v>50.660000000000004</v>
      </c>
      <c r="AF1246" s="171">
        <f t="shared" si="59"/>
        <v>2011</v>
      </c>
      <c r="AG1246" s="171">
        <f t="shared" si="60"/>
        <v>0</v>
      </c>
      <c r="AH1246" s="700">
        <f>SUMIF(D$3:$AA1246,"&lt;="&amp;$AH$1)/COUNTIF(D$3:$AA1246,"&lt;="&amp;$AH$1)</f>
        <v>30.234503076793516</v>
      </c>
    </row>
    <row r="1247" spans="2:34" x14ac:dyDescent="0.25">
      <c r="B1247" s="910">
        <v>40571</v>
      </c>
      <c r="C1247" s="581">
        <f t="shared" si="58"/>
        <v>1</v>
      </c>
      <c r="D1247" s="171">
        <v>47.660000000000004</v>
      </c>
      <c r="E1247" s="171">
        <v>46.75</v>
      </c>
      <c r="F1247" s="171">
        <v>44.38</v>
      </c>
      <c r="G1247" s="171">
        <v>43.52</v>
      </c>
      <c r="H1247" s="171">
        <v>44.19</v>
      </c>
      <c r="I1247" s="171">
        <v>47.99</v>
      </c>
      <c r="J1247" s="171">
        <v>55.64</v>
      </c>
      <c r="K1247" s="171">
        <v>65.44</v>
      </c>
      <c r="L1247" s="171">
        <v>66.77</v>
      </c>
      <c r="M1247" s="171">
        <v>66.25</v>
      </c>
      <c r="N1247" s="171">
        <v>65.94</v>
      </c>
      <c r="O1247" s="171">
        <v>65.28</v>
      </c>
      <c r="P1247" s="171">
        <v>64.17</v>
      </c>
      <c r="Q1247" s="171">
        <v>63.13</v>
      </c>
      <c r="R1247" s="171">
        <v>61.03</v>
      </c>
      <c r="S1247" s="171">
        <v>55.44</v>
      </c>
      <c r="T1247" s="171">
        <v>58.2</v>
      </c>
      <c r="U1247" s="171">
        <v>64.83</v>
      </c>
      <c r="V1247" s="171">
        <v>68.540000000000006</v>
      </c>
      <c r="W1247" s="171">
        <v>65.710000000000008</v>
      </c>
      <c r="X1247" s="171">
        <v>59.77</v>
      </c>
      <c r="Y1247" s="171">
        <v>54.79</v>
      </c>
      <c r="Z1247" s="171">
        <v>55.67</v>
      </c>
      <c r="AA1247" s="171">
        <v>52.71</v>
      </c>
      <c r="AB1247" s="171">
        <v>68.540000000000006</v>
      </c>
      <c r="AC1247" s="171">
        <v>54.79</v>
      </c>
      <c r="AD1247" s="171">
        <v>51.54</v>
      </c>
      <c r="AF1247" s="171">
        <f t="shared" si="59"/>
        <v>2011</v>
      </c>
      <c r="AG1247" s="171">
        <f t="shared" si="60"/>
        <v>0</v>
      </c>
      <c r="AH1247" s="700">
        <f>SUMIF(D$3:$AA1247,"&lt;="&amp;$AH$1)/COUNTIF(D$3:$AA1247,"&lt;="&amp;$AH$1)</f>
        <v>30.234503076793516</v>
      </c>
    </row>
    <row r="1248" spans="2:34" x14ac:dyDescent="0.25">
      <c r="B1248" s="910">
        <v>40574</v>
      </c>
      <c r="C1248" s="581">
        <f t="shared" si="58"/>
        <v>1</v>
      </c>
      <c r="D1248" s="171">
        <v>48.43</v>
      </c>
      <c r="E1248" s="171">
        <v>46</v>
      </c>
      <c r="F1248" s="171">
        <v>44.99</v>
      </c>
      <c r="G1248" s="171">
        <v>45.9</v>
      </c>
      <c r="H1248" s="171">
        <v>44.99</v>
      </c>
      <c r="I1248" s="171">
        <v>46</v>
      </c>
      <c r="J1248" s="171">
        <v>58.5</v>
      </c>
      <c r="K1248" s="171">
        <v>69.040000000000006</v>
      </c>
      <c r="L1248" s="171">
        <v>69.27</v>
      </c>
      <c r="M1248" s="171">
        <v>67.510000000000005</v>
      </c>
      <c r="N1248" s="171">
        <v>65.099999999999994</v>
      </c>
      <c r="O1248" s="171">
        <v>64.47</v>
      </c>
      <c r="P1248" s="171">
        <v>63.34</v>
      </c>
      <c r="Q1248" s="171">
        <v>62.92</v>
      </c>
      <c r="R1248" s="171">
        <v>62.11</v>
      </c>
      <c r="S1248" s="171">
        <v>61.68</v>
      </c>
      <c r="T1248" s="171">
        <v>61.07</v>
      </c>
      <c r="U1248" s="171">
        <v>67.14</v>
      </c>
      <c r="V1248" s="171">
        <v>113.86</v>
      </c>
      <c r="W1248" s="171">
        <v>82.350000000000009</v>
      </c>
      <c r="X1248" s="171">
        <v>64.070000000000007</v>
      </c>
      <c r="Y1248" s="171">
        <v>61.11</v>
      </c>
      <c r="Z1248" s="171">
        <v>60.28</v>
      </c>
      <c r="AA1248" s="171">
        <v>52.09</v>
      </c>
      <c r="AB1248" s="171">
        <v>113.86</v>
      </c>
      <c r="AC1248" s="171">
        <v>60.28</v>
      </c>
      <c r="AD1248" s="171">
        <v>53.45</v>
      </c>
      <c r="AF1248" s="171">
        <f t="shared" si="59"/>
        <v>2011</v>
      </c>
      <c r="AG1248" s="171">
        <f t="shared" si="60"/>
        <v>0</v>
      </c>
      <c r="AH1248" s="700">
        <f>SUMIF(D$3:$AA1248,"&lt;="&amp;$AH$1)/COUNTIF(D$3:$AA1248,"&lt;="&amp;$AH$1)</f>
        <v>30.234503076793516</v>
      </c>
    </row>
    <row r="1249" spans="2:34" x14ac:dyDescent="0.25">
      <c r="B1249" s="910">
        <v>40575</v>
      </c>
      <c r="C1249" s="581">
        <f t="shared" si="58"/>
        <v>2</v>
      </c>
      <c r="D1249" s="171">
        <v>52.230000000000004</v>
      </c>
      <c r="E1249" s="171">
        <v>48.18</v>
      </c>
      <c r="F1249" s="171">
        <v>47.08</v>
      </c>
      <c r="G1249" s="171">
        <v>46.13</v>
      </c>
      <c r="H1249" s="171">
        <v>45.480000000000004</v>
      </c>
      <c r="I1249" s="171">
        <v>48.19</v>
      </c>
      <c r="J1249" s="171">
        <v>57.800000000000004</v>
      </c>
      <c r="K1249" s="171">
        <v>71.27</v>
      </c>
      <c r="L1249" s="171">
        <v>76.3</v>
      </c>
      <c r="M1249" s="171">
        <v>70.59</v>
      </c>
      <c r="N1249" s="171">
        <v>68.58</v>
      </c>
      <c r="O1249" s="171">
        <v>67</v>
      </c>
      <c r="P1249" s="171">
        <v>62.36</v>
      </c>
      <c r="Q1249" s="171">
        <v>61.730000000000004</v>
      </c>
      <c r="R1249" s="171">
        <v>61.01</v>
      </c>
      <c r="S1249" s="171">
        <v>60.050000000000004</v>
      </c>
      <c r="T1249" s="171">
        <v>60.36</v>
      </c>
      <c r="U1249" s="171">
        <v>65.55</v>
      </c>
      <c r="V1249" s="171">
        <v>69.88</v>
      </c>
      <c r="W1249" s="171">
        <v>63.4</v>
      </c>
      <c r="X1249" s="171">
        <v>60.81</v>
      </c>
      <c r="Y1249" s="171">
        <v>53.17</v>
      </c>
      <c r="Z1249" s="171">
        <v>50.56</v>
      </c>
      <c r="AA1249" s="171">
        <v>44.9</v>
      </c>
      <c r="AB1249" s="171">
        <v>76.3</v>
      </c>
      <c r="AC1249" s="171">
        <v>50.56</v>
      </c>
      <c r="AD1249" s="171">
        <v>52.15</v>
      </c>
      <c r="AF1249" s="171">
        <f t="shared" si="59"/>
        <v>2011</v>
      </c>
      <c r="AG1249" s="171">
        <f t="shared" si="60"/>
        <v>0</v>
      </c>
      <c r="AH1249" s="700">
        <f>SUMIF(D$3:$AA1249,"&lt;="&amp;$AH$1)/COUNTIF(D$3:$AA1249,"&lt;="&amp;$AH$1)</f>
        <v>30.234503076793516</v>
      </c>
    </row>
    <row r="1250" spans="2:34" x14ac:dyDescent="0.25">
      <c r="B1250" s="910">
        <v>40576</v>
      </c>
      <c r="C1250" s="581">
        <f t="shared" si="58"/>
        <v>2</v>
      </c>
      <c r="D1250" s="171">
        <v>47.15</v>
      </c>
      <c r="E1250" s="171">
        <v>44.14</v>
      </c>
      <c r="F1250" s="171">
        <v>43.31</v>
      </c>
      <c r="G1250" s="171">
        <v>43.51</v>
      </c>
      <c r="H1250" s="171">
        <v>44.09</v>
      </c>
      <c r="I1250" s="171">
        <v>47.93</v>
      </c>
      <c r="J1250" s="171">
        <v>56.35</v>
      </c>
      <c r="K1250" s="171">
        <v>63.74</v>
      </c>
      <c r="L1250" s="171">
        <v>63.09</v>
      </c>
      <c r="M1250" s="171">
        <v>64.17</v>
      </c>
      <c r="N1250" s="171">
        <v>63.47</v>
      </c>
      <c r="O1250" s="171">
        <v>65.73</v>
      </c>
      <c r="P1250" s="171">
        <v>63.03</v>
      </c>
      <c r="Q1250" s="171">
        <v>62.300000000000004</v>
      </c>
      <c r="R1250" s="171">
        <v>59.44</v>
      </c>
      <c r="S1250" s="171">
        <v>59.410000000000004</v>
      </c>
      <c r="T1250" s="171">
        <v>60.68</v>
      </c>
      <c r="U1250" s="171">
        <v>62.28</v>
      </c>
      <c r="V1250" s="171">
        <v>63.980000000000004</v>
      </c>
      <c r="W1250" s="171">
        <v>62.25</v>
      </c>
      <c r="X1250" s="171">
        <v>55.09</v>
      </c>
      <c r="Y1250" s="171">
        <v>49.86</v>
      </c>
      <c r="Z1250" s="171">
        <v>47.74</v>
      </c>
      <c r="AA1250" s="171">
        <v>43.85</v>
      </c>
      <c r="AB1250" s="171">
        <v>65.73</v>
      </c>
      <c r="AC1250" s="171">
        <v>47.74</v>
      </c>
      <c r="AD1250" s="171">
        <v>48.9</v>
      </c>
      <c r="AF1250" s="171">
        <f t="shared" si="59"/>
        <v>2011</v>
      </c>
      <c r="AG1250" s="171">
        <f t="shared" si="60"/>
        <v>0</v>
      </c>
      <c r="AH1250" s="700">
        <f>SUMIF(D$3:$AA1250,"&lt;="&amp;$AH$1)/COUNTIF(D$3:$AA1250,"&lt;="&amp;$AH$1)</f>
        <v>30.234503076793516</v>
      </c>
    </row>
    <row r="1251" spans="2:34" x14ac:dyDescent="0.25">
      <c r="B1251" s="910">
        <v>40577</v>
      </c>
      <c r="C1251" s="581">
        <f t="shared" si="58"/>
        <v>2</v>
      </c>
      <c r="D1251" s="171">
        <v>40.76</v>
      </c>
      <c r="E1251" s="171">
        <v>40</v>
      </c>
      <c r="F1251" s="171">
        <v>41.31</v>
      </c>
      <c r="G1251" s="171">
        <v>40.76</v>
      </c>
      <c r="H1251" s="171">
        <v>38.950000000000003</v>
      </c>
      <c r="I1251" s="171">
        <v>42.37</v>
      </c>
      <c r="J1251" s="171">
        <v>45.46</v>
      </c>
      <c r="K1251" s="171">
        <v>63.33</v>
      </c>
      <c r="L1251" s="171">
        <v>65.41</v>
      </c>
      <c r="M1251" s="171">
        <v>64.989999999999995</v>
      </c>
      <c r="N1251" s="171">
        <v>65.19</v>
      </c>
      <c r="O1251" s="171">
        <v>64.489999999999995</v>
      </c>
      <c r="P1251" s="171">
        <v>61.160000000000004</v>
      </c>
      <c r="Q1251" s="171">
        <v>61.76</v>
      </c>
      <c r="R1251" s="171">
        <v>59.5</v>
      </c>
      <c r="S1251" s="171">
        <v>58.07</v>
      </c>
      <c r="T1251" s="171">
        <v>58.36</v>
      </c>
      <c r="U1251" s="171">
        <v>62.35</v>
      </c>
      <c r="V1251" s="171">
        <v>64.17</v>
      </c>
      <c r="W1251" s="171">
        <v>65.290000000000006</v>
      </c>
      <c r="X1251" s="171">
        <v>55.28</v>
      </c>
      <c r="Y1251" s="171">
        <v>50.730000000000004</v>
      </c>
      <c r="Z1251" s="171">
        <v>51.96</v>
      </c>
      <c r="AA1251" s="171">
        <v>46.06</v>
      </c>
      <c r="AB1251" s="171">
        <v>65.41</v>
      </c>
      <c r="AC1251" s="171">
        <v>50.730000000000004</v>
      </c>
      <c r="AD1251" s="171">
        <v>46.410000000000004</v>
      </c>
      <c r="AF1251" s="171">
        <f t="shared" si="59"/>
        <v>2011</v>
      </c>
      <c r="AG1251" s="171">
        <f t="shared" si="60"/>
        <v>6</v>
      </c>
      <c r="AH1251" s="700">
        <f>SUMIF(D$3:$AA1251,"&lt;="&amp;$AH$1)/COUNTIF(D$3:$AA1251,"&lt;="&amp;$AH$1)</f>
        <v>30.239789367259373</v>
      </c>
    </row>
    <row r="1252" spans="2:34" x14ac:dyDescent="0.25">
      <c r="B1252" s="910">
        <v>40578</v>
      </c>
      <c r="C1252" s="581">
        <f t="shared" si="58"/>
        <v>2</v>
      </c>
      <c r="D1252" s="171">
        <v>46.17</v>
      </c>
      <c r="E1252" s="171">
        <v>45</v>
      </c>
      <c r="F1252" s="171">
        <v>43.6</v>
      </c>
      <c r="G1252" s="171">
        <v>42</v>
      </c>
      <c r="H1252" s="171">
        <v>37.56</v>
      </c>
      <c r="I1252" s="171">
        <v>44.93</v>
      </c>
      <c r="J1252" s="171">
        <v>50.370000000000005</v>
      </c>
      <c r="K1252" s="171">
        <v>51.35</v>
      </c>
      <c r="L1252" s="171">
        <v>66.13</v>
      </c>
      <c r="M1252" s="171">
        <v>65.73</v>
      </c>
      <c r="N1252" s="171">
        <v>62.71</v>
      </c>
      <c r="O1252" s="171">
        <v>62.54</v>
      </c>
      <c r="P1252" s="171">
        <v>62.35</v>
      </c>
      <c r="Q1252" s="171">
        <v>61.27</v>
      </c>
      <c r="R1252" s="171">
        <v>55.46</v>
      </c>
      <c r="S1252" s="171">
        <v>50.53</v>
      </c>
      <c r="T1252" s="171">
        <v>50.49</v>
      </c>
      <c r="U1252" s="171">
        <v>55.56</v>
      </c>
      <c r="V1252" s="171">
        <v>61.78</v>
      </c>
      <c r="W1252" s="171">
        <v>60</v>
      </c>
      <c r="X1252" s="171">
        <v>61.550000000000004</v>
      </c>
      <c r="Y1252" s="171">
        <v>51.18</v>
      </c>
      <c r="Z1252" s="171">
        <v>50.5</v>
      </c>
      <c r="AA1252" s="171">
        <v>54.24</v>
      </c>
      <c r="AB1252" s="171">
        <v>66.13</v>
      </c>
      <c r="AC1252" s="171">
        <v>50.49</v>
      </c>
      <c r="AD1252" s="171">
        <v>48.2</v>
      </c>
      <c r="AF1252" s="171">
        <f t="shared" si="59"/>
        <v>2011</v>
      </c>
      <c r="AG1252" s="171">
        <f t="shared" si="60"/>
        <v>2</v>
      </c>
      <c r="AH1252" s="700">
        <f>SUMIF(D$3:$AA1252,"&lt;="&amp;$AH$1)/COUNTIF(D$3:$AA1252,"&lt;="&amp;$AH$1)</f>
        <v>30.241396680987407</v>
      </c>
    </row>
    <row r="1253" spans="2:34" x14ac:dyDescent="0.25">
      <c r="B1253" s="910">
        <v>40581</v>
      </c>
      <c r="C1253" s="581">
        <f t="shared" si="58"/>
        <v>2</v>
      </c>
      <c r="D1253" s="171">
        <v>45</v>
      </c>
      <c r="E1253" s="171">
        <v>45</v>
      </c>
      <c r="F1253" s="171">
        <v>42.5</v>
      </c>
      <c r="G1253" s="171">
        <v>24.01</v>
      </c>
      <c r="H1253" s="171">
        <v>25.12</v>
      </c>
      <c r="I1253" s="171">
        <v>44.12</v>
      </c>
      <c r="J1253" s="171">
        <v>56.33</v>
      </c>
      <c r="K1253" s="171">
        <v>66.03</v>
      </c>
      <c r="L1253" s="171">
        <v>65.599999999999994</v>
      </c>
      <c r="M1253" s="171">
        <v>64.12</v>
      </c>
      <c r="N1253" s="171">
        <v>63.980000000000004</v>
      </c>
      <c r="O1253" s="171">
        <v>61.68</v>
      </c>
      <c r="P1253" s="171">
        <v>61.17</v>
      </c>
      <c r="Q1253" s="171">
        <v>55.370000000000005</v>
      </c>
      <c r="R1253" s="171">
        <v>49.47</v>
      </c>
      <c r="S1253" s="171">
        <v>45.89</v>
      </c>
      <c r="T1253" s="171">
        <v>46.32</v>
      </c>
      <c r="U1253" s="171">
        <v>52.550000000000004</v>
      </c>
      <c r="V1253" s="171">
        <v>64.710000000000008</v>
      </c>
      <c r="W1253" s="171">
        <v>64.239999999999995</v>
      </c>
      <c r="X1253" s="171">
        <v>57</v>
      </c>
      <c r="Y1253" s="171">
        <v>46.12</v>
      </c>
      <c r="Z1253" s="171">
        <v>47.58</v>
      </c>
      <c r="AA1253" s="171">
        <v>48</v>
      </c>
      <c r="AB1253" s="171">
        <v>66.03</v>
      </c>
      <c r="AC1253" s="171">
        <v>45.89</v>
      </c>
      <c r="AD1253" s="171">
        <v>45.57</v>
      </c>
      <c r="AF1253" s="171">
        <f t="shared" si="59"/>
        <v>2011</v>
      </c>
      <c r="AG1253" s="171">
        <f t="shared" si="60"/>
        <v>3</v>
      </c>
      <c r="AH1253" s="700">
        <f>SUMIF(D$3:$AA1253,"&lt;="&amp;$AH$1)/COUNTIF(D$3:$AA1253,"&lt;="&amp;$AH$1)</f>
        <v>30.241472966144645</v>
      </c>
    </row>
    <row r="1254" spans="2:34" x14ac:dyDescent="0.25">
      <c r="B1254" s="910">
        <v>40582</v>
      </c>
      <c r="C1254" s="581">
        <f t="shared" si="58"/>
        <v>2</v>
      </c>
      <c r="D1254" s="171">
        <v>44.93</v>
      </c>
      <c r="E1254" s="171">
        <v>42.02</v>
      </c>
      <c r="F1254" s="171">
        <v>42.44</v>
      </c>
      <c r="G1254" s="171">
        <v>34.94</v>
      </c>
      <c r="H1254" s="171">
        <v>40.01</v>
      </c>
      <c r="I1254" s="171">
        <v>46.15</v>
      </c>
      <c r="J1254" s="171">
        <v>51.46</v>
      </c>
      <c r="K1254" s="171">
        <v>61.19</v>
      </c>
      <c r="L1254" s="171">
        <v>61.22</v>
      </c>
      <c r="M1254" s="171">
        <v>63.190000000000005</v>
      </c>
      <c r="N1254" s="171">
        <v>65.260000000000005</v>
      </c>
      <c r="O1254" s="171">
        <v>63.65</v>
      </c>
      <c r="P1254" s="171">
        <v>62.99</v>
      </c>
      <c r="Q1254" s="171">
        <v>60.410000000000004</v>
      </c>
      <c r="R1254" s="171">
        <v>54.86</v>
      </c>
      <c r="S1254" s="171">
        <v>51.94</v>
      </c>
      <c r="T1254" s="171">
        <v>57.15</v>
      </c>
      <c r="U1254" s="171">
        <v>62.96</v>
      </c>
      <c r="V1254" s="171">
        <v>69.78</v>
      </c>
      <c r="W1254" s="171">
        <v>67.94</v>
      </c>
      <c r="X1254" s="171">
        <v>60.21</v>
      </c>
      <c r="Y1254" s="171">
        <v>52.06</v>
      </c>
      <c r="Z1254" s="171">
        <v>53.77</v>
      </c>
      <c r="AA1254" s="171">
        <v>48.26</v>
      </c>
      <c r="AB1254" s="171">
        <v>69.78</v>
      </c>
      <c r="AC1254" s="171">
        <v>51.94</v>
      </c>
      <c r="AD1254" s="171">
        <v>48.120000000000005</v>
      </c>
      <c r="AF1254" s="171">
        <f t="shared" si="59"/>
        <v>2011</v>
      </c>
      <c r="AG1254" s="171">
        <f t="shared" si="60"/>
        <v>4</v>
      </c>
      <c r="AH1254" s="700">
        <f>SUMIF(D$3:$AA1254,"&lt;="&amp;$AH$1)/COUNTIF(D$3:$AA1254,"&lt;="&amp;$AH$1)</f>
        <v>30.244709547061927</v>
      </c>
    </row>
    <row r="1255" spans="2:34" x14ac:dyDescent="0.25">
      <c r="B1255" s="910">
        <v>40583</v>
      </c>
      <c r="C1255" s="581">
        <f t="shared" si="58"/>
        <v>2</v>
      </c>
      <c r="D1255" s="171">
        <v>43.92</v>
      </c>
      <c r="E1255" s="171">
        <v>43.35</v>
      </c>
      <c r="F1255" s="171">
        <v>40.94</v>
      </c>
      <c r="G1255" s="171">
        <v>39.5</v>
      </c>
      <c r="H1255" s="171">
        <v>39.480000000000004</v>
      </c>
      <c r="I1255" s="171">
        <v>44.29</v>
      </c>
      <c r="J1255" s="171">
        <v>50.09</v>
      </c>
      <c r="K1255" s="171">
        <v>64.400000000000006</v>
      </c>
      <c r="L1255" s="171">
        <v>67.11</v>
      </c>
      <c r="M1255" s="171">
        <v>66.040000000000006</v>
      </c>
      <c r="N1255" s="171">
        <v>65.87</v>
      </c>
      <c r="O1255" s="171">
        <v>65</v>
      </c>
      <c r="P1255" s="171">
        <v>63.29</v>
      </c>
      <c r="Q1255" s="171">
        <v>62.410000000000004</v>
      </c>
      <c r="R1255" s="171">
        <v>59.050000000000004</v>
      </c>
      <c r="S1255" s="171">
        <v>53.83</v>
      </c>
      <c r="T1255" s="171">
        <v>53.620000000000005</v>
      </c>
      <c r="U1255" s="171">
        <v>63.28</v>
      </c>
      <c r="V1255" s="171">
        <v>70.290000000000006</v>
      </c>
      <c r="W1255" s="171">
        <v>66.58</v>
      </c>
      <c r="X1255" s="171">
        <v>59.77</v>
      </c>
      <c r="Y1255" s="171">
        <v>49.160000000000004</v>
      </c>
      <c r="Z1255" s="171">
        <v>49.84</v>
      </c>
      <c r="AA1255" s="171">
        <v>46.5</v>
      </c>
      <c r="AB1255" s="171">
        <v>70.290000000000006</v>
      </c>
      <c r="AC1255" s="171">
        <v>49.160000000000004</v>
      </c>
      <c r="AD1255" s="171">
        <v>47.6</v>
      </c>
      <c r="AF1255" s="171">
        <f t="shared" si="59"/>
        <v>2011</v>
      </c>
      <c r="AG1255" s="171">
        <f t="shared" si="60"/>
        <v>3</v>
      </c>
      <c r="AH1255" s="700">
        <f>SUMIF(D$3:$AA1255,"&lt;="&amp;$AH$1)/COUNTIF(D$3:$AA1255,"&lt;="&amp;$AH$1)</f>
        <v>30.247166063462799</v>
      </c>
    </row>
    <row r="1256" spans="2:34" x14ac:dyDescent="0.25">
      <c r="B1256" s="910">
        <v>40584</v>
      </c>
      <c r="C1256" s="581">
        <f t="shared" si="58"/>
        <v>2</v>
      </c>
      <c r="D1256" s="171">
        <v>45.63</v>
      </c>
      <c r="E1256" s="171">
        <v>44.58</v>
      </c>
      <c r="F1256" s="171">
        <v>42.980000000000004</v>
      </c>
      <c r="G1256" s="171">
        <v>39.94</v>
      </c>
      <c r="H1256" s="171">
        <v>39.99</v>
      </c>
      <c r="I1256" s="171">
        <v>44.89</v>
      </c>
      <c r="J1256" s="171">
        <v>53.2</v>
      </c>
      <c r="K1256" s="171">
        <v>63.95</v>
      </c>
      <c r="L1256" s="171">
        <v>65.91</v>
      </c>
      <c r="M1256" s="171">
        <v>63.18</v>
      </c>
      <c r="N1256" s="171">
        <v>62.92</v>
      </c>
      <c r="O1256" s="171">
        <v>61.940000000000005</v>
      </c>
      <c r="P1256" s="171">
        <v>58.6</v>
      </c>
      <c r="Q1256" s="171">
        <v>56.28</v>
      </c>
      <c r="R1256" s="171">
        <v>53.52</v>
      </c>
      <c r="S1256" s="171">
        <v>50.54</v>
      </c>
      <c r="T1256" s="171">
        <v>50.08</v>
      </c>
      <c r="U1256" s="171">
        <v>59.02</v>
      </c>
      <c r="V1256" s="171">
        <v>66.150000000000006</v>
      </c>
      <c r="W1256" s="171">
        <v>65.09</v>
      </c>
      <c r="X1256" s="171">
        <v>58.59</v>
      </c>
      <c r="Y1256" s="171">
        <v>50.800000000000004</v>
      </c>
      <c r="Z1256" s="171">
        <v>51.27</v>
      </c>
      <c r="AA1256" s="171">
        <v>48.09</v>
      </c>
      <c r="AB1256" s="171">
        <v>66.150000000000006</v>
      </c>
      <c r="AC1256" s="171">
        <v>50.08</v>
      </c>
      <c r="AD1256" s="171">
        <v>48.660000000000004</v>
      </c>
      <c r="AF1256" s="171">
        <f t="shared" si="59"/>
        <v>2011</v>
      </c>
      <c r="AG1256" s="171">
        <f t="shared" si="60"/>
        <v>2</v>
      </c>
      <c r="AH1256" s="700">
        <f>SUMIF(D$3:$AA1256,"&lt;="&amp;$AH$1)/COUNTIF(D$3:$AA1256,"&lt;="&amp;$AH$1)</f>
        <v>30.24880164941526</v>
      </c>
    </row>
    <row r="1257" spans="2:34" x14ac:dyDescent="0.25">
      <c r="B1257" s="910">
        <v>40585</v>
      </c>
      <c r="C1257" s="581">
        <f t="shared" si="58"/>
        <v>2</v>
      </c>
      <c r="D1257" s="171">
        <v>44.95</v>
      </c>
      <c r="E1257" s="171">
        <v>43.26</v>
      </c>
      <c r="F1257" s="171">
        <v>41.11</v>
      </c>
      <c r="G1257" s="171">
        <v>37.020000000000003</v>
      </c>
      <c r="H1257" s="171">
        <v>39.06</v>
      </c>
      <c r="I1257" s="171">
        <v>44.2</v>
      </c>
      <c r="J1257" s="171">
        <v>50.29</v>
      </c>
      <c r="K1257" s="171">
        <v>61.02</v>
      </c>
      <c r="L1257" s="171">
        <v>64.070000000000007</v>
      </c>
      <c r="M1257" s="171">
        <v>63.4</v>
      </c>
      <c r="N1257" s="171">
        <v>63.29</v>
      </c>
      <c r="O1257" s="171">
        <v>62.120000000000005</v>
      </c>
      <c r="P1257" s="171">
        <v>60.9</v>
      </c>
      <c r="Q1257" s="171">
        <v>57.99</v>
      </c>
      <c r="R1257" s="171">
        <v>51.620000000000005</v>
      </c>
      <c r="S1257" s="171">
        <v>49.82</v>
      </c>
      <c r="T1257" s="171">
        <v>49.08</v>
      </c>
      <c r="U1257" s="171">
        <v>62.09</v>
      </c>
      <c r="V1257" s="171">
        <v>65.77</v>
      </c>
      <c r="W1257" s="171">
        <v>64.38</v>
      </c>
      <c r="X1257" s="171">
        <v>57.72</v>
      </c>
      <c r="Y1257" s="171">
        <v>50.5</v>
      </c>
      <c r="Z1257" s="171">
        <v>53.03</v>
      </c>
      <c r="AA1257" s="171">
        <v>51.86</v>
      </c>
      <c r="AB1257" s="171">
        <v>65.77</v>
      </c>
      <c r="AC1257" s="171">
        <v>49.08</v>
      </c>
      <c r="AD1257" s="171">
        <v>47.83</v>
      </c>
      <c r="AF1257" s="171">
        <f t="shared" si="59"/>
        <v>2011</v>
      </c>
      <c r="AG1257" s="171">
        <f t="shared" si="60"/>
        <v>3</v>
      </c>
      <c r="AH1257" s="700">
        <f>SUMIF(D$3:$AA1257,"&lt;="&amp;$AH$1)/COUNTIF(D$3:$AA1257,"&lt;="&amp;$AH$1)</f>
        <v>30.251026417634321</v>
      </c>
    </row>
    <row r="1258" spans="2:34" x14ac:dyDescent="0.25">
      <c r="B1258" s="910">
        <v>40588</v>
      </c>
      <c r="C1258" s="581">
        <f t="shared" si="58"/>
        <v>2</v>
      </c>
      <c r="D1258" s="171">
        <v>40.5</v>
      </c>
      <c r="E1258" s="171">
        <v>40.36</v>
      </c>
      <c r="F1258" s="171">
        <v>32.01</v>
      </c>
      <c r="G1258" s="171">
        <v>20.330000000000002</v>
      </c>
      <c r="H1258" s="171">
        <v>17.260000000000002</v>
      </c>
      <c r="I1258" s="171">
        <v>25.060000000000002</v>
      </c>
      <c r="J1258" s="171">
        <v>43.39</v>
      </c>
      <c r="K1258" s="171">
        <v>59.46</v>
      </c>
      <c r="L1258" s="171">
        <v>62.43</v>
      </c>
      <c r="M1258" s="171">
        <v>63.35</v>
      </c>
      <c r="N1258" s="171">
        <v>62.440000000000005</v>
      </c>
      <c r="O1258" s="171">
        <v>64.849999999999994</v>
      </c>
      <c r="P1258" s="171">
        <v>61.910000000000004</v>
      </c>
      <c r="Q1258" s="171">
        <v>60.49</v>
      </c>
      <c r="R1258" s="171">
        <v>57.2</v>
      </c>
      <c r="S1258" s="171">
        <v>53.02</v>
      </c>
      <c r="T1258" s="171">
        <v>51.07</v>
      </c>
      <c r="U1258" s="171">
        <v>58.95</v>
      </c>
      <c r="V1258" s="171">
        <v>69.22</v>
      </c>
      <c r="W1258" s="171">
        <v>68.37</v>
      </c>
      <c r="X1258" s="171">
        <v>61.28</v>
      </c>
      <c r="Y1258" s="171">
        <v>49.08</v>
      </c>
      <c r="Z1258" s="171">
        <v>49.22</v>
      </c>
      <c r="AA1258" s="171">
        <v>48.11</v>
      </c>
      <c r="AB1258" s="171">
        <v>69.22</v>
      </c>
      <c r="AC1258" s="171">
        <v>49.08</v>
      </c>
      <c r="AD1258" s="171">
        <v>40.51</v>
      </c>
      <c r="AF1258" s="171">
        <f t="shared" si="59"/>
        <v>2011</v>
      </c>
      <c r="AG1258" s="171">
        <f t="shared" si="60"/>
        <v>6</v>
      </c>
      <c r="AH1258" s="700">
        <f>SUMIF(D$3:$AA1258,"&lt;="&amp;$AH$1)/COUNTIF(D$3:$AA1258,"&lt;="&amp;$AH$1)</f>
        <v>30.250523040699761</v>
      </c>
    </row>
    <row r="1259" spans="2:34" x14ac:dyDescent="0.25">
      <c r="B1259" s="910">
        <v>40589</v>
      </c>
      <c r="C1259" s="581">
        <f t="shared" si="58"/>
        <v>2</v>
      </c>
      <c r="D1259" s="171">
        <v>47.12</v>
      </c>
      <c r="E1259" s="171">
        <v>45.04</v>
      </c>
      <c r="F1259" s="171">
        <v>41.04</v>
      </c>
      <c r="G1259" s="171">
        <v>39.96</v>
      </c>
      <c r="H1259" s="171">
        <v>39.89</v>
      </c>
      <c r="I1259" s="171">
        <v>45.02</v>
      </c>
      <c r="J1259" s="171">
        <v>50.68</v>
      </c>
      <c r="K1259" s="171">
        <v>64.599999999999994</v>
      </c>
      <c r="L1259" s="171">
        <v>66.27</v>
      </c>
      <c r="M1259" s="171">
        <v>65.67</v>
      </c>
      <c r="N1259" s="171">
        <v>65.67</v>
      </c>
      <c r="O1259" s="171">
        <v>65.650000000000006</v>
      </c>
      <c r="P1259" s="171">
        <v>64.7</v>
      </c>
      <c r="Q1259" s="171">
        <v>63.27</v>
      </c>
      <c r="R1259" s="171">
        <v>59.45</v>
      </c>
      <c r="S1259" s="171">
        <v>55.1</v>
      </c>
      <c r="T1259" s="171">
        <v>53.19</v>
      </c>
      <c r="U1259" s="171">
        <v>61.17</v>
      </c>
      <c r="V1259" s="171">
        <v>69.16</v>
      </c>
      <c r="W1259" s="171">
        <v>67.61</v>
      </c>
      <c r="X1259" s="171">
        <v>62.410000000000004</v>
      </c>
      <c r="Y1259" s="171">
        <v>47.93</v>
      </c>
      <c r="Z1259" s="171">
        <v>50.53</v>
      </c>
      <c r="AA1259" s="171">
        <v>46.31</v>
      </c>
      <c r="AB1259" s="171">
        <v>69.16</v>
      </c>
      <c r="AC1259" s="171">
        <v>47.93</v>
      </c>
      <c r="AD1259" s="171">
        <v>48.38</v>
      </c>
      <c r="AF1259" s="171">
        <f t="shared" si="59"/>
        <v>2011</v>
      </c>
      <c r="AG1259" s="171">
        <f t="shared" si="60"/>
        <v>3</v>
      </c>
      <c r="AH1259" s="700">
        <f>SUMIF(D$3:$AA1259,"&lt;="&amp;$AH$1)/COUNTIF(D$3:$AA1259,"&lt;="&amp;$AH$1)</f>
        <v>30.253056746532287</v>
      </c>
    </row>
    <row r="1260" spans="2:34" x14ac:dyDescent="0.25">
      <c r="B1260" s="910">
        <v>40590</v>
      </c>
      <c r="C1260" s="581">
        <f t="shared" si="58"/>
        <v>2</v>
      </c>
      <c r="D1260" s="171">
        <v>44.85</v>
      </c>
      <c r="E1260" s="171">
        <v>44.07</v>
      </c>
      <c r="F1260" s="171">
        <v>41.61</v>
      </c>
      <c r="G1260" s="171">
        <v>38.83</v>
      </c>
      <c r="H1260" s="171">
        <v>39.31</v>
      </c>
      <c r="I1260" s="171">
        <v>45</v>
      </c>
      <c r="J1260" s="171">
        <v>46.51</v>
      </c>
      <c r="K1260" s="171">
        <v>61.19</v>
      </c>
      <c r="L1260" s="171">
        <v>64.77</v>
      </c>
      <c r="M1260" s="171">
        <v>65.61</v>
      </c>
      <c r="N1260" s="171">
        <v>65.05</v>
      </c>
      <c r="O1260" s="171">
        <v>64.5</v>
      </c>
      <c r="P1260" s="171">
        <v>62.01</v>
      </c>
      <c r="Q1260" s="171">
        <v>61.19</v>
      </c>
      <c r="R1260" s="171">
        <v>57.06</v>
      </c>
      <c r="S1260" s="171">
        <v>53.02</v>
      </c>
      <c r="T1260" s="171">
        <v>52.79</v>
      </c>
      <c r="U1260" s="171">
        <v>64.94</v>
      </c>
      <c r="V1260" s="171">
        <v>69.97</v>
      </c>
      <c r="W1260" s="171">
        <v>67.210000000000008</v>
      </c>
      <c r="X1260" s="171">
        <v>57.82</v>
      </c>
      <c r="Y1260" s="171">
        <v>48.63</v>
      </c>
      <c r="Z1260" s="171">
        <v>50.83</v>
      </c>
      <c r="AA1260" s="171">
        <v>47.43</v>
      </c>
      <c r="AB1260" s="171">
        <v>69.97</v>
      </c>
      <c r="AC1260" s="171">
        <v>48.63</v>
      </c>
      <c r="AD1260" s="171">
        <v>47.17</v>
      </c>
      <c r="AF1260" s="171">
        <f t="shared" si="59"/>
        <v>2011</v>
      </c>
      <c r="AG1260" s="171">
        <f t="shared" si="60"/>
        <v>3</v>
      </c>
      <c r="AH1260" s="700">
        <f>SUMIF(D$3:$AA1260,"&lt;="&amp;$AH$1)/COUNTIF(D$3:$AA1260,"&lt;="&amp;$AH$1)</f>
        <v>30.255493360228741</v>
      </c>
    </row>
    <row r="1261" spans="2:34" x14ac:dyDescent="0.25">
      <c r="B1261" s="910">
        <v>40591</v>
      </c>
      <c r="C1261" s="581">
        <f t="shared" si="58"/>
        <v>2</v>
      </c>
      <c r="D1261" s="171">
        <v>44.79</v>
      </c>
      <c r="E1261" s="171">
        <v>45.06</v>
      </c>
      <c r="F1261" s="171">
        <v>43.67</v>
      </c>
      <c r="G1261" s="171">
        <v>42.32</v>
      </c>
      <c r="H1261" s="171">
        <v>41</v>
      </c>
      <c r="I1261" s="171">
        <v>44.910000000000004</v>
      </c>
      <c r="J1261" s="171">
        <v>51.93</v>
      </c>
      <c r="K1261" s="171">
        <v>64</v>
      </c>
      <c r="L1261" s="171">
        <v>65</v>
      </c>
      <c r="M1261" s="171">
        <v>65.64</v>
      </c>
      <c r="N1261" s="171">
        <v>65.099999999999994</v>
      </c>
      <c r="O1261" s="171">
        <v>65.2</v>
      </c>
      <c r="P1261" s="171">
        <v>65.400000000000006</v>
      </c>
      <c r="Q1261" s="171">
        <v>63.92</v>
      </c>
      <c r="R1261" s="171">
        <v>60.39</v>
      </c>
      <c r="S1261" s="171">
        <v>53.2</v>
      </c>
      <c r="T1261" s="171">
        <v>52.43</v>
      </c>
      <c r="U1261" s="171">
        <v>61.04</v>
      </c>
      <c r="V1261" s="171">
        <v>74.94</v>
      </c>
      <c r="W1261" s="171">
        <v>68.989999999999995</v>
      </c>
      <c r="X1261" s="171">
        <v>64.44</v>
      </c>
      <c r="Y1261" s="171">
        <v>52.77</v>
      </c>
      <c r="Z1261" s="171">
        <v>53.15</v>
      </c>
      <c r="AA1261" s="171">
        <v>48.660000000000004</v>
      </c>
      <c r="AB1261" s="171">
        <v>74.94</v>
      </c>
      <c r="AC1261" s="171">
        <v>52.43</v>
      </c>
      <c r="AD1261" s="171">
        <v>49.72</v>
      </c>
      <c r="AF1261" s="171">
        <f t="shared" si="59"/>
        <v>2011</v>
      </c>
      <c r="AG1261" s="171">
        <f t="shared" si="60"/>
        <v>2</v>
      </c>
      <c r="AH1261" s="700">
        <f>SUMIF(D$3:$AA1261,"&lt;="&amp;$AH$1)/COUNTIF(D$3:$AA1261,"&lt;="&amp;$AH$1)</f>
        <v>30.257410084033744</v>
      </c>
    </row>
    <row r="1262" spans="2:34" x14ac:dyDescent="0.25">
      <c r="B1262" s="910">
        <v>40592</v>
      </c>
      <c r="C1262" s="581">
        <f t="shared" si="58"/>
        <v>2</v>
      </c>
      <c r="D1262" s="171">
        <v>47.980000000000004</v>
      </c>
      <c r="E1262" s="171">
        <v>48.120000000000005</v>
      </c>
      <c r="F1262" s="171">
        <v>46.62</v>
      </c>
      <c r="G1262" s="171">
        <v>44.94</v>
      </c>
      <c r="H1262" s="171">
        <v>45.04</v>
      </c>
      <c r="I1262" s="171">
        <v>47.37</v>
      </c>
      <c r="J1262" s="171">
        <v>53.02</v>
      </c>
      <c r="K1262" s="171">
        <v>65.87</v>
      </c>
      <c r="L1262" s="171">
        <v>68.45</v>
      </c>
      <c r="M1262" s="171">
        <v>68.91</v>
      </c>
      <c r="N1262" s="171">
        <v>66.09</v>
      </c>
      <c r="O1262" s="171">
        <v>66.010000000000005</v>
      </c>
      <c r="P1262" s="171">
        <v>65.930000000000007</v>
      </c>
      <c r="Q1262" s="171">
        <v>63.21</v>
      </c>
      <c r="R1262" s="171">
        <v>61.03</v>
      </c>
      <c r="S1262" s="171">
        <v>54.36</v>
      </c>
      <c r="T1262" s="171">
        <v>52.5</v>
      </c>
      <c r="U1262" s="171">
        <v>62.07</v>
      </c>
      <c r="V1262" s="171">
        <v>68.41</v>
      </c>
      <c r="W1262" s="171">
        <v>66.7</v>
      </c>
      <c r="X1262" s="171">
        <v>60.04</v>
      </c>
      <c r="Y1262" s="171">
        <v>50.31</v>
      </c>
      <c r="Z1262" s="171">
        <v>54.58</v>
      </c>
      <c r="AA1262" s="171">
        <v>50.480000000000004</v>
      </c>
      <c r="AB1262" s="171">
        <v>68.91</v>
      </c>
      <c r="AC1262" s="171">
        <v>50.31</v>
      </c>
      <c r="AD1262" s="171">
        <v>51.2</v>
      </c>
      <c r="AF1262" s="171">
        <f t="shared" si="59"/>
        <v>2011</v>
      </c>
      <c r="AG1262" s="171">
        <f t="shared" si="60"/>
        <v>0</v>
      </c>
      <c r="AH1262" s="700">
        <f>SUMIF(D$3:$AA1262,"&lt;="&amp;$AH$1)/COUNTIF(D$3:$AA1262,"&lt;="&amp;$AH$1)</f>
        <v>30.257410084033744</v>
      </c>
    </row>
    <row r="1263" spans="2:34" x14ac:dyDescent="0.25">
      <c r="B1263" s="910">
        <v>40595</v>
      </c>
      <c r="C1263" s="581">
        <f t="shared" si="58"/>
        <v>2</v>
      </c>
      <c r="D1263" s="171">
        <v>47.44</v>
      </c>
      <c r="E1263" s="171">
        <v>45.13</v>
      </c>
      <c r="F1263" s="171">
        <v>43.09</v>
      </c>
      <c r="G1263" s="171">
        <v>40.22</v>
      </c>
      <c r="H1263" s="171">
        <v>42.44</v>
      </c>
      <c r="I1263" s="171">
        <v>46.85</v>
      </c>
      <c r="J1263" s="171">
        <v>64.87</v>
      </c>
      <c r="K1263" s="171">
        <v>69.05</v>
      </c>
      <c r="L1263" s="171">
        <v>66.95</v>
      </c>
      <c r="M1263" s="171">
        <v>66.88</v>
      </c>
      <c r="N1263" s="171">
        <v>66.36</v>
      </c>
      <c r="O1263" s="171">
        <v>66</v>
      </c>
      <c r="P1263" s="171">
        <v>65.69</v>
      </c>
      <c r="Q1263" s="171">
        <v>64.010000000000005</v>
      </c>
      <c r="R1263" s="171">
        <v>62.27</v>
      </c>
      <c r="S1263" s="171">
        <v>59</v>
      </c>
      <c r="T1263" s="171">
        <v>58.9</v>
      </c>
      <c r="U1263" s="171">
        <v>62.97</v>
      </c>
      <c r="V1263" s="171">
        <v>71.59</v>
      </c>
      <c r="W1263" s="171">
        <v>69.48</v>
      </c>
      <c r="X1263" s="171">
        <v>64.78</v>
      </c>
      <c r="Y1263" s="171">
        <v>54.94</v>
      </c>
      <c r="Z1263" s="171">
        <v>59.03</v>
      </c>
      <c r="AA1263" s="171">
        <v>50.99</v>
      </c>
      <c r="AB1263" s="171">
        <v>71.59</v>
      </c>
      <c r="AC1263" s="171">
        <v>54.94</v>
      </c>
      <c r="AD1263" s="171">
        <v>52.4</v>
      </c>
      <c r="AF1263" s="171">
        <f t="shared" si="59"/>
        <v>2011</v>
      </c>
      <c r="AG1263" s="171">
        <f t="shared" si="60"/>
        <v>2</v>
      </c>
      <c r="AH1263" s="700">
        <f>SUMIF(D$3:$AA1263,"&lt;="&amp;$AH$1)/COUNTIF(D$3:$AA1263,"&lt;="&amp;$AH$1)</f>
        <v>30.259270710805037</v>
      </c>
    </row>
    <row r="1264" spans="2:34" x14ac:dyDescent="0.25">
      <c r="B1264" s="910">
        <v>40596</v>
      </c>
      <c r="C1264" s="581">
        <f t="shared" si="58"/>
        <v>2</v>
      </c>
      <c r="D1264" s="171">
        <v>44.93</v>
      </c>
      <c r="E1264" s="171">
        <v>45.29</v>
      </c>
      <c r="F1264" s="171">
        <v>44.94</v>
      </c>
      <c r="G1264" s="171">
        <v>43.01</v>
      </c>
      <c r="H1264" s="171">
        <v>43.17</v>
      </c>
      <c r="I1264" s="171">
        <v>44.76</v>
      </c>
      <c r="J1264" s="171">
        <v>48.08</v>
      </c>
      <c r="K1264" s="171">
        <v>64.150000000000006</v>
      </c>
      <c r="L1264" s="171">
        <v>66.989999999999995</v>
      </c>
      <c r="M1264" s="171">
        <v>68.08</v>
      </c>
      <c r="N1264" s="171">
        <v>67.820000000000007</v>
      </c>
      <c r="O1264" s="171">
        <v>67.960000000000008</v>
      </c>
      <c r="P1264" s="171">
        <v>66.91</v>
      </c>
      <c r="Q1264" s="171">
        <v>66.710000000000008</v>
      </c>
      <c r="R1264" s="171">
        <v>63.190000000000005</v>
      </c>
      <c r="S1264" s="171">
        <v>60.7</v>
      </c>
      <c r="T1264" s="171">
        <v>58.2</v>
      </c>
      <c r="U1264" s="171">
        <v>65.06</v>
      </c>
      <c r="V1264" s="171">
        <v>76.23</v>
      </c>
      <c r="W1264" s="171">
        <v>73.850000000000009</v>
      </c>
      <c r="X1264" s="171">
        <v>66.930000000000007</v>
      </c>
      <c r="Y1264" s="171">
        <v>58.81</v>
      </c>
      <c r="Z1264" s="171">
        <v>55.800000000000004</v>
      </c>
      <c r="AA1264" s="171">
        <v>49</v>
      </c>
      <c r="AB1264" s="171">
        <v>76.23</v>
      </c>
      <c r="AC1264" s="171">
        <v>55.800000000000004</v>
      </c>
      <c r="AD1264" s="171">
        <v>50.74</v>
      </c>
      <c r="AF1264" s="171">
        <f t="shared" si="59"/>
        <v>2011</v>
      </c>
      <c r="AG1264" s="171">
        <f t="shared" si="60"/>
        <v>0</v>
      </c>
      <c r="AH1264" s="700">
        <f>SUMIF(D$3:$AA1264,"&lt;="&amp;$AH$1)/COUNTIF(D$3:$AA1264,"&lt;="&amp;$AH$1)</f>
        <v>30.259270710805037</v>
      </c>
    </row>
    <row r="1265" spans="2:34" x14ac:dyDescent="0.25">
      <c r="B1265" s="910">
        <v>40597</v>
      </c>
      <c r="C1265" s="581">
        <f t="shared" si="58"/>
        <v>2</v>
      </c>
      <c r="D1265" s="171">
        <v>48.88</v>
      </c>
      <c r="E1265" s="171">
        <v>49.1</v>
      </c>
      <c r="F1265" s="171">
        <v>47.01</v>
      </c>
      <c r="G1265" s="171">
        <v>45.82</v>
      </c>
      <c r="H1265" s="171">
        <v>44.95</v>
      </c>
      <c r="I1265" s="171">
        <v>47.19</v>
      </c>
      <c r="J1265" s="171">
        <v>56</v>
      </c>
      <c r="K1265" s="171">
        <v>66.62</v>
      </c>
      <c r="L1265" s="171">
        <v>69.53</v>
      </c>
      <c r="M1265" s="171">
        <v>69.56</v>
      </c>
      <c r="N1265" s="171">
        <v>68.36</v>
      </c>
      <c r="O1265" s="171">
        <v>68</v>
      </c>
      <c r="P1265" s="171">
        <v>66.94</v>
      </c>
      <c r="Q1265" s="171">
        <v>66.260000000000005</v>
      </c>
      <c r="R1265" s="171">
        <v>65.010000000000005</v>
      </c>
      <c r="S1265" s="171">
        <v>60.85</v>
      </c>
      <c r="T1265" s="171">
        <v>57.95</v>
      </c>
      <c r="U1265" s="171">
        <v>62.24</v>
      </c>
      <c r="V1265" s="171">
        <v>74.97</v>
      </c>
      <c r="W1265" s="171">
        <v>70.98</v>
      </c>
      <c r="X1265" s="171">
        <v>62.49</v>
      </c>
      <c r="Y1265" s="171">
        <v>53.63</v>
      </c>
      <c r="Z1265" s="171">
        <v>50</v>
      </c>
      <c r="AA1265" s="171">
        <v>47.980000000000004</v>
      </c>
      <c r="AB1265" s="171">
        <v>74.97</v>
      </c>
      <c r="AC1265" s="171">
        <v>50</v>
      </c>
      <c r="AD1265" s="171">
        <v>51.64</v>
      </c>
      <c r="AF1265" s="171">
        <f t="shared" si="59"/>
        <v>2011</v>
      </c>
      <c r="AG1265" s="171">
        <f t="shared" si="60"/>
        <v>0</v>
      </c>
      <c r="AH1265" s="700">
        <f>SUMIF(D$3:$AA1265,"&lt;="&amp;$AH$1)/COUNTIF(D$3:$AA1265,"&lt;="&amp;$AH$1)</f>
        <v>30.259270710805037</v>
      </c>
    </row>
    <row r="1266" spans="2:34" x14ac:dyDescent="0.25">
      <c r="B1266" s="910">
        <v>40598</v>
      </c>
      <c r="C1266" s="581">
        <f t="shared" si="58"/>
        <v>2</v>
      </c>
      <c r="D1266" s="171">
        <v>46.5</v>
      </c>
      <c r="E1266" s="171">
        <v>45.78</v>
      </c>
      <c r="F1266" s="171">
        <v>44.14</v>
      </c>
      <c r="G1266" s="171">
        <v>42.51</v>
      </c>
      <c r="H1266" s="171">
        <v>42.37</v>
      </c>
      <c r="I1266" s="171">
        <v>45.72</v>
      </c>
      <c r="J1266" s="171">
        <v>53.02</v>
      </c>
      <c r="K1266" s="171">
        <v>65.710000000000008</v>
      </c>
      <c r="L1266" s="171">
        <v>66.349999999999994</v>
      </c>
      <c r="M1266" s="171">
        <v>66.92</v>
      </c>
      <c r="N1266" s="171">
        <v>67.040000000000006</v>
      </c>
      <c r="O1266" s="171">
        <v>67.5</v>
      </c>
      <c r="P1266" s="171">
        <v>65.81</v>
      </c>
      <c r="Q1266" s="171">
        <v>65.460000000000008</v>
      </c>
      <c r="R1266" s="171">
        <v>63</v>
      </c>
      <c r="S1266" s="171">
        <v>60.89</v>
      </c>
      <c r="T1266" s="171">
        <v>59.72</v>
      </c>
      <c r="U1266" s="171">
        <v>63.58</v>
      </c>
      <c r="V1266" s="171">
        <v>71.19</v>
      </c>
      <c r="W1266" s="171">
        <v>70.41</v>
      </c>
      <c r="X1266" s="171">
        <v>65.09</v>
      </c>
      <c r="Y1266" s="171">
        <v>56.18</v>
      </c>
      <c r="Z1266" s="171">
        <v>53.02</v>
      </c>
      <c r="AA1266" s="171">
        <v>51.57</v>
      </c>
      <c r="AB1266" s="171">
        <v>71.19</v>
      </c>
      <c r="AC1266" s="171">
        <v>53.02</v>
      </c>
      <c r="AD1266" s="171">
        <v>50.97</v>
      </c>
      <c r="AF1266" s="171">
        <f t="shared" si="59"/>
        <v>2011</v>
      </c>
      <c r="AG1266" s="171">
        <f t="shared" si="60"/>
        <v>2</v>
      </c>
      <c r="AH1266" s="700">
        <f>SUMIF(D$3:$AA1266,"&lt;="&amp;$AH$1)/COUNTIF(D$3:$AA1266,"&lt;="&amp;$AH$1)</f>
        <v>30.261317204301204</v>
      </c>
    </row>
    <row r="1267" spans="2:34" x14ac:dyDescent="0.25">
      <c r="B1267" s="910">
        <v>40599</v>
      </c>
      <c r="C1267" s="581">
        <f t="shared" si="58"/>
        <v>2</v>
      </c>
      <c r="D1267" s="171">
        <v>47.08</v>
      </c>
      <c r="E1267" s="171">
        <v>46.25</v>
      </c>
      <c r="F1267" s="171">
        <v>44.95</v>
      </c>
      <c r="G1267" s="171">
        <v>43.86</v>
      </c>
      <c r="H1267" s="171">
        <v>43.58</v>
      </c>
      <c r="I1267" s="171">
        <v>46.9</v>
      </c>
      <c r="J1267" s="171">
        <v>50.36</v>
      </c>
      <c r="K1267" s="171">
        <v>66.25</v>
      </c>
      <c r="L1267" s="171">
        <v>68.09</v>
      </c>
      <c r="M1267" s="171">
        <v>67.5</v>
      </c>
      <c r="N1267" s="171">
        <v>67.13</v>
      </c>
      <c r="O1267" s="171">
        <v>65.91</v>
      </c>
      <c r="P1267" s="171">
        <v>64.489999999999995</v>
      </c>
      <c r="Q1267" s="171">
        <v>63.06</v>
      </c>
      <c r="R1267" s="171">
        <v>58.57</v>
      </c>
      <c r="S1267" s="171">
        <v>54.93</v>
      </c>
      <c r="T1267" s="171">
        <v>55.22</v>
      </c>
      <c r="U1267" s="171">
        <v>61.550000000000004</v>
      </c>
      <c r="V1267" s="171">
        <v>69.91</v>
      </c>
      <c r="W1267" s="171">
        <v>66.19</v>
      </c>
      <c r="X1267" s="171">
        <v>54.6</v>
      </c>
      <c r="Y1267" s="171">
        <v>47.63</v>
      </c>
      <c r="Z1267" s="171">
        <v>49.44</v>
      </c>
      <c r="AA1267" s="171">
        <v>48.07</v>
      </c>
      <c r="AB1267" s="171">
        <v>69.91</v>
      </c>
      <c r="AC1267" s="171">
        <v>47.63</v>
      </c>
      <c r="AD1267" s="171">
        <v>49.08</v>
      </c>
      <c r="AF1267" s="171">
        <f t="shared" si="59"/>
        <v>2011</v>
      </c>
      <c r="AG1267" s="171">
        <f t="shared" si="60"/>
        <v>0</v>
      </c>
      <c r="AH1267" s="700">
        <f>SUMIF(D$3:$AA1267,"&lt;="&amp;$AH$1)/COUNTIF(D$3:$AA1267,"&lt;="&amp;$AH$1)</f>
        <v>30.261317204301204</v>
      </c>
    </row>
    <row r="1268" spans="2:34" x14ac:dyDescent="0.25">
      <c r="B1268" s="910">
        <v>40602</v>
      </c>
      <c r="C1268" s="581">
        <f t="shared" si="58"/>
        <v>2</v>
      </c>
      <c r="D1268" s="171">
        <v>49.15</v>
      </c>
      <c r="E1268" s="171">
        <v>45.54</v>
      </c>
      <c r="F1268" s="171">
        <v>43.94</v>
      </c>
      <c r="G1268" s="171">
        <v>41.550000000000004</v>
      </c>
      <c r="H1268" s="171">
        <v>42.54</v>
      </c>
      <c r="I1268" s="171">
        <v>47.870000000000005</v>
      </c>
      <c r="J1268" s="171">
        <v>58.77</v>
      </c>
      <c r="K1268" s="171">
        <v>70.739999999999995</v>
      </c>
      <c r="L1268" s="171">
        <v>70.989999999999995</v>
      </c>
      <c r="M1268" s="171">
        <v>70.94</v>
      </c>
      <c r="N1268" s="171">
        <v>68.900000000000006</v>
      </c>
      <c r="O1268" s="171">
        <v>68.400000000000006</v>
      </c>
      <c r="P1268" s="171">
        <v>67.98</v>
      </c>
      <c r="Q1268" s="171">
        <v>66.13</v>
      </c>
      <c r="R1268" s="171">
        <v>64.489999999999995</v>
      </c>
      <c r="S1268" s="171">
        <v>61.93</v>
      </c>
      <c r="T1268" s="171">
        <v>60.43</v>
      </c>
      <c r="U1268" s="171">
        <v>63.99</v>
      </c>
      <c r="V1268" s="171">
        <v>75.260000000000005</v>
      </c>
      <c r="W1268" s="171">
        <v>72.73</v>
      </c>
      <c r="X1268" s="171">
        <v>67.48</v>
      </c>
      <c r="Y1268" s="171">
        <v>55.21</v>
      </c>
      <c r="Z1268" s="171">
        <v>56.120000000000005</v>
      </c>
      <c r="AA1268" s="171">
        <v>52.43</v>
      </c>
      <c r="AB1268" s="171">
        <v>75.260000000000005</v>
      </c>
      <c r="AC1268" s="171">
        <v>55.21</v>
      </c>
      <c r="AD1268" s="171">
        <v>52.61</v>
      </c>
      <c r="AF1268" s="171">
        <f t="shared" si="59"/>
        <v>2011</v>
      </c>
      <c r="AG1268" s="171">
        <f t="shared" si="60"/>
        <v>2</v>
      </c>
      <c r="AH1268" s="700">
        <f>SUMIF(D$3:$AA1268,"&lt;="&amp;$AH$1)/COUNTIF(D$3:$AA1268,"&lt;="&amp;$AH$1)</f>
        <v>30.263296657147784</v>
      </c>
    </row>
    <row r="1269" spans="2:34" x14ac:dyDescent="0.25">
      <c r="B1269" s="910">
        <v>40603</v>
      </c>
      <c r="C1269" s="581">
        <f t="shared" si="58"/>
        <v>3</v>
      </c>
      <c r="D1269" s="171">
        <v>49.15</v>
      </c>
      <c r="E1269" s="171">
        <v>45.54</v>
      </c>
      <c r="F1269" s="171">
        <v>43.94</v>
      </c>
      <c r="G1269" s="171">
        <v>41.550000000000004</v>
      </c>
      <c r="H1269" s="171">
        <v>42.54</v>
      </c>
      <c r="I1269" s="171">
        <v>47.870000000000005</v>
      </c>
      <c r="J1269" s="171">
        <v>58.77</v>
      </c>
      <c r="K1269" s="171">
        <v>70.739999999999995</v>
      </c>
      <c r="L1269" s="171">
        <v>70.989999999999995</v>
      </c>
      <c r="M1269" s="171">
        <v>70.94</v>
      </c>
      <c r="N1269" s="171">
        <v>68.900000000000006</v>
      </c>
      <c r="O1269" s="171">
        <v>68.400000000000006</v>
      </c>
      <c r="P1269" s="171">
        <v>67.98</v>
      </c>
      <c r="Q1269" s="171">
        <v>66.13</v>
      </c>
      <c r="R1269" s="171">
        <v>64.489999999999995</v>
      </c>
      <c r="S1269" s="171">
        <v>61.93</v>
      </c>
      <c r="T1269" s="171">
        <v>60.43</v>
      </c>
      <c r="U1269" s="171">
        <v>63.99</v>
      </c>
      <c r="V1269" s="171">
        <v>75.260000000000005</v>
      </c>
      <c r="W1269" s="171">
        <v>72.73</v>
      </c>
      <c r="X1269" s="171">
        <v>67.48</v>
      </c>
      <c r="Y1269" s="171">
        <v>55.21</v>
      </c>
      <c r="Z1269" s="171">
        <v>56.120000000000005</v>
      </c>
      <c r="AA1269" s="171">
        <v>52.43</v>
      </c>
      <c r="AB1269" s="171">
        <v>75.260000000000005</v>
      </c>
      <c r="AC1269" s="171">
        <v>55.21</v>
      </c>
      <c r="AD1269" s="171">
        <v>52.61</v>
      </c>
      <c r="AF1269" s="171">
        <f t="shared" si="59"/>
        <v>2011</v>
      </c>
      <c r="AG1269" s="171">
        <f t="shared" si="60"/>
        <v>2</v>
      </c>
      <c r="AH1269" s="700">
        <f>SUMIF(D$3:$AA1269,"&lt;="&amp;$AH$1)/COUNTIF(D$3:$AA1269,"&lt;="&amp;$AH$1)</f>
        <v>30.265275445079062</v>
      </c>
    </row>
    <row r="1270" spans="2:34" x14ac:dyDescent="0.25">
      <c r="B1270" s="910">
        <v>40604</v>
      </c>
      <c r="C1270" s="581">
        <f t="shared" si="58"/>
        <v>3</v>
      </c>
      <c r="D1270" s="171">
        <v>47.85</v>
      </c>
      <c r="E1270" s="171">
        <v>46.27</v>
      </c>
      <c r="F1270" s="171">
        <v>45.730000000000004</v>
      </c>
      <c r="G1270" s="171">
        <v>44.21</v>
      </c>
      <c r="H1270" s="171">
        <v>44.18</v>
      </c>
      <c r="I1270" s="171">
        <v>45.19</v>
      </c>
      <c r="J1270" s="171">
        <v>52.33</v>
      </c>
      <c r="K1270" s="171">
        <v>67.040000000000006</v>
      </c>
      <c r="L1270" s="171">
        <v>67.900000000000006</v>
      </c>
      <c r="M1270" s="171">
        <v>66.27</v>
      </c>
      <c r="N1270" s="171">
        <v>63.76</v>
      </c>
      <c r="O1270" s="171">
        <v>62.31</v>
      </c>
      <c r="P1270" s="171">
        <v>61.2</v>
      </c>
      <c r="Q1270" s="171">
        <v>56.2</v>
      </c>
      <c r="R1270" s="171">
        <v>53.03</v>
      </c>
      <c r="S1270" s="171">
        <v>50.050000000000004</v>
      </c>
      <c r="T1270" s="171">
        <v>49.92</v>
      </c>
      <c r="U1270" s="171">
        <v>58.96</v>
      </c>
      <c r="V1270" s="171">
        <v>68.28</v>
      </c>
      <c r="W1270" s="171">
        <v>68.63</v>
      </c>
      <c r="X1270" s="171">
        <v>65.650000000000006</v>
      </c>
      <c r="Y1270" s="171">
        <v>55.14</v>
      </c>
      <c r="Z1270" s="171">
        <v>53.2</v>
      </c>
      <c r="AA1270" s="171">
        <v>49.050000000000004</v>
      </c>
      <c r="AB1270" s="171">
        <v>68.63</v>
      </c>
      <c r="AC1270" s="171">
        <v>49.92</v>
      </c>
      <c r="AD1270" s="171">
        <v>51.32</v>
      </c>
      <c r="AF1270" s="171">
        <f t="shared" si="59"/>
        <v>2011</v>
      </c>
      <c r="AG1270" s="171">
        <f t="shared" si="60"/>
        <v>0</v>
      </c>
      <c r="AH1270" s="700">
        <f>SUMIF(D$3:$AA1270,"&lt;="&amp;$AH$1)/COUNTIF(D$3:$AA1270,"&lt;="&amp;$AH$1)</f>
        <v>30.265275445079062</v>
      </c>
    </row>
    <row r="1271" spans="2:34" x14ac:dyDescent="0.25">
      <c r="B1271" s="910">
        <v>40605</v>
      </c>
      <c r="C1271" s="581">
        <f t="shared" si="58"/>
        <v>3</v>
      </c>
      <c r="D1271" s="171">
        <v>48.56</v>
      </c>
      <c r="E1271" s="171">
        <v>47.94</v>
      </c>
      <c r="F1271" s="171">
        <v>46.21</v>
      </c>
      <c r="G1271" s="171">
        <v>45.12</v>
      </c>
      <c r="H1271" s="171">
        <v>45.47</v>
      </c>
      <c r="I1271" s="171">
        <v>49.800000000000004</v>
      </c>
      <c r="J1271" s="171">
        <v>62.65</v>
      </c>
      <c r="K1271" s="171">
        <v>66.48</v>
      </c>
      <c r="L1271" s="171">
        <v>67.25</v>
      </c>
      <c r="M1271" s="171">
        <v>66.41</v>
      </c>
      <c r="N1271" s="171">
        <v>65.739999999999995</v>
      </c>
      <c r="O1271" s="171">
        <v>65.02</v>
      </c>
      <c r="P1271" s="171">
        <v>64.06</v>
      </c>
      <c r="Q1271" s="171">
        <v>61.800000000000004</v>
      </c>
      <c r="R1271" s="171">
        <v>57.31</v>
      </c>
      <c r="S1271" s="171">
        <v>55.02</v>
      </c>
      <c r="T1271" s="171">
        <v>54.33</v>
      </c>
      <c r="U1271" s="171">
        <v>62.07</v>
      </c>
      <c r="V1271" s="171">
        <v>71.33</v>
      </c>
      <c r="W1271" s="171">
        <v>73.17</v>
      </c>
      <c r="X1271" s="171">
        <v>65.760000000000005</v>
      </c>
      <c r="Y1271" s="171">
        <v>61.2</v>
      </c>
      <c r="Z1271" s="171">
        <v>61.97</v>
      </c>
      <c r="AA1271" s="171">
        <v>54.25</v>
      </c>
      <c r="AB1271" s="171">
        <v>73.17</v>
      </c>
      <c r="AC1271" s="171">
        <v>54.33</v>
      </c>
      <c r="AD1271" s="171">
        <v>54.620000000000005</v>
      </c>
      <c r="AF1271" s="171">
        <f t="shared" si="59"/>
        <v>2011</v>
      </c>
      <c r="AG1271" s="171">
        <f t="shared" si="60"/>
        <v>0</v>
      </c>
      <c r="AH1271" s="700">
        <f>SUMIF(D$3:$AA1271,"&lt;="&amp;$AH$1)/COUNTIF(D$3:$AA1271,"&lt;="&amp;$AH$1)</f>
        <v>30.265275445079062</v>
      </c>
    </row>
    <row r="1272" spans="2:34" x14ac:dyDescent="0.25">
      <c r="B1272" s="910">
        <v>40606</v>
      </c>
      <c r="C1272" s="581">
        <f t="shared" si="58"/>
        <v>3</v>
      </c>
      <c r="D1272" s="171">
        <v>51.4</v>
      </c>
      <c r="E1272" s="171">
        <v>50</v>
      </c>
      <c r="F1272" s="171">
        <v>49.06</v>
      </c>
      <c r="G1272" s="171">
        <v>47.44</v>
      </c>
      <c r="H1272" s="171">
        <v>49.120000000000005</v>
      </c>
      <c r="I1272" s="171">
        <v>49.910000000000004</v>
      </c>
      <c r="J1272" s="171">
        <v>62.940000000000005</v>
      </c>
      <c r="K1272" s="171">
        <v>70.89</v>
      </c>
      <c r="L1272" s="171">
        <v>71.84</v>
      </c>
      <c r="M1272" s="171">
        <v>69.930000000000007</v>
      </c>
      <c r="N1272" s="171">
        <v>67.820000000000007</v>
      </c>
      <c r="O1272" s="171">
        <v>65.650000000000006</v>
      </c>
      <c r="P1272" s="171">
        <v>64.570000000000007</v>
      </c>
      <c r="Q1272" s="171">
        <v>62.34</v>
      </c>
      <c r="R1272" s="171">
        <v>56.83</v>
      </c>
      <c r="S1272" s="171">
        <v>53.050000000000004</v>
      </c>
      <c r="T1272" s="171">
        <v>52.2</v>
      </c>
      <c r="U1272" s="171">
        <v>61.19</v>
      </c>
      <c r="V1272" s="171">
        <v>70.06</v>
      </c>
      <c r="W1272" s="171">
        <v>73.97</v>
      </c>
      <c r="X1272" s="171">
        <v>66.010000000000005</v>
      </c>
      <c r="Y1272" s="171">
        <v>57.92</v>
      </c>
      <c r="Z1272" s="171">
        <v>57.660000000000004</v>
      </c>
      <c r="AA1272" s="171">
        <v>53.63</v>
      </c>
      <c r="AB1272" s="171">
        <v>73.97</v>
      </c>
      <c r="AC1272" s="171">
        <v>52.2</v>
      </c>
      <c r="AD1272" s="171">
        <v>55.5</v>
      </c>
      <c r="AF1272" s="171">
        <f t="shared" si="59"/>
        <v>2011</v>
      </c>
      <c r="AG1272" s="171">
        <f t="shared" si="60"/>
        <v>0</v>
      </c>
      <c r="AH1272" s="700">
        <f>SUMIF(D$3:$AA1272,"&lt;="&amp;$AH$1)/COUNTIF(D$3:$AA1272,"&lt;="&amp;$AH$1)</f>
        <v>30.265275445079062</v>
      </c>
    </row>
    <row r="1273" spans="2:34" x14ac:dyDescent="0.25">
      <c r="B1273" s="910">
        <v>40609</v>
      </c>
      <c r="C1273" s="581">
        <f t="shared" si="58"/>
        <v>3</v>
      </c>
      <c r="D1273" s="171">
        <v>49.4</v>
      </c>
      <c r="E1273" s="171">
        <v>47.58</v>
      </c>
      <c r="F1273" s="171">
        <v>45.95</v>
      </c>
      <c r="G1273" s="171">
        <v>43.93</v>
      </c>
      <c r="H1273" s="171">
        <v>43.93</v>
      </c>
      <c r="I1273" s="171">
        <v>47.14</v>
      </c>
      <c r="J1273" s="171">
        <v>63</v>
      </c>
      <c r="K1273" s="171">
        <v>65.92</v>
      </c>
      <c r="L1273" s="171">
        <v>67.040000000000006</v>
      </c>
      <c r="M1273" s="171">
        <v>65.34</v>
      </c>
      <c r="N1273" s="171">
        <v>64.540000000000006</v>
      </c>
      <c r="O1273" s="171">
        <v>64.3</v>
      </c>
      <c r="P1273" s="171">
        <v>64.19</v>
      </c>
      <c r="Q1273" s="171">
        <v>59.94</v>
      </c>
      <c r="R1273" s="171">
        <v>51.550000000000004</v>
      </c>
      <c r="S1273" s="171">
        <v>49.5</v>
      </c>
      <c r="T1273" s="171">
        <v>50.14</v>
      </c>
      <c r="U1273" s="171">
        <v>59.63</v>
      </c>
      <c r="V1273" s="171">
        <v>71.09</v>
      </c>
      <c r="W1273" s="171">
        <v>82.12</v>
      </c>
      <c r="X1273" s="171">
        <v>66.040000000000006</v>
      </c>
      <c r="Y1273" s="171">
        <v>54.93</v>
      </c>
      <c r="Z1273" s="171">
        <v>51.77</v>
      </c>
      <c r="AA1273" s="171">
        <v>45.87</v>
      </c>
      <c r="AB1273" s="171">
        <v>82.12</v>
      </c>
      <c r="AC1273" s="171">
        <v>49.5</v>
      </c>
      <c r="AD1273" s="171">
        <v>52.120000000000005</v>
      </c>
      <c r="AF1273" s="171">
        <f t="shared" si="59"/>
        <v>2011</v>
      </c>
      <c r="AG1273" s="171">
        <f t="shared" si="60"/>
        <v>0</v>
      </c>
      <c r="AH1273" s="700">
        <f>SUMIF(D$3:$AA1273,"&lt;="&amp;$AH$1)/COUNTIF(D$3:$AA1273,"&lt;="&amp;$AH$1)</f>
        <v>30.265275445079062</v>
      </c>
    </row>
    <row r="1274" spans="2:34" x14ac:dyDescent="0.25">
      <c r="B1274" s="910">
        <v>40610</v>
      </c>
      <c r="C1274" s="581">
        <f t="shared" si="58"/>
        <v>3</v>
      </c>
      <c r="D1274" s="171">
        <v>45.94</v>
      </c>
      <c r="E1274" s="171">
        <v>43.96</v>
      </c>
      <c r="F1274" s="171">
        <v>44.94</v>
      </c>
      <c r="G1274" s="171">
        <v>43.99</v>
      </c>
      <c r="H1274" s="171">
        <v>44.08</v>
      </c>
      <c r="I1274" s="171">
        <v>46.37</v>
      </c>
      <c r="J1274" s="171">
        <v>50.28</v>
      </c>
      <c r="K1274" s="171">
        <v>64.02</v>
      </c>
      <c r="L1274" s="171">
        <v>64.14</v>
      </c>
      <c r="M1274" s="171">
        <v>63.59</v>
      </c>
      <c r="N1274" s="171">
        <v>57.050000000000004</v>
      </c>
      <c r="O1274" s="171">
        <v>55.38</v>
      </c>
      <c r="P1274" s="171">
        <v>53.97</v>
      </c>
      <c r="Q1274" s="171">
        <v>53.56</v>
      </c>
      <c r="R1274" s="171">
        <v>53.08</v>
      </c>
      <c r="S1274" s="171">
        <v>50</v>
      </c>
      <c r="T1274" s="171">
        <v>49.800000000000004</v>
      </c>
      <c r="U1274" s="171">
        <v>53.74</v>
      </c>
      <c r="V1274" s="171">
        <v>64.989999999999995</v>
      </c>
      <c r="W1274" s="171">
        <v>65.900000000000006</v>
      </c>
      <c r="X1274" s="171">
        <v>59.9</v>
      </c>
      <c r="Y1274" s="171">
        <v>51.77</v>
      </c>
      <c r="Z1274" s="171">
        <v>49.15</v>
      </c>
      <c r="AA1274" s="171">
        <v>45</v>
      </c>
      <c r="AB1274" s="171">
        <v>65.900000000000006</v>
      </c>
      <c r="AC1274" s="171">
        <v>49.15</v>
      </c>
      <c r="AD1274" s="171">
        <v>49.120000000000005</v>
      </c>
      <c r="AF1274" s="171">
        <f t="shared" si="59"/>
        <v>2011</v>
      </c>
      <c r="AG1274" s="171">
        <f t="shared" si="60"/>
        <v>0</v>
      </c>
      <c r="AH1274" s="700">
        <f>SUMIF(D$3:$AA1274,"&lt;="&amp;$AH$1)/COUNTIF(D$3:$AA1274,"&lt;="&amp;$AH$1)</f>
        <v>30.265275445079062</v>
      </c>
    </row>
    <row r="1275" spans="2:34" x14ac:dyDescent="0.25">
      <c r="B1275" s="910">
        <v>40611</v>
      </c>
      <c r="C1275" s="581">
        <f t="shared" si="58"/>
        <v>3</v>
      </c>
      <c r="D1275" s="171">
        <v>47.44</v>
      </c>
      <c r="E1275" s="171">
        <v>44.93</v>
      </c>
      <c r="F1275" s="171">
        <v>43.87</v>
      </c>
      <c r="G1275" s="171">
        <v>43</v>
      </c>
      <c r="H1275" s="171">
        <v>42.62</v>
      </c>
      <c r="I1275" s="171">
        <v>46.87</v>
      </c>
      <c r="J1275" s="171">
        <v>59.51</v>
      </c>
      <c r="K1275" s="171">
        <v>63.82</v>
      </c>
      <c r="L1275" s="171">
        <v>63.09</v>
      </c>
      <c r="M1275" s="171">
        <v>63.79</v>
      </c>
      <c r="N1275" s="171">
        <v>60</v>
      </c>
      <c r="O1275" s="171">
        <v>50.5</v>
      </c>
      <c r="P1275" s="171">
        <v>50</v>
      </c>
      <c r="Q1275" s="171">
        <v>50</v>
      </c>
      <c r="R1275" s="171">
        <v>49.94</v>
      </c>
      <c r="S1275" s="171">
        <v>49.82</v>
      </c>
      <c r="T1275" s="171">
        <v>51.13</v>
      </c>
      <c r="U1275" s="171">
        <v>56.78</v>
      </c>
      <c r="V1275" s="171">
        <v>69.38</v>
      </c>
      <c r="W1275" s="171">
        <v>78</v>
      </c>
      <c r="X1275" s="171">
        <v>73.33</v>
      </c>
      <c r="Y1275" s="171">
        <v>63.050000000000004</v>
      </c>
      <c r="Z1275" s="171">
        <v>65.070000000000007</v>
      </c>
      <c r="AA1275" s="171">
        <v>56.29</v>
      </c>
      <c r="AB1275" s="171">
        <v>78</v>
      </c>
      <c r="AC1275" s="171">
        <v>49.82</v>
      </c>
      <c r="AD1275" s="171">
        <v>54.15</v>
      </c>
      <c r="AF1275" s="171">
        <f t="shared" si="59"/>
        <v>2011</v>
      </c>
      <c r="AG1275" s="171">
        <f t="shared" si="60"/>
        <v>0</v>
      </c>
      <c r="AH1275" s="700">
        <f>SUMIF(D$3:$AA1275,"&lt;="&amp;$AH$1)/COUNTIF(D$3:$AA1275,"&lt;="&amp;$AH$1)</f>
        <v>30.265275445079062</v>
      </c>
    </row>
    <row r="1276" spans="2:34" x14ac:dyDescent="0.25">
      <c r="B1276" s="910">
        <v>40612</v>
      </c>
      <c r="C1276" s="581">
        <f t="shared" si="58"/>
        <v>3</v>
      </c>
      <c r="D1276" s="171">
        <v>47.59</v>
      </c>
      <c r="E1276" s="171">
        <v>44.6</v>
      </c>
      <c r="F1276" s="171">
        <v>43.81</v>
      </c>
      <c r="G1276" s="171">
        <v>43.09</v>
      </c>
      <c r="H1276" s="171">
        <v>43.03</v>
      </c>
      <c r="I1276" s="171">
        <v>47.58</v>
      </c>
      <c r="J1276" s="171">
        <v>56.19</v>
      </c>
      <c r="K1276" s="171">
        <v>64.39</v>
      </c>
      <c r="L1276" s="171">
        <v>63.54</v>
      </c>
      <c r="M1276" s="171">
        <v>63.35</v>
      </c>
      <c r="N1276" s="171">
        <v>63.42</v>
      </c>
      <c r="O1276" s="171">
        <v>62.1</v>
      </c>
      <c r="P1276" s="171">
        <v>60.410000000000004</v>
      </c>
      <c r="Q1276" s="171">
        <v>58.64</v>
      </c>
      <c r="R1276" s="171">
        <v>51.43</v>
      </c>
      <c r="S1276" s="171">
        <v>49.230000000000004</v>
      </c>
      <c r="T1276" s="171">
        <v>47.6</v>
      </c>
      <c r="U1276" s="171">
        <v>47.63</v>
      </c>
      <c r="V1276" s="171">
        <v>57.160000000000004</v>
      </c>
      <c r="W1276" s="171">
        <v>69.16</v>
      </c>
      <c r="X1276" s="171">
        <v>63.57</v>
      </c>
      <c r="Y1276" s="171">
        <v>49.93</v>
      </c>
      <c r="Z1276" s="171">
        <v>50</v>
      </c>
      <c r="AA1276" s="171">
        <v>49.94</v>
      </c>
      <c r="AB1276" s="171">
        <v>69.16</v>
      </c>
      <c r="AC1276" s="171">
        <v>47.6</v>
      </c>
      <c r="AD1276" s="171">
        <v>50.31</v>
      </c>
      <c r="AF1276" s="171">
        <f t="shared" si="59"/>
        <v>2011</v>
      </c>
      <c r="AG1276" s="171">
        <f t="shared" si="60"/>
        <v>0</v>
      </c>
      <c r="AH1276" s="700">
        <f>SUMIF(D$3:$AA1276,"&lt;="&amp;$AH$1)/COUNTIF(D$3:$AA1276,"&lt;="&amp;$AH$1)</f>
        <v>30.265275445079062</v>
      </c>
    </row>
    <row r="1277" spans="2:34" x14ac:dyDescent="0.25">
      <c r="B1277" s="910">
        <v>40613</v>
      </c>
      <c r="C1277" s="581">
        <f t="shared" si="58"/>
        <v>3</v>
      </c>
      <c r="D1277" s="171">
        <v>45.230000000000004</v>
      </c>
      <c r="E1277" s="171">
        <v>44.94</v>
      </c>
      <c r="F1277" s="171">
        <v>44.86</v>
      </c>
      <c r="G1277" s="171">
        <v>42.11</v>
      </c>
      <c r="H1277" s="171">
        <v>43.46</v>
      </c>
      <c r="I1277" s="171">
        <v>49.38</v>
      </c>
      <c r="J1277" s="171">
        <v>58.120000000000005</v>
      </c>
      <c r="K1277" s="171">
        <v>63.04</v>
      </c>
      <c r="L1277" s="171">
        <v>64.83</v>
      </c>
      <c r="M1277" s="171">
        <v>64.3</v>
      </c>
      <c r="N1277" s="171">
        <v>64.09</v>
      </c>
      <c r="O1277" s="171">
        <v>64.14</v>
      </c>
      <c r="P1277" s="171">
        <v>63.480000000000004</v>
      </c>
      <c r="Q1277" s="171">
        <v>56.79</v>
      </c>
      <c r="R1277" s="171">
        <v>54.15</v>
      </c>
      <c r="S1277" s="171">
        <v>53.03</v>
      </c>
      <c r="T1277" s="171">
        <v>49.050000000000004</v>
      </c>
      <c r="U1277" s="171">
        <v>56.370000000000005</v>
      </c>
      <c r="V1277" s="171">
        <v>67.63</v>
      </c>
      <c r="W1277" s="171">
        <v>74.28</v>
      </c>
      <c r="X1277" s="171">
        <v>67.5</v>
      </c>
      <c r="Y1277" s="171">
        <v>60.84</v>
      </c>
      <c r="Z1277" s="171">
        <v>62.71</v>
      </c>
      <c r="AA1277" s="171">
        <v>57.57</v>
      </c>
      <c r="AB1277" s="171">
        <v>74.28</v>
      </c>
      <c r="AC1277" s="171">
        <v>49.050000000000004</v>
      </c>
      <c r="AD1277" s="171">
        <v>53.31</v>
      </c>
      <c r="AF1277" s="171">
        <f t="shared" si="59"/>
        <v>2011</v>
      </c>
      <c r="AG1277" s="171">
        <f t="shared" si="60"/>
        <v>1</v>
      </c>
      <c r="AH1277" s="700">
        <f>SUMIF(D$3:$AA1277,"&lt;="&amp;$AH$1)/COUNTIF(D$3:$AA1277,"&lt;="&amp;$AH$1)</f>
        <v>30.266270047863085</v>
      </c>
    </row>
    <row r="1278" spans="2:34" x14ac:dyDescent="0.25">
      <c r="B1278" s="910">
        <v>40616</v>
      </c>
      <c r="C1278" s="581">
        <f t="shared" si="58"/>
        <v>3</v>
      </c>
      <c r="D1278" s="171">
        <v>49.730000000000004</v>
      </c>
      <c r="E1278" s="171">
        <v>47.660000000000004</v>
      </c>
      <c r="F1278" s="171">
        <v>44.84</v>
      </c>
      <c r="G1278" s="171">
        <v>41.95</v>
      </c>
      <c r="H1278" s="171">
        <v>42.07</v>
      </c>
      <c r="I1278" s="171">
        <v>45.94</v>
      </c>
      <c r="J1278" s="171">
        <v>63.620000000000005</v>
      </c>
      <c r="K1278" s="171">
        <v>64.91</v>
      </c>
      <c r="L1278" s="171">
        <v>69.72</v>
      </c>
      <c r="M1278" s="171">
        <v>70.33</v>
      </c>
      <c r="N1278" s="171">
        <v>67.17</v>
      </c>
      <c r="O1278" s="171">
        <v>66.42</v>
      </c>
      <c r="P1278" s="171">
        <v>65.61</v>
      </c>
      <c r="Q1278" s="171">
        <v>65.150000000000006</v>
      </c>
      <c r="R1278" s="171">
        <v>63.67</v>
      </c>
      <c r="S1278" s="171">
        <v>62.910000000000004</v>
      </c>
      <c r="T1278" s="171">
        <v>61.19</v>
      </c>
      <c r="U1278" s="171">
        <v>61.99</v>
      </c>
      <c r="V1278" s="171">
        <v>67.66</v>
      </c>
      <c r="W1278" s="171">
        <v>77.08</v>
      </c>
      <c r="X1278" s="171">
        <v>63.99</v>
      </c>
      <c r="Y1278" s="171">
        <v>55.02</v>
      </c>
      <c r="Z1278" s="171">
        <v>54.31</v>
      </c>
      <c r="AA1278" s="171">
        <v>48.18</v>
      </c>
      <c r="AB1278" s="171">
        <v>77.08</v>
      </c>
      <c r="AC1278" s="171">
        <v>54.31</v>
      </c>
      <c r="AD1278" s="171">
        <v>51.85</v>
      </c>
      <c r="AF1278" s="171">
        <f t="shared" si="59"/>
        <v>2011</v>
      </c>
      <c r="AG1278" s="171">
        <f t="shared" si="60"/>
        <v>2</v>
      </c>
      <c r="AH1278" s="700">
        <f>SUMIF(D$3:$AA1278,"&lt;="&amp;$AH$1)/COUNTIF(D$3:$AA1278,"&lt;="&amp;$AH$1)</f>
        <v>30.26824196121245</v>
      </c>
    </row>
    <row r="1279" spans="2:34" x14ac:dyDescent="0.25">
      <c r="B1279" s="910">
        <v>40617</v>
      </c>
      <c r="C1279" s="581">
        <f t="shared" si="58"/>
        <v>3</v>
      </c>
      <c r="D1279" s="171">
        <v>49.02</v>
      </c>
      <c r="E1279" s="171">
        <v>46.2</v>
      </c>
      <c r="F1279" s="171">
        <v>43.95</v>
      </c>
      <c r="G1279" s="171">
        <v>42.83</v>
      </c>
      <c r="H1279" s="171">
        <v>43.9</v>
      </c>
      <c r="I1279" s="171">
        <v>46.06</v>
      </c>
      <c r="J1279" s="171">
        <v>54.480000000000004</v>
      </c>
      <c r="K1279" s="171">
        <v>64.760000000000005</v>
      </c>
      <c r="L1279" s="171">
        <v>65.989999999999995</v>
      </c>
      <c r="M1279" s="171">
        <v>64.56</v>
      </c>
      <c r="N1279" s="171">
        <v>62.54</v>
      </c>
      <c r="O1279" s="171">
        <v>61.2</v>
      </c>
      <c r="P1279" s="171">
        <v>59.96</v>
      </c>
      <c r="Q1279" s="171">
        <v>53.34</v>
      </c>
      <c r="R1279" s="171">
        <v>49.74</v>
      </c>
      <c r="S1279" s="171">
        <v>48.28</v>
      </c>
      <c r="T1279" s="171">
        <v>47.53</v>
      </c>
      <c r="U1279" s="171">
        <v>51.550000000000004</v>
      </c>
      <c r="V1279" s="171">
        <v>64.23</v>
      </c>
      <c r="W1279" s="171">
        <v>66.95</v>
      </c>
      <c r="X1279" s="171">
        <v>61.54</v>
      </c>
      <c r="Y1279" s="171">
        <v>51</v>
      </c>
      <c r="Z1279" s="171">
        <v>49.93</v>
      </c>
      <c r="AA1279" s="171">
        <v>47.86</v>
      </c>
      <c r="AB1279" s="171">
        <v>66.95</v>
      </c>
      <c r="AC1279" s="171">
        <v>47.53</v>
      </c>
      <c r="AD1279" s="171">
        <v>50.13</v>
      </c>
      <c r="AF1279" s="171">
        <f t="shared" si="59"/>
        <v>2011</v>
      </c>
      <c r="AG1279" s="171">
        <f t="shared" si="60"/>
        <v>0</v>
      </c>
      <c r="AH1279" s="700">
        <f>SUMIF(D$3:$AA1279,"&lt;="&amp;$AH$1)/COUNTIF(D$3:$AA1279,"&lt;="&amp;$AH$1)</f>
        <v>30.26824196121245</v>
      </c>
    </row>
    <row r="1280" spans="2:34" x14ac:dyDescent="0.25">
      <c r="B1280" s="910">
        <v>40618</v>
      </c>
      <c r="C1280" s="581">
        <f t="shared" si="58"/>
        <v>3</v>
      </c>
      <c r="D1280" s="171">
        <v>44.36</v>
      </c>
      <c r="E1280" s="171">
        <v>41.08</v>
      </c>
      <c r="F1280" s="171">
        <v>33.65</v>
      </c>
      <c r="G1280" s="171">
        <v>23.39</v>
      </c>
      <c r="H1280" s="171">
        <v>34.93</v>
      </c>
      <c r="I1280" s="171">
        <v>45</v>
      </c>
      <c r="J1280" s="171">
        <v>50.550000000000004</v>
      </c>
      <c r="K1280" s="171">
        <v>62.21</v>
      </c>
      <c r="L1280" s="171">
        <v>66.39</v>
      </c>
      <c r="M1280" s="171">
        <v>66.08</v>
      </c>
      <c r="N1280" s="171">
        <v>65</v>
      </c>
      <c r="O1280" s="171">
        <v>64.38</v>
      </c>
      <c r="P1280" s="171">
        <v>61.940000000000005</v>
      </c>
      <c r="Q1280" s="171">
        <v>58.870000000000005</v>
      </c>
      <c r="R1280" s="171">
        <v>54.910000000000004</v>
      </c>
      <c r="S1280" s="171">
        <v>51.81</v>
      </c>
      <c r="T1280" s="171">
        <v>51.08</v>
      </c>
      <c r="U1280" s="171">
        <v>52.57</v>
      </c>
      <c r="V1280" s="171">
        <v>63.28</v>
      </c>
      <c r="W1280" s="171">
        <v>67.09</v>
      </c>
      <c r="X1280" s="171">
        <v>63.46</v>
      </c>
      <c r="Y1280" s="171">
        <v>52.6</v>
      </c>
      <c r="Z1280" s="171">
        <v>51.69</v>
      </c>
      <c r="AA1280" s="171">
        <v>46.76</v>
      </c>
      <c r="AB1280" s="171">
        <v>67.09</v>
      </c>
      <c r="AC1280" s="171">
        <v>51.08</v>
      </c>
      <c r="AD1280" s="171">
        <v>45.81</v>
      </c>
      <c r="AF1280" s="171">
        <f t="shared" si="59"/>
        <v>2011</v>
      </c>
      <c r="AG1280" s="171">
        <f t="shared" si="60"/>
        <v>4</v>
      </c>
      <c r="AH1280" s="700">
        <f>SUMIF(D$3:$AA1280,"&lt;="&amp;$AH$1)/COUNTIF(D$3:$AA1280,"&lt;="&amp;$AH$1)</f>
        <v>30.269247167436134</v>
      </c>
    </row>
    <row r="1281" spans="2:34" x14ac:dyDescent="0.25">
      <c r="B1281" s="910">
        <v>40619</v>
      </c>
      <c r="C1281" s="581">
        <f t="shared" si="58"/>
        <v>3</v>
      </c>
      <c r="D1281" s="171">
        <v>42.94</v>
      </c>
      <c r="E1281" s="171">
        <v>38.56</v>
      </c>
      <c r="F1281" s="171">
        <v>33.33</v>
      </c>
      <c r="G1281" s="171">
        <v>29.41</v>
      </c>
      <c r="H1281" s="171">
        <v>33.410000000000004</v>
      </c>
      <c r="I1281" s="171">
        <v>43.04</v>
      </c>
      <c r="J1281" s="171">
        <v>49.93</v>
      </c>
      <c r="K1281" s="171">
        <v>57.81</v>
      </c>
      <c r="L1281" s="171">
        <v>63.620000000000005</v>
      </c>
      <c r="M1281" s="171">
        <v>68.19</v>
      </c>
      <c r="N1281" s="171">
        <v>68.290000000000006</v>
      </c>
      <c r="O1281" s="171">
        <v>68.12</v>
      </c>
      <c r="P1281" s="171">
        <v>67.5</v>
      </c>
      <c r="Q1281" s="171">
        <v>68.02</v>
      </c>
      <c r="R1281" s="171">
        <v>65.39</v>
      </c>
      <c r="S1281" s="171">
        <v>60.58</v>
      </c>
      <c r="T1281" s="171">
        <v>58.14</v>
      </c>
      <c r="U1281" s="171">
        <v>61.910000000000004</v>
      </c>
      <c r="V1281" s="171">
        <v>69.600000000000009</v>
      </c>
      <c r="W1281" s="171">
        <v>74.28</v>
      </c>
      <c r="X1281" s="171">
        <v>68.58</v>
      </c>
      <c r="Y1281" s="171">
        <v>57.550000000000004</v>
      </c>
      <c r="Z1281" s="171">
        <v>54.81</v>
      </c>
      <c r="AA1281" s="171">
        <v>49.93</v>
      </c>
      <c r="AB1281" s="171">
        <v>74.28</v>
      </c>
      <c r="AC1281" s="171">
        <v>54.81</v>
      </c>
      <c r="AD1281" s="171">
        <v>46.61</v>
      </c>
      <c r="AF1281" s="171">
        <f t="shared" si="59"/>
        <v>2011</v>
      </c>
      <c r="AG1281" s="171">
        <f t="shared" si="60"/>
        <v>4</v>
      </c>
      <c r="AH1281" s="700">
        <f>SUMIF(D$3:$AA1281,"&lt;="&amp;$AH$1)/COUNTIF(D$3:$AA1281,"&lt;="&amp;$AH$1)</f>
        <v>30.270390972397138</v>
      </c>
    </row>
    <row r="1282" spans="2:34" x14ac:dyDescent="0.25">
      <c r="B1282" s="910">
        <v>40620</v>
      </c>
      <c r="C1282" s="581">
        <f t="shared" si="58"/>
        <v>3</v>
      </c>
      <c r="D1282" s="171">
        <v>51.86</v>
      </c>
      <c r="E1282" s="171">
        <v>50.5</v>
      </c>
      <c r="F1282" s="171">
        <v>47.53</v>
      </c>
      <c r="G1282" s="171">
        <v>44.480000000000004</v>
      </c>
      <c r="H1282" s="171">
        <v>45.12</v>
      </c>
      <c r="I1282" s="171">
        <v>49.9</v>
      </c>
      <c r="J1282" s="171">
        <v>65.989999999999995</v>
      </c>
      <c r="K1282" s="171">
        <v>72.08</v>
      </c>
      <c r="L1282" s="171">
        <v>72.350000000000009</v>
      </c>
      <c r="M1282" s="171">
        <v>72.100000000000009</v>
      </c>
      <c r="N1282" s="171">
        <v>71.930000000000007</v>
      </c>
      <c r="O1282" s="171">
        <v>71.73</v>
      </c>
      <c r="P1282" s="171">
        <v>70.17</v>
      </c>
      <c r="Q1282" s="171">
        <v>68.61</v>
      </c>
      <c r="R1282" s="171">
        <v>67.89</v>
      </c>
      <c r="S1282" s="171">
        <v>57.54</v>
      </c>
      <c r="T1282" s="171">
        <v>53.86</v>
      </c>
      <c r="U1282" s="171">
        <v>57.6</v>
      </c>
      <c r="V1282" s="171">
        <v>68.02</v>
      </c>
      <c r="W1282" s="171">
        <v>70.350000000000009</v>
      </c>
      <c r="X1282" s="171">
        <v>64.099999999999994</v>
      </c>
      <c r="Y1282" s="171">
        <v>54.09</v>
      </c>
      <c r="Z1282" s="171">
        <v>55.120000000000005</v>
      </c>
      <c r="AA1282" s="171">
        <v>51.370000000000005</v>
      </c>
      <c r="AB1282" s="171">
        <v>72.350000000000009</v>
      </c>
      <c r="AC1282" s="171">
        <v>53.86</v>
      </c>
      <c r="AD1282" s="171">
        <v>54.35</v>
      </c>
      <c r="AF1282" s="171">
        <f t="shared" si="59"/>
        <v>2011</v>
      </c>
      <c r="AG1282" s="171">
        <f t="shared" si="60"/>
        <v>0</v>
      </c>
      <c r="AH1282" s="700">
        <f>SUMIF(D$3:$AA1282,"&lt;="&amp;$AH$1)/COUNTIF(D$3:$AA1282,"&lt;="&amp;$AH$1)</f>
        <v>30.270390972397138</v>
      </c>
    </row>
    <row r="1283" spans="2:34" x14ac:dyDescent="0.25">
      <c r="B1283" s="910">
        <v>40623</v>
      </c>
      <c r="C1283" s="581">
        <f t="shared" si="58"/>
        <v>3</v>
      </c>
      <c r="D1283" s="171">
        <v>49.17</v>
      </c>
      <c r="E1283" s="171">
        <v>45.54</v>
      </c>
      <c r="F1283" s="171">
        <v>41.980000000000004</v>
      </c>
      <c r="G1283" s="171">
        <v>36.68</v>
      </c>
      <c r="H1283" s="171">
        <v>39.18</v>
      </c>
      <c r="I1283" s="171">
        <v>42.97</v>
      </c>
      <c r="J1283" s="171">
        <v>53.83</v>
      </c>
      <c r="K1283" s="171">
        <v>67.38</v>
      </c>
      <c r="L1283" s="171">
        <v>68.47</v>
      </c>
      <c r="M1283" s="171">
        <v>68.3</v>
      </c>
      <c r="N1283" s="171">
        <v>65.42</v>
      </c>
      <c r="O1283" s="171">
        <v>64.930000000000007</v>
      </c>
      <c r="P1283" s="171">
        <v>59.07</v>
      </c>
      <c r="Q1283" s="171">
        <v>56.82</v>
      </c>
      <c r="R1283" s="171">
        <v>54.09</v>
      </c>
      <c r="S1283" s="171">
        <v>53.03</v>
      </c>
      <c r="T1283" s="171">
        <v>52.22</v>
      </c>
      <c r="U1283" s="171">
        <v>56.76</v>
      </c>
      <c r="V1283" s="171">
        <v>67.42</v>
      </c>
      <c r="W1283" s="171">
        <v>77.100000000000009</v>
      </c>
      <c r="X1283" s="171">
        <v>65.41</v>
      </c>
      <c r="Y1283" s="171">
        <v>56.2</v>
      </c>
      <c r="Z1283" s="171">
        <v>53.02</v>
      </c>
      <c r="AA1283" s="171">
        <v>50.07</v>
      </c>
      <c r="AB1283" s="171">
        <v>77.100000000000009</v>
      </c>
      <c r="AC1283" s="171">
        <v>52.22</v>
      </c>
      <c r="AD1283" s="171">
        <v>50.120000000000005</v>
      </c>
      <c r="AF1283" s="171">
        <f t="shared" si="59"/>
        <v>2011</v>
      </c>
      <c r="AG1283" s="171">
        <f t="shared" si="60"/>
        <v>3</v>
      </c>
      <c r="AH1283" s="700">
        <f>SUMIF(D$3:$AA1283,"&lt;="&amp;$AH$1)/COUNTIF(D$3:$AA1283,"&lt;="&amp;$AH$1)</f>
        <v>30.272658111055314</v>
      </c>
    </row>
    <row r="1284" spans="2:34" x14ac:dyDescent="0.25">
      <c r="B1284" s="910">
        <v>40624</v>
      </c>
      <c r="C1284" s="581">
        <f t="shared" ref="C1284:C1347" si="61">MONTH(B1284)</f>
        <v>3</v>
      </c>
      <c r="D1284" s="171">
        <v>47.45</v>
      </c>
      <c r="E1284" s="171">
        <v>47.160000000000004</v>
      </c>
      <c r="F1284" s="171">
        <v>44.76</v>
      </c>
      <c r="G1284" s="171">
        <v>42.96</v>
      </c>
      <c r="H1284" s="171">
        <v>44.92</v>
      </c>
      <c r="I1284" s="171">
        <v>49.94</v>
      </c>
      <c r="J1284" s="171">
        <v>57.06</v>
      </c>
      <c r="K1284" s="171">
        <v>67.489999999999995</v>
      </c>
      <c r="L1284" s="171">
        <v>68.53</v>
      </c>
      <c r="M1284" s="171">
        <v>66.89</v>
      </c>
      <c r="N1284" s="171">
        <v>62.160000000000004</v>
      </c>
      <c r="O1284" s="171">
        <v>59.96</v>
      </c>
      <c r="P1284" s="171">
        <v>56.81</v>
      </c>
      <c r="Q1284" s="171">
        <v>53.21</v>
      </c>
      <c r="R1284" s="171">
        <v>50.92</v>
      </c>
      <c r="S1284" s="171">
        <v>50.25</v>
      </c>
      <c r="T1284" s="171">
        <v>49.85</v>
      </c>
      <c r="U1284" s="171">
        <v>54.07</v>
      </c>
      <c r="V1284" s="171">
        <v>64</v>
      </c>
      <c r="W1284" s="171">
        <v>72.180000000000007</v>
      </c>
      <c r="X1284" s="171">
        <v>67.03</v>
      </c>
      <c r="Y1284" s="171">
        <v>55.04</v>
      </c>
      <c r="Z1284" s="171">
        <v>53.410000000000004</v>
      </c>
      <c r="AA1284" s="171">
        <v>50.4</v>
      </c>
      <c r="AB1284" s="171">
        <v>72.180000000000007</v>
      </c>
      <c r="AC1284" s="171">
        <v>49.85</v>
      </c>
      <c r="AD1284" s="171">
        <v>52.300000000000004</v>
      </c>
      <c r="AF1284" s="171">
        <f t="shared" ref="AF1284:AF1347" si="62">YEAR(B1284)</f>
        <v>2011</v>
      </c>
      <c r="AG1284" s="171">
        <f t="shared" ref="AG1284:AG1347" si="63">COUNTIF(D1284:AA1284,"&lt;="&amp;$AH$1)</f>
        <v>0</v>
      </c>
      <c r="AH1284" s="700">
        <f>SUMIF(D$3:$AA1284,"&lt;="&amp;$AH$1)/COUNTIF(D$3:$AA1284,"&lt;="&amp;$AH$1)</f>
        <v>30.272658111055314</v>
      </c>
    </row>
    <row r="1285" spans="2:34" x14ac:dyDescent="0.25">
      <c r="B1285" s="910">
        <v>40625</v>
      </c>
      <c r="C1285" s="581">
        <f t="shared" si="61"/>
        <v>3</v>
      </c>
      <c r="D1285" s="171">
        <v>48.730000000000004</v>
      </c>
      <c r="E1285" s="171">
        <v>47.08</v>
      </c>
      <c r="F1285" s="171">
        <v>45.050000000000004</v>
      </c>
      <c r="G1285" s="171">
        <v>44.800000000000004</v>
      </c>
      <c r="H1285" s="171">
        <v>47.18</v>
      </c>
      <c r="I1285" s="171">
        <v>48.51</v>
      </c>
      <c r="J1285" s="171">
        <v>53.28</v>
      </c>
      <c r="K1285" s="171">
        <v>66.12</v>
      </c>
      <c r="L1285" s="171">
        <v>66.88</v>
      </c>
      <c r="M1285" s="171">
        <v>66.12</v>
      </c>
      <c r="N1285" s="171">
        <v>63.31</v>
      </c>
      <c r="O1285" s="171">
        <v>62.06</v>
      </c>
      <c r="P1285" s="171">
        <v>60.59</v>
      </c>
      <c r="Q1285" s="171">
        <v>54.27</v>
      </c>
      <c r="R1285" s="171">
        <v>52.18</v>
      </c>
      <c r="S1285" s="171">
        <v>52.18</v>
      </c>
      <c r="T1285" s="171">
        <v>52.61</v>
      </c>
      <c r="U1285" s="171">
        <v>61.910000000000004</v>
      </c>
      <c r="V1285" s="171">
        <v>66.2</v>
      </c>
      <c r="W1285" s="171">
        <v>69.83</v>
      </c>
      <c r="X1285" s="171">
        <v>63.92</v>
      </c>
      <c r="Y1285" s="171">
        <v>52.34</v>
      </c>
      <c r="Z1285" s="171">
        <v>51.300000000000004</v>
      </c>
      <c r="AA1285" s="171">
        <v>48.03</v>
      </c>
      <c r="AB1285" s="171">
        <v>69.83</v>
      </c>
      <c r="AC1285" s="171">
        <v>51.300000000000004</v>
      </c>
      <c r="AD1285" s="171">
        <v>51.36</v>
      </c>
      <c r="AF1285" s="171">
        <f t="shared" si="62"/>
        <v>2011</v>
      </c>
      <c r="AG1285" s="171">
        <f t="shared" si="63"/>
        <v>0</v>
      </c>
      <c r="AH1285" s="700">
        <f>SUMIF(D$3:$AA1285,"&lt;="&amp;$AH$1)/COUNTIF(D$3:$AA1285,"&lt;="&amp;$AH$1)</f>
        <v>30.272658111055314</v>
      </c>
    </row>
    <row r="1286" spans="2:34" x14ac:dyDescent="0.25">
      <c r="B1286" s="910">
        <v>40626</v>
      </c>
      <c r="C1286" s="581">
        <f t="shared" si="61"/>
        <v>3</v>
      </c>
      <c r="D1286" s="171">
        <v>46.910000000000004</v>
      </c>
      <c r="E1286" s="171">
        <v>44.980000000000004</v>
      </c>
      <c r="F1286" s="171">
        <v>43</v>
      </c>
      <c r="G1286" s="171">
        <v>41.980000000000004</v>
      </c>
      <c r="H1286" s="171">
        <v>43.37</v>
      </c>
      <c r="I1286" s="171">
        <v>47.01</v>
      </c>
      <c r="J1286" s="171">
        <v>53.52</v>
      </c>
      <c r="K1286" s="171">
        <v>63.93</v>
      </c>
      <c r="L1286" s="171">
        <v>65.599999999999994</v>
      </c>
      <c r="M1286" s="171">
        <v>63.620000000000005</v>
      </c>
      <c r="N1286" s="171">
        <v>60.01</v>
      </c>
      <c r="O1286" s="171">
        <v>59.19</v>
      </c>
      <c r="P1286" s="171">
        <v>54.09</v>
      </c>
      <c r="Q1286" s="171">
        <v>51.85</v>
      </c>
      <c r="R1286" s="171">
        <v>50.09</v>
      </c>
      <c r="S1286" s="171">
        <v>50.01</v>
      </c>
      <c r="T1286" s="171">
        <v>49.47</v>
      </c>
      <c r="U1286" s="171">
        <v>55.44</v>
      </c>
      <c r="V1286" s="171">
        <v>65.61</v>
      </c>
      <c r="W1286" s="171">
        <v>71.97</v>
      </c>
      <c r="X1286" s="171">
        <v>65.34</v>
      </c>
      <c r="Y1286" s="171">
        <v>60.730000000000004</v>
      </c>
      <c r="Z1286" s="171">
        <v>59.92</v>
      </c>
      <c r="AA1286" s="171">
        <v>53.120000000000005</v>
      </c>
      <c r="AB1286" s="171">
        <v>71.97</v>
      </c>
      <c r="AC1286" s="171">
        <v>49.47</v>
      </c>
      <c r="AD1286" s="171">
        <v>51.980000000000004</v>
      </c>
      <c r="AF1286" s="171">
        <f t="shared" si="62"/>
        <v>2011</v>
      </c>
      <c r="AG1286" s="171">
        <f t="shared" si="63"/>
        <v>1</v>
      </c>
      <c r="AH1286" s="700">
        <f>SUMIF(D$3:$AA1286,"&lt;="&amp;$AH$1)/COUNTIF(D$3:$AA1286,"&lt;="&amp;$AH$1)</f>
        <v>30.273640023484145</v>
      </c>
    </row>
    <row r="1287" spans="2:34" x14ac:dyDescent="0.25">
      <c r="B1287" s="910">
        <v>40627</v>
      </c>
      <c r="C1287" s="581">
        <f t="shared" si="61"/>
        <v>3</v>
      </c>
      <c r="D1287" s="171">
        <v>49.18</v>
      </c>
      <c r="E1287" s="171">
        <v>49.050000000000004</v>
      </c>
      <c r="F1287" s="171">
        <v>45</v>
      </c>
      <c r="G1287" s="171">
        <v>44.28</v>
      </c>
      <c r="H1287" s="171">
        <v>45</v>
      </c>
      <c r="I1287" s="171">
        <v>49.5</v>
      </c>
      <c r="J1287" s="171">
        <v>57.7</v>
      </c>
      <c r="K1287" s="171">
        <v>65.989999999999995</v>
      </c>
      <c r="L1287" s="171">
        <v>66.710000000000008</v>
      </c>
      <c r="M1287" s="171">
        <v>65.09</v>
      </c>
      <c r="N1287" s="171">
        <v>63.08</v>
      </c>
      <c r="O1287" s="171">
        <v>59.35</v>
      </c>
      <c r="P1287" s="171">
        <v>56.19</v>
      </c>
      <c r="Q1287" s="171">
        <v>52.6</v>
      </c>
      <c r="R1287" s="171">
        <v>50.050000000000004</v>
      </c>
      <c r="S1287" s="171">
        <v>48.9</v>
      </c>
      <c r="T1287" s="171">
        <v>48.85</v>
      </c>
      <c r="U1287" s="171">
        <v>52.03</v>
      </c>
      <c r="V1287" s="171">
        <v>64.38</v>
      </c>
      <c r="W1287" s="171">
        <v>65.83</v>
      </c>
      <c r="X1287" s="171">
        <v>59.77</v>
      </c>
      <c r="Y1287" s="171">
        <v>52.18</v>
      </c>
      <c r="Z1287" s="171">
        <v>54.85</v>
      </c>
      <c r="AA1287" s="171">
        <v>53.29</v>
      </c>
      <c r="AB1287" s="171">
        <v>66.710000000000008</v>
      </c>
      <c r="AC1287" s="171">
        <v>48.85</v>
      </c>
      <c r="AD1287" s="171">
        <v>52.15</v>
      </c>
      <c r="AF1287" s="171">
        <f t="shared" si="62"/>
        <v>2011</v>
      </c>
      <c r="AG1287" s="171">
        <f t="shared" si="63"/>
        <v>0</v>
      </c>
      <c r="AH1287" s="700">
        <f>SUMIF(D$3:$AA1287,"&lt;="&amp;$AH$1)/COUNTIF(D$3:$AA1287,"&lt;="&amp;$AH$1)</f>
        <v>30.273640023484145</v>
      </c>
    </row>
    <row r="1288" spans="2:34" x14ac:dyDescent="0.25">
      <c r="B1288" s="910">
        <v>40630</v>
      </c>
      <c r="C1288" s="581">
        <f t="shared" si="61"/>
        <v>3</v>
      </c>
      <c r="D1288" s="171">
        <v>49.96</v>
      </c>
      <c r="E1288" s="171">
        <v>46.300000000000004</v>
      </c>
      <c r="F1288" s="171">
        <v>45</v>
      </c>
      <c r="G1288" s="171">
        <v>44.5</v>
      </c>
      <c r="H1288" s="171">
        <v>44.94</v>
      </c>
      <c r="I1288" s="171">
        <v>46.410000000000004</v>
      </c>
      <c r="J1288" s="171">
        <v>57</v>
      </c>
      <c r="K1288" s="171">
        <v>67</v>
      </c>
      <c r="L1288" s="171">
        <v>55</v>
      </c>
      <c r="M1288" s="171">
        <v>59.94</v>
      </c>
      <c r="N1288" s="171">
        <v>63.5</v>
      </c>
      <c r="O1288" s="171">
        <v>64.69</v>
      </c>
      <c r="P1288" s="171">
        <v>69.5</v>
      </c>
      <c r="Q1288" s="171">
        <v>250</v>
      </c>
      <c r="R1288" s="171">
        <v>192.99</v>
      </c>
      <c r="S1288" s="171">
        <v>80</v>
      </c>
      <c r="T1288" s="171">
        <v>89.93</v>
      </c>
      <c r="U1288" s="171">
        <v>66</v>
      </c>
      <c r="V1288" s="171">
        <v>65.5</v>
      </c>
      <c r="W1288" s="171">
        <v>52.44</v>
      </c>
      <c r="X1288" s="171">
        <v>64.5</v>
      </c>
      <c r="Y1288" s="171">
        <v>66.5</v>
      </c>
      <c r="Z1288" s="171">
        <v>56.5</v>
      </c>
      <c r="AA1288" s="171">
        <v>54.77</v>
      </c>
      <c r="AB1288" s="171">
        <v>250</v>
      </c>
      <c r="AC1288" s="171">
        <v>52.44</v>
      </c>
      <c r="AD1288" s="171">
        <v>53.620000000000005</v>
      </c>
      <c r="AF1288" s="171">
        <f t="shared" si="62"/>
        <v>2011</v>
      </c>
      <c r="AG1288" s="171">
        <f t="shared" si="63"/>
        <v>0</v>
      </c>
      <c r="AH1288" s="700">
        <f>SUMIF(D$3:$AA1288,"&lt;="&amp;$AH$1)/COUNTIF(D$3:$AA1288,"&lt;="&amp;$AH$1)</f>
        <v>30.273640023484145</v>
      </c>
    </row>
    <row r="1289" spans="2:34" x14ac:dyDescent="0.25">
      <c r="B1289" s="910">
        <v>40631</v>
      </c>
      <c r="C1289" s="581">
        <f t="shared" si="61"/>
        <v>3</v>
      </c>
      <c r="D1289" s="171">
        <v>47.800000000000004</v>
      </c>
      <c r="E1289" s="171">
        <v>48.42</v>
      </c>
      <c r="F1289" s="171">
        <v>45.54</v>
      </c>
      <c r="G1289" s="171">
        <v>43.44</v>
      </c>
      <c r="H1289" s="171">
        <v>46</v>
      </c>
      <c r="I1289" s="171">
        <v>48.07</v>
      </c>
      <c r="J1289" s="171">
        <v>57.64</v>
      </c>
      <c r="K1289" s="171">
        <v>65.900000000000006</v>
      </c>
      <c r="L1289" s="171">
        <v>67.92</v>
      </c>
      <c r="M1289" s="171">
        <v>66.75</v>
      </c>
      <c r="N1289" s="171">
        <v>64.960000000000008</v>
      </c>
      <c r="O1289" s="171">
        <v>64.55</v>
      </c>
      <c r="P1289" s="171">
        <v>60.120000000000005</v>
      </c>
      <c r="Q1289" s="171">
        <v>56.19</v>
      </c>
      <c r="R1289" s="171">
        <v>53.7</v>
      </c>
      <c r="S1289" s="171">
        <v>52.49</v>
      </c>
      <c r="T1289" s="171">
        <v>51.730000000000004</v>
      </c>
      <c r="U1289" s="171">
        <v>55.25</v>
      </c>
      <c r="V1289" s="171">
        <v>63.550000000000004</v>
      </c>
      <c r="W1289" s="171">
        <v>64.67</v>
      </c>
      <c r="X1289" s="171">
        <v>64.930000000000007</v>
      </c>
      <c r="Y1289" s="171">
        <v>61.95</v>
      </c>
      <c r="Z1289" s="171">
        <v>56.19</v>
      </c>
      <c r="AA1289" s="171">
        <v>52.07</v>
      </c>
      <c r="AB1289" s="171">
        <v>67.92</v>
      </c>
      <c r="AC1289" s="171">
        <v>51.730000000000004</v>
      </c>
      <c r="AD1289" s="171">
        <v>53.160000000000004</v>
      </c>
      <c r="AF1289" s="171">
        <f t="shared" si="62"/>
        <v>2011</v>
      </c>
      <c r="AG1289" s="171">
        <f t="shared" si="63"/>
        <v>0</v>
      </c>
      <c r="AH1289" s="700">
        <f>SUMIF(D$3:$AA1289,"&lt;="&amp;$AH$1)/COUNTIF(D$3:$AA1289,"&lt;="&amp;$AH$1)</f>
        <v>30.273640023484145</v>
      </c>
    </row>
    <row r="1290" spans="2:34" x14ac:dyDescent="0.25">
      <c r="B1290" s="910">
        <v>40632</v>
      </c>
      <c r="C1290" s="581">
        <f t="shared" si="61"/>
        <v>3</v>
      </c>
      <c r="D1290" s="171">
        <v>49.72</v>
      </c>
      <c r="E1290" s="171">
        <v>46.17</v>
      </c>
      <c r="F1290" s="171">
        <v>44.89</v>
      </c>
      <c r="G1290" s="171">
        <v>45.01</v>
      </c>
      <c r="H1290" s="171">
        <v>46.410000000000004</v>
      </c>
      <c r="I1290" s="171">
        <v>49.660000000000004</v>
      </c>
      <c r="J1290" s="171">
        <v>60</v>
      </c>
      <c r="K1290" s="171">
        <v>66.88</v>
      </c>
      <c r="L1290" s="171">
        <v>69.14</v>
      </c>
      <c r="M1290" s="171">
        <v>66.92</v>
      </c>
      <c r="N1290" s="171">
        <v>66.070000000000007</v>
      </c>
      <c r="O1290" s="171">
        <v>65.86</v>
      </c>
      <c r="P1290" s="171">
        <v>64.98</v>
      </c>
      <c r="Q1290" s="171">
        <v>64.44</v>
      </c>
      <c r="R1290" s="171">
        <v>62.71</v>
      </c>
      <c r="S1290" s="171">
        <v>58.97</v>
      </c>
      <c r="T1290" s="171">
        <v>53.43</v>
      </c>
      <c r="U1290" s="171">
        <v>63.99</v>
      </c>
      <c r="V1290" s="171">
        <v>64.510000000000005</v>
      </c>
      <c r="W1290" s="171">
        <v>65.06</v>
      </c>
      <c r="X1290" s="171">
        <v>64.98</v>
      </c>
      <c r="Y1290" s="171">
        <v>56.08</v>
      </c>
      <c r="Z1290" s="171">
        <v>52.53</v>
      </c>
      <c r="AA1290" s="171">
        <v>50.15</v>
      </c>
      <c r="AB1290" s="171">
        <v>69.14</v>
      </c>
      <c r="AC1290" s="171">
        <v>52.53</v>
      </c>
      <c r="AD1290" s="171">
        <v>52.71</v>
      </c>
      <c r="AF1290" s="171">
        <f t="shared" si="62"/>
        <v>2011</v>
      </c>
      <c r="AG1290" s="171">
        <f t="shared" si="63"/>
        <v>0</v>
      </c>
      <c r="AH1290" s="700">
        <f>SUMIF(D$3:$AA1290,"&lt;="&amp;$AH$1)/COUNTIF(D$3:$AA1290,"&lt;="&amp;$AH$1)</f>
        <v>30.273640023484145</v>
      </c>
    </row>
    <row r="1291" spans="2:34" x14ac:dyDescent="0.25">
      <c r="B1291" s="910">
        <v>40633</v>
      </c>
      <c r="C1291" s="581">
        <f t="shared" si="61"/>
        <v>3</v>
      </c>
      <c r="D1291" s="171">
        <v>45.910000000000004</v>
      </c>
      <c r="E1291" s="171">
        <v>44.410000000000004</v>
      </c>
      <c r="F1291" s="171">
        <v>41</v>
      </c>
      <c r="G1291" s="171">
        <v>36.44</v>
      </c>
      <c r="H1291" s="171">
        <v>39.9</v>
      </c>
      <c r="I1291" s="171">
        <v>45.82</v>
      </c>
      <c r="J1291" s="171">
        <v>55.45</v>
      </c>
      <c r="K1291" s="171">
        <v>64.59</v>
      </c>
      <c r="L1291" s="171">
        <v>65.5</v>
      </c>
      <c r="M1291" s="171">
        <v>65</v>
      </c>
      <c r="N1291" s="171">
        <v>64.099999999999994</v>
      </c>
      <c r="O1291" s="171">
        <v>63.68</v>
      </c>
      <c r="P1291" s="171">
        <v>63.18</v>
      </c>
      <c r="Q1291" s="171">
        <v>59.92</v>
      </c>
      <c r="R1291" s="171">
        <v>56.870000000000005</v>
      </c>
      <c r="S1291" s="171">
        <v>53.56</v>
      </c>
      <c r="T1291" s="171">
        <v>49.800000000000004</v>
      </c>
      <c r="U1291" s="171">
        <v>47.4</v>
      </c>
      <c r="V1291" s="171">
        <v>50</v>
      </c>
      <c r="W1291" s="171">
        <v>57.36</v>
      </c>
      <c r="X1291" s="171">
        <v>63.09</v>
      </c>
      <c r="Y1291" s="171">
        <v>53.980000000000004</v>
      </c>
      <c r="Z1291" s="171">
        <v>52.46</v>
      </c>
      <c r="AA1291" s="171">
        <v>46.67</v>
      </c>
      <c r="AB1291" s="171">
        <v>65.5</v>
      </c>
      <c r="AC1291" s="171">
        <v>47.4</v>
      </c>
      <c r="AD1291" s="171">
        <v>49.14</v>
      </c>
      <c r="AF1291" s="171">
        <f t="shared" si="62"/>
        <v>2011</v>
      </c>
      <c r="AG1291" s="171">
        <f t="shared" si="63"/>
        <v>3</v>
      </c>
      <c r="AH1291" s="700">
        <f>SUMIF(D$3:$AA1291,"&lt;="&amp;$AH$1)/COUNTIF(D$3:$AA1291,"&lt;="&amp;$AH$1)</f>
        <v>30.275863659232055</v>
      </c>
    </row>
    <row r="1292" spans="2:34" x14ac:dyDescent="0.25">
      <c r="B1292" s="910">
        <v>40634</v>
      </c>
      <c r="C1292" s="581">
        <f t="shared" si="61"/>
        <v>4</v>
      </c>
      <c r="D1292" s="171">
        <v>41.86</v>
      </c>
      <c r="E1292" s="171">
        <v>34.950000000000003</v>
      </c>
      <c r="F1292" s="171">
        <v>34.020000000000003</v>
      </c>
      <c r="G1292" s="171">
        <v>32.68</v>
      </c>
      <c r="H1292" s="171">
        <v>37.01</v>
      </c>
      <c r="I1292" s="171">
        <v>44.85</v>
      </c>
      <c r="J1292" s="171">
        <v>59.550000000000004</v>
      </c>
      <c r="K1292" s="171">
        <v>63.050000000000004</v>
      </c>
      <c r="L1292" s="171">
        <v>65.91</v>
      </c>
      <c r="M1292" s="171">
        <v>66.070000000000007</v>
      </c>
      <c r="N1292" s="171">
        <v>65.28</v>
      </c>
      <c r="O1292" s="171">
        <v>64.36</v>
      </c>
      <c r="P1292" s="171">
        <v>63.35</v>
      </c>
      <c r="Q1292" s="171">
        <v>62.38</v>
      </c>
      <c r="R1292" s="171">
        <v>58</v>
      </c>
      <c r="S1292" s="171">
        <v>53.28</v>
      </c>
      <c r="T1292" s="171">
        <v>50.47</v>
      </c>
      <c r="U1292" s="171">
        <v>54.81</v>
      </c>
      <c r="V1292" s="171">
        <v>61.61</v>
      </c>
      <c r="W1292" s="171">
        <v>62.65</v>
      </c>
      <c r="X1292" s="171">
        <v>62.9</v>
      </c>
      <c r="Y1292" s="171">
        <v>60.69</v>
      </c>
      <c r="Z1292" s="171">
        <v>57.34</v>
      </c>
      <c r="AA1292" s="171">
        <v>55.370000000000005</v>
      </c>
      <c r="AB1292" s="171">
        <v>66.070000000000007</v>
      </c>
      <c r="AC1292" s="171">
        <v>50.47</v>
      </c>
      <c r="AD1292" s="171">
        <v>48.69</v>
      </c>
      <c r="AF1292" s="171">
        <f t="shared" si="62"/>
        <v>2011</v>
      </c>
      <c r="AG1292" s="171">
        <f t="shared" si="63"/>
        <v>5</v>
      </c>
      <c r="AH1292" s="700">
        <f>SUMIF(D$3:$AA1292,"&lt;="&amp;$AH$1)/COUNTIF(D$3:$AA1292,"&lt;="&amp;$AH$1)</f>
        <v>30.278306093370336</v>
      </c>
    </row>
    <row r="1293" spans="2:34" x14ac:dyDescent="0.25">
      <c r="B1293" s="910">
        <v>40637</v>
      </c>
      <c r="C1293" s="581">
        <f t="shared" si="61"/>
        <v>4</v>
      </c>
      <c r="D1293" s="171">
        <v>49.94</v>
      </c>
      <c r="E1293" s="171">
        <v>46.730000000000004</v>
      </c>
      <c r="F1293" s="171">
        <v>40.97</v>
      </c>
      <c r="G1293" s="171">
        <v>39.71</v>
      </c>
      <c r="H1293" s="171">
        <v>37.54</v>
      </c>
      <c r="I1293" s="171">
        <v>42.980000000000004</v>
      </c>
      <c r="J1293" s="171">
        <v>57.08</v>
      </c>
      <c r="K1293" s="171">
        <v>67.13</v>
      </c>
      <c r="L1293" s="171">
        <v>74.930000000000007</v>
      </c>
      <c r="M1293" s="171">
        <v>72.650000000000006</v>
      </c>
      <c r="N1293" s="171">
        <v>71.14</v>
      </c>
      <c r="O1293" s="171">
        <v>70.180000000000007</v>
      </c>
      <c r="P1293" s="171">
        <v>67.59</v>
      </c>
      <c r="Q1293" s="171">
        <v>65.97</v>
      </c>
      <c r="R1293" s="171">
        <v>63.11</v>
      </c>
      <c r="S1293" s="171">
        <v>61.76</v>
      </c>
      <c r="T1293" s="171">
        <v>54.6</v>
      </c>
      <c r="U1293" s="171">
        <v>54.4</v>
      </c>
      <c r="V1293" s="171">
        <v>61.21</v>
      </c>
      <c r="W1293" s="171">
        <v>62.53</v>
      </c>
      <c r="X1293" s="171">
        <v>64.73</v>
      </c>
      <c r="Y1293" s="171">
        <v>62.5</v>
      </c>
      <c r="Z1293" s="171">
        <v>59.51</v>
      </c>
      <c r="AA1293" s="171">
        <v>54.94</v>
      </c>
      <c r="AB1293" s="171">
        <v>74.930000000000007</v>
      </c>
      <c r="AC1293" s="171">
        <v>54.4</v>
      </c>
      <c r="AD1293" s="171">
        <v>51.980000000000004</v>
      </c>
      <c r="AF1293" s="171">
        <f t="shared" si="62"/>
        <v>2011</v>
      </c>
      <c r="AG1293" s="171">
        <f t="shared" si="63"/>
        <v>3</v>
      </c>
      <c r="AH1293" s="700">
        <f>SUMIF(D$3:$AA1293,"&lt;="&amp;$AH$1)/COUNTIF(D$3:$AA1293,"&lt;="&amp;$AH$1)</f>
        <v>30.280600804424456</v>
      </c>
    </row>
    <row r="1294" spans="2:34" x14ac:dyDescent="0.25">
      <c r="B1294" s="910">
        <v>40638</v>
      </c>
      <c r="C1294" s="581">
        <f t="shared" si="61"/>
        <v>4</v>
      </c>
      <c r="D1294" s="171">
        <v>48.03</v>
      </c>
      <c r="E1294" s="171">
        <v>46.37</v>
      </c>
      <c r="F1294" s="171">
        <v>45.27</v>
      </c>
      <c r="G1294" s="171">
        <v>43.04</v>
      </c>
      <c r="H1294" s="171">
        <v>45.160000000000004</v>
      </c>
      <c r="I1294" s="171">
        <v>48.410000000000004</v>
      </c>
      <c r="J1294" s="171">
        <v>56.78</v>
      </c>
      <c r="K1294" s="171">
        <v>63.97</v>
      </c>
      <c r="L1294" s="171">
        <v>67.73</v>
      </c>
      <c r="M1294" s="171">
        <v>65.38</v>
      </c>
      <c r="N1294" s="171">
        <v>63.1</v>
      </c>
      <c r="O1294" s="171">
        <v>62.09</v>
      </c>
      <c r="P1294" s="171">
        <v>60.4</v>
      </c>
      <c r="Q1294" s="171">
        <v>56.18</v>
      </c>
      <c r="R1294" s="171">
        <v>53.18</v>
      </c>
      <c r="S1294" s="171">
        <v>50.42</v>
      </c>
      <c r="T1294" s="171">
        <v>49.01</v>
      </c>
      <c r="U1294" s="171">
        <v>50</v>
      </c>
      <c r="V1294" s="171">
        <v>56.04</v>
      </c>
      <c r="W1294" s="171">
        <v>61.18</v>
      </c>
      <c r="X1294" s="171">
        <v>63.38</v>
      </c>
      <c r="Y1294" s="171">
        <v>59.69</v>
      </c>
      <c r="Z1294" s="171">
        <v>58.57</v>
      </c>
      <c r="AA1294" s="171">
        <v>51.72</v>
      </c>
      <c r="AB1294" s="171">
        <v>67.73</v>
      </c>
      <c r="AC1294" s="171">
        <v>49.01</v>
      </c>
      <c r="AD1294" s="171">
        <v>52.53</v>
      </c>
      <c r="AF1294" s="171">
        <f t="shared" si="62"/>
        <v>2011</v>
      </c>
      <c r="AG1294" s="171">
        <f t="shared" si="63"/>
        <v>0</v>
      </c>
      <c r="AH1294" s="700">
        <f>SUMIF(D$3:$AA1294,"&lt;="&amp;$AH$1)/COUNTIF(D$3:$AA1294,"&lt;="&amp;$AH$1)</f>
        <v>30.280600804424456</v>
      </c>
    </row>
    <row r="1295" spans="2:34" x14ac:dyDescent="0.25">
      <c r="B1295" s="910">
        <v>40639</v>
      </c>
      <c r="C1295" s="581">
        <f t="shared" si="61"/>
        <v>4</v>
      </c>
      <c r="D1295" s="171">
        <v>48.35</v>
      </c>
      <c r="E1295" s="171">
        <v>45.39</v>
      </c>
      <c r="F1295" s="171">
        <v>44.39</v>
      </c>
      <c r="G1295" s="171">
        <v>39.19</v>
      </c>
      <c r="H1295" s="171">
        <v>42.99</v>
      </c>
      <c r="I1295" s="171">
        <v>49.33</v>
      </c>
      <c r="J1295" s="171">
        <v>59.370000000000005</v>
      </c>
      <c r="K1295" s="171">
        <v>62.42</v>
      </c>
      <c r="L1295" s="171">
        <v>66.070000000000007</v>
      </c>
      <c r="M1295" s="171">
        <v>63.5</v>
      </c>
      <c r="N1295" s="171">
        <v>62.36</v>
      </c>
      <c r="O1295" s="171">
        <v>61.39</v>
      </c>
      <c r="P1295" s="171">
        <v>60.17</v>
      </c>
      <c r="Q1295" s="171">
        <v>58.97</v>
      </c>
      <c r="R1295" s="171">
        <v>55.43</v>
      </c>
      <c r="S1295" s="171">
        <v>53.56</v>
      </c>
      <c r="T1295" s="171">
        <v>52.75</v>
      </c>
      <c r="U1295" s="171">
        <v>53.08</v>
      </c>
      <c r="V1295" s="171">
        <v>57.71</v>
      </c>
      <c r="W1295" s="171">
        <v>59.63</v>
      </c>
      <c r="X1295" s="171">
        <v>61.68</v>
      </c>
      <c r="Y1295" s="171">
        <v>61.83</v>
      </c>
      <c r="Z1295" s="171">
        <v>58.11</v>
      </c>
      <c r="AA1295" s="171">
        <v>50.18</v>
      </c>
      <c r="AB1295" s="171">
        <v>66.070000000000007</v>
      </c>
      <c r="AC1295" s="171">
        <v>52.75</v>
      </c>
      <c r="AD1295" s="171">
        <v>51.94</v>
      </c>
      <c r="AF1295" s="171">
        <f t="shared" si="62"/>
        <v>2011</v>
      </c>
      <c r="AG1295" s="171">
        <f t="shared" si="63"/>
        <v>1</v>
      </c>
      <c r="AH1295" s="700">
        <f>SUMIF(D$3:$AA1295,"&lt;="&amp;$AH$1)/COUNTIF(D$3:$AA1295,"&lt;="&amp;$AH$1)</f>
        <v>30.281347297863551</v>
      </c>
    </row>
    <row r="1296" spans="2:34" x14ac:dyDescent="0.25">
      <c r="B1296" s="910">
        <v>40640</v>
      </c>
      <c r="C1296" s="581">
        <f t="shared" si="61"/>
        <v>4</v>
      </c>
      <c r="D1296" s="171">
        <v>49.69</v>
      </c>
      <c r="E1296" s="171">
        <v>44.93</v>
      </c>
      <c r="F1296" s="171">
        <v>43.15</v>
      </c>
      <c r="G1296" s="171">
        <v>42.92</v>
      </c>
      <c r="H1296" s="171">
        <v>43.99</v>
      </c>
      <c r="I1296" s="171">
        <v>49.2</v>
      </c>
      <c r="J1296" s="171">
        <v>55.69</v>
      </c>
      <c r="K1296" s="171">
        <v>61.19</v>
      </c>
      <c r="L1296" s="171">
        <v>66.97</v>
      </c>
      <c r="M1296" s="171">
        <v>62.58</v>
      </c>
      <c r="N1296" s="171">
        <v>60.01</v>
      </c>
      <c r="O1296" s="171">
        <v>59.53</v>
      </c>
      <c r="P1296" s="171">
        <v>57.61</v>
      </c>
      <c r="Q1296" s="171">
        <v>57.46</v>
      </c>
      <c r="R1296" s="171">
        <v>57.2</v>
      </c>
      <c r="S1296" s="171">
        <v>56.57</v>
      </c>
      <c r="T1296" s="171">
        <v>56.06</v>
      </c>
      <c r="U1296" s="171">
        <v>56.88</v>
      </c>
      <c r="V1296" s="171">
        <v>61.36</v>
      </c>
      <c r="W1296" s="171">
        <v>68.070000000000007</v>
      </c>
      <c r="X1296" s="171">
        <v>68.97</v>
      </c>
      <c r="Y1296" s="171">
        <v>60</v>
      </c>
      <c r="Z1296" s="171">
        <v>53.09</v>
      </c>
      <c r="AA1296" s="171">
        <v>49.63</v>
      </c>
      <c r="AB1296" s="171">
        <v>68.97</v>
      </c>
      <c r="AC1296" s="171">
        <v>53.09</v>
      </c>
      <c r="AD1296" s="171">
        <v>51.870000000000005</v>
      </c>
      <c r="AF1296" s="171">
        <f t="shared" si="62"/>
        <v>2011</v>
      </c>
      <c r="AG1296" s="171">
        <f t="shared" si="63"/>
        <v>0</v>
      </c>
      <c r="AH1296" s="700">
        <f>SUMIF(D$3:$AA1296,"&lt;="&amp;$AH$1)/COUNTIF(D$3:$AA1296,"&lt;="&amp;$AH$1)</f>
        <v>30.281347297863551</v>
      </c>
    </row>
    <row r="1297" spans="2:34" x14ac:dyDescent="0.25">
      <c r="B1297" s="910">
        <v>40641</v>
      </c>
      <c r="C1297" s="581">
        <f t="shared" si="61"/>
        <v>4</v>
      </c>
      <c r="D1297" s="171">
        <v>46.28</v>
      </c>
      <c r="E1297" s="171">
        <v>43.24</v>
      </c>
      <c r="F1297" s="171">
        <v>40.22</v>
      </c>
      <c r="G1297" s="171">
        <v>29.91</v>
      </c>
      <c r="H1297" s="171">
        <v>39.86</v>
      </c>
      <c r="I1297" s="171">
        <v>47.52</v>
      </c>
      <c r="J1297" s="171">
        <v>56.51</v>
      </c>
      <c r="K1297" s="171">
        <v>65.960000000000008</v>
      </c>
      <c r="L1297" s="171">
        <v>68.03</v>
      </c>
      <c r="M1297" s="171">
        <v>65.97</v>
      </c>
      <c r="N1297" s="171">
        <v>60.370000000000005</v>
      </c>
      <c r="O1297" s="171">
        <v>60.160000000000004</v>
      </c>
      <c r="P1297" s="171">
        <v>57.02</v>
      </c>
      <c r="Q1297" s="171">
        <v>53.02</v>
      </c>
      <c r="R1297" s="171">
        <v>53.02</v>
      </c>
      <c r="S1297" s="171">
        <v>49</v>
      </c>
      <c r="T1297" s="171">
        <v>47.29</v>
      </c>
      <c r="U1297" s="171">
        <v>48.7</v>
      </c>
      <c r="V1297" s="171">
        <v>51.39</v>
      </c>
      <c r="W1297" s="171">
        <v>54.6</v>
      </c>
      <c r="X1297" s="171">
        <v>55.31</v>
      </c>
      <c r="Y1297" s="171">
        <v>54.02</v>
      </c>
      <c r="Z1297" s="171">
        <v>55</v>
      </c>
      <c r="AA1297" s="171">
        <v>48.21</v>
      </c>
      <c r="AB1297" s="171">
        <v>68.03</v>
      </c>
      <c r="AC1297" s="171">
        <v>47.29</v>
      </c>
      <c r="AD1297" s="171">
        <v>48.5</v>
      </c>
      <c r="AF1297" s="171">
        <f t="shared" si="62"/>
        <v>2011</v>
      </c>
      <c r="AG1297" s="171">
        <f t="shared" si="63"/>
        <v>3</v>
      </c>
      <c r="AH1297" s="700">
        <f>SUMIF(D$3:$AA1297,"&lt;="&amp;$AH$1)/COUNTIF(D$3:$AA1297,"&lt;="&amp;$AH$1)</f>
        <v>30.282951080583128</v>
      </c>
    </row>
    <row r="1298" spans="2:34" x14ac:dyDescent="0.25">
      <c r="B1298" s="910">
        <v>40644</v>
      </c>
      <c r="C1298" s="581">
        <f t="shared" si="61"/>
        <v>4</v>
      </c>
      <c r="D1298" s="171">
        <v>48.13</v>
      </c>
      <c r="E1298" s="171">
        <v>45.43</v>
      </c>
      <c r="F1298" s="171">
        <v>44.95</v>
      </c>
      <c r="G1298" s="171">
        <v>45.1</v>
      </c>
      <c r="H1298" s="171">
        <v>44.97</v>
      </c>
      <c r="I1298" s="171">
        <v>50.01</v>
      </c>
      <c r="J1298" s="171">
        <v>58.79</v>
      </c>
      <c r="K1298" s="171">
        <v>64.03</v>
      </c>
      <c r="L1298" s="171">
        <v>66.960000000000008</v>
      </c>
      <c r="M1298" s="171">
        <v>66.010000000000005</v>
      </c>
      <c r="N1298" s="171">
        <v>63.190000000000005</v>
      </c>
      <c r="O1298" s="171">
        <v>62.95</v>
      </c>
      <c r="P1298" s="171">
        <v>59.84</v>
      </c>
      <c r="Q1298" s="171">
        <v>59.26</v>
      </c>
      <c r="R1298" s="171">
        <v>58.870000000000005</v>
      </c>
      <c r="S1298" s="171">
        <v>58.15</v>
      </c>
      <c r="T1298" s="171">
        <v>57.07</v>
      </c>
      <c r="U1298" s="171">
        <v>57.1</v>
      </c>
      <c r="V1298" s="171">
        <v>58.56</v>
      </c>
      <c r="W1298" s="171">
        <v>58.95</v>
      </c>
      <c r="X1298" s="171">
        <v>60.370000000000005</v>
      </c>
      <c r="Y1298" s="171">
        <v>58.61</v>
      </c>
      <c r="Z1298" s="171">
        <v>57.26</v>
      </c>
      <c r="AA1298" s="171">
        <v>53.01</v>
      </c>
      <c r="AB1298" s="171">
        <v>66.960000000000008</v>
      </c>
      <c r="AC1298" s="171">
        <v>57.07</v>
      </c>
      <c r="AD1298" s="171">
        <v>52.56</v>
      </c>
      <c r="AF1298" s="171">
        <f t="shared" si="62"/>
        <v>2011</v>
      </c>
      <c r="AG1298" s="171">
        <f t="shared" si="63"/>
        <v>0</v>
      </c>
      <c r="AH1298" s="700">
        <f>SUMIF(D$3:$AA1298,"&lt;="&amp;$AH$1)/COUNTIF(D$3:$AA1298,"&lt;="&amp;$AH$1)</f>
        <v>30.282951080583128</v>
      </c>
    </row>
    <row r="1299" spans="2:34" x14ac:dyDescent="0.25">
      <c r="B1299" s="910">
        <v>40645</v>
      </c>
      <c r="C1299" s="581">
        <f t="shared" si="61"/>
        <v>4</v>
      </c>
      <c r="D1299" s="171">
        <v>49.7</v>
      </c>
      <c r="E1299" s="171">
        <v>46.59</v>
      </c>
      <c r="F1299" s="171">
        <v>44.44</v>
      </c>
      <c r="G1299" s="171">
        <v>42.96</v>
      </c>
      <c r="H1299" s="171">
        <v>42.14</v>
      </c>
      <c r="I1299" s="171">
        <v>45.56</v>
      </c>
      <c r="J1299" s="171">
        <v>53.120000000000005</v>
      </c>
      <c r="K1299" s="171">
        <v>58.53</v>
      </c>
      <c r="L1299" s="171">
        <v>61.550000000000004</v>
      </c>
      <c r="M1299" s="171">
        <v>59.81</v>
      </c>
      <c r="N1299" s="171">
        <v>60.9</v>
      </c>
      <c r="O1299" s="171">
        <v>59.69</v>
      </c>
      <c r="P1299" s="171">
        <v>58.46</v>
      </c>
      <c r="Q1299" s="171">
        <v>58.95</v>
      </c>
      <c r="R1299" s="171">
        <v>56.660000000000004</v>
      </c>
      <c r="S1299" s="171">
        <v>52.52</v>
      </c>
      <c r="T1299" s="171">
        <v>49.47</v>
      </c>
      <c r="U1299" s="171">
        <v>50.14</v>
      </c>
      <c r="V1299" s="171">
        <v>55.4</v>
      </c>
      <c r="W1299" s="171">
        <v>57.84</v>
      </c>
      <c r="X1299" s="171">
        <v>61.27</v>
      </c>
      <c r="Y1299" s="171">
        <v>56.67</v>
      </c>
      <c r="Z1299" s="171">
        <v>57.29</v>
      </c>
      <c r="AA1299" s="171">
        <v>54.94</v>
      </c>
      <c r="AB1299" s="171">
        <v>61.550000000000004</v>
      </c>
      <c r="AC1299" s="171">
        <v>49.47</v>
      </c>
      <c r="AD1299" s="171">
        <v>51.1</v>
      </c>
      <c r="AF1299" s="171">
        <f t="shared" si="62"/>
        <v>2011</v>
      </c>
      <c r="AG1299" s="171">
        <f t="shared" si="63"/>
        <v>1</v>
      </c>
      <c r="AH1299" s="700">
        <f>SUMIF(D$3:$AA1299,"&lt;="&amp;$AH$1)/COUNTIF(D$3:$AA1299,"&lt;="&amp;$AH$1)</f>
        <v>30.283944216433653</v>
      </c>
    </row>
    <row r="1300" spans="2:34" x14ac:dyDescent="0.25">
      <c r="B1300" s="910">
        <v>40646</v>
      </c>
      <c r="C1300" s="581">
        <f t="shared" si="61"/>
        <v>4</v>
      </c>
      <c r="D1300" s="171">
        <v>49.07</v>
      </c>
      <c r="E1300" s="171">
        <v>47.28</v>
      </c>
      <c r="F1300" s="171">
        <v>45.54</v>
      </c>
      <c r="G1300" s="171">
        <v>42.93</v>
      </c>
      <c r="H1300" s="171">
        <v>42.33</v>
      </c>
      <c r="I1300" s="171">
        <v>48.86</v>
      </c>
      <c r="J1300" s="171">
        <v>54.38</v>
      </c>
      <c r="K1300" s="171">
        <v>60.27</v>
      </c>
      <c r="L1300" s="171">
        <v>60.9</v>
      </c>
      <c r="M1300" s="171">
        <v>59.7</v>
      </c>
      <c r="N1300" s="171">
        <v>62.1</v>
      </c>
      <c r="O1300" s="171">
        <v>60.79</v>
      </c>
      <c r="P1300" s="171">
        <v>59.7</v>
      </c>
      <c r="Q1300" s="171">
        <v>60.14</v>
      </c>
      <c r="R1300" s="171">
        <v>58.77</v>
      </c>
      <c r="S1300" s="171">
        <v>58.57</v>
      </c>
      <c r="T1300" s="171">
        <v>57.620000000000005</v>
      </c>
      <c r="U1300" s="171">
        <v>57.2</v>
      </c>
      <c r="V1300" s="171">
        <v>59.92</v>
      </c>
      <c r="W1300" s="171">
        <v>64.59</v>
      </c>
      <c r="X1300" s="171">
        <v>66.98</v>
      </c>
      <c r="Y1300" s="171">
        <v>64.95</v>
      </c>
      <c r="Z1300" s="171">
        <v>60.54</v>
      </c>
      <c r="AA1300" s="171">
        <v>57.04</v>
      </c>
      <c r="AB1300" s="171">
        <v>66.98</v>
      </c>
      <c r="AC1300" s="171">
        <v>57.2</v>
      </c>
      <c r="AD1300" s="171">
        <v>53.35</v>
      </c>
      <c r="AF1300" s="171">
        <f t="shared" si="62"/>
        <v>2011</v>
      </c>
      <c r="AG1300" s="171">
        <f t="shared" si="63"/>
        <v>1</v>
      </c>
      <c r="AH1300" s="700">
        <f>SUMIF(D$3:$AA1300,"&lt;="&amp;$AH$1)/COUNTIF(D$3:$AA1300,"&lt;="&amp;$AH$1)</f>
        <v>30.284953098827589</v>
      </c>
    </row>
    <row r="1301" spans="2:34" x14ac:dyDescent="0.25">
      <c r="B1301" s="910">
        <v>40647</v>
      </c>
      <c r="C1301" s="581">
        <f t="shared" si="61"/>
        <v>4</v>
      </c>
      <c r="D1301" s="171">
        <v>51.9</v>
      </c>
      <c r="E1301" s="171">
        <v>50.67</v>
      </c>
      <c r="F1301" s="171">
        <v>49.2</v>
      </c>
      <c r="G1301" s="171">
        <v>48.46</v>
      </c>
      <c r="H1301" s="171">
        <v>49.24</v>
      </c>
      <c r="I1301" s="171">
        <v>49.32</v>
      </c>
      <c r="J1301" s="171">
        <v>57.4</v>
      </c>
      <c r="K1301" s="171">
        <v>64.010000000000005</v>
      </c>
      <c r="L1301" s="171">
        <v>73.39</v>
      </c>
      <c r="M1301" s="171">
        <v>74.040000000000006</v>
      </c>
      <c r="N1301" s="171">
        <v>70.42</v>
      </c>
      <c r="O1301" s="171">
        <v>73.600000000000009</v>
      </c>
      <c r="P1301" s="171">
        <v>70.960000000000008</v>
      </c>
      <c r="Q1301" s="171">
        <v>66.930000000000007</v>
      </c>
      <c r="R1301" s="171">
        <v>66.099999999999994</v>
      </c>
      <c r="S1301" s="171">
        <v>61.940000000000005</v>
      </c>
      <c r="T1301" s="171">
        <v>58.42</v>
      </c>
      <c r="U1301" s="171">
        <v>58.53</v>
      </c>
      <c r="V1301" s="171">
        <v>61.64</v>
      </c>
      <c r="W1301" s="171">
        <v>62</v>
      </c>
      <c r="X1301" s="171">
        <v>64</v>
      </c>
      <c r="Y1301" s="171">
        <v>60.63</v>
      </c>
      <c r="Z1301" s="171">
        <v>59.45</v>
      </c>
      <c r="AA1301" s="171">
        <v>54.410000000000004</v>
      </c>
      <c r="AB1301" s="171">
        <v>74.040000000000006</v>
      </c>
      <c r="AC1301" s="171">
        <v>58.42</v>
      </c>
      <c r="AD1301" s="171">
        <v>54.89</v>
      </c>
      <c r="AF1301" s="171">
        <f t="shared" si="62"/>
        <v>2011</v>
      </c>
      <c r="AG1301" s="171">
        <f t="shared" si="63"/>
        <v>0</v>
      </c>
      <c r="AH1301" s="700">
        <f>SUMIF(D$3:$AA1301,"&lt;="&amp;$AH$1)/COUNTIF(D$3:$AA1301,"&lt;="&amp;$AH$1)</f>
        <v>30.284953098827589</v>
      </c>
    </row>
    <row r="1302" spans="2:34" x14ac:dyDescent="0.25">
      <c r="B1302" s="910">
        <v>40648</v>
      </c>
      <c r="C1302" s="581">
        <f t="shared" si="61"/>
        <v>4</v>
      </c>
      <c r="D1302" s="171">
        <v>55.42</v>
      </c>
      <c r="E1302" s="171">
        <v>51.47</v>
      </c>
      <c r="F1302" s="171">
        <v>48.6</v>
      </c>
      <c r="G1302" s="171">
        <v>48</v>
      </c>
      <c r="H1302" s="171">
        <v>49.32</v>
      </c>
      <c r="I1302" s="171">
        <v>52.39</v>
      </c>
      <c r="J1302" s="171">
        <v>58.4</v>
      </c>
      <c r="K1302" s="171">
        <v>65.2</v>
      </c>
      <c r="L1302" s="171">
        <v>73.89</v>
      </c>
      <c r="M1302" s="171">
        <v>67.94</v>
      </c>
      <c r="N1302" s="171">
        <v>66.98</v>
      </c>
      <c r="O1302" s="171">
        <v>66.92</v>
      </c>
      <c r="P1302" s="171">
        <v>63.45</v>
      </c>
      <c r="Q1302" s="171">
        <v>59.26</v>
      </c>
      <c r="R1302" s="171">
        <v>57.02</v>
      </c>
      <c r="S1302" s="171">
        <v>55.980000000000004</v>
      </c>
      <c r="T1302" s="171">
        <v>55.370000000000005</v>
      </c>
      <c r="U1302" s="171">
        <v>55.97</v>
      </c>
      <c r="V1302" s="171">
        <v>56.76</v>
      </c>
      <c r="W1302" s="171">
        <v>58.57</v>
      </c>
      <c r="X1302" s="171">
        <v>63.92</v>
      </c>
      <c r="Y1302" s="171">
        <v>59.25</v>
      </c>
      <c r="Z1302" s="171">
        <v>58.47</v>
      </c>
      <c r="AA1302" s="171">
        <v>55.480000000000004</v>
      </c>
      <c r="AB1302" s="171">
        <v>73.89</v>
      </c>
      <c r="AC1302" s="171">
        <v>55.370000000000005</v>
      </c>
      <c r="AD1302" s="171">
        <v>55.49</v>
      </c>
      <c r="AF1302" s="171">
        <f t="shared" si="62"/>
        <v>2011</v>
      </c>
      <c r="AG1302" s="171">
        <f t="shared" si="63"/>
        <v>0</v>
      </c>
      <c r="AH1302" s="700">
        <f>SUMIF(D$3:$AA1302,"&lt;="&amp;$AH$1)/COUNTIF(D$3:$AA1302,"&lt;="&amp;$AH$1)</f>
        <v>30.284953098827589</v>
      </c>
    </row>
    <row r="1303" spans="2:34" x14ac:dyDescent="0.25">
      <c r="B1303" s="910">
        <v>40651</v>
      </c>
      <c r="C1303" s="581">
        <f t="shared" si="61"/>
        <v>4</v>
      </c>
      <c r="D1303" s="171">
        <v>49.57</v>
      </c>
      <c r="E1303" s="171">
        <v>47.82</v>
      </c>
      <c r="F1303" s="171">
        <v>45.44</v>
      </c>
      <c r="G1303" s="171">
        <v>44.800000000000004</v>
      </c>
      <c r="H1303" s="171">
        <v>45.14</v>
      </c>
      <c r="I1303" s="171">
        <v>50.14</v>
      </c>
      <c r="J1303" s="171">
        <v>61.75</v>
      </c>
      <c r="K1303" s="171">
        <v>65.510000000000005</v>
      </c>
      <c r="L1303" s="171">
        <v>69.100000000000009</v>
      </c>
      <c r="M1303" s="171">
        <v>69.510000000000005</v>
      </c>
      <c r="N1303" s="171">
        <v>67.989999999999995</v>
      </c>
      <c r="O1303" s="171">
        <v>67.960000000000008</v>
      </c>
      <c r="P1303" s="171">
        <v>65.070000000000007</v>
      </c>
      <c r="Q1303" s="171">
        <v>66.099999999999994</v>
      </c>
      <c r="R1303" s="171">
        <v>64.83</v>
      </c>
      <c r="S1303" s="171">
        <v>61.27</v>
      </c>
      <c r="T1303" s="171">
        <v>57.22</v>
      </c>
      <c r="U1303" s="171">
        <v>57.2</v>
      </c>
      <c r="V1303" s="171">
        <v>62.92</v>
      </c>
      <c r="W1303" s="171">
        <v>65.180000000000007</v>
      </c>
      <c r="X1303" s="171">
        <v>66.510000000000005</v>
      </c>
      <c r="Y1303" s="171">
        <v>64.91</v>
      </c>
      <c r="Z1303" s="171">
        <v>60</v>
      </c>
      <c r="AA1303" s="171">
        <v>52.54</v>
      </c>
      <c r="AB1303" s="171">
        <v>69.510000000000005</v>
      </c>
      <c r="AC1303" s="171">
        <v>57.2</v>
      </c>
      <c r="AD1303" s="171">
        <v>54.51</v>
      </c>
      <c r="AF1303" s="171">
        <f t="shared" si="62"/>
        <v>2011</v>
      </c>
      <c r="AG1303" s="171">
        <f t="shared" si="63"/>
        <v>0</v>
      </c>
      <c r="AH1303" s="700">
        <f>SUMIF(D$3:$AA1303,"&lt;="&amp;$AH$1)/COUNTIF(D$3:$AA1303,"&lt;="&amp;$AH$1)</f>
        <v>30.284953098827589</v>
      </c>
    </row>
    <row r="1304" spans="2:34" x14ac:dyDescent="0.25">
      <c r="B1304" s="910">
        <v>40652</v>
      </c>
      <c r="C1304" s="581">
        <f t="shared" si="61"/>
        <v>4</v>
      </c>
      <c r="D1304" s="171">
        <v>49.14</v>
      </c>
      <c r="E1304" s="171">
        <v>46.24</v>
      </c>
      <c r="F1304" s="171">
        <v>46.59</v>
      </c>
      <c r="G1304" s="171">
        <v>45.68</v>
      </c>
      <c r="H1304" s="171">
        <v>47.08</v>
      </c>
      <c r="I1304" s="171">
        <v>48.29</v>
      </c>
      <c r="J1304" s="171">
        <v>55.28</v>
      </c>
      <c r="K1304" s="171">
        <v>63.36</v>
      </c>
      <c r="L1304" s="171">
        <v>68.92</v>
      </c>
      <c r="M1304" s="171">
        <v>64.930000000000007</v>
      </c>
      <c r="N1304" s="171">
        <v>61.06</v>
      </c>
      <c r="O1304" s="171">
        <v>61.26</v>
      </c>
      <c r="P1304" s="171">
        <v>59.75</v>
      </c>
      <c r="Q1304" s="171">
        <v>57.84</v>
      </c>
      <c r="R1304" s="171">
        <v>57.42</v>
      </c>
      <c r="S1304" s="171">
        <v>57.06</v>
      </c>
      <c r="T1304" s="171">
        <v>56.53</v>
      </c>
      <c r="U1304" s="171">
        <v>57.09</v>
      </c>
      <c r="V1304" s="171">
        <v>58.25</v>
      </c>
      <c r="W1304" s="171">
        <v>62.11</v>
      </c>
      <c r="X1304" s="171">
        <v>63.940000000000005</v>
      </c>
      <c r="Y1304" s="171">
        <v>58.2</v>
      </c>
      <c r="Z1304" s="171">
        <v>56.53</v>
      </c>
      <c r="AA1304" s="171">
        <v>52.43</v>
      </c>
      <c r="AB1304" s="171">
        <v>68.92</v>
      </c>
      <c r="AC1304" s="171">
        <v>56.53</v>
      </c>
      <c r="AD1304" s="171">
        <v>52.730000000000004</v>
      </c>
      <c r="AF1304" s="171">
        <f t="shared" si="62"/>
        <v>2011</v>
      </c>
      <c r="AG1304" s="171">
        <f t="shared" si="63"/>
        <v>0</v>
      </c>
      <c r="AH1304" s="700">
        <f>SUMIF(D$3:$AA1304,"&lt;="&amp;$AH$1)/COUNTIF(D$3:$AA1304,"&lt;="&amp;$AH$1)</f>
        <v>30.284953098827589</v>
      </c>
    </row>
    <row r="1305" spans="2:34" x14ac:dyDescent="0.25">
      <c r="B1305" s="910">
        <v>40653</v>
      </c>
      <c r="C1305" s="581">
        <f t="shared" si="61"/>
        <v>4</v>
      </c>
      <c r="D1305" s="171">
        <v>49.1</v>
      </c>
      <c r="E1305" s="171">
        <v>47.79</v>
      </c>
      <c r="F1305" s="171">
        <v>44.02</v>
      </c>
      <c r="G1305" s="171">
        <v>43.34</v>
      </c>
      <c r="H1305" s="171">
        <v>47.08</v>
      </c>
      <c r="I1305" s="171">
        <v>49.93</v>
      </c>
      <c r="J1305" s="171">
        <v>57.83</v>
      </c>
      <c r="K1305" s="171">
        <v>63.43</v>
      </c>
      <c r="L1305" s="171">
        <v>65.92</v>
      </c>
      <c r="M1305" s="171">
        <v>64.27</v>
      </c>
      <c r="N1305" s="171">
        <v>63.92</v>
      </c>
      <c r="O1305" s="171">
        <v>65.25</v>
      </c>
      <c r="P1305" s="171">
        <v>64.010000000000005</v>
      </c>
      <c r="Q1305" s="171">
        <v>63.9</v>
      </c>
      <c r="R1305" s="171">
        <v>61.46</v>
      </c>
      <c r="S1305" s="171">
        <v>58.88</v>
      </c>
      <c r="T1305" s="171">
        <v>54.99</v>
      </c>
      <c r="U1305" s="171">
        <v>55.21</v>
      </c>
      <c r="V1305" s="171">
        <v>61.2</v>
      </c>
      <c r="W1305" s="171">
        <v>61.910000000000004</v>
      </c>
      <c r="X1305" s="171">
        <v>63.9</v>
      </c>
      <c r="Y1305" s="171">
        <v>60.28</v>
      </c>
      <c r="Z1305" s="171">
        <v>56.21</v>
      </c>
      <c r="AA1305" s="171">
        <v>51.35</v>
      </c>
      <c r="AB1305" s="171">
        <v>65.92</v>
      </c>
      <c r="AC1305" s="171">
        <v>54.99</v>
      </c>
      <c r="AD1305" s="171">
        <v>52.85</v>
      </c>
      <c r="AF1305" s="171">
        <f t="shared" si="62"/>
        <v>2011</v>
      </c>
      <c r="AG1305" s="171">
        <f t="shared" si="63"/>
        <v>0</v>
      </c>
      <c r="AH1305" s="700">
        <f>SUMIF(D$3:$AA1305,"&lt;="&amp;$AH$1)/COUNTIF(D$3:$AA1305,"&lt;="&amp;$AH$1)</f>
        <v>30.284953098827589</v>
      </c>
    </row>
    <row r="1306" spans="2:34" x14ac:dyDescent="0.25">
      <c r="B1306" s="910">
        <v>40654</v>
      </c>
      <c r="C1306" s="581">
        <f t="shared" si="61"/>
        <v>4</v>
      </c>
      <c r="D1306" s="171">
        <v>47.54</v>
      </c>
      <c r="E1306" s="171">
        <v>45.58</v>
      </c>
      <c r="F1306" s="171">
        <v>43.89</v>
      </c>
      <c r="G1306" s="171">
        <v>44.96</v>
      </c>
      <c r="H1306" s="171">
        <v>46.230000000000004</v>
      </c>
      <c r="I1306" s="171">
        <v>49.83</v>
      </c>
      <c r="J1306" s="171">
        <v>54.25</v>
      </c>
      <c r="K1306" s="171">
        <v>61.5</v>
      </c>
      <c r="L1306" s="171">
        <v>64.570000000000007</v>
      </c>
      <c r="M1306" s="171">
        <v>62.99</v>
      </c>
      <c r="N1306" s="171">
        <v>63.27</v>
      </c>
      <c r="O1306" s="171">
        <v>64.599999999999994</v>
      </c>
      <c r="P1306" s="171">
        <v>62.92</v>
      </c>
      <c r="Q1306" s="171">
        <v>59.17</v>
      </c>
      <c r="R1306" s="171">
        <v>61.19</v>
      </c>
      <c r="S1306" s="171">
        <v>57.69</v>
      </c>
      <c r="T1306" s="171">
        <v>55.13</v>
      </c>
      <c r="U1306" s="171">
        <v>56.71</v>
      </c>
      <c r="V1306" s="171">
        <v>60</v>
      </c>
      <c r="W1306" s="171">
        <v>61.92</v>
      </c>
      <c r="X1306" s="171">
        <v>65.150000000000006</v>
      </c>
      <c r="Y1306" s="171">
        <v>62.230000000000004</v>
      </c>
      <c r="Z1306" s="171">
        <v>60.72</v>
      </c>
      <c r="AA1306" s="171">
        <v>52.870000000000005</v>
      </c>
      <c r="AB1306" s="171">
        <v>65.150000000000006</v>
      </c>
      <c r="AC1306" s="171">
        <v>55.13</v>
      </c>
      <c r="AD1306" s="171">
        <v>52.9</v>
      </c>
      <c r="AF1306" s="171">
        <f t="shared" si="62"/>
        <v>2011</v>
      </c>
      <c r="AG1306" s="171">
        <f t="shared" si="63"/>
        <v>0</v>
      </c>
      <c r="AH1306" s="700">
        <f>SUMIF(D$3:$AA1306,"&lt;="&amp;$AH$1)/COUNTIF(D$3:$AA1306,"&lt;="&amp;$AH$1)</f>
        <v>30.284953098827589</v>
      </c>
    </row>
    <row r="1307" spans="2:34" x14ac:dyDescent="0.25">
      <c r="B1307" s="910">
        <v>40655</v>
      </c>
      <c r="C1307" s="581">
        <f t="shared" si="61"/>
        <v>4</v>
      </c>
      <c r="D1307" s="171">
        <v>49.660000000000004</v>
      </c>
      <c r="E1307" s="171">
        <v>45.480000000000004</v>
      </c>
      <c r="F1307" s="171">
        <v>42.99</v>
      </c>
      <c r="G1307" s="171">
        <v>42.7</v>
      </c>
      <c r="H1307" s="171">
        <v>43.21</v>
      </c>
      <c r="I1307" s="171">
        <v>46.230000000000004</v>
      </c>
      <c r="J1307" s="171">
        <v>50.6</v>
      </c>
      <c r="K1307" s="171">
        <v>49.620000000000005</v>
      </c>
      <c r="L1307" s="171">
        <v>52.49</v>
      </c>
      <c r="M1307" s="171">
        <v>56.19</v>
      </c>
      <c r="N1307" s="171">
        <v>59.29</v>
      </c>
      <c r="O1307" s="171">
        <v>63.99</v>
      </c>
      <c r="P1307" s="171">
        <v>63.76</v>
      </c>
      <c r="Q1307" s="171">
        <v>57.43</v>
      </c>
      <c r="R1307" s="171">
        <v>53.39</v>
      </c>
      <c r="S1307" s="171">
        <v>50.02</v>
      </c>
      <c r="T1307" s="171">
        <v>48</v>
      </c>
      <c r="U1307" s="171">
        <v>49.89</v>
      </c>
      <c r="V1307" s="171">
        <v>56.19</v>
      </c>
      <c r="W1307" s="171">
        <v>57.43</v>
      </c>
      <c r="X1307" s="171">
        <v>61.910000000000004</v>
      </c>
      <c r="Y1307" s="171">
        <v>61.96</v>
      </c>
      <c r="Z1307" s="171">
        <v>61.27</v>
      </c>
      <c r="AA1307" s="171">
        <v>52.29</v>
      </c>
      <c r="AB1307" s="171">
        <v>63.99</v>
      </c>
      <c r="AC1307" s="171">
        <v>48</v>
      </c>
      <c r="AD1307" s="171">
        <v>50.660000000000004</v>
      </c>
      <c r="AF1307" s="171">
        <f t="shared" si="62"/>
        <v>2011</v>
      </c>
      <c r="AG1307" s="171">
        <f t="shared" si="63"/>
        <v>0</v>
      </c>
      <c r="AH1307" s="700">
        <f>SUMIF(D$3:$AA1307,"&lt;="&amp;$AH$1)/COUNTIF(D$3:$AA1307,"&lt;="&amp;$AH$1)</f>
        <v>30.284953098827589</v>
      </c>
    </row>
    <row r="1308" spans="2:34" x14ac:dyDescent="0.25">
      <c r="B1308" s="910">
        <v>40658</v>
      </c>
      <c r="C1308" s="581">
        <f t="shared" si="61"/>
        <v>4</v>
      </c>
      <c r="D1308" s="171">
        <v>44.99</v>
      </c>
      <c r="E1308" s="171">
        <v>40.32</v>
      </c>
      <c r="F1308" s="171">
        <v>35.96</v>
      </c>
      <c r="G1308" s="171">
        <v>36.17</v>
      </c>
      <c r="H1308" s="171">
        <v>36.07</v>
      </c>
      <c r="I1308" s="171">
        <v>36.07</v>
      </c>
      <c r="J1308" s="171">
        <v>35.96</v>
      </c>
      <c r="K1308" s="171">
        <v>35.85</v>
      </c>
      <c r="L1308" s="171">
        <v>38.24</v>
      </c>
      <c r="M1308" s="171">
        <v>40.89</v>
      </c>
      <c r="N1308" s="171">
        <v>42.39</v>
      </c>
      <c r="O1308" s="171">
        <v>46.84</v>
      </c>
      <c r="P1308" s="171">
        <v>47</v>
      </c>
      <c r="Q1308" s="171">
        <v>46.25</v>
      </c>
      <c r="R1308" s="171">
        <v>44.75</v>
      </c>
      <c r="S1308" s="171">
        <v>40.68</v>
      </c>
      <c r="T1308" s="171">
        <v>40.42</v>
      </c>
      <c r="U1308" s="171">
        <v>43.95</v>
      </c>
      <c r="V1308" s="171">
        <v>47</v>
      </c>
      <c r="W1308" s="171">
        <v>46.74</v>
      </c>
      <c r="X1308" s="171">
        <v>54.230000000000004</v>
      </c>
      <c r="Y1308" s="171">
        <v>63.52</v>
      </c>
      <c r="Z1308" s="171">
        <v>54.01</v>
      </c>
      <c r="AA1308" s="171">
        <v>45</v>
      </c>
      <c r="AB1308" s="171">
        <v>63.52</v>
      </c>
      <c r="AC1308" s="171">
        <v>35.85</v>
      </c>
      <c r="AD1308" s="171">
        <v>43.18</v>
      </c>
      <c r="AF1308" s="171">
        <f t="shared" si="62"/>
        <v>2011</v>
      </c>
      <c r="AG1308" s="171">
        <f t="shared" si="63"/>
        <v>12</v>
      </c>
      <c r="AH1308" s="700">
        <f>SUMIF(D$3:$AA1308,"&lt;="&amp;$AH$1)/COUNTIF(D$3:$AA1308,"&lt;="&amp;$AH$1)</f>
        <v>30.292951807229038</v>
      </c>
    </row>
    <row r="1309" spans="2:34" x14ac:dyDescent="0.25">
      <c r="B1309" s="910">
        <v>40659</v>
      </c>
      <c r="C1309" s="581">
        <f t="shared" si="61"/>
        <v>4</v>
      </c>
      <c r="D1309" s="171">
        <v>44.99</v>
      </c>
      <c r="E1309" s="171">
        <v>40.32</v>
      </c>
      <c r="F1309" s="171">
        <v>35.96</v>
      </c>
      <c r="G1309" s="171">
        <v>36.17</v>
      </c>
      <c r="H1309" s="171">
        <v>36.07</v>
      </c>
      <c r="I1309" s="171">
        <v>36.07</v>
      </c>
      <c r="J1309" s="171">
        <v>35.96</v>
      </c>
      <c r="K1309" s="171">
        <v>35.85</v>
      </c>
      <c r="L1309" s="171">
        <v>38.24</v>
      </c>
      <c r="M1309" s="171">
        <v>40.89</v>
      </c>
      <c r="N1309" s="171">
        <v>42.39</v>
      </c>
      <c r="O1309" s="171">
        <v>46.84</v>
      </c>
      <c r="P1309" s="171">
        <v>47</v>
      </c>
      <c r="Q1309" s="171">
        <v>46.25</v>
      </c>
      <c r="R1309" s="171">
        <v>44.75</v>
      </c>
      <c r="S1309" s="171">
        <v>40.68</v>
      </c>
      <c r="T1309" s="171">
        <v>40.42</v>
      </c>
      <c r="U1309" s="171">
        <v>43.95</v>
      </c>
      <c r="V1309" s="171">
        <v>47</v>
      </c>
      <c r="W1309" s="171">
        <v>46.74</v>
      </c>
      <c r="X1309" s="171">
        <v>54.230000000000004</v>
      </c>
      <c r="Y1309" s="171">
        <v>63.52</v>
      </c>
      <c r="Z1309" s="171">
        <v>54.01</v>
      </c>
      <c r="AA1309" s="171">
        <v>45</v>
      </c>
      <c r="AB1309" s="171">
        <v>63.52</v>
      </c>
      <c r="AC1309" s="171">
        <v>35.85</v>
      </c>
      <c r="AD1309" s="171">
        <v>43.18</v>
      </c>
      <c r="AF1309" s="171">
        <f t="shared" si="62"/>
        <v>2011</v>
      </c>
      <c r="AG1309" s="171">
        <f t="shared" si="63"/>
        <v>12</v>
      </c>
      <c r="AH1309" s="700">
        <f>SUMIF(D$3:$AA1309,"&lt;="&amp;$AH$1)/COUNTIF(D$3:$AA1309,"&lt;="&amp;$AH$1)</f>
        <v>30.300934470077021</v>
      </c>
    </row>
    <row r="1310" spans="2:34" x14ac:dyDescent="0.25">
      <c r="B1310" s="910">
        <v>40660</v>
      </c>
      <c r="C1310" s="581">
        <f t="shared" si="61"/>
        <v>4</v>
      </c>
      <c r="D1310" s="171">
        <v>45.14</v>
      </c>
      <c r="E1310" s="171">
        <v>43.7</v>
      </c>
      <c r="F1310" s="171">
        <v>42.44</v>
      </c>
      <c r="G1310" s="171">
        <v>43.03</v>
      </c>
      <c r="H1310" s="171">
        <v>44.04</v>
      </c>
      <c r="I1310" s="171">
        <v>44.730000000000004</v>
      </c>
      <c r="J1310" s="171">
        <v>51.45</v>
      </c>
      <c r="K1310" s="171">
        <v>58.92</v>
      </c>
      <c r="L1310" s="171">
        <v>65.55</v>
      </c>
      <c r="M1310" s="171">
        <v>64.03</v>
      </c>
      <c r="N1310" s="171">
        <v>64.150000000000006</v>
      </c>
      <c r="O1310" s="171">
        <v>64.930000000000007</v>
      </c>
      <c r="P1310" s="171">
        <v>63.13</v>
      </c>
      <c r="Q1310" s="171">
        <v>63.5</v>
      </c>
      <c r="R1310" s="171">
        <v>61.43</v>
      </c>
      <c r="S1310" s="171">
        <v>58.910000000000004</v>
      </c>
      <c r="T1310" s="171">
        <v>55.65</v>
      </c>
      <c r="U1310" s="171">
        <v>56.15</v>
      </c>
      <c r="V1310" s="171">
        <v>57.77</v>
      </c>
      <c r="W1310" s="171">
        <v>58.72</v>
      </c>
      <c r="X1310" s="171">
        <v>60.160000000000004</v>
      </c>
      <c r="Y1310" s="171">
        <v>59.04</v>
      </c>
      <c r="Z1310" s="171">
        <v>56.18</v>
      </c>
      <c r="AA1310" s="171">
        <v>51.03</v>
      </c>
      <c r="AB1310" s="171">
        <v>65.55</v>
      </c>
      <c r="AC1310" s="171">
        <v>55.65</v>
      </c>
      <c r="AD1310" s="171">
        <v>49.99</v>
      </c>
      <c r="AF1310" s="171">
        <f t="shared" si="62"/>
        <v>2011</v>
      </c>
      <c r="AG1310" s="171">
        <f t="shared" si="63"/>
        <v>1</v>
      </c>
      <c r="AH1310" s="700">
        <f>SUMIF(D$3:$AA1310,"&lt;="&amp;$AH$1)/COUNTIF(D$3:$AA1310,"&lt;="&amp;$AH$1)</f>
        <v>30.3019490179692</v>
      </c>
    </row>
    <row r="1311" spans="2:34" x14ac:dyDescent="0.25">
      <c r="B1311" s="910">
        <v>40661</v>
      </c>
      <c r="C1311" s="581">
        <f t="shared" si="61"/>
        <v>4</v>
      </c>
      <c r="D1311" s="171">
        <v>48.01</v>
      </c>
      <c r="E1311" s="171">
        <v>44</v>
      </c>
      <c r="F1311" s="171">
        <v>41.730000000000004</v>
      </c>
      <c r="G1311" s="171">
        <v>41.92</v>
      </c>
      <c r="H1311" s="171">
        <v>45</v>
      </c>
      <c r="I1311" s="171">
        <v>46.49</v>
      </c>
      <c r="J1311" s="171">
        <v>51.54</v>
      </c>
      <c r="K1311" s="171">
        <v>59.120000000000005</v>
      </c>
      <c r="L1311" s="171">
        <v>64.98</v>
      </c>
      <c r="M1311" s="171">
        <v>66.19</v>
      </c>
      <c r="N1311" s="171">
        <v>66.09</v>
      </c>
      <c r="O1311" s="171">
        <v>67.92</v>
      </c>
      <c r="P1311" s="171">
        <v>67</v>
      </c>
      <c r="Q1311" s="171">
        <v>62.18</v>
      </c>
      <c r="R1311" s="171">
        <v>58</v>
      </c>
      <c r="S1311" s="171">
        <v>57.31</v>
      </c>
      <c r="T1311" s="171">
        <v>54.64</v>
      </c>
      <c r="U1311" s="171">
        <v>55.01</v>
      </c>
      <c r="V1311" s="171">
        <v>56.480000000000004</v>
      </c>
      <c r="W1311" s="171">
        <v>56.47</v>
      </c>
      <c r="X1311" s="171">
        <v>56.93</v>
      </c>
      <c r="Y1311" s="171">
        <v>56.410000000000004</v>
      </c>
      <c r="Z1311" s="171">
        <v>54.160000000000004</v>
      </c>
      <c r="AA1311" s="171">
        <v>49.93</v>
      </c>
      <c r="AB1311" s="171">
        <v>67.92</v>
      </c>
      <c r="AC1311" s="171">
        <v>54.160000000000004</v>
      </c>
      <c r="AD1311" s="171">
        <v>49.6</v>
      </c>
      <c r="AF1311" s="171">
        <f t="shared" si="62"/>
        <v>2011</v>
      </c>
      <c r="AG1311" s="171">
        <f t="shared" si="63"/>
        <v>2</v>
      </c>
      <c r="AH1311" s="700">
        <f>SUMIF(D$3:$AA1311,"&lt;="&amp;$AH$1)/COUNTIF(D$3:$AA1311,"&lt;="&amp;$AH$1)</f>
        <v>30.303874822428465</v>
      </c>
    </row>
    <row r="1312" spans="2:34" x14ac:dyDescent="0.25">
      <c r="B1312" s="910">
        <v>40662</v>
      </c>
      <c r="C1312" s="581">
        <f t="shared" si="61"/>
        <v>4</v>
      </c>
      <c r="D1312" s="171">
        <v>47.9</v>
      </c>
      <c r="E1312" s="171">
        <v>44.29</v>
      </c>
      <c r="F1312" s="171">
        <v>42.35</v>
      </c>
      <c r="G1312" s="171">
        <v>41.2</v>
      </c>
      <c r="H1312" s="171">
        <v>43</v>
      </c>
      <c r="I1312" s="171">
        <v>48.120000000000005</v>
      </c>
      <c r="J1312" s="171">
        <v>52.660000000000004</v>
      </c>
      <c r="K1312" s="171">
        <v>57.46</v>
      </c>
      <c r="L1312" s="171">
        <v>61.72</v>
      </c>
      <c r="M1312" s="171">
        <v>64.930000000000007</v>
      </c>
      <c r="N1312" s="171">
        <v>65</v>
      </c>
      <c r="O1312" s="171">
        <v>63.83</v>
      </c>
      <c r="P1312" s="171">
        <v>60.01</v>
      </c>
      <c r="Q1312" s="171">
        <v>53.7</v>
      </c>
      <c r="R1312" s="171">
        <v>52.81</v>
      </c>
      <c r="S1312" s="171">
        <v>50.83</v>
      </c>
      <c r="T1312" s="171">
        <v>49.94</v>
      </c>
      <c r="U1312" s="171">
        <v>50.6</v>
      </c>
      <c r="V1312" s="171">
        <v>51.83</v>
      </c>
      <c r="W1312" s="171">
        <v>52.22</v>
      </c>
      <c r="X1312" s="171">
        <v>55.52</v>
      </c>
      <c r="Y1312" s="171">
        <v>52.84</v>
      </c>
      <c r="Z1312" s="171">
        <v>52.25</v>
      </c>
      <c r="AA1312" s="171">
        <v>48.21</v>
      </c>
      <c r="AB1312" s="171">
        <v>65</v>
      </c>
      <c r="AC1312" s="171">
        <v>49.94</v>
      </c>
      <c r="AD1312" s="171">
        <v>48.82</v>
      </c>
      <c r="AF1312" s="171">
        <f t="shared" si="62"/>
        <v>2011</v>
      </c>
      <c r="AG1312" s="171">
        <f t="shared" si="63"/>
        <v>2</v>
      </c>
      <c r="AH1312" s="700">
        <f>SUMIF(D$3:$AA1312,"&lt;="&amp;$AH$1)/COUNTIF(D$3:$AA1312,"&lt;="&amp;$AH$1)</f>
        <v>30.305791628373417</v>
      </c>
    </row>
    <row r="1313" spans="2:34" x14ac:dyDescent="0.25">
      <c r="B1313" s="910">
        <v>40665</v>
      </c>
      <c r="C1313" s="581">
        <f t="shared" si="61"/>
        <v>5</v>
      </c>
      <c r="D1313" s="171">
        <v>46</v>
      </c>
      <c r="E1313" s="171">
        <v>43</v>
      </c>
      <c r="F1313" s="171">
        <v>42.08</v>
      </c>
      <c r="G1313" s="171">
        <v>35.9</v>
      </c>
      <c r="H1313" s="171">
        <v>36.61</v>
      </c>
      <c r="I1313" s="171">
        <v>48.09</v>
      </c>
      <c r="J1313" s="171">
        <v>52.21</v>
      </c>
      <c r="K1313" s="171">
        <v>57.730000000000004</v>
      </c>
      <c r="L1313" s="171">
        <v>63.11</v>
      </c>
      <c r="M1313" s="171">
        <v>61.2</v>
      </c>
      <c r="N1313" s="171">
        <v>59.980000000000004</v>
      </c>
      <c r="O1313" s="171">
        <v>60</v>
      </c>
      <c r="P1313" s="171">
        <v>58.99</v>
      </c>
      <c r="Q1313" s="171">
        <v>60</v>
      </c>
      <c r="R1313" s="171">
        <v>57.67</v>
      </c>
      <c r="S1313" s="171">
        <v>56.95</v>
      </c>
      <c r="T1313" s="171">
        <v>55.64</v>
      </c>
      <c r="U1313" s="171">
        <v>56.120000000000005</v>
      </c>
      <c r="V1313" s="171">
        <v>59.94</v>
      </c>
      <c r="W1313" s="171">
        <v>58.96</v>
      </c>
      <c r="X1313" s="171">
        <v>59.51</v>
      </c>
      <c r="Y1313" s="171">
        <v>58.72</v>
      </c>
      <c r="Z1313" s="171">
        <v>56.74</v>
      </c>
      <c r="AA1313" s="171">
        <v>51.36</v>
      </c>
      <c r="AB1313" s="171">
        <v>63.11</v>
      </c>
      <c r="AC1313" s="171">
        <v>55.64</v>
      </c>
      <c r="AD1313" s="171">
        <v>49</v>
      </c>
      <c r="AF1313" s="171">
        <f t="shared" si="62"/>
        <v>2011</v>
      </c>
      <c r="AG1313" s="171">
        <f t="shared" si="63"/>
        <v>3</v>
      </c>
      <c r="AH1313" s="700">
        <f>SUMIF(D$3:$AA1313,"&lt;="&amp;$AH$1)/COUNTIF(D$3:$AA1313,"&lt;="&amp;$AH$1)</f>
        <v>30.307768960908909</v>
      </c>
    </row>
    <row r="1314" spans="2:34" x14ac:dyDescent="0.25">
      <c r="B1314" s="910">
        <v>40666</v>
      </c>
      <c r="C1314" s="581">
        <f t="shared" si="61"/>
        <v>5</v>
      </c>
      <c r="D1314" s="171">
        <v>48.75</v>
      </c>
      <c r="E1314" s="171">
        <v>46</v>
      </c>
      <c r="F1314" s="171">
        <v>44.53</v>
      </c>
      <c r="G1314" s="171">
        <v>45.95</v>
      </c>
      <c r="H1314" s="171">
        <v>46.54</v>
      </c>
      <c r="I1314" s="171">
        <v>48.09</v>
      </c>
      <c r="J1314" s="171">
        <v>53.92</v>
      </c>
      <c r="K1314" s="171">
        <v>67.989999999999995</v>
      </c>
      <c r="L1314" s="171">
        <v>70</v>
      </c>
      <c r="M1314" s="171">
        <v>68.3</v>
      </c>
      <c r="N1314" s="171">
        <v>68.59</v>
      </c>
      <c r="O1314" s="171">
        <v>71.510000000000005</v>
      </c>
      <c r="P1314" s="171">
        <v>71.489999999999995</v>
      </c>
      <c r="Q1314" s="171">
        <v>69.960000000000008</v>
      </c>
      <c r="R1314" s="171">
        <v>68</v>
      </c>
      <c r="S1314" s="171">
        <v>64.650000000000006</v>
      </c>
      <c r="T1314" s="171">
        <v>58.99</v>
      </c>
      <c r="U1314" s="171">
        <v>59.300000000000004</v>
      </c>
      <c r="V1314" s="171">
        <v>67.52</v>
      </c>
      <c r="W1314" s="171">
        <v>69.260000000000005</v>
      </c>
      <c r="X1314" s="171">
        <v>69.960000000000008</v>
      </c>
      <c r="Y1314" s="171">
        <v>67.94</v>
      </c>
      <c r="Z1314" s="171">
        <v>61.2</v>
      </c>
      <c r="AA1314" s="171">
        <v>56.14</v>
      </c>
      <c r="AB1314" s="171">
        <v>71.510000000000005</v>
      </c>
      <c r="AC1314" s="171">
        <v>58.99</v>
      </c>
      <c r="AD1314" s="171">
        <v>54.75</v>
      </c>
      <c r="AF1314" s="171">
        <f t="shared" si="62"/>
        <v>2011</v>
      </c>
      <c r="AG1314" s="171">
        <f t="shared" si="63"/>
        <v>0</v>
      </c>
      <c r="AH1314" s="700">
        <f>SUMIF(D$3:$AA1314,"&lt;="&amp;$AH$1)/COUNTIF(D$3:$AA1314,"&lt;="&amp;$AH$1)</f>
        <v>30.307768960908909</v>
      </c>
    </row>
    <row r="1315" spans="2:34" x14ac:dyDescent="0.25">
      <c r="B1315" s="910">
        <v>40667</v>
      </c>
      <c r="C1315" s="581">
        <f t="shared" si="61"/>
        <v>5</v>
      </c>
      <c r="D1315" s="171">
        <v>48.230000000000004</v>
      </c>
      <c r="E1315" s="171">
        <v>45.32</v>
      </c>
      <c r="F1315" s="171">
        <v>45.2</v>
      </c>
      <c r="G1315" s="171">
        <v>46</v>
      </c>
      <c r="H1315" s="171">
        <v>45.94</v>
      </c>
      <c r="I1315" s="171">
        <v>47.870000000000005</v>
      </c>
      <c r="J1315" s="171">
        <v>54.38</v>
      </c>
      <c r="K1315" s="171">
        <v>69.960000000000008</v>
      </c>
      <c r="L1315" s="171">
        <v>72.75</v>
      </c>
      <c r="M1315" s="171">
        <v>69.94</v>
      </c>
      <c r="N1315" s="171">
        <v>65.89</v>
      </c>
      <c r="O1315" s="171">
        <v>65.930000000000007</v>
      </c>
      <c r="P1315" s="171">
        <v>63.27</v>
      </c>
      <c r="Q1315" s="171">
        <v>61.78</v>
      </c>
      <c r="R1315" s="171">
        <v>60.300000000000004</v>
      </c>
      <c r="S1315" s="171">
        <v>59.980000000000004</v>
      </c>
      <c r="T1315" s="171">
        <v>57.01</v>
      </c>
      <c r="U1315" s="171">
        <v>59.910000000000004</v>
      </c>
      <c r="V1315" s="171">
        <v>65.16</v>
      </c>
      <c r="W1315" s="171">
        <v>60</v>
      </c>
      <c r="X1315" s="171">
        <v>63.32</v>
      </c>
      <c r="Y1315" s="171">
        <v>71.930000000000007</v>
      </c>
      <c r="Z1315" s="171">
        <v>62</v>
      </c>
      <c r="AA1315" s="171">
        <v>51.19</v>
      </c>
      <c r="AB1315" s="171">
        <v>72.75</v>
      </c>
      <c r="AC1315" s="171">
        <v>57.01</v>
      </c>
      <c r="AD1315" s="171">
        <v>54.28</v>
      </c>
      <c r="AF1315" s="171">
        <f t="shared" si="62"/>
        <v>2011</v>
      </c>
      <c r="AG1315" s="171">
        <f t="shared" si="63"/>
        <v>0</v>
      </c>
      <c r="AH1315" s="700">
        <f>SUMIF(D$3:$AA1315,"&lt;="&amp;$AH$1)/COUNTIF(D$3:$AA1315,"&lt;="&amp;$AH$1)</f>
        <v>30.307768960908909</v>
      </c>
    </row>
    <row r="1316" spans="2:34" x14ac:dyDescent="0.25">
      <c r="B1316" s="910">
        <v>40668</v>
      </c>
      <c r="C1316" s="581">
        <f t="shared" si="61"/>
        <v>5</v>
      </c>
      <c r="D1316" s="171">
        <v>52.410000000000004</v>
      </c>
      <c r="E1316" s="171">
        <v>50.910000000000004</v>
      </c>
      <c r="F1316" s="171">
        <v>47.29</v>
      </c>
      <c r="G1316" s="171">
        <v>46.230000000000004</v>
      </c>
      <c r="H1316" s="171">
        <v>46</v>
      </c>
      <c r="I1316" s="171">
        <v>47.160000000000004</v>
      </c>
      <c r="J1316" s="171">
        <v>54</v>
      </c>
      <c r="K1316" s="171">
        <v>60.99</v>
      </c>
      <c r="L1316" s="171">
        <v>70.05</v>
      </c>
      <c r="M1316" s="171">
        <v>68.8</v>
      </c>
      <c r="N1316" s="171">
        <v>68.930000000000007</v>
      </c>
      <c r="O1316" s="171">
        <v>70.100000000000009</v>
      </c>
      <c r="P1316" s="171">
        <v>67.56</v>
      </c>
      <c r="Q1316" s="171">
        <v>64.91</v>
      </c>
      <c r="R1316" s="171">
        <v>63.81</v>
      </c>
      <c r="S1316" s="171">
        <v>60.620000000000005</v>
      </c>
      <c r="T1316" s="171">
        <v>59.21</v>
      </c>
      <c r="U1316" s="171">
        <v>64.94</v>
      </c>
      <c r="V1316" s="171">
        <v>68.98</v>
      </c>
      <c r="W1316" s="171">
        <v>65</v>
      </c>
      <c r="X1316" s="171">
        <v>65</v>
      </c>
      <c r="Y1316" s="171">
        <v>69.010000000000005</v>
      </c>
      <c r="Z1316" s="171">
        <v>63.34</v>
      </c>
      <c r="AA1316" s="171">
        <v>53.17</v>
      </c>
      <c r="AB1316" s="171">
        <v>70.100000000000009</v>
      </c>
      <c r="AC1316" s="171">
        <v>59.21</v>
      </c>
      <c r="AD1316" s="171">
        <v>54.63</v>
      </c>
      <c r="AF1316" s="171">
        <f t="shared" si="62"/>
        <v>2011</v>
      </c>
      <c r="AG1316" s="171">
        <f t="shared" si="63"/>
        <v>0</v>
      </c>
      <c r="AH1316" s="700">
        <f>SUMIF(D$3:$AA1316,"&lt;="&amp;$AH$1)/COUNTIF(D$3:$AA1316,"&lt;="&amp;$AH$1)</f>
        <v>30.307768960908909</v>
      </c>
    </row>
    <row r="1317" spans="2:34" x14ac:dyDescent="0.25">
      <c r="B1317" s="910">
        <v>40669</v>
      </c>
      <c r="C1317" s="581">
        <f t="shared" si="61"/>
        <v>5</v>
      </c>
      <c r="D1317" s="171">
        <v>50.38</v>
      </c>
      <c r="E1317" s="171">
        <v>46.56</v>
      </c>
      <c r="F1317" s="171">
        <v>45.32</v>
      </c>
      <c r="G1317" s="171">
        <v>45.910000000000004</v>
      </c>
      <c r="H1317" s="171">
        <v>46.38</v>
      </c>
      <c r="I1317" s="171">
        <v>47.18</v>
      </c>
      <c r="J1317" s="171">
        <v>49.96</v>
      </c>
      <c r="K1317" s="171">
        <v>58.800000000000004</v>
      </c>
      <c r="L1317" s="171">
        <v>65.11</v>
      </c>
      <c r="M1317" s="171">
        <v>63.21</v>
      </c>
      <c r="N1317" s="171">
        <v>62.97</v>
      </c>
      <c r="O1317" s="171">
        <v>63.160000000000004</v>
      </c>
      <c r="P1317" s="171">
        <v>61.95</v>
      </c>
      <c r="Q1317" s="171">
        <v>59.550000000000004</v>
      </c>
      <c r="R1317" s="171">
        <v>58.03</v>
      </c>
      <c r="S1317" s="171">
        <v>53.27</v>
      </c>
      <c r="T1317" s="171">
        <v>53.71</v>
      </c>
      <c r="U1317" s="171">
        <v>58.25</v>
      </c>
      <c r="V1317" s="171">
        <v>61.65</v>
      </c>
      <c r="W1317" s="171">
        <v>65.81</v>
      </c>
      <c r="X1317" s="171">
        <v>66.150000000000006</v>
      </c>
      <c r="Y1317" s="171">
        <v>64.960000000000008</v>
      </c>
      <c r="Z1317" s="171">
        <v>58.45</v>
      </c>
      <c r="AA1317" s="171">
        <v>51.79</v>
      </c>
      <c r="AB1317" s="171">
        <v>66.150000000000006</v>
      </c>
      <c r="AC1317" s="171">
        <v>53.27</v>
      </c>
      <c r="AD1317" s="171">
        <v>52.65</v>
      </c>
      <c r="AF1317" s="171">
        <f t="shared" si="62"/>
        <v>2011</v>
      </c>
      <c r="AG1317" s="171">
        <f t="shared" si="63"/>
        <v>0</v>
      </c>
      <c r="AH1317" s="700">
        <f>SUMIF(D$3:$AA1317,"&lt;="&amp;$AH$1)/COUNTIF(D$3:$AA1317,"&lt;="&amp;$AH$1)</f>
        <v>30.307768960908909</v>
      </c>
    </row>
    <row r="1318" spans="2:34" x14ac:dyDescent="0.25">
      <c r="B1318" s="910">
        <v>40672</v>
      </c>
      <c r="C1318" s="581">
        <f t="shared" si="61"/>
        <v>5</v>
      </c>
      <c r="D1318" s="171">
        <v>44.74</v>
      </c>
      <c r="E1318" s="171">
        <v>41.84</v>
      </c>
      <c r="F1318" s="171">
        <v>32.94</v>
      </c>
      <c r="G1318" s="171">
        <v>27.810000000000002</v>
      </c>
      <c r="H1318" s="171">
        <v>32.980000000000004</v>
      </c>
      <c r="I1318" s="171">
        <v>46.58</v>
      </c>
      <c r="J1318" s="171">
        <v>64.989999999999995</v>
      </c>
      <c r="K1318" s="171">
        <v>70</v>
      </c>
      <c r="L1318" s="171">
        <v>82.62</v>
      </c>
      <c r="M1318" s="171">
        <v>79.33</v>
      </c>
      <c r="N1318" s="171">
        <v>76.100000000000009</v>
      </c>
      <c r="O1318" s="171">
        <v>70.94</v>
      </c>
      <c r="P1318" s="171">
        <v>67.94</v>
      </c>
      <c r="Q1318" s="171">
        <v>66.97</v>
      </c>
      <c r="R1318" s="171">
        <v>66.010000000000005</v>
      </c>
      <c r="S1318" s="171">
        <v>65.2</v>
      </c>
      <c r="T1318" s="171">
        <v>63.61</v>
      </c>
      <c r="U1318" s="171">
        <v>65.150000000000006</v>
      </c>
      <c r="V1318" s="171">
        <v>66.2</v>
      </c>
      <c r="W1318" s="171">
        <v>69.31</v>
      </c>
      <c r="X1318" s="171">
        <v>67.95</v>
      </c>
      <c r="Y1318" s="171">
        <v>67.92</v>
      </c>
      <c r="Z1318" s="171">
        <v>64.930000000000007</v>
      </c>
      <c r="AA1318" s="171">
        <v>51.6</v>
      </c>
      <c r="AB1318" s="171">
        <v>82.62</v>
      </c>
      <c r="AC1318" s="171">
        <v>63.61</v>
      </c>
      <c r="AD1318" s="171">
        <v>51.19</v>
      </c>
      <c r="AF1318" s="171">
        <f t="shared" si="62"/>
        <v>2011</v>
      </c>
      <c r="AG1318" s="171">
        <f t="shared" si="63"/>
        <v>4</v>
      </c>
      <c r="AH1318" s="700">
        <f>SUMIF(D$3:$AA1318,"&lt;="&amp;$AH$1)/COUNTIF(D$3:$AA1318,"&lt;="&amp;$AH$1)</f>
        <v>30.308966265865184</v>
      </c>
    </row>
    <row r="1319" spans="2:34" x14ac:dyDescent="0.25">
      <c r="B1319" s="910">
        <v>40673</v>
      </c>
      <c r="C1319" s="581">
        <f t="shared" si="61"/>
        <v>5</v>
      </c>
      <c r="D1319" s="171">
        <v>47.550000000000004</v>
      </c>
      <c r="E1319" s="171">
        <v>45.43</v>
      </c>
      <c r="F1319" s="171">
        <v>44.38</v>
      </c>
      <c r="G1319" s="171">
        <v>44.94</v>
      </c>
      <c r="H1319" s="171">
        <v>45.47</v>
      </c>
      <c r="I1319" s="171">
        <v>45.88</v>
      </c>
      <c r="J1319" s="171">
        <v>55.45</v>
      </c>
      <c r="K1319" s="171">
        <v>67.430000000000007</v>
      </c>
      <c r="L1319" s="171">
        <v>77.400000000000006</v>
      </c>
      <c r="M1319" s="171">
        <v>72.989999999999995</v>
      </c>
      <c r="N1319" s="171">
        <v>71.290000000000006</v>
      </c>
      <c r="O1319" s="171">
        <v>74.06</v>
      </c>
      <c r="P1319" s="171">
        <v>72.97</v>
      </c>
      <c r="Q1319" s="171">
        <v>71</v>
      </c>
      <c r="R1319" s="171">
        <v>72.14</v>
      </c>
      <c r="S1319" s="171">
        <v>70.98</v>
      </c>
      <c r="T1319" s="171">
        <v>69.3</v>
      </c>
      <c r="U1319" s="171">
        <v>68.960000000000008</v>
      </c>
      <c r="V1319" s="171">
        <v>70.52</v>
      </c>
      <c r="W1319" s="171">
        <v>71.48</v>
      </c>
      <c r="X1319" s="171">
        <v>72.92</v>
      </c>
      <c r="Y1319" s="171">
        <v>70.98</v>
      </c>
      <c r="Z1319" s="171">
        <v>61.59</v>
      </c>
      <c r="AA1319" s="171">
        <v>54.46</v>
      </c>
      <c r="AB1319" s="171">
        <v>77.400000000000006</v>
      </c>
      <c r="AC1319" s="171">
        <v>61.59</v>
      </c>
      <c r="AD1319" s="171">
        <v>54.71</v>
      </c>
      <c r="AF1319" s="171">
        <f t="shared" si="62"/>
        <v>2011</v>
      </c>
      <c r="AG1319" s="171">
        <f t="shared" si="63"/>
        <v>0</v>
      </c>
      <c r="AH1319" s="700">
        <f>SUMIF(D$3:$AA1319,"&lt;="&amp;$AH$1)/COUNTIF(D$3:$AA1319,"&lt;="&amp;$AH$1)</f>
        <v>30.308966265865184</v>
      </c>
    </row>
    <row r="1320" spans="2:34" x14ac:dyDescent="0.25">
      <c r="B1320" s="910">
        <v>40674</v>
      </c>
      <c r="C1320" s="581">
        <f t="shared" si="61"/>
        <v>5</v>
      </c>
      <c r="D1320" s="171">
        <v>51.24</v>
      </c>
      <c r="E1320" s="171">
        <v>48.81</v>
      </c>
      <c r="F1320" s="171">
        <v>48.1</v>
      </c>
      <c r="G1320" s="171">
        <v>47.9</v>
      </c>
      <c r="H1320" s="171">
        <v>48.76</v>
      </c>
      <c r="I1320" s="171">
        <v>49.76</v>
      </c>
      <c r="J1320" s="171">
        <v>60.65</v>
      </c>
      <c r="K1320" s="171">
        <v>71.989999999999995</v>
      </c>
      <c r="L1320" s="171">
        <v>73.010000000000005</v>
      </c>
      <c r="M1320" s="171">
        <v>72.2</v>
      </c>
      <c r="N1320" s="171">
        <v>72.09</v>
      </c>
      <c r="O1320" s="171">
        <v>75.75</v>
      </c>
      <c r="P1320" s="171">
        <v>72.710000000000008</v>
      </c>
      <c r="Q1320" s="171">
        <v>71.070000000000007</v>
      </c>
      <c r="R1320" s="171">
        <v>73.47</v>
      </c>
      <c r="S1320" s="171">
        <v>71.03</v>
      </c>
      <c r="T1320" s="171">
        <v>68.900000000000006</v>
      </c>
      <c r="U1320" s="171">
        <v>67.94</v>
      </c>
      <c r="V1320" s="171">
        <v>68.070000000000007</v>
      </c>
      <c r="W1320" s="171">
        <v>70.989999999999995</v>
      </c>
      <c r="X1320" s="171">
        <v>74.930000000000007</v>
      </c>
      <c r="Y1320" s="171">
        <v>74.05</v>
      </c>
      <c r="Z1320" s="171">
        <v>68.820000000000007</v>
      </c>
      <c r="AA1320" s="171">
        <v>56.160000000000004</v>
      </c>
      <c r="AB1320" s="171">
        <v>75.75</v>
      </c>
      <c r="AC1320" s="171">
        <v>67.94</v>
      </c>
      <c r="AD1320" s="171">
        <v>58.43</v>
      </c>
      <c r="AF1320" s="171">
        <f t="shared" si="62"/>
        <v>2011</v>
      </c>
      <c r="AG1320" s="171">
        <f t="shared" si="63"/>
        <v>0</v>
      </c>
      <c r="AH1320" s="700">
        <f>SUMIF(D$3:$AA1320,"&lt;="&amp;$AH$1)/COUNTIF(D$3:$AA1320,"&lt;="&amp;$AH$1)</f>
        <v>30.308966265865184</v>
      </c>
    </row>
    <row r="1321" spans="2:34" x14ac:dyDescent="0.25">
      <c r="B1321" s="910">
        <v>40675</v>
      </c>
      <c r="C1321" s="581">
        <f t="shared" si="61"/>
        <v>5</v>
      </c>
      <c r="D1321" s="171">
        <v>57.32</v>
      </c>
      <c r="E1321" s="171">
        <v>52.74</v>
      </c>
      <c r="F1321" s="171">
        <v>49.7</v>
      </c>
      <c r="G1321" s="171">
        <v>48.93</v>
      </c>
      <c r="H1321" s="171">
        <v>50.08</v>
      </c>
      <c r="I1321" s="171">
        <v>51.92</v>
      </c>
      <c r="J1321" s="171">
        <v>69.040000000000006</v>
      </c>
      <c r="K1321" s="171">
        <v>81.25</v>
      </c>
      <c r="L1321" s="171">
        <v>83.100000000000009</v>
      </c>
      <c r="M1321" s="171">
        <v>87.77</v>
      </c>
      <c r="N1321" s="171">
        <v>86.99</v>
      </c>
      <c r="O1321" s="171">
        <v>90.070000000000007</v>
      </c>
      <c r="P1321" s="171">
        <v>74.94</v>
      </c>
      <c r="Q1321" s="171">
        <v>73.989999999999995</v>
      </c>
      <c r="R1321" s="171">
        <v>72.100000000000009</v>
      </c>
      <c r="S1321" s="171">
        <v>72.02</v>
      </c>
      <c r="T1321" s="171">
        <v>70.02</v>
      </c>
      <c r="U1321" s="171">
        <v>71</v>
      </c>
      <c r="V1321" s="171">
        <v>70.5</v>
      </c>
      <c r="W1321" s="171">
        <v>69.34</v>
      </c>
      <c r="X1321" s="171">
        <v>69.08</v>
      </c>
      <c r="Y1321" s="171">
        <v>69</v>
      </c>
      <c r="Z1321" s="171">
        <v>62</v>
      </c>
      <c r="AA1321" s="171">
        <v>56.27</v>
      </c>
      <c r="AB1321" s="171">
        <v>90.070000000000007</v>
      </c>
      <c r="AC1321" s="171">
        <v>62</v>
      </c>
      <c r="AD1321" s="171">
        <v>59.78</v>
      </c>
      <c r="AF1321" s="171">
        <f t="shared" si="62"/>
        <v>2011</v>
      </c>
      <c r="AG1321" s="171">
        <f t="shared" si="63"/>
        <v>0</v>
      </c>
      <c r="AH1321" s="700">
        <f>SUMIF(D$3:$AA1321,"&lt;="&amp;$AH$1)/COUNTIF(D$3:$AA1321,"&lt;="&amp;$AH$1)</f>
        <v>30.308966265865184</v>
      </c>
    </row>
    <row r="1322" spans="2:34" x14ac:dyDescent="0.25">
      <c r="B1322" s="910">
        <v>40676</v>
      </c>
      <c r="C1322" s="581">
        <f t="shared" si="61"/>
        <v>5</v>
      </c>
      <c r="D1322" s="171">
        <v>50.99</v>
      </c>
      <c r="E1322" s="171">
        <v>48.06</v>
      </c>
      <c r="F1322" s="171">
        <v>46.35</v>
      </c>
      <c r="G1322" s="171">
        <v>45.45</v>
      </c>
      <c r="H1322" s="171">
        <v>46.410000000000004</v>
      </c>
      <c r="I1322" s="171">
        <v>48.800000000000004</v>
      </c>
      <c r="J1322" s="171">
        <v>52.72</v>
      </c>
      <c r="K1322" s="171">
        <v>64.41</v>
      </c>
      <c r="L1322" s="171">
        <v>69.2</v>
      </c>
      <c r="M1322" s="171">
        <v>66.989999999999995</v>
      </c>
      <c r="N1322" s="171">
        <v>67.83</v>
      </c>
      <c r="O1322" s="171">
        <v>66.790000000000006</v>
      </c>
      <c r="P1322" s="171">
        <v>66.2</v>
      </c>
      <c r="Q1322" s="171">
        <v>64.13</v>
      </c>
      <c r="R1322" s="171">
        <v>57.09</v>
      </c>
      <c r="S1322" s="171">
        <v>56.07</v>
      </c>
      <c r="T1322" s="171">
        <v>55.92</v>
      </c>
      <c r="U1322" s="171">
        <v>59.53</v>
      </c>
      <c r="V1322" s="171">
        <v>65.960000000000008</v>
      </c>
      <c r="W1322" s="171">
        <v>70.210000000000008</v>
      </c>
      <c r="X1322" s="171">
        <v>71.95</v>
      </c>
      <c r="Y1322" s="171">
        <v>71.95</v>
      </c>
      <c r="Z1322" s="171">
        <v>68.92</v>
      </c>
      <c r="AA1322" s="171">
        <v>60.06</v>
      </c>
      <c r="AB1322" s="171">
        <v>71.95</v>
      </c>
      <c r="AC1322" s="171">
        <v>55.92</v>
      </c>
      <c r="AD1322" s="171">
        <v>56.34</v>
      </c>
      <c r="AF1322" s="171">
        <f t="shared" si="62"/>
        <v>2011</v>
      </c>
      <c r="AG1322" s="171">
        <f t="shared" si="63"/>
        <v>0</v>
      </c>
      <c r="AH1322" s="700">
        <f>SUMIF(D$3:$AA1322,"&lt;="&amp;$AH$1)/COUNTIF(D$3:$AA1322,"&lt;="&amp;$AH$1)</f>
        <v>30.308966265865184</v>
      </c>
    </row>
    <row r="1323" spans="2:34" x14ac:dyDescent="0.25">
      <c r="B1323" s="910">
        <v>40679</v>
      </c>
      <c r="C1323" s="581">
        <f t="shared" si="61"/>
        <v>5</v>
      </c>
      <c r="D1323" s="171">
        <v>51.96</v>
      </c>
      <c r="E1323" s="171">
        <v>46.910000000000004</v>
      </c>
      <c r="F1323" s="171">
        <v>42</v>
      </c>
      <c r="G1323" s="171">
        <v>37.72</v>
      </c>
      <c r="H1323" s="171">
        <v>37.880000000000003</v>
      </c>
      <c r="I1323" s="171">
        <v>42</v>
      </c>
      <c r="J1323" s="171">
        <v>52.43</v>
      </c>
      <c r="K1323" s="171">
        <v>63.99</v>
      </c>
      <c r="L1323" s="171">
        <v>69.05</v>
      </c>
      <c r="M1323" s="171">
        <v>69.97</v>
      </c>
      <c r="N1323" s="171">
        <v>68.760000000000005</v>
      </c>
      <c r="O1323" s="171">
        <v>70.489999999999995</v>
      </c>
      <c r="P1323" s="171">
        <v>66.260000000000005</v>
      </c>
      <c r="Q1323" s="171">
        <v>66.260000000000005</v>
      </c>
      <c r="R1323" s="171">
        <v>61.370000000000005</v>
      </c>
      <c r="S1323" s="171">
        <v>57.410000000000004</v>
      </c>
      <c r="T1323" s="171">
        <v>55.19</v>
      </c>
      <c r="U1323" s="171">
        <v>56.19</v>
      </c>
      <c r="V1323" s="171">
        <v>56.910000000000004</v>
      </c>
      <c r="W1323" s="171">
        <v>57.64</v>
      </c>
      <c r="X1323" s="171">
        <v>56.51</v>
      </c>
      <c r="Y1323" s="171">
        <v>56.300000000000004</v>
      </c>
      <c r="Z1323" s="171">
        <v>56.370000000000005</v>
      </c>
      <c r="AA1323" s="171">
        <v>51.54</v>
      </c>
      <c r="AB1323" s="171">
        <v>70.489999999999995</v>
      </c>
      <c r="AC1323" s="171">
        <v>55.19</v>
      </c>
      <c r="AD1323" s="171">
        <v>49.63</v>
      </c>
      <c r="AF1323" s="171">
        <f t="shared" si="62"/>
        <v>2011</v>
      </c>
      <c r="AG1323" s="171">
        <f t="shared" si="63"/>
        <v>4</v>
      </c>
      <c r="AH1323" s="700">
        <f>SUMIF(D$3:$AA1323,"&lt;="&amp;$AH$1)/COUNTIF(D$3:$AA1323,"&lt;="&amp;$AH$1)</f>
        <v>30.312168614357383</v>
      </c>
    </row>
    <row r="1324" spans="2:34" x14ac:dyDescent="0.25">
      <c r="B1324" s="910">
        <v>40680</v>
      </c>
      <c r="C1324" s="581">
        <f t="shared" si="61"/>
        <v>5</v>
      </c>
      <c r="D1324" s="171">
        <v>49.03</v>
      </c>
      <c r="E1324" s="171">
        <v>48</v>
      </c>
      <c r="F1324" s="171">
        <v>44.83</v>
      </c>
      <c r="G1324" s="171">
        <v>42.29</v>
      </c>
      <c r="H1324" s="171">
        <v>43.19</v>
      </c>
      <c r="I1324" s="171">
        <v>49.08</v>
      </c>
      <c r="J1324" s="171">
        <v>53.730000000000004</v>
      </c>
      <c r="K1324" s="171">
        <v>58.980000000000004</v>
      </c>
      <c r="L1324" s="171">
        <v>68.94</v>
      </c>
      <c r="M1324" s="171">
        <v>69.960000000000008</v>
      </c>
      <c r="N1324" s="171">
        <v>71.22</v>
      </c>
      <c r="O1324" s="171">
        <v>76.180000000000007</v>
      </c>
      <c r="P1324" s="171">
        <v>75.45</v>
      </c>
      <c r="Q1324" s="171">
        <v>71.820000000000007</v>
      </c>
      <c r="R1324" s="171">
        <v>71.010000000000005</v>
      </c>
      <c r="S1324" s="171">
        <v>69.7</v>
      </c>
      <c r="T1324" s="171">
        <v>66.92</v>
      </c>
      <c r="U1324" s="171">
        <v>68</v>
      </c>
      <c r="V1324" s="171">
        <v>69.600000000000009</v>
      </c>
      <c r="W1324" s="171">
        <v>69.930000000000007</v>
      </c>
      <c r="X1324" s="171">
        <v>68.94</v>
      </c>
      <c r="Y1324" s="171">
        <v>69.09</v>
      </c>
      <c r="Z1324" s="171">
        <v>65.98</v>
      </c>
      <c r="AA1324" s="171">
        <v>54.57</v>
      </c>
      <c r="AB1324" s="171">
        <v>76.180000000000007</v>
      </c>
      <c r="AC1324" s="171">
        <v>58.980000000000004</v>
      </c>
      <c r="AD1324" s="171">
        <v>53.980000000000004</v>
      </c>
      <c r="AF1324" s="171">
        <f t="shared" si="62"/>
        <v>2011</v>
      </c>
      <c r="AG1324" s="171">
        <f t="shared" si="63"/>
        <v>1</v>
      </c>
      <c r="AH1324" s="700">
        <f>SUMIF(D$3:$AA1324,"&lt;="&amp;$AH$1)/COUNTIF(D$3:$AA1324,"&lt;="&amp;$AH$1)</f>
        <v>30.313168349887437</v>
      </c>
    </row>
    <row r="1325" spans="2:34" x14ac:dyDescent="0.25">
      <c r="B1325" s="910">
        <v>40681</v>
      </c>
      <c r="C1325" s="581">
        <f t="shared" si="61"/>
        <v>5</v>
      </c>
      <c r="D1325" s="171">
        <v>51.31</v>
      </c>
      <c r="E1325" s="171">
        <v>49.800000000000004</v>
      </c>
      <c r="F1325" s="171">
        <v>48.68</v>
      </c>
      <c r="G1325" s="171">
        <v>46.050000000000004</v>
      </c>
      <c r="H1325" s="171">
        <v>45.35</v>
      </c>
      <c r="I1325" s="171">
        <v>47.44</v>
      </c>
      <c r="J1325" s="171">
        <v>56.19</v>
      </c>
      <c r="K1325" s="171">
        <v>69.67</v>
      </c>
      <c r="L1325" s="171">
        <v>73.58</v>
      </c>
      <c r="M1325" s="171">
        <v>72.180000000000007</v>
      </c>
      <c r="N1325" s="171">
        <v>69.930000000000007</v>
      </c>
      <c r="O1325" s="171">
        <v>69.989999999999995</v>
      </c>
      <c r="P1325" s="171">
        <v>66.03</v>
      </c>
      <c r="Q1325" s="171">
        <v>64.930000000000007</v>
      </c>
      <c r="R1325" s="171">
        <v>65.31</v>
      </c>
      <c r="S1325" s="171">
        <v>63.27</v>
      </c>
      <c r="T1325" s="171">
        <v>62.5</v>
      </c>
      <c r="U1325" s="171">
        <v>64.960000000000008</v>
      </c>
      <c r="V1325" s="171">
        <v>65.37</v>
      </c>
      <c r="W1325" s="171">
        <v>66.06</v>
      </c>
      <c r="X1325" s="171">
        <v>68.350000000000009</v>
      </c>
      <c r="Y1325" s="171">
        <v>63.97</v>
      </c>
      <c r="Z1325" s="171">
        <v>58.97</v>
      </c>
      <c r="AA1325" s="171">
        <v>52.9</v>
      </c>
      <c r="AB1325" s="171">
        <v>73.58</v>
      </c>
      <c r="AC1325" s="171">
        <v>58.97</v>
      </c>
      <c r="AD1325" s="171">
        <v>54.89</v>
      </c>
      <c r="AF1325" s="171">
        <f t="shared" si="62"/>
        <v>2011</v>
      </c>
      <c r="AG1325" s="171">
        <f t="shared" si="63"/>
        <v>0</v>
      </c>
      <c r="AH1325" s="700">
        <f>SUMIF(D$3:$AA1325,"&lt;="&amp;$AH$1)/COUNTIF(D$3:$AA1325,"&lt;="&amp;$AH$1)</f>
        <v>30.313168349887437</v>
      </c>
    </row>
    <row r="1326" spans="2:34" x14ac:dyDescent="0.25">
      <c r="B1326" s="910">
        <v>40682</v>
      </c>
      <c r="C1326" s="581">
        <f t="shared" si="61"/>
        <v>5</v>
      </c>
      <c r="D1326" s="171">
        <v>49.93</v>
      </c>
      <c r="E1326" s="171">
        <v>47.9</v>
      </c>
      <c r="F1326" s="171">
        <v>47.75</v>
      </c>
      <c r="G1326" s="171">
        <v>47.38</v>
      </c>
      <c r="H1326" s="171">
        <v>47.1</v>
      </c>
      <c r="I1326" s="171">
        <v>47.86</v>
      </c>
      <c r="J1326" s="171">
        <v>51.77</v>
      </c>
      <c r="K1326" s="171">
        <v>69.91</v>
      </c>
      <c r="L1326" s="171">
        <v>69.94</v>
      </c>
      <c r="M1326" s="171">
        <v>69.94</v>
      </c>
      <c r="N1326" s="171">
        <v>70.16</v>
      </c>
      <c r="O1326" s="171">
        <v>73.91</v>
      </c>
      <c r="P1326" s="171">
        <v>70.41</v>
      </c>
      <c r="Q1326" s="171">
        <v>69.930000000000007</v>
      </c>
      <c r="R1326" s="171">
        <v>71.58</v>
      </c>
      <c r="S1326" s="171">
        <v>70.430000000000007</v>
      </c>
      <c r="T1326" s="171">
        <v>65.13</v>
      </c>
      <c r="U1326" s="171">
        <v>65.53</v>
      </c>
      <c r="V1326" s="171">
        <v>66.09</v>
      </c>
      <c r="W1326" s="171">
        <v>66.930000000000007</v>
      </c>
      <c r="X1326" s="171">
        <v>66.13</v>
      </c>
      <c r="Y1326" s="171">
        <v>65.17</v>
      </c>
      <c r="Z1326" s="171">
        <v>64.930000000000007</v>
      </c>
      <c r="AA1326" s="171">
        <v>53.76</v>
      </c>
      <c r="AB1326" s="171">
        <v>73.91</v>
      </c>
      <c r="AC1326" s="171">
        <v>64.930000000000007</v>
      </c>
      <c r="AD1326" s="171">
        <v>54.97</v>
      </c>
      <c r="AF1326" s="171">
        <f t="shared" si="62"/>
        <v>2011</v>
      </c>
      <c r="AG1326" s="171">
        <f t="shared" si="63"/>
        <v>0</v>
      </c>
      <c r="AH1326" s="700">
        <f>SUMIF(D$3:$AA1326,"&lt;="&amp;$AH$1)/COUNTIF(D$3:$AA1326,"&lt;="&amp;$AH$1)</f>
        <v>30.313168349887437</v>
      </c>
    </row>
    <row r="1327" spans="2:34" x14ac:dyDescent="0.25">
      <c r="B1327" s="910">
        <v>40683</v>
      </c>
      <c r="C1327" s="581">
        <f t="shared" si="61"/>
        <v>5</v>
      </c>
      <c r="D1327" s="171">
        <v>55.6</v>
      </c>
      <c r="E1327" s="171">
        <v>51.65</v>
      </c>
      <c r="F1327" s="171">
        <v>50.06</v>
      </c>
      <c r="G1327" s="171">
        <v>48.75</v>
      </c>
      <c r="H1327" s="171">
        <v>48.76</v>
      </c>
      <c r="I1327" s="171">
        <v>49.33</v>
      </c>
      <c r="J1327" s="171">
        <v>53.2</v>
      </c>
      <c r="K1327" s="171">
        <v>72.06</v>
      </c>
      <c r="L1327" s="171">
        <v>88.78</v>
      </c>
      <c r="M1327" s="171">
        <v>80.97</v>
      </c>
      <c r="N1327" s="171">
        <v>78.98</v>
      </c>
      <c r="O1327" s="171">
        <v>86</v>
      </c>
      <c r="P1327" s="171">
        <v>82.81</v>
      </c>
      <c r="Q1327" s="171">
        <v>76.350000000000009</v>
      </c>
      <c r="R1327" s="171">
        <v>75.180000000000007</v>
      </c>
      <c r="S1327" s="171">
        <v>71.91</v>
      </c>
      <c r="T1327" s="171">
        <v>66.08</v>
      </c>
      <c r="U1327" s="171">
        <v>67</v>
      </c>
      <c r="V1327" s="171">
        <v>68.19</v>
      </c>
      <c r="W1327" s="171">
        <v>65.8</v>
      </c>
      <c r="X1327" s="171">
        <v>65.5</v>
      </c>
      <c r="Y1327" s="171">
        <v>67.510000000000005</v>
      </c>
      <c r="Z1327" s="171">
        <v>70</v>
      </c>
      <c r="AA1327" s="171">
        <v>60.35</v>
      </c>
      <c r="AB1327" s="171">
        <v>88.78</v>
      </c>
      <c r="AC1327" s="171">
        <v>65.5</v>
      </c>
      <c r="AD1327" s="171">
        <v>57.730000000000004</v>
      </c>
      <c r="AF1327" s="171">
        <f t="shared" si="62"/>
        <v>2011</v>
      </c>
      <c r="AG1327" s="171">
        <f t="shared" si="63"/>
        <v>0</v>
      </c>
      <c r="AH1327" s="700">
        <f>SUMIF(D$3:$AA1327,"&lt;="&amp;$AH$1)/COUNTIF(D$3:$AA1327,"&lt;="&amp;$AH$1)</f>
        <v>30.313168349887437</v>
      </c>
    </row>
    <row r="1328" spans="2:34" x14ac:dyDescent="0.25">
      <c r="B1328" s="910">
        <v>40686</v>
      </c>
      <c r="C1328" s="581">
        <f t="shared" si="61"/>
        <v>5</v>
      </c>
      <c r="D1328" s="171">
        <v>44.88</v>
      </c>
      <c r="E1328" s="171">
        <v>44.69</v>
      </c>
      <c r="F1328" s="171">
        <v>39.160000000000004</v>
      </c>
      <c r="G1328" s="171">
        <v>34.980000000000004</v>
      </c>
      <c r="H1328" s="171">
        <v>40.230000000000004</v>
      </c>
      <c r="I1328" s="171">
        <v>46.84</v>
      </c>
      <c r="J1328" s="171">
        <v>58.96</v>
      </c>
      <c r="K1328" s="171">
        <v>74.320000000000007</v>
      </c>
      <c r="L1328" s="171">
        <v>77.850000000000009</v>
      </c>
      <c r="M1328" s="171">
        <v>77.989999999999995</v>
      </c>
      <c r="N1328" s="171">
        <v>76.61</v>
      </c>
      <c r="O1328" s="171">
        <v>74.95</v>
      </c>
      <c r="P1328" s="171">
        <v>68.97</v>
      </c>
      <c r="Q1328" s="171">
        <v>68.16</v>
      </c>
      <c r="R1328" s="171">
        <v>70</v>
      </c>
      <c r="S1328" s="171">
        <v>65.239999999999995</v>
      </c>
      <c r="T1328" s="171">
        <v>65.22</v>
      </c>
      <c r="U1328" s="171">
        <v>66.78</v>
      </c>
      <c r="V1328" s="171">
        <v>69.040000000000006</v>
      </c>
      <c r="W1328" s="171">
        <v>70.67</v>
      </c>
      <c r="X1328" s="171">
        <v>69.010000000000005</v>
      </c>
      <c r="Y1328" s="171">
        <v>65.13</v>
      </c>
      <c r="Z1328" s="171">
        <v>55.68</v>
      </c>
      <c r="AA1328" s="171">
        <v>49.9</v>
      </c>
      <c r="AB1328" s="171">
        <v>77.989999999999995</v>
      </c>
      <c r="AC1328" s="171">
        <v>55.68</v>
      </c>
      <c r="AD1328" s="171">
        <v>51.980000000000004</v>
      </c>
      <c r="AF1328" s="171">
        <f t="shared" si="62"/>
        <v>2011</v>
      </c>
      <c r="AG1328" s="171">
        <f t="shared" si="63"/>
        <v>3</v>
      </c>
      <c r="AH1328" s="700">
        <f>SUMIF(D$3:$AA1328,"&lt;="&amp;$AH$1)/COUNTIF(D$3:$AA1328,"&lt;="&amp;$AH$1)</f>
        <v>30.31512349799744</v>
      </c>
    </row>
    <row r="1329" spans="2:34" x14ac:dyDescent="0.25">
      <c r="B1329" s="910">
        <v>40687</v>
      </c>
      <c r="C1329" s="581">
        <f t="shared" si="61"/>
        <v>5</v>
      </c>
      <c r="D1329" s="171">
        <v>45</v>
      </c>
      <c r="E1329" s="171">
        <v>44.550000000000004</v>
      </c>
      <c r="F1329" s="171">
        <v>43.5</v>
      </c>
      <c r="G1329" s="171">
        <v>42.550000000000004</v>
      </c>
      <c r="H1329" s="171">
        <v>44.61</v>
      </c>
      <c r="I1329" s="171">
        <v>47.49</v>
      </c>
      <c r="J1329" s="171">
        <v>52.1</v>
      </c>
      <c r="K1329" s="171">
        <v>57.17</v>
      </c>
      <c r="L1329" s="171">
        <v>66.3</v>
      </c>
      <c r="M1329" s="171">
        <v>69</v>
      </c>
      <c r="N1329" s="171">
        <v>68.070000000000007</v>
      </c>
      <c r="O1329" s="171">
        <v>68.900000000000006</v>
      </c>
      <c r="P1329" s="171">
        <v>65.63</v>
      </c>
      <c r="Q1329" s="171">
        <v>58.96</v>
      </c>
      <c r="R1329" s="171">
        <v>56.28</v>
      </c>
      <c r="S1329" s="171">
        <v>53.870000000000005</v>
      </c>
      <c r="T1329" s="171">
        <v>53.63</v>
      </c>
      <c r="U1329" s="171">
        <v>53.88</v>
      </c>
      <c r="V1329" s="171">
        <v>61.71</v>
      </c>
      <c r="W1329" s="171">
        <v>66.02</v>
      </c>
      <c r="X1329" s="171">
        <v>58.99</v>
      </c>
      <c r="Y1329" s="171">
        <v>61.5</v>
      </c>
      <c r="Z1329" s="171">
        <v>62.2</v>
      </c>
      <c r="AA1329" s="171">
        <v>50.800000000000004</v>
      </c>
      <c r="AB1329" s="171">
        <v>69</v>
      </c>
      <c r="AC1329" s="171">
        <v>53.63</v>
      </c>
      <c r="AD1329" s="171">
        <v>50.870000000000005</v>
      </c>
      <c r="AF1329" s="171">
        <f t="shared" si="62"/>
        <v>2011</v>
      </c>
      <c r="AG1329" s="171">
        <f t="shared" si="63"/>
        <v>1</v>
      </c>
      <c r="AH1329" s="700">
        <f>SUMIF(D$3:$AA1329,"&lt;="&amp;$AH$1)/COUNTIF(D$3:$AA1329,"&lt;="&amp;$AH$1)</f>
        <v>30.316144347100654</v>
      </c>
    </row>
    <row r="1330" spans="2:34" x14ac:dyDescent="0.25">
      <c r="B1330" s="910">
        <v>40688</v>
      </c>
      <c r="C1330" s="581">
        <f t="shared" si="61"/>
        <v>5</v>
      </c>
      <c r="D1330" s="171">
        <v>50.910000000000004</v>
      </c>
      <c r="E1330" s="171">
        <v>49.43</v>
      </c>
      <c r="F1330" s="171">
        <v>45.660000000000004</v>
      </c>
      <c r="G1330" s="171">
        <v>45.32</v>
      </c>
      <c r="H1330" s="171">
        <v>46.6</v>
      </c>
      <c r="I1330" s="171">
        <v>49.43</v>
      </c>
      <c r="J1330" s="171">
        <v>53.89</v>
      </c>
      <c r="K1330" s="171">
        <v>69.09</v>
      </c>
      <c r="L1330" s="171">
        <v>69.070000000000007</v>
      </c>
      <c r="M1330" s="171">
        <v>68.36</v>
      </c>
      <c r="N1330" s="171">
        <v>66.84</v>
      </c>
      <c r="O1330" s="171">
        <v>73.350000000000009</v>
      </c>
      <c r="P1330" s="171">
        <v>72.06</v>
      </c>
      <c r="Q1330" s="171">
        <v>71.430000000000007</v>
      </c>
      <c r="R1330" s="171">
        <v>72.820000000000007</v>
      </c>
      <c r="S1330" s="171">
        <v>68.900000000000006</v>
      </c>
      <c r="T1330" s="171">
        <v>67.92</v>
      </c>
      <c r="U1330" s="171">
        <v>69.040000000000006</v>
      </c>
      <c r="V1330" s="171">
        <v>71.489999999999995</v>
      </c>
      <c r="W1330" s="171">
        <v>69.83</v>
      </c>
      <c r="X1330" s="171">
        <v>72.05</v>
      </c>
      <c r="Y1330" s="171">
        <v>69.62</v>
      </c>
      <c r="Z1330" s="171">
        <v>66.05</v>
      </c>
      <c r="AA1330" s="171">
        <v>53.2</v>
      </c>
      <c r="AB1330" s="171">
        <v>73.350000000000009</v>
      </c>
      <c r="AC1330" s="171">
        <v>66.05</v>
      </c>
      <c r="AD1330" s="171">
        <v>55.94</v>
      </c>
      <c r="AF1330" s="171">
        <f t="shared" si="62"/>
        <v>2011</v>
      </c>
      <c r="AG1330" s="171">
        <f t="shared" si="63"/>
        <v>0</v>
      </c>
      <c r="AH1330" s="700">
        <f>SUMIF(D$3:$AA1330,"&lt;="&amp;$AH$1)/COUNTIF(D$3:$AA1330,"&lt;="&amp;$AH$1)</f>
        <v>30.316144347100654</v>
      </c>
    </row>
    <row r="1331" spans="2:34" x14ac:dyDescent="0.25">
      <c r="B1331" s="910">
        <v>40689</v>
      </c>
      <c r="C1331" s="581">
        <f t="shared" si="61"/>
        <v>5</v>
      </c>
      <c r="D1331" s="171">
        <v>50.480000000000004</v>
      </c>
      <c r="E1331" s="171">
        <v>48.5</v>
      </c>
      <c r="F1331" s="171">
        <v>46.92</v>
      </c>
      <c r="G1331" s="171">
        <v>46.300000000000004</v>
      </c>
      <c r="H1331" s="171">
        <v>47.230000000000004</v>
      </c>
      <c r="I1331" s="171">
        <v>47</v>
      </c>
      <c r="J1331" s="171">
        <v>52.83</v>
      </c>
      <c r="K1331" s="171">
        <v>68.39</v>
      </c>
      <c r="L1331" s="171">
        <v>68.92</v>
      </c>
      <c r="M1331" s="171">
        <v>61.2</v>
      </c>
      <c r="N1331" s="171">
        <v>62.27</v>
      </c>
      <c r="O1331" s="171">
        <v>63.27</v>
      </c>
      <c r="P1331" s="171">
        <v>61.19</v>
      </c>
      <c r="Q1331" s="171">
        <v>61.480000000000004</v>
      </c>
      <c r="R1331" s="171">
        <v>58.97</v>
      </c>
      <c r="S1331" s="171">
        <v>56.18</v>
      </c>
      <c r="T1331" s="171">
        <v>54.09</v>
      </c>
      <c r="U1331" s="171">
        <v>54.21</v>
      </c>
      <c r="V1331" s="171">
        <v>54.6</v>
      </c>
      <c r="W1331" s="171">
        <v>54.69</v>
      </c>
      <c r="X1331" s="171">
        <v>54.35</v>
      </c>
      <c r="Y1331" s="171">
        <v>54.09</v>
      </c>
      <c r="Z1331" s="171">
        <v>53.26</v>
      </c>
      <c r="AA1331" s="171">
        <v>51.27</v>
      </c>
      <c r="AB1331" s="171">
        <v>68.92</v>
      </c>
      <c r="AC1331" s="171">
        <v>53.26</v>
      </c>
      <c r="AD1331" s="171">
        <v>51.72</v>
      </c>
      <c r="AF1331" s="171">
        <f t="shared" si="62"/>
        <v>2011</v>
      </c>
      <c r="AG1331" s="171">
        <f t="shared" si="63"/>
        <v>0</v>
      </c>
      <c r="AH1331" s="700">
        <f>SUMIF(D$3:$AA1331,"&lt;="&amp;$AH$1)/COUNTIF(D$3:$AA1331,"&lt;="&amp;$AH$1)</f>
        <v>30.316144347100654</v>
      </c>
    </row>
    <row r="1332" spans="2:34" x14ac:dyDescent="0.25">
      <c r="B1332" s="910">
        <v>40690</v>
      </c>
      <c r="C1332" s="581">
        <f t="shared" si="61"/>
        <v>5</v>
      </c>
      <c r="D1332" s="171">
        <v>49.24</v>
      </c>
      <c r="E1332" s="171">
        <v>48.45</v>
      </c>
      <c r="F1332" s="171">
        <v>44.47</v>
      </c>
      <c r="G1332" s="171">
        <v>45.17</v>
      </c>
      <c r="H1332" s="171">
        <v>46.78</v>
      </c>
      <c r="I1332" s="171">
        <v>46.78</v>
      </c>
      <c r="J1332" s="171">
        <v>56.79</v>
      </c>
      <c r="K1332" s="171">
        <v>64.16</v>
      </c>
      <c r="L1332" s="171">
        <v>64.94</v>
      </c>
      <c r="M1332" s="171">
        <v>64.16</v>
      </c>
      <c r="N1332" s="171">
        <v>67.16</v>
      </c>
      <c r="O1332" s="171">
        <v>70.88</v>
      </c>
      <c r="P1332" s="171">
        <v>70.08</v>
      </c>
      <c r="Q1332" s="171">
        <v>68.400000000000006</v>
      </c>
      <c r="R1332" s="171">
        <v>65.12</v>
      </c>
      <c r="S1332" s="171">
        <v>56.2</v>
      </c>
      <c r="T1332" s="171">
        <v>58.24</v>
      </c>
      <c r="U1332" s="171">
        <v>57.82</v>
      </c>
      <c r="V1332" s="171">
        <v>57.870000000000005</v>
      </c>
      <c r="W1332" s="171">
        <v>55.160000000000004</v>
      </c>
      <c r="X1332" s="171">
        <v>52.79</v>
      </c>
      <c r="Y1332" s="171">
        <v>52.64</v>
      </c>
      <c r="Z1332" s="171">
        <v>60.53</v>
      </c>
      <c r="AA1332" s="171">
        <v>54.58</v>
      </c>
      <c r="AB1332" s="171">
        <v>70.88</v>
      </c>
      <c r="AC1332" s="171">
        <v>52.64</v>
      </c>
      <c r="AD1332" s="171">
        <v>51.870000000000005</v>
      </c>
      <c r="AF1332" s="171">
        <f t="shared" si="62"/>
        <v>2011</v>
      </c>
      <c r="AG1332" s="171">
        <f t="shared" si="63"/>
        <v>0</v>
      </c>
      <c r="AH1332" s="700">
        <f>SUMIF(D$3:$AA1332,"&lt;="&amp;$AH$1)/COUNTIF(D$3:$AA1332,"&lt;="&amp;$AH$1)</f>
        <v>30.316144347100654</v>
      </c>
    </row>
    <row r="1333" spans="2:34" x14ac:dyDescent="0.25">
      <c r="B1333" s="910">
        <v>40693</v>
      </c>
      <c r="C1333" s="581">
        <f t="shared" si="61"/>
        <v>5</v>
      </c>
      <c r="D1333" s="171">
        <v>50.34</v>
      </c>
      <c r="E1333" s="171">
        <v>48.5</v>
      </c>
      <c r="F1333" s="171">
        <v>47.12</v>
      </c>
      <c r="G1333" s="171">
        <v>46.93</v>
      </c>
      <c r="H1333" s="171">
        <v>46.550000000000004</v>
      </c>
      <c r="I1333" s="171">
        <v>48.58</v>
      </c>
      <c r="J1333" s="171">
        <v>54.94</v>
      </c>
      <c r="K1333" s="171">
        <v>67.5</v>
      </c>
      <c r="L1333" s="171">
        <v>69.62</v>
      </c>
      <c r="M1333" s="171">
        <v>66.680000000000007</v>
      </c>
      <c r="N1333" s="171">
        <v>67.3</v>
      </c>
      <c r="O1333" s="171">
        <v>69.61</v>
      </c>
      <c r="P1333" s="171">
        <v>68.3</v>
      </c>
      <c r="Q1333" s="171">
        <v>66.400000000000006</v>
      </c>
      <c r="R1333" s="171">
        <v>66.28</v>
      </c>
      <c r="S1333" s="171">
        <v>64.14</v>
      </c>
      <c r="T1333" s="171">
        <v>60.19</v>
      </c>
      <c r="U1333" s="171">
        <v>62.58</v>
      </c>
      <c r="V1333" s="171">
        <v>64.150000000000006</v>
      </c>
      <c r="W1333" s="171">
        <v>64.960000000000008</v>
      </c>
      <c r="X1333" s="171">
        <v>65.900000000000006</v>
      </c>
      <c r="Y1333" s="171">
        <v>60.71</v>
      </c>
      <c r="Z1333" s="171">
        <v>58.44</v>
      </c>
      <c r="AA1333" s="171">
        <v>52.08</v>
      </c>
      <c r="AB1333" s="171">
        <v>69.62</v>
      </c>
      <c r="AC1333" s="171">
        <v>58.44</v>
      </c>
      <c r="AD1333" s="171">
        <v>53.97</v>
      </c>
      <c r="AF1333" s="171">
        <f t="shared" si="62"/>
        <v>2011</v>
      </c>
      <c r="AG1333" s="171">
        <f t="shared" si="63"/>
        <v>0</v>
      </c>
      <c r="AH1333" s="700">
        <f>SUMIF(D$3:$AA1333,"&lt;="&amp;$AH$1)/COUNTIF(D$3:$AA1333,"&lt;="&amp;$AH$1)</f>
        <v>30.316144347100654</v>
      </c>
    </row>
    <row r="1334" spans="2:34" x14ac:dyDescent="0.25">
      <c r="B1334" s="910">
        <v>40694</v>
      </c>
      <c r="C1334" s="581">
        <f t="shared" si="61"/>
        <v>5</v>
      </c>
      <c r="D1334" s="171">
        <v>45.79</v>
      </c>
      <c r="E1334" s="171">
        <v>43.45</v>
      </c>
      <c r="F1334" s="171">
        <v>40.99</v>
      </c>
      <c r="G1334" s="171">
        <v>44.01</v>
      </c>
      <c r="H1334" s="171">
        <v>45.83</v>
      </c>
      <c r="I1334" s="171">
        <v>46.13</v>
      </c>
      <c r="J1334" s="171">
        <v>52.76</v>
      </c>
      <c r="K1334" s="171">
        <v>59.94</v>
      </c>
      <c r="L1334" s="171">
        <v>69.09</v>
      </c>
      <c r="M1334" s="171">
        <v>71.02</v>
      </c>
      <c r="N1334" s="171">
        <v>70.5</v>
      </c>
      <c r="O1334" s="171">
        <v>71.3</v>
      </c>
      <c r="P1334" s="171">
        <v>68.09</v>
      </c>
      <c r="Q1334" s="171">
        <v>68.510000000000005</v>
      </c>
      <c r="R1334" s="171">
        <v>67.960000000000008</v>
      </c>
      <c r="S1334" s="171">
        <v>65.98</v>
      </c>
      <c r="T1334" s="171">
        <v>65.12</v>
      </c>
      <c r="U1334" s="171">
        <v>61.07</v>
      </c>
      <c r="V1334" s="171">
        <v>61.78</v>
      </c>
      <c r="W1334" s="171">
        <v>56.25</v>
      </c>
      <c r="X1334" s="171">
        <v>54.68</v>
      </c>
      <c r="Y1334" s="171">
        <v>54.36</v>
      </c>
      <c r="Z1334" s="171">
        <v>55.01</v>
      </c>
      <c r="AA1334" s="171">
        <v>51.59</v>
      </c>
      <c r="AB1334" s="171">
        <v>71.3</v>
      </c>
      <c r="AC1334" s="171">
        <v>54.36</v>
      </c>
      <c r="AD1334" s="171">
        <v>49.54</v>
      </c>
      <c r="AF1334" s="171">
        <f t="shared" si="62"/>
        <v>2011</v>
      </c>
      <c r="AG1334" s="171">
        <f t="shared" si="63"/>
        <v>1</v>
      </c>
      <c r="AH1334" s="700">
        <f>SUMIF(D$3:$AA1334,"&lt;="&amp;$AH$1)/COUNTIF(D$3:$AA1334,"&lt;="&amp;$AH$1)</f>
        <v>30.3170348740198</v>
      </c>
    </row>
    <row r="1335" spans="2:34" x14ac:dyDescent="0.25">
      <c r="B1335" s="910">
        <v>40695</v>
      </c>
      <c r="C1335" s="581">
        <f t="shared" si="61"/>
        <v>6</v>
      </c>
      <c r="D1335" s="171">
        <v>50.56</v>
      </c>
      <c r="E1335" s="171">
        <v>48.6</v>
      </c>
      <c r="F1335" s="171">
        <v>46.25</v>
      </c>
      <c r="G1335" s="171">
        <v>45.230000000000004</v>
      </c>
      <c r="H1335" s="171">
        <v>45.08</v>
      </c>
      <c r="I1335" s="171">
        <v>49.92</v>
      </c>
      <c r="J1335" s="171">
        <v>54.59</v>
      </c>
      <c r="K1335" s="171">
        <v>64.09</v>
      </c>
      <c r="L1335" s="171">
        <v>65</v>
      </c>
      <c r="M1335" s="171">
        <v>66.94</v>
      </c>
      <c r="N1335" s="171">
        <v>68.98</v>
      </c>
      <c r="O1335" s="171">
        <v>74.33</v>
      </c>
      <c r="P1335" s="171">
        <v>70.960000000000008</v>
      </c>
      <c r="Q1335" s="171">
        <v>70.27</v>
      </c>
      <c r="R1335" s="171">
        <v>69.600000000000009</v>
      </c>
      <c r="S1335" s="171">
        <v>66.98</v>
      </c>
      <c r="T1335" s="171">
        <v>61.63</v>
      </c>
      <c r="U1335" s="171">
        <v>64.95</v>
      </c>
      <c r="V1335" s="171">
        <v>60.1</v>
      </c>
      <c r="W1335" s="171">
        <v>59.96</v>
      </c>
      <c r="X1335" s="171">
        <v>64.94</v>
      </c>
      <c r="Y1335" s="171">
        <v>61.28</v>
      </c>
      <c r="Z1335" s="171">
        <v>57.71</v>
      </c>
      <c r="AA1335" s="171">
        <v>53.45</v>
      </c>
      <c r="AB1335" s="171">
        <v>74.33</v>
      </c>
      <c r="AC1335" s="171">
        <v>57.71</v>
      </c>
      <c r="AD1335" s="171">
        <v>53.47</v>
      </c>
      <c r="AF1335" s="171">
        <f t="shared" si="62"/>
        <v>2011</v>
      </c>
      <c r="AG1335" s="171">
        <f t="shared" si="63"/>
        <v>0</v>
      </c>
      <c r="AH1335" s="700">
        <f>SUMIF(D$3:$AA1335,"&lt;="&amp;$AH$1)/COUNTIF(D$3:$AA1335,"&lt;="&amp;$AH$1)</f>
        <v>30.3170348740198</v>
      </c>
    </row>
    <row r="1336" spans="2:34" x14ac:dyDescent="0.25">
      <c r="B1336" s="910">
        <v>40696</v>
      </c>
      <c r="C1336" s="581">
        <f t="shared" si="61"/>
        <v>6</v>
      </c>
      <c r="D1336" s="171">
        <v>50.370000000000005</v>
      </c>
      <c r="E1336" s="171">
        <v>49.92</v>
      </c>
      <c r="F1336" s="171">
        <v>48.800000000000004</v>
      </c>
      <c r="G1336" s="171">
        <v>48.480000000000004</v>
      </c>
      <c r="H1336" s="171">
        <v>48.11</v>
      </c>
      <c r="I1336" s="171">
        <v>47.97</v>
      </c>
      <c r="J1336" s="171">
        <v>49.51</v>
      </c>
      <c r="K1336" s="171">
        <v>51.980000000000004</v>
      </c>
      <c r="L1336" s="171">
        <v>53.13</v>
      </c>
      <c r="M1336" s="171">
        <v>52.800000000000004</v>
      </c>
      <c r="N1336" s="171">
        <v>52.84</v>
      </c>
      <c r="O1336" s="171">
        <v>53.18</v>
      </c>
      <c r="P1336" s="171">
        <v>50.86</v>
      </c>
      <c r="Q1336" s="171">
        <v>48.18</v>
      </c>
      <c r="R1336" s="171">
        <v>46.33</v>
      </c>
      <c r="S1336" s="171">
        <v>44.93</v>
      </c>
      <c r="T1336" s="171">
        <v>46.88</v>
      </c>
      <c r="U1336" s="171">
        <v>52.160000000000004</v>
      </c>
      <c r="V1336" s="171">
        <v>53.370000000000005</v>
      </c>
      <c r="W1336" s="171">
        <v>54.25</v>
      </c>
      <c r="X1336" s="171">
        <v>54.33</v>
      </c>
      <c r="Y1336" s="171">
        <v>56.08</v>
      </c>
      <c r="Z1336" s="171">
        <v>55.13</v>
      </c>
      <c r="AA1336" s="171">
        <v>52.33</v>
      </c>
      <c r="AB1336" s="171">
        <v>56.08</v>
      </c>
      <c r="AC1336" s="171">
        <v>44.93</v>
      </c>
      <c r="AD1336" s="171">
        <v>51.08</v>
      </c>
      <c r="AF1336" s="171">
        <f t="shared" si="62"/>
        <v>2011</v>
      </c>
      <c r="AG1336" s="171">
        <f t="shared" si="63"/>
        <v>0</v>
      </c>
      <c r="AH1336" s="700">
        <f>SUMIF(D$3:$AA1336,"&lt;="&amp;$AH$1)/COUNTIF(D$3:$AA1336,"&lt;="&amp;$AH$1)</f>
        <v>30.3170348740198</v>
      </c>
    </row>
    <row r="1337" spans="2:34" x14ac:dyDescent="0.25">
      <c r="B1337" s="910">
        <v>40697</v>
      </c>
      <c r="C1337" s="581">
        <f t="shared" si="61"/>
        <v>6</v>
      </c>
      <c r="D1337" s="171">
        <v>49.17</v>
      </c>
      <c r="E1337" s="171">
        <v>45.4</v>
      </c>
      <c r="F1337" s="171">
        <v>44.910000000000004</v>
      </c>
      <c r="G1337" s="171">
        <v>43.660000000000004</v>
      </c>
      <c r="H1337" s="171">
        <v>44.910000000000004</v>
      </c>
      <c r="I1337" s="171">
        <v>48.43</v>
      </c>
      <c r="J1337" s="171">
        <v>52.480000000000004</v>
      </c>
      <c r="K1337" s="171">
        <v>55.79</v>
      </c>
      <c r="L1337" s="171">
        <v>58.38</v>
      </c>
      <c r="M1337" s="171">
        <v>59.92</v>
      </c>
      <c r="N1337" s="171">
        <v>57.81</v>
      </c>
      <c r="O1337" s="171">
        <v>58.53</v>
      </c>
      <c r="P1337" s="171">
        <v>58.77</v>
      </c>
      <c r="Q1337" s="171">
        <v>55.53</v>
      </c>
      <c r="R1337" s="171">
        <v>54.4</v>
      </c>
      <c r="S1337" s="171">
        <v>52.46</v>
      </c>
      <c r="T1337" s="171">
        <v>52.86</v>
      </c>
      <c r="U1337" s="171">
        <v>54.300000000000004</v>
      </c>
      <c r="V1337" s="171">
        <v>55.11</v>
      </c>
      <c r="W1337" s="171">
        <v>58.35</v>
      </c>
      <c r="X1337" s="171">
        <v>55.14</v>
      </c>
      <c r="Y1337" s="171">
        <v>55.03</v>
      </c>
      <c r="Z1337" s="171">
        <v>61.26</v>
      </c>
      <c r="AA1337" s="171">
        <v>53.86</v>
      </c>
      <c r="AB1337" s="171">
        <v>61.26</v>
      </c>
      <c r="AC1337" s="171">
        <v>52.46</v>
      </c>
      <c r="AD1337" s="171">
        <v>50.84</v>
      </c>
      <c r="AF1337" s="171">
        <f t="shared" si="62"/>
        <v>2011</v>
      </c>
      <c r="AG1337" s="171">
        <f t="shared" si="63"/>
        <v>0</v>
      </c>
      <c r="AH1337" s="700">
        <f>SUMIF(D$3:$AA1337,"&lt;="&amp;$AH$1)/COUNTIF(D$3:$AA1337,"&lt;="&amp;$AH$1)</f>
        <v>30.3170348740198</v>
      </c>
    </row>
    <row r="1338" spans="2:34" x14ac:dyDescent="0.25">
      <c r="B1338" s="910">
        <v>40700</v>
      </c>
      <c r="C1338" s="581">
        <f t="shared" si="61"/>
        <v>6</v>
      </c>
      <c r="D1338" s="171">
        <v>48.54</v>
      </c>
      <c r="E1338" s="171">
        <v>44.88</v>
      </c>
      <c r="F1338" s="171">
        <v>42.43</v>
      </c>
      <c r="G1338" s="171">
        <v>41.15</v>
      </c>
      <c r="H1338" s="171">
        <v>42.07</v>
      </c>
      <c r="I1338" s="171">
        <v>46.21</v>
      </c>
      <c r="J1338" s="171">
        <v>52.54</v>
      </c>
      <c r="K1338" s="171">
        <v>65.48</v>
      </c>
      <c r="L1338" s="171">
        <v>67.91</v>
      </c>
      <c r="M1338" s="171">
        <v>68.08</v>
      </c>
      <c r="N1338" s="171">
        <v>67.98</v>
      </c>
      <c r="O1338" s="171">
        <v>69.41</v>
      </c>
      <c r="P1338" s="171">
        <v>68.600000000000009</v>
      </c>
      <c r="Q1338" s="171">
        <v>68.62</v>
      </c>
      <c r="R1338" s="171">
        <v>68.91</v>
      </c>
      <c r="S1338" s="171">
        <v>65.69</v>
      </c>
      <c r="T1338" s="171">
        <v>64.930000000000007</v>
      </c>
      <c r="U1338" s="171">
        <v>68.08</v>
      </c>
      <c r="V1338" s="171">
        <v>69.03</v>
      </c>
      <c r="W1338" s="171">
        <v>67.95</v>
      </c>
      <c r="X1338" s="171">
        <v>67.02</v>
      </c>
      <c r="Y1338" s="171">
        <v>67.81</v>
      </c>
      <c r="Z1338" s="171">
        <v>63.1</v>
      </c>
      <c r="AA1338" s="171">
        <v>53.120000000000005</v>
      </c>
      <c r="AB1338" s="171">
        <v>69.41</v>
      </c>
      <c r="AC1338" s="171">
        <v>63.1</v>
      </c>
      <c r="AD1338" s="171">
        <v>52.86</v>
      </c>
      <c r="AF1338" s="171">
        <f t="shared" si="62"/>
        <v>2011</v>
      </c>
      <c r="AG1338" s="171">
        <f t="shared" si="63"/>
        <v>3</v>
      </c>
      <c r="AH1338" s="700">
        <f>SUMIF(D$3:$AA1338,"&lt;="&amp;$AH$1)/COUNTIF(D$3:$AA1338,"&lt;="&amp;$AH$1)</f>
        <v>30.319929101676649</v>
      </c>
    </row>
    <row r="1339" spans="2:34" x14ac:dyDescent="0.25">
      <c r="B1339" s="910">
        <v>40701</v>
      </c>
      <c r="C1339" s="581">
        <f t="shared" si="61"/>
        <v>6</v>
      </c>
      <c r="D1339" s="171">
        <v>50.83</v>
      </c>
      <c r="E1339" s="171">
        <v>48.89</v>
      </c>
      <c r="F1339" s="171">
        <v>48</v>
      </c>
      <c r="G1339" s="171">
        <v>46.24</v>
      </c>
      <c r="H1339" s="171">
        <v>47.32</v>
      </c>
      <c r="I1339" s="171">
        <v>49.550000000000004</v>
      </c>
      <c r="J1339" s="171">
        <v>53.59</v>
      </c>
      <c r="K1339" s="171">
        <v>66.290000000000006</v>
      </c>
      <c r="L1339" s="171">
        <v>69.510000000000005</v>
      </c>
      <c r="M1339" s="171">
        <v>68.92</v>
      </c>
      <c r="N1339" s="171">
        <v>71.070000000000007</v>
      </c>
      <c r="O1339" s="171">
        <v>72.92</v>
      </c>
      <c r="P1339" s="171">
        <v>70.510000000000005</v>
      </c>
      <c r="Q1339" s="171">
        <v>69.14</v>
      </c>
      <c r="R1339" s="171">
        <v>69.98</v>
      </c>
      <c r="S1339" s="171">
        <v>71.31</v>
      </c>
      <c r="T1339" s="171">
        <v>71.31</v>
      </c>
      <c r="U1339" s="171">
        <v>69.41</v>
      </c>
      <c r="V1339" s="171">
        <v>69.02</v>
      </c>
      <c r="W1339" s="171">
        <v>68.960000000000008</v>
      </c>
      <c r="X1339" s="171">
        <v>67.08</v>
      </c>
      <c r="Y1339" s="171">
        <v>63.730000000000004</v>
      </c>
      <c r="Z1339" s="171">
        <v>58.49</v>
      </c>
      <c r="AA1339" s="171">
        <v>51.230000000000004</v>
      </c>
      <c r="AB1339" s="171">
        <v>72.92</v>
      </c>
      <c r="AC1339" s="171">
        <v>58.49</v>
      </c>
      <c r="AD1339" s="171">
        <v>54.27</v>
      </c>
      <c r="AF1339" s="171">
        <f t="shared" si="62"/>
        <v>2011</v>
      </c>
      <c r="AG1339" s="171">
        <f t="shared" si="63"/>
        <v>0</v>
      </c>
      <c r="AH1339" s="700">
        <f>SUMIF(D$3:$AA1339,"&lt;="&amp;$AH$1)/COUNTIF(D$3:$AA1339,"&lt;="&amp;$AH$1)</f>
        <v>30.319929101676649</v>
      </c>
    </row>
    <row r="1340" spans="2:34" x14ac:dyDescent="0.25">
      <c r="B1340" s="910">
        <v>40702</v>
      </c>
      <c r="C1340" s="581">
        <f t="shared" si="61"/>
        <v>6</v>
      </c>
      <c r="D1340" s="171">
        <v>50.2</v>
      </c>
      <c r="E1340" s="171">
        <v>48.58</v>
      </c>
      <c r="F1340" s="171">
        <v>46.11</v>
      </c>
      <c r="G1340" s="171">
        <v>45.84</v>
      </c>
      <c r="H1340" s="171">
        <v>45.800000000000004</v>
      </c>
      <c r="I1340" s="171">
        <v>48.94</v>
      </c>
      <c r="J1340" s="171">
        <v>53.93</v>
      </c>
      <c r="K1340" s="171">
        <v>58.93</v>
      </c>
      <c r="L1340" s="171">
        <v>77.98</v>
      </c>
      <c r="M1340" s="171">
        <v>76.070000000000007</v>
      </c>
      <c r="N1340" s="171">
        <v>79.09</v>
      </c>
      <c r="O1340" s="171">
        <v>84.94</v>
      </c>
      <c r="P1340" s="171">
        <v>74.83</v>
      </c>
      <c r="Q1340" s="171">
        <v>74.92</v>
      </c>
      <c r="R1340" s="171">
        <v>71.53</v>
      </c>
      <c r="S1340" s="171">
        <v>68.89</v>
      </c>
      <c r="T1340" s="171">
        <v>62.04</v>
      </c>
      <c r="U1340" s="171">
        <v>57.71</v>
      </c>
      <c r="V1340" s="171">
        <v>55.39</v>
      </c>
      <c r="W1340" s="171">
        <v>52.96</v>
      </c>
      <c r="X1340" s="171">
        <v>52.86</v>
      </c>
      <c r="Y1340" s="171">
        <v>53.71</v>
      </c>
      <c r="Z1340" s="171">
        <v>54.57</v>
      </c>
      <c r="AA1340" s="171">
        <v>50.910000000000004</v>
      </c>
      <c r="AB1340" s="171">
        <v>84.94</v>
      </c>
      <c r="AC1340" s="171">
        <v>52.86</v>
      </c>
      <c r="AD1340" s="171">
        <v>50.870000000000005</v>
      </c>
      <c r="AF1340" s="171">
        <f t="shared" si="62"/>
        <v>2011</v>
      </c>
      <c r="AG1340" s="171">
        <f t="shared" si="63"/>
        <v>0</v>
      </c>
      <c r="AH1340" s="700">
        <f>SUMIF(D$3:$AA1340,"&lt;="&amp;$AH$1)/COUNTIF(D$3:$AA1340,"&lt;="&amp;$AH$1)</f>
        <v>30.319929101676649</v>
      </c>
    </row>
    <row r="1341" spans="2:34" x14ac:dyDescent="0.25">
      <c r="B1341" s="910">
        <v>40703</v>
      </c>
      <c r="C1341" s="581">
        <f t="shared" si="61"/>
        <v>6</v>
      </c>
      <c r="D1341" s="171">
        <v>47.88</v>
      </c>
      <c r="E1341" s="171">
        <v>43.89</v>
      </c>
      <c r="F1341" s="171">
        <v>39.61</v>
      </c>
      <c r="G1341" s="171">
        <v>39.28</v>
      </c>
      <c r="H1341" s="171">
        <v>42.01</v>
      </c>
      <c r="I1341" s="171">
        <v>46.61</v>
      </c>
      <c r="J1341" s="171">
        <v>51.120000000000005</v>
      </c>
      <c r="K1341" s="171">
        <v>54.81</v>
      </c>
      <c r="L1341" s="171">
        <v>58.65</v>
      </c>
      <c r="M1341" s="171">
        <v>58.84</v>
      </c>
      <c r="N1341" s="171">
        <v>61.51</v>
      </c>
      <c r="O1341" s="171">
        <v>65.58</v>
      </c>
      <c r="P1341" s="171">
        <v>65.09</v>
      </c>
      <c r="Q1341" s="171">
        <v>65.12</v>
      </c>
      <c r="R1341" s="171">
        <v>61.72</v>
      </c>
      <c r="S1341" s="171">
        <v>60</v>
      </c>
      <c r="T1341" s="171">
        <v>61.800000000000004</v>
      </c>
      <c r="U1341" s="171">
        <v>59.69</v>
      </c>
      <c r="V1341" s="171">
        <v>59.78</v>
      </c>
      <c r="W1341" s="171">
        <v>61.24</v>
      </c>
      <c r="X1341" s="171">
        <v>64.5</v>
      </c>
      <c r="Y1341" s="171">
        <v>62.51</v>
      </c>
      <c r="Z1341" s="171">
        <v>55.86</v>
      </c>
      <c r="AA1341" s="171">
        <v>51.35</v>
      </c>
      <c r="AB1341" s="171">
        <v>65.58</v>
      </c>
      <c r="AC1341" s="171">
        <v>54.81</v>
      </c>
      <c r="AD1341" s="171">
        <v>49.95</v>
      </c>
      <c r="AF1341" s="171">
        <f t="shared" si="62"/>
        <v>2011</v>
      </c>
      <c r="AG1341" s="171">
        <f t="shared" si="63"/>
        <v>3</v>
      </c>
      <c r="AH1341" s="700">
        <f>SUMIF(D$3:$AA1341,"&lt;="&amp;$AH$1)/COUNTIF(D$3:$AA1341,"&lt;="&amp;$AH$1)</f>
        <v>30.322425783856019</v>
      </c>
    </row>
    <row r="1342" spans="2:34" x14ac:dyDescent="0.25">
      <c r="B1342" s="910">
        <v>40704</v>
      </c>
      <c r="C1342" s="581">
        <f t="shared" si="61"/>
        <v>6</v>
      </c>
      <c r="D1342" s="171">
        <v>48.54</v>
      </c>
      <c r="E1342" s="171">
        <v>46.76</v>
      </c>
      <c r="F1342" s="171">
        <v>44.51</v>
      </c>
      <c r="G1342" s="171">
        <v>42.32</v>
      </c>
      <c r="H1342" s="171">
        <v>43.75</v>
      </c>
      <c r="I1342" s="171">
        <v>47.08</v>
      </c>
      <c r="J1342" s="171">
        <v>52.61</v>
      </c>
      <c r="K1342" s="171">
        <v>66.739999999999995</v>
      </c>
      <c r="L1342" s="171">
        <v>66.98</v>
      </c>
      <c r="M1342" s="171">
        <v>66.7</v>
      </c>
      <c r="N1342" s="171">
        <v>67.430000000000007</v>
      </c>
      <c r="O1342" s="171">
        <v>69.02</v>
      </c>
      <c r="P1342" s="171">
        <v>67.89</v>
      </c>
      <c r="Q1342" s="171">
        <v>67.010000000000005</v>
      </c>
      <c r="R1342" s="171">
        <v>64.510000000000005</v>
      </c>
      <c r="S1342" s="171">
        <v>61.95</v>
      </c>
      <c r="T1342" s="171">
        <v>62.01</v>
      </c>
      <c r="U1342" s="171">
        <v>64.91</v>
      </c>
      <c r="V1342" s="171">
        <v>65.12</v>
      </c>
      <c r="W1342" s="171">
        <v>65.95</v>
      </c>
      <c r="X1342" s="171">
        <v>64.92</v>
      </c>
      <c r="Y1342" s="171">
        <v>59.03</v>
      </c>
      <c r="Z1342" s="171">
        <v>54.97</v>
      </c>
      <c r="AA1342" s="171">
        <v>52.09</v>
      </c>
      <c r="AB1342" s="171">
        <v>69.02</v>
      </c>
      <c r="AC1342" s="171">
        <v>54.97</v>
      </c>
      <c r="AD1342" s="171">
        <v>51.94</v>
      </c>
      <c r="AF1342" s="171">
        <f t="shared" si="62"/>
        <v>2011</v>
      </c>
      <c r="AG1342" s="171">
        <f t="shared" si="63"/>
        <v>1</v>
      </c>
      <c r="AH1342" s="700">
        <f>SUMIF(D$3:$AA1342,"&lt;="&amp;$AH$1)/COUNTIF(D$3:$AA1342,"&lt;="&amp;$AH$1)</f>
        <v>30.323426165263186</v>
      </c>
    </row>
    <row r="1343" spans="2:34" x14ac:dyDescent="0.25">
      <c r="B1343" s="910">
        <v>40707</v>
      </c>
      <c r="C1343" s="581">
        <f t="shared" si="61"/>
        <v>6</v>
      </c>
      <c r="D1343" s="171">
        <v>47.980000000000004</v>
      </c>
      <c r="E1343" s="171">
        <v>42.72</v>
      </c>
      <c r="F1343" s="171">
        <v>38.06</v>
      </c>
      <c r="G1343" s="171">
        <v>32.18</v>
      </c>
      <c r="H1343" s="171">
        <v>32.799999999999997</v>
      </c>
      <c r="I1343" s="171">
        <v>37.85</v>
      </c>
      <c r="J1343" s="171">
        <v>45.56</v>
      </c>
      <c r="K1343" s="171">
        <v>48.96</v>
      </c>
      <c r="L1343" s="171">
        <v>51.81</v>
      </c>
      <c r="M1343" s="171">
        <v>54.31</v>
      </c>
      <c r="N1343" s="171">
        <v>57.22</v>
      </c>
      <c r="O1343" s="171">
        <v>64.790000000000006</v>
      </c>
      <c r="P1343" s="171">
        <v>62.95</v>
      </c>
      <c r="Q1343" s="171">
        <v>57.04</v>
      </c>
      <c r="R1343" s="171">
        <v>54.25</v>
      </c>
      <c r="S1343" s="171">
        <v>53.29</v>
      </c>
      <c r="T1343" s="171">
        <v>52.550000000000004</v>
      </c>
      <c r="U1343" s="171">
        <v>54.980000000000004</v>
      </c>
      <c r="V1343" s="171">
        <v>61.06</v>
      </c>
      <c r="W1343" s="171">
        <v>64.739999999999995</v>
      </c>
      <c r="X1343" s="171">
        <v>61.18</v>
      </c>
      <c r="Y1343" s="171">
        <v>61.160000000000004</v>
      </c>
      <c r="Z1343" s="171">
        <v>61.93</v>
      </c>
      <c r="AA1343" s="171">
        <v>52.11</v>
      </c>
      <c r="AB1343" s="171">
        <v>64.790000000000006</v>
      </c>
      <c r="AC1343" s="171">
        <v>48.96</v>
      </c>
      <c r="AD1343" s="171">
        <v>51.94</v>
      </c>
      <c r="AF1343" s="171">
        <f t="shared" si="62"/>
        <v>2011</v>
      </c>
      <c r="AG1343" s="171">
        <f t="shared" si="63"/>
        <v>4</v>
      </c>
      <c r="AH1343" s="700">
        <f>SUMIF(D$3:$AA1343,"&lt;="&amp;$AH$1)/COUNTIF(D$3:$AA1343,"&lt;="&amp;$AH$1)</f>
        <v>30.325059598233004</v>
      </c>
    </row>
    <row r="1344" spans="2:34" x14ac:dyDescent="0.25">
      <c r="B1344" s="910">
        <v>40708</v>
      </c>
      <c r="C1344" s="581">
        <f t="shared" si="61"/>
        <v>6</v>
      </c>
      <c r="D1344" s="171">
        <v>49.29</v>
      </c>
      <c r="E1344" s="171">
        <v>45.63</v>
      </c>
      <c r="F1344" s="171">
        <v>44.14</v>
      </c>
      <c r="G1344" s="171">
        <v>43.63</v>
      </c>
      <c r="H1344" s="171">
        <v>44</v>
      </c>
      <c r="I1344" s="171">
        <v>46.06</v>
      </c>
      <c r="J1344" s="171">
        <v>54.34</v>
      </c>
      <c r="K1344" s="171">
        <v>69.460000000000008</v>
      </c>
      <c r="L1344" s="171">
        <v>71.510000000000005</v>
      </c>
      <c r="M1344" s="171">
        <v>70.5</v>
      </c>
      <c r="N1344" s="171">
        <v>71.39</v>
      </c>
      <c r="O1344" s="171">
        <v>71.710000000000008</v>
      </c>
      <c r="P1344" s="171">
        <v>68.900000000000006</v>
      </c>
      <c r="Q1344" s="171">
        <v>66.97</v>
      </c>
      <c r="R1344" s="171">
        <v>66.86</v>
      </c>
      <c r="S1344" s="171">
        <v>63.17</v>
      </c>
      <c r="T1344" s="171">
        <v>58.79</v>
      </c>
      <c r="U1344" s="171">
        <v>61.13</v>
      </c>
      <c r="V1344" s="171">
        <v>62.050000000000004</v>
      </c>
      <c r="W1344" s="171">
        <v>62.13</v>
      </c>
      <c r="X1344" s="171">
        <v>64.960000000000008</v>
      </c>
      <c r="Y1344" s="171">
        <v>64.56</v>
      </c>
      <c r="Z1344" s="171">
        <v>63.43</v>
      </c>
      <c r="AA1344" s="171">
        <v>52.83</v>
      </c>
      <c r="AB1344" s="171">
        <v>71.710000000000008</v>
      </c>
      <c r="AC1344" s="171">
        <v>58.79</v>
      </c>
      <c r="AD1344" s="171">
        <v>53.53</v>
      </c>
      <c r="AF1344" s="171">
        <f t="shared" si="62"/>
        <v>2011</v>
      </c>
      <c r="AG1344" s="171">
        <f t="shared" si="63"/>
        <v>0</v>
      </c>
      <c r="AH1344" s="700">
        <f>SUMIF(D$3:$AA1344,"&lt;="&amp;$AH$1)/COUNTIF(D$3:$AA1344,"&lt;="&amp;$AH$1)</f>
        <v>30.325059598233004</v>
      </c>
    </row>
    <row r="1345" spans="2:34" x14ac:dyDescent="0.25">
      <c r="B1345" s="910">
        <v>40709</v>
      </c>
      <c r="C1345" s="581">
        <f t="shared" si="61"/>
        <v>6</v>
      </c>
      <c r="D1345" s="171">
        <v>49.52</v>
      </c>
      <c r="E1345" s="171">
        <v>47.7</v>
      </c>
      <c r="F1345" s="171">
        <v>46.25</v>
      </c>
      <c r="G1345" s="171">
        <v>45.28</v>
      </c>
      <c r="H1345" s="171">
        <v>46.64</v>
      </c>
      <c r="I1345" s="171">
        <v>48.82</v>
      </c>
      <c r="J1345" s="171">
        <v>53.06</v>
      </c>
      <c r="K1345" s="171">
        <v>59.54</v>
      </c>
      <c r="L1345" s="171">
        <v>68.84</v>
      </c>
      <c r="M1345" s="171">
        <v>71.11</v>
      </c>
      <c r="N1345" s="171">
        <v>74.91</v>
      </c>
      <c r="O1345" s="171">
        <v>77.8</v>
      </c>
      <c r="P1345" s="171">
        <v>72.23</v>
      </c>
      <c r="Q1345" s="171">
        <v>71.42</v>
      </c>
      <c r="R1345" s="171">
        <v>72.010000000000005</v>
      </c>
      <c r="S1345" s="171">
        <v>70.22</v>
      </c>
      <c r="T1345" s="171">
        <v>68.81</v>
      </c>
      <c r="U1345" s="171">
        <v>71.08</v>
      </c>
      <c r="V1345" s="171">
        <v>71.41</v>
      </c>
      <c r="W1345" s="171">
        <v>71.150000000000006</v>
      </c>
      <c r="X1345" s="171">
        <v>69.05</v>
      </c>
      <c r="Y1345" s="171">
        <v>67.02</v>
      </c>
      <c r="Z1345" s="171">
        <v>65.14</v>
      </c>
      <c r="AA1345" s="171">
        <v>53.2</v>
      </c>
      <c r="AB1345" s="171">
        <v>77.8</v>
      </c>
      <c r="AC1345" s="171">
        <v>59.54</v>
      </c>
      <c r="AD1345" s="171">
        <v>54.27</v>
      </c>
      <c r="AF1345" s="171">
        <f t="shared" si="62"/>
        <v>2011</v>
      </c>
      <c r="AG1345" s="171">
        <f t="shared" si="63"/>
        <v>0</v>
      </c>
      <c r="AH1345" s="700">
        <f>SUMIF(D$3:$AA1345,"&lt;="&amp;$AH$1)/COUNTIF(D$3:$AA1345,"&lt;="&amp;$AH$1)</f>
        <v>30.325059598233004</v>
      </c>
    </row>
    <row r="1346" spans="2:34" x14ac:dyDescent="0.25">
      <c r="B1346" s="910">
        <v>40710</v>
      </c>
      <c r="C1346" s="581">
        <f t="shared" si="61"/>
        <v>6</v>
      </c>
      <c r="D1346" s="171">
        <v>49.69</v>
      </c>
      <c r="E1346" s="171">
        <v>47.72</v>
      </c>
      <c r="F1346" s="171">
        <v>46.35</v>
      </c>
      <c r="G1346" s="171">
        <v>45.65</v>
      </c>
      <c r="H1346" s="171">
        <v>44.44</v>
      </c>
      <c r="I1346" s="171">
        <v>48.28</v>
      </c>
      <c r="J1346" s="171">
        <v>54.06</v>
      </c>
      <c r="K1346" s="171">
        <v>69.06</v>
      </c>
      <c r="L1346" s="171">
        <v>69.05</v>
      </c>
      <c r="M1346" s="171">
        <v>68.31</v>
      </c>
      <c r="N1346" s="171">
        <v>68.900000000000006</v>
      </c>
      <c r="O1346" s="171">
        <v>69.900000000000006</v>
      </c>
      <c r="P1346" s="171">
        <v>68.03</v>
      </c>
      <c r="Q1346" s="171">
        <v>66.25</v>
      </c>
      <c r="R1346" s="171">
        <v>65.38</v>
      </c>
      <c r="S1346" s="171">
        <v>63.68</v>
      </c>
      <c r="T1346" s="171">
        <v>64.86</v>
      </c>
      <c r="U1346" s="171">
        <v>65.91</v>
      </c>
      <c r="V1346" s="171">
        <v>66.08</v>
      </c>
      <c r="W1346" s="171">
        <v>63.15</v>
      </c>
      <c r="X1346" s="171">
        <v>59.93</v>
      </c>
      <c r="Y1346" s="171">
        <v>57.36</v>
      </c>
      <c r="Z1346" s="171">
        <v>55</v>
      </c>
      <c r="AA1346" s="171">
        <v>51.1</v>
      </c>
      <c r="AB1346" s="171">
        <v>69.900000000000006</v>
      </c>
      <c r="AC1346" s="171">
        <v>55</v>
      </c>
      <c r="AD1346" s="171">
        <v>52.39</v>
      </c>
      <c r="AF1346" s="171">
        <f t="shared" si="62"/>
        <v>2011</v>
      </c>
      <c r="AG1346" s="171">
        <f t="shared" si="63"/>
        <v>0</v>
      </c>
      <c r="AH1346" s="700">
        <f>SUMIF(D$3:$AA1346,"&lt;="&amp;$AH$1)/COUNTIF(D$3:$AA1346,"&lt;="&amp;$AH$1)</f>
        <v>30.325059598233004</v>
      </c>
    </row>
    <row r="1347" spans="2:34" x14ac:dyDescent="0.25">
      <c r="B1347" s="910">
        <v>40711</v>
      </c>
      <c r="C1347" s="581">
        <f t="shared" si="61"/>
        <v>6</v>
      </c>
      <c r="D1347" s="171">
        <v>48.29</v>
      </c>
      <c r="E1347" s="171">
        <v>44.7</v>
      </c>
      <c r="F1347" s="171">
        <v>42.7</v>
      </c>
      <c r="G1347" s="171">
        <v>40.17</v>
      </c>
      <c r="H1347" s="171">
        <v>40.17</v>
      </c>
      <c r="I1347" s="171">
        <v>44.47</v>
      </c>
      <c r="J1347" s="171">
        <v>51.63</v>
      </c>
      <c r="K1347" s="171">
        <v>58</v>
      </c>
      <c r="L1347" s="171">
        <v>62.230000000000004</v>
      </c>
      <c r="M1347" s="171">
        <v>61.29</v>
      </c>
      <c r="N1347" s="171">
        <v>63.910000000000004</v>
      </c>
      <c r="O1347" s="171">
        <v>66.430000000000007</v>
      </c>
      <c r="P1347" s="171">
        <v>64.62</v>
      </c>
      <c r="Q1347" s="171">
        <v>61.26</v>
      </c>
      <c r="R1347" s="171">
        <v>57.08</v>
      </c>
      <c r="S1347" s="171">
        <v>54.88</v>
      </c>
      <c r="T1347" s="171">
        <v>54.88</v>
      </c>
      <c r="U1347" s="171">
        <v>61.29</v>
      </c>
      <c r="V1347" s="171">
        <v>65.12</v>
      </c>
      <c r="W1347" s="171">
        <v>66.05</v>
      </c>
      <c r="X1347" s="171">
        <v>62.300000000000004</v>
      </c>
      <c r="Y1347" s="171">
        <v>59.94</v>
      </c>
      <c r="Z1347" s="171">
        <v>58.980000000000004</v>
      </c>
      <c r="AA1347" s="171">
        <v>52.36</v>
      </c>
      <c r="AB1347" s="171">
        <v>66.430000000000007</v>
      </c>
      <c r="AC1347" s="171">
        <v>54.88</v>
      </c>
      <c r="AD1347" s="171">
        <v>50.31</v>
      </c>
      <c r="AF1347" s="171">
        <f t="shared" si="62"/>
        <v>2011</v>
      </c>
      <c r="AG1347" s="171">
        <f t="shared" si="63"/>
        <v>2</v>
      </c>
      <c r="AH1347" s="700">
        <f>SUMIF(D$3:$AA1347,"&lt;="&amp;$AH$1)/COUNTIF(D$3:$AA1347,"&lt;="&amp;$AH$1)</f>
        <v>30.326700558379972</v>
      </c>
    </row>
    <row r="1348" spans="2:34" x14ac:dyDescent="0.25">
      <c r="B1348" s="910">
        <v>40714</v>
      </c>
      <c r="C1348" s="581">
        <f t="shared" ref="C1348:C1411" si="64">MONTH(B1348)</f>
        <v>6</v>
      </c>
      <c r="D1348" s="171">
        <v>37.71</v>
      </c>
      <c r="E1348" s="171">
        <v>15.43</v>
      </c>
      <c r="F1348" s="171">
        <v>7.29</v>
      </c>
      <c r="G1348" s="171">
        <v>4.9400000000000004</v>
      </c>
      <c r="H1348" s="171">
        <v>5.25</v>
      </c>
      <c r="I1348" s="171">
        <v>10.14</v>
      </c>
      <c r="J1348" s="171">
        <v>47.33</v>
      </c>
      <c r="K1348" s="171">
        <v>54.01</v>
      </c>
      <c r="L1348" s="171">
        <v>57.800000000000004</v>
      </c>
      <c r="M1348" s="171">
        <v>56.19</v>
      </c>
      <c r="N1348" s="171">
        <v>60</v>
      </c>
      <c r="O1348" s="171">
        <v>64.63</v>
      </c>
      <c r="P1348" s="171">
        <v>65.27</v>
      </c>
      <c r="Q1348" s="171">
        <v>64.66</v>
      </c>
      <c r="R1348" s="171">
        <v>65.05</v>
      </c>
      <c r="S1348" s="171">
        <v>61.32</v>
      </c>
      <c r="T1348" s="171">
        <v>59.29</v>
      </c>
      <c r="U1348" s="171">
        <v>61.230000000000004</v>
      </c>
      <c r="V1348" s="171">
        <v>63.84</v>
      </c>
      <c r="W1348" s="171">
        <v>60.730000000000004</v>
      </c>
      <c r="X1348" s="171">
        <v>55</v>
      </c>
      <c r="Y1348" s="171">
        <v>51.67</v>
      </c>
      <c r="Z1348" s="171">
        <v>53.56</v>
      </c>
      <c r="AA1348" s="171">
        <v>49.25</v>
      </c>
      <c r="AB1348" s="171">
        <v>65.27</v>
      </c>
      <c r="AC1348" s="171">
        <v>51.67</v>
      </c>
      <c r="AD1348" s="171">
        <v>32.630000000000003</v>
      </c>
      <c r="AF1348" s="171">
        <f t="shared" ref="AF1348:AF1411" si="65">YEAR(B1348)</f>
        <v>2011</v>
      </c>
      <c r="AG1348" s="171">
        <f t="shared" ref="AG1348:AG1411" si="66">COUNTIF(D1348:AA1348,"&lt;="&amp;$AH$1)</f>
        <v>6</v>
      </c>
      <c r="AH1348" s="700">
        <f>SUMIF(D$3:$AA1348,"&lt;="&amp;$AH$1)/COUNTIF(D$3:$AA1348,"&lt;="&amp;$AH$1)</f>
        <v>30.318270720533221</v>
      </c>
    </row>
    <row r="1349" spans="2:34" x14ac:dyDescent="0.25">
      <c r="B1349" s="910">
        <v>40715</v>
      </c>
      <c r="C1349" s="581">
        <f t="shared" si="64"/>
        <v>6</v>
      </c>
      <c r="D1349" s="171">
        <v>48.39</v>
      </c>
      <c r="E1349" s="171">
        <v>45.46</v>
      </c>
      <c r="F1349" s="171">
        <v>42.43</v>
      </c>
      <c r="G1349" s="171">
        <v>41.03</v>
      </c>
      <c r="H1349" s="171">
        <v>39.01</v>
      </c>
      <c r="I1349" s="171">
        <v>44.75</v>
      </c>
      <c r="J1349" s="171">
        <v>49.15</v>
      </c>
      <c r="K1349" s="171">
        <v>58.32</v>
      </c>
      <c r="L1349" s="171">
        <v>66.02</v>
      </c>
      <c r="M1349" s="171">
        <v>68.52</v>
      </c>
      <c r="N1349" s="171">
        <v>69.760000000000005</v>
      </c>
      <c r="O1349" s="171">
        <v>70.47</v>
      </c>
      <c r="P1349" s="171">
        <v>68.570000000000007</v>
      </c>
      <c r="Q1349" s="171">
        <v>66.25</v>
      </c>
      <c r="R1349" s="171">
        <v>63.190000000000005</v>
      </c>
      <c r="S1349" s="171">
        <v>58.480000000000004</v>
      </c>
      <c r="T1349" s="171">
        <v>57.76</v>
      </c>
      <c r="U1349" s="171">
        <v>57.870000000000005</v>
      </c>
      <c r="V1349" s="171">
        <v>57.93</v>
      </c>
      <c r="W1349" s="171">
        <v>58.19</v>
      </c>
      <c r="X1349" s="171">
        <v>56.68</v>
      </c>
      <c r="Y1349" s="171">
        <v>56.17</v>
      </c>
      <c r="Z1349" s="171">
        <v>52.61</v>
      </c>
      <c r="AA1349" s="171">
        <v>49.86</v>
      </c>
      <c r="AB1349" s="171">
        <v>70.47</v>
      </c>
      <c r="AC1349" s="171">
        <v>52.61</v>
      </c>
      <c r="AD1349" s="171">
        <v>48.65</v>
      </c>
      <c r="AF1349" s="171">
        <f t="shared" si="65"/>
        <v>2011</v>
      </c>
      <c r="AG1349" s="171">
        <f t="shared" si="66"/>
        <v>3</v>
      </c>
      <c r="AH1349" s="700">
        <f>SUMIF(D$3:$AA1349,"&lt;="&amp;$AH$1)/COUNTIF(D$3:$AA1349,"&lt;="&amp;$AH$1)</f>
        <v>30.320895236509106</v>
      </c>
    </row>
    <row r="1350" spans="2:34" x14ac:dyDescent="0.25">
      <c r="B1350" s="910">
        <v>40716</v>
      </c>
      <c r="C1350" s="581">
        <f t="shared" si="64"/>
        <v>6</v>
      </c>
      <c r="D1350" s="171">
        <v>46.910000000000004</v>
      </c>
      <c r="E1350" s="171">
        <v>43.03</v>
      </c>
      <c r="F1350" s="171">
        <v>41.09</v>
      </c>
      <c r="G1350" s="171">
        <v>37.68</v>
      </c>
      <c r="H1350" s="171">
        <v>39</v>
      </c>
      <c r="I1350" s="171">
        <v>45</v>
      </c>
      <c r="J1350" s="171">
        <v>49.230000000000004</v>
      </c>
      <c r="K1350" s="171">
        <v>56.44</v>
      </c>
      <c r="L1350" s="171">
        <v>60.15</v>
      </c>
      <c r="M1350" s="171">
        <v>60.620000000000005</v>
      </c>
      <c r="N1350" s="171">
        <v>63.35</v>
      </c>
      <c r="O1350" s="171">
        <v>65.97</v>
      </c>
      <c r="P1350" s="171">
        <v>64.599999999999994</v>
      </c>
      <c r="Q1350" s="171">
        <v>64.53</v>
      </c>
      <c r="R1350" s="171">
        <v>62.13</v>
      </c>
      <c r="S1350" s="171">
        <v>59.68</v>
      </c>
      <c r="T1350" s="171">
        <v>58.230000000000004</v>
      </c>
      <c r="U1350" s="171">
        <v>59.76</v>
      </c>
      <c r="V1350" s="171">
        <v>57.95</v>
      </c>
      <c r="W1350" s="171">
        <v>54.03</v>
      </c>
      <c r="X1350" s="171">
        <v>52.81</v>
      </c>
      <c r="Y1350" s="171">
        <v>51.28</v>
      </c>
      <c r="Z1350" s="171">
        <v>53.04</v>
      </c>
      <c r="AA1350" s="171">
        <v>48.11</v>
      </c>
      <c r="AB1350" s="171">
        <v>65.97</v>
      </c>
      <c r="AC1350" s="171">
        <v>51.28</v>
      </c>
      <c r="AD1350" s="171">
        <v>46.97</v>
      </c>
      <c r="AF1350" s="171">
        <f t="shared" si="65"/>
        <v>2011</v>
      </c>
      <c r="AG1350" s="171">
        <f t="shared" si="66"/>
        <v>3</v>
      </c>
      <c r="AH1350" s="700">
        <f>SUMIF(D$3:$AA1350,"&lt;="&amp;$AH$1)/COUNTIF(D$3:$AA1350,"&lt;="&amp;$AH$1)</f>
        <v>30.323127133461107</v>
      </c>
    </row>
    <row r="1351" spans="2:34" x14ac:dyDescent="0.25">
      <c r="B1351" s="910">
        <v>40717</v>
      </c>
      <c r="C1351" s="581">
        <f t="shared" si="64"/>
        <v>6</v>
      </c>
      <c r="D1351" s="171">
        <v>42</v>
      </c>
      <c r="E1351" s="171">
        <v>31.52</v>
      </c>
      <c r="F1351" s="171">
        <v>23.57</v>
      </c>
      <c r="G1351" s="171">
        <v>20.990000000000002</v>
      </c>
      <c r="H1351" s="171">
        <v>24.55</v>
      </c>
      <c r="I1351" s="171">
        <v>28.900000000000002</v>
      </c>
      <c r="J1351" s="171">
        <v>41.800000000000004</v>
      </c>
      <c r="K1351" s="171">
        <v>48.99</v>
      </c>
      <c r="L1351" s="171">
        <v>49.9</v>
      </c>
      <c r="M1351" s="171">
        <v>53</v>
      </c>
      <c r="N1351" s="171">
        <v>56.85</v>
      </c>
      <c r="O1351" s="171">
        <v>65.12</v>
      </c>
      <c r="P1351" s="171">
        <v>57.93</v>
      </c>
      <c r="Q1351" s="171">
        <v>58.2</v>
      </c>
      <c r="R1351" s="171">
        <v>55</v>
      </c>
      <c r="S1351" s="171">
        <v>49.96</v>
      </c>
      <c r="T1351" s="171">
        <v>49.7</v>
      </c>
      <c r="U1351" s="171">
        <v>50.51</v>
      </c>
      <c r="V1351" s="171">
        <v>52.84</v>
      </c>
      <c r="W1351" s="171">
        <v>51.24</v>
      </c>
      <c r="X1351" s="171">
        <v>53.6</v>
      </c>
      <c r="Y1351" s="171">
        <v>53</v>
      </c>
      <c r="Z1351" s="171">
        <v>56.65</v>
      </c>
      <c r="AA1351" s="171">
        <v>49.34</v>
      </c>
      <c r="AB1351" s="171">
        <v>65.12</v>
      </c>
      <c r="AC1351" s="171">
        <v>48.99</v>
      </c>
      <c r="AD1351" s="171">
        <v>39.58</v>
      </c>
      <c r="AF1351" s="171">
        <f t="shared" si="65"/>
        <v>2011</v>
      </c>
      <c r="AG1351" s="171">
        <f t="shared" si="66"/>
        <v>7</v>
      </c>
      <c r="AH1351" s="700">
        <f>SUMIF(D$3:$AA1351,"&lt;="&amp;$AH$1)/COUNTIF(D$3:$AA1351,"&lt;="&amp;$AH$1)</f>
        <v>30.32321600931947</v>
      </c>
    </row>
    <row r="1352" spans="2:34" x14ac:dyDescent="0.25">
      <c r="B1352" s="910">
        <v>40718</v>
      </c>
      <c r="C1352" s="581">
        <f t="shared" si="64"/>
        <v>6</v>
      </c>
      <c r="D1352" s="171">
        <v>44.04</v>
      </c>
      <c r="E1352" s="171">
        <v>40.03</v>
      </c>
      <c r="F1352" s="171">
        <v>36</v>
      </c>
      <c r="G1352" s="171">
        <v>29.98</v>
      </c>
      <c r="H1352" s="171">
        <v>26.62</v>
      </c>
      <c r="I1352" s="171">
        <v>37.21</v>
      </c>
      <c r="J1352" s="171">
        <v>44.94</v>
      </c>
      <c r="K1352" s="171">
        <v>57.64</v>
      </c>
      <c r="L1352" s="171">
        <v>61.620000000000005</v>
      </c>
      <c r="M1352" s="171">
        <v>61.19</v>
      </c>
      <c r="N1352" s="171">
        <v>62.93</v>
      </c>
      <c r="O1352" s="171">
        <v>63.42</v>
      </c>
      <c r="P1352" s="171">
        <v>62.84</v>
      </c>
      <c r="Q1352" s="171">
        <v>57.52</v>
      </c>
      <c r="R1352" s="171">
        <v>52.6</v>
      </c>
      <c r="S1352" s="171">
        <v>49.2</v>
      </c>
      <c r="T1352" s="171">
        <v>47.44</v>
      </c>
      <c r="U1352" s="171">
        <v>48.480000000000004</v>
      </c>
      <c r="V1352" s="171">
        <v>52.56</v>
      </c>
      <c r="W1352" s="171">
        <v>55.300000000000004</v>
      </c>
      <c r="X1352" s="171">
        <v>54.63</v>
      </c>
      <c r="Y1352" s="171">
        <v>52.02</v>
      </c>
      <c r="Z1352" s="171">
        <v>56.620000000000005</v>
      </c>
      <c r="AA1352" s="171">
        <v>53.02</v>
      </c>
      <c r="AB1352" s="171">
        <v>63.42</v>
      </c>
      <c r="AC1352" s="171">
        <v>47.44</v>
      </c>
      <c r="AD1352" s="171">
        <v>44.4</v>
      </c>
      <c r="AF1352" s="171">
        <f t="shared" si="65"/>
        <v>2011</v>
      </c>
      <c r="AG1352" s="171">
        <f t="shared" si="66"/>
        <v>5</v>
      </c>
      <c r="AH1352" s="700">
        <f>SUMIF(D$3:$AA1352,"&lt;="&amp;$AH$1)/COUNTIF(D$3:$AA1352,"&lt;="&amp;$AH$1)</f>
        <v>30.324731764118887</v>
      </c>
    </row>
    <row r="1353" spans="2:34" x14ac:dyDescent="0.25">
      <c r="B1353" s="910">
        <v>40721</v>
      </c>
      <c r="C1353" s="581">
        <f t="shared" si="64"/>
        <v>6</v>
      </c>
      <c r="D1353" s="171">
        <v>46.2</v>
      </c>
      <c r="E1353" s="171">
        <v>43.050000000000004</v>
      </c>
      <c r="F1353" s="171">
        <v>41.410000000000004</v>
      </c>
      <c r="G1353" s="171">
        <v>39.57</v>
      </c>
      <c r="H1353" s="171">
        <v>39.660000000000004</v>
      </c>
      <c r="I1353" s="171">
        <v>42.25</v>
      </c>
      <c r="J1353" s="171">
        <v>47.81</v>
      </c>
      <c r="K1353" s="171">
        <v>57.160000000000004</v>
      </c>
      <c r="L1353" s="171">
        <v>57.1</v>
      </c>
      <c r="M1353" s="171">
        <v>59.050000000000004</v>
      </c>
      <c r="N1353" s="171">
        <v>61.63</v>
      </c>
      <c r="O1353" s="171">
        <v>63.9</v>
      </c>
      <c r="P1353" s="171">
        <v>64.87</v>
      </c>
      <c r="Q1353" s="171">
        <v>62.96</v>
      </c>
      <c r="R1353" s="171">
        <v>63.99</v>
      </c>
      <c r="S1353" s="171">
        <v>61.59</v>
      </c>
      <c r="T1353" s="171">
        <v>61.940000000000005</v>
      </c>
      <c r="U1353" s="171">
        <v>61.67</v>
      </c>
      <c r="V1353" s="171">
        <v>62.17</v>
      </c>
      <c r="W1353" s="171">
        <v>62.24</v>
      </c>
      <c r="X1353" s="171">
        <v>57.13</v>
      </c>
      <c r="Y1353" s="171">
        <v>53.02</v>
      </c>
      <c r="Z1353" s="171">
        <v>53.02</v>
      </c>
      <c r="AA1353" s="171">
        <v>45.1</v>
      </c>
      <c r="AB1353" s="171">
        <v>64.87</v>
      </c>
      <c r="AC1353" s="171">
        <v>53.02</v>
      </c>
      <c r="AD1353" s="171">
        <v>47.12</v>
      </c>
      <c r="AF1353" s="171">
        <f t="shared" si="65"/>
        <v>2011</v>
      </c>
      <c r="AG1353" s="171">
        <f t="shared" si="66"/>
        <v>4</v>
      </c>
      <c r="AH1353" s="700">
        <f>SUMIF(D$3:$AA1353,"&lt;="&amp;$AH$1)/COUNTIF(D$3:$AA1353,"&lt;="&amp;$AH$1)</f>
        <v>30.328189906044845</v>
      </c>
    </row>
    <row r="1354" spans="2:34" x14ac:dyDescent="0.25">
      <c r="B1354" s="910">
        <v>40722</v>
      </c>
      <c r="C1354" s="581">
        <f t="shared" si="64"/>
        <v>6</v>
      </c>
      <c r="D1354" s="171">
        <v>40.28</v>
      </c>
      <c r="E1354" s="171">
        <v>36.76</v>
      </c>
      <c r="F1354" s="171">
        <v>31.810000000000002</v>
      </c>
      <c r="G1354" s="171">
        <v>29.52</v>
      </c>
      <c r="H1354" s="171">
        <v>31.28</v>
      </c>
      <c r="I1354" s="171">
        <v>40.35</v>
      </c>
      <c r="J1354" s="171">
        <v>46.96</v>
      </c>
      <c r="K1354" s="171">
        <v>56.72</v>
      </c>
      <c r="L1354" s="171">
        <v>60.72</v>
      </c>
      <c r="M1354" s="171">
        <v>59.660000000000004</v>
      </c>
      <c r="N1354" s="171">
        <v>64.930000000000007</v>
      </c>
      <c r="O1354" s="171">
        <v>66.260000000000005</v>
      </c>
      <c r="P1354" s="171">
        <v>70.69</v>
      </c>
      <c r="Q1354" s="171">
        <v>69.960000000000008</v>
      </c>
      <c r="R1354" s="171">
        <v>73.84</v>
      </c>
      <c r="S1354" s="171">
        <v>65</v>
      </c>
      <c r="T1354" s="171">
        <v>60</v>
      </c>
      <c r="U1354" s="171">
        <v>59.99</v>
      </c>
      <c r="V1354" s="171">
        <v>59.18</v>
      </c>
      <c r="W1354" s="171">
        <v>57.94</v>
      </c>
      <c r="X1354" s="171">
        <v>53.27</v>
      </c>
      <c r="Y1354" s="171">
        <v>52.300000000000004</v>
      </c>
      <c r="Z1354" s="171">
        <v>54.27</v>
      </c>
      <c r="AA1354" s="171">
        <v>47.22</v>
      </c>
      <c r="AB1354" s="171">
        <v>73.84</v>
      </c>
      <c r="AC1354" s="171">
        <v>52.300000000000004</v>
      </c>
      <c r="AD1354" s="171">
        <v>43.4</v>
      </c>
      <c r="AF1354" s="171">
        <f t="shared" si="65"/>
        <v>2011</v>
      </c>
      <c r="AG1354" s="171">
        <f t="shared" si="66"/>
        <v>6</v>
      </c>
      <c r="AH1354" s="700">
        <f>SUMIF(D$3:$AA1354,"&lt;="&amp;$AH$1)/COUNTIF(D$3:$AA1354,"&lt;="&amp;$AH$1)</f>
        <v>30.330519404969785</v>
      </c>
    </row>
    <row r="1355" spans="2:34" x14ac:dyDescent="0.25">
      <c r="B1355" s="910">
        <v>40723</v>
      </c>
      <c r="C1355" s="581">
        <f t="shared" si="64"/>
        <v>6</v>
      </c>
      <c r="D1355" s="171">
        <v>42.53</v>
      </c>
      <c r="E1355" s="171">
        <v>38.480000000000004</v>
      </c>
      <c r="F1355" s="171">
        <v>36.880000000000003</v>
      </c>
      <c r="G1355" s="171">
        <v>35.58</v>
      </c>
      <c r="H1355" s="171">
        <v>35.29</v>
      </c>
      <c r="I1355" s="171">
        <v>40.1</v>
      </c>
      <c r="J1355" s="171">
        <v>46.96</v>
      </c>
      <c r="K1355" s="171">
        <v>55</v>
      </c>
      <c r="L1355" s="171">
        <v>55.08</v>
      </c>
      <c r="M1355" s="171">
        <v>56.18</v>
      </c>
      <c r="N1355" s="171">
        <v>59.15</v>
      </c>
      <c r="O1355" s="171">
        <v>63.190000000000005</v>
      </c>
      <c r="P1355" s="171">
        <v>62.92</v>
      </c>
      <c r="Q1355" s="171">
        <v>63.68</v>
      </c>
      <c r="R1355" s="171">
        <v>63.04</v>
      </c>
      <c r="S1355" s="171">
        <v>61.25</v>
      </c>
      <c r="T1355" s="171">
        <v>57.96</v>
      </c>
      <c r="U1355" s="171">
        <v>57.03</v>
      </c>
      <c r="V1355" s="171">
        <v>57.25</v>
      </c>
      <c r="W1355" s="171">
        <v>53.2</v>
      </c>
      <c r="X1355" s="171">
        <v>51.59</v>
      </c>
      <c r="Y1355" s="171">
        <v>50.480000000000004</v>
      </c>
      <c r="Z1355" s="171">
        <v>54</v>
      </c>
      <c r="AA1355" s="171">
        <v>50.57</v>
      </c>
      <c r="AB1355" s="171">
        <v>63.68</v>
      </c>
      <c r="AC1355" s="171">
        <v>50.480000000000004</v>
      </c>
      <c r="AD1355" s="171">
        <v>44.79</v>
      </c>
      <c r="AF1355" s="171">
        <f t="shared" si="65"/>
        <v>2011</v>
      </c>
      <c r="AG1355" s="171">
        <f t="shared" si="66"/>
        <v>6</v>
      </c>
      <c r="AH1355" s="700">
        <f>SUMIF(D$3:$AA1355,"&lt;="&amp;$AH$1)/COUNTIF(D$3:$AA1355,"&lt;="&amp;$AH$1)</f>
        <v>30.334413157239091</v>
      </c>
    </row>
    <row r="1356" spans="2:34" x14ac:dyDescent="0.25">
      <c r="B1356" s="910">
        <v>40724</v>
      </c>
      <c r="C1356" s="581">
        <f t="shared" si="64"/>
        <v>6</v>
      </c>
      <c r="D1356" s="171">
        <v>42.57</v>
      </c>
      <c r="E1356" s="171">
        <v>40.200000000000003</v>
      </c>
      <c r="F1356" s="171">
        <v>36.130000000000003</v>
      </c>
      <c r="G1356" s="171">
        <v>33.1</v>
      </c>
      <c r="H1356" s="171">
        <v>35.03</v>
      </c>
      <c r="I1356" s="171">
        <v>40.520000000000003</v>
      </c>
      <c r="J1356" s="171">
        <v>49.51</v>
      </c>
      <c r="K1356" s="171">
        <v>57.050000000000004</v>
      </c>
      <c r="L1356" s="171">
        <v>58.81</v>
      </c>
      <c r="M1356" s="171">
        <v>61.27</v>
      </c>
      <c r="N1356" s="171">
        <v>61.19</v>
      </c>
      <c r="O1356" s="171">
        <v>62</v>
      </c>
      <c r="P1356" s="171">
        <v>58.77</v>
      </c>
      <c r="Q1356" s="171">
        <v>58.980000000000004</v>
      </c>
      <c r="R1356" s="171">
        <v>58.160000000000004</v>
      </c>
      <c r="S1356" s="171">
        <v>54.620000000000005</v>
      </c>
      <c r="T1356" s="171">
        <v>51.99</v>
      </c>
      <c r="U1356" s="171">
        <v>52.01</v>
      </c>
      <c r="V1356" s="171">
        <v>55.06</v>
      </c>
      <c r="W1356" s="171">
        <v>55</v>
      </c>
      <c r="X1356" s="171">
        <v>52.370000000000005</v>
      </c>
      <c r="Y1356" s="171">
        <v>51.07</v>
      </c>
      <c r="Z1356" s="171">
        <v>54.96</v>
      </c>
      <c r="AA1356" s="171">
        <v>49.32</v>
      </c>
      <c r="AB1356" s="171">
        <v>62</v>
      </c>
      <c r="AC1356" s="171">
        <v>51.07</v>
      </c>
      <c r="AD1356" s="171">
        <v>45.15</v>
      </c>
      <c r="AF1356" s="171">
        <f t="shared" si="65"/>
        <v>2011</v>
      </c>
      <c r="AG1356" s="171">
        <f t="shared" si="66"/>
        <v>5</v>
      </c>
      <c r="AH1356" s="700">
        <f>SUMIF(D$3:$AA1356,"&lt;="&amp;$AH$1)/COUNTIF(D$3:$AA1356,"&lt;="&amp;$AH$1)</f>
        <v>30.337178678180127</v>
      </c>
    </row>
    <row r="1357" spans="2:34" x14ac:dyDescent="0.25">
      <c r="B1357" s="910">
        <v>40725</v>
      </c>
      <c r="C1357" s="581">
        <f t="shared" si="64"/>
        <v>7</v>
      </c>
      <c r="D1357" s="171">
        <v>45.980000000000004</v>
      </c>
      <c r="E1357" s="171">
        <v>42.910000000000004</v>
      </c>
      <c r="F1357" s="171">
        <v>38.58</v>
      </c>
      <c r="G1357" s="171">
        <v>34.980000000000004</v>
      </c>
      <c r="H1357" s="171">
        <v>32.18</v>
      </c>
      <c r="I1357" s="171">
        <v>40.550000000000004</v>
      </c>
      <c r="J1357" s="171">
        <v>49.17</v>
      </c>
      <c r="K1357" s="171">
        <v>59.120000000000005</v>
      </c>
      <c r="L1357" s="171">
        <v>60.72</v>
      </c>
      <c r="M1357" s="171">
        <v>60.58</v>
      </c>
      <c r="N1357" s="171">
        <v>61.47</v>
      </c>
      <c r="O1357" s="171">
        <v>62.07</v>
      </c>
      <c r="P1357" s="171">
        <v>61.050000000000004</v>
      </c>
      <c r="Q1357" s="171">
        <v>59.94</v>
      </c>
      <c r="R1357" s="171">
        <v>55.07</v>
      </c>
      <c r="S1357" s="171">
        <v>53.02</v>
      </c>
      <c r="T1357" s="171">
        <v>49.9</v>
      </c>
      <c r="U1357" s="171">
        <v>49.21</v>
      </c>
      <c r="V1357" s="171">
        <v>53.04</v>
      </c>
      <c r="W1357" s="171">
        <v>50.54</v>
      </c>
      <c r="X1357" s="171">
        <v>49.94</v>
      </c>
      <c r="Y1357" s="171">
        <v>50.45</v>
      </c>
      <c r="Z1357" s="171">
        <v>53.03</v>
      </c>
      <c r="AA1357" s="171">
        <v>49.25</v>
      </c>
      <c r="AB1357" s="171">
        <v>62.07</v>
      </c>
      <c r="AC1357" s="171">
        <v>49.21</v>
      </c>
      <c r="AD1357" s="171">
        <v>45.51</v>
      </c>
      <c r="AF1357" s="171">
        <f t="shared" si="65"/>
        <v>2011</v>
      </c>
      <c r="AG1357" s="171">
        <f t="shared" si="66"/>
        <v>4</v>
      </c>
      <c r="AH1357" s="700">
        <f>SUMIF(D$3:$AA1357,"&lt;="&amp;$AH$1)/COUNTIF(D$3:$AA1357,"&lt;="&amp;$AH$1)</f>
        <v>30.339248837981525</v>
      </c>
    </row>
    <row r="1358" spans="2:34" x14ac:dyDescent="0.25">
      <c r="B1358" s="910">
        <v>40728</v>
      </c>
      <c r="C1358" s="581">
        <f t="shared" si="64"/>
        <v>7</v>
      </c>
      <c r="D1358" s="171">
        <v>43.9</v>
      </c>
      <c r="E1358" s="171">
        <v>38.619999999999997</v>
      </c>
      <c r="F1358" s="171">
        <v>36.69</v>
      </c>
      <c r="G1358" s="171">
        <v>32.31</v>
      </c>
      <c r="H1358" s="171">
        <v>30.34</v>
      </c>
      <c r="I1358" s="171">
        <v>37.270000000000003</v>
      </c>
      <c r="J1358" s="171">
        <v>45.52</v>
      </c>
      <c r="K1358" s="171">
        <v>55.410000000000004</v>
      </c>
      <c r="L1358" s="171">
        <v>58.83</v>
      </c>
      <c r="M1358" s="171">
        <v>60.800000000000004</v>
      </c>
      <c r="N1358" s="171">
        <v>63.190000000000005</v>
      </c>
      <c r="O1358" s="171">
        <v>66.28</v>
      </c>
      <c r="P1358" s="171">
        <v>65.02</v>
      </c>
      <c r="Q1358" s="171">
        <v>64.42</v>
      </c>
      <c r="R1358" s="171">
        <v>62.410000000000004</v>
      </c>
      <c r="S1358" s="171">
        <v>61.21</v>
      </c>
      <c r="T1358" s="171">
        <v>58.58</v>
      </c>
      <c r="U1358" s="171">
        <v>59.68</v>
      </c>
      <c r="V1358" s="171">
        <v>60.83</v>
      </c>
      <c r="W1358" s="171">
        <v>61.07</v>
      </c>
      <c r="X1358" s="171">
        <v>54.72</v>
      </c>
      <c r="Y1358" s="171">
        <v>53.6</v>
      </c>
      <c r="Z1358" s="171">
        <v>56.72</v>
      </c>
      <c r="AA1358" s="171">
        <v>51.910000000000004</v>
      </c>
      <c r="AB1358" s="171">
        <v>66.28</v>
      </c>
      <c r="AC1358" s="171">
        <v>53.6</v>
      </c>
      <c r="AD1358" s="171">
        <v>44.75</v>
      </c>
      <c r="AF1358" s="171">
        <f t="shared" si="65"/>
        <v>2011</v>
      </c>
      <c r="AG1358" s="171">
        <f t="shared" si="66"/>
        <v>5</v>
      </c>
      <c r="AH1358" s="700">
        <f>SUMIF(D$3:$AA1358,"&lt;="&amp;$AH$1)/COUNTIF(D$3:$AA1358,"&lt;="&amp;$AH$1)</f>
        <v>30.34120136065722</v>
      </c>
    </row>
    <row r="1359" spans="2:34" x14ac:dyDescent="0.25">
      <c r="B1359" s="910">
        <v>40729</v>
      </c>
      <c r="C1359" s="581">
        <f t="shared" si="64"/>
        <v>7</v>
      </c>
      <c r="D1359" s="171">
        <v>46.71</v>
      </c>
      <c r="E1359" s="171">
        <v>41.2</v>
      </c>
      <c r="F1359" s="171">
        <v>39.46</v>
      </c>
      <c r="G1359" s="171">
        <v>40.72</v>
      </c>
      <c r="H1359" s="171">
        <v>38.5</v>
      </c>
      <c r="I1359" s="171">
        <v>39.550000000000004</v>
      </c>
      <c r="J1359" s="171">
        <v>49.96</v>
      </c>
      <c r="K1359" s="171">
        <v>59.980000000000004</v>
      </c>
      <c r="L1359" s="171">
        <v>61.64</v>
      </c>
      <c r="M1359" s="171">
        <v>60.980000000000004</v>
      </c>
      <c r="N1359" s="171">
        <v>64.38</v>
      </c>
      <c r="O1359" s="171">
        <v>67.099999999999994</v>
      </c>
      <c r="P1359" s="171">
        <v>65</v>
      </c>
      <c r="Q1359" s="171">
        <v>63.27</v>
      </c>
      <c r="R1359" s="171">
        <v>61.32</v>
      </c>
      <c r="S1359" s="171">
        <v>61.64</v>
      </c>
      <c r="T1359" s="171">
        <v>59.94</v>
      </c>
      <c r="U1359" s="171">
        <v>59.93</v>
      </c>
      <c r="V1359" s="171">
        <v>59.95</v>
      </c>
      <c r="W1359" s="171">
        <v>57.99</v>
      </c>
      <c r="X1359" s="171">
        <v>56.17</v>
      </c>
      <c r="Y1359" s="171">
        <v>53.64</v>
      </c>
      <c r="Z1359" s="171">
        <v>54</v>
      </c>
      <c r="AA1359" s="171">
        <v>49.56</v>
      </c>
      <c r="AB1359" s="171">
        <v>67.099999999999994</v>
      </c>
      <c r="AC1359" s="171">
        <v>53.64</v>
      </c>
      <c r="AD1359" s="171">
        <v>47.45</v>
      </c>
      <c r="AF1359" s="171">
        <f t="shared" si="65"/>
        <v>2011</v>
      </c>
      <c r="AG1359" s="171">
        <f t="shared" si="66"/>
        <v>5</v>
      </c>
      <c r="AH1359" s="700">
        <f>SUMIF(D$3:$AA1359,"&lt;="&amp;$AH$1)/COUNTIF(D$3:$AA1359,"&lt;="&amp;$AH$1)</f>
        <v>30.345159230386585</v>
      </c>
    </row>
    <row r="1360" spans="2:34" x14ac:dyDescent="0.25">
      <c r="B1360" s="910">
        <v>40730</v>
      </c>
      <c r="C1360" s="581">
        <f t="shared" si="64"/>
        <v>7</v>
      </c>
      <c r="D1360" s="171">
        <v>45.25</v>
      </c>
      <c r="E1360" s="171">
        <v>41.58</v>
      </c>
      <c r="F1360" s="171">
        <v>39.880000000000003</v>
      </c>
      <c r="G1360" s="171">
        <v>38.93</v>
      </c>
      <c r="H1360" s="171">
        <v>38.660000000000004</v>
      </c>
      <c r="I1360" s="171">
        <v>41.29</v>
      </c>
      <c r="J1360" s="171">
        <v>49.38</v>
      </c>
      <c r="K1360" s="171">
        <v>58.18</v>
      </c>
      <c r="L1360" s="171">
        <v>61</v>
      </c>
      <c r="M1360" s="171">
        <v>59.660000000000004</v>
      </c>
      <c r="N1360" s="171">
        <v>60.43</v>
      </c>
      <c r="O1360" s="171">
        <v>61.06</v>
      </c>
      <c r="P1360" s="171">
        <v>59.67</v>
      </c>
      <c r="Q1360" s="171">
        <v>59.26</v>
      </c>
      <c r="R1360" s="171">
        <v>57.93</v>
      </c>
      <c r="S1360" s="171">
        <v>56.370000000000005</v>
      </c>
      <c r="T1360" s="171">
        <v>54.02</v>
      </c>
      <c r="U1360" s="171">
        <v>53.76</v>
      </c>
      <c r="V1360" s="171">
        <v>59.03</v>
      </c>
      <c r="W1360" s="171">
        <v>59.97</v>
      </c>
      <c r="X1360" s="171">
        <v>60.08</v>
      </c>
      <c r="Y1360" s="171">
        <v>59.04</v>
      </c>
      <c r="Z1360" s="171">
        <v>58.52</v>
      </c>
      <c r="AA1360" s="171">
        <v>51.93</v>
      </c>
      <c r="AB1360" s="171">
        <v>61.06</v>
      </c>
      <c r="AC1360" s="171">
        <v>53.76</v>
      </c>
      <c r="AD1360" s="171">
        <v>48.56</v>
      </c>
      <c r="AF1360" s="171">
        <f t="shared" si="65"/>
        <v>2011</v>
      </c>
      <c r="AG1360" s="171">
        <f t="shared" si="66"/>
        <v>5</v>
      </c>
      <c r="AH1360" s="700">
        <f>SUMIF(D$3:$AA1360,"&lt;="&amp;$AH$1)/COUNTIF(D$3:$AA1360,"&lt;="&amp;$AH$1)</f>
        <v>30.349189256403996</v>
      </c>
    </row>
    <row r="1361" spans="2:34" x14ac:dyDescent="0.25">
      <c r="B1361" s="910">
        <v>40731</v>
      </c>
      <c r="C1361" s="581">
        <f t="shared" si="64"/>
        <v>7</v>
      </c>
      <c r="D1361" s="171">
        <v>46.77</v>
      </c>
      <c r="E1361" s="171">
        <v>43.78</v>
      </c>
      <c r="F1361" s="171">
        <v>39.26</v>
      </c>
      <c r="G1361" s="171">
        <v>39.300000000000004</v>
      </c>
      <c r="H1361" s="171">
        <v>39.200000000000003</v>
      </c>
      <c r="I1361" s="171">
        <v>42.160000000000004</v>
      </c>
      <c r="J1361" s="171">
        <v>49.89</v>
      </c>
      <c r="K1361" s="171">
        <v>59.82</v>
      </c>
      <c r="L1361" s="171">
        <v>60.63</v>
      </c>
      <c r="M1361" s="171">
        <v>61.97</v>
      </c>
      <c r="N1361" s="171">
        <v>64.45</v>
      </c>
      <c r="O1361" s="171">
        <v>67.58</v>
      </c>
      <c r="P1361" s="171">
        <v>64.650000000000006</v>
      </c>
      <c r="Q1361" s="171">
        <v>61.21</v>
      </c>
      <c r="R1361" s="171">
        <v>62.93</v>
      </c>
      <c r="S1361" s="171">
        <v>60.99</v>
      </c>
      <c r="T1361" s="171">
        <v>59.1</v>
      </c>
      <c r="U1361" s="171">
        <v>60.39</v>
      </c>
      <c r="V1361" s="171">
        <v>60.61</v>
      </c>
      <c r="W1361" s="171">
        <v>61.01</v>
      </c>
      <c r="X1361" s="171">
        <v>59.95</v>
      </c>
      <c r="Y1361" s="171">
        <v>56.980000000000004</v>
      </c>
      <c r="Z1361" s="171">
        <v>55</v>
      </c>
      <c r="AA1361" s="171">
        <v>49.300000000000004</v>
      </c>
      <c r="AB1361" s="171">
        <v>67.58</v>
      </c>
      <c r="AC1361" s="171">
        <v>55</v>
      </c>
      <c r="AD1361" s="171">
        <v>48.45</v>
      </c>
      <c r="AF1361" s="171">
        <f t="shared" si="65"/>
        <v>2011</v>
      </c>
      <c r="AG1361" s="171">
        <f t="shared" si="66"/>
        <v>4</v>
      </c>
      <c r="AH1361" s="700">
        <f>SUMIF(D$3:$AA1361,"&lt;="&amp;$AH$1)/COUNTIF(D$3:$AA1361,"&lt;="&amp;$AH$1)</f>
        <v>30.35238170216304</v>
      </c>
    </row>
    <row r="1362" spans="2:34" x14ac:dyDescent="0.25">
      <c r="B1362" s="910">
        <v>40732</v>
      </c>
      <c r="C1362" s="581">
        <f t="shared" si="64"/>
        <v>7</v>
      </c>
      <c r="D1362" s="171">
        <v>47.13</v>
      </c>
      <c r="E1362" s="171">
        <v>44.33</v>
      </c>
      <c r="F1362" s="171">
        <v>40.74</v>
      </c>
      <c r="G1362" s="171">
        <v>39.97</v>
      </c>
      <c r="H1362" s="171">
        <v>39.33</v>
      </c>
      <c r="I1362" s="171">
        <v>42.08</v>
      </c>
      <c r="J1362" s="171">
        <v>45.86</v>
      </c>
      <c r="K1362" s="171">
        <v>55.300000000000004</v>
      </c>
      <c r="L1362" s="171">
        <v>60.45</v>
      </c>
      <c r="M1362" s="171">
        <v>60.46</v>
      </c>
      <c r="N1362" s="171">
        <v>60.910000000000004</v>
      </c>
      <c r="O1362" s="171">
        <v>60.94</v>
      </c>
      <c r="P1362" s="171">
        <v>58.07</v>
      </c>
      <c r="Q1362" s="171">
        <v>56.65</v>
      </c>
      <c r="R1362" s="171">
        <v>53.19</v>
      </c>
      <c r="S1362" s="171">
        <v>51.25</v>
      </c>
      <c r="T1362" s="171">
        <v>51.9</v>
      </c>
      <c r="U1362" s="171">
        <v>53.27</v>
      </c>
      <c r="V1362" s="171">
        <v>55.65</v>
      </c>
      <c r="W1362" s="171">
        <v>55.22</v>
      </c>
      <c r="X1362" s="171">
        <v>55.29</v>
      </c>
      <c r="Y1362" s="171">
        <v>52.85</v>
      </c>
      <c r="Z1362" s="171">
        <v>56.02</v>
      </c>
      <c r="AA1362" s="171">
        <v>52.59</v>
      </c>
      <c r="AB1362" s="171">
        <v>60.94</v>
      </c>
      <c r="AC1362" s="171">
        <v>51.25</v>
      </c>
      <c r="AD1362" s="171">
        <v>47.62</v>
      </c>
      <c r="AF1362" s="171">
        <f t="shared" si="65"/>
        <v>2011</v>
      </c>
      <c r="AG1362" s="171">
        <f t="shared" si="66"/>
        <v>4</v>
      </c>
      <c r="AH1362" s="700">
        <f>SUMIF(D$3:$AA1362,"&lt;="&amp;$AH$1)/COUNTIF(D$3:$AA1362,"&lt;="&amp;$AH$1)</f>
        <v>30.35575428713457</v>
      </c>
    </row>
    <row r="1363" spans="2:34" x14ac:dyDescent="0.25">
      <c r="B1363" s="910">
        <v>40735</v>
      </c>
      <c r="C1363" s="581">
        <f t="shared" si="64"/>
        <v>7</v>
      </c>
      <c r="D1363" s="171">
        <v>45.25</v>
      </c>
      <c r="E1363" s="171">
        <v>43.37</v>
      </c>
      <c r="F1363" s="171">
        <v>41.65</v>
      </c>
      <c r="G1363" s="171">
        <v>40.800000000000004</v>
      </c>
      <c r="H1363" s="171">
        <v>40.96</v>
      </c>
      <c r="I1363" s="171">
        <v>42.28</v>
      </c>
      <c r="J1363" s="171">
        <v>54.03</v>
      </c>
      <c r="K1363" s="171">
        <v>63.08</v>
      </c>
      <c r="L1363" s="171">
        <v>62.980000000000004</v>
      </c>
      <c r="M1363" s="171">
        <v>63.730000000000004</v>
      </c>
      <c r="N1363" s="171">
        <v>63.72</v>
      </c>
      <c r="O1363" s="171">
        <v>65</v>
      </c>
      <c r="P1363" s="171">
        <v>65</v>
      </c>
      <c r="Q1363" s="171">
        <v>64.97</v>
      </c>
      <c r="R1363" s="171">
        <v>65.02</v>
      </c>
      <c r="S1363" s="171">
        <v>62.99</v>
      </c>
      <c r="T1363" s="171">
        <v>59.78</v>
      </c>
      <c r="U1363" s="171">
        <v>59.97</v>
      </c>
      <c r="V1363" s="171">
        <v>61.04</v>
      </c>
      <c r="W1363" s="171">
        <v>60.65</v>
      </c>
      <c r="X1363" s="171">
        <v>59.93</v>
      </c>
      <c r="Y1363" s="171">
        <v>56.92</v>
      </c>
      <c r="Z1363" s="171">
        <v>55.76</v>
      </c>
      <c r="AA1363" s="171">
        <v>48.800000000000004</v>
      </c>
      <c r="AB1363" s="171">
        <v>65.02</v>
      </c>
      <c r="AC1363" s="171">
        <v>55.76</v>
      </c>
      <c r="AD1363" s="171">
        <v>49.4</v>
      </c>
      <c r="AF1363" s="171">
        <f t="shared" si="65"/>
        <v>2011</v>
      </c>
      <c r="AG1363" s="171">
        <f t="shared" si="66"/>
        <v>4</v>
      </c>
      <c r="AH1363" s="700">
        <f>SUMIF(D$3:$AA1363,"&lt;="&amp;$AH$1)/COUNTIF(D$3:$AA1363,"&lt;="&amp;$AH$1)</f>
        <v>30.359420289855194</v>
      </c>
    </row>
    <row r="1364" spans="2:34" x14ac:dyDescent="0.25">
      <c r="B1364" s="910">
        <v>40736</v>
      </c>
      <c r="C1364" s="581">
        <f t="shared" si="64"/>
        <v>7</v>
      </c>
      <c r="D1364" s="171">
        <v>45.4</v>
      </c>
      <c r="E1364" s="171">
        <v>42.4</v>
      </c>
      <c r="F1364" s="171">
        <v>40.71</v>
      </c>
      <c r="G1364" s="171">
        <v>40.25</v>
      </c>
      <c r="H1364" s="171">
        <v>40.119999999999997</v>
      </c>
      <c r="I1364" s="171">
        <v>42.29</v>
      </c>
      <c r="J1364" s="171">
        <v>45.36</v>
      </c>
      <c r="K1364" s="171">
        <v>55.26</v>
      </c>
      <c r="L1364" s="171">
        <v>59.09</v>
      </c>
      <c r="M1364" s="171">
        <v>57.43</v>
      </c>
      <c r="N1364" s="171">
        <v>58.14</v>
      </c>
      <c r="O1364" s="171">
        <v>59.06</v>
      </c>
      <c r="P1364" s="171">
        <v>57.07</v>
      </c>
      <c r="Q1364" s="171">
        <v>57.230000000000004</v>
      </c>
      <c r="R1364" s="171">
        <v>57.59</v>
      </c>
      <c r="S1364" s="171">
        <v>55.52</v>
      </c>
      <c r="T1364" s="171">
        <v>54.15</v>
      </c>
      <c r="U1364" s="171">
        <v>54.59</v>
      </c>
      <c r="V1364" s="171">
        <v>56.06</v>
      </c>
      <c r="W1364" s="171">
        <v>53.25</v>
      </c>
      <c r="X1364" s="171">
        <v>52.39</v>
      </c>
      <c r="Y1364" s="171">
        <v>48.870000000000005</v>
      </c>
      <c r="Z1364" s="171">
        <v>49.64</v>
      </c>
      <c r="AA1364" s="171">
        <v>43.27</v>
      </c>
      <c r="AB1364" s="171">
        <v>59.09</v>
      </c>
      <c r="AC1364" s="171">
        <v>48.870000000000005</v>
      </c>
      <c r="AD1364" s="171">
        <v>45.5</v>
      </c>
      <c r="AF1364" s="171">
        <f t="shared" si="65"/>
        <v>2011</v>
      </c>
      <c r="AG1364" s="171">
        <f t="shared" si="66"/>
        <v>5</v>
      </c>
      <c r="AH1364" s="700">
        <f>SUMIF(D$3:$AA1364,"&lt;="&amp;$AH$1)/COUNTIF(D$3:$AA1364,"&lt;="&amp;$AH$1)</f>
        <v>30.363888245033234</v>
      </c>
    </row>
    <row r="1365" spans="2:34" x14ac:dyDescent="0.25">
      <c r="B1365" s="910">
        <v>40737</v>
      </c>
      <c r="C1365" s="581">
        <f t="shared" si="64"/>
        <v>7</v>
      </c>
      <c r="D1365" s="171">
        <v>41.51</v>
      </c>
      <c r="E1365" s="171">
        <v>38.160000000000004</v>
      </c>
      <c r="F1365" s="171">
        <v>36.130000000000003</v>
      </c>
      <c r="G1365" s="171">
        <v>35.090000000000003</v>
      </c>
      <c r="H1365" s="171">
        <v>36.07</v>
      </c>
      <c r="I1365" s="171">
        <v>40.6</v>
      </c>
      <c r="J1365" s="171">
        <v>46.13</v>
      </c>
      <c r="K1365" s="171">
        <v>54.01</v>
      </c>
      <c r="L1365" s="171">
        <v>54.160000000000004</v>
      </c>
      <c r="M1365" s="171">
        <v>59.49</v>
      </c>
      <c r="N1365" s="171">
        <v>60.93</v>
      </c>
      <c r="O1365" s="171">
        <v>61.26</v>
      </c>
      <c r="P1365" s="171">
        <v>59.75</v>
      </c>
      <c r="Q1365" s="171">
        <v>59.910000000000004</v>
      </c>
      <c r="R1365" s="171">
        <v>58.83</v>
      </c>
      <c r="S1365" s="171">
        <v>60.63</v>
      </c>
      <c r="T1365" s="171">
        <v>59</v>
      </c>
      <c r="U1365" s="171">
        <v>58.800000000000004</v>
      </c>
      <c r="V1365" s="171">
        <v>54.08</v>
      </c>
      <c r="W1365" s="171">
        <v>51.11</v>
      </c>
      <c r="X1365" s="171">
        <v>48</v>
      </c>
      <c r="Y1365" s="171">
        <v>47.69</v>
      </c>
      <c r="Z1365" s="171">
        <v>50.39</v>
      </c>
      <c r="AA1365" s="171">
        <v>43.09</v>
      </c>
      <c r="AB1365" s="171">
        <v>61.26</v>
      </c>
      <c r="AC1365" s="171">
        <v>47.69</v>
      </c>
      <c r="AD1365" s="171">
        <v>43.07</v>
      </c>
      <c r="AF1365" s="171">
        <f t="shared" si="65"/>
        <v>2011</v>
      </c>
      <c r="AG1365" s="171">
        <f t="shared" si="66"/>
        <v>6</v>
      </c>
      <c r="AH1365" s="700">
        <f>SUMIF(D$3:$AA1365,"&lt;="&amp;$AH$1)/COUNTIF(D$3:$AA1365,"&lt;="&amp;$AH$1)</f>
        <v>30.367642727122412</v>
      </c>
    </row>
    <row r="1366" spans="2:34" x14ac:dyDescent="0.25">
      <c r="B1366" s="910">
        <v>40738</v>
      </c>
      <c r="C1366" s="581">
        <f t="shared" si="64"/>
        <v>7</v>
      </c>
      <c r="D1366" s="171">
        <v>42.2</v>
      </c>
      <c r="E1366" s="171">
        <v>39.49</v>
      </c>
      <c r="F1366" s="171">
        <v>35.01</v>
      </c>
      <c r="G1366" s="171">
        <v>30.42</v>
      </c>
      <c r="H1366" s="171">
        <v>30.02</v>
      </c>
      <c r="I1366" s="171">
        <v>39.53</v>
      </c>
      <c r="J1366" s="171">
        <v>49.6</v>
      </c>
      <c r="K1366" s="171">
        <v>56.03</v>
      </c>
      <c r="L1366" s="171">
        <v>58.61</v>
      </c>
      <c r="M1366" s="171">
        <v>58.99</v>
      </c>
      <c r="N1366" s="171">
        <v>58.56</v>
      </c>
      <c r="O1366" s="171">
        <v>58.96</v>
      </c>
      <c r="P1366" s="171">
        <v>53.17</v>
      </c>
      <c r="Q1366" s="171">
        <v>52.93</v>
      </c>
      <c r="R1366" s="171">
        <v>49.34</v>
      </c>
      <c r="S1366" s="171">
        <v>48.42</v>
      </c>
      <c r="T1366" s="171">
        <v>47.95</v>
      </c>
      <c r="U1366" s="171">
        <v>49.49</v>
      </c>
      <c r="V1366" s="171">
        <v>52</v>
      </c>
      <c r="W1366" s="171">
        <v>53.07</v>
      </c>
      <c r="X1366" s="171">
        <v>54.01</v>
      </c>
      <c r="Y1366" s="171">
        <v>53.71</v>
      </c>
      <c r="Z1366" s="171">
        <v>47.6</v>
      </c>
      <c r="AA1366" s="171">
        <v>42.52</v>
      </c>
      <c r="AB1366" s="171">
        <v>58.99</v>
      </c>
      <c r="AC1366" s="171">
        <v>47.6</v>
      </c>
      <c r="AD1366" s="171">
        <v>43.35</v>
      </c>
      <c r="AF1366" s="171">
        <f t="shared" si="65"/>
        <v>2011</v>
      </c>
      <c r="AG1366" s="171">
        <f t="shared" si="66"/>
        <v>7</v>
      </c>
      <c r="AH1366" s="700">
        <f>SUMIF(D$3:$AA1366,"&lt;="&amp;$AH$1)/COUNTIF(D$3:$AA1366,"&lt;="&amp;$AH$1)</f>
        <v>30.371497560572358</v>
      </c>
    </row>
    <row r="1367" spans="2:34" x14ac:dyDescent="0.25">
      <c r="B1367" s="910">
        <v>40739</v>
      </c>
      <c r="C1367" s="581">
        <f t="shared" si="64"/>
        <v>7</v>
      </c>
      <c r="D1367" s="171">
        <v>40.22</v>
      </c>
      <c r="E1367" s="171">
        <v>35.58</v>
      </c>
      <c r="F1367" s="171">
        <v>28.34</v>
      </c>
      <c r="G1367" s="171">
        <v>27.91</v>
      </c>
      <c r="H1367" s="171">
        <v>27.98</v>
      </c>
      <c r="I1367" s="171">
        <v>38.950000000000003</v>
      </c>
      <c r="J1367" s="171">
        <v>43.59</v>
      </c>
      <c r="K1367" s="171">
        <v>45.26</v>
      </c>
      <c r="L1367" s="171">
        <v>50.800000000000004</v>
      </c>
      <c r="M1367" s="171">
        <v>52.43</v>
      </c>
      <c r="N1367" s="171">
        <v>52.44</v>
      </c>
      <c r="O1367" s="171">
        <v>54.99</v>
      </c>
      <c r="P1367" s="171">
        <v>54.93</v>
      </c>
      <c r="Q1367" s="171">
        <v>54.94</v>
      </c>
      <c r="R1367" s="171">
        <v>55.2</v>
      </c>
      <c r="S1367" s="171">
        <v>53.61</v>
      </c>
      <c r="T1367" s="171">
        <v>51.61</v>
      </c>
      <c r="U1367" s="171">
        <v>53.29</v>
      </c>
      <c r="V1367" s="171">
        <v>56.63</v>
      </c>
      <c r="W1367" s="171">
        <v>54.01</v>
      </c>
      <c r="X1367" s="171">
        <v>53.96</v>
      </c>
      <c r="Y1367" s="171">
        <v>55.13</v>
      </c>
      <c r="Z1367" s="171">
        <v>59.160000000000004</v>
      </c>
      <c r="AA1367" s="171">
        <v>54.35</v>
      </c>
      <c r="AB1367" s="171">
        <v>59.160000000000004</v>
      </c>
      <c r="AC1367" s="171">
        <v>45.26</v>
      </c>
      <c r="AD1367" s="171">
        <v>42.54</v>
      </c>
      <c r="AF1367" s="171">
        <f t="shared" si="65"/>
        <v>2011</v>
      </c>
      <c r="AG1367" s="171">
        <f t="shared" si="66"/>
        <v>6</v>
      </c>
      <c r="AH1367" s="700">
        <f>SUMIF(D$3:$AA1367,"&lt;="&amp;$AH$1)/COUNTIF(D$3:$AA1367,"&lt;="&amp;$AH$1)</f>
        <v>30.372882056368422</v>
      </c>
    </row>
    <row r="1368" spans="2:34" x14ac:dyDescent="0.25">
      <c r="B1368" s="910">
        <v>40742</v>
      </c>
      <c r="C1368" s="581">
        <f t="shared" si="64"/>
        <v>7</v>
      </c>
      <c r="D1368" s="171">
        <v>38.64</v>
      </c>
      <c r="E1368" s="171">
        <v>27.8</v>
      </c>
      <c r="F1368" s="171">
        <v>20.38</v>
      </c>
      <c r="G1368" s="171">
        <v>17.87</v>
      </c>
      <c r="H1368" s="171">
        <v>19.13</v>
      </c>
      <c r="I1368" s="171">
        <v>30.05</v>
      </c>
      <c r="J1368" s="171">
        <v>39.869999999999997</v>
      </c>
      <c r="K1368" s="171">
        <v>46.08</v>
      </c>
      <c r="L1368" s="171">
        <v>50.620000000000005</v>
      </c>
      <c r="M1368" s="171">
        <v>49.93</v>
      </c>
      <c r="N1368" s="171">
        <v>50.5</v>
      </c>
      <c r="O1368" s="171">
        <v>53.02</v>
      </c>
      <c r="P1368" s="171">
        <v>51.39</v>
      </c>
      <c r="Q1368" s="171">
        <v>50.84</v>
      </c>
      <c r="R1368" s="171">
        <v>50.550000000000004</v>
      </c>
      <c r="S1368" s="171">
        <v>47.09</v>
      </c>
      <c r="T1368" s="171">
        <v>47.14</v>
      </c>
      <c r="U1368" s="171">
        <v>50.56</v>
      </c>
      <c r="V1368" s="171">
        <v>53.980000000000004</v>
      </c>
      <c r="W1368" s="171">
        <v>54.03</v>
      </c>
      <c r="X1368" s="171">
        <v>52.93</v>
      </c>
      <c r="Y1368" s="171">
        <v>48.86</v>
      </c>
      <c r="Z1368" s="171">
        <v>51.120000000000005</v>
      </c>
      <c r="AA1368" s="171">
        <v>44.93</v>
      </c>
      <c r="AB1368" s="171">
        <v>54.03</v>
      </c>
      <c r="AC1368" s="171">
        <v>46.08</v>
      </c>
      <c r="AD1368" s="171">
        <v>36.47</v>
      </c>
      <c r="AF1368" s="171">
        <f t="shared" si="65"/>
        <v>2011</v>
      </c>
      <c r="AG1368" s="171">
        <f t="shared" si="66"/>
        <v>7</v>
      </c>
      <c r="AH1368" s="700">
        <f>SUMIF(D$3:$AA1368,"&lt;="&amp;$AH$1)/COUNTIF(D$3:$AA1368,"&lt;="&amp;$AH$1)</f>
        <v>30.371323310755123</v>
      </c>
    </row>
    <row r="1369" spans="2:34" x14ac:dyDescent="0.25">
      <c r="B1369" s="910">
        <v>40743</v>
      </c>
      <c r="C1369" s="581">
        <f t="shared" si="64"/>
        <v>7</v>
      </c>
      <c r="D1369" s="171">
        <v>40.35</v>
      </c>
      <c r="E1369" s="171">
        <v>39.22</v>
      </c>
      <c r="F1369" s="171">
        <v>38.01</v>
      </c>
      <c r="G1369" s="171">
        <v>38.119999999999997</v>
      </c>
      <c r="H1369" s="171">
        <v>37.950000000000003</v>
      </c>
      <c r="I1369" s="171">
        <v>39.25</v>
      </c>
      <c r="J1369" s="171">
        <v>41.63</v>
      </c>
      <c r="K1369" s="171">
        <v>50.25</v>
      </c>
      <c r="L1369" s="171">
        <v>54.980000000000004</v>
      </c>
      <c r="M1369" s="171">
        <v>58.04</v>
      </c>
      <c r="N1369" s="171">
        <v>56.2</v>
      </c>
      <c r="O1369" s="171">
        <v>59.79</v>
      </c>
      <c r="P1369" s="171">
        <v>58.910000000000004</v>
      </c>
      <c r="Q1369" s="171">
        <v>58.93</v>
      </c>
      <c r="R1369" s="171">
        <v>58.57</v>
      </c>
      <c r="S1369" s="171">
        <v>57.99</v>
      </c>
      <c r="T1369" s="171">
        <v>56.08</v>
      </c>
      <c r="U1369" s="171">
        <v>57.92</v>
      </c>
      <c r="V1369" s="171">
        <v>58.93</v>
      </c>
      <c r="W1369" s="171">
        <v>58.120000000000005</v>
      </c>
      <c r="X1369" s="171">
        <v>59.02</v>
      </c>
      <c r="Y1369" s="171">
        <v>54.51</v>
      </c>
      <c r="Z1369" s="171">
        <v>53.18</v>
      </c>
      <c r="AA1369" s="171">
        <v>47.37</v>
      </c>
      <c r="AB1369" s="171">
        <v>59.79</v>
      </c>
      <c r="AC1369" s="171">
        <v>50.25</v>
      </c>
      <c r="AD1369" s="171">
        <v>44.9</v>
      </c>
      <c r="AF1369" s="171">
        <f t="shared" si="65"/>
        <v>2011</v>
      </c>
      <c r="AG1369" s="171">
        <f t="shared" si="66"/>
        <v>7</v>
      </c>
      <c r="AH1369" s="700">
        <f>SUMIF(D$3:$AA1369,"&lt;="&amp;$AH$1)/COUNTIF(D$3:$AA1369,"&lt;="&amp;$AH$1)</f>
        <v>30.376436060431065</v>
      </c>
    </row>
    <row r="1370" spans="2:34" x14ac:dyDescent="0.25">
      <c r="B1370" s="910">
        <v>40744</v>
      </c>
      <c r="C1370" s="581">
        <f t="shared" si="64"/>
        <v>7</v>
      </c>
      <c r="D1370" s="171">
        <v>42.18</v>
      </c>
      <c r="E1370" s="171">
        <v>40.86</v>
      </c>
      <c r="F1370" s="171">
        <v>39.980000000000004</v>
      </c>
      <c r="G1370" s="171">
        <v>39.94</v>
      </c>
      <c r="H1370" s="171">
        <v>39.53</v>
      </c>
      <c r="I1370" s="171">
        <v>40.99</v>
      </c>
      <c r="J1370" s="171">
        <v>43.800000000000004</v>
      </c>
      <c r="K1370" s="171">
        <v>52.44</v>
      </c>
      <c r="L1370" s="171">
        <v>59.03</v>
      </c>
      <c r="M1370" s="171">
        <v>60.09</v>
      </c>
      <c r="N1370" s="171">
        <v>62.45</v>
      </c>
      <c r="O1370" s="171">
        <v>64.77</v>
      </c>
      <c r="P1370" s="171">
        <v>61.74</v>
      </c>
      <c r="Q1370" s="171">
        <v>61.1</v>
      </c>
      <c r="R1370" s="171">
        <v>60.230000000000004</v>
      </c>
      <c r="S1370" s="171">
        <v>58.06</v>
      </c>
      <c r="T1370" s="171">
        <v>52.85</v>
      </c>
      <c r="U1370" s="171">
        <v>52.230000000000004</v>
      </c>
      <c r="V1370" s="171">
        <v>50</v>
      </c>
      <c r="W1370" s="171">
        <v>47.97</v>
      </c>
      <c r="X1370" s="171">
        <v>47</v>
      </c>
      <c r="Y1370" s="171">
        <v>45.910000000000004</v>
      </c>
      <c r="Z1370" s="171">
        <v>48.36</v>
      </c>
      <c r="AA1370" s="171">
        <v>43.45</v>
      </c>
      <c r="AB1370" s="171">
        <v>64.77</v>
      </c>
      <c r="AC1370" s="171">
        <v>45.910000000000004</v>
      </c>
      <c r="AD1370" s="171">
        <v>43.7</v>
      </c>
      <c r="AF1370" s="171">
        <f t="shared" si="65"/>
        <v>2011</v>
      </c>
      <c r="AG1370" s="171">
        <f t="shared" si="66"/>
        <v>6</v>
      </c>
      <c r="AH1370" s="700">
        <f>SUMIF(D$3:$AA1370,"&lt;="&amp;$AH$1)/COUNTIF(D$3:$AA1370,"&lt;="&amp;$AH$1)</f>
        <v>30.381487746513859</v>
      </c>
    </row>
    <row r="1371" spans="2:34" x14ac:dyDescent="0.25">
      <c r="B1371" s="910">
        <v>40745</v>
      </c>
      <c r="C1371" s="581">
        <f t="shared" si="64"/>
        <v>7</v>
      </c>
      <c r="D1371" s="171">
        <v>43.68</v>
      </c>
      <c r="E1371" s="171">
        <v>40.450000000000003</v>
      </c>
      <c r="F1371" s="171">
        <v>39.31</v>
      </c>
      <c r="G1371" s="171">
        <v>38.950000000000003</v>
      </c>
      <c r="H1371" s="171">
        <v>38.99</v>
      </c>
      <c r="I1371" s="171">
        <v>40.96</v>
      </c>
      <c r="J1371" s="171">
        <v>46.51</v>
      </c>
      <c r="K1371" s="171">
        <v>53.61</v>
      </c>
      <c r="L1371" s="171">
        <v>57.94</v>
      </c>
      <c r="M1371" s="171">
        <v>58.01</v>
      </c>
      <c r="N1371" s="171">
        <v>57.96</v>
      </c>
      <c r="O1371" s="171">
        <v>59.97</v>
      </c>
      <c r="P1371" s="171">
        <v>58.03</v>
      </c>
      <c r="Q1371" s="171">
        <v>54.870000000000005</v>
      </c>
      <c r="R1371" s="171">
        <v>52.93</v>
      </c>
      <c r="S1371" s="171">
        <v>52.15</v>
      </c>
      <c r="T1371" s="171">
        <v>52</v>
      </c>
      <c r="U1371" s="171">
        <v>53.49</v>
      </c>
      <c r="V1371" s="171">
        <v>55.300000000000004</v>
      </c>
      <c r="W1371" s="171">
        <v>54.25</v>
      </c>
      <c r="X1371" s="171">
        <v>54.74</v>
      </c>
      <c r="Y1371" s="171">
        <v>55.38</v>
      </c>
      <c r="Z1371" s="171">
        <v>56.38</v>
      </c>
      <c r="AA1371" s="171">
        <v>49.88</v>
      </c>
      <c r="AB1371" s="171">
        <v>59.97</v>
      </c>
      <c r="AC1371" s="171">
        <v>52</v>
      </c>
      <c r="AD1371" s="171">
        <v>46.57</v>
      </c>
      <c r="AF1371" s="171">
        <f t="shared" si="65"/>
        <v>2011</v>
      </c>
      <c r="AG1371" s="171">
        <f t="shared" si="66"/>
        <v>5</v>
      </c>
      <c r="AH1371" s="700">
        <f>SUMIF(D$3:$AA1371,"&lt;="&amp;$AH$1)/COUNTIF(D$3:$AA1371,"&lt;="&amp;$AH$1)</f>
        <v>30.385343945892568</v>
      </c>
    </row>
    <row r="1372" spans="2:34" x14ac:dyDescent="0.25">
      <c r="B1372" s="910">
        <v>40746</v>
      </c>
      <c r="C1372" s="581">
        <f t="shared" si="64"/>
        <v>7</v>
      </c>
      <c r="D1372" s="171">
        <v>42.04</v>
      </c>
      <c r="E1372" s="171">
        <v>37.93</v>
      </c>
      <c r="F1372" s="171">
        <v>32.119999999999997</v>
      </c>
      <c r="G1372" s="171">
        <v>25.67</v>
      </c>
      <c r="H1372" s="171">
        <v>25.61</v>
      </c>
      <c r="I1372" s="171">
        <v>37.82</v>
      </c>
      <c r="J1372" s="171">
        <v>45.01</v>
      </c>
      <c r="K1372" s="171">
        <v>54.35</v>
      </c>
      <c r="L1372" s="171">
        <v>59.68</v>
      </c>
      <c r="M1372" s="171">
        <v>59.49</v>
      </c>
      <c r="N1372" s="171">
        <v>60.050000000000004</v>
      </c>
      <c r="O1372" s="171">
        <v>60.85</v>
      </c>
      <c r="P1372" s="171">
        <v>56.09</v>
      </c>
      <c r="Q1372" s="171">
        <v>53.01</v>
      </c>
      <c r="R1372" s="171">
        <v>51.02</v>
      </c>
      <c r="S1372" s="171">
        <v>50.52</v>
      </c>
      <c r="T1372" s="171">
        <v>47.37</v>
      </c>
      <c r="U1372" s="171">
        <v>50.51</v>
      </c>
      <c r="V1372" s="171">
        <v>53.01</v>
      </c>
      <c r="W1372" s="171">
        <v>51.09</v>
      </c>
      <c r="X1372" s="171">
        <v>49.99</v>
      </c>
      <c r="Y1372" s="171">
        <v>50.6</v>
      </c>
      <c r="Z1372" s="171">
        <v>53.19</v>
      </c>
      <c r="AA1372" s="171">
        <v>50.550000000000004</v>
      </c>
      <c r="AB1372" s="171">
        <v>60.85</v>
      </c>
      <c r="AC1372" s="171">
        <v>47.37</v>
      </c>
      <c r="AD1372" s="171">
        <v>42.07</v>
      </c>
      <c r="AF1372" s="171">
        <f t="shared" si="65"/>
        <v>2011</v>
      </c>
      <c r="AG1372" s="171">
        <f t="shared" si="66"/>
        <v>6</v>
      </c>
      <c r="AH1372" s="700">
        <f>SUMIF(D$3:$AA1372,"&lt;="&amp;$AH$1)/COUNTIF(D$3:$AA1372,"&lt;="&amp;$AH$1)</f>
        <v>30.38690024732081</v>
      </c>
    </row>
    <row r="1373" spans="2:34" x14ac:dyDescent="0.25">
      <c r="B1373" s="910">
        <v>40749</v>
      </c>
      <c r="C1373" s="581">
        <f t="shared" si="64"/>
        <v>7</v>
      </c>
      <c r="D1373" s="171">
        <v>32.44</v>
      </c>
      <c r="E1373" s="171">
        <v>14.780000000000001</v>
      </c>
      <c r="F1373" s="171">
        <v>10.99</v>
      </c>
      <c r="G1373" s="171">
        <v>10.200000000000001</v>
      </c>
      <c r="H1373" s="171">
        <v>10.200000000000001</v>
      </c>
      <c r="I1373" s="171">
        <v>28.51</v>
      </c>
      <c r="J1373" s="171">
        <v>41.33</v>
      </c>
      <c r="K1373" s="171">
        <v>50.54</v>
      </c>
      <c r="L1373" s="171">
        <v>55.22</v>
      </c>
      <c r="M1373" s="171">
        <v>54.02</v>
      </c>
      <c r="N1373" s="171">
        <v>56.51</v>
      </c>
      <c r="O1373" s="171">
        <v>58.63</v>
      </c>
      <c r="P1373" s="171">
        <v>57.980000000000004</v>
      </c>
      <c r="Q1373" s="171">
        <v>58.1</v>
      </c>
      <c r="R1373" s="171">
        <v>56.28</v>
      </c>
      <c r="S1373" s="171">
        <v>54.95</v>
      </c>
      <c r="T1373" s="171">
        <v>55.74</v>
      </c>
      <c r="U1373" s="171">
        <v>56.92</v>
      </c>
      <c r="V1373" s="171">
        <v>57.95</v>
      </c>
      <c r="W1373" s="171">
        <v>57.44</v>
      </c>
      <c r="X1373" s="171">
        <v>54.07</v>
      </c>
      <c r="Y1373" s="171">
        <v>52.81</v>
      </c>
      <c r="Z1373" s="171">
        <v>52.050000000000004</v>
      </c>
      <c r="AA1373" s="171">
        <v>44.92</v>
      </c>
      <c r="AB1373" s="171">
        <v>58.63</v>
      </c>
      <c r="AC1373" s="171">
        <v>50.54</v>
      </c>
      <c r="AD1373" s="171">
        <v>33.57</v>
      </c>
      <c r="AF1373" s="171">
        <f t="shared" si="65"/>
        <v>2011</v>
      </c>
      <c r="AG1373" s="171">
        <f t="shared" si="66"/>
        <v>7</v>
      </c>
      <c r="AH1373" s="700">
        <f>SUMIF(D$3:$AA1373,"&lt;="&amp;$AH$1)/COUNTIF(D$3:$AA1373,"&lt;="&amp;$AH$1)</f>
        <v>30.381605833402119</v>
      </c>
    </row>
    <row r="1374" spans="2:34" x14ac:dyDescent="0.25">
      <c r="B1374" s="910">
        <v>40750</v>
      </c>
      <c r="C1374" s="581">
        <f t="shared" si="64"/>
        <v>7</v>
      </c>
      <c r="D1374" s="171">
        <v>44.01</v>
      </c>
      <c r="E1374" s="171">
        <v>39.92</v>
      </c>
      <c r="F1374" s="171">
        <v>38.72</v>
      </c>
      <c r="G1374" s="171">
        <v>38.83</v>
      </c>
      <c r="H1374" s="171">
        <v>37.74</v>
      </c>
      <c r="I1374" s="171">
        <v>40.840000000000003</v>
      </c>
      <c r="J1374" s="171">
        <v>46.39</v>
      </c>
      <c r="K1374" s="171">
        <v>52.410000000000004</v>
      </c>
      <c r="L1374" s="171">
        <v>51.58</v>
      </c>
      <c r="M1374" s="171">
        <v>53.02</v>
      </c>
      <c r="N1374" s="171">
        <v>55.9</v>
      </c>
      <c r="O1374" s="171">
        <v>58.660000000000004</v>
      </c>
      <c r="P1374" s="171">
        <v>56.46</v>
      </c>
      <c r="Q1374" s="171">
        <v>55.29</v>
      </c>
      <c r="R1374" s="171">
        <v>55.08</v>
      </c>
      <c r="S1374" s="171">
        <v>52.82</v>
      </c>
      <c r="T1374" s="171">
        <v>50.56</v>
      </c>
      <c r="U1374" s="171">
        <v>51.97</v>
      </c>
      <c r="V1374" s="171">
        <v>54.6</v>
      </c>
      <c r="W1374" s="171">
        <v>52.47</v>
      </c>
      <c r="X1374" s="171">
        <v>55.01</v>
      </c>
      <c r="Y1374" s="171">
        <v>52.02</v>
      </c>
      <c r="Z1374" s="171">
        <v>49.92</v>
      </c>
      <c r="AA1374" s="171">
        <v>45.77</v>
      </c>
      <c r="AB1374" s="171">
        <v>58.660000000000004</v>
      </c>
      <c r="AC1374" s="171">
        <v>49.92</v>
      </c>
      <c r="AD1374" s="171">
        <v>45.13</v>
      </c>
      <c r="AF1374" s="171">
        <f t="shared" si="65"/>
        <v>2011</v>
      </c>
      <c r="AG1374" s="171">
        <f t="shared" si="66"/>
        <v>5</v>
      </c>
      <c r="AH1374" s="700">
        <f>SUMIF(D$3:$AA1374,"&lt;="&amp;$AH$1)/COUNTIF(D$3:$AA1374,"&lt;="&amp;$AH$1)</f>
        <v>30.3852413111515</v>
      </c>
    </row>
    <row r="1375" spans="2:34" x14ac:dyDescent="0.25">
      <c r="B1375" s="910">
        <v>40751</v>
      </c>
      <c r="C1375" s="581">
        <f t="shared" si="64"/>
        <v>7</v>
      </c>
      <c r="D1375" s="171">
        <v>40.36</v>
      </c>
      <c r="E1375" s="171">
        <v>39.96</v>
      </c>
      <c r="F1375" s="171">
        <v>39.5</v>
      </c>
      <c r="G1375" s="171">
        <v>40.369999999999997</v>
      </c>
      <c r="H1375" s="171">
        <v>41.04</v>
      </c>
      <c r="I1375" s="171">
        <v>41.99</v>
      </c>
      <c r="J1375" s="171">
        <v>49.94</v>
      </c>
      <c r="K1375" s="171">
        <v>54.64</v>
      </c>
      <c r="L1375" s="171">
        <v>56.57</v>
      </c>
      <c r="M1375" s="171">
        <v>57.08</v>
      </c>
      <c r="N1375" s="171">
        <v>54.93</v>
      </c>
      <c r="O1375" s="171">
        <v>55.53</v>
      </c>
      <c r="P1375" s="171">
        <v>55.28</v>
      </c>
      <c r="Q1375" s="171">
        <v>53.2</v>
      </c>
      <c r="R1375" s="171">
        <v>54.51</v>
      </c>
      <c r="S1375" s="171">
        <v>53.13</v>
      </c>
      <c r="T1375" s="171">
        <v>52.28</v>
      </c>
      <c r="U1375" s="171">
        <v>53.02</v>
      </c>
      <c r="V1375" s="171">
        <v>53.2</v>
      </c>
      <c r="W1375" s="171">
        <v>53.21</v>
      </c>
      <c r="X1375" s="171">
        <v>50.83</v>
      </c>
      <c r="Y1375" s="171">
        <v>50.84</v>
      </c>
      <c r="Z1375" s="171">
        <v>51.7</v>
      </c>
      <c r="AA1375" s="171">
        <v>46.25</v>
      </c>
      <c r="AB1375" s="171">
        <v>57.08</v>
      </c>
      <c r="AC1375" s="171">
        <v>50.83</v>
      </c>
      <c r="AD1375" s="171">
        <v>45.62</v>
      </c>
      <c r="AF1375" s="171">
        <f t="shared" si="65"/>
        <v>2011</v>
      </c>
      <c r="AG1375" s="171">
        <f t="shared" si="66"/>
        <v>6</v>
      </c>
      <c r="AH1375" s="700">
        <f>SUMIF(D$3:$AA1375,"&lt;="&amp;$AH$1)/COUNTIF(D$3:$AA1375,"&lt;="&amp;$AH$1)</f>
        <v>30.390255186038974</v>
      </c>
    </row>
    <row r="1376" spans="2:34" x14ac:dyDescent="0.25">
      <c r="B1376" s="910">
        <v>40752</v>
      </c>
      <c r="C1376" s="581">
        <f t="shared" si="64"/>
        <v>7</v>
      </c>
      <c r="D1376" s="171">
        <v>41.59</v>
      </c>
      <c r="E1376" s="171">
        <v>40.04</v>
      </c>
      <c r="F1376" s="171">
        <v>39.97</v>
      </c>
      <c r="G1376" s="171">
        <v>39.25</v>
      </c>
      <c r="H1376" s="171">
        <v>39.550000000000004</v>
      </c>
      <c r="I1376" s="171">
        <v>41.02</v>
      </c>
      <c r="J1376" s="171">
        <v>48.13</v>
      </c>
      <c r="K1376" s="171">
        <v>55.85</v>
      </c>
      <c r="L1376" s="171">
        <v>52.59</v>
      </c>
      <c r="M1376" s="171">
        <v>54.99</v>
      </c>
      <c r="N1376" s="171">
        <v>58</v>
      </c>
      <c r="O1376" s="171">
        <v>60</v>
      </c>
      <c r="P1376" s="171">
        <v>55.13</v>
      </c>
      <c r="Q1376" s="171">
        <v>54.25</v>
      </c>
      <c r="R1376" s="171">
        <v>53.96</v>
      </c>
      <c r="S1376" s="171">
        <v>53</v>
      </c>
      <c r="T1376" s="171">
        <v>50.28</v>
      </c>
      <c r="U1376" s="171">
        <v>49.980000000000004</v>
      </c>
      <c r="V1376" s="171">
        <v>50.86</v>
      </c>
      <c r="W1376" s="171">
        <v>50.870000000000005</v>
      </c>
      <c r="X1376" s="171">
        <v>53.29</v>
      </c>
      <c r="Y1376" s="171">
        <v>53.28</v>
      </c>
      <c r="Z1376" s="171">
        <v>51.370000000000005</v>
      </c>
      <c r="AA1376" s="171">
        <v>46.14</v>
      </c>
      <c r="AB1376" s="171">
        <v>60</v>
      </c>
      <c r="AC1376" s="171">
        <v>49.980000000000004</v>
      </c>
      <c r="AD1376" s="171">
        <v>45.79</v>
      </c>
      <c r="AF1376" s="171">
        <f t="shared" si="65"/>
        <v>2011</v>
      </c>
      <c r="AG1376" s="171">
        <f t="shared" si="66"/>
        <v>6</v>
      </c>
      <c r="AH1376" s="700">
        <f>SUMIF(D$3:$AA1376,"&lt;="&amp;$AH$1)/COUNTIF(D$3:$AA1376,"&lt;="&amp;$AH$1)</f>
        <v>30.395116011189852</v>
      </c>
    </row>
    <row r="1377" spans="2:34" x14ac:dyDescent="0.25">
      <c r="B1377" s="910">
        <v>40753</v>
      </c>
      <c r="C1377" s="581">
        <f t="shared" si="64"/>
        <v>7</v>
      </c>
      <c r="D1377" s="171">
        <v>42.71</v>
      </c>
      <c r="E1377" s="171">
        <v>40.04</v>
      </c>
      <c r="F1377" s="171">
        <v>38.06</v>
      </c>
      <c r="G1377" s="171">
        <v>35.94</v>
      </c>
      <c r="H1377" s="171">
        <v>35.090000000000003</v>
      </c>
      <c r="I1377" s="171">
        <v>40.01</v>
      </c>
      <c r="J1377" s="171">
        <v>49.45</v>
      </c>
      <c r="K1377" s="171">
        <v>54.31</v>
      </c>
      <c r="L1377" s="171">
        <v>57.92</v>
      </c>
      <c r="M1377" s="171">
        <v>58</v>
      </c>
      <c r="N1377" s="171">
        <v>57.51</v>
      </c>
      <c r="O1377" s="171">
        <v>58.26</v>
      </c>
      <c r="P1377" s="171">
        <v>56.09</v>
      </c>
      <c r="Q1377" s="171">
        <v>53.18</v>
      </c>
      <c r="R1377" s="171">
        <v>52</v>
      </c>
      <c r="S1377" s="171">
        <v>49.7</v>
      </c>
      <c r="T1377" s="171">
        <v>47.97</v>
      </c>
      <c r="U1377" s="171">
        <v>49.410000000000004</v>
      </c>
      <c r="V1377" s="171">
        <v>50.93</v>
      </c>
      <c r="W1377" s="171">
        <v>49.95</v>
      </c>
      <c r="X1377" s="171">
        <v>50.95</v>
      </c>
      <c r="Y1377" s="171">
        <v>49.53</v>
      </c>
      <c r="Z1377" s="171">
        <v>50.83</v>
      </c>
      <c r="AA1377" s="171">
        <v>44.6</v>
      </c>
      <c r="AB1377" s="171">
        <v>58.26</v>
      </c>
      <c r="AC1377" s="171">
        <v>47.97</v>
      </c>
      <c r="AD1377" s="171">
        <v>44.29</v>
      </c>
      <c r="AF1377" s="171">
        <f t="shared" si="65"/>
        <v>2011</v>
      </c>
      <c r="AG1377" s="171">
        <f t="shared" si="66"/>
        <v>5</v>
      </c>
      <c r="AH1377" s="700">
        <f>SUMIF(D$3:$AA1377,"&lt;="&amp;$AH$1)/COUNTIF(D$3:$AA1377,"&lt;="&amp;$AH$1)</f>
        <v>30.398172547084584</v>
      </c>
    </row>
    <row r="1378" spans="2:34" x14ac:dyDescent="0.25">
      <c r="B1378" s="910">
        <v>40756</v>
      </c>
      <c r="C1378" s="581">
        <f t="shared" si="64"/>
        <v>8</v>
      </c>
      <c r="D1378" s="171">
        <v>46.26</v>
      </c>
      <c r="E1378" s="171">
        <v>40.410000000000004</v>
      </c>
      <c r="F1378" s="171">
        <v>37.83</v>
      </c>
      <c r="G1378" s="171">
        <v>37.270000000000003</v>
      </c>
      <c r="H1378" s="171">
        <v>36.450000000000003</v>
      </c>
      <c r="I1378" s="171">
        <v>42.19</v>
      </c>
      <c r="J1378" s="171">
        <v>48.980000000000004</v>
      </c>
      <c r="K1378" s="171">
        <v>54.94</v>
      </c>
      <c r="L1378" s="171">
        <v>54.94</v>
      </c>
      <c r="M1378" s="171">
        <v>54.93</v>
      </c>
      <c r="N1378" s="171">
        <v>54.1</v>
      </c>
      <c r="O1378" s="171">
        <v>56</v>
      </c>
      <c r="P1378" s="171">
        <v>57.910000000000004</v>
      </c>
      <c r="Q1378" s="171">
        <v>56.18</v>
      </c>
      <c r="R1378" s="171">
        <v>51.49</v>
      </c>
      <c r="S1378" s="171">
        <v>52.93</v>
      </c>
      <c r="T1378" s="171">
        <v>52.72</v>
      </c>
      <c r="U1378" s="171">
        <v>55.02</v>
      </c>
      <c r="V1378" s="171">
        <v>54.99</v>
      </c>
      <c r="W1378" s="171">
        <v>55.92</v>
      </c>
      <c r="X1378" s="171">
        <v>50.980000000000004</v>
      </c>
      <c r="Y1378" s="171">
        <v>52.120000000000005</v>
      </c>
      <c r="Z1378" s="171">
        <v>49.95</v>
      </c>
      <c r="AA1378" s="171">
        <v>42.78</v>
      </c>
      <c r="AB1378" s="171">
        <v>57.910000000000004</v>
      </c>
      <c r="AC1378" s="171">
        <v>49.95</v>
      </c>
      <c r="AD1378" s="171">
        <v>45.01</v>
      </c>
      <c r="AF1378" s="171">
        <f t="shared" si="65"/>
        <v>2011</v>
      </c>
      <c r="AG1378" s="171">
        <f t="shared" si="66"/>
        <v>5</v>
      </c>
      <c r="AH1378" s="700">
        <f>SUMIF(D$3:$AA1378,"&lt;="&amp;$AH$1)/COUNTIF(D$3:$AA1378,"&lt;="&amp;$AH$1)</f>
        <v>30.401638441302325</v>
      </c>
    </row>
    <row r="1379" spans="2:34" x14ac:dyDescent="0.25">
      <c r="B1379" s="910">
        <v>40757</v>
      </c>
      <c r="C1379" s="581">
        <f t="shared" si="64"/>
        <v>8</v>
      </c>
      <c r="D1379" s="171">
        <v>40.03</v>
      </c>
      <c r="E1379" s="171">
        <v>37.050000000000004</v>
      </c>
      <c r="F1379" s="171">
        <v>35</v>
      </c>
      <c r="G1379" s="171">
        <v>35.04</v>
      </c>
      <c r="H1379" s="171">
        <v>36.33</v>
      </c>
      <c r="I1379" s="171">
        <v>38.94</v>
      </c>
      <c r="J1379" s="171">
        <v>45.69</v>
      </c>
      <c r="K1379" s="171">
        <v>51.54</v>
      </c>
      <c r="L1379" s="171">
        <v>55.85</v>
      </c>
      <c r="M1379" s="171">
        <v>53.19</v>
      </c>
      <c r="N1379" s="171">
        <v>54.94</v>
      </c>
      <c r="O1379" s="171">
        <v>56</v>
      </c>
      <c r="P1379" s="171">
        <v>53.19</v>
      </c>
      <c r="Q1379" s="171">
        <v>54</v>
      </c>
      <c r="R1379" s="171">
        <v>53.2</v>
      </c>
      <c r="S1379" s="171">
        <v>52.45</v>
      </c>
      <c r="T1379" s="171">
        <v>51.82</v>
      </c>
      <c r="U1379" s="171">
        <v>53.660000000000004</v>
      </c>
      <c r="V1379" s="171">
        <v>56.21</v>
      </c>
      <c r="W1379" s="171">
        <v>56.79</v>
      </c>
      <c r="X1379" s="171">
        <v>53.09</v>
      </c>
      <c r="Y1379" s="171">
        <v>50.730000000000004</v>
      </c>
      <c r="Z1379" s="171">
        <v>50.94</v>
      </c>
      <c r="AA1379" s="171">
        <v>41.31</v>
      </c>
      <c r="AB1379" s="171">
        <v>56.79</v>
      </c>
      <c r="AC1379" s="171">
        <v>50.730000000000004</v>
      </c>
      <c r="AD1379" s="171">
        <v>42.97</v>
      </c>
      <c r="AF1379" s="171">
        <f t="shared" si="65"/>
        <v>2011</v>
      </c>
      <c r="AG1379" s="171">
        <f t="shared" si="66"/>
        <v>7</v>
      </c>
      <c r="AH1379" s="700">
        <f>SUMIF(D$3:$AA1379,"&lt;="&amp;$AH$1)/COUNTIF(D$3:$AA1379,"&lt;="&amp;$AH$1)</f>
        <v>30.405819571111781</v>
      </c>
    </row>
    <row r="1380" spans="2:34" x14ac:dyDescent="0.25">
      <c r="B1380" s="910">
        <v>40758</v>
      </c>
      <c r="C1380" s="581">
        <f t="shared" si="64"/>
        <v>8</v>
      </c>
      <c r="D1380" s="171">
        <v>37.369999999999997</v>
      </c>
      <c r="E1380" s="171">
        <v>33.58</v>
      </c>
      <c r="F1380" s="171">
        <v>30.93</v>
      </c>
      <c r="G1380" s="171">
        <v>30.03</v>
      </c>
      <c r="H1380" s="171">
        <v>31.150000000000002</v>
      </c>
      <c r="I1380" s="171">
        <v>35.96</v>
      </c>
      <c r="J1380" s="171">
        <v>44.14</v>
      </c>
      <c r="K1380" s="171">
        <v>49.35</v>
      </c>
      <c r="L1380" s="171">
        <v>52.660000000000004</v>
      </c>
      <c r="M1380" s="171">
        <v>54.620000000000005</v>
      </c>
      <c r="N1380" s="171">
        <v>54.97</v>
      </c>
      <c r="O1380" s="171">
        <v>54.980000000000004</v>
      </c>
      <c r="P1380" s="171">
        <v>53.550000000000004</v>
      </c>
      <c r="Q1380" s="171">
        <v>53.99</v>
      </c>
      <c r="R1380" s="171">
        <v>54.31</v>
      </c>
      <c r="S1380" s="171">
        <v>53.75</v>
      </c>
      <c r="T1380" s="171">
        <v>53</v>
      </c>
      <c r="U1380" s="171">
        <v>54.9</v>
      </c>
      <c r="V1380" s="171">
        <v>55.050000000000004</v>
      </c>
      <c r="W1380" s="171">
        <v>54.94</v>
      </c>
      <c r="X1380" s="171">
        <v>52.04</v>
      </c>
      <c r="Y1380" s="171">
        <v>50.94</v>
      </c>
      <c r="Z1380" s="171">
        <v>50.93</v>
      </c>
      <c r="AA1380" s="171">
        <v>45.2</v>
      </c>
      <c r="AB1380" s="171">
        <v>55.050000000000004</v>
      </c>
      <c r="AC1380" s="171">
        <v>49.35</v>
      </c>
      <c r="AD1380" s="171">
        <v>40.97</v>
      </c>
      <c r="AF1380" s="171">
        <f t="shared" si="65"/>
        <v>2011</v>
      </c>
      <c r="AG1380" s="171">
        <f t="shared" si="66"/>
        <v>6</v>
      </c>
      <c r="AH1380" s="700">
        <f>SUMIF(D$3:$AA1380,"&lt;="&amp;$AH$1)/COUNTIF(D$3:$AA1380,"&lt;="&amp;$AH$1)</f>
        <v>30.407181571815848</v>
      </c>
    </row>
    <row r="1381" spans="2:34" x14ac:dyDescent="0.25">
      <c r="B1381" s="910">
        <v>40759</v>
      </c>
      <c r="C1381" s="581">
        <f t="shared" si="64"/>
        <v>8</v>
      </c>
      <c r="D1381" s="171">
        <v>40.43</v>
      </c>
      <c r="E1381" s="171">
        <v>37.619999999999997</v>
      </c>
      <c r="F1381" s="171">
        <v>35.910000000000004</v>
      </c>
      <c r="G1381" s="171">
        <v>35.08</v>
      </c>
      <c r="H1381" s="171">
        <v>35.58</v>
      </c>
      <c r="I1381" s="171">
        <v>39.550000000000004</v>
      </c>
      <c r="J1381" s="171">
        <v>47.39</v>
      </c>
      <c r="K1381" s="171">
        <v>55.04</v>
      </c>
      <c r="L1381" s="171">
        <v>55.97</v>
      </c>
      <c r="M1381" s="171">
        <v>56.09</v>
      </c>
      <c r="N1381" s="171">
        <v>58.050000000000004</v>
      </c>
      <c r="O1381" s="171">
        <v>58.02</v>
      </c>
      <c r="P1381" s="171">
        <v>57.81</v>
      </c>
      <c r="Q1381" s="171">
        <v>53.19</v>
      </c>
      <c r="R1381" s="171">
        <v>50.97</v>
      </c>
      <c r="S1381" s="171">
        <v>51.910000000000004</v>
      </c>
      <c r="T1381" s="171">
        <v>51.300000000000004</v>
      </c>
      <c r="U1381" s="171">
        <v>53.07</v>
      </c>
      <c r="V1381" s="171">
        <v>54.370000000000005</v>
      </c>
      <c r="W1381" s="171">
        <v>53.92</v>
      </c>
      <c r="X1381" s="171">
        <v>56.79</v>
      </c>
      <c r="Y1381" s="171">
        <v>55.09</v>
      </c>
      <c r="Z1381" s="171">
        <v>52.47</v>
      </c>
      <c r="AA1381" s="171">
        <v>46.87</v>
      </c>
      <c r="AB1381" s="171">
        <v>58.050000000000004</v>
      </c>
      <c r="AC1381" s="171">
        <v>50.97</v>
      </c>
      <c r="AD1381" s="171">
        <v>44.82</v>
      </c>
      <c r="AF1381" s="171">
        <f t="shared" si="65"/>
        <v>2011</v>
      </c>
      <c r="AG1381" s="171">
        <f t="shared" si="66"/>
        <v>6</v>
      </c>
      <c r="AH1381" s="700">
        <f>SUMIF(D$3:$AA1381,"&lt;="&amp;$AH$1)/COUNTIF(D$3:$AA1381,"&lt;="&amp;$AH$1)</f>
        <v>30.410606582943572</v>
      </c>
    </row>
    <row r="1382" spans="2:34" x14ac:dyDescent="0.25">
      <c r="B1382" s="910">
        <v>40760</v>
      </c>
      <c r="C1382" s="581">
        <f t="shared" si="64"/>
        <v>8</v>
      </c>
      <c r="D1382" s="171">
        <v>39.800000000000004</v>
      </c>
      <c r="E1382" s="171">
        <v>37.6</v>
      </c>
      <c r="F1382" s="171">
        <v>35.19</v>
      </c>
      <c r="G1382" s="171">
        <v>34.36</v>
      </c>
      <c r="H1382" s="171">
        <v>34.99</v>
      </c>
      <c r="I1382" s="171">
        <v>38.630000000000003</v>
      </c>
      <c r="J1382" s="171">
        <v>43.27</v>
      </c>
      <c r="K1382" s="171">
        <v>50</v>
      </c>
      <c r="L1382" s="171">
        <v>52.68</v>
      </c>
      <c r="M1382" s="171">
        <v>53.51</v>
      </c>
      <c r="N1382" s="171">
        <v>57.25</v>
      </c>
      <c r="O1382" s="171">
        <v>58.01</v>
      </c>
      <c r="P1382" s="171">
        <v>58.01</v>
      </c>
      <c r="Q1382" s="171">
        <v>55.04</v>
      </c>
      <c r="R1382" s="171">
        <v>52.78</v>
      </c>
      <c r="S1382" s="171">
        <v>51.64</v>
      </c>
      <c r="T1382" s="171">
        <v>51.65</v>
      </c>
      <c r="U1382" s="171">
        <v>52</v>
      </c>
      <c r="V1382" s="171">
        <v>51.870000000000005</v>
      </c>
      <c r="W1382" s="171">
        <v>50.44</v>
      </c>
      <c r="X1382" s="171">
        <v>49.53</v>
      </c>
      <c r="Y1382" s="171">
        <v>48.02</v>
      </c>
      <c r="Z1382" s="171">
        <v>50.910000000000004</v>
      </c>
      <c r="AA1382" s="171">
        <v>44.97</v>
      </c>
      <c r="AB1382" s="171">
        <v>58.01</v>
      </c>
      <c r="AC1382" s="171">
        <v>48.02</v>
      </c>
      <c r="AD1382" s="171">
        <v>42.27</v>
      </c>
      <c r="AF1382" s="171">
        <f t="shared" si="65"/>
        <v>2011</v>
      </c>
      <c r="AG1382" s="171">
        <f t="shared" si="66"/>
        <v>6</v>
      </c>
      <c r="AH1382" s="700">
        <f>SUMIF(D$3:$AA1382,"&lt;="&amp;$AH$1)/COUNTIF(D$3:$AA1382,"&lt;="&amp;$AH$1)</f>
        <v>30.413732873902823</v>
      </c>
    </row>
    <row r="1383" spans="2:34" x14ac:dyDescent="0.25">
      <c r="B1383" s="910">
        <v>40763</v>
      </c>
      <c r="C1383" s="581">
        <f t="shared" si="64"/>
        <v>8</v>
      </c>
      <c r="D1383" s="171">
        <v>35.69</v>
      </c>
      <c r="E1383" s="171">
        <v>32.17</v>
      </c>
      <c r="F1383" s="171">
        <v>30.32</v>
      </c>
      <c r="G1383" s="171">
        <v>26.900000000000002</v>
      </c>
      <c r="H1383" s="171">
        <v>32.04</v>
      </c>
      <c r="I1383" s="171">
        <v>39.950000000000003</v>
      </c>
      <c r="J1383" s="171">
        <v>49.44</v>
      </c>
      <c r="K1383" s="171">
        <v>59.230000000000004</v>
      </c>
      <c r="L1383" s="171">
        <v>62.300000000000004</v>
      </c>
      <c r="M1383" s="171">
        <v>61.97</v>
      </c>
      <c r="N1383" s="171">
        <v>56</v>
      </c>
      <c r="O1383" s="171">
        <v>55.03</v>
      </c>
      <c r="P1383" s="171">
        <v>50.980000000000004</v>
      </c>
      <c r="Q1383" s="171">
        <v>45.93</v>
      </c>
      <c r="R1383" s="171">
        <v>45.01</v>
      </c>
      <c r="S1383" s="171">
        <v>43.51</v>
      </c>
      <c r="T1383" s="171">
        <v>43.77</v>
      </c>
      <c r="U1383" s="171">
        <v>43.92</v>
      </c>
      <c r="V1383" s="171">
        <v>44.25</v>
      </c>
      <c r="W1383" s="171">
        <v>45.04</v>
      </c>
      <c r="X1383" s="171">
        <v>44.69</v>
      </c>
      <c r="Y1383" s="171">
        <v>43.99</v>
      </c>
      <c r="Z1383" s="171">
        <v>44.76</v>
      </c>
      <c r="AA1383" s="171">
        <v>35.020000000000003</v>
      </c>
      <c r="AB1383" s="171">
        <v>62.300000000000004</v>
      </c>
      <c r="AC1383" s="171">
        <v>43.51</v>
      </c>
      <c r="AD1383" s="171">
        <v>39.520000000000003</v>
      </c>
      <c r="AF1383" s="171">
        <f t="shared" si="65"/>
        <v>2011</v>
      </c>
      <c r="AG1383" s="171">
        <f t="shared" si="66"/>
        <v>7</v>
      </c>
      <c r="AH1383" s="700">
        <f>SUMIF(D$3:$AA1383,"&lt;="&amp;$AH$1)/COUNTIF(D$3:$AA1383,"&lt;="&amp;$AH$1)</f>
        <v>30.415306657920755</v>
      </c>
    </row>
    <row r="1384" spans="2:34" x14ac:dyDescent="0.25">
      <c r="B1384" s="910">
        <v>40764</v>
      </c>
      <c r="C1384" s="581">
        <f t="shared" si="64"/>
        <v>8</v>
      </c>
      <c r="D1384" s="171">
        <v>32</v>
      </c>
      <c r="E1384" s="171">
        <v>31.3</v>
      </c>
      <c r="F1384" s="171">
        <v>29.46</v>
      </c>
      <c r="G1384" s="171">
        <v>27.44</v>
      </c>
      <c r="H1384" s="171">
        <v>28.23</v>
      </c>
      <c r="I1384" s="171">
        <v>30.47</v>
      </c>
      <c r="J1384" s="171">
        <v>35.85</v>
      </c>
      <c r="K1384" s="171">
        <v>41.36</v>
      </c>
      <c r="L1384" s="171">
        <v>42.83</v>
      </c>
      <c r="M1384" s="171">
        <v>43</v>
      </c>
      <c r="N1384" s="171">
        <v>43</v>
      </c>
      <c r="O1384" s="171">
        <v>44</v>
      </c>
      <c r="P1384" s="171">
        <v>45.13</v>
      </c>
      <c r="Q1384" s="171">
        <v>45.300000000000004</v>
      </c>
      <c r="R1384" s="171">
        <v>43.93</v>
      </c>
      <c r="S1384" s="171">
        <v>43</v>
      </c>
      <c r="T1384" s="171">
        <v>43</v>
      </c>
      <c r="U1384" s="171">
        <v>44</v>
      </c>
      <c r="V1384" s="171">
        <v>45.76</v>
      </c>
      <c r="W1384" s="171">
        <v>45.77</v>
      </c>
      <c r="X1384" s="171">
        <v>53.410000000000004</v>
      </c>
      <c r="Y1384" s="171">
        <v>53.34</v>
      </c>
      <c r="Z1384" s="171">
        <v>51.03</v>
      </c>
      <c r="AA1384" s="171">
        <v>42</v>
      </c>
      <c r="AB1384" s="171">
        <v>53.410000000000004</v>
      </c>
      <c r="AC1384" s="171">
        <v>41.36</v>
      </c>
      <c r="AD1384" s="171">
        <v>37.99</v>
      </c>
      <c r="AF1384" s="171">
        <f t="shared" si="65"/>
        <v>2011</v>
      </c>
      <c r="AG1384" s="171">
        <f t="shared" si="66"/>
        <v>9</v>
      </c>
      <c r="AH1384" s="700">
        <f>SUMIF(D$3:$AA1384,"&lt;="&amp;$AH$1)/COUNTIF(D$3:$AA1384,"&lt;="&amp;$AH$1)</f>
        <v>30.417303564113187</v>
      </c>
    </row>
    <row r="1385" spans="2:34" x14ac:dyDescent="0.25">
      <c r="B1385" s="910">
        <v>40765</v>
      </c>
      <c r="C1385" s="581">
        <f t="shared" si="64"/>
        <v>8</v>
      </c>
      <c r="D1385" s="171">
        <v>43</v>
      </c>
      <c r="E1385" s="171">
        <v>36.980000000000004</v>
      </c>
      <c r="F1385" s="171">
        <v>36.980000000000004</v>
      </c>
      <c r="G1385" s="171">
        <v>35</v>
      </c>
      <c r="H1385" s="171">
        <v>33.299999999999997</v>
      </c>
      <c r="I1385" s="171">
        <v>35.03</v>
      </c>
      <c r="J1385" s="171">
        <v>39.6</v>
      </c>
      <c r="K1385" s="171">
        <v>47.95</v>
      </c>
      <c r="L1385" s="171">
        <v>51.230000000000004</v>
      </c>
      <c r="M1385" s="171">
        <v>51.120000000000005</v>
      </c>
      <c r="N1385" s="171">
        <v>51.97</v>
      </c>
      <c r="O1385" s="171">
        <v>53.59</v>
      </c>
      <c r="P1385" s="171">
        <v>51.93</v>
      </c>
      <c r="Q1385" s="171">
        <v>51.08</v>
      </c>
      <c r="R1385" s="171">
        <v>50.68</v>
      </c>
      <c r="S1385" s="171">
        <v>49</v>
      </c>
      <c r="T1385" s="171">
        <v>47.18</v>
      </c>
      <c r="U1385" s="171">
        <v>49.39</v>
      </c>
      <c r="V1385" s="171">
        <v>52.38</v>
      </c>
      <c r="W1385" s="171">
        <v>50.76</v>
      </c>
      <c r="X1385" s="171">
        <v>51.81</v>
      </c>
      <c r="Y1385" s="171">
        <v>49.47</v>
      </c>
      <c r="Z1385" s="171">
        <v>46.87</v>
      </c>
      <c r="AA1385" s="171">
        <v>39.700000000000003</v>
      </c>
      <c r="AB1385" s="171">
        <v>53.59</v>
      </c>
      <c r="AC1385" s="171">
        <v>46.87</v>
      </c>
      <c r="AD1385" s="171">
        <v>41.31</v>
      </c>
      <c r="AF1385" s="171">
        <f t="shared" si="65"/>
        <v>2011</v>
      </c>
      <c r="AG1385" s="171">
        <f t="shared" si="66"/>
        <v>7</v>
      </c>
      <c r="AH1385" s="700">
        <f>SUMIF(D$3:$AA1385,"&lt;="&amp;$AH$1)/COUNTIF(D$3:$AA1385,"&lt;="&amp;$AH$1)</f>
        <v>30.420879462823567</v>
      </c>
    </row>
    <row r="1386" spans="2:34" x14ac:dyDescent="0.25">
      <c r="B1386" s="910">
        <v>40766</v>
      </c>
      <c r="C1386" s="581">
        <f t="shared" si="64"/>
        <v>8</v>
      </c>
      <c r="D1386" s="171">
        <v>29.34</v>
      </c>
      <c r="E1386" s="171">
        <v>22.78</v>
      </c>
      <c r="F1386" s="171">
        <v>21.39</v>
      </c>
      <c r="G1386" s="171">
        <v>20.09</v>
      </c>
      <c r="H1386" s="171">
        <v>16.89</v>
      </c>
      <c r="I1386" s="171">
        <v>24.92</v>
      </c>
      <c r="J1386" s="171">
        <v>38</v>
      </c>
      <c r="K1386" s="171">
        <v>47.5</v>
      </c>
      <c r="L1386" s="171">
        <v>53.2</v>
      </c>
      <c r="M1386" s="171">
        <v>53.300000000000004</v>
      </c>
      <c r="N1386" s="171">
        <v>51.69</v>
      </c>
      <c r="O1386" s="171">
        <v>50.18</v>
      </c>
      <c r="P1386" s="171">
        <v>48.02</v>
      </c>
      <c r="Q1386" s="171">
        <v>46.550000000000004</v>
      </c>
      <c r="R1386" s="171">
        <v>47.34</v>
      </c>
      <c r="S1386" s="171">
        <v>46.93</v>
      </c>
      <c r="T1386" s="171">
        <v>47.27</v>
      </c>
      <c r="U1386" s="171">
        <v>49.94</v>
      </c>
      <c r="V1386" s="171">
        <v>52.5</v>
      </c>
      <c r="W1386" s="171">
        <v>53.14</v>
      </c>
      <c r="X1386" s="171">
        <v>52.49</v>
      </c>
      <c r="Y1386" s="171">
        <v>52.53</v>
      </c>
      <c r="Z1386" s="171">
        <v>53.28</v>
      </c>
      <c r="AA1386" s="171">
        <v>42.6</v>
      </c>
      <c r="AB1386" s="171">
        <v>53.300000000000004</v>
      </c>
      <c r="AC1386" s="171">
        <v>46.550000000000004</v>
      </c>
      <c r="AD1386" s="171">
        <v>35.15</v>
      </c>
      <c r="AF1386" s="171">
        <f t="shared" si="65"/>
        <v>2011</v>
      </c>
      <c r="AG1386" s="171">
        <f t="shared" si="66"/>
        <v>7</v>
      </c>
      <c r="AH1386" s="700">
        <f>SUMIF(D$3:$AA1386,"&lt;="&amp;$AH$1)/COUNTIF(D$3:$AA1386,"&lt;="&amp;$AH$1)</f>
        <v>30.417643833374377</v>
      </c>
    </row>
    <row r="1387" spans="2:34" x14ac:dyDescent="0.25">
      <c r="B1387" s="910">
        <v>40767</v>
      </c>
      <c r="C1387" s="581">
        <f t="shared" si="64"/>
        <v>8</v>
      </c>
      <c r="D1387" s="171">
        <v>38.83</v>
      </c>
      <c r="E1387" s="171">
        <v>37.270000000000003</v>
      </c>
      <c r="F1387" s="171">
        <v>31</v>
      </c>
      <c r="G1387" s="171">
        <v>30.64</v>
      </c>
      <c r="H1387" s="171">
        <v>31.38</v>
      </c>
      <c r="I1387" s="171">
        <v>35.69</v>
      </c>
      <c r="J1387" s="171">
        <v>44.14</v>
      </c>
      <c r="K1387" s="171">
        <v>52.96</v>
      </c>
      <c r="L1387" s="171">
        <v>51.82</v>
      </c>
      <c r="M1387" s="171">
        <v>53.2</v>
      </c>
      <c r="N1387" s="171">
        <v>55.01</v>
      </c>
      <c r="O1387" s="171">
        <v>56.06</v>
      </c>
      <c r="P1387" s="171">
        <v>58.28</v>
      </c>
      <c r="Q1387" s="171">
        <v>55.08</v>
      </c>
      <c r="R1387" s="171">
        <v>53.2</v>
      </c>
      <c r="S1387" s="171">
        <v>50.95</v>
      </c>
      <c r="T1387" s="171">
        <v>51.33</v>
      </c>
      <c r="U1387" s="171">
        <v>53.19</v>
      </c>
      <c r="V1387" s="171">
        <v>53.660000000000004</v>
      </c>
      <c r="W1387" s="171">
        <v>53.28</v>
      </c>
      <c r="X1387" s="171">
        <v>54.050000000000004</v>
      </c>
      <c r="Y1387" s="171">
        <v>53.19</v>
      </c>
      <c r="Z1387" s="171">
        <v>55.03</v>
      </c>
      <c r="AA1387" s="171">
        <v>52.5</v>
      </c>
      <c r="AB1387" s="171">
        <v>58.28</v>
      </c>
      <c r="AC1387" s="171">
        <v>50.95</v>
      </c>
      <c r="AD1387" s="171">
        <v>43.06</v>
      </c>
      <c r="AF1387" s="171">
        <f t="shared" si="65"/>
        <v>2011</v>
      </c>
      <c r="AG1387" s="171">
        <f t="shared" si="66"/>
        <v>6</v>
      </c>
      <c r="AH1387" s="700">
        <f>SUMIF(D$3:$AA1387,"&lt;="&amp;$AH$1)/COUNTIF(D$3:$AA1387,"&lt;="&amp;$AH$1)</f>
        <v>30.419468302658615</v>
      </c>
    </row>
    <row r="1388" spans="2:34" x14ac:dyDescent="0.25">
      <c r="B1388" s="910">
        <v>40770</v>
      </c>
      <c r="C1388" s="581">
        <f t="shared" si="64"/>
        <v>8</v>
      </c>
      <c r="D1388" s="171">
        <v>43</v>
      </c>
      <c r="E1388" s="171">
        <v>33.96</v>
      </c>
      <c r="F1388" s="171">
        <v>32.94</v>
      </c>
      <c r="G1388" s="171">
        <v>30.310000000000002</v>
      </c>
      <c r="H1388" s="171">
        <v>31.04</v>
      </c>
      <c r="I1388" s="171">
        <v>35.130000000000003</v>
      </c>
      <c r="J1388" s="171">
        <v>43.37</v>
      </c>
      <c r="K1388" s="171">
        <v>49.28</v>
      </c>
      <c r="L1388" s="171">
        <v>48.980000000000004</v>
      </c>
      <c r="M1388" s="171">
        <v>52.25</v>
      </c>
      <c r="N1388" s="171">
        <v>54.03</v>
      </c>
      <c r="O1388" s="171">
        <v>55.03</v>
      </c>
      <c r="P1388" s="171">
        <v>56.44</v>
      </c>
      <c r="Q1388" s="171">
        <v>52.93</v>
      </c>
      <c r="R1388" s="171">
        <v>48.94</v>
      </c>
      <c r="S1388" s="171">
        <v>44.94</v>
      </c>
      <c r="T1388" s="171">
        <v>44.6</v>
      </c>
      <c r="U1388" s="171">
        <v>46.87</v>
      </c>
      <c r="V1388" s="171">
        <v>51.11</v>
      </c>
      <c r="W1388" s="171">
        <v>53.93</v>
      </c>
      <c r="X1388" s="171">
        <v>53.31</v>
      </c>
      <c r="Y1388" s="171">
        <v>54.94</v>
      </c>
      <c r="Z1388" s="171">
        <v>54.64</v>
      </c>
      <c r="AA1388" s="171">
        <v>47</v>
      </c>
      <c r="AB1388" s="171">
        <v>56.44</v>
      </c>
      <c r="AC1388" s="171">
        <v>44.6</v>
      </c>
      <c r="AD1388" s="171">
        <v>42.410000000000004</v>
      </c>
      <c r="AF1388" s="171">
        <f t="shared" si="65"/>
        <v>2011</v>
      </c>
      <c r="AG1388" s="171">
        <f t="shared" si="66"/>
        <v>5</v>
      </c>
      <c r="AH1388" s="700">
        <f>SUMIF(D$3:$AA1388,"&lt;="&amp;$AH$1)/COUNTIF(D$3:$AA1388,"&lt;="&amp;$AH$1)</f>
        <v>30.420390842191463</v>
      </c>
    </row>
    <row r="1389" spans="2:34" x14ac:dyDescent="0.25">
      <c r="B1389" s="910">
        <v>40771</v>
      </c>
      <c r="C1389" s="581">
        <f t="shared" si="64"/>
        <v>8</v>
      </c>
      <c r="D1389" s="171">
        <v>43.300000000000004</v>
      </c>
      <c r="E1389" s="171">
        <v>42</v>
      </c>
      <c r="F1389" s="171">
        <v>40.31</v>
      </c>
      <c r="G1389" s="171">
        <v>39.79</v>
      </c>
      <c r="H1389" s="171">
        <v>38.83</v>
      </c>
      <c r="I1389" s="171">
        <v>41.61</v>
      </c>
      <c r="J1389" s="171">
        <v>47.84</v>
      </c>
      <c r="K1389" s="171">
        <v>54.81</v>
      </c>
      <c r="L1389" s="171">
        <v>55.36</v>
      </c>
      <c r="M1389" s="171">
        <v>54.93</v>
      </c>
      <c r="N1389" s="171">
        <v>55.06</v>
      </c>
      <c r="O1389" s="171">
        <v>55.67</v>
      </c>
      <c r="P1389" s="171">
        <v>56.5</v>
      </c>
      <c r="Q1389" s="171">
        <v>56.28</v>
      </c>
      <c r="R1389" s="171">
        <v>56.27</v>
      </c>
      <c r="S1389" s="171">
        <v>54.92</v>
      </c>
      <c r="T1389" s="171">
        <v>54.79</v>
      </c>
      <c r="U1389" s="171">
        <v>55.78</v>
      </c>
      <c r="V1389" s="171">
        <v>57.92</v>
      </c>
      <c r="W1389" s="171">
        <v>56.49</v>
      </c>
      <c r="X1389" s="171">
        <v>54.910000000000004</v>
      </c>
      <c r="Y1389" s="171">
        <v>54.19</v>
      </c>
      <c r="Z1389" s="171">
        <v>53.18</v>
      </c>
      <c r="AA1389" s="171">
        <v>47.52</v>
      </c>
      <c r="AB1389" s="171">
        <v>57.92</v>
      </c>
      <c r="AC1389" s="171">
        <v>53.18</v>
      </c>
      <c r="AD1389" s="171">
        <v>46.52</v>
      </c>
      <c r="AF1389" s="171">
        <f t="shared" si="65"/>
        <v>2011</v>
      </c>
      <c r="AG1389" s="171">
        <f t="shared" si="66"/>
        <v>5</v>
      </c>
      <c r="AH1389" s="700">
        <f>SUMIF(D$3:$AA1389,"&lt;="&amp;$AH$1)/COUNTIF(D$3:$AA1389,"&lt;="&amp;$AH$1)</f>
        <v>30.424513281569396</v>
      </c>
    </row>
    <row r="1390" spans="2:34" x14ac:dyDescent="0.25">
      <c r="B1390" s="910">
        <v>40772</v>
      </c>
      <c r="C1390" s="581">
        <f t="shared" si="64"/>
        <v>8</v>
      </c>
      <c r="D1390" s="171">
        <v>43.300000000000004</v>
      </c>
      <c r="E1390" s="171">
        <v>42</v>
      </c>
      <c r="F1390" s="171">
        <v>40.31</v>
      </c>
      <c r="G1390" s="171">
        <v>39.79</v>
      </c>
      <c r="H1390" s="171">
        <v>38.83</v>
      </c>
      <c r="I1390" s="171">
        <v>41.61</v>
      </c>
      <c r="J1390" s="171">
        <v>47.84</v>
      </c>
      <c r="K1390" s="171">
        <v>54.81</v>
      </c>
      <c r="L1390" s="171">
        <v>55.36</v>
      </c>
      <c r="M1390" s="171">
        <v>54.93</v>
      </c>
      <c r="N1390" s="171">
        <v>55.06</v>
      </c>
      <c r="O1390" s="171">
        <v>55.67</v>
      </c>
      <c r="P1390" s="171">
        <v>58.1</v>
      </c>
      <c r="Q1390" s="171">
        <v>58</v>
      </c>
      <c r="R1390" s="171">
        <v>56.85</v>
      </c>
      <c r="S1390" s="171">
        <v>55.15</v>
      </c>
      <c r="T1390" s="171">
        <v>54.72</v>
      </c>
      <c r="U1390" s="171">
        <v>56.01</v>
      </c>
      <c r="V1390" s="171">
        <v>57.1</v>
      </c>
      <c r="W1390" s="171">
        <v>58.03</v>
      </c>
      <c r="X1390" s="171">
        <v>57.14</v>
      </c>
      <c r="Y1390" s="171">
        <v>56.94</v>
      </c>
      <c r="Z1390" s="171">
        <v>55.28</v>
      </c>
      <c r="AA1390" s="171">
        <v>48.11</v>
      </c>
      <c r="AB1390" s="171">
        <v>58.1</v>
      </c>
      <c r="AC1390" s="171">
        <v>54.72</v>
      </c>
      <c r="AD1390" s="171">
        <v>47.160000000000004</v>
      </c>
      <c r="AF1390" s="171">
        <f t="shared" si="65"/>
        <v>2011</v>
      </c>
      <c r="AG1390" s="171">
        <f t="shared" si="66"/>
        <v>5</v>
      </c>
      <c r="AH1390" s="700">
        <f>SUMIF(D$3:$AA1390,"&lt;="&amp;$AH$1)/COUNTIF(D$3:$AA1390,"&lt;="&amp;$AH$1)</f>
        <v>30.428632352941303</v>
      </c>
    </row>
    <row r="1391" spans="2:34" x14ac:dyDescent="0.25">
      <c r="B1391" s="910">
        <v>40773</v>
      </c>
      <c r="C1391" s="581">
        <f t="shared" si="64"/>
        <v>8</v>
      </c>
      <c r="D1391" s="171">
        <v>44</v>
      </c>
      <c r="E1391" s="171">
        <v>42.59</v>
      </c>
      <c r="F1391" s="171">
        <v>40.06</v>
      </c>
      <c r="G1391" s="171">
        <v>40.03</v>
      </c>
      <c r="H1391" s="171">
        <v>41.050000000000004</v>
      </c>
      <c r="I1391" s="171">
        <v>43.02</v>
      </c>
      <c r="J1391" s="171">
        <v>49.94</v>
      </c>
      <c r="K1391" s="171">
        <v>60.02</v>
      </c>
      <c r="L1391" s="171">
        <v>59.910000000000004</v>
      </c>
      <c r="M1391" s="171">
        <v>58.93</v>
      </c>
      <c r="N1391" s="171">
        <v>58.11</v>
      </c>
      <c r="O1391" s="171">
        <v>59.160000000000004</v>
      </c>
      <c r="P1391" s="171">
        <v>57.1</v>
      </c>
      <c r="Q1391" s="171">
        <v>58.1</v>
      </c>
      <c r="R1391" s="171">
        <v>59</v>
      </c>
      <c r="S1391" s="171">
        <v>57.64</v>
      </c>
      <c r="T1391" s="171">
        <v>56.94</v>
      </c>
      <c r="U1391" s="171">
        <v>56.64</v>
      </c>
      <c r="V1391" s="171">
        <v>54.08</v>
      </c>
      <c r="W1391" s="171">
        <v>53.9</v>
      </c>
      <c r="X1391" s="171">
        <v>55.01</v>
      </c>
      <c r="Y1391" s="171">
        <v>53.28</v>
      </c>
      <c r="Z1391" s="171">
        <v>49.81</v>
      </c>
      <c r="AA1391" s="171">
        <v>43.54</v>
      </c>
      <c r="AB1391" s="171">
        <v>60.02</v>
      </c>
      <c r="AC1391" s="171">
        <v>49.81</v>
      </c>
      <c r="AD1391" s="171">
        <v>46.86</v>
      </c>
      <c r="AF1391" s="171">
        <f t="shared" si="65"/>
        <v>2011</v>
      </c>
      <c r="AG1391" s="171">
        <f t="shared" si="66"/>
        <v>3</v>
      </c>
      <c r="AH1391" s="700">
        <f>SUMIF(D$3:$AA1391,"&lt;="&amp;$AH$1)/COUNTIF(D$3:$AA1391,"&lt;="&amp;$AH$1)</f>
        <v>30.431070815976604</v>
      </c>
    </row>
    <row r="1392" spans="2:34" x14ac:dyDescent="0.25">
      <c r="B1392" s="910">
        <v>40774</v>
      </c>
      <c r="C1392" s="581">
        <f t="shared" si="64"/>
        <v>8</v>
      </c>
      <c r="D1392" s="171">
        <v>45.18</v>
      </c>
      <c r="E1392" s="171">
        <v>43.09</v>
      </c>
      <c r="F1392" s="171">
        <v>38.840000000000003</v>
      </c>
      <c r="G1392" s="171">
        <v>38.35</v>
      </c>
      <c r="H1392" s="171">
        <v>38.49</v>
      </c>
      <c r="I1392" s="171">
        <v>41.03</v>
      </c>
      <c r="J1392" s="171">
        <v>46.9</v>
      </c>
      <c r="K1392" s="171">
        <v>52.550000000000004</v>
      </c>
      <c r="L1392" s="171">
        <v>56.07</v>
      </c>
      <c r="M1392" s="171">
        <v>56.03</v>
      </c>
      <c r="N1392" s="171">
        <v>59.07</v>
      </c>
      <c r="O1392" s="171">
        <v>59.67</v>
      </c>
      <c r="P1392" s="171">
        <v>57.980000000000004</v>
      </c>
      <c r="Q1392" s="171">
        <v>54.910000000000004</v>
      </c>
      <c r="R1392" s="171">
        <v>53.92</v>
      </c>
      <c r="S1392" s="171">
        <v>50.83</v>
      </c>
      <c r="T1392" s="171">
        <v>49.6</v>
      </c>
      <c r="U1392" s="171">
        <v>53.17</v>
      </c>
      <c r="V1392" s="171">
        <v>55.93</v>
      </c>
      <c r="W1392" s="171">
        <v>55.910000000000004</v>
      </c>
      <c r="X1392" s="171">
        <v>55.58</v>
      </c>
      <c r="Y1392" s="171">
        <v>56.39</v>
      </c>
      <c r="Z1392" s="171">
        <v>56.71</v>
      </c>
      <c r="AA1392" s="171">
        <v>51.17</v>
      </c>
      <c r="AB1392" s="171">
        <v>59.67</v>
      </c>
      <c r="AC1392" s="171">
        <v>49.6</v>
      </c>
      <c r="AD1392" s="171">
        <v>47.02</v>
      </c>
      <c r="AF1392" s="171">
        <f t="shared" si="65"/>
        <v>2011</v>
      </c>
      <c r="AG1392" s="171">
        <f t="shared" si="66"/>
        <v>4</v>
      </c>
      <c r="AH1392" s="700">
        <f>SUMIF(D$3:$AA1392,"&lt;="&amp;$AH$1)/COUNTIF(D$3:$AA1392,"&lt;="&amp;$AH$1)</f>
        <v>30.433927492447257</v>
      </c>
    </row>
    <row r="1393" spans="2:34" x14ac:dyDescent="0.25">
      <c r="B1393" s="910">
        <v>40777</v>
      </c>
      <c r="C1393" s="581">
        <f t="shared" si="64"/>
        <v>8</v>
      </c>
      <c r="D1393" s="171">
        <v>45.84</v>
      </c>
      <c r="E1393" s="171">
        <v>42.910000000000004</v>
      </c>
      <c r="F1393" s="171">
        <v>40.01</v>
      </c>
      <c r="G1393" s="171">
        <v>38.58</v>
      </c>
      <c r="H1393" s="171">
        <v>38.730000000000004</v>
      </c>
      <c r="I1393" s="171">
        <v>40.29</v>
      </c>
      <c r="J1393" s="171">
        <v>49.25</v>
      </c>
      <c r="K1393" s="171">
        <v>60.02</v>
      </c>
      <c r="L1393" s="171">
        <v>68.790000000000006</v>
      </c>
      <c r="M1393" s="171">
        <v>65.41</v>
      </c>
      <c r="N1393" s="171">
        <v>63.99</v>
      </c>
      <c r="O1393" s="171">
        <v>65.55</v>
      </c>
      <c r="P1393" s="171">
        <v>66.5</v>
      </c>
      <c r="Q1393" s="171">
        <v>66.790000000000006</v>
      </c>
      <c r="R1393" s="171">
        <v>66.180000000000007</v>
      </c>
      <c r="S1393" s="171">
        <v>63.29</v>
      </c>
      <c r="T1393" s="171">
        <v>60.96</v>
      </c>
      <c r="U1393" s="171">
        <v>59.660000000000004</v>
      </c>
      <c r="V1393" s="171">
        <v>61.19</v>
      </c>
      <c r="W1393" s="171">
        <v>64.930000000000007</v>
      </c>
      <c r="X1393" s="171">
        <v>65.12</v>
      </c>
      <c r="Y1393" s="171">
        <v>66.08</v>
      </c>
      <c r="Z1393" s="171">
        <v>55.78</v>
      </c>
      <c r="AA1393" s="171">
        <v>47.910000000000004</v>
      </c>
      <c r="AB1393" s="171">
        <v>68.790000000000006</v>
      </c>
      <c r="AC1393" s="171">
        <v>55.78</v>
      </c>
      <c r="AD1393" s="171">
        <v>49.21</v>
      </c>
      <c r="AF1393" s="171">
        <f t="shared" si="65"/>
        <v>2011</v>
      </c>
      <c r="AG1393" s="171">
        <f t="shared" si="66"/>
        <v>4</v>
      </c>
      <c r="AH1393" s="700">
        <f>SUMIF(D$3:$AA1393,"&lt;="&amp;$AH$1)/COUNTIF(D$3:$AA1393,"&lt;="&amp;$AH$1)</f>
        <v>30.436855766876299</v>
      </c>
    </row>
    <row r="1394" spans="2:34" x14ac:dyDescent="0.25">
      <c r="B1394" s="910">
        <v>40778</v>
      </c>
      <c r="C1394" s="581">
        <f t="shared" si="64"/>
        <v>8</v>
      </c>
      <c r="D1394" s="171">
        <v>44.79</v>
      </c>
      <c r="E1394" s="171">
        <v>42.13</v>
      </c>
      <c r="F1394" s="171">
        <v>41.27</v>
      </c>
      <c r="G1394" s="171">
        <v>39.92</v>
      </c>
      <c r="H1394" s="171">
        <v>39.75</v>
      </c>
      <c r="I1394" s="171">
        <v>41.72</v>
      </c>
      <c r="J1394" s="171">
        <v>44.730000000000004</v>
      </c>
      <c r="K1394" s="171">
        <v>53.63</v>
      </c>
      <c r="L1394" s="171">
        <v>57.050000000000004</v>
      </c>
      <c r="M1394" s="171">
        <v>63.800000000000004</v>
      </c>
      <c r="N1394" s="171">
        <v>65.150000000000006</v>
      </c>
      <c r="O1394" s="171">
        <v>64.52</v>
      </c>
      <c r="P1394" s="171">
        <v>64.06</v>
      </c>
      <c r="Q1394" s="171">
        <v>63.49</v>
      </c>
      <c r="R1394" s="171">
        <v>62.01</v>
      </c>
      <c r="S1394" s="171">
        <v>60.53</v>
      </c>
      <c r="T1394" s="171">
        <v>56.84</v>
      </c>
      <c r="U1394" s="171">
        <v>59.06</v>
      </c>
      <c r="V1394" s="171">
        <v>58.9</v>
      </c>
      <c r="W1394" s="171">
        <v>56.19</v>
      </c>
      <c r="X1394" s="171">
        <v>56.870000000000005</v>
      </c>
      <c r="Y1394" s="171">
        <v>56.550000000000004</v>
      </c>
      <c r="Z1394" s="171">
        <v>52.980000000000004</v>
      </c>
      <c r="AA1394" s="171">
        <v>44.17</v>
      </c>
      <c r="AB1394" s="171">
        <v>65.150000000000006</v>
      </c>
      <c r="AC1394" s="171">
        <v>52.980000000000004</v>
      </c>
      <c r="AD1394" s="171">
        <v>46.54</v>
      </c>
      <c r="AF1394" s="171">
        <f t="shared" si="65"/>
        <v>2011</v>
      </c>
      <c r="AG1394" s="171">
        <f t="shared" si="66"/>
        <v>5</v>
      </c>
      <c r="AH1394" s="700">
        <f>SUMIF(D$3:$AA1394,"&lt;="&amp;$AH$1)/COUNTIF(D$3:$AA1394,"&lt;="&amp;$AH$1)</f>
        <v>30.441148009138505</v>
      </c>
    </row>
    <row r="1395" spans="2:34" x14ac:dyDescent="0.25">
      <c r="B1395" s="910">
        <v>40779</v>
      </c>
      <c r="C1395" s="581">
        <f t="shared" si="64"/>
        <v>8</v>
      </c>
      <c r="D1395" s="171">
        <v>43</v>
      </c>
      <c r="E1395" s="171">
        <v>41.39</v>
      </c>
      <c r="F1395" s="171">
        <v>40.1</v>
      </c>
      <c r="G1395" s="171">
        <v>38.11</v>
      </c>
      <c r="H1395" s="171">
        <v>39.08</v>
      </c>
      <c r="I1395" s="171">
        <v>43</v>
      </c>
      <c r="J1395" s="171">
        <v>46.95</v>
      </c>
      <c r="K1395" s="171">
        <v>52.95</v>
      </c>
      <c r="L1395" s="171">
        <v>62.940000000000005</v>
      </c>
      <c r="M1395" s="171">
        <v>64.63</v>
      </c>
      <c r="N1395" s="171">
        <v>66.11</v>
      </c>
      <c r="O1395" s="171">
        <v>69.12</v>
      </c>
      <c r="P1395" s="171">
        <v>67.11</v>
      </c>
      <c r="Q1395" s="171">
        <v>67.070000000000007</v>
      </c>
      <c r="R1395" s="171">
        <v>66.900000000000006</v>
      </c>
      <c r="S1395" s="171">
        <v>65.739999999999995</v>
      </c>
      <c r="T1395" s="171">
        <v>66.5</v>
      </c>
      <c r="U1395" s="171">
        <v>65.98</v>
      </c>
      <c r="V1395" s="171">
        <v>63</v>
      </c>
      <c r="W1395" s="171">
        <v>59.15</v>
      </c>
      <c r="X1395" s="171">
        <v>63.5</v>
      </c>
      <c r="Y1395" s="171">
        <v>69.98</v>
      </c>
      <c r="Z1395" s="171">
        <v>54.95</v>
      </c>
      <c r="AA1395" s="171">
        <v>48.910000000000004</v>
      </c>
      <c r="AB1395" s="171">
        <v>69.98</v>
      </c>
      <c r="AC1395" s="171">
        <v>52.95</v>
      </c>
      <c r="AD1395" s="171">
        <v>48.49</v>
      </c>
      <c r="AF1395" s="171">
        <f t="shared" si="65"/>
        <v>2011</v>
      </c>
      <c r="AG1395" s="171">
        <f t="shared" si="66"/>
        <v>4</v>
      </c>
      <c r="AH1395" s="700">
        <f>SUMIF(D$3:$AA1395,"&lt;="&amp;$AH$1)/COUNTIF(D$3:$AA1395,"&lt;="&amp;$AH$1)</f>
        <v>30.444159053833729</v>
      </c>
    </row>
    <row r="1396" spans="2:34" x14ac:dyDescent="0.25">
      <c r="B1396" s="910">
        <v>40780</v>
      </c>
      <c r="C1396" s="581">
        <f t="shared" si="64"/>
        <v>8</v>
      </c>
      <c r="D1396" s="171">
        <v>47.47</v>
      </c>
      <c r="E1396" s="171">
        <v>44.11</v>
      </c>
      <c r="F1396" s="171">
        <v>43.92</v>
      </c>
      <c r="G1396" s="171">
        <v>43.24</v>
      </c>
      <c r="H1396" s="171">
        <v>43.800000000000004</v>
      </c>
      <c r="I1396" s="171">
        <v>43.24</v>
      </c>
      <c r="J1396" s="171">
        <v>47.52</v>
      </c>
      <c r="K1396" s="171">
        <v>50.5</v>
      </c>
      <c r="L1396" s="171">
        <v>58.72</v>
      </c>
      <c r="M1396" s="171">
        <v>62.53</v>
      </c>
      <c r="N1396" s="171">
        <v>65.13</v>
      </c>
      <c r="O1396" s="171">
        <v>74.930000000000007</v>
      </c>
      <c r="P1396" s="171">
        <v>70.87</v>
      </c>
      <c r="Q1396" s="171">
        <v>72.89</v>
      </c>
      <c r="R1396" s="171">
        <v>72</v>
      </c>
      <c r="S1396" s="171">
        <v>72.89</v>
      </c>
      <c r="T1396" s="171">
        <v>72</v>
      </c>
      <c r="U1396" s="171">
        <v>65.03</v>
      </c>
      <c r="V1396" s="171">
        <v>57.43</v>
      </c>
      <c r="W1396" s="171">
        <v>56.22</v>
      </c>
      <c r="X1396" s="171">
        <v>63.84</v>
      </c>
      <c r="Y1396" s="171">
        <v>65.73</v>
      </c>
      <c r="Z1396" s="171">
        <v>52.99</v>
      </c>
      <c r="AA1396" s="171">
        <v>47.28</v>
      </c>
      <c r="AB1396" s="171">
        <v>74.930000000000007</v>
      </c>
      <c r="AC1396" s="171">
        <v>50.5</v>
      </c>
      <c r="AD1396" s="171">
        <v>49.47</v>
      </c>
      <c r="AF1396" s="171">
        <f t="shared" si="65"/>
        <v>2011</v>
      </c>
      <c r="AG1396" s="171">
        <f t="shared" si="66"/>
        <v>0</v>
      </c>
      <c r="AH1396" s="700">
        <f>SUMIF(D$3:$AA1396,"&lt;="&amp;$AH$1)/COUNTIF(D$3:$AA1396,"&lt;="&amp;$AH$1)</f>
        <v>30.444159053833729</v>
      </c>
    </row>
    <row r="1397" spans="2:34" x14ac:dyDescent="0.25">
      <c r="B1397" s="910">
        <v>40781</v>
      </c>
      <c r="C1397" s="581">
        <f t="shared" si="64"/>
        <v>8</v>
      </c>
      <c r="D1397" s="171">
        <v>45.54</v>
      </c>
      <c r="E1397" s="171">
        <v>44.050000000000004</v>
      </c>
      <c r="F1397" s="171">
        <v>43.160000000000004</v>
      </c>
      <c r="G1397" s="171">
        <v>42.86</v>
      </c>
      <c r="H1397" s="171">
        <v>43.02</v>
      </c>
      <c r="I1397" s="171">
        <v>45.04</v>
      </c>
      <c r="J1397" s="171">
        <v>47.75</v>
      </c>
      <c r="K1397" s="171">
        <v>51.89</v>
      </c>
      <c r="L1397" s="171">
        <v>61.43</v>
      </c>
      <c r="M1397" s="171">
        <v>64.06</v>
      </c>
      <c r="N1397" s="171">
        <v>65.320000000000007</v>
      </c>
      <c r="O1397" s="171">
        <v>65.94</v>
      </c>
      <c r="P1397" s="171">
        <v>62.800000000000004</v>
      </c>
      <c r="Q1397" s="171">
        <v>56.27</v>
      </c>
      <c r="R1397" s="171">
        <v>53</v>
      </c>
      <c r="S1397" s="171">
        <v>50.77</v>
      </c>
      <c r="T1397" s="171">
        <v>50.78</v>
      </c>
      <c r="U1397" s="171">
        <v>51.38</v>
      </c>
      <c r="V1397" s="171">
        <v>53.27</v>
      </c>
      <c r="W1397" s="171">
        <v>57.72</v>
      </c>
      <c r="X1397" s="171">
        <v>62.04</v>
      </c>
      <c r="Y1397" s="171">
        <v>51.370000000000005</v>
      </c>
      <c r="Z1397" s="171">
        <v>48.7</v>
      </c>
      <c r="AA1397" s="171">
        <v>44.6</v>
      </c>
      <c r="AB1397" s="171">
        <v>65.94</v>
      </c>
      <c r="AC1397" s="171">
        <v>48.7</v>
      </c>
      <c r="AD1397" s="171">
        <v>47.5</v>
      </c>
      <c r="AF1397" s="171">
        <f t="shared" si="65"/>
        <v>2011</v>
      </c>
      <c r="AG1397" s="171">
        <f t="shared" si="66"/>
        <v>0</v>
      </c>
      <c r="AH1397" s="700">
        <f>SUMIF(D$3:$AA1397,"&lt;="&amp;$AH$1)/COUNTIF(D$3:$AA1397,"&lt;="&amp;$AH$1)</f>
        <v>30.444159053833729</v>
      </c>
    </row>
    <row r="1398" spans="2:34" x14ac:dyDescent="0.25">
      <c r="B1398" s="910">
        <v>40784</v>
      </c>
      <c r="C1398" s="581">
        <f t="shared" si="64"/>
        <v>8</v>
      </c>
      <c r="D1398" s="171">
        <v>39.83</v>
      </c>
      <c r="E1398" s="171">
        <v>36.53</v>
      </c>
      <c r="F1398" s="171">
        <v>33.33</v>
      </c>
      <c r="G1398" s="171">
        <v>26.92</v>
      </c>
      <c r="H1398" s="171">
        <v>33.08</v>
      </c>
      <c r="I1398" s="171">
        <v>38.24</v>
      </c>
      <c r="J1398" s="171">
        <v>45.94</v>
      </c>
      <c r="K1398" s="171">
        <v>52.910000000000004</v>
      </c>
      <c r="L1398" s="171">
        <v>55.97</v>
      </c>
      <c r="M1398" s="171">
        <v>57.870000000000005</v>
      </c>
      <c r="N1398" s="171">
        <v>57.33</v>
      </c>
      <c r="O1398" s="171">
        <v>59.97</v>
      </c>
      <c r="P1398" s="171">
        <v>58.5</v>
      </c>
      <c r="Q1398" s="171">
        <v>56.19</v>
      </c>
      <c r="R1398" s="171">
        <v>52.95</v>
      </c>
      <c r="S1398" s="171">
        <v>49.910000000000004</v>
      </c>
      <c r="T1398" s="171">
        <v>50.07</v>
      </c>
      <c r="U1398" s="171">
        <v>51.47</v>
      </c>
      <c r="V1398" s="171">
        <v>59.81</v>
      </c>
      <c r="W1398" s="171">
        <v>60.34</v>
      </c>
      <c r="X1398" s="171">
        <v>61.04</v>
      </c>
      <c r="Y1398" s="171">
        <v>57.17</v>
      </c>
      <c r="Z1398" s="171">
        <v>52.410000000000004</v>
      </c>
      <c r="AA1398" s="171">
        <v>47.92</v>
      </c>
      <c r="AB1398" s="171">
        <v>61.04</v>
      </c>
      <c r="AC1398" s="171">
        <v>49.910000000000004</v>
      </c>
      <c r="AD1398" s="171">
        <v>43.78</v>
      </c>
      <c r="AF1398" s="171">
        <f t="shared" si="65"/>
        <v>2011</v>
      </c>
      <c r="AG1398" s="171">
        <f t="shared" si="66"/>
        <v>6</v>
      </c>
      <c r="AH1398" s="700">
        <f>SUMIF(D$3:$AA1398,"&lt;="&amp;$AH$1)/COUNTIF(D$3:$AA1398,"&lt;="&amp;$AH$1)</f>
        <v>30.44621881624014</v>
      </c>
    </row>
    <row r="1399" spans="2:34" x14ac:dyDescent="0.25">
      <c r="B1399" s="910">
        <v>40785</v>
      </c>
      <c r="C1399" s="581">
        <f t="shared" si="64"/>
        <v>8</v>
      </c>
      <c r="D1399" s="171">
        <v>44.49</v>
      </c>
      <c r="E1399" s="171">
        <v>42.78</v>
      </c>
      <c r="F1399" s="171">
        <v>39.590000000000003</v>
      </c>
      <c r="G1399" s="171">
        <v>37.33</v>
      </c>
      <c r="H1399" s="171">
        <v>39.910000000000004</v>
      </c>
      <c r="I1399" s="171">
        <v>41.910000000000004</v>
      </c>
      <c r="J1399" s="171">
        <v>50.31</v>
      </c>
      <c r="K1399" s="171">
        <v>58.61</v>
      </c>
      <c r="L1399" s="171">
        <v>62.230000000000004</v>
      </c>
      <c r="M1399" s="171">
        <v>65</v>
      </c>
      <c r="N1399" s="171">
        <v>65.97</v>
      </c>
      <c r="O1399" s="171">
        <v>68.97</v>
      </c>
      <c r="P1399" s="171">
        <v>68.210000000000008</v>
      </c>
      <c r="Q1399" s="171">
        <v>66.39</v>
      </c>
      <c r="R1399" s="171">
        <v>64.81</v>
      </c>
      <c r="S1399" s="171">
        <v>63.95</v>
      </c>
      <c r="T1399" s="171">
        <v>61.57</v>
      </c>
      <c r="U1399" s="171">
        <v>62.07</v>
      </c>
      <c r="V1399" s="171">
        <v>62.42</v>
      </c>
      <c r="W1399" s="171">
        <v>64.02</v>
      </c>
      <c r="X1399" s="171">
        <v>64.94</v>
      </c>
      <c r="Y1399" s="171">
        <v>62.95</v>
      </c>
      <c r="Z1399" s="171">
        <v>55.96</v>
      </c>
      <c r="AA1399" s="171">
        <v>49.17</v>
      </c>
      <c r="AB1399" s="171">
        <v>68.97</v>
      </c>
      <c r="AC1399" s="171">
        <v>55.96</v>
      </c>
      <c r="AD1399" s="171">
        <v>49</v>
      </c>
      <c r="AF1399" s="171">
        <f t="shared" si="65"/>
        <v>2011</v>
      </c>
      <c r="AG1399" s="171">
        <f t="shared" si="66"/>
        <v>4</v>
      </c>
      <c r="AH1399" s="700">
        <f>SUMIF(D$3:$AA1399,"&lt;="&amp;$AH$1)/COUNTIF(D$3:$AA1399,"&lt;="&amp;$AH$1)</f>
        <v>30.44923064384691</v>
      </c>
    </row>
    <row r="1400" spans="2:34" x14ac:dyDescent="0.25">
      <c r="B1400" s="910">
        <v>40786</v>
      </c>
      <c r="C1400" s="581">
        <f t="shared" si="64"/>
        <v>8</v>
      </c>
      <c r="D1400" s="171">
        <v>46.660000000000004</v>
      </c>
      <c r="E1400" s="171">
        <v>44.230000000000004</v>
      </c>
      <c r="F1400" s="171">
        <v>41.56</v>
      </c>
      <c r="G1400" s="171">
        <v>40.32</v>
      </c>
      <c r="H1400" s="171">
        <v>42.26</v>
      </c>
      <c r="I1400" s="171">
        <v>44.22</v>
      </c>
      <c r="J1400" s="171">
        <v>48.67</v>
      </c>
      <c r="K1400" s="171">
        <v>60.07</v>
      </c>
      <c r="L1400" s="171">
        <v>62.07</v>
      </c>
      <c r="M1400" s="171">
        <v>61.940000000000005</v>
      </c>
      <c r="N1400" s="171">
        <v>62.35</v>
      </c>
      <c r="O1400" s="171">
        <v>63.2</v>
      </c>
      <c r="P1400" s="171">
        <v>60.620000000000005</v>
      </c>
      <c r="Q1400" s="171">
        <v>60.18</v>
      </c>
      <c r="R1400" s="171">
        <v>58.13</v>
      </c>
      <c r="S1400" s="171">
        <v>57.370000000000005</v>
      </c>
      <c r="T1400" s="171">
        <v>55.51</v>
      </c>
      <c r="U1400" s="171">
        <v>63.11</v>
      </c>
      <c r="V1400" s="171">
        <v>65.400000000000006</v>
      </c>
      <c r="W1400" s="171">
        <v>66.08</v>
      </c>
      <c r="X1400" s="171">
        <v>66.36</v>
      </c>
      <c r="Y1400" s="171">
        <v>62.050000000000004</v>
      </c>
      <c r="Z1400" s="171">
        <v>53.1</v>
      </c>
      <c r="AA1400" s="171">
        <v>46.59</v>
      </c>
      <c r="AB1400" s="171">
        <v>66.36</v>
      </c>
      <c r="AC1400" s="171">
        <v>53.1</v>
      </c>
      <c r="AD1400" s="171">
        <v>49.67</v>
      </c>
      <c r="AF1400" s="171">
        <f t="shared" si="65"/>
        <v>2011</v>
      </c>
      <c r="AG1400" s="171">
        <f t="shared" si="66"/>
        <v>3</v>
      </c>
      <c r="AH1400" s="700">
        <f>SUMIF(D$3:$AA1400,"&lt;="&amp;$AH$1)/COUNTIF(D$3:$AA1400,"&lt;="&amp;$AH$1)</f>
        <v>30.451902550313825</v>
      </c>
    </row>
    <row r="1401" spans="2:34" x14ac:dyDescent="0.25">
      <c r="B1401" s="910">
        <v>40787</v>
      </c>
      <c r="C1401" s="581">
        <f t="shared" si="64"/>
        <v>9</v>
      </c>
      <c r="D1401" s="171">
        <v>47.43</v>
      </c>
      <c r="E1401" s="171">
        <v>44.1</v>
      </c>
      <c r="F1401" s="171">
        <v>43.32</v>
      </c>
      <c r="G1401" s="171">
        <v>42.54</v>
      </c>
      <c r="H1401" s="171">
        <v>43.99</v>
      </c>
      <c r="I1401" s="171">
        <v>45.57</v>
      </c>
      <c r="J1401" s="171">
        <v>51.29</v>
      </c>
      <c r="K1401" s="171">
        <v>64.95</v>
      </c>
      <c r="L1401" s="171">
        <v>66.63</v>
      </c>
      <c r="M1401" s="171">
        <v>65.14</v>
      </c>
      <c r="N1401" s="171">
        <v>64.900000000000006</v>
      </c>
      <c r="O1401" s="171">
        <v>67.92</v>
      </c>
      <c r="P1401" s="171">
        <v>69.100000000000009</v>
      </c>
      <c r="Q1401" s="171">
        <v>67.989999999999995</v>
      </c>
      <c r="R1401" s="171">
        <v>64.930000000000007</v>
      </c>
      <c r="S1401" s="171">
        <v>62.02</v>
      </c>
      <c r="T1401" s="171">
        <v>60.26</v>
      </c>
      <c r="U1401" s="171">
        <v>64.010000000000005</v>
      </c>
      <c r="V1401" s="171">
        <v>64.95</v>
      </c>
      <c r="W1401" s="171">
        <v>66.91</v>
      </c>
      <c r="X1401" s="171">
        <v>72.83</v>
      </c>
      <c r="Y1401" s="171">
        <v>66.930000000000007</v>
      </c>
      <c r="Z1401" s="171">
        <v>57.64</v>
      </c>
      <c r="AA1401" s="171">
        <v>50.97</v>
      </c>
      <c r="AB1401" s="171">
        <v>72.83</v>
      </c>
      <c r="AC1401" s="171">
        <v>57.64</v>
      </c>
      <c r="AD1401" s="171">
        <v>52.63</v>
      </c>
      <c r="AF1401" s="171">
        <f t="shared" si="65"/>
        <v>2011</v>
      </c>
      <c r="AG1401" s="171">
        <f t="shared" si="66"/>
        <v>1</v>
      </c>
      <c r="AH1401" s="700">
        <f>SUMIF(D$3:$AA1401,"&lt;="&amp;$AH$1)/COUNTIF(D$3:$AA1401,"&lt;="&amp;$AH$1)</f>
        <v>30.452887404269315</v>
      </c>
    </row>
    <row r="1402" spans="2:34" x14ac:dyDescent="0.25">
      <c r="B1402" s="910">
        <v>40788</v>
      </c>
      <c r="C1402" s="581">
        <f t="shared" si="64"/>
        <v>9</v>
      </c>
      <c r="D1402" s="171">
        <v>48.120000000000005</v>
      </c>
      <c r="E1402" s="171">
        <v>44.85</v>
      </c>
      <c r="F1402" s="171">
        <v>43.99</v>
      </c>
      <c r="G1402" s="171">
        <v>42.32</v>
      </c>
      <c r="H1402" s="171">
        <v>43.230000000000004</v>
      </c>
      <c r="I1402" s="171">
        <v>46.78</v>
      </c>
      <c r="J1402" s="171">
        <v>53.17</v>
      </c>
      <c r="K1402" s="171">
        <v>57.870000000000005</v>
      </c>
      <c r="L1402" s="171">
        <v>66.59</v>
      </c>
      <c r="M1402" s="171">
        <v>65.930000000000007</v>
      </c>
      <c r="N1402" s="171">
        <v>67.960000000000008</v>
      </c>
      <c r="O1402" s="171">
        <v>68.05</v>
      </c>
      <c r="P1402" s="171">
        <v>66.91</v>
      </c>
      <c r="Q1402" s="171">
        <v>64.08</v>
      </c>
      <c r="R1402" s="171">
        <v>61.07</v>
      </c>
      <c r="S1402" s="171">
        <v>57.63</v>
      </c>
      <c r="T1402" s="171">
        <v>56.78</v>
      </c>
      <c r="U1402" s="171">
        <v>57.88</v>
      </c>
      <c r="V1402" s="171">
        <v>61.06</v>
      </c>
      <c r="W1402" s="171">
        <v>62.04</v>
      </c>
      <c r="X1402" s="171">
        <v>62.09</v>
      </c>
      <c r="Y1402" s="171">
        <v>56.47</v>
      </c>
      <c r="Z1402" s="171">
        <v>53.79</v>
      </c>
      <c r="AA1402" s="171">
        <v>48.9</v>
      </c>
      <c r="AB1402" s="171">
        <v>68.05</v>
      </c>
      <c r="AC1402" s="171">
        <v>53.79</v>
      </c>
      <c r="AD1402" s="171">
        <v>50.13</v>
      </c>
      <c r="AF1402" s="171">
        <f t="shared" si="65"/>
        <v>2011</v>
      </c>
      <c r="AG1402" s="171">
        <f t="shared" si="66"/>
        <v>1</v>
      </c>
      <c r="AH1402" s="700">
        <f>SUMIF(D$3:$AA1402,"&lt;="&amp;$AH$1)/COUNTIF(D$3:$AA1402,"&lt;="&amp;$AH$1)</f>
        <v>30.453854175152877</v>
      </c>
    </row>
    <row r="1403" spans="2:34" x14ac:dyDescent="0.25">
      <c r="B1403" s="910">
        <v>40791</v>
      </c>
      <c r="C1403" s="581">
        <f t="shared" si="64"/>
        <v>9</v>
      </c>
      <c r="D1403" s="171">
        <v>44.550000000000004</v>
      </c>
      <c r="E1403" s="171">
        <v>41.980000000000004</v>
      </c>
      <c r="F1403" s="171">
        <v>40.75</v>
      </c>
      <c r="G1403" s="171">
        <v>40.910000000000004</v>
      </c>
      <c r="H1403" s="171">
        <v>39.33</v>
      </c>
      <c r="I1403" s="171">
        <v>43.83</v>
      </c>
      <c r="J1403" s="171">
        <v>55.29</v>
      </c>
      <c r="K1403" s="171">
        <v>65.98</v>
      </c>
      <c r="L1403" s="171">
        <v>69.55</v>
      </c>
      <c r="M1403" s="171">
        <v>69.570000000000007</v>
      </c>
      <c r="N1403" s="171">
        <v>70</v>
      </c>
      <c r="O1403" s="171">
        <v>69.83</v>
      </c>
      <c r="P1403" s="171">
        <v>65.42</v>
      </c>
      <c r="Q1403" s="171">
        <v>61.940000000000005</v>
      </c>
      <c r="R1403" s="171">
        <v>55.75</v>
      </c>
      <c r="S1403" s="171">
        <v>52.97</v>
      </c>
      <c r="T1403" s="171">
        <v>49.78</v>
      </c>
      <c r="U1403" s="171">
        <v>49.46</v>
      </c>
      <c r="V1403" s="171">
        <v>51.34</v>
      </c>
      <c r="W1403" s="171">
        <v>52.75</v>
      </c>
      <c r="X1403" s="171">
        <v>58.35</v>
      </c>
      <c r="Y1403" s="171">
        <v>51.94</v>
      </c>
      <c r="Z1403" s="171">
        <v>48.14</v>
      </c>
      <c r="AA1403" s="171">
        <v>43.800000000000004</v>
      </c>
      <c r="AB1403" s="171">
        <v>70</v>
      </c>
      <c r="AC1403" s="171">
        <v>48.14</v>
      </c>
      <c r="AD1403" s="171">
        <v>47.9</v>
      </c>
      <c r="AF1403" s="171">
        <f t="shared" si="65"/>
        <v>2011</v>
      </c>
      <c r="AG1403" s="171">
        <f t="shared" si="66"/>
        <v>4</v>
      </c>
      <c r="AH1403" s="700">
        <f>SUMIF(D$3:$AA1403,"&lt;="&amp;$AH$1)/COUNTIF(D$3:$AA1403,"&lt;="&amp;$AH$1)</f>
        <v>30.457205798517919</v>
      </c>
    </row>
    <row r="1404" spans="2:34" x14ac:dyDescent="0.25">
      <c r="B1404" s="910">
        <v>40792</v>
      </c>
      <c r="C1404" s="581">
        <f t="shared" si="64"/>
        <v>9</v>
      </c>
      <c r="D1404" s="171">
        <v>39.22</v>
      </c>
      <c r="E1404" s="171">
        <v>33.94</v>
      </c>
      <c r="F1404" s="171">
        <v>24.7</v>
      </c>
      <c r="G1404" s="171">
        <v>19.990000000000002</v>
      </c>
      <c r="H1404" s="171">
        <v>26.25</v>
      </c>
      <c r="I1404" s="171">
        <v>40.58</v>
      </c>
      <c r="J1404" s="171">
        <v>51.78</v>
      </c>
      <c r="K1404" s="171">
        <v>56.75</v>
      </c>
      <c r="L1404" s="171">
        <v>57.33</v>
      </c>
      <c r="M1404" s="171">
        <v>57.58</v>
      </c>
      <c r="N1404" s="171">
        <v>54.25</v>
      </c>
      <c r="O1404" s="171">
        <v>54.95</v>
      </c>
      <c r="P1404" s="171">
        <v>49.03</v>
      </c>
      <c r="Q1404" s="171">
        <v>46.93</v>
      </c>
      <c r="R1404" s="171">
        <v>46.63</v>
      </c>
      <c r="S1404" s="171">
        <v>46.45</v>
      </c>
      <c r="T1404" s="171">
        <v>46.51</v>
      </c>
      <c r="U1404" s="171">
        <v>47.61</v>
      </c>
      <c r="V1404" s="171">
        <v>52.21</v>
      </c>
      <c r="W1404" s="171">
        <v>54.96</v>
      </c>
      <c r="X1404" s="171">
        <v>61.27</v>
      </c>
      <c r="Y1404" s="171">
        <v>52.81</v>
      </c>
      <c r="Z1404" s="171">
        <v>48.78</v>
      </c>
      <c r="AA1404" s="171">
        <v>39.119999999999997</v>
      </c>
      <c r="AB1404" s="171">
        <v>61.27</v>
      </c>
      <c r="AC1404" s="171">
        <v>46.45</v>
      </c>
      <c r="AD1404" s="171">
        <v>41.27</v>
      </c>
      <c r="AF1404" s="171">
        <f t="shared" si="65"/>
        <v>2011</v>
      </c>
      <c r="AG1404" s="171">
        <f t="shared" si="66"/>
        <v>7</v>
      </c>
      <c r="AH1404" s="700">
        <f>SUMIF(D$3:$AA1404,"&lt;="&amp;$AH$1)/COUNTIF(D$3:$AA1404,"&lt;="&amp;$AH$1)</f>
        <v>30.458068533290049</v>
      </c>
    </row>
    <row r="1405" spans="2:34" x14ac:dyDescent="0.25">
      <c r="B1405" s="910">
        <v>40793</v>
      </c>
      <c r="C1405" s="581">
        <f t="shared" si="64"/>
        <v>9</v>
      </c>
      <c r="D1405" s="171">
        <v>15.83</v>
      </c>
      <c r="E1405" s="171">
        <v>14.43</v>
      </c>
      <c r="F1405" s="171">
        <v>11.16</v>
      </c>
      <c r="G1405" s="171">
        <v>10.49</v>
      </c>
      <c r="H1405" s="171">
        <v>10.43</v>
      </c>
      <c r="I1405" s="171">
        <v>15.790000000000001</v>
      </c>
      <c r="J1405" s="171">
        <v>45.62</v>
      </c>
      <c r="K1405" s="171">
        <v>51.56</v>
      </c>
      <c r="L1405" s="171">
        <v>54.57</v>
      </c>
      <c r="M1405" s="171">
        <v>56.19</v>
      </c>
      <c r="N1405" s="171">
        <v>56.58</v>
      </c>
      <c r="O1405" s="171">
        <v>59.44</v>
      </c>
      <c r="P1405" s="171">
        <v>58.85</v>
      </c>
      <c r="Q1405" s="171">
        <v>58.480000000000004</v>
      </c>
      <c r="R1405" s="171">
        <v>58</v>
      </c>
      <c r="S1405" s="171">
        <v>52.93</v>
      </c>
      <c r="T1405" s="171">
        <v>52</v>
      </c>
      <c r="U1405" s="171">
        <v>53.02</v>
      </c>
      <c r="V1405" s="171">
        <v>58.29</v>
      </c>
      <c r="W1405" s="171">
        <v>60.410000000000004</v>
      </c>
      <c r="X1405" s="171">
        <v>62.78</v>
      </c>
      <c r="Y1405" s="171">
        <v>58.93</v>
      </c>
      <c r="Z1405" s="171">
        <v>53.26</v>
      </c>
      <c r="AA1405" s="171">
        <v>46.62</v>
      </c>
      <c r="AB1405" s="171">
        <v>62.78</v>
      </c>
      <c r="AC1405" s="171">
        <v>51.56</v>
      </c>
      <c r="AD1405" s="171">
        <v>33.08</v>
      </c>
      <c r="AF1405" s="171">
        <f t="shared" si="65"/>
        <v>2011</v>
      </c>
      <c r="AG1405" s="171">
        <f t="shared" si="66"/>
        <v>6</v>
      </c>
      <c r="AH1405" s="700">
        <f>SUMIF(D$3:$AA1405,"&lt;="&amp;$AH$1)/COUNTIF(D$3:$AA1405,"&lt;="&amp;$AH$1)</f>
        <v>30.449557435730675</v>
      </c>
    </row>
    <row r="1406" spans="2:34" x14ac:dyDescent="0.25">
      <c r="B1406" s="910">
        <v>40794</v>
      </c>
      <c r="C1406" s="581">
        <f t="shared" si="64"/>
        <v>9</v>
      </c>
      <c r="D1406" s="171">
        <v>43.800000000000004</v>
      </c>
      <c r="E1406" s="171">
        <v>40.4</v>
      </c>
      <c r="F1406" s="171">
        <v>29.490000000000002</v>
      </c>
      <c r="G1406" s="171">
        <v>18.75</v>
      </c>
      <c r="H1406" s="171">
        <v>19.920000000000002</v>
      </c>
      <c r="I1406" s="171">
        <v>36.04</v>
      </c>
      <c r="J1406" s="171">
        <v>49.17</v>
      </c>
      <c r="K1406" s="171">
        <v>53.85</v>
      </c>
      <c r="L1406" s="171">
        <v>57.45</v>
      </c>
      <c r="M1406" s="171">
        <v>60.03</v>
      </c>
      <c r="N1406" s="171">
        <v>60.230000000000004</v>
      </c>
      <c r="O1406" s="171">
        <v>62.09</v>
      </c>
      <c r="P1406" s="171">
        <v>61.04</v>
      </c>
      <c r="Q1406" s="171">
        <v>60</v>
      </c>
      <c r="R1406" s="171">
        <v>57.93</v>
      </c>
      <c r="S1406" s="171">
        <v>53.2</v>
      </c>
      <c r="T1406" s="171">
        <v>53.03</v>
      </c>
      <c r="U1406" s="171">
        <v>53.03</v>
      </c>
      <c r="V1406" s="171">
        <v>59.39</v>
      </c>
      <c r="W1406" s="171">
        <v>58.01</v>
      </c>
      <c r="X1406" s="171">
        <v>62.410000000000004</v>
      </c>
      <c r="Y1406" s="171">
        <v>59.67</v>
      </c>
      <c r="Z1406" s="171">
        <v>53.2</v>
      </c>
      <c r="AA1406" s="171">
        <v>47.82</v>
      </c>
      <c r="AB1406" s="171">
        <v>62.410000000000004</v>
      </c>
      <c r="AC1406" s="171">
        <v>53.03</v>
      </c>
      <c r="AD1406" s="171">
        <v>42.88</v>
      </c>
      <c r="AF1406" s="171">
        <f t="shared" si="65"/>
        <v>2011</v>
      </c>
      <c r="AG1406" s="171">
        <f t="shared" si="66"/>
        <v>5</v>
      </c>
      <c r="AH1406" s="700">
        <f>SUMIF(D$3:$AA1406,"&lt;="&amp;$AH$1)/COUNTIF(D$3:$AA1406,"&lt;="&amp;$AH$1)</f>
        <v>30.448935512726798</v>
      </c>
    </row>
    <row r="1407" spans="2:34" x14ac:dyDescent="0.25">
      <c r="B1407" s="910">
        <v>40795</v>
      </c>
      <c r="C1407" s="581">
        <f t="shared" si="64"/>
        <v>9</v>
      </c>
      <c r="D1407" s="171">
        <v>47.13</v>
      </c>
      <c r="E1407" s="171">
        <v>44.480000000000004</v>
      </c>
      <c r="F1407" s="171">
        <v>43.63</v>
      </c>
      <c r="G1407" s="171">
        <v>42.53</v>
      </c>
      <c r="H1407" s="171">
        <v>44.07</v>
      </c>
      <c r="I1407" s="171">
        <v>45.56</v>
      </c>
      <c r="J1407" s="171">
        <v>57.06</v>
      </c>
      <c r="K1407" s="171">
        <v>69.94</v>
      </c>
      <c r="L1407" s="171">
        <v>69.86</v>
      </c>
      <c r="M1407" s="171">
        <v>72.5</v>
      </c>
      <c r="N1407" s="171">
        <v>78.05</v>
      </c>
      <c r="O1407" s="171">
        <v>82.52</v>
      </c>
      <c r="P1407" s="171">
        <v>76.5</v>
      </c>
      <c r="Q1407" s="171">
        <v>68.73</v>
      </c>
      <c r="R1407" s="171">
        <v>67.040000000000006</v>
      </c>
      <c r="S1407" s="171">
        <v>61.2</v>
      </c>
      <c r="T1407" s="171">
        <v>58.34</v>
      </c>
      <c r="U1407" s="171">
        <v>64.070000000000007</v>
      </c>
      <c r="V1407" s="171">
        <v>64.040000000000006</v>
      </c>
      <c r="W1407" s="171">
        <v>64.070000000000007</v>
      </c>
      <c r="X1407" s="171">
        <v>76.850000000000009</v>
      </c>
      <c r="Y1407" s="171">
        <v>59.14</v>
      </c>
      <c r="Z1407" s="171">
        <v>55.84</v>
      </c>
      <c r="AA1407" s="171">
        <v>51.63</v>
      </c>
      <c r="AB1407" s="171">
        <v>82.52</v>
      </c>
      <c r="AC1407" s="171">
        <v>55.84</v>
      </c>
      <c r="AD1407" s="171">
        <v>53.15</v>
      </c>
      <c r="AF1407" s="171">
        <f t="shared" si="65"/>
        <v>2011</v>
      </c>
      <c r="AG1407" s="171">
        <f t="shared" si="66"/>
        <v>1</v>
      </c>
      <c r="AH1407" s="700">
        <f>SUMIF(D$3:$AA1407,"&lt;="&amp;$AH$1)/COUNTIF(D$3:$AA1407,"&lt;="&amp;$AH$1)</f>
        <v>30.449917872824969</v>
      </c>
    </row>
    <row r="1408" spans="2:34" x14ac:dyDescent="0.25">
      <c r="B1408" s="910">
        <v>40798</v>
      </c>
      <c r="C1408" s="581">
        <f t="shared" si="64"/>
        <v>9</v>
      </c>
      <c r="D1408" s="171">
        <v>33.869999999999997</v>
      </c>
      <c r="E1408" s="171">
        <v>28.07</v>
      </c>
      <c r="F1408" s="171">
        <v>18.97</v>
      </c>
      <c r="G1408" s="171">
        <v>20.62</v>
      </c>
      <c r="H1408" s="171">
        <v>23.17</v>
      </c>
      <c r="I1408" s="171">
        <v>40.94</v>
      </c>
      <c r="J1408" s="171">
        <v>53.75</v>
      </c>
      <c r="K1408" s="171">
        <v>66.92</v>
      </c>
      <c r="L1408" s="171">
        <v>65.900000000000006</v>
      </c>
      <c r="M1408" s="171">
        <v>63.2</v>
      </c>
      <c r="N1408" s="171">
        <v>64.94</v>
      </c>
      <c r="O1408" s="171">
        <v>63.24</v>
      </c>
      <c r="P1408" s="171">
        <v>60.74</v>
      </c>
      <c r="Q1408" s="171">
        <v>60.03</v>
      </c>
      <c r="R1408" s="171">
        <v>55.99</v>
      </c>
      <c r="S1408" s="171">
        <v>53.04</v>
      </c>
      <c r="T1408" s="171">
        <v>51.02</v>
      </c>
      <c r="U1408" s="171">
        <v>51.54</v>
      </c>
      <c r="V1408" s="171">
        <v>53.980000000000004</v>
      </c>
      <c r="W1408" s="171">
        <v>59.160000000000004</v>
      </c>
      <c r="X1408" s="171">
        <v>61.19</v>
      </c>
      <c r="Y1408" s="171">
        <v>48.85</v>
      </c>
      <c r="Z1408" s="171">
        <v>48.7</v>
      </c>
      <c r="AA1408" s="171">
        <v>43.22</v>
      </c>
      <c r="AB1408" s="171">
        <v>66.92</v>
      </c>
      <c r="AC1408" s="171">
        <v>48.7</v>
      </c>
      <c r="AD1408" s="171">
        <v>40.69</v>
      </c>
      <c r="AF1408" s="171">
        <f t="shared" si="65"/>
        <v>2011</v>
      </c>
      <c r="AG1408" s="171">
        <f t="shared" si="66"/>
        <v>6</v>
      </c>
      <c r="AH1408" s="700">
        <f>SUMIF(D$3:$AA1408,"&lt;="&amp;$AH$1)/COUNTIF(D$3:$AA1408,"&lt;="&amp;$AH$1)</f>
        <v>30.448531371911692</v>
      </c>
    </row>
    <row r="1409" spans="2:34" x14ac:dyDescent="0.25">
      <c r="B1409" s="910">
        <v>40799</v>
      </c>
      <c r="C1409" s="581">
        <f t="shared" si="64"/>
        <v>9</v>
      </c>
      <c r="D1409" s="171">
        <v>21.150000000000002</v>
      </c>
      <c r="E1409" s="171">
        <v>18.920000000000002</v>
      </c>
      <c r="F1409" s="171">
        <v>18.71</v>
      </c>
      <c r="G1409" s="171">
        <v>17.010000000000002</v>
      </c>
      <c r="H1409" s="171">
        <v>17.240000000000002</v>
      </c>
      <c r="I1409" s="171">
        <v>36.26</v>
      </c>
      <c r="J1409" s="171">
        <v>49.620000000000005</v>
      </c>
      <c r="K1409" s="171">
        <v>59.49</v>
      </c>
      <c r="L1409" s="171">
        <v>61.33</v>
      </c>
      <c r="M1409" s="171">
        <v>61.980000000000004</v>
      </c>
      <c r="N1409" s="171">
        <v>61.1</v>
      </c>
      <c r="O1409" s="171">
        <v>61.22</v>
      </c>
      <c r="P1409" s="171">
        <v>59.36</v>
      </c>
      <c r="Q1409" s="171">
        <v>57</v>
      </c>
      <c r="R1409" s="171">
        <v>55.85</v>
      </c>
      <c r="S1409" s="171">
        <v>52.77</v>
      </c>
      <c r="T1409" s="171">
        <v>51.300000000000004</v>
      </c>
      <c r="U1409" s="171">
        <v>54.61</v>
      </c>
      <c r="V1409" s="171">
        <v>59.26</v>
      </c>
      <c r="W1409" s="171">
        <v>60.1</v>
      </c>
      <c r="X1409" s="171">
        <v>66.260000000000005</v>
      </c>
      <c r="Y1409" s="171">
        <v>56.980000000000004</v>
      </c>
      <c r="Z1409" s="171">
        <v>49.88</v>
      </c>
      <c r="AA1409" s="171">
        <v>46.26</v>
      </c>
      <c r="AB1409" s="171">
        <v>66.260000000000005</v>
      </c>
      <c r="AC1409" s="171">
        <v>49.88</v>
      </c>
      <c r="AD1409" s="171">
        <v>38.15</v>
      </c>
      <c r="AF1409" s="171">
        <f t="shared" si="65"/>
        <v>2011</v>
      </c>
      <c r="AG1409" s="171">
        <f t="shared" si="66"/>
        <v>6</v>
      </c>
      <c r="AH1409" s="700">
        <f>SUMIF(D$3:$AA1409,"&lt;="&amp;$AH$1)/COUNTIF(D$3:$AA1409,"&lt;="&amp;$AH$1)</f>
        <v>30.444193338749105</v>
      </c>
    </row>
    <row r="1410" spans="2:34" x14ac:dyDescent="0.25">
      <c r="B1410" s="910">
        <v>40800</v>
      </c>
      <c r="C1410" s="581">
        <f t="shared" si="64"/>
        <v>9</v>
      </c>
      <c r="D1410" s="171">
        <v>39.9</v>
      </c>
      <c r="E1410" s="171">
        <v>37.25</v>
      </c>
      <c r="F1410" s="171">
        <v>24.91</v>
      </c>
      <c r="G1410" s="171">
        <v>19.03</v>
      </c>
      <c r="H1410" s="171">
        <v>18.93</v>
      </c>
      <c r="I1410" s="171">
        <v>37.04</v>
      </c>
      <c r="J1410" s="171">
        <v>49.26</v>
      </c>
      <c r="K1410" s="171">
        <v>58.9</v>
      </c>
      <c r="L1410" s="171">
        <v>61.26</v>
      </c>
      <c r="M1410" s="171">
        <v>60.04</v>
      </c>
      <c r="N1410" s="171">
        <v>59.44</v>
      </c>
      <c r="O1410" s="171">
        <v>60.85</v>
      </c>
      <c r="P1410" s="171">
        <v>59.44</v>
      </c>
      <c r="Q1410" s="171">
        <v>55.49</v>
      </c>
      <c r="R1410" s="171">
        <v>55.64</v>
      </c>
      <c r="S1410" s="171">
        <v>53.07</v>
      </c>
      <c r="T1410" s="171">
        <v>51.81</v>
      </c>
      <c r="U1410" s="171">
        <v>55.42</v>
      </c>
      <c r="V1410" s="171">
        <v>61.02</v>
      </c>
      <c r="W1410" s="171">
        <v>69.09</v>
      </c>
      <c r="X1410" s="171">
        <v>73.430000000000007</v>
      </c>
      <c r="Y1410" s="171">
        <v>59.300000000000004</v>
      </c>
      <c r="Z1410" s="171">
        <v>53.19</v>
      </c>
      <c r="AA1410" s="171">
        <v>44.910000000000004</v>
      </c>
      <c r="AB1410" s="171">
        <v>73.430000000000007</v>
      </c>
      <c r="AC1410" s="171">
        <v>51.81</v>
      </c>
      <c r="AD1410" s="171">
        <v>43</v>
      </c>
      <c r="AF1410" s="171">
        <f t="shared" si="65"/>
        <v>2011</v>
      </c>
      <c r="AG1410" s="171">
        <f t="shared" si="66"/>
        <v>6</v>
      </c>
      <c r="AH1410" s="700">
        <f>SUMIF(D$3:$AA1410,"&lt;="&amp;$AH$1)/COUNTIF(D$3:$AA1410,"&lt;="&amp;$AH$1)</f>
        <v>30.4437382266971</v>
      </c>
    </row>
    <row r="1411" spans="2:34" x14ac:dyDescent="0.25">
      <c r="B1411" s="910">
        <v>40801</v>
      </c>
      <c r="C1411" s="581">
        <f t="shared" si="64"/>
        <v>9</v>
      </c>
      <c r="D1411" s="171">
        <v>46.94</v>
      </c>
      <c r="E1411" s="171">
        <v>41.31</v>
      </c>
      <c r="F1411" s="171">
        <v>40.97</v>
      </c>
      <c r="G1411" s="171">
        <v>40.119999999999997</v>
      </c>
      <c r="H1411" s="171">
        <v>40.94</v>
      </c>
      <c r="I1411" s="171">
        <v>41.34</v>
      </c>
      <c r="J1411" s="171">
        <v>53.2</v>
      </c>
      <c r="K1411" s="171">
        <v>65.36</v>
      </c>
      <c r="L1411" s="171">
        <v>65.73</v>
      </c>
      <c r="M1411" s="171">
        <v>63.99</v>
      </c>
      <c r="N1411" s="171">
        <v>61.95</v>
      </c>
      <c r="O1411" s="171">
        <v>62.09</v>
      </c>
      <c r="P1411" s="171">
        <v>60.69</v>
      </c>
      <c r="Q1411" s="171">
        <v>59.46</v>
      </c>
      <c r="R1411" s="171">
        <v>58.550000000000004</v>
      </c>
      <c r="S1411" s="171">
        <v>58.61</v>
      </c>
      <c r="T1411" s="171">
        <v>57.660000000000004</v>
      </c>
      <c r="U1411" s="171">
        <v>61.97</v>
      </c>
      <c r="V1411" s="171">
        <v>64.989999999999995</v>
      </c>
      <c r="W1411" s="171">
        <v>67.680000000000007</v>
      </c>
      <c r="X1411" s="171">
        <v>71.56</v>
      </c>
      <c r="Y1411" s="171">
        <v>63.61</v>
      </c>
      <c r="Z1411" s="171">
        <v>57.93</v>
      </c>
      <c r="AA1411" s="171">
        <v>48.07</v>
      </c>
      <c r="AB1411" s="171">
        <v>71.56</v>
      </c>
      <c r="AC1411" s="171">
        <v>57.660000000000004</v>
      </c>
      <c r="AD1411" s="171">
        <v>50.95</v>
      </c>
      <c r="AF1411" s="171">
        <f t="shared" si="65"/>
        <v>2011</v>
      </c>
      <c r="AG1411" s="171">
        <f t="shared" si="66"/>
        <v>5</v>
      </c>
      <c r="AH1411" s="700">
        <f>SUMIF(D$3:$AA1411,"&lt;="&amp;$AH$1)/COUNTIF(D$3:$AA1411,"&lt;="&amp;$AH$1)</f>
        <v>30.447996104212439</v>
      </c>
    </row>
    <row r="1412" spans="2:34" x14ac:dyDescent="0.25">
      <c r="B1412" s="910">
        <v>40802</v>
      </c>
      <c r="C1412" s="581">
        <f t="shared" ref="C1412:C1475" si="67">MONTH(B1412)</f>
        <v>9</v>
      </c>
      <c r="D1412" s="171">
        <v>42.800000000000004</v>
      </c>
      <c r="E1412" s="171">
        <v>42.04</v>
      </c>
      <c r="F1412" s="171">
        <v>42.37</v>
      </c>
      <c r="G1412" s="171">
        <v>42.02</v>
      </c>
      <c r="H1412" s="171">
        <v>42.800000000000004</v>
      </c>
      <c r="I1412" s="171">
        <v>44.36</v>
      </c>
      <c r="J1412" s="171">
        <v>50.35</v>
      </c>
      <c r="K1412" s="171">
        <v>60.93</v>
      </c>
      <c r="L1412" s="171">
        <v>76.400000000000006</v>
      </c>
      <c r="M1412" s="171">
        <v>67.03</v>
      </c>
      <c r="N1412" s="171">
        <v>65.67</v>
      </c>
      <c r="O1412" s="171">
        <v>66.05</v>
      </c>
      <c r="P1412" s="171">
        <v>65.94</v>
      </c>
      <c r="Q1412" s="171">
        <v>60.97</v>
      </c>
      <c r="R1412" s="171">
        <v>56.95</v>
      </c>
      <c r="S1412" s="171">
        <v>54.800000000000004</v>
      </c>
      <c r="T1412" s="171">
        <v>54.14</v>
      </c>
      <c r="U1412" s="171">
        <v>62.96</v>
      </c>
      <c r="V1412" s="171">
        <v>66.38</v>
      </c>
      <c r="W1412" s="171">
        <v>61.29</v>
      </c>
      <c r="X1412" s="171">
        <v>66.55</v>
      </c>
      <c r="Y1412" s="171">
        <v>56.18</v>
      </c>
      <c r="Z1412" s="171">
        <v>53.85</v>
      </c>
      <c r="AA1412" s="171">
        <v>50.82</v>
      </c>
      <c r="AB1412" s="171">
        <v>76.400000000000006</v>
      </c>
      <c r="AC1412" s="171">
        <v>53.85</v>
      </c>
      <c r="AD1412" s="171">
        <v>49.59</v>
      </c>
      <c r="AF1412" s="171">
        <f t="shared" ref="AF1412:AF1475" si="68">YEAR(B1412)</f>
        <v>2011</v>
      </c>
      <c r="AG1412" s="171">
        <f t="shared" ref="AG1412:AG1475" si="69">COUNTIF(D1412:AA1412,"&lt;="&amp;$AH$1)</f>
        <v>3</v>
      </c>
      <c r="AH1412" s="700">
        <f>SUMIF(D$3:$AA1412,"&lt;="&amp;$AH$1)/COUNTIF(D$3:$AA1412,"&lt;="&amp;$AH$1)</f>
        <v>30.450843070431798</v>
      </c>
    </row>
    <row r="1413" spans="2:34" x14ac:dyDescent="0.25">
      <c r="B1413" s="910">
        <v>40805</v>
      </c>
      <c r="C1413" s="581">
        <f t="shared" si="67"/>
        <v>9</v>
      </c>
      <c r="D1413" s="171">
        <v>42.24</v>
      </c>
      <c r="E1413" s="171">
        <v>33.71</v>
      </c>
      <c r="F1413" s="171">
        <v>35.090000000000003</v>
      </c>
      <c r="G1413" s="171">
        <v>35.200000000000003</v>
      </c>
      <c r="H1413" s="171">
        <v>37.28</v>
      </c>
      <c r="I1413" s="171">
        <v>44</v>
      </c>
      <c r="J1413" s="171">
        <v>65.12</v>
      </c>
      <c r="K1413" s="171">
        <v>70</v>
      </c>
      <c r="L1413" s="171">
        <v>74.97</v>
      </c>
      <c r="M1413" s="171">
        <v>77.510000000000005</v>
      </c>
      <c r="N1413" s="171">
        <v>75.900000000000006</v>
      </c>
      <c r="O1413" s="171">
        <v>79.930000000000007</v>
      </c>
      <c r="P1413" s="171">
        <v>75.81</v>
      </c>
      <c r="Q1413" s="171">
        <v>74.75</v>
      </c>
      <c r="R1413" s="171">
        <v>70.430000000000007</v>
      </c>
      <c r="S1413" s="171">
        <v>66.650000000000006</v>
      </c>
      <c r="T1413" s="171">
        <v>63.190000000000005</v>
      </c>
      <c r="U1413" s="171">
        <v>64.02</v>
      </c>
      <c r="V1413" s="171">
        <v>68.320000000000007</v>
      </c>
      <c r="W1413" s="171">
        <v>70.350000000000009</v>
      </c>
      <c r="X1413" s="171">
        <v>69.95</v>
      </c>
      <c r="Y1413" s="171">
        <v>58.43</v>
      </c>
      <c r="Z1413" s="171">
        <v>53.31</v>
      </c>
      <c r="AA1413" s="171">
        <v>48.24</v>
      </c>
      <c r="AB1413" s="171">
        <v>79.930000000000007</v>
      </c>
      <c r="AC1413" s="171">
        <v>53.31</v>
      </c>
      <c r="AD1413" s="171">
        <v>49.38</v>
      </c>
      <c r="AF1413" s="171">
        <f t="shared" si="68"/>
        <v>2011</v>
      </c>
      <c r="AG1413" s="171">
        <f t="shared" si="69"/>
        <v>5</v>
      </c>
      <c r="AH1413" s="700">
        <f>SUMIF(D$3:$AA1413,"&lt;="&amp;$AH$1)/COUNTIF(D$3:$AA1413,"&lt;="&amp;$AH$1)</f>
        <v>30.453379025062983</v>
      </c>
    </row>
    <row r="1414" spans="2:34" x14ac:dyDescent="0.25">
      <c r="B1414" s="910">
        <v>40806</v>
      </c>
      <c r="C1414" s="581">
        <f t="shared" si="67"/>
        <v>9</v>
      </c>
      <c r="D1414" s="171">
        <v>44.79</v>
      </c>
      <c r="E1414" s="171">
        <v>39.97</v>
      </c>
      <c r="F1414" s="171">
        <v>35.17</v>
      </c>
      <c r="G1414" s="171">
        <v>34.17</v>
      </c>
      <c r="H1414" s="171">
        <v>37.619999999999997</v>
      </c>
      <c r="I1414" s="171">
        <v>42.99</v>
      </c>
      <c r="J1414" s="171">
        <v>53.19</v>
      </c>
      <c r="K1414" s="171">
        <v>61.2</v>
      </c>
      <c r="L1414" s="171">
        <v>68.98</v>
      </c>
      <c r="M1414" s="171">
        <v>68.87</v>
      </c>
      <c r="N1414" s="171">
        <v>69.91</v>
      </c>
      <c r="O1414" s="171">
        <v>71.25</v>
      </c>
      <c r="P1414" s="171">
        <v>70.760000000000005</v>
      </c>
      <c r="Q1414" s="171">
        <v>68.09</v>
      </c>
      <c r="R1414" s="171">
        <v>64.239999999999995</v>
      </c>
      <c r="S1414" s="171">
        <v>61.52</v>
      </c>
      <c r="T1414" s="171">
        <v>56.97</v>
      </c>
      <c r="U1414" s="171">
        <v>60.96</v>
      </c>
      <c r="V1414" s="171">
        <v>67.23</v>
      </c>
      <c r="W1414" s="171">
        <v>71.09</v>
      </c>
      <c r="X1414" s="171">
        <v>74.070000000000007</v>
      </c>
      <c r="Y1414" s="171">
        <v>63.09</v>
      </c>
      <c r="Z1414" s="171">
        <v>56.18</v>
      </c>
      <c r="AA1414" s="171">
        <v>47.22</v>
      </c>
      <c r="AB1414" s="171">
        <v>74.070000000000007</v>
      </c>
      <c r="AC1414" s="171">
        <v>56.18</v>
      </c>
      <c r="AD1414" s="171">
        <v>49.14</v>
      </c>
      <c r="AF1414" s="171">
        <f t="shared" si="68"/>
        <v>2011</v>
      </c>
      <c r="AG1414" s="171">
        <f t="shared" si="69"/>
        <v>4</v>
      </c>
      <c r="AH1414" s="700">
        <f>SUMIF(D$3:$AA1414,"&lt;="&amp;$AH$1)/COUNTIF(D$3:$AA1414,"&lt;="&amp;$AH$1)</f>
        <v>30.455415551771789</v>
      </c>
    </row>
    <row r="1415" spans="2:34" x14ac:dyDescent="0.25">
      <c r="B1415" s="910">
        <v>40807</v>
      </c>
      <c r="C1415" s="581">
        <f t="shared" si="67"/>
        <v>9</v>
      </c>
      <c r="D1415" s="171">
        <v>43.11</v>
      </c>
      <c r="E1415" s="171">
        <v>37.54</v>
      </c>
      <c r="F1415" s="171">
        <v>34.36</v>
      </c>
      <c r="G1415" s="171">
        <v>31.59</v>
      </c>
      <c r="H1415" s="171">
        <v>36.119999999999997</v>
      </c>
      <c r="I1415" s="171">
        <v>43.28</v>
      </c>
      <c r="J1415" s="171">
        <v>52.44</v>
      </c>
      <c r="K1415" s="171">
        <v>58.1</v>
      </c>
      <c r="L1415" s="171">
        <v>70</v>
      </c>
      <c r="M1415" s="171">
        <v>69.87</v>
      </c>
      <c r="N1415" s="171">
        <v>68.62</v>
      </c>
      <c r="O1415" s="171">
        <v>69.94</v>
      </c>
      <c r="P1415" s="171">
        <v>65.08</v>
      </c>
      <c r="Q1415" s="171">
        <v>63.07</v>
      </c>
      <c r="R1415" s="171">
        <v>59.61</v>
      </c>
      <c r="S1415" s="171">
        <v>57.31</v>
      </c>
      <c r="T1415" s="171">
        <v>53.27</v>
      </c>
      <c r="U1415" s="171">
        <v>56.02</v>
      </c>
      <c r="V1415" s="171">
        <v>60.44</v>
      </c>
      <c r="W1415" s="171">
        <v>67.460000000000008</v>
      </c>
      <c r="X1415" s="171">
        <v>69.31</v>
      </c>
      <c r="Y1415" s="171">
        <v>56.93</v>
      </c>
      <c r="Z1415" s="171">
        <v>48.79</v>
      </c>
      <c r="AA1415" s="171">
        <v>46.49</v>
      </c>
      <c r="AB1415" s="171">
        <v>70</v>
      </c>
      <c r="AC1415" s="171">
        <v>48.79</v>
      </c>
      <c r="AD1415" s="171">
        <v>46.51</v>
      </c>
      <c r="AF1415" s="171">
        <f t="shared" si="68"/>
        <v>2011</v>
      </c>
      <c r="AG1415" s="171">
        <f t="shared" si="69"/>
        <v>4</v>
      </c>
      <c r="AH1415" s="700">
        <f>SUMIF(D$3:$AA1415,"&lt;="&amp;$AH$1)/COUNTIF(D$3:$AA1415,"&lt;="&amp;$AH$1)</f>
        <v>30.456857420766916</v>
      </c>
    </row>
    <row r="1416" spans="2:34" x14ac:dyDescent="0.25">
      <c r="B1416" s="910">
        <v>40808</v>
      </c>
      <c r="C1416" s="581">
        <f t="shared" si="67"/>
        <v>9</v>
      </c>
      <c r="D1416" s="171">
        <v>43.04</v>
      </c>
      <c r="E1416" s="171">
        <v>32.770000000000003</v>
      </c>
      <c r="F1416" s="171">
        <v>21.400000000000002</v>
      </c>
      <c r="G1416" s="171">
        <v>16.760000000000002</v>
      </c>
      <c r="H1416" s="171">
        <v>20.55</v>
      </c>
      <c r="I1416" s="171">
        <v>35.31</v>
      </c>
      <c r="J1416" s="171">
        <v>56.65</v>
      </c>
      <c r="K1416" s="171">
        <v>59.93</v>
      </c>
      <c r="L1416" s="171">
        <v>64.099999999999994</v>
      </c>
      <c r="M1416" s="171">
        <v>64.08</v>
      </c>
      <c r="N1416" s="171">
        <v>61.27</v>
      </c>
      <c r="O1416" s="171">
        <v>62.4</v>
      </c>
      <c r="P1416" s="171">
        <v>59.57</v>
      </c>
      <c r="Q1416" s="171">
        <v>58.11</v>
      </c>
      <c r="R1416" s="171">
        <v>55.02</v>
      </c>
      <c r="S1416" s="171">
        <v>54.9</v>
      </c>
      <c r="T1416" s="171">
        <v>53.03</v>
      </c>
      <c r="U1416" s="171">
        <v>58.02</v>
      </c>
      <c r="V1416" s="171">
        <v>66.47</v>
      </c>
      <c r="W1416" s="171">
        <v>72.8</v>
      </c>
      <c r="X1416" s="171">
        <v>71.430000000000007</v>
      </c>
      <c r="Y1416" s="171">
        <v>57.54</v>
      </c>
      <c r="Z1416" s="171">
        <v>53.96</v>
      </c>
      <c r="AA1416" s="171">
        <v>48.96</v>
      </c>
      <c r="AB1416" s="171">
        <v>72.8</v>
      </c>
      <c r="AC1416" s="171">
        <v>53.03</v>
      </c>
      <c r="AD1416" s="171">
        <v>43.19</v>
      </c>
      <c r="AF1416" s="171">
        <f t="shared" si="68"/>
        <v>2011</v>
      </c>
      <c r="AG1416" s="171">
        <f t="shared" si="69"/>
        <v>5</v>
      </c>
      <c r="AH1416" s="700">
        <f>SUMIF(D$3:$AA1416,"&lt;="&amp;$AH$1)/COUNTIF(D$3:$AA1416,"&lt;="&amp;$AH$1)</f>
        <v>30.454791767946968</v>
      </c>
    </row>
    <row r="1417" spans="2:34" x14ac:dyDescent="0.25">
      <c r="B1417" s="910">
        <v>40809</v>
      </c>
      <c r="C1417" s="581">
        <f t="shared" si="67"/>
        <v>9</v>
      </c>
      <c r="D1417" s="171">
        <v>39.99</v>
      </c>
      <c r="E1417" s="171">
        <v>40.450000000000003</v>
      </c>
      <c r="F1417" s="171">
        <v>27.52</v>
      </c>
      <c r="G1417" s="171">
        <v>21.72</v>
      </c>
      <c r="H1417" s="171">
        <v>21.01</v>
      </c>
      <c r="I1417" s="171">
        <v>22.69</v>
      </c>
      <c r="J1417" s="171">
        <v>33.36</v>
      </c>
      <c r="K1417" s="171">
        <v>42.99</v>
      </c>
      <c r="L1417" s="171">
        <v>44.44</v>
      </c>
      <c r="M1417" s="171">
        <v>47.09</v>
      </c>
      <c r="N1417" s="171">
        <v>47.32</v>
      </c>
      <c r="O1417" s="171">
        <v>49.63</v>
      </c>
      <c r="P1417" s="171">
        <v>49.660000000000004</v>
      </c>
      <c r="Q1417" s="171">
        <v>42.9</v>
      </c>
      <c r="R1417" s="171">
        <v>37.08</v>
      </c>
      <c r="S1417" s="171">
        <v>39</v>
      </c>
      <c r="T1417" s="171">
        <v>39.74</v>
      </c>
      <c r="U1417" s="171">
        <v>45.86</v>
      </c>
      <c r="V1417" s="171">
        <v>55.730000000000004</v>
      </c>
      <c r="W1417" s="171">
        <v>66.16</v>
      </c>
      <c r="X1417" s="171">
        <v>70.320000000000007</v>
      </c>
      <c r="Y1417" s="171">
        <v>56.52</v>
      </c>
      <c r="Z1417" s="171">
        <v>53.31</v>
      </c>
      <c r="AA1417" s="171">
        <v>44.94</v>
      </c>
      <c r="AB1417" s="171">
        <v>70.320000000000007</v>
      </c>
      <c r="AC1417" s="171">
        <v>37.08</v>
      </c>
      <c r="AD1417" s="171">
        <v>50.1</v>
      </c>
      <c r="AF1417" s="171">
        <f t="shared" si="68"/>
        <v>2011</v>
      </c>
      <c r="AG1417" s="171">
        <f t="shared" si="69"/>
        <v>10</v>
      </c>
      <c r="AH1417" s="700">
        <f>SUMIF(D$3:$AA1417,"&lt;="&amp;$AH$1)/COUNTIF(D$3:$AA1417,"&lt;="&amp;$AH$1)</f>
        <v>30.456250000000122</v>
      </c>
    </row>
    <row r="1418" spans="2:34" x14ac:dyDescent="0.25">
      <c r="B1418" s="910">
        <v>40812</v>
      </c>
      <c r="C1418" s="581">
        <f t="shared" si="67"/>
        <v>9</v>
      </c>
      <c r="D1418" s="171">
        <v>39.99</v>
      </c>
      <c r="E1418" s="171">
        <v>40.450000000000003</v>
      </c>
      <c r="F1418" s="171">
        <v>27.52</v>
      </c>
      <c r="G1418" s="171">
        <v>21.72</v>
      </c>
      <c r="H1418" s="171">
        <v>21.01</v>
      </c>
      <c r="I1418" s="171">
        <v>22.69</v>
      </c>
      <c r="J1418" s="171">
        <v>33.36</v>
      </c>
      <c r="K1418" s="171">
        <v>42.99</v>
      </c>
      <c r="L1418" s="171">
        <v>44.44</v>
      </c>
      <c r="M1418" s="171">
        <v>47.09</v>
      </c>
      <c r="N1418" s="171">
        <v>47.32</v>
      </c>
      <c r="O1418" s="171">
        <v>49.63</v>
      </c>
      <c r="P1418" s="171">
        <v>49.660000000000004</v>
      </c>
      <c r="Q1418" s="171">
        <v>42.9</v>
      </c>
      <c r="R1418" s="171">
        <v>37.08</v>
      </c>
      <c r="S1418" s="171">
        <v>39</v>
      </c>
      <c r="T1418" s="171">
        <v>39.74</v>
      </c>
      <c r="U1418" s="171">
        <v>45.86</v>
      </c>
      <c r="V1418" s="171">
        <v>55.730000000000004</v>
      </c>
      <c r="W1418" s="171">
        <v>66.16</v>
      </c>
      <c r="X1418" s="171">
        <v>70.320000000000007</v>
      </c>
      <c r="Y1418" s="171">
        <v>56.52</v>
      </c>
      <c r="Z1418" s="171">
        <v>53.31</v>
      </c>
      <c r="AA1418" s="171">
        <v>44.94</v>
      </c>
      <c r="AB1418" s="171">
        <v>70.320000000000007</v>
      </c>
      <c r="AC1418" s="171">
        <v>37.08</v>
      </c>
      <c r="AD1418" s="171">
        <v>50.1</v>
      </c>
      <c r="AF1418" s="171">
        <f t="shared" si="68"/>
        <v>2011</v>
      </c>
      <c r="AG1418" s="171">
        <f t="shared" si="69"/>
        <v>10</v>
      </c>
      <c r="AH1418" s="700">
        <f>SUMIF(D$3:$AA1418,"&lt;="&amp;$AH$1)/COUNTIF(D$3:$AA1418,"&lt;="&amp;$AH$1)</f>
        <v>30.457705872836232</v>
      </c>
    </row>
    <row r="1419" spans="2:34" x14ac:dyDescent="0.25">
      <c r="B1419" s="910">
        <v>40813</v>
      </c>
      <c r="C1419" s="581">
        <f t="shared" si="67"/>
        <v>9</v>
      </c>
      <c r="D1419" s="171">
        <v>45.22</v>
      </c>
      <c r="E1419" s="171">
        <v>41.15</v>
      </c>
      <c r="F1419" s="171">
        <v>37.950000000000003</v>
      </c>
      <c r="G1419" s="171">
        <v>35.29</v>
      </c>
      <c r="H1419" s="171">
        <v>38.69</v>
      </c>
      <c r="I1419" s="171">
        <v>42.02</v>
      </c>
      <c r="J1419" s="171">
        <v>50</v>
      </c>
      <c r="K1419" s="171">
        <v>68.680000000000007</v>
      </c>
      <c r="L1419" s="171">
        <v>71.75</v>
      </c>
      <c r="M1419" s="171">
        <v>71.650000000000006</v>
      </c>
      <c r="N1419" s="171">
        <v>70</v>
      </c>
      <c r="O1419" s="171">
        <v>68.7</v>
      </c>
      <c r="P1419" s="171">
        <v>67.070000000000007</v>
      </c>
      <c r="Q1419" s="171">
        <v>68.05</v>
      </c>
      <c r="R1419" s="171">
        <v>67.5</v>
      </c>
      <c r="S1419" s="171">
        <v>67.210000000000008</v>
      </c>
      <c r="T1419" s="171">
        <v>64.94</v>
      </c>
      <c r="U1419" s="171">
        <v>67.05</v>
      </c>
      <c r="V1419" s="171">
        <v>70</v>
      </c>
      <c r="W1419" s="171">
        <v>72.320000000000007</v>
      </c>
      <c r="X1419" s="171">
        <v>72.11</v>
      </c>
      <c r="Y1419" s="171">
        <v>63.2</v>
      </c>
      <c r="Z1419" s="171">
        <v>55.07</v>
      </c>
      <c r="AA1419" s="171">
        <v>48.96</v>
      </c>
      <c r="AB1419" s="171">
        <v>72.320000000000007</v>
      </c>
      <c r="AC1419" s="171">
        <v>55.07</v>
      </c>
      <c r="AD1419" s="171">
        <v>49.86</v>
      </c>
      <c r="AF1419" s="171">
        <f t="shared" si="68"/>
        <v>2011</v>
      </c>
      <c r="AG1419" s="171">
        <f t="shared" si="69"/>
        <v>5</v>
      </c>
      <c r="AH1419" s="700">
        <f>SUMIF(D$3:$AA1419,"&lt;="&amp;$AH$1)/COUNTIF(D$3:$AA1419,"&lt;="&amp;$AH$1)</f>
        <v>30.461167623514314</v>
      </c>
    </row>
    <row r="1420" spans="2:34" x14ac:dyDescent="0.25">
      <c r="B1420" s="910">
        <v>40814</v>
      </c>
      <c r="C1420" s="581">
        <f t="shared" si="67"/>
        <v>9</v>
      </c>
      <c r="D1420" s="171">
        <v>45.64</v>
      </c>
      <c r="E1420" s="171">
        <v>42.5</v>
      </c>
      <c r="F1420" s="171">
        <v>39.050000000000004</v>
      </c>
      <c r="G1420" s="171">
        <v>39.5</v>
      </c>
      <c r="H1420" s="171">
        <v>38.480000000000004</v>
      </c>
      <c r="I1420" s="171">
        <v>39.75</v>
      </c>
      <c r="J1420" s="171">
        <v>46.35</v>
      </c>
      <c r="K1420" s="171">
        <v>60.19</v>
      </c>
      <c r="L1420" s="171">
        <v>68</v>
      </c>
      <c r="M1420" s="171">
        <v>67.570000000000007</v>
      </c>
      <c r="N1420" s="171">
        <v>67.460000000000008</v>
      </c>
      <c r="O1420" s="171">
        <v>67.97</v>
      </c>
      <c r="P1420" s="171">
        <v>66.989999999999995</v>
      </c>
      <c r="Q1420" s="171">
        <v>63.01</v>
      </c>
      <c r="R1420" s="171">
        <v>61.95</v>
      </c>
      <c r="S1420" s="171">
        <v>61.28</v>
      </c>
      <c r="T1420" s="171">
        <v>60.97</v>
      </c>
      <c r="U1420" s="171">
        <v>63.6</v>
      </c>
      <c r="V1420" s="171">
        <v>67.42</v>
      </c>
      <c r="W1420" s="171">
        <v>74.3</v>
      </c>
      <c r="X1420" s="171">
        <v>73.320000000000007</v>
      </c>
      <c r="Y1420" s="171">
        <v>62.25</v>
      </c>
      <c r="Z1420" s="171">
        <v>52.08</v>
      </c>
      <c r="AA1420" s="171">
        <v>45.68</v>
      </c>
      <c r="AB1420" s="171">
        <v>74.3</v>
      </c>
      <c r="AC1420" s="171">
        <v>52.08</v>
      </c>
      <c r="AD1420" s="171">
        <v>48.730000000000004</v>
      </c>
      <c r="AF1420" s="171">
        <f t="shared" si="68"/>
        <v>2011</v>
      </c>
      <c r="AG1420" s="171">
        <f t="shared" si="69"/>
        <v>5</v>
      </c>
      <c r="AH1420" s="700">
        <f>SUMIF(D$3:$AA1420,"&lt;="&amp;$AH$1)/COUNTIF(D$3:$AA1420,"&lt;="&amp;$AH$1)</f>
        <v>30.464964435822946</v>
      </c>
    </row>
    <row r="1421" spans="2:34" x14ac:dyDescent="0.25">
      <c r="B1421" s="910">
        <v>40815</v>
      </c>
      <c r="C1421" s="581">
        <f t="shared" si="67"/>
        <v>9</v>
      </c>
      <c r="D1421" s="171">
        <v>43.58</v>
      </c>
      <c r="E1421" s="171">
        <v>40.69</v>
      </c>
      <c r="F1421" s="171">
        <v>38.36</v>
      </c>
      <c r="G1421" s="171">
        <v>39.369999999999997</v>
      </c>
      <c r="H1421" s="171">
        <v>40.32</v>
      </c>
      <c r="I1421" s="171">
        <v>40.81</v>
      </c>
      <c r="J1421" s="171">
        <v>53.28</v>
      </c>
      <c r="K1421" s="171">
        <v>63.28</v>
      </c>
      <c r="L1421" s="171">
        <v>67.540000000000006</v>
      </c>
      <c r="M1421" s="171">
        <v>64.63</v>
      </c>
      <c r="N1421" s="171">
        <v>63.2</v>
      </c>
      <c r="O1421" s="171">
        <v>63.49</v>
      </c>
      <c r="P1421" s="171">
        <v>63.79</v>
      </c>
      <c r="Q1421" s="171">
        <v>62.7</v>
      </c>
      <c r="R1421" s="171">
        <v>61.26</v>
      </c>
      <c r="S1421" s="171">
        <v>60.65</v>
      </c>
      <c r="T1421" s="171">
        <v>60.06</v>
      </c>
      <c r="U1421" s="171">
        <v>62.99</v>
      </c>
      <c r="V1421" s="171">
        <v>67.739999999999995</v>
      </c>
      <c r="W1421" s="171">
        <v>75.66</v>
      </c>
      <c r="X1421" s="171">
        <v>70.23</v>
      </c>
      <c r="Y1421" s="171">
        <v>59.06</v>
      </c>
      <c r="Z1421" s="171">
        <v>50.980000000000004</v>
      </c>
      <c r="AA1421" s="171">
        <v>47.14</v>
      </c>
      <c r="AB1421" s="171">
        <v>75.66</v>
      </c>
      <c r="AC1421" s="171">
        <v>50.980000000000004</v>
      </c>
      <c r="AD1421" s="171">
        <v>48.92</v>
      </c>
      <c r="AF1421" s="171">
        <f t="shared" si="68"/>
        <v>2011</v>
      </c>
      <c r="AG1421" s="171">
        <f t="shared" si="69"/>
        <v>5</v>
      </c>
      <c r="AH1421" s="700">
        <f>SUMIF(D$3:$AA1421,"&lt;="&amp;$AH$1)/COUNTIF(D$3:$AA1421,"&lt;="&amp;$AH$1)</f>
        <v>30.468779995152417</v>
      </c>
    </row>
    <row r="1422" spans="2:34" x14ac:dyDescent="0.25">
      <c r="B1422" s="910">
        <v>40816</v>
      </c>
      <c r="C1422" s="581">
        <f t="shared" si="67"/>
        <v>9</v>
      </c>
      <c r="D1422" s="171">
        <v>45.61</v>
      </c>
      <c r="E1422" s="171">
        <v>42.21</v>
      </c>
      <c r="F1422" s="171">
        <v>40.85</v>
      </c>
      <c r="G1422" s="171">
        <v>36.25</v>
      </c>
      <c r="H1422" s="171">
        <v>39.04</v>
      </c>
      <c r="I1422" s="171">
        <v>41.300000000000004</v>
      </c>
      <c r="J1422" s="171">
        <v>53.28</v>
      </c>
      <c r="K1422" s="171">
        <v>66.06</v>
      </c>
      <c r="L1422" s="171">
        <v>68</v>
      </c>
      <c r="M1422" s="171">
        <v>66.97</v>
      </c>
      <c r="N1422" s="171">
        <v>66.92</v>
      </c>
      <c r="O1422" s="171">
        <v>66.180000000000007</v>
      </c>
      <c r="P1422" s="171">
        <v>64.739999999999995</v>
      </c>
      <c r="Q1422" s="171">
        <v>61.74</v>
      </c>
      <c r="R1422" s="171">
        <v>60.2</v>
      </c>
      <c r="S1422" s="171">
        <v>57</v>
      </c>
      <c r="T1422" s="171">
        <v>56.03</v>
      </c>
      <c r="U1422" s="171">
        <v>60.26</v>
      </c>
      <c r="V1422" s="171">
        <v>67.849999999999994</v>
      </c>
      <c r="W1422" s="171">
        <v>71.64</v>
      </c>
      <c r="X1422" s="171">
        <v>69.94</v>
      </c>
      <c r="Y1422" s="171">
        <v>63.33</v>
      </c>
      <c r="Z1422" s="171">
        <v>56.43</v>
      </c>
      <c r="AA1422" s="171">
        <v>50.9</v>
      </c>
      <c r="AB1422" s="171">
        <v>71.64</v>
      </c>
      <c r="AC1422" s="171">
        <v>56.03</v>
      </c>
      <c r="AD1422" s="171">
        <v>50.43</v>
      </c>
      <c r="AF1422" s="171">
        <f t="shared" si="68"/>
        <v>2011</v>
      </c>
      <c r="AG1422" s="171">
        <f t="shared" si="69"/>
        <v>5</v>
      </c>
      <c r="AH1422" s="700">
        <f>SUMIF(D$3:$AA1422,"&lt;="&amp;$AH$1)/COUNTIF(D$3:$AA1422,"&lt;="&amp;$AH$1)</f>
        <v>30.472600549184417</v>
      </c>
    </row>
    <row r="1423" spans="2:34" x14ac:dyDescent="0.25">
      <c r="B1423" s="910">
        <v>40819</v>
      </c>
      <c r="C1423" s="581">
        <f t="shared" si="67"/>
        <v>10</v>
      </c>
      <c r="D1423" s="171">
        <v>41.660000000000004</v>
      </c>
      <c r="E1423" s="171">
        <v>35.71</v>
      </c>
      <c r="F1423" s="171">
        <v>27.560000000000002</v>
      </c>
      <c r="G1423" s="171">
        <v>21.98</v>
      </c>
      <c r="H1423" s="171">
        <v>24.39</v>
      </c>
      <c r="I1423" s="171">
        <v>35</v>
      </c>
      <c r="J1423" s="171">
        <v>47.75</v>
      </c>
      <c r="K1423" s="171">
        <v>62.38</v>
      </c>
      <c r="L1423" s="171">
        <v>62.25</v>
      </c>
      <c r="M1423" s="171">
        <v>59.58</v>
      </c>
      <c r="N1423" s="171">
        <v>57.72</v>
      </c>
      <c r="O1423" s="171">
        <v>60</v>
      </c>
      <c r="P1423" s="171">
        <v>53.56</v>
      </c>
      <c r="Q1423" s="171">
        <v>45.54</v>
      </c>
      <c r="R1423" s="171">
        <v>43.89</v>
      </c>
      <c r="S1423" s="171">
        <v>43.81</v>
      </c>
      <c r="T1423" s="171">
        <v>44.32</v>
      </c>
      <c r="U1423" s="171">
        <v>51.800000000000004</v>
      </c>
      <c r="V1423" s="171">
        <v>62.39</v>
      </c>
      <c r="W1423" s="171">
        <v>70.16</v>
      </c>
      <c r="X1423" s="171">
        <v>69.83</v>
      </c>
      <c r="Y1423" s="171">
        <v>55.56</v>
      </c>
      <c r="Z1423" s="171">
        <v>48.9</v>
      </c>
      <c r="AA1423" s="171">
        <v>41.46</v>
      </c>
      <c r="AB1423" s="171">
        <v>70.16</v>
      </c>
      <c r="AC1423" s="171">
        <v>43.81</v>
      </c>
      <c r="AD1423" s="171">
        <v>42.68</v>
      </c>
      <c r="AF1423" s="171">
        <f t="shared" si="68"/>
        <v>2011</v>
      </c>
      <c r="AG1423" s="171">
        <f t="shared" si="69"/>
        <v>7</v>
      </c>
      <c r="AH1423" s="700">
        <f>SUMIF(D$3:$AA1423,"&lt;="&amp;$AH$1)/COUNTIF(D$3:$AA1423,"&lt;="&amp;$AH$1)</f>
        <v>30.473767051416697</v>
      </c>
    </row>
    <row r="1424" spans="2:34" x14ac:dyDescent="0.25">
      <c r="B1424" s="910">
        <v>40820</v>
      </c>
      <c r="C1424" s="581">
        <f t="shared" si="67"/>
        <v>10</v>
      </c>
      <c r="D1424" s="171">
        <v>37.15</v>
      </c>
      <c r="E1424" s="171">
        <v>30.54</v>
      </c>
      <c r="F1424" s="171">
        <v>25</v>
      </c>
      <c r="G1424" s="171">
        <v>21.150000000000002</v>
      </c>
      <c r="H1424" s="171">
        <v>21.66</v>
      </c>
      <c r="I1424" s="171">
        <v>32.160000000000004</v>
      </c>
      <c r="J1424" s="171">
        <v>51.870000000000005</v>
      </c>
      <c r="K1424" s="171">
        <v>70.960000000000008</v>
      </c>
      <c r="L1424" s="171">
        <v>69.320000000000007</v>
      </c>
      <c r="M1424" s="171">
        <v>67.260000000000005</v>
      </c>
      <c r="N1424" s="171">
        <v>65.510000000000005</v>
      </c>
      <c r="O1424" s="171">
        <v>64.87</v>
      </c>
      <c r="P1424" s="171">
        <v>62.96</v>
      </c>
      <c r="Q1424" s="171">
        <v>57.980000000000004</v>
      </c>
      <c r="R1424" s="171">
        <v>53.69</v>
      </c>
      <c r="S1424" s="171">
        <v>52.84</v>
      </c>
      <c r="T1424" s="171">
        <v>50.9</v>
      </c>
      <c r="U1424" s="171">
        <v>57.29</v>
      </c>
      <c r="V1424" s="171">
        <v>63.2</v>
      </c>
      <c r="W1424" s="171">
        <v>69.989999999999995</v>
      </c>
      <c r="X1424" s="171">
        <v>68</v>
      </c>
      <c r="Y1424" s="171">
        <v>57.22</v>
      </c>
      <c r="Z1424" s="171">
        <v>51.45</v>
      </c>
      <c r="AA1424" s="171">
        <v>42.9</v>
      </c>
      <c r="AB1424" s="171">
        <v>70.960000000000008</v>
      </c>
      <c r="AC1424" s="171">
        <v>50.9</v>
      </c>
      <c r="AD1424" s="171">
        <v>42.51</v>
      </c>
      <c r="AF1424" s="171">
        <f t="shared" si="68"/>
        <v>2011</v>
      </c>
      <c r="AG1424" s="171">
        <f t="shared" si="69"/>
        <v>6</v>
      </c>
      <c r="AH1424" s="700">
        <f>SUMIF(D$3:$AA1424,"&lt;="&amp;$AH$1)/COUNTIF(D$3:$AA1424,"&lt;="&amp;$AH$1)</f>
        <v>30.472542154094509</v>
      </c>
    </row>
    <row r="1425" spans="2:34" x14ac:dyDescent="0.25">
      <c r="B1425" s="910">
        <v>40821</v>
      </c>
      <c r="C1425" s="581">
        <f t="shared" si="67"/>
        <v>10</v>
      </c>
      <c r="D1425" s="171">
        <v>43.94</v>
      </c>
      <c r="E1425" s="171">
        <v>40.910000000000004</v>
      </c>
      <c r="F1425" s="171">
        <v>37.22</v>
      </c>
      <c r="G1425" s="171">
        <v>30.73</v>
      </c>
      <c r="H1425" s="171">
        <v>36.090000000000003</v>
      </c>
      <c r="I1425" s="171">
        <v>42.54</v>
      </c>
      <c r="J1425" s="171">
        <v>52.31</v>
      </c>
      <c r="K1425" s="171">
        <v>66.91</v>
      </c>
      <c r="L1425" s="171">
        <v>66.5</v>
      </c>
      <c r="M1425" s="171">
        <v>67.19</v>
      </c>
      <c r="N1425" s="171">
        <v>66.61</v>
      </c>
      <c r="O1425" s="171">
        <v>65.28</v>
      </c>
      <c r="P1425" s="171">
        <v>64.010000000000005</v>
      </c>
      <c r="Q1425" s="171">
        <v>61</v>
      </c>
      <c r="R1425" s="171">
        <v>54.64</v>
      </c>
      <c r="S1425" s="171">
        <v>51.83</v>
      </c>
      <c r="T1425" s="171">
        <v>50.69</v>
      </c>
      <c r="U1425" s="171">
        <v>54.15</v>
      </c>
      <c r="V1425" s="171">
        <v>60.43</v>
      </c>
      <c r="W1425" s="171">
        <v>67.5</v>
      </c>
      <c r="X1425" s="171">
        <v>64.98</v>
      </c>
      <c r="Y1425" s="171">
        <v>52.29</v>
      </c>
      <c r="Z1425" s="171">
        <v>47.99</v>
      </c>
      <c r="AA1425" s="171">
        <v>43</v>
      </c>
      <c r="AB1425" s="171">
        <v>67.5</v>
      </c>
      <c r="AC1425" s="171">
        <v>47.99</v>
      </c>
      <c r="AD1425" s="171">
        <v>46.58</v>
      </c>
      <c r="AF1425" s="171">
        <f t="shared" si="68"/>
        <v>2011</v>
      </c>
      <c r="AG1425" s="171">
        <f t="shared" si="69"/>
        <v>5</v>
      </c>
      <c r="AH1425" s="700">
        <f>SUMIF(D$3:$AA1425,"&lt;="&amp;$AH$1)/COUNTIF(D$3:$AA1425,"&lt;="&amp;$AH$1)</f>
        <v>30.47537500000011</v>
      </c>
    </row>
    <row r="1426" spans="2:34" x14ac:dyDescent="0.25">
      <c r="B1426" s="910">
        <v>40822</v>
      </c>
      <c r="C1426" s="581">
        <f t="shared" si="67"/>
        <v>10</v>
      </c>
      <c r="D1426" s="171">
        <v>41.5</v>
      </c>
      <c r="E1426" s="171">
        <v>36.79</v>
      </c>
      <c r="F1426" s="171">
        <v>29.2</v>
      </c>
      <c r="G1426" s="171">
        <v>19.96</v>
      </c>
      <c r="H1426" s="171">
        <v>15.44</v>
      </c>
      <c r="I1426" s="171">
        <v>33.15</v>
      </c>
      <c r="J1426" s="171">
        <v>46</v>
      </c>
      <c r="K1426" s="171">
        <v>51.42</v>
      </c>
      <c r="L1426" s="171">
        <v>53.32</v>
      </c>
      <c r="M1426" s="171">
        <v>49.93</v>
      </c>
      <c r="N1426" s="171">
        <v>50.160000000000004</v>
      </c>
      <c r="O1426" s="171">
        <v>50.18</v>
      </c>
      <c r="P1426" s="171">
        <v>47.78</v>
      </c>
      <c r="Q1426" s="171">
        <v>47.06</v>
      </c>
      <c r="R1426" s="171">
        <v>45.95</v>
      </c>
      <c r="S1426" s="171">
        <v>48.32</v>
      </c>
      <c r="T1426" s="171">
        <v>45.03</v>
      </c>
      <c r="U1426" s="171">
        <v>50.72</v>
      </c>
      <c r="V1426" s="171">
        <v>61</v>
      </c>
      <c r="W1426" s="171">
        <v>72.91</v>
      </c>
      <c r="X1426" s="171">
        <v>67.710000000000008</v>
      </c>
      <c r="Y1426" s="171">
        <v>53.14</v>
      </c>
      <c r="Z1426" s="171">
        <v>49</v>
      </c>
      <c r="AA1426" s="171">
        <v>44.160000000000004</v>
      </c>
      <c r="AB1426" s="171">
        <v>72.91</v>
      </c>
      <c r="AC1426" s="171">
        <v>45.03</v>
      </c>
      <c r="AD1426" s="171">
        <v>40.619999999999997</v>
      </c>
      <c r="AF1426" s="171">
        <f t="shared" si="68"/>
        <v>2011</v>
      </c>
      <c r="AG1426" s="171">
        <f t="shared" si="69"/>
        <v>6</v>
      </c>
      <c r="AH1426" s="700">
        <f>SUMIF(D$3:$AA1426,"&lt;="&amp;$AH$1)/COUNTIF(D$3:$AA1426,"&lt;="&amp;$AH$1)</f>
        <v>30.474825890698163</v>
      </c>
    </row>
    <row r="1427" spans="2:34" x14ac:dyDescent="0.25">
      <c r="B1427" s="910">
        <v>40823</v>
      </c>
      <c r="C1427" s="581">
        <f t="shared" si="67"/>
        <v>10</v>
      </c>
      <c r="D1427" s="171">
        <v>42.77</v>
      </c>
      <c r="E1427" s="171">
        <v>40.54</v>
      </c>
      <c r="F1427" s="171">
        <v>35.1</v>
      </c>
      <c r="G1427" s="171">
        <v>19.940000000000001</v>
      </c>
      <c r="H1427" s="171">
        <v>21.63</v>
      </c>
      <c r="I1427" s="171">
        <v>35.76</v>
      </c>
      <c r="J1427" s="171">
        <v>51.45</v>
      </c>
      <c r="K1427" s="171">
        <v>63.97</v>
      </c>
      <c r="L1427" s="171">
        <v>62.14</v>
      </c>
      <c r="M1427" s="171">
        <v>63.74</v>
      </c>
      <c r="N1427" s="171">
        <v>61.19</v>
      </c>
      <c r="O1427" s="171">
        <v>62</v>
      </c>
      <c r="P1427" s="171">
        <v>61.980000000000004</v>
      </c>
      <c r="Q1427" s="171">
        <v>58.03</v>
      </c>
      <c r="R1427" s="171">
        <v>55.51</v>
      </c>
      <c r="S1427" s="171">
        <v>50</v>
      </c>
      <c r="T1427" s="171">
        <v>48.620000000000005</v>
      </c>
      <c r="U1427" s="171">
        <v>51.68</v>
      </c>
      <c r="V1427" s="171">
        <v>56.2</v>
      </c>
      <c r="W1427" s="171">
        <v>64.08</v>
      </c>
      <c r="X1427" s="171">
        <v>59.15</v>
      </c>
      <c r="Y1427" s="171">
        <v>55.480000000000004</v>
      </c>
      <c r="Z1427" s="171">
        <v>52.47</v>
      </c>
      <c r="AA1427" s="171">
        <v>45.78</v>
      </c>
      <c r="AB1427" s="171">
        <v>64.08</v>
      </c>
      <c r="AC1427" s="171">
        <v>48.620000000000005</v>
      </c>
      <c r="AD1427" s="171">
        <v>43.67</v>
      </c>
      <c r="AF1427" s="171">
        <f t="shared" si="68"/>
        <v>2011</v>
      </c>
      <c r="AG1427" s="171">
        <f t="shared" si="69"/>
        <v>5</v>
      </c>
      <c r="AH1427" s="700">
        <f>SUMIF(D$3:$AA1427,"&lt;="&amp;$AH$1)/COUNTIF(D$3:$AA1427,"&lt;="&amp;$AH$1)</f>
        <v>30.474873902183656</v>
      </c>
    </row>
    <row r="1428" spans="2:34" x14ac:dyDescent="0.25">
      <c r="B1428" s="910">
        <v>40826</v>
      </c>
      <c r="C1428" s="581">
        <f t="shared" si="67"/>
        <v>10</v>
      </c>
      <c r="D1428" s="171">
        <v>41.96</v>
      </c>
      <c r="E1428" s="171">
        <v>35.85</v>
      </c>
      <c r="F1428" s="171">
        <v>22.04</v>
      </c>
      <c r="G1428" s="171">
        <v>19.02</v>
      </c>
      <c r="H1428" s="171">
        <v>23.16</v>
      </c>
      <c r="I1428" s="171">
        <v>38.17</v>
      </c>
      <c r="J1428" s="171">
        <v>62.28</v>
      </c>
      <c r="K1428" s="171">
        <v>71.98</v>
      </c>
      <c r="L1428" s="171">
        <v>68.02</v>
      </c>
      <c r="M1428" s="171">
        <v>68.239999999999995</v>
      </c>
      <c r="N1428" s="171">
        <v>68.12</v>
      </c>
      <c r="O1428" s="171">
        <v>68.92</v>
      </c>
      <c r="P1428" s="171">
        <v>65.7</v>
      </c>
      <c r="Q1428" s="171">
        <v>65.28</v>
      </c>
      <c r="R1428" s="171">
        <v>61.44</v>
      </c>
      <c r="S1428" s="171">
        <v>51.56</v>
      </c>
      <c r="T1428" s="171">
        <v>47.32</v>
      </c>
      <c r="U1428" s="171">
        <v>46.19</v>
      </c>
      <c r="V1428" s="171">
        <v>50</v>
      </c>
      <c r="W1428" s="171">
        <v>62.78</v>
      </c>
      <c r="X1428" s="171">
        <v>58.29</v>
      </c>
      <c r="Y1428" s="171">
        <v>46.14</v>
      </c>
      <c r="Z1428" s="171">
        <v>46</v>
      </c>
      <c r="AA1428" s="171">
        <v>47</v>
      </c>
      <c r="AB1428" s="171">
        <v>71.98</v>
      </c>
      <c r="AC1428" s="171">
        <v>46</v>
      </c>
      <c r="AD1428" s="171">
        <v>42.660000000000004</v>
      </c>
      <c r="AF1428" s="171">
        <f t="shared" si="68"/>
        <v>2011</v>
      </c>
      <c r="AG1428" s="171">
        <f t="shared" si="69"/>
        <v>6</v>
      </c>
      <c r="AH1428" s="700">
        <f>SUMIF(D$3:$AA1428,"&lt;="&amp;$AH$1)/COUNTIF(D$3:$AA1428,"&lt;="&amp;$AH$1)</f>
        <v>30.474660546025717</v>
      </c>
    </row>
    <row r="1429" spans="2:34" x14ac:dyDescent="0.25">
      <c r="B1429" s="910">
        <v>40827</v>
      </c>
      <c r="C1429" s="581">
        <f t="shared" si="67"/>
        <v>10</v>
      </c>
      <c r="D1429" s="171">
        <v>42.82</v>
      </c>
      <c r="E1429" s="171">
        <v>39.090000000000003</v>
      </c>
      <c r="F1429" s="171">
        <v>34.520000000000003</v>
      </c>
      <c r="G1429" s="171">
        <v>27.740000000000002</v>
      </c>
      <c r="H1429" s="171">
        <v>29.86</v>
      </c>
      <c r="I1429" s="171">
        <v>39.47</v>
      </c>
      <c r="J1429" s="171">
        <v>50.38</v>
      </c>
      <c r="K1429" s="171">
        <v>57.43</v>
      </c>
      <c r="L1429" s="171">
        <v>68.17</v>
      </c>
      <c r="M1429" s="171">
        <v>68.98</v>
      </c>
      <c r="N1429" s="171">
        <v>66.89</v>
      </c>
      <c r="O1429" s="171">
        <v>67.2</v>
      </c>
      <c r="P1429" s="171">
        <v>66.87</v>
      </c>
      <c r="Q1429" s="171">
        <v>62</v>
      </c>
      <c r="R1429" s="171">
        <v>58.01</v>
      </c>
      <c r="S1429" s="171">
        <v>53.27</v>
      </c>
      <c r="T1429" s="171">
        <v>51.15</v>
      </c>
      <c r="U1429" s="171">
        <v>53.85</v>
      </c>
      <c r="V1429" s="171">
        <v>66.91</v>
      </c>
      <c r="W1429" s="171">
        <v>71.930000000000007</v>
      </c>
      <c r="X1429" s="171">
        <v>59.370000000000005</v>
      </c>
      <c r="Y1429" s="171">
        <v>47.95</v>
      </c>
      <c r="Z1429" s="171">
        <v>47.72</v>
      </c>
      <c r="AA1429" s="171">
        <v>44.12</v>
      </c>
      <c r="AB1429" s="171">
        <v>71.930000000000007</v>
      </c>
      <c r="AC1429" s="171">
        <v>47.72</v>
      </c>
      <c r="AD1429" s="171">
        <v>43.37</v>
      </c>
      <c r="AF1429" s="171">
        <f t="shared" si="68"/>
        <v>2011</v>
      </c>
      <c r="AG1429" s="171">
        <f t="shared" si="69"/>
        <v>5</v>
      </c>
      <c r="AH1429" s="700">
        <f>SUMIF(D$3:$AA1429,"&lt;="&amp;$AH$1)/COUNTIF(D$3:$AA1429,"&lt;="&amp;$AH$1)</f>
        <v>30.476134277894165</v>
      </c>
    </row>
    <row r="1430" spans="2:34" x14ac:dyDescent="0.25">
      <c r="B1430" s="910">
        <v>40828</v>
      </c>
      <c r="C1430" s="581">
        <f t="shared" si="67"/>
        <v>10</v>
      </c>
      <c r="D1430" s="171">
        <v>39.950000000000003</v>
      </c>
      <c r="E1430" s="171">
        <v>31.93</v>
      </c>
      <c r="F1430" s="171">
        <v>26.59</v>
      </c>
      <c r="G1430" s="171">
        <v>22.14</v>
      </c>
      <c r="H1430" s="171">
        <v>22.25</v>
      </c>
      <c r="I1430" s="171">
        <v>34.6</v>
      </c>
      <c r="J1430" s="171">
        <v>44.64</v>
      </c>
      <c r="K1430" s="171">
        <v>60.07</v>
      </c>
      <c r="L1430" s="171">
        <v>65.38</v>
      </c>
      <c r="M1430" s="171">
        <v>68.320000000000007</v>
      </c>
      <c r="N1430" s="171">
        <v>69.17</v>
      </c>
      <c r="O1430" s="171">
        <v>72</v>
      </c>
      <c r="P1430" s="171">
        <v>72.08</v>
      </c>
      <c r="Q1430" s="171">
        <v>70.760000000000005</v>
      </c>
      <c r="R1430" s="171">
        <v>65.430000000000007</v>
      </c>
      <c r="S1430" s="171">
        <v>61.59</v>
      </c>
      <c r="T1430" s="171">
        <v>54.730000000000004</v>
      </c>
      <c r="U1430" s="171">
        <v>59.68</v>
      </c>
      <c r="V1430" s="171">
        <v>67.81</v>
      </c>
      <c r="W1430" s="171">
        <v>75.91</v>
      </c>
      <c r="X1430" s="171">
        <v>67.489999999999995</v>
      </c>
      <c r="Y1430" s="171">
        <v>55.15</v>
      </c>
      <c r="Z1430" s="171">
        <v>52.5</v>
      </c>
      <c r="AA1430" s="171">
        <v>45.15</v>
      </c>
      <c r="AB1430" s="171">
        <v>75.91</v>
      </c>
      <c r="AC1430" s="171">
        <v>52.5</v>
      </c>
      <c r="AD1430" s="171">
        <v>41.87</v>
      </c>
      <c r="AF1430" s="171">
        <f t="shared" si="68"/>
        <v>2011</v>
      </c>
      <c r="AG1430" s="171">
        <f t="shared" si="69"/>
        <v>6</v>
      </c>
      <c r="AH1430" s="700">
        <f>SUMIF(D$3:$AA1430,"&lt;="&amp;$AH$1)/COUNTIF(D$3:$AA1430,"&lt;="&amp;$AH$1)</f>
        <v>30.475700032185497</v>
      </c>
    </row>
    <row r="1431" spans="2:34" x14ac:dyDescent="0.25">
      <c r="B1431" s="910">
        <v>40829</v>
      </c>
      <c r="C1431" s="581">
        <f t="shared" si="67"/>
        <v>10</v>
      </c>
      <c r="D1431" s="171">
        <v>44.99</v>
      </c>
      <c r="E1431" s="171">
        <v>43.050000000000004</v>
      </c>
      <c r="F1431" s="171">
        <v>40.160000000000004</v>
      </c>
      <c r="G1431" s="171">
        <v>34.660000000000004</v>
      </c>
      <c r="H1431" s="171">
        <v>37.42</v>
      </c>
      <c r="I1431" s="171">
        <v>42.910000000000004</v>
      </c>
      <c r="J1431" s="171">
        <v>52.51</v>
      </c>
      <c r="K1431" s="171">
        <v>67.56</v>
      </c>
      <c r="L1431" s="171">
        <v>71.600000000000009</v>
      </c>
      <c r="M1431" s="171">
        <v>71</v>
      </c>
      <c r="N1431" s="171">
        <v>71.02</v>
      </c>
      <c r="O1431" s="171">
        <v>67.69</v>
      </c>
      <c r="P1431" s="171">
        <v>65.77</v>
      </c>
      <c r="Q1431" s="171">
        <v>64.5</v>
      </c>
      <c r="R1431" s="171">
        <v>62.92</v>
      </c>
      <c r="S1431" s="171">
        <v>56.53</v>
      </c>
      <c r="T1431" s="171">
        <v>53.19</v>
      </c>
      <c r="U1431" s="171">
        <v>62.26</v>
      </c>
      <c r="V1431" s="171">
        <v>67.680000000000007</v>
      </c>
      <c r="W1431" s="171">
        <v>76.73</v>
      </c>
      <c r="X1431" s="171">
        <v>71.350000000000009</v>
      </c>
      <c r="Y1431" s="171">
        <v>57.71</v>
      </c>
      <c r="Z1431" s="171">
        <v>52</v>
      </c>
      <c r="AA1431" s="171">
        <v>47.99</v>
      </c>
      <c r="AB1431" s="171">
        <v>76.73</v>
      </c>
      <c r="AC1431" s="171">
        <v>52</v>
      </c>
      <c r="AD1431" s="171">
        <v>49.36</v>
      </c>
      <c r="AF1431" s="171">
        <f t="shared" si="68"/>
        <v>2011</v>
      </c>
      <c r="AG1431" s="171">
        <f t="shared" si="69"/>
        <v>3</v>
      </c>
      <c r="AH1431" s="700">
        <f>SUMIF(D$3:$AA1431,"&lt;="&amp;$AH$1)/COUNTIF(D$3:$AA1431,"&lt;="&amp;$AH$1)</f>
        <v>30.477374306170162</v>
      </c>
    </row>
    <row r="1432" spans="2:34" x14ac:dyDescent="0.25">
      <c r="B1432" s="910">
        <v>40830</v>
      </c>
      <c r="C1432" s="581">
        <f t="shared" si="67"/>
        <v>10</v>
      </c>
      <c r="D1432" s="171">
        <v>44.58</v>
      </c>
      <c r="E1432" s="171">
        <v>42.38</v>
      </c>
      <c r="F1432" s="171">
        <v>39.980000000000004</v>
      </c>
      <c r="G1432" s="171">
        <v>34.69</v>
      </c>
      <c r="H1432" s="171">
        <v>37.71</v>
      </c>
      <c r="I1432" s="171">
        <v>42.11</v>
      </c>
      <c r="J1432" s="171">
        <v>52.34</v>
      </c>
      <c r="K1432" s="171">
        <v>71.98</v>
      </c>
      <c r="L1432" s="171">
        <v>73.010000000000005</v>
      </c>
      <c r="M1432" s="171">
        <v>70.64</v>
      </c>
      <c r="N1432" s="171">
        <v>66.19</v>
      </c>
      <c r="O1432" s="171">
        <v>64.570000000000007</v>
      </c>
      <c r="P1432" s="171">
        <v>57.29</v>
      </c>
      <c r="Q1432" s="171">
        <v>53.96</v>
      </c>
      <c r="R1432" s="171">
        <v>50.24</v>
      </c>
      <c r="S1432" s="171">
        <v>47.79</v>
      </c>
      <c r="T1432" s="171">
        <v>47.86</v>
      </c>
      <c r="U1432" s="171">
        <v>55</v>
      </c>
      <c r="V1432" s="171">
        <v>69.960000000000008</v>
      </c>
      <c r="W1432" s="171">
        <v>74.84</v>
      </c>
      <c r="X1432" s="171">
        <v>65.960000000000008</v>
      </c>
      <c r="Y1432" s="171">
        <v>52</v>
      </c>
      <c r="Z1432" s="171">
        <v>49.75</v>
      </c>
      <c r="AA1432" s="171">
        <v>46.660000000000004</v>
      </c>
      <c r="AB1432" s="171">
        <v>74.84</v>
      </c>
      <c r="AC1432" s="171">
        <v>47.79</v>
      </c>
      <c r="AD1432" s="171">
        <v>48.35</v>
      </c>
      <c r="AF1432" s="171">
        <f t="shared" si="68"/>
        <v>2011</v>
      </c>
      <c r="AG1432" s="171">
        <f t="shared" si="69"/>
        <v>5</v>
      </c>
      <c r="AH1432" s="700">
        <f>SUMIF(D$3:$AA1432,"&lt;="&amp;$AH$1)/COUNTIF(D$3:$AA1432,"&lt;="&amp;$AH$1)</f>
        <v>30.480951270505088</v>
      </c>
    </row>
    <row r="1433" spans="2:34" x14ac:dyDescent="0.25">
      <c r="B1433" s="910">
        <v>40833</v>
      </c>
      <c r="C1433" s="581">
        <f t="shared" si="67"/>
        <v>10</v>
      </c>
      <c r="D1433" s="171">
        <v>48.07</v>
      </c>
      <c r="E1433" s="171">
        <v>42.92</v>
      </c>
      <c r="F1433" s="171">
        <v>40.35</v>
      </c>
      <c r="G1433" s="171">
        <v>34.99</v>
      </c>
      <c r="H1433" s="171">
        <v>35.660000000000004</v>
      </c>
      <c r="I1433" s="171">
        <v>43.97</v>
      </c>
      <c r="J1433" s="171">
        <v>59.94</v>
      </c>
      <c r="K1433" s="171">
        <v>74.22</v>
      </c>
      <c r="L1433" s="171">
        <v>73.010000000000005</v>
      </c>
      <c r="M1433" s="171">
        <v>72.94</v>
      </c>
      <c r="N1433" s="171">
        <v>69.900000000000006</v>
      </c>
      <c r="O1433" s="171">
        <v>69</v>
      </c>
      <c r="P1433" s="171">
        <v>65.960000000000008</v>
      </c>
      <c r="Q1433" s="171">
        <v>65.290000000000006</v>
      </c>
      <c r="R1433" s="171">
        <v>62.08</v>
      </c>
      <c r="S1433" s="171">
        <v>58.050000000000004</v>
      </c>
      <c r="T1433" s="171">
        <v>50.28</v>
      </c>
      <c r="U1433" s="171">
        <v>57.5</v>
      </c>
      <c r="V1433" s="171">
        <v>67.69</v>
      </c>
      <c r="W1433" s="171">
        <v>80</v>
      </c>
      <c r="X1433" s="171">
        <v>69.930000000000007</v>
      </c>
      <c r="Y1433" s="171">
        <v>51.63</v>
      </c>
      <c r="Z1433" s="171">
        <v>48.57</v>
      </c>
      <c r="AA1433" s="171">
        <v>42.47</v>
      </c>
      <c r="AB1433" s="171">
        <v>80</v>
      </c>
      <c r="AC1433" s="171">
        <v>48.57</v>
      </c>
      <c r="AD1433" s="171">
        <v>49.39</v>
      </c>
      <c r="AF1433" s="171">
        <f t="shared" si="68"/>
        <v>2011</v>
      </c>
      <c r="AG1433" s="171">
        <f t="shared" si="69"/>
        <v>4</v>
      </c>
      <c r="AH1433" s="700">
        <f>SUMIF(D$3:$AA1433,"&lt;="&amp;$AH$1)/COUNTIF(D$3:$AA1433,"&lt;="&amp;$AH$1)</f>
        <v>30.483487138263762</v>
      </c>
    </row>
    <row r="1434" spans="2:34" x14ac:dyDescent="0.25">
      <c r="B1434" s="910">
        <v>40834</v>
      </c>
      <c r="C1434" s="581">
        <f t="shared" si="67"/>
        <v>10</v>
      </c>
      <c r="D1434" s="171">
        <v>41.08</v>
      </c>
      <c r="E1434" s="171">
        <v>40</v>
      </c>
      <c r="F1434" s="171">
        <v>27.78</v>
      </c>
      <c r="G1434" s="171">
        <v>21.89</v>
      </c>
      <c r="H1434" s="171">
        <v>22.29</v>
      </c>
      <c r="I1434" s="171">
        <v>32.44</v>
      </c>
      <c r="J1434" s="171">
        <v>43.71</v>
      </c>
      <c r="K1434" s="171">
        <v>59.32</v>
      </c>
      <c r="L1434" s="171">
        <v>61.550000000000004</v>
      </c>
      <c r="M1434" s="171">
        <v>58.5</v>
      </c>
      <c r="N1434" s="171">
        <v>61.19</v>
      </c>
      <c r="O1434" s="171">
        <v>62.03</v>
      </c>
      <c r="P1434" s="171">
        <v>55.58</v>
      </c>
      <c r="Q1434" s="171">
        <v>50.99</v>
      </c>
      <c r="R1434" s="171">
        <v>48.59</v>
      </c>
      <c r="S1434" s="171">
        <v>47.44</v>
      </c>
      <c r="T1434" s="171">
        <v>47.84</v>
      </c>
      <c r="U1434" s="171">
        <v>51.83</v>
      </c>
      <c r="V1434" s="171">
        <v>65</v>
      </c>
      <c r="W1434" s="171">
        <v>73.42</v>
      </c>
      <c r="X1434" s="171">
        <v>65.239999999999995</v>
      </c>
      <c r="Y1434" s="171">
        <v>55.09</v>
      </c>
      <c r="Z1434" s="171">
        <v>50.84</v>
      </c>
      <c r="AA1434" s="171">
        <v>46.61</v>
      </c>
      <c r="AB1434" s="171">
        <v>73.42</v>
      </c>
      <c r="AC1434" s="171">
        <v>47.44</v>
      </c>
      <c r="AD1434" s="171">
        <v>42.19</v>
      </c>
      <c r="AF1434" s="171">
        <f t="shared" si="68"/>
        <v>2011</v>
      </c>
      <c r="AG1434" s="171">
        <f t="shared" si="69"/>
        <v>6</v>
      </c>
      <c r="AH1434" s="700">
        <f>SUMIF(D$3:$AA1434,"&lt;="&amp;$AH$1)/COUNTIF(D$3:$AA1434,"&lt;="&amp;$AH$1)</f>
        <v>30.483694359633716</v>
      </c>
    </row>
    <row r="1435" spans="2:34" x14ac:dyDescent="0.25">
      <c r="B1435" s="910">
        <v>40835</v>
      </c>
      <c r="C1435" s="581">
        <f t="shared" si="67"/>
        <v>10</v>
      </c>
      <c r="D1435" s="171">
        <v>42.47</v>
      </c>
      <c r="E1435" s="171">
        <v>40.22</v>
      </c>
      <c r="F1435" s="171">
        <v>38.35</v>
      </c>
      <c r="G1435" s="171">
        <v>32.76</v>
      </c>
      <c r="H1435" s="171">
        <v>32.299999999999997</v>
      </c>
      <c r="I1435" s="171">
        <v>41.33</v>
      </c>
      <c r="J1435" s="171">
        <v>48.93</v>
      </c>
      <c r="K1435" s="171">
        <v>61.71</v>
      </c>
      <c r="L1435" s="171">
        <v>65.97</v>
      </c>
      <c r="M1435" s="171">
        <v>66</v>
      </c>
      <c r="N1435" s="171">
        <v>67.98</v>
      </c>
      <c r="O1435" s="171">
        <v>67.510000000000005</v>
      </c>
      <c r="P1435" s="171">
        <v>64.97</v>
      </c>
      <c r="Q1435" s="171">
        <v>60.230000000000004</v>
      </c>
      <c r="R1435" s="171">
        <v>56.03</v>
      </c>
      <c r="S1435" s="171">
        <v>53.910000000000004</v>
      </c>
      <c r="T1435" s="171">
        <v>51.97</v>
      </c>
      <c r="U1435" s="171">
        <v>61.36</v>
      </c>
      <c r="V1435" s="171">
        <v>70.66</v>
      </c>
      <c r="W1435" s="171">
        <v>83.210000000000008</v>
      </c>
      <c r="X1435" s="171">
        <v>69.62</v>
      </c>
      <c r="Y1435" s="171">
        <v>55.36</v>
      </c>
      <c r="Z1435" s="171">
        <v>50.03</v>
      </c>
      <c r="AA1435" s="171">
        <v>45.82</v>
      </c>
      <c r="AB1435" s="171">
        <v>83.210000000000008</v>
      </c>
      <c r="AC1435" s="171">
        <v>50.03</v>
      </c>
      <c r="AD1435" s="171">
        <v>46.58</v>
      </c>
      <c r="AF1435" s="171">
        <f t="shared" si="68"/>
        <v>2011</v>
      </c>
      <c r="AG1435" s="171">
        <f t="shared" si="69"/>
        <v>6</v>
      </c>
      <c r="AH1435" s="700">
        <f>SUMIF(D$3:$AA1435,"&lt;="&amp;$AH$1)/COUNTIF(D$3:$AA1435,"&lt;="&amp;$AH$1)</f>
        <v>30.487270318021295</v>
      </c>
    </row>
    <row r="1436" spans="2:34" x14ac:dyDescent="0.25">
      <c r="B1436" s="910">
        <v>40836</v>
      </c>
      <c r="C1436" s="581">
        <f t="shared" si="67"/>
        <v>10</v>
      </c>
      <c r="D1436" s="171">
        <v>45.300000000000004</v>
      </c>
      <c r="E1436" s="171">
        <v>42.43</v>
      </c>
      <c r="F1436" s="171">
        <v>40.950000000000003</v>
      </c>
      <c r="G1436" s="171">
        <v>40.090000000000003</v>
      </c>
      <c r="H1436" s="171">
        <v>40.700000000000003</v>
      </c>
      <c r="I1436" s="171">
        <v>42.43</v>
      </c>
      <c r="J1436" s="171">
        <v>50.9</v>
      </c>
      <c r="K1436" s="171">
        <v>75.17</v>
      </c>
      <c r="L1436" s="171">
        <v>79.13</v>
      </c>
      <c r="M1436" s="171">
        <v>78.66</v>
      </c>
      <c r="N1436" s="171">
        <v>73.98</v>
      </c>
      <c r="O1436" s="171">
        <v>70.36</v>
      </c>
      <c r="P1436" s="171">
        <v>66.19</v>
      </c>
      <c r="Q1436" s="171">
        <v>62.93</v>
      </c>
      <c r="R1436" s="171">
        <v>58.92</v>
      </c>
      <c r="S1436" s="171">
        <v>56.38</v>
      </c>
      <c r="T1436" s="171">
        <v>56.18</v>
      </c>
      <c r="U1436" s="171">
        <v>65.180000000000007</v>
      </c>
      <c r="V1436" s="171">
        <v>76.2</v>
      </c>
      <c r="W1436" s="171">
        <v>117.49000000000001</v>
      </c>
      <c r="X1436" s="171">
        <v>79.930000000000007</v>
      </c>
      <c r="Y1436" s="171">
        <v>66.210000000000008</v>
      </c>
      <c r="Z1436" s="171">
        <v>63.2</v>
      </c>
      <c r="AA1436" s="171">
        <v>49</v>
      </c>
      <c r="AB1436" s="171">
        <v>117.49000000000001</v>
      </c>
      <c r="AC1436" s="171">
        <v>56.18</v>
      </c>
      <c r="AD1436" s="171">
        <v>53.03</v>
      </c>
      <c r="AF1436" s="171">
        <f t="shared" si="68"/>
        <v>2011</v>
      </c>
      <c r="AG1436" s="171">
        <f t="shared" si="69"/>
        <v>5</v>
      </c>
      <c r="AH1436" s="700">
        <f>SUMIF(D$3:$AA1436,"&lt;="&amp;$AH$1)/COUNTIF(D$3:$AA1436,"&lt;="&amp;$AH$1)</f>
        <v>30.491618367183204</v>
      </c>
    </row>
    <row r="1437" spans="2:34" x14ac:dyDescent="0.25">
      <c r="B1437" s="910">
        <v>40837</v>
      </c>
      <c r="C1437" s="581">
        <f t="shared" si="67"/>
        <v>10</v>
      </c>
      <c r="D1437" s="171">
        <v>44.72</v>
      </c>
      <c r="E1437" s="171">
        <v>42</v>
      </c>
      <c r="F1437" s="171">
        <v>41.9</v>
      </c>
      <c r="G1437" s="171">
        <v>41.5</v>
      </c>
      <c r="H1437" s="171">
        <v>41.74</v>
      </c>
      <c r="I1437" s="171">
        <v>43.99</v>
      </c>
      <c r="J1437" s="171">
        <v>50.1</v>
      </c>
      <c r="K1437" s="171">
        <v>76.2</v>
      </c>
      <c r="L1437" s="171">
        <v>78.37</v>
      </c>
      <c r="M1437" s="171">
        <v>74.78</v>
      </c>
      <c r="N1437" s="171">
        <v>68.05</v>
      </c>
      <c r="O1437" s="171">
        <v>61.910000000000004</v>
      </c>
      <c r="P1437" s="171">
        <v>51.51</v>
      </c>
      <c r="Q1437" s="171">
        <v>47.15</v>
      </c>
      <c r="R1437" s="171">
        <v>45.550000000000004</v>
      </c>
      <c r="S1437" s="171">
        <v>47.160000000000004</v>
      </c>
      <c r="T1437" s="171">
        <v>48.45</v>
      </c>
      <c r="U1437" s="171">
        <v>59.93</v>
      </c>
      <c r="V1437" s="171">
        <v>69.19</v>
      </c>
      <c r="W1437" s="171">
        <v>82.63</v>
      </c>
      <c r="X1437" s="171">
        <v>70</v>
      </c>
      <c r="Y1437" s="171">
        <v>52.38</v>
      </c>
      <c r="Z1437" s="171">
        <v>47.12</v>
      </c>
      <c r="AA1437" s="171">
        <v>45.39</v>
      </c>
      <c r="AB1437" s="171">
        <v>82.63</v>
      </c>
      <c r="AC1437" s="171">
        <v>45.550000000000004</v>
      </c>
      <c r="AD1437" s="171">
        <v>49.75</v>
      </c>
      <c r="AF1437" s="171">
        <f t="shared" si="68"/>
        <v>2011</v>
      </c>
      <c r="AG1437" s="171">
        <f t="shared" si="69"/>
        <v>4</v>
      </c>
      <c r="AH1437" s="700">
        <f>SUMIF(D$3:$AA1437,"&lt;="&amp;$AH$1)/COUNTIF(D$3:$AA1437,"&lt;="&amp;$AH$1)</f>
        <v>30.495243559907006</v>
      </c>
    </row>
    <row r="1438" spans="2:34" x14ac:dyDescent="0.25">
      <c r="B1438" s="910">
        <v>40840</v>
      </c>
      <c r="C1438" s="581">
        <f t="shared" si="67"/>
        <v>10</v>
      </c>
      <c r="D1438" s="171">
        <v>39.57</v>
      </c>
      <c r="E1438" s="171">
        <v>35.46</v>
      </c>
      <c r="F1438" s="171">
        <v>32.61</v>
      </c>
      <c r="G1438" s="171">
        <v>30.82</v>
      </c>
      <c r="H1438" s="171">
        <v>34.03</v>
      </c>
      <c r="I1438" s="171">
        <v>37.18</v>
      </c>
      <c r="J1438" s="171">
        <v>47.03</v>
      </c>
      <c r="K1438" s="171">
        <v>69.62</v>
      </c>
      <c r="L1438" s="171">
        <v>68.95</v>
      </c>
      <c r="M1438" s="171">
        <v>68.070000000000007</v>
      </c>
      <c r="N1438" s="171">
        <v>64.06</v>
      </c>
      <c r="O1438" s="171">
        <v>54.84</v>
      </c>
      <c r="P1438" s="171">
        <v>49.94</v>
      </c>
      <c r="Q1438" s="171">
        <v>48.22</v>
      </c>
      <c r="R1438" s="171">
        <v>44.9</v>
      </c>
      <c r="S1438" s="171">
        <v>42.94</v>
      </c>
      <c r="T1438" s="171">
        <v>43.94</v>
      </c>
      <c r="U1438" s="171">
        <v>51.46</v>
      </c>
      <c r="V1438" s="171">
        <v>67.97</v>
      </c>
      <c r="W1438" s="171">
        <v>73.710000000000008</v>
      </c>
      <c r="X1438" s="171">
        <v>62.050000000000004</v>
      </c>
      <c r="Y1438" s="171">
        <v>48.120000000000005</v>
      </c>
      <c r="Z1438" s="171">
        <v>50.67</v>
      </c>
      <c r="AA1438" s="171">
        <v>48.82</v>
      </c>
      <c r="AB1438" s="171">
        <v>73.710000000000008</v>
      </c>
      <c r="AC1438" s="171">
        <v>42.94</v>
      </c>
      <c r="AD1438" s="171">
        <v>44.67</v>
      </c>
      <c r="AF1438" s="171">
        <f t="shared" si="68"/>
        <v>2011</v>
      </c>
      <c r="AG1438" s="171">
        <f t="shared" si="69"/>
        <v>6</v>
      </c>
      <c r="AH1438" s="700">
        <f>SUMIF(D$3:$AA1438,"&lt;="&amp;$AH$1)/COUNTIF(D$3:$AA1438,"&lt;="&amp;$AH$1)</f>
        <v>30.497385096655268</v>
      </c>
    </row>
    <row r="1439" spans="2:34" x14ac:dyDescent="0.25">
      <c r="B1439" s="910">
        <v>40841</v>
      </c>
      <c r="C1439" s="581">
        <f t="shared" si="67"/>
        <v>10</v>
      </c>
      <c r="D1439" s="171">
        <v>44.93</v>
      </c>
      <c r="E1439" s="171">
        <v>41.58</v>
      </c>
      <c r="F1439" s="171">
        <v>35.58</v>
      </c>
      <c r="G1439" s="171">
        <v>35.119999999999997</v>
      </c>
      <c r="H1439" s="171">
        <v>35.26</v>
      </c>
      <c r="I1439" s="171">
        <v>40.46</v>
      </c>
      <c r="J1439" s="171">
        <v>48.9</v>
      </c>
      <c r="K1439" s="171">
        <v>62.54</v>
      </c>
      <c r="L1439" s="171">
        <v>63.230000000000004</v>
      </c>
      <c r="M1439" s="171">
        <v>61.980000000000004</v>
      </c>
      <c r="N1439" s="171">
        <v>58.08</v>
      </c>
      <c r="O1439" s="171">
        <v>61.38</v>
      </c>
      <c r="P1439" s="171">
        <v>55.17</v>
      </c>
      <c r="Q1439" s="171">
        <v>56.92</v>
      </c>
      <c r="R1439" s="171">
        <v>55.14</v>
      </c>
      <c r="S1439" s="171">
        <v>52.01</v>
      </c>
      <c r="T1439" s="171">
        <v>51.9</v>
      </c>
      <c r="U1439" s="171">
        <v>62.2</v>
      </c>
      <c r="V1439" s="171">
        <v>69.86</v>
      </c>
      <c r="W1439" s="171">
        <v>79.710000000000008</v>
      </c>
      <c r="X1439" s="171">
        <v>68.53</v>
      </c>
      <c r="Y1439" s="171">
        <v>61.910000000000004</v>
      </c>
      <c r="Z1439" s="171">
        <v>57.730000000000004</v>
      </c>
      <c r="AA1439" s="171">
        <v>49.94</v>
      </c>
      <c r="AB1439" s="171">
        <v>79.710000000000008</v>
      </c>
      <c r="AC1439" s="171">
        <v>51.9</v>
      </c>
      <c r="AD1439" s="171">
        <v>48.54</v>
      </c>
      <c r="AF1439" s="171">
        <f t="shared" si="68"/>
        <v>2011</v>
      </c>
      <c r="AG1439" s="171">
        <f t="shared" si="69"/>
        <v>5</v>
      </c>
      <c r="AH1439" s="700">
        <f>SUMIF(D$3:$AA1439,"&lt;="&amp;$AH$1)/COUNTIF(D$3:$AA1439,"&lt;="&amp;$AH$1)</f>
        <v>30.500232520846801</v>
      </c>
    </row>
    <row r="1440" spans="2:34" x14ac:dyDescent="0.25">
      <c r="B1440" s="910">
        <v>40842</v>
      </c>
      <c r="C1440" s="581">
        <f t="shared" si="67"/>
        <v>10</v>
      </c>
      <c r="D1440" s="171">
        <v>48.33</v>
      </c>
      <c r="E1440" s="171">
        <v>44</v>
      </c>
      <c r="F1440" s="171">
        <v>41.65</v>
      </c>
      <c r="G1440" s="171">
        <v>40.630000000000003</v>
      </c>
      <c r="H1440" s="171">
        <v>40.660000000000004</v>
      </c>
      <c r="I1440" s="171">
        <v>45.08</v>
      </c>
      <c r="J1440" s="171">
        <v>49.43</v>
      </c>
      <c r="K1440" s="171">
        <v>68.09</v>
      </c>
      <c r="L1440" s="171">
        <v>72</v>
      </c>
      <c r="M1440" s="171">
        <v>73.39</v>
      </c>
      <c r="N1440" s="171">
        <v>73.600000000000009</v>
      </c>
      <c r="O1440" s="171">
        <v>71.989999999999995</v>
      </c>
      <c r="P1440" s="171">
        <v>69.33</v>
      </c>
      <c r="Q1440" s="171">
        <v>66.180000000000007</v>
      </c>
      <c r="R1440" s="171">
        <v>64.03</v>
      </c>
      <c r="S1440" s="171">
        <v>57.67</v>
      </c>
      <c r="T1440" s="171">
        <v>56.18</v>
      </c>
      <c r="U1440" s="171">
        <v>64.930000000000007</v>
      </c>
      <c r="V1440" s="171">
        <v>74.16</v>
      </c>
      <c r="W1440" s="171">
        <v>94.19</v>
      </c>
      <c r="X1440" s="171">
        <v>69.52</v>
      </c>
      <c r="Y1440" s="171">
        <v>52.46</v>
      </c>
      <c r="Z1440" s="171">
        <v>48.33</v>
      </c>
      <c r="AA1440" s="171">
        <v>47.26</v>
      </c>
      <c r="AB1440" s="171">
        <v>94.19</v>
      </c>
      <c r="AC1440" s="171">
        <v>48.33</v>
      </c>
      <c r="AD1440" s="171">
        <v>49.620000000000005</v>
      </c>
      <c r="AF1440" s="171">
        <f t="shared" si="68"/>
        <v>2011</v>
      </c>
      <c r="AG1440" s="171">
        <f t="shared" si="69"/>
        <v>3</v>
      </c>
      <c r="AH1440" s="700">
        <f>SUMIF(D$3:$AA1440,"&lt;="&amp;$AH$1)/COUNTIF(D$3:$AA1440,"&lt;="&amp;$AH$1)</f>
        <v>30.502752705410927</v>
      </c>
    </row>
    <row r="1441" spans="2:34" x14ac:dyDescent="0.25">
      <c r="B1441" s="910">
        <v>40843</v>
      </c>
      <c r="C1441" s="581">
        <f t="shared" si="67"/>
        <v>10</v>
      </c>
      <c r="D1441" s="171">
        <v>45</v>
      </c>
      <c r="E1441" s="171">
        <v>43.69</v>
      </c>
      <c r="F1441" s="171">
        <v>41.17</v>
      </c>
      <c r="G1441" s="171">
        <v>39.590000000000003</v>
      </c>
      <c r="H1441" s="171">
        <v>39.590000000000003</v>
      </c>
      <c r="I1441" s="171">
        <v>44.550000000000004</v>
      </c>
      <c r="J1441" s="171">
        <v>55.7</v>
      </c>
      <c r="K1441" s="171">
        <v>72.489999999999995</v>
      </c>
      <c r="L1441" s="171">
        <v>72.88</v>
      </c>
      <c r="M1441" s="171">
        <v>73.36</v>
      </c>
      <c r="N1441" s="171">
        <v>73.19</v>
      </c>
      <c r="O1441" s="171">
        <v>73.17</v>
      </c>
      <c r="P1441" s="171">
        <v>70.98</v>
      </c>
      <c r="Q1441" s="171">
        <v>67.180000000000007</v>
      </c>
      <c r="R1441" s="171">
        <v>63.47</v>
      </c>
      <c r="S1441" s="171">
        <v>56.97</v>
      </c>
      <c r="T1441" s="171">
        <v>56.24</v>
      </c>
      <c r="U1441" s="171">
        <v>65</v>
      </c>
      <c r="V1441" s="171">
        <v>73.37</v>
      </c>
      <c r="W1441" s="171">
        <v>80.58</v>
      </c>
      <c r="X1441" s="171">
        <v>70.02</v>
      </c>
      <c r="Y1441" s="171">
        <v>52.910000000000004</v>
      </c>
      <c r="Z1441" s="171">
        <v>57.11</v>
      </c>
      <c r="AA1441" s="171">
        <v>53.57</v>
      </c>
      <c r="AB1441" s="171">
        <v>80.58</v>
      </c>
      <c r="AC1441" s="171">
        <v>52.910000000000004</v>
      </c>
      <c r="AD1441" s="171">
        <v>51.28</v>
      </c>
      <c r="AF1441" s="171">
        <f t="shared" si="68"/>
        <v>2011</v>
      </c>
      <c r="AG1441" s="171">
        <f t="shared" si="69"/>
        <v>3</v>
      </c>
      <c r="AH1441" s="700">
        <f>SUMIF(D$3:$AA1441,"&lt;="&amp;$AH$1)/COUNTIF(D$3:$AA1441,"&lt;="&amp;$AH$1)</f>
        <v>30.505064112838703</v>
      </c>
    </row>
    <row r="1442" spans="2:34" x14ac:dyDescent="0.25">
      <c r="B1442" s="910">
        <v>40844</v>
      </c>
      <c r="C1442" s="581">
        <f t="shared" si="67"/>
        <v>10</v>
      </c>
      <c r="D1442" s="171">
        <v>43.38</v>
      </c>
      <c r="E1442" s="171">
        <v>41.550000000000004</v>
      </c>
      <c r="F1442" s="171">
        <v>38.33</v>
      </c>
      <c r="G1442" s="171">
        <v>37.53</v>
      </c>
      <c r="H1442" s="171">
        <v>38.590000000000003</v>
      </c>
      <c r="I1442" s="171">
        <v>43.93</v>
      </c>
      <c r="J1442" s="171">
        <v>52.51</v>
      </c>
      <c r="K1442" s="171">
        <v>68.03</v>
      </c>
      <c r="L1442" s="171">
        <v>69.040000000000006</v>
      </c>
      <c r="M1442" s="171">
        <v>70.650000000000006</v>
      </c>
      <c r="N1442" s="171">
        <v>68.7</v>
      </c>
      <c r="O1442" s="171">
        <v>67.2</v>
      </c>
      <c r="P1442" s="171">
        <v>63.56</v>
      </c>
      <c r="Q1442" s="171">
        <v>61.940000000000005</v>
      </c>
      <c r="R1442" s="171">
        <v>51.89</v>
      </c>
      <c r="S1442" s="171">
        <v>50.45</v>
      </c>
      <c r="T1442" s="171">
        <v>49.32</v>
      </c>
      <c r="U1442" s="171">
        <v>61.93</v>
      </c>
      <c r="V1442" s="171">
        <v>71.63</v>
      </c>
      <c r="W1442" s="171">
        <v>81.680000000000007</v>
      </c>
      <c r="X1442" s="171">
        <v>71.56</v>
      </c>
      <c r="Y1442" s="171">
        <v>52.5</v>
      </c>
      <c r="Z1442" s="171">
        <v>54.08</v>
      </c>
      <c r="AA1442" s="171">
        <v>51.99</v>
      </c>
      <c r="AB1442" s="171">
        <v>81.680000000000007</v>
      </c>
      <c r="AC1442" s="171">
        <v>49.32</v>
      </c>
      <c r="AD1442" s="171">
        <v>49.5</v>
      </c>
      <c r="AF1442" s="171">
        <f t="shared" si="68"/>
        <v>2011</v>
      </c>
      <c r="AG1442" s="171">
        <f t="shared" si="69"/>
        <v>4</v>
      </c>
      <c r="AH1442" s="700">
        <f>SUMIF(D$3:$AA1442,"&lt;="&amp;$AH$1)/COUNTIF(D$3:$AA1442,"&lt;="&amp;$AH$1)</f>
        <v>30.507786412434015</v>
      </c>
    </row>
    <row r="1443" spans="2:34" x14ac:dyDescent="0.25">
      <c r="B1443" s="910">
        <v>40847</v>
      </c>
      <c r="C1443" s="581">
        <f t="shared" si="67"/>
        <v>10</v>
      </c>
      <c r="D1443" s="171">
        <v>46.18</v>
      </c>
      <c r="E1443" s="171">
        <v>42.97</v>
      </c>
      <c r="F1443" s="171">
        <v>39.83</v>
      </c>
      <c r="G1443" s="171">
        <v>36.9</v>
      </c>
      <c r="H1443" s="171">
        <v>40.32</v>
      </c>
      <c r="I1443" s="171">
        <v>43.62</v>
      </c>
      <c r="J1443" s="171">
        <v>49.94</v>
      </c>
      <c r="K1443" s="171">
        <v>54.94</v>
      </c>
      <c r="L1443" s="171">
        <v>60.81</v>
      </c>
      <c r="M1443" s="171">
        <v>63.18</v>
      </c>
      <c r="N1443" s="171">
        <v>58.480000000000004</v>
      </c>
      <c r="O1443" s="171">
        <v>62.06</v>
      </c>
      <c r="P1443" s="171">
        <v>64.69</v>
      </c>
      <c r="Q1443" s="171">
        <v>61.690000000000005</v>
      </c>
      <c r="R1443" s="171">
        <v>58.230000000000004</v>
      </c>
      <c r="S1443" s="171">
        <v>56.84</v>
      </c>
      <c r="T1443" s="171">
        <v>58.09</v>
      </c>
      <c r="U1443" s="171">
        <v>70.989999999999995</v>
      </c>
      <c r="V1443" s="171">
        <v>76.62</v>
      </c>
      <c r="W1443" s="171">
        <v>69.25</v>
      </c>
      <c r="X1443" s="171">
        <v>59.410000000000004</v>
      </c>
      <c r="Y1443" s="171">
        <v>51.870000000000005</v>
      </c>
      <c r="Z1443" s="171">
        <v>53.2</v>
      </c>
      <c r="AA1443" s="171">
        <v>48.52</v>
      </c>
      <c r="AB1443" s="171">
        <v>76.62</v>
      </c>
      <c r="AC1443" s="171">
        <v>51.870000000000005</v>
      </c>
      <c r="AD1443" s="171">
        <v>47.31</v>
      </c>
      <c r="AF1443" s="171">
        <f t="shared" si="68"/>
        <v>2011</v>
      </c>
      <c r="AG1443" s="171">
        <f t="shared" si="69"/>
        <v>3</v>
      </c>
      <c r="AH1443" s="700">
        <f>SUMIF(D$3:$AA1443,"&lt;="&amp;$AH$1)/COUNTIF(D$3:$AA1443,"&lt;="&amp;$AH$1)</f>
        <v>30.509830997196751</v>
      </c>
    </row>
    <row r="1444" spans="2:34" x14ac:dyDescent="0.25">
      <c r="B1444" s="910">
        <v>40848</v>
      </c>
      <c r="C1444" s="581">
        <f t="shared" si="67"/>
        <v>11</v>
      </c>
      <c r="D1444" s="171">
        <v>42.6</v>
      </c>
      <c r="E1444" s="171">
        <v>40.44</v>
      </c>
      <c r="F1444" s="171">
        <v>34.96</v>
      </c>
      <c r="G1444" s="171">
        <v>32.36</v>
      </c>
      <c r="H1444" s="171">
        <v>34.42</v>
      </c>
      <c r="I1444" s="171">
        <v>37.07</v>
      </c>
      <c r="J1444" s="171">
        <v>41.18</v>
      </c>
      <c r="K1444" s="171">
        <v>44.89</v>
      </c>
      <c r="L1444" s="171">
        <v>44.93</v>
      </c>
      <c r="M1444" s="171">
        <v>46.07</v>
      </c>
      <c r="N1444" s="171">
        <v>45.95</v>
      </c>
      <c r="O1444" s="171">
        <v>48.86</v>
      </c>
      <c r="P1444" s="171">
        <v>51.64</v>
      </c>
      <c r="Q1444" s="171">
        <v>48.75</v>
      </c>
      <c r="R1444" s="171">
        <v>45.52</v>
      </c>
      <c r="S1444" s="171">
        <v>46.28</v>
      </c>
      <c r="T1444" s="171">
        <v>49.99</v>
      </c>
      <c r="U1444" s="171">
        <v>61.2</v>
      </c>
      <c r="V1444" s="171">
        <v>68.989999999999995</v>
      </c>
      <c r="W1444" s="171">
        <v>67.89</v>
      </c>
      <c r="X1444" s="171">
        <v>58.230000000000004</v>
      </c>
      <c r="Y1444" s="171">
        <v>49.56</v>
      </c>
      <c r="Z1444" s="171">
        <v>49.33</v>
      </c>
      <c r="AA1444" s="171">
        <v>45.76</v>
      </c>
      <c r="AB1444" s="171">
        <v>68.989999999999995</v>
      </c>
      <c r="AC1444" s="171">
        <v>44.89</v>
      </c>
      <c r="AD1444" s="171">
        <v>42.57</v>
      </c>
      <c r="AF1444" s="171">
        <f t="shared" si="68"/>
        <v>2011</v>
      </c>
      <c r="AG1444" s="171">
        <f t="shared" si="69"/>
        <v>6</v>
      </c>
      <c r="AH1444" s="700">
        <f>SUMIF(D$3:$AA1444,"&lt;="&amp;$AH$1)/COUNTIF(D$3:$AA1444,"&lt;="&amp;$AH$1)</f>
        <v>30.512822832439472</v>
      </c>
    </row>
    <row r="1445" spans="2:34" x14ac:dyDescent="0.25">
      <c r="B1445" s="910">
        <v>40849</v>
      </c>
      <c r="C1445" s="581">
        <f t="shared" si="67"/>
        <v>11</v>
      </c>
      <c r="D1445" s="171">
        <v>44</v>
      </c>
      <c r="E1445" s="171">
        <v>41.22</v>
      </c>
      <c r="F1445" s="171">
        <v>36.619999999999997</v>
      </c>
      <c r="G1445" s="171">
        <v>35</v>
      </c>
      <c r="H1445" s="171">
        <v>40.270000000000003</v>
      </c>
      <c r="I1445" s="171">
        <v>42.57</v>
      </c>
      <c r="J1445" s="171">
        <v>50.83</v>
      </c>
      <c r="K1445" s="171">
        <v>68.94</v>
      </c>
      <c r="L1445" s="171">
        <v>69.38</v>
      </c>
      <c r="M1445" s="171">
        <v>66.95</v>
      </c>
      <c r="N1445" s="171">
        <v>66.25</v>
      </c>
      <c r="O1445" s="171">
        <v>66.09</v>
      </c>
      <c r="P1445" s="171">
        <v>65.55</v>
      </c>
      <c r="Q1445" s="171">
        <v>64.89</v>
      </c>
      <c r="R1445" s="171">
        <v>62.9</v>
      </c>
      <c r="S1445" s="171">
        <v>64.91</v>
      </c>
      <c r="T1445" s="171">
        <v>71.94</v>
      </c>
      <c r="U1445" s="171">
        <v>81.37</v>
      </c>
      <c r="V1445" s="171">
        <v>85.08</v>
      </c>
      <c r="W1445" s="171">
        <v>71.72</v>
      </c>
      <c r="X1445" s="171">
        <v>59.83</v>
      </c>
      <c r="Y1445" s="171">
        <v>47.64</v>
      </c>
      <c r="Z1445" s="171">
        <v>50.02</v>
      </c>
      <c r="AA1445" s="171">
        <v>44.57</v>
      </c>
      <c r="AB1445" s="171">
        <v>85.08</v>
      </c>
      <c r="AC1445" s="171">
        <v>47.64</v>
      </c>
      <c r="AD1445" s="171">
        <v>46.79</v>
      </c>
      <c r="AF1445" s="171">
        <f t="shared" si="68"/>
        <v>2011</v>
      </c>
      <c r="AG1445" s="171">
        <f t="shared" si="69"/>
        <v>4</v>
      </c>
      <c r="AH1445" s="700">
        <f>SUMIF(D$3:$AA1445,"&lt;="&amp;$AH$1)/COUNTIF(D$3:$AA1445,"&lt;="&amp;$AH$1)</f>
        <v>30.515308523409477</v>
      </c>
    </row>
    <row r="1446" spans="2:34" x14ac:dyDescent="0.25">
      <c r="B1446" s="910">
        <v>40850</v>
      </c>
      <c r="C1446" s="581">
        <f t="shared" si="67"/>
        <v>11</v>
      </c>
      <c r="D1446" s="171">
        <v>43.97</v>
      </c>
      <c r="E1446" s="171">
        <v>41.56</v>
      </c>
      <c r="F1446" s="171">
        <v>38.75</v>
      </c>
      <c r="G1446" s="171">
        <v>35.22</v>
      </c>
      <c r="H1446" s="171">
        <v>37.14</v>
      </c>
      <c r="I1446" s="171">
        <v>38.82</v>
      </c>
      <c r="J1446" s="171">
        <v>44.57</v>
      </c>
      <c r="K1446" s="171">
        <v>56.13</v>
      </c>
      <c r="L1446" s="171">
        <v>58.42</v>
      </c>
      <c r="M1446" s="171">
        <v>53.27</v>
      </c>
      <c r="N1446" s="171">
        <v>52</v>
      </c>
      <c r="O1446" s="171">
        <v>53.2</v>
      </c>
      <c r="P1446" s="171">
        <v>57.44</v>
      </c>
      <c r="Q1446" s="171">
        <v>57.33</v>
      </c>
      <c r="R1446" s="171">
        <v>56.19</v>
      </c>
      <c r="S1446" s="171">
        <v>52.32</v>
      </c>
      <c r="T1446" s="171">
        <v>60.33</v>
      </c>
      <c r="U1446" s="171">
        <v>64.39</v>
      </c>
      <c r="V1446" s="171">
        <v>81.58</v>
      </c>
      <c r="W1446" s="171">
        <v>69.75</v>
      </c>
      <c r="X1446" s="171">
        <v>60.81</v>
      </c>
      <c r="Y1446" s="171">
        <v>49</v>
      </c>
      <c r="Z1446" s="171">
        <v>47.64</v>
      </c>
      <c r="AA1446" s="171">
        <v>43.95</v>
      </c>
      <c r="AB1446" s="171">
        <v>81.58</v>
      </c>
      <c r="AC1446" s="171">
        <v>47.64</v>
      </c>
      <c r="AD1446" s="171">
        <v>44.800000000000004</v>
      </c>
      <c r="AF1446" s="171">
        <f t="shared" si="68"/>
        <v>2011</v>
      </c>
      <c r="AG1446" s="171">
        <f t="shared" si="69"/>
        <v>5</v>
      </c>
      <c r="AH1446" s="700">
        <f>SUMIF(D$3:$AA1446,"&lt;="&amp;$AH$1)/COUNTIF(D$3:$AA1446,"&lt;="&amp;$AH$1)</f>
        <v>30.518421600000114</v>
      </c>
    </row>
    <row r="1447" spans="2:34" x14ac:dyDescent="0.25">
      <c r="B1447" s="910">
        <v>40851</v>
      </c>
      <c r="C1447" s="581">
        <f t="shared" si="67"/>
        <v>11</v>
      </c>
      <c r="D1447" s="171">
        <v>45.03</v>
      </c>
      <c r="E1447" s="171">
        <v>42.01</v>
      </c>
      <c r="F1447" s="171">
        <v>39.020000000000003</v>
      </c>
      <c r="G1447" s="171">
        <v>34.380000000000003</v>
      </c>
      <c r="H1447" s="171">
        <v>38.869999999999997</v>
      </c>
      <c r="I1447" s="171">
        <v>44</v>
      </c>
      <c r="J1447" s="171">
        <v>49.99</v>
      </c>
      <c r="K1447" s="171">
        <v>62.63</v>
      </c>
      <c r="L1447" s="171">
        <v>62.93</v>
      </c>
      <c r="M1447" s="171">
        <v>63.97</v>
      </c>
      <c r="N1447" s="171">
        <v>64.39</v>
      </c>
      <c r="O1447" s="171">
        <v>63.27</v>
      </c>
      <c r="P1447" s="171">
        <v>64.03</v>
      </c>
      <c r="Q1447" s="171">
        <v>59.13</v>
      </c>
      <c r="R1447" s="171">
        <v>58.57</v>
      </c>
      <c r="S1447" s="171">
        <v>59.54</v>
      </c>
      <c r="T1447" s="171">
        <v>59.26</v>
      </c>
      <c r="U1447" s="171">
        <v>73.430000000000007</v>
      </c>
      <c r="V1447" s="171">
        <v>80.489999999999995</v>
      </c>
      <c r="W1447" s="171">
        <v>69.94</v>
      </c>
      <c r="X1447" s="171">
        <v>59.93</v>
      </c>
      <c r="Y1447" s="171">
        <v>48.64</v>
      </c>
      <c r="Z1447" s="171">
        <v>49.57</v>
      </c>
      <c r="AA1447" s="171">
        <v>47.76</v>
      </c>
      <c r="AB1447" s="171">
        <v>80.489999999999995</v>
      </c>
      <c r="AC1447" s="171">
        <v>48.64</v>
      </c>
      <c r="AD1447" s="171">
        <v>46.82</v>
      </c>
      <c r="AF1447" s="171">
        <f t="shared" si="68"/>
        <v>2011</v>
      </c>
      <c r="AG1447" s="171">
        <f t="shared" si="69"/>
        <v>4</v>
      </c>
      <c r="AH1447" s="700">
        <f>SUMIF(D$3:$AA1447,"&lt;="&amp;$AH$1)/COUNTIF(D$3:$AA1447,"&lt;="&amp;$AH$1)</f>
        <v>30.520997280870237</v>
      </c>
    </row>
    <row r="1448" spans="2:34" x14ac:dyDescent="0.25">
      <c r="B1448" s="910">
        <v>40854</v>
      </c>
      <c r="C1448" s="581">
        <f t="shared" si="67"/>
        <v>11</v>
      </c>
      <c r="D1448" s="171">
        <v>38.11</v>
      </c>
      <c r="E1448" s="171">
        <v>37.1</v>
      </c>
      <c r="F1448" s="171">
        <v>35.39</v>
      </c>
      <c r="G1448" s="171">
        <v>34.980000000000004</v>
      </c>
      <c r="H1448" s="171">
        <v>37.22</v>
      </c>
      <c r="I1448" s="171">
        <v>39.130000000000003</v>
      </c>
      <c r="J1448" s="171">
        <v>48.980000000000004</v>
      </c>
      <c r="K1448" s="171">
        <v>65.989999999999995</v>
      </c>
      <c r="L1448" s="171">
        <v>64.94</v>
      </c>
      <c r="M1448" s="171">
        <v>61.64</v>
      </c>
      <c r="N1448" s="171">
        <v>58.61</v>
      </c>
      <c r="O1448" s="171">
        <v>60.82</v>
      </c>
      <c r="P1448" s="171">
        <v>61.18</v>
      </c>
      <c r="Q1448" s="171">
        <v>60</v>
      </c>
      <c r="R1448" s="171">
        <v>56.71</v>
      </c>
      <c r="S1448" s="171">
        <v>55.01</v>
      </c>
      <c r="T1448" s="171">
        <v>66.710000000000008</v>
      </c>
      <c r="U1448" s="171">
        <v>82.48</v>
      </c>
      <c r="V1448" s="171">
        <v>100.46000000000001</v>
      </c>
      <c r="W1448" s="171">
        <v>76.84</v>
      </c>
      <c r="X1448" s="171">
        <v>64.09</v>
      </c>
      <c r="Y1448" s="171">
        <v>48</v>
      </c>
      <c r="Z1448" s="171">
        <v>50</v>
      </c>
      <c r="AA1448" s="171">
        <v>46.81</v>
      </c>
      <c r="AB1448" s="171">
        <v>100.46000000000001</v>
      </c>
      <c r="AC1448" s="171">
        <v>48</v>
      </c>
      <c r="AD1448" s="171">
        <v>45.480000000000004</v>
      </c>
      <c r="AF1448" s="171">
        <f t="shared" si="68"/>
        <v>2011</v>
      </c>
      <c r="AG1448" s="171">
        <f t="shared" si="69"/>
        <v>6</v>
      </c>
      <c r="AH1448" s="700">
        <f>SUMIF(D$3:$AA1448,"&lt;="&amp;$AH$1)/COUNTIF(D$3:$AA1448,"&lt;="&amp;$AH$1)</f>
        <v>30.524099120703546</v>
      </c>
    </row>
    <row r="1449" spans="2:34" x14ac:dyDescent="0.25">
      <c r="B1449" s="910">
        <v>40855</v>
      </c>
      <c r="C1449" s="581">
        <f t="shared" si="67"/>
        <v>11</v>
      </c>
      <c r="D1449" s="171">
        <v>43.95</v>
      </c>
      <c r="E1449" s="171">
        <v>40.56</v>
      </c>
      <c r="F1449" s="171">
        <v>39.450000000000003</v>
      </c>
      <c r="G1449" s="171">
        <v>38.15</v>
      </c>
      <c r="H1449" s="171">
        <v>38.85</v>
      </c>
      <c r="I1449" s="171">
        <v>41.06</v>
      </c>
      <c r="J1449" s="171">
        <v>46.99</v>
      </c>
      <c r="K1449" s="171">
        <v>64.27</v>
      </c>
      <c r="L1449" s="171">
        <v>66.78</v>
      </c>
      <c r="M1449" s="171">
        <v>62.910000000000004</v>
      </c>
      <c r="N1449" s="171">
        <v>60.01</v>
      </c>
      <c r="O1449" s="171">
        <v>58.94</v>
      </c>
      <c r="P1449" s="171">
        <v>55.980000000000004</v>
      </c>
      <c r="Q1449" s="171">
        <v>59.18</v>
      </c>
      <c r="R1449" s="171">
        <v>56.910000000000004</v>
      </c>
      <c r="S1449" s="171">
        <v>56.910000000000004</v>
      </c>
      <c r="T1449" s="171">
        <v>65</v>
      </c>
      <c r="U1449" s="171">
        <v>85.100000000000009</v>
      </c>
      <c r="V1449" s="171">
        <v>102.2</v>
      </c>
      <c r="W1449" s="171">
        <v>76.87</v>
      </c>
      <c r="X1449" s="171">
        <v>57.9</v>
      </c>
      <c r="Y1449" s="171">
        <v>50.1</v>
      </c>
      <c r="Z1449" s="171">
        <v>51.77</v>
      </c>
      <c r="AA1449" s="171">
        <v>44.94</v>
      </c>
      <c r="AB1449" s="171">
        <v>102.2</v>
      </c>
      <c r="AC1449" s="171">
        <v>50.1</v>
      </c>
      <c r="AD1449" s="171">
        <v>46.5</v>
      </c>
      <c r="AF1449" s="171">
        <f t="shared" si="68"/>
        <v>2011</v>
      </c>
      <c r="AG1449" s="171">
        <f t="shared" si="69"/>
        <v>5</v>
      </c>
      <c r="AH1449" s="700">
        <f>SUMIF(D$3:$AA1449,"&lt;="&amp;$AH$1)/COUNTIF(D$3:$AA1449,"&lt;="&amp;$AH$1)</f>
        <v>30.52773072313235</v>
      </c>
    </row>
    <row r="1450" spans="2:34" x14ac:dyDescent="0.25">
      <c r="B1450" s="910">
        <v>40856</v>
      </c>
      <c r="C1450" s="581">
        <f t="shared" si="67"/>
        <v>11</v>
      </c>
      <c r="D1450" s="171">
        <v>44.35</v>
      </c>
      <c r="E1450" s="171">
        <v>43.93</v>
      </c>
      <c r="F1450" s="171">
        <v>40.72</v>
      </c>
      <c r="G1450" s="171">
        <v>39.61</v>
      </c>
      <c r="H1450" s="171">
        <v>40.75</v>
      </c>
      <c r="I1450" s="171">
        <v>43.910000000000004</v>
      </c>
      <c r="J1450" s="171">
        <v>48.69</v>
      </c>
      <c r="K1450" s="171">
        <v>66.86</v>
      </c>
      <c r="L1450" s="171">
        <v>70.489999999999995</v>
      </c>
      <c r="M1450" s="171">
        <v>69.63</v>
      </c>
      <c r="N1450" s="171">
        <v>66.210000000000008</v>
      </c>
      <c r="O1450" s="171">
        <v>66.010000000000005</v>
      </c>
      <c r="P1450" s="171">
        <v>64.09</v>
      </c>
      <c r="Q1450" s="171">
        <v>61.57</v>
      </c>
      <c r="R1450" s="171">
        <v>61.19</v>
      </c>
      <c r="S1450" s="171">
        <v>62.96</v>
      </c>
      <c r="T1450" s="171">
        <v>62.93</v>
      </c>
      <c r="U1450" s="171">
        <v>79.94</v>
      </c>
      <c r="V1450" s="171">
        <v>92.45</v>
      </c>
      <c r="W1450" s="171">
        <v>76.989999999999995</v>
      </c>
      <c r="X1450" s="171">
        <v>65.02</v>
      </c>
      <c r="Y1450" s="171">
        <v>53.38</v>
      </c>
      <c r="Z1450" s="171">
        <v>52.44</v>
      </c>
      <c r="AA1450" s="171">
        <v>47.78</v>
      </c>
      <c r="AB1450" s="171">
        <v>92.45</v>
      </c>
      <c r="AC1450" s="171">
        <v>52.44</v>
      </c>
      <c r="AD1450" s="171">
        <v>48.95</v>
      </c>
      <c r="AF1450" s="171">
        <f t="shared" si="68"/>
        <v>2011</v>
      </c>
      <c r="AG1450" s="171">
        <f t="shared" si="69"/>
        <v>3</v>
      </c>
      <c r="AH1450" s="700">
        <f>SUMIF(D$3:$AA1450,"&lt;="&amp;$AH$1)/COUNTIF(D$3:$AA1450,"&lt;="&amp;$AH$1)</f>
        <v>30.530087074612666</v>
      </c>
    </row>
    <row r="1451" spans="2:34" x14ac:dyDescent="0.25">
      <c r="B1451" s="910">
        <v>40857</v>
      </c>
      <c r="C1451" s="581">
        <f t="shared" si="67"/>
        <v>11</v>
      </c>
      <c r="D1451" s="171">
        <v>44.980000000000004</v>
      </c>
      <c r="E1451" s="171">
        <v>43.86</v>
      </c>
      <c r="F1451" s="171">
        <v>42.33</v>
      </c>
      <c r="G1451" s="171">
        <v>40.36</v>
      </c>
      <c r="H1451" s="171">
        <v>42.08</v>
      </c>
      <c r="I1451" s="171">
        <v>45.22</v>
      </c>
      <c r="J1451" s="171">
        <v>52.120000000000005</v>
      </c>
      <c r="K1451" s="171">
        <v>67.83</v>
      </c>
      <c r="L1451" s="171">
        <v>69</v>
      </c>
      <c r="M1451" s="171">
        <v>66.010000000000005</v>
      </c>
      <c r="N1451" s="171">
        <v>65.88</v>
      </c>
      <c r="O1451" s="171">
        <v>66.27</v>
      </c>
      <c r="P1451" s="171">
        <v>65.97</v>
      </c>
      <c r="Q1451" s="171">
        <v>60.160000000000004</v>
      </c>
      <c r="R1451" s="171">
        <v>60.99</v>
      </c>
      <c r="S1451" s="171">
        <v>61.910000000000004</v>
      </c>
      <c r="T1451" s="171">
        <v>62.160000000000004</v>
      </c>
      <c r="U1451" s="171">
        <v>77.86</v>
      </c>
      <c r="V1451" s="171">
        <v>92.88</v>
      </c>
      <c r="W1451" s="171">
        <v>74.22</v>
      </c>
      <c r="X1451" s="171">
        <v>57.800000000000004</v>
      </c>
      <c r="Y1451" s="171">
        <v>51.17</v>
      </c>
      <c r="Z1451" s="171">
        <v>51.85</v>
      </c>
      <c r="AA1451" s="171">
        <v>47.81</v>
      </c>
      <c r="AB1451" s="171">
        <v>92.88</v>
      </c>
      <c r="AC1451" s="171">
        <v>51.17</v>
      </c>
      <c r="AD1451" s="171">
        <v>48.95</v>
      </c>
      <c r="AF1451" s="171">
        <f t="shared" si="68"/>
        <v>2011</v>
      </c>
      <c r="AG1451" s="171">
        <f t="shared" si="69"/>
        <v>3</v>
      </c>
      <c r="AH1451" s="700">
        <f>SUMIF(D$3:$AA1451,"&lt;="&amp;$AH$1)/COUNTIF(D$3:$AA1451,"&lt;="&amp;$AH$1)</f>
        <v>30.532737001837024</v>
      </c>
    </row>
    <row r="1452" spans="2:34" x14ac:dyDescent="0.25">
      <c r="B1452" s="910">
        <v>40858</v>
      </c>
      <c r="C1452" s="581">
        <f t="shared" si="67"/>
        <v>11</v>
      </c>
      <c r="D1452" s="171">
        <v>48</v>
      </c>
      <c r="E1452" s="171">
        <v>45.11</v>
      </c>
      <c r="F1452" s="171">
        <v>42.25</v>
      </c>
      <c r="G1452" s="171">
        <v>40</v>
      </c>
      <c r="H1452" s="171">
        <v>39.57</v>
      </c>
      <c r="I1452" s="171">
        <v>41.35</v>
      </c>
      <c r="J1452" s="171">
        <v>47.480000000000004</v>
      </c>
      <c r="K1452" s="171">
        <v>56.97</v>
      </c>
      <c r="L1452" s="171">
        <v>56.17</v>
      </c>
      <c r="M1452" s="171">
        <v>54.61</v>
      </c>
      <c r="N1452" s="171">
        <v>52.52</v>
      </c>
      <c r="O1452" s="171">
        <v>52.480000000000004</v>
      </c>
      <c r="P1452" s="171">
        <v>53.02</v>
      </c>
      <c r="Q1452" s="171">
        <v>50.88</v>
      </c>
      <c r="R1452" s="171">
        <v>47.28</v>
      </c>
      <c r="S1452" s="171">
        <v>47.6</v>
      </c>
      <c r="T1452" s="171">
        <v>50.47</v>
      </c>
      <c r="U1452" s="171">
        <v>65.95</v>
      </c>
      <c r="V1452" s="171">
        <v>69.05</v>
      </c>
      <c r="W1452" s="171">
        <v>65.91</v>
      </c>
      <c r="X1452" s="171">
        <v>50.85</v>
      </c>
      <c r="Y1452" s="171">
        <v>49.15</v>
      </c>
      <c r="Z1452" s="171">
        <v>48.84</v>
      </c>
      <c r="AA1452" s="171">
        <v>46.44</v>
      </c>
      <c r="AB1452" s="171">
        <v>69.05</v>
      </c>
      <c r="AC1452" s="171">
        <v>47.28</v>
      </c>
      <c r="AD1452" s="171">
        <v>46.33</v>
      </c>
      <c r="AF1452" s="171">
        <f t="shared" si="68"/>
        <v>2011</v>
      </c>
      <c r="AG1452" s="171">
        <f t="shared" si="69"/>
        <v>4</v>
      </c>
      <c r="AH1452" s="700">
        <f>SUMIF(D$3:$AA1452,"&lt;="&amp;$AH$1)/COUNTIF(D$3:$AA1452,"&lt;="&amp;$AH$1)</f>
        <v>30.536013572854397</v>
      </c>
    </row>
    <row r="1453" spans="2:34" x14ac:dyDescent="0.25">
      <c r="B1453" s="910">
        <v>40861</v>
      </c>
      <c r="C1453" s="581">
        <f t="shared" si="67"/>
        <v>11</v>
      </c>
      <c r="D1453" s="171">
        <v>42.160000000000004</v>
      </c>
      <c r="E1453" s="171">
        <v>40.43</v>
      </c>
      <c r="F1453" s="171">
        <v>39.03</v>
      </c>
      <c r="G1453" s="171">
        <v>38.97</v>
      </c>
      <c r="H1453" s="171">
        <v>39.92</v>
      </c>
      <c r="I1453" s="171">
        <v>42.92</v>
      </c>
      <c r="J1453" s="171">
        <v>49.97</v>
      </c>
      <c r="K1453" s="171">
        <v>68.28</v>
      </c>
      <c r="L1453" s="171">
        <v>70.86</v>
      </c>
      <c r="M1453" s="171">
        <v>71.28</v>
      </c>
      <c r="N1453" s="171">
        <v>68.95</v>
      </c>
      <c r="O1453" s="171">
        <v>67.599999999999994</v>
      </c>
      <c r="P1453" s="171">
        <v>65.180000000000007</v>
      </c>
      <c r="Q1453" s="171">
        <v>64.930000000000007</v>
      </c>
      <c r="R1453" s="171">
        <v>62.54</v>
      </c>
      <c r="S1453" s="171">
        <v>61.870000000000005</v>
      </c>
      <c r="T1453" s="171">
        <v>67.540000000000006</v>
      </c>
      <c r="U1453" s="171">
        <v>99.960000000000008</v>
      </c>
      <c r="V1453" s="171">
        <v>99.990000000000009</v>
      </c>
      <c r="W1453" s="171">
        <v>79.97</v>
      </c>
      <c r="X1453" s="171">
        <v>68.92</v>
      </c>
      <c r="Y1453" s="171">
        <v>53.2</v>
      </c>
      <c r="Z1453" s="171">
        <v>50.160000000000004</v>
      </c>
      <c r="AA1453" s="171">
        <v>47.31</v>
      </c>
      <c r="AB1453" s="171">
        <v>99.990000000000009</v>
      </c>
      <c r="AC1453" s="171">
        <v>50.160000000000004</v>
      </c>
      <c r="AD1453" s="171">
        <v>48.44</v>
      </c>
      <c r="AF1453" s="171">
        <f t="shared" si="68"/>
        <v>2011</v>
      </c>
      <c r="AG1453" s="171">
        <f t="shared" si="69"/>
        <v>5</v>
      </c>
      <c r="AH1453" s="700">
        <f>SUMIF(D$3:$AA1453,"&lt;="&amp;$AH$1)/COUNTIF(D$3:$AA1453,"&lt;="&amp;$AH$1)</f>
        <v>30.539830806065545</v>
      </c>
    </row>
    <row r="1454" spans="2:34" x14ac:dyDescent="0.25">
      <c r="B1454" s="910">
        <v>40862</v>
      </c>
      <c r="C1454" s="581">
        <f t="shared" si="67"/>
        <v>11</v>
      </c>
      <c r="D1454" s="171">
        <v>47.480000000000004</v>
      </c>
      <c r="E1454" s="171">
        <v>44.03</v>
      </c>
      <c r="F1454" s="171">
        <v>42.09</v>
      </c>
      <c r="G1454" s="171">
        <v>41.54</v>
      </c>
      <c r="H1454" s="171">
        <v>42.09</v>
      </c>
      <c r="I1454" s="171">
        <v>43.910000000000004</v>
      </c>
      <c r="J1454" s="171">
        <v>52.51</v>
      </c>
      <c r="K1454" s="171">
        <v>72.989999999999995</v>
      </c>
      <c r="L1454" s="171">
        <v>71.41</v>
      </c>
      <c r="M1454" s="171">
        <v>68.34</v>
      </c>
      <c r="N1454" s="171">
        <v>67.69</v>
      </c>
      <c r="O1454" s="171">
        <v>66.08</v>
      </c>
      <c r="P1454" s="171">
        <v>65</v>
      </c>
      <c r="Q1454" s="171">
        <v>65.92</v>
      </c>
      <c r="R1454" s="171">
        <v>65.070000000000007</v>
      </c>
      <c r="S1454" s="171">
        <v>62.620000000000005</v>
      </c>
      <c r="T1454" s="171">
        <v>64.78</v>
      </c>
      <c r="U1454" s="171">
        <v>90.93</v>
      </c>
      <c r="V1454" s="171">
        <v>109.97</v>
      </c>
      <c r="W1454" s="171">
        <v>76.02</v>
      </c>
      <c r="X1454" s="171">
        <v>67.89</v>
      </c>
      <c r="Y1454" s="171">
        <v>52.7</v>
      </c>
      <c r="Z1454" s="171">
        <v>52.44</v>
      </c>
      <c r="AA1454" s="171">
        <v>49.35</v>
      </c>
      <c r="AB1454" s="171">
        <v>109.97</v>
      </c>
      <c r="AC1454" s="171">
        <v>52.44</v>
      </c>
      <c r="AD1454" s="171">
        <v>50.75</v>
      </c>
      <c r="AF1454" s="171">
        <f t="shared" si="68"/>
        <v>2011</v>
      </c>
      <c r="AG1454" s="171">
        <f t="shared" si="69"/>
        <v>3</v>
      </c>
      <c r="AH1454" s="700">
        <f>SUMIF(D$3:$AA1454,"&lt;="&amp;$AH$1)/COUNTIF(D$3:$AA1454,"&lt;="&amp;$AH$1)</f>
        <v>30.54255166360818</v>
      </c>
    </row>
    <row r="1455" spans="2:34" x14ac:dyDescent="0.25">
      <c r="B1455" s="910">
        <v>40863</v>
      </c>
      <c r="C1455" s="581">
        <f t="shared" si="67"/>
        <v>11</v>
      </c>
      <c r="D1455" s="171">
        <v>47.07</v>
      </c>
      <c r="E1455" s="171">
        <v>44.15</v>
      </c>
      <c r="F1455" s="171">
        <v>42.39</v>
      </c>
      <c r="G1455" s="171">
        <v>40.880000000000003</v>
      </c>
      <c r="H1455" s="171">
        <v>41.5</v>
      </c>
      <c r="I1455" s="171">
        <v>44.300000000000004</v>
      </c>
      <c r="J1455" s="171">
        <v>51.13</v>
      </c>
      <c r="K1455" s="171">
        <v>68.540000000000006</v>
      </c>
      <c r="L1455" s="171">
        <v>72.92</v>
      </c>
      <c r="M1455" s="171">
        <v>72.42</v>
      </c>
      <c r="N1455" s="171">
        <v>70.650000000000006</v>
      </c>
      <c r="O1455" s="171">
        <v>71.040000000000006</v>
      </c>
      <c r="P1455" s="171">
        <v>67.260000000000005</v>
      </c>
      <c r="Q1455" s="171">
        <v>66.040000000000006</v>
      </c>
      <c r="R1455" s="171">
        <v>61.52</v>
      </c>
      <c r="S1455" s="171">
        <v>64.05</v>
      </c>
      <c r="T1455" s="171">
        <v>70</v>
      </c>
      <c r="U1455" s="171">
        <v>90.31</v>
      </c>
      <c r="V1455" s="171">
        <v>110.92</v>
      </c>
      <c r="W1455" s="171">
        <v>76.930000000000007</v>
      </c>
      <c r="X1455" s="171">
        <v>66.77</v>
      </c>
      <c r="Y1455" s="171">
        <v>50.38</v>
      </c>
      <c r="Z1455" s="171">
        <v>47.57</v>
      </c>
      <c r="AA1455" s="171">
        <v>43.93</v>
      </c>
      <c r="AB1455" s="171">
        <v>110.92</v>
      </c>
      <c r="AC1455" s="171">
        <v>47.57</v>
      </c>
      <c r="AD1455" s="171">
        <v>49.050000000000004</v>
      </c>
      <c r="AF1455" s="171">
        <f t="shared" si="68"/>
        <v>2011</v>
      </c>
      <c r="AG1455" s="171">
        <f t="shared" si="69"/>
        <v>3</v>
      </c>
      <c r="AH1455" s="700">
        <f>SUMIF(D$3:$AA1455,"&lt;="&amp;$AH$1)/COUNTIF(D$3:$AA1455,"&lt;="&amp;$AH$1)</f>
        <v>30.545195437141142</v>
      </c>
    </row>
    <row r="1456" spans="2:34" x14ac:dyDescent="0.25">
      <c r="B1456" s="910">
        <v>40864</v>
      </c>
      <c r="C1456" s="581">
        <f t="shared" si="67"/>
        <v>11</v>
      </c>
      <c r="D1456" s="171">
        <v>46.06</v>
      </c>
      <c r="E1456" s="171">
        <v>43.08</v>
      </c>
      <c r="F1456" s="171">
        <v>42.46</v>
      </c>
      <c r="G1456" s="171">
        <v>42.27</v>
      </c>
      <c r="H1456" s="171">
        <v>42.95</v>
      </c>
      <c r="I1456" s="171">
        <v>43.92</v>
      </c>
      <c r="J1456" s="171">
        <v>49.02</v>
      </c>
      <c r="K1456" s="171">
        <v>66.09</v>
      </c>
      <c r="L1456" s="171">
        <v>69.570000000000007</v>
      </c>
      <c r="M1456" s="171">
        <v>70.53</v>
      </c>
      <c r="N1456" s="171">
        <v>72.52</v>
      </c>
      <c r="O1456" s="171">
        <v>72.97</v>
      </c>
      <c r="P1456" s="171">
        <v>69</v>
      </c>
      <c r="Q1456" s="171">
        <v>69</v>
      </c>
      <c r="R1456" s="171">
        <v>68</v>
      </c>
      <c r="S1456" s="171">
        <v>75.05</v>
      </c>
      <c r="T1456" s="171">
        <v>84.93</v>
      </c>
      <c r="U1456" s="171">
        <v>95.78</v>
      </c>
      <c r="V1456" s="171">
        <v>99.93</v>
      </c>
      <c r="W1456" s="171">
        <v>76.06</v>
      </c>
      <c r="X1456" s="171">
        <v>63.800000000000004</v>
      </c>
      <c r="Y1456" s="171">
        <v>53.4</v>
      </c>
      <c r="Z1456" s="171">
        <v>53.6</v>
      </c>
      <c r="AA1456" s="171">
        <v>47.160000000000004</v>
      </c>
      <c r="AB1456" s="171">
        <v>99.93</v>
      </c>
      <c r="AC1456" s="171">
        <v>53.4</v>
      </c>
      <c r="AD1456" s="171">
        <v>49.480000000000004</v>
      </c>
      <c r="AF1456" s="171">
        <f t="shared" si="68"/>
        <v>2011</v>
      </c>
      <c r="AG1456" s="171">
        <f t="shared" si="69"/>
        <v>2</v>
      </c>
      <c r="AH1456" s="700">
        <f>SUMIF(D$3:$AA1456,"&lt;="&amp;$AH$1)/COUNTIF(D$3:$AA1456,"&lt;="&amp;$AH$1)</f>
        <v>30.547080874142718</v>
      </c>
    </row>
    <row r="1457" spans="2:34" x14ac:dyDescent="0.25">
      <c r="B1457" s="910">
        <v>40865</v>
      </c>
      <c r="C1457" s="581">
        <f t="shared" si="67"/>
        <v>11</v>
      </c>
      <c r="D1457" s="171">
        <v>48.910000000000004</v>
      </c>
      <c r="E1457" s="171">
        <v>42.99</v>
      </c>
      <c r="F1457" s="171">
        <v>41.96</v>
      </c>
      <c r="G1457" s="171">
        <v>41.4</v>
      </c>
      <c r="H1457" s="171">
        <v>41.14</v>
      </c>
      <c r="I1457" s="171">
        <v>43.550000000000004</v>
      </c>
      <c r="J1457" s="171">
        <v>53.34</v>
      </c>
      <c r="K1457" s="171">
        <v>72.930000000000007</v>
      </c>
      <c r="L1457" s="171">
        <v>71.760000000000005</v>
      </c>
      <c r="M1457" s="171">
        <v>74.960000000000008</v>
      </c>
      <c r="N1457" s="171">
        <v>75.94</v>
      </c>
      <c r="O1457" s="171">
        <v>75.03</v>
      </c>
      <c r="P1457" s="171">
        <v>74.13</v>
      </c>
      <c r="Q1457" s="171">
        <v>68.680000000000007</v>
      </c>
      <c r="R1457" s="171">
        <v>63.050000000000004</v>
      </c>
      <c r="S1457" s="171">
        <v>60.09</v>
      </c>
      <c r="T1457" s="171">
        <v>63.190000000000005</v>
      </c>
      <c r="U1457" s="171">
        <v>80.83</v>
      </c>
      <c r="V1457" s="171">
        <v>87.72</v>
      </c>
      <c r="W1457" s="171">
        <v>74.25</v>
      </c>
      <c r="X1457" s="171">
        <v>62.660000000000004</v>
      </c>
      <c r="Y1457" s="171">
        <v>53.03</v>
      </c>
      <c r="Z1457" s="171">
        <v>56.18</v>
      </c>
      <c r="AA1457" s="171">
        <v>53.38</v>
      </c>
      <c r="AB1457" s="171">
        <v>87.72</v>
      </c>
      <c r="AC1457" s="171">
        <v>53.03</v>
      </c>
      <c r="AD1457" s="171">
        <v>50.96</v>
      </c>
      <c r="AF1457" s="171">
        <f t="shared" si="68"/>
        <v>2011</v>
      </c>
      <c r="AG1457" s="171">
        <f t="shared" si="69"/>
        <v>3</v>
      </c>
      <c r="AH1457" s="700">
        <f>SUMIF(D$3:$AA1457,"&lt;="&amp;$AH$1)/COUNTIF(D$3:$AA1457,"&lt;="&amp;$AH$1)</f>
        <v>30.549700980783147</v>
      </c>
    </row>
    <row r="1458" spans="2:34" x14ac:dyDescent="0.25">
      <c r="B1458" s="910">
        <v>40868</v>
      </c>
      <c r="C1458" s="581">
        <f t="shared" si="67"/>
        <v>11</v>
      </c>
      <c r="D1458" s="171">
        <v>49.370000000000005</v>
      </c>
      <c r="E1458" s="171">
        <v>44.19</v>
      </c>
      <c r="F1458" s="171">
        <v>42.050000000000004</v>
      </c>
      <c r="G1458" s="171">
        <v>39.869999999999997</v>
      </c>
      <c r="H1458" s="171">
        <v>40.04</v>
      </c>
      <c r="I1458" s="171">
        <v>43.09</v>
      </c>
      <c r="J1458" s="171">
        <v>57.26</v>
      </c>
      <c r="K1458" s="171">
        <v>75.02</v>
      </c>
      <c r="L1458" s="171">
        <v>75.22</v>
      </c>
      <c r="M1458" s="171">
        <v>71.61</v>
      </c>
      <c r="N1458" s="171">
        <v>70.040000000000006</v>
      </c>
      <c r="O1458" s="171">
        <v>69.989999999999995</v>
      </c>
      <c r="P1458" s="171">
        <v>70.010000000000005</v>
      </c>
      <c r="Q1458" s="171">
        <v>70.94</v>
      </c>
      <c r="R1458" s="171">
        <v>69.570000000000007</v>
      </c>
      <c r="S1458" s="171">
        <v>66.17</v>
      </c>
      <c r="T1458" s="171">
        <v>66.73</v>
      </c>
      <c r="U1458" s="171">
        <v>86.210000000000008</v>
      </c>
      <c r="V1458" s="171">
        <v>109.26</v>
      </c>
      <c r="W1458" s="171">
        <v>79.09</v>
      </c>
      <c r="X1458" s="171">
        <v>69.930000000000007</v>
      </c>
      <c r="Y1458" s="171">
        <v>55.57</v>
      </c>
      <c r="Z1458" s="171">
        <v>54.72</v>
      </c>
      <c r="AA1458" s="171">
        <v>50.67</v>
      </c>
      <c r="AB1458" s="171">
        <v>109.26</v>
      </c>
      <c r="AC1458" s="171">
        <v>54.72</v>
      </c>
      <c r="AD1458" s="171">
        <v>51.81</v>
      </c>
      <c r="AF1458" s="171">
        <f t="shared" si="68"/>
        <v>2011</v>
      </c>
      <c r="AG1458" s="171">
        <f t="shared" si="69"/>
        <v>3</v>
      </c>
      <c r="AH1458" s="700">
        <f>SUMIF(D$3:$AA1458,"&lt;="&amp;$AH$1)/COUNTIF(D$3:$AA1458,"&lt;="&amp;$AH$1)</f>
        <v>30.552117346938889</v>
      </c>
    </row>
    <row r="1459" spans="2:34" x14ac:dyDescent="0.25">
      <c r="B1459" s="910">
        <v>40869</v>
      </c>
      <c r="C1459" s="581">
        <f t="shared" si="67"/>
        <v>11</v>
      </c>
      <c r="D1459" s="171">
        <v>44.95</v>
      </c>
      <c r="E1459" s="171">
        <v>41.95</v>
      </c>
      <c r="F1459" s="171">
        <v>41.65</v>
      </c>
      <c r="G1459" s="171">
        <v>40.5</v>
      </c>
      <c r="H1459" s="171">
        <v>40.5</v>
      </c>
      <c r="I1459" s="171">
        <v>44.730000000000004</v>
      </c>
      <c r="J1459" s="171">
        <v>53.28</v>
      </c>
      <c r="K1459" s="171">
        <v>72.31</v>
      </c>
      <c r="L1459" s="171">
        <v>75.97</v>
      </c>
      <c r="M1459" s="171">
        <v>76.960000000000008</v>
      </c>
      <c r="N1459" s="171">
        <v>75</v>
      </c>
      <c r="O1459" s="171">
        <v>72.239999999999995</v>
      </c>
      <c r="P1459" s="171">
        <v>71.290000000000006</v>
      </c>
      <c r="Q1459" s="171">
        <v>68.930000000000007</v>
      </c>
      <c r="R1459" s="171">
        <v>66.09</v>
      </c>
      <c r="S1459" s="171">
        <v>65.13</v>
      </c>
      <c r="T1459" s="171">
        <v>69.98</v>
      </c>
      <c r="U1459" s="171">
        <v>90</v>
      </c>
      <c r="V1459" s="171">
        <v>107.83</v>
      </c>
      <c r="W1459" s="171">
        <v>80.92</v>
      </c>
      <c r="X1459" s="171">
        <v>70.08</v>
      </c>
      <c r="Y1459" s="171">
        <v>59.71</v>
      </c>
      <c r="Z1459" s="171">
        <v>54.36</v>
      </c>
      <c r="AA1459" s="171">
        <v>49</v>
      </c>
      <c r="AB1459" s="171">
        <v>107.83</v>
      </c>
      <c r="AC1459" s="171">
        <v>54.36</v>
      </c>
      <c r="AD1459" s="171">
        <v>51.08</v>
      </c>
      <c r="AF1459" s="171">
        <f t="shared" si="68"/>
        <v>2011</v>
      </c>
      <c r="AG1459" s="171">
        <f t="shared" si="69"/>
        <v>4</v>
      </c>
      <c r="AH1459" s="700">
        <f>SUMIF(D$3:$AA1459,"&lt;="&amp;$AH$1)/COUNTIF(D$3:$AA1459,"&lt;="&amp;$AH$1)</f>
        <v>30.555495696525458</v>
      </c>
    </row>
    <row r="1460" spans="2:34" x14ac:dyDescent="0.25">
      <c r="B1460" s="910">
        <v>40870</v>
      </c>
      <c r="C1460" s="581">
        <f t="shared" si="67"/>
        <v>11</v>
      </c>
      <c r="D1460" s="171">
        <v>48.2</v>
      </c>
      <c r="E1460" s="171">
        <v>48.33</v>
      </c>
      <c r="F1460" s="171">
        <v>45.33</v>
      </c>
      <c r="G1460" s="171">
        <v>42.77</v>
      </c>
      <c r="H1460" s="171">
        <v>42.12</v>
      </c>
      <c r="I1460" s="171">
        <v>43.9</v>
      </c>
      <c r="J1460" s="171">
        <v>57.32</v>
      </c>
      <c r="K1460" s="171">
        <v>76.540000000000006</v>
      </c>
      <c r="L1460" s="171">
        <v>77.03</v>
      </c>
      <c r="M1460" s="171">
        <v>75.55</v>
      </c>
      <c r="N1460" s="171">
        <v>74.25</v>
      </c>
      <c r="O1460" s="171">
        <v>73.89</v>
      </c>
      <c r="P1460" s="171">
        <v>72</v>
      </c>
      <c r="Q1460" s="171">
        <v>70.59</v>
      </c>
      <c r="R1460" s="171">
        <v>69.09</v>
      </c>
      <c r="S1460" s="171">
        <v>69.94</v>
      </c>
      <c r="T1460" s="171">
        <v>71.5</v>
      </c>
      <c r="U1460" s="171">
        <v>89.27</v>
      </c>
      <c r="V1460" s="171">
        <v>104.01</v>
      </c>
      <c r="W1460" s="171">
        <v>76.19</v>
      </c>
      <c r="X1460" s="171">
        <v>67.180000000000007</v>
      </c>
      <c r="Y1460" s="171">
        <v>56.18</v>
      </c>
      <c r="Z1460" s="171">
        <v>58.24</v>
      </c>
      <c r="AA1460" s="171">
        <v>51.43</v>
      </c>
      <c r="AB1460" s="171">
        <v>104.01</v>
      </c>
      <c r="AC1460" s="171">
        <v>56.18</v>
      </c>
      <c r="AD1460" s="171">
        <v>53.13</v>
      </c>
      <c r="AF1460" s="171">
        <f t="shared" si="68"/>
        <v>2011</v>
      </c>
      <c r="AG1460" s="171">
        <f t="shared" si="69"/>
        <v>1</v>
      </c>
      <c r="AH1460" s="700">
        <f>SUMIF(D$3:$AA1460,"&lt;="&amp;$AH$1)/COUNTIF(D$3:$AA1460,"&lt;="&amp;$AH$1)</f>
        <v>30.556417244402059</v>
      </c>
    </row>
    <row r="1461" spans="2:34" x14ac:dyDescent="0.25">
      <c r="B1461" s="910">
        <v>40871</v>
      </c>
      <c r="C1461" s="581">
        <f t="shared" si="67"/>
        <v>11</v>
      </c>
      <c r="D1461" s="171">
        <v>49.4</v>
      </c>
      <c r="E1461" s="171">
        <v>42.980000000000004</v>
      </c>
      <c r="F1461" s="171">
        <v>41.97</v>
      </c>
      <c r="G1461" s="171">
        <v>41.1</v>
      </c>
      <c r="H1461" s="171">
        <v>41.26</v>
      </c>
      <c r="I1461" s="171">
        <v>43.800000000000004</v>
      </c>
      <c r="J1461" s="171">
        <v>50.92</v>
      </c>
      <c r="K1461" s="171">
        <v>67.19</v>
      </c>
      <c r="L1461" s="171">
        <v>70</v>
      </c>
      <c r="M1461" s="171">
        <v>70.03</v>
      </c>
      <c r="N1461" s="171">
        <v>69.570000000000007</v>
      </c>
      <c r="O1461" s="171">
        <v>67.570000000000007</v>
      </c>
      <c r="P1461" s="171">
        <v>66.77</v>
      </c>
      <c r="Q1461" s="171">
        <v>66.460000000000008</v>
      </c>
      <c r="R1461" s="171">
        <v>66.05</v>
      </c>
      <c r="S1461" s="171">
        <v>66.260000000000005</v>
      </c>
      <c r="T1461" s="171">
        <v>63.84</v>
      </c>
      <c r="U1461" s="171">
        <v>82.850000000000009</v>
      </c>
      <c r="V1461" s="171">
        <v>91.69</v>
      </c>
      <c r="W1461" s="171">
        <v>73.930000000000007</v>
      </c>
      <c r="X1461" s="171">
        <v>68.070000000000007</v>
      </c>
      <c r="Y1461" s="171">
        <v>55.980000000000004</v>
      </c>
      <c r="Z1461" s="171">
        <v>52.69</v>
      </c>
      <c r="AA1461" s="171">
        <v>48.910000000000004</v>
      </c>
      <c r="AB1461" s="171">
        <v>91.69</v>
      </c>
      <c r="AC1461" s="171">
        <v>52.69</v>
      </c>
      <c r="AD1461" s="171">
        <v>50.36</v>
      </c>
      <c r="AF1461" s="171">
        <f t="shared" si="68"/>
        <v>2011</v>
      </c>
      <c r="AG1461" s="171">
        <f t="shared" si="69"/>
        <v>3</v>
      </c>
      <c r="AH1461" s="700">
        <f>SUMIF(D$3:$AA1461,"&lt;="&amp;$AH$1)/COUNTIF(D$3:$AA1461,"&lt;="&amp;$AH$1)</f>
        <v>30.559019279796161</v>
      </c>
    </row>
    <row r="1462" spans="2:34" x14ac:dyDescent="0.25">
      <c r="B1462" s="910">
        <v>40872</v>
      </c>
      <c r="C1462" s="581">
        <f t="shared" si="67"/>
        <v>11</v>
      </c>
      <c r="D1462" s="171">
        <v>46.72</v>
      </c>
      <c r="E1462" s="171">
        <v>46.58</v>
      </c>
      <c r="F1462" s="171">
        <v>43.22</v>
      </c>
      <c r="G1462" s="171">
        <v>41.01</v>
      </c>
      <c r="H1462" s="171">
        <v>41.910000000000004</v>
      </c>
      <c r="I1462" s="171">
        <v>43.7</v>
      </c>
      <c r="J1462" s="171">
        <v>53.1</v>
      </c>
      <c r="K1462" s="171">
        <v>68.27</v>
      </c>
      <c r="L1462" s="171">
        <v>69.540000000000006</v>
      </c>
      <c r="M1462" s="171">
        <v>65.05</v>
      </c>
      <c r="N1462" s="171">
        <v>63.92</v>
      </c>
      <c r="O1462" s="171">
        <v>63.36</v>
      </c>
      <c r="P1462" s="171">
        <v>63.36</v>
      </c>
      <c r="Q1462" s="171">
        <v>62.5</v>
      </c>
      <c r="R1462" s="171">
        <v>57</v>
      </c>
      <c r="S1462" s="171">
        <v>56.19</v>
      </c>
      <c r="T1462" s="171">
        <v>58.22</v>
      </c>
      <c r="U1462" s="171">
        <v>73.02</v>
      </c>
      <c r="V1462" s="171">
        <v>72.38</v>
      </c>
      <c r="W1462" s="171">
        <v>63.96</v>
      </c>
      <c r="X1462" s="171">
        <v>51.51</v>
      </c>
      <c r="Y1462" s="171">
        <v>44.95</v>
      </c>
      <c r="Z1462" s="171">
        <v>44.910000000000004</v>
      </c>
      <c r="AA1462" s="171">
        <v>42.65</v>
      </c>
      <c r="AB1462" s="171">
        <v>73.02</v>
      </c>
      <c r="AC1462" s="171">
        <v>44.910000000000004</v>
      </c>
      <c r="AD1462" s="171">
        <v>47.38</v>
      </c>
      <c r="AF1462" s="171">
        <f t="shared" si="68"/>
        <v>2011</v>
      </c>
      <c r="AG1462" s="171">
        <f t="shared" si="69"/>
        <v>2</v>
      </c>
      <c r="AH1462" s="700">
        <f>SUMIF(D$3:$AA1462,"&lt;="&amp;$AH$1)/COUNTIF(D$3:$AA1462,"&lt;="&amp;$AH$1)</f>
        <v>30.560755934363659</v>
      </c>
    </row>
    <row r="1463" spans="2:34" x14ac:dyDescent="0.25">
      <c r="B1463" s="910">
        <v>40875</v>
      </c>
      <c r="C1463" s="581">
        <f t="shared" si="67"/>
        <v>11</v>
      </c>
      <c r="D1463" s="171">
        <v>47.44</v>
      </c>
      <c r="E1463" s="171">
        <v>45</v>
      </c>
      <c r="F1463" s="171">
        <v>37.94</v>
      </c>
      <c r="G1463" s="171">
        <v>36.82</v>
      </c>
      <c r="H1463" s="171">
        <v>37.97</v>
      </c>
      <c r="I1463" s="171">
        <v>41.03</v>
      </c>
      <c r="J1463" s="171">
        <v>54.44</v>
      </c>
      <c r="K1463" s="171">
        <v>74.94</v>
      </c>
      <c r="L1463" s="171">
        <v>74</v>
      </c>
      <c r="M1463" s="171">
        <v>70.31</v>
      </c>
      <c r="N1463" s="171">
        <v>68.8</v>
      </c>
      <c r="O1463" s="171">
        <v>67.97</v>
      </c>
      <c r="P1463" s="171">
        <v>66.02</v>
      </c>
      <c r="Q1463" s="171">
        <v>65.070000000000007</v>
      </c>
      <c r="R1463" s="171">
        <v>65.099999999999994</v>
      </c>
      <c r="S1463" s="171">
        <v>68.63</v>
      </c>
      <c r="T1463" s="171">
        <v>70.5</v>
      </c>
      <c r="U1463" s="171">
        <v>83</v>
      </c>
      <c r="V1463" s="171">
        <v>89.47</v>
      </c>
      <c r="W1463" s="171">
        <v>74.739999999999995</v>
      </c>
      <c r="X1463" s="171">
        <v>62.980000000000004</v>
      </c>
      <c r="Y1463" s="171">
        <v>59.58</v>
      </c>
      <c r="Z1463" s="171">
        <v>51.300000000000004</v>
      </c>
      <c r="AA1463" s="171">
        <v>43.980000000000004</v>
      </c>
      <c r="AB1463" s="171">
        <v>89.47</v>
      </c>
      <c r="AC1463" s="171">
        <v>51.300000000000004</v>
      </c>
      <c r="AD1463" s="171">
        <v>49.45</v>
      </c>
      <c r="AF1463" s="171">
        <f t="shared" si="68"/>
        <v>2011</v>
      </c>
      <c r="AG1463" s="171">
        <f t="shared" si="69"/>
        <v>4</v>
      </c>
      <c r="AH1463" s="700">
        <f>SUMIF(D$3:$AA1463,"&lt;="&amp;$AH$1)/COUNTIF(D$3:$AA1463,"&lt;="&amp;$AH$1)</f>
        <v>30.563265647396193</v>
      </c>
    </row>
    <row r="1464" spans="2:34" x14ac:dyDescent="0.25">
      <c r="B1464" s="910">
        <v>40876</v>
      </c>
      <c r="C1464" s="581">
        <f t="shared" si="67"/>
        <v>11</v>
      </c>
      <c r="D1464" s="171">
        <v>45</v>
      </c>
      <c r="E1464" s="171">
        <v>43.29</v>
      </c>
      <c r="F1464" s="171">
        <v>42.660000000000004</v>
      </c>
      <c r="G1464" s="171">
        <v>41.01</v>
      </c>
      <c r="H1464" s="171">
        <v>41.15</v>
      </c>
      <c r="I1464" s="171">
        <v>42.62</v>
      </c>
      <c r="J1464" s="171">
        <v>51.78</v>
      </c>
      <c r="K1464" s="171">
        <v>69.52</v>
      </c>
      <c r="L1464" s="171">
        <v>68.08</v>
      </c>
      <c r="M1464" s="171">
        <v>66</v>
      </c>
      <c r="N1464" s="171">
        <v>63.800000000000004</v>
      </c>
      <c r="O1464" s="171">
        <v>65.010000000000005</v>
      </c>
      <c r="P1464" s="171">
        <v>65.88</v>
      </c>
      <c r="Q1464" s="171">
        <v>61.28</v>
      </c>
      <c r="R1464" s="171">
        <v>56.21</v>
      </c>
      <c r="S1464" s="171">
        <v>53.49</v>
      </c>
      <c r="T1464" s="171">
        <v>58.57</v>
      </c>
      <c r="U1464" s="171">
        <v>72.8</v>
      </c>
      <c r="V1464" s="171">
        <v>75</v>
      </c>
      <c r="W1464" s="171">
        <v>66.010000000000005</v>
      </c>
      <c r="X1464" s="171">
        <v>52.910000000000004</v>
      </c>
      <c r="Y1464" s="171">
        <v>48.43</v>
      </c>
      <c r="Z1464" s="171">
        <v>48.09</v>
      </c>
      <c r="AA1464" s="171">
        <v>43.96</v>
      </c>
      <c r="AB1464" s="171">
        <v>75</v>
      </c>
      <c r="AC1464" s="171">
        <v>48.09</v>
      </c>
      <c r="AD1464" s="171">
        <v>47.53</v>
      </c>
      <c r="AF1464" s="171">
        <f t="shared" si="68"/>
        <v>2011</v>
      </c>
      <c r="AG1464" s="171">
        <f t="shared" si="69"/>
        <v>2</v>
      </c>
      <c r="AH1464" s="700">
        <f>SUMIF(D$3:$AA1464,"&lt;="&amp;$AH$1)/COUNTIF(D$3:$AA1464,"&lt;="&amp;$AH$1)</f>
        <v>30.564940286624317</v>
      </c>
    </row>
    <row r="1465" spans="2:34" x14ac:dyDescent="0.25">
      <c r="B1465" s="910">
        <v>40877</v>
      </c>
      <c r="C1465" s="581">
        <f t="shared" si="67"/>
        <v>11</v>
      </c>
      <c r="D1465" s="171">
        <v>40.72</v>
      </c>
      <c r="E1465" s="171">
        <v>38.450000000000003</v>
      </c>
      <c r="F1465" s="171">
        <v>38.300000000000004</v>
      </c>
      <c r="G1465" s="171">
        <v>34.26</v>
      </c>
      <c r="H1465" s="171">
        <v>36.17</v>
      </c>
      <c r="I1465" s="171">
        <v>41.65</v>
      </c>
      <c r="J1465" s="171">
        <v>46.47</v>
      </c>
      <c r="K1465" s="171">
        <v>53.64</v>
      </c>
      <c r="L1465" s="171">
        <v>58.7</v>
      </c>
      <c r="M1465" s="171">
        <v>61.19</v>
      </c>
      <c r="N1465" s="171">
        <v>62.690000000000005</v>
      </c>
      <c r="O1465" s="171">
        <v>67.08</v>
      </c>
      <c r="P1465" s="171">
        <v>67.55</v>
      </c>
      <c r="Q1465" s="171">
        <v>66.09</v>
      </c>
      <c r="R1465" s="171">
        <v>64.95</v>
      </c>
      <c r="S1465" s="171">
        <v>66.03</v>
      </c>
      <c r="T1465" s="171">
        <v>66.19</v>
      </c>
      <c r="U1465" s="171">
        <v>88.710000000000008</v>
      </c>
      <c r="V1465" s="171">
        <v>104.41</v>
      </c>
      <c r="W1465" s="171">
        <v>69.930000000000007</v>
      </c>
      <c r="X1465" s="171">
        <v>61.78</v>
      </c>
      <c r="Y1465" s="171">
        <v>52.910000000000004</v>
      </c>
      <c r="Z1465" s="171">
        <v>49.7</v>
      </c>
      <c r="AA1465" s="171">
        <v>46.47</v>
      </c>
      <c r="AB1465" s="171">
        <v>104.41</v>
      </c>
      <c r="AC1465" s="171">
        <v>49.7</v>
      </c>
      <c r="AD1465" s="171">
        <v>45.04</v>
      </c>
      <c r="AF1465" s="171">
        <f t="shared" si="68"/>
        <v>2011</v>
      </c>
      <c r="AG1465" s="171">
        <f t="shared" si="69"/>
        <v>6</v>
      </c>
      <c r="AH1465" s="700">
        <f>SUMIF(D$3:$AA1465,"&lt;="&amp;$AH$1)/COUNTIF(D$3:$AA1465,"&lt;="&amp;$AH$1)</f>
        <v>30.568613719560833</v>
      </c>
    </row>
    <row r="1466" spans="2:34" x14ac:dyDescent="0.25">
      <c r="B1466" s="910">
        <v>40878</v>
      </c>
      <c r="C1466" s="581">
        <f t="shared" si="67"/>
        <v>12</v>
      </c>
      <c r="D1466" s="171">
        <v>45.5</v>
      </c>
      <c r="E1466" s="171">
        <v>42.57</v>
      </c>
      <c r="F1466" s="171">
        <v>41.27</v>
      </c>
      <c r="G1466" s="171">
        <v>34.46</v>
      </c>
      <c r="H1466" s="171">
        <v>33.04</v>
      </c>
      <c r="I1466" s="171">
        <v>40.28</v>
      </c>
      <c r="J1466" s="171">
        <v>49.29</v>
      </c>
      <c r="K1466" s="171">
        <v>60.99</v>
      </c>
      <c r="L1466" s="171">
        <v>60.84</v>
      </c>
      <c r="M1466" s="171">
        <v>57.43</v>
      </c>
      <c r="N1466" s="171">
        <v>54.19</v>
      </c>
      <c r="O1466" s="171">
        <v>55.26</v>
      </c>
      <c r="P1466" s="171">
        <v>51.85</v>
      </c>
      <c r="Q1466" s="171">
        <v>52.39</v>
      </c>
      <c r="R1466" s="171">
        <v>53.81</v>
      </c>
      <c r="S1466" s="171">
        <v>53.79</v>
      </c>
      <c r="T1466" s="171">
        <v>58.5</v>
      </c>
      <c r="U1466" s="171">
        <v>71.95</v>
      </c>
      <c r="V1466" s="171">
        <v>75.39</v>
      </c>
      <c r="W1466" s="171">
        <v>65.73</v>
      </c>
      <c r="X1466" s="171">
        <v>60</v>
      </c>
      <c r="Y1466" s="171">
        <v>51.08</v>
      </c>
      <c r="Z1466" s="171">
        <v>50.68</v>
      </c>
      <c r="AA1466" s="171">
        <v>45.97</v>
      </c>
      <c r="AB1466" s="171">
        <v>75.39</v>
      </c>
      <c r="AC1466" s="171">
        <v>50.68</v>
      </c>
      <c r="AD1466" s="171">
        <v>46.26</v>
      </c>
      <c r="AF1466" s="171">
        <f t="shared" si="68"/>
        <v>2011</v>
      </c>
      <c r="AG1466" s="171">
        <f t="shared" si="69"/>
        <v>4</v>
      </c>
      <c r="AH1466" s="700">
        <f>SUMIF(D$3:$AA1466,"&lt;="&amp;$AH$1)/COUNTIF(D$3:$AA1466,"&lt;="&amp;$AH$1)</f>
        <v>30.570743834526766</v>
      </c>
    </row>
    <row r="1467" spans="2:34" x14ac:dyDescent="0.25">
      <c r="B1467" s="910">
        <v>40879</v>
      </c>
      <c r="C1467" s="581">
        <f t="shared" si="67"/>
        <v>12</v>
      </c>
      <c r="D1467" s="171">
        <v>43.480000000000004</v>
      </c>
      <c r="E1467" s="171">
        <v>40.04</v>
      </c>
      <c r="F1467" s="171">
        <v>37.410000000000004</v>
      </c>
      <c r="G1467" s="171">
        <v>34.800000000000004</v>
      </c>
      <c r="H1467" s="171">
        <v>36.369999999999997</v>
      </c>
      <c r="I1467" s="171">
        <v>37.25</v>
      </c>
      <c r="J1467" s="171">
        <v>44.52</v>
      </c>
      <c r="K1467" s="171">
        <v>53.18</v>
      </c>
      <c r="L1467" s="171">
        <v>57.09</v>
      </c>
      <c r="M1467" s="171">
        <v>58.94</v>
      </c>
      <c r="N1467" s="171">
        <v>60.93</v>
      </c>
      <c r="O1467" s="171">
        <v>60.99</v>
      </c>
      <c r="P1467" s="171">
        <v>60.980000000000004</v>
      </c>
      <c r="Q1467" s="171">
        <v>57.050000000000004</v>
      </c>
      <c r="R1467" s="171">
        <v>54.03</v>
      </c>
      <c r="S1467" s="171">
        <v>53.68</v>
      </c>
      <c r="T1467" s="171">
        <v>56.26</v>
      </c>
      <c r="U1467" s="171">
        <v>73.63</v>
      </c>
      <c r="V1467" s="171">
        <v>75.400000000000006</v>
      </c>
      <c r="W1467" s="171">
        <v>65.989999999999995</v>
      </c>
      <c r="X1467" s="171">
        <v>59.24</v>
      </c>
      <c r="Y1467" s="171">
        <v>50.61</v>
      </c>
      <c r="Z1467" s="171">
        <v>51.47</v>
      </c>
      <c r="AA1467" s="171">
        <v>49.050000000000004</v>
      </c>
      <c r="AB1467" s="171">
        <v>75.400000000000006</v>
      </c>
      <c r="AC1467" s="171">
        <v>50.61</v>
      </c>
      <c r="AD1467" s="171">
        <v>44.78</v>
      </c>
      <c r="AF1467" s="171">
        <f t="shared" si="68"/>
        <v>2011</v>
      </c>
      <c r="AG1467" s="171">
        <f t="shared" si="69"/>
        <v>5</v>
      </c>
      <c r="AH1467" s="700">
        <f>SUMIF(D$3:$AA1467,"&lt;="&amp;$AH$1)/COUNTIF(D$3:$AA1467,"&lt;="&amp;$AH$1)</f>
        <v>30.573369383697923</v>
      </c>
    </row>
    <row r="1468" spans="2:34" x14ac:dyDescent="0.25">
      <c r="B1468" s="910">
        <v>40882</v>
      </c>
      <c r="C1468" s="581">
        <f t="shared" si="67"/>
        <v>12</v>
      </c>
      <c r="D1468" s="171">
        <v>38.08</v>
      </c>
      <c r="E1468" s="171">
        <v>34.14</v>
      </c>
      <c r="F1468" s="171">
        <v>27.060000000000002</v>
      </c>
      <c r="G1468" s="171">
        <v>20.04</v>
      </c>
      <c r="H1468" s="171">
        <v>22.09</v>
      </c>
      <c r="I1468" s="171">
        <v>31.37</v>
      </c>
      <c r="J1468" s="171">
        <v>42.43</v>
      </c>
      <c r="K1468" s="171">
        <v>54.35</v>
      </c>
      <c r="L1468" s="171">
        <v>58.230000000000004</v>
      </c>
      <c r="M1468" s="171">
        <v>56.2</v>
      </c>
      <c r="N1468" s="171">
        <v>53.63</v>
      </c>
      <c r="O1468" s="171">
        <v>51.94</v>
      </c>
      <c r="P1468" s="171">
        <v>51.27</v>
      </c>
      <c r="Q1468" s="171">
        <v>47.99</v>
      </c>
      <c r="R1468" s="171">
        <v>46.61</v>
      </c>
      <c r="S1468" s="171">
        <v>50.230000000000004</v>
      </c>
      <c r="T1468" s="171">
        <v>54</v>
      </c>
      <c r="U1468" s="171">
        <v>63.86</v>
      </c>
      <c r="V1468" s="171">
        <v>64.52</v>
      </c>
      <c r="W1468" s="171">
        <v>56.370000000000005</v>
      </c>
      <c r="X1468" s="171">
        <v>49.730000000000004</v>
      </c>
      <c r="Y1468" s="171">
        <v>45.050000000000004</v>
      </c>
      <c r="Z1468" s="171">
        <v>45.01</v>
      </c>
      <c r="AA1468" s="171">
        <v>40.94</v>
      </c>
      <c r="AB1468" s="171">
        <v>64.52</v>
      </c>
      <c r="AC1468" s="171">
        <v>45.01</v>
      </c>
      <c r="AD1468" s="171">
        <v>37.520000000000003</v>
      </c>
      <c r="AF1468" s="171">
        <f t="shared" si="68"/>
        <v>2011</v>
      </c>
      <c r="AG1468" s="171">
        <f t="shared" si="69"/>
        <v>8</v>
      </c>
      <c r="AH1468" s="700">
        <f>SUMIF(D$3:$AA1468,"&lt;="&amp;$AH$1)/COUNTIF(D$3:$AA1468,"&lt;="&amp;$AH$1)</f>
        <v>30.574288325518669</v>
      </c>
    </row>
    <row r="1469" spans="2:34" x14ac:dyDescent="0.25">
      <c r="B1469" s="910">
        <v>40883</v>
      </c>
      <c r="C1469" s="581">
        <f t="shared" si="67"/>
        <v>12</v>
      </c>
      <c r="D1469" s="171">
        <v>41</v>
      </c>
      <c r="E1469" s="171">
        <v>39.33</v>
      </c>
      <c r="F1469" s="171">
        <v>36.4</v>
      </c>
      <c r="G1469" s="171">
        <v>34.78</v>
      </c>
      <c r="H1469" s="171">
        <v>34.92</v>
      </c>
      <c r="I1469" s="171">
        <v>40.94</v>
      </c>
      <c r="J1469" s="171">
        <v>47.25</v>
      </c>
      <c r="K1469" s="171">
        <v>56.19</v>
      </c>
      <c r="L1469" s="171">
        <v>56.49</v>
      </c>
      <c r="M1469" s="171">
        <v>55.86</v>
      </c>
      <c r="N1469" s="171">
        <v>55.94</v>
      </c>
      <c r="O1469" s="171">
        <v>55.01</v>
      </c>
      <c r="P1469" s="171">
        <v>54.230000000000004</v>
      </c>
      <c r="Q1469" s="171">
        <v>54.120000000000005</v>
      </c>
      <c r="R1469" s="171">
        <v>52.980000000000004</v>
      </c>
      <c r="S1469" s="171">
        <v>52.52</v>
      </c>
      <c r="T1469" s="171">
        <v>53.2</v>
      </c>
      <c r="U1469" s="171">
        <v>64.930000000000007</v>
      </c>
      <c r="V1469" s="171">
        <v>65.8</v>
      </c>
      <c r="W1469" s="171">
        <v>58.24</v>
      </c>
      <c r="X1469" s="171">
        <v>52.410000000000004</v>
      </c>
      <c r="Y1469" s="171">
        <v>44.93</v>
      </c>
      <c r="Z1469" s="171">
        <v>45.46</v>
      </c>
      <c r="AA1469" s="171">
        <v>41.94</v>
      </c>
      <c r="AB1469" s="171">
        <v>65.8</v>
      </c>
      <c r="AC1469" s="171">
        <v>44.93</v>
      </c>
      <c r="AD1469" s="171">
        <v>42.96</v>
      </c>
      <c r="AF1469" s="171">
        <f t="shared" si="68"/>
        <v>2011</v>
      </c>
      <c r="AG1469" s="171">
        <f t="shared" si="69"/>
        <v>7</v>
      </c>
      <c r="AH1469" s="700">
        <f>SUMIF(D$3:$AA1469,"&lt;="&amp;$AH$1)/COUNTIF(D$3:$AA1469,"&lt;="&amp;$AH$1)</f>
        <v>30.578679904686375</v>
      </c>
    </row>
    <row r="1470" spans="2:34" x14ac:dyDescent="0.25">
      <c r="B1470" s="910">
        <v>40884</v>
      </c>
      <c r="C1470" s="581">
        <f t="shared" si="67"/>
        <v>12</v>
      </c>
      <c r="D1470" s="171">
        <v>41.31</v>
      </c>
      <c r="E1470" s="171">
        <v>40.04</v>
      </c>
      <c r="F1470" s="171">
        <v>38.01</v>
      </c>
      <c r="G1470" s="171">
        <v>34.75</v>
      </c>
      <c r="H1470" s="171">
        <v>35</v>
      </c>
      <c r="I1470" s="171">
        <v>37.090000000000003</v>
      </c>
      <c r="J1470" s="171">
        <v>43.88</v>
      </c>
      <c r="K1470" s="171">
        <v>50.94</v>
      </c>
      <c r="L1470" s="171">
        <v>53.2</v>
      </c>
      <c r="M1470" s="171">
        <v>53.19</v>
      </c>
      <c r="N1470" s="171">
        <v>53.38</v>
      </c>
      <c r="O1470" s="171">
        <v>55.96</v>
      </c>
      <c r="P1470" s="171">
        <v>55.07</v>
      </c>
      <c r="Q1470" s="171">
        <v>51.81</v>
      </c>
      <c r="R1470" s="171">
        <v>49.870000000000005</v>
      </c>
      <c r="S1470" s="171">
        <v>48.5</v>
      </c>
      <c r="T1470" s="171">
        <v>50.72</v>
      </c>
      <c r="U1470" s="171">
        <v>59.68</v>
      </c>
      <c r="V1470" s="171">
        <v>61.19</v>
      </c>
      <c r="W1470" s="171">
        <v>56.18</v>
      </c>
      <c r="X1470" s="171">
        <v>51.14</v>
      </c>
      <c r="Y1470" s="171">
        <v>45.89</v>
      </c>
      <c r="Z1470" s="171">
        <v>46.54</v>
      </c>
      <c r="AA1470" s="171">
        <v>41.49</v>
      </c>
      <c r="AB1470" s="171">
        <v>61.19</v>
      </c>
      <c r="AC1470" s="171">
        <v>45.89</v>
      </c>
      <c r="AD1470" s="171">
        <v>42.17</v>
      </c>
      <c r="AF1470" s="171">
        <f t="shared" si="68"/>
        <v>2011</v>
      </c>
      <c r="AG1470" s="171">
        <f t="shared" si="69"/>
        <v>7</v>
      </c>
      <c r="AH1470" s="700">
        <f>SUMIF(D$3:$AA1470,"&lt;="&amp;$AH$1)/COUNTIF(D$3:$AA1470,"&lt;="&amp;$AH$1)</f>
        <v>30.582938001111494</v>
      </c>
    </row>
    <row r="1471" spans="2:34" x14ac:dyDescent="0.25">
      <c r="B1471" s="910">
        <v>40885</v>
      </c>
      <c r="C1471" s="581">
        <f t="shared" si="67"/>
        <v>12</v>
      </c>
      <c r="D1471" s="171">
        <v>37.74</v>
      </c>
      <c r="E1471" s="171">
        <v>36.64</v>
      </c>
      <c r="F1471" s="171">
        <v>33.56</v>
      </c>
      <c r="G1471" s="171">
        <v>31.34</v>
      </c>
      <c r="H1471" s="171">
        <v>34.19</v>
      </c>
      <c r="I1471" s="171">
        <v>36.980000000000004</v>
      </c>
      <c r="J1471" s="171">
        <v>45.18</v>
      </c>
      <c r="K1471" s="171">
        <v>55.01</v>
      </c>
      <c r="L1471" s="171">
        <v>55.39</v>
      </c>
      <c r="M1471" s="171">
        <v>55</v>
      </c>
      <c r="N1471" s="171">
        <v>55.51</v>
      </c>
      <c r="O1471" s="171">
        <v>53.95</v>
      </c>
      <c r="P1471" s="171">
        <v>54.74</v>
      </c>
      <c r="Q1471" s="171">
        <v>53.28</v>
      </c>
      <c r="R1471" s="171">
        <v>48.94</v>
      </c>
      <c r="S1471" s="171">
        <v>47.96</v>
      </c>
      <c r="T1471" s="171">
        <v>52.06</v>
      </c>
      <c r="U1471" s="171">
        <v>55.95</v>
      </c>
      <c r="V1471" s="171">
        <v>55.09</v>
      </c>
      <c r="W1471" s="171">
        <v>51.660000000000004</v>
      </c>
      <c r="X1471" s="171">
        <v>47.480000000000004</v>
      </c>
      <c r="Y1471" s="171">
        <v>43</v>
      </c>
      <c r="Z1471" s="171">
        <v>42</v>
      </c>
      <c r="AA1471" s="171">
        <v>40.01</v>
      </c>
      <c r="AB1471" s="171">
        <v>55.95</v>
      </c>
      <c r="AC1471" s="171">
        <v>42</v>
      </c>
      <c r="AD1471" s="171">
        <v>40.26</v>
      </c>
      <c r="AF1471" s="171">
        <f t="shared" si="68"/>
        <v>2011</v>
      </c>
      <c r="AG1471" s="171">
        <f t="shared" si="69"/>
        <v>8</v>
      </c>
      <c r="AH1471" s="700">
        <f>SUMIF(D$3:$AA1471,"&lt;="&amp;$AH$1)/COUNTIF(D$3:$AA1471,"&lt;="&amp;$AH$1)</f>
        <v>30.586729869099681</v>
      </c>
    </row>
    <row r="1472" spans="2:34" x14ac:dyDescent="0.25">
      <c r="B1472" s="910">
        <v>40886</v>
      </c>
      <c r="C1472" s="581">
        <f t="shared" si="67"/>
        <v>12</v>
      </c>
      <c r="D1472" s="171">
        <v>37.74</v>
      </c>
      <c r="E1472" s="171">
        <v>36.64</v>
      </c>
      <c r="F1472" s="171">
        <v>33.56</v>
      </c>
      <c r="G1472" s="171">
        <v>31.34</v>
      </c>
      <c r="H1472" s="171">
        <v>34.19</v>
      </c>
      <c r="I1472" s="171">
        <v>36.980000000000004</v>
      </c>
      <c r="J1472" s="171">
        <v>45.18</v>
      </c>
      <c r="K1472" s="171">
        <v>55.01</v>
      </c>
      <c r="L1472" s="171">
        <v>55.39</v>
      </c>
      <c r="M1472" s="171">
        <v>55</v>
      </c>
      <c r="N1472" s="171">
        <v>55.51</v>
      </c>
      <c r="O1472" s="171">
        <v>53.95</v>
      </c>
      <c r="P1472" s="171">
        <v>54.74</v>
      </c>
      <c r="Q1472" s="171">
        <v>53.28</v>
      </c>
      <c r="R1472" s="171">
        <v>48.94</v>
      </c>
      <c r="S1472" s="171">
        <v>47.96</v>
      </c>
      <c r="T1472" s="171">
        <v>52.06</v>
      </c>
      <c r="U1472" s="171">
        <v>55.95</v>
      </c>
      <c r="V1472" s="171">
        <v>55.09</v>
      </c>
      <c r="W1472" s="171">
        <v>51.660000000000004</v>
      </c>
      <c r="X1472" s="171">
        <v>47.480000000000004</v>
      </c>
      <c r="Y1472" s="171">
        <v>43</v>
      </c>
      <c r="Z1472" s="171">
        <v>42</v>
      </c>
      <c r="AA1472" s="171">
        <v>40.01</v>
      </c>
      <c r="AB1472" s="171">
        <v>55.95</v>
      </c>
      <c r="AC1472" s="171">
        <v>42</v>
      </c>
      <c r="AD1472" s="171">
        <v>40.26</v>
      </c>
      <c r="AF1472" s="171">
        <f t="shared" si="68"/>
        <v>2011</v>
      </c>
      <c r="AG1472" s="171">
        <f t="shared" si="69"/>
        <v>8</v>
      </c>
      <c r="AH1472" s="700">
        <f>SUMIF(D$3:$AA1472,"&lt;="&amp;$AH$1)/COUNTIF(D$3:$AA1472,"&lt;="&amp;$AH$1)</f>
        <v>30.590516926980222</v>
      </c>
    </row>
    <row r="1473" spans="2:34" x14ac:dyDescent="0.25">
      <c r="B1473" s="910">
        <v>40889</v>
      </c>
      <c r="C1473" s="581">
        <f t="shared" si="67"/>
        <v>12</v>
      </c>
      <c r="D1473" s="171">
        <v>39.67</v>
      </c>
      <c r="E1473" s="171">
        <v>36.93</v>
      </c>
      <c r="F1473" s="171">
        <v>33.94</v>
      </c>
      <c r="G1473" s="171">
        <v>31.03</v>
      </c>
      <c r="H1473" s="171">
        <v>32.11</v>
      </c>
      <c r="I1473" s="171">
        <v>35.590000000000003</v>
      </c>
      <c r="J1473" s="171">
        <v>45</v>
      </c>
      <c r="K1473" s="171">
        <v>58.660000000000004</v>
      </c>
      <c r="L1473" s="171">
        <v>57.02</v>
      </c>
      <c r="M1473" s="171">
        <v>54.660000000000004</v>
      </c>
      <c r="N1473" s="171">
        <v>55.480000000000004</v>
      </c>
      <c r="O1473" s="171">
        <v>57.9</v>
      </c>
      <c r="P1473" s="171">
        <v>58.96</v>
      </c>
      <c r="Q1473" s="171">
        <v>55.39</v>
      </c>
      <c r="R1473" s="171">
        <v>54.63</v>
      </c>
      <c r="S1473" s="171">
        <v>50.95</v>
      </c>
      <c r="T1473" s="171">
        <v>50.83</v>
      </c>
      <c r="U1473" s="171">
        <v>63.01</v>
      </c>
      <c r="V1473" s="171">
        <v>66.55</v>
      </c>
      <c r="W1473" s="171">
        <v>61.51</v>
      </c>
      <c r="X1473" s="171">
        <v>53.19</v>
      </c>
      <c r="Y1473" s="171">
        <v>46.89</v>
      </c>
      <c r="Z1473" s="171">
        <v>48</v>
      </c>
      <c r="AA1473" s="171">
        <v>44.12</v>
      </c>
      <c r="AB1473" s="171">
        <v>66.55</v>
      </c>
      <c r="AC1473" s="171">
        <v>46.89</v>
      </c>
      <c r="AD1473" s="171">
        <v>42.09</v>
      </c>
      <c r="AF1473" s="171">
        <f t="shared" si="68"/>
        <v>2011</v>
      </c>
      <c r="AG1473" s="171">
        <f t="shared" si="69"/>
        <v>6</v>
      </c>
      <c r="AH1473" s="700">
        <f>SUMIF(D$3:$AA1473,"&lt;="&amp;$AH$1)/COUNTIF(D$3:$AA1473,"&lt;="&amp;$AH$1)</f>
        <v>30.592555670021518</v>
      </c>
    </row>
    <row r="1474" spans="2:34" x14ac:dyDescent="0.25">
      <c r="B1474" s="910">
        <v>40890</v>
      </c>
      <c r="C1474" s="581">
        <f t="shared" si="67"/>
        <v>12</v>
      </c>
      <c r="D1474" s="171">
        <v>39.300000000000004</v>
      </c>
      <c r="E1474" s="171">
        <v>36.19</v>
      </c>
      <c r="F1474" s="171">
        <v>32.47</v>
      </c>
      <c r="G1474" s="171">
        <v>28.810000000000002</v>
      </c>
      <c r="H1474" s="171">
        <v>27.150000000000002</v>
      </c>
      <c r="I1474" s="171">
        <v>33.69</v>
      </c>
      <c r="J1474" s="171">
        <v>39.94</v>
      </c>
      <c r="K1474" s="171">
        <v>52.24</v>
      </c>
      <c r="L1474" s="171">
        <v>51.39</v>
      </c>
      <c r="M1474" s="171">
        <v>52.29</v>
      </c>
      <c r="N1474" s="171">
        <v>50.45</v>
      </c>
      <c r="O1474" s="171">
        <v>50.31</v>
      </c>
      <c r="P1474" s="171">
        <v>50</v>
      </c>
      <c r="Q1474" s="171">
        <v>49.61</v>
      </c>
      <c r="R1474" s="171">
        <v>47.99</v>
      </c>
      <c r="S1474" s="171">
        <v>48</v>
      </c>
      <c r="T1474" s="171">
        <v>51.1</v>
      </c>
      <c r="U1474" s="171">
        <v>62.95</v>
      </c>
      <c r="V1474" s="171">
        <v>63</v>
      </c>
      <c r="W1474" s="171">
        <v>57.980000000000004</v>
      </c>
      <c r="X1474" s="171">
        <v>53.2</v>
      </c>
      <c r="Y1474" s="171">
        <v>47.35</v>
      </c>
      <c r="Z1474" s="171">
        <v>44.37</v>
      </c>
      <c r="AA1474" s="171">
        <v>39.58</v>
      </c>
      <c r="AB1474" s="171">
        <v>63</v>
      </c>
      <c r="AC1474" s="171">
        <v>44.37</v>
      </c>
      <c r="AD1474" s="171">
        <v>39.520000000000003</v>
      </c>
      <c r="AF1474" s="171">
        <f t="shared" si="68"/>
        <v>2011</v>
      </c>
      <c r="AG1474" s="171">
        <f t="shared" si="69"/>
        <v>8</v>
      </c>
      <c r="AH1474" s="700">
        <f>SUMIF(D$3:$AA1474,"&lt;="&amp;$AH$1)/COUNTIF(D$3:$AA1474,"&lt;="&amp;$AH$1)</f>
        <v>30.595120772946981</v>
      </c>
    </row>
    <row r="1475" spans="2:34" x14ac:dyDescent="0.25">
      <c r="B1475" s="910">
        <v>40891</v>
      </c>
      <c r="C1475" s="581">
        <f t="shared" si="67"/>
        <v>12</v>
      </c>
      <c r="D1475" s="171">
        <v>38.840000000000003</v>
      </c>
      <c r="E1475" s="171">
        <v>33.61</v>
      </c>
      <c r="F1475" s="171">
        <v>27.25</v>
      </c>
      <c r="G1475" s="171">
        <v>23.64</v>
      </c>
      <c r="H1475" s="171">
        <v>28.150000000000002</v>
      </c>
      <c r="I1475" s="171">
        <v>35.800000000000004</v>
      </c>
      <c r="J1475" s="171">
        <v>43.28</v>
      </c>
      <c r="K1475" s="171">
        <v>52.15</v>
      </c>
      <c r="L1475" s="171">
        <v>56.84</v>
      </c>
      <c r="M1475" s="171">
        <v>58.68</v>
      </c>
      <c r="N1475" s="171">
        <v>59.28</v>
      </c>
      <c r="O1475" s="171">
        <v>59.25</v>
      </c>
      <c r="P1475" s="171">
        <v>56.81</v>
      </c>
      <c r="Q1475" s="171">
        <v>52.13</v>
      </c>
      <c r="R1475" s="171">
        <v>48.5</v>
      </c>
      <c r="S1475" s="171">
        <v>48.85</v>
      </c>
      <c r="T1475" s="171">
        <v>50.08</v>
      </c>
      <c r="U1475" s="171">
        <v>61.27</v>
      </c>
      <c r="V1475" s="171">
        <v>56.910000000000004</v>
      </c>
      <c r="W1475" s="171">
        <v>50.410000000000004</v>
      </c>
      <c r="X1475" s="171">
        <v>44.2</v>
      </c>
      <c r="Y1475" s="171">
        <v>46.800000000000004</v>
      </c>
      <c r="Z1475" s="171">
        <v>43.17</v>
      </c>
      <c r="AA1475" s="171">
        <v>41.300000000000004</v>
      </c>
      <c r="AB1475" s="171">
        <v>61.27</v>
      </c>
      <c r="AC1475" s="171">
        <v>43.17</v>
      </c>
      <c r="AD1475" s="171">
        <v>38.18</v>
      </c>
      <c r="AF1475" s="171">
        <f t="shared" si="68"/>
        <v>2011</v>
      </c>
      <c r="AG1475" s="171">
        <f t="shared" si="69"/>
        <v>7</v>
      </c>
      <c r="AH1475" s="700">
        <f>SUMIF(D$3:$AA1475,"&lt;="&amp;$AH$1)/COUNTIF(D$3:$AA1475,"&lt;="&amp;$AH$1)</f>
        <v>30.596262466360738</v>
      </c>
    </row>
    <row r="1476" spans="2:34" x14ac:dyDescent="0.25">
      <c r="B1476" s="910">
        <v>40892</v>
      </c>
      <c r="C1476" s="581">
        <f t="shared" ref="C1476:C1539" si="70">MONTH(B1476)</f>
        <v>12</v>
      </c>
      <c r="D1476" s="171">
        <v>43.5</v>
      </c>
      <c r="E1476" s="171">
        <v>40.11</v>
      </c>
      <c r="F1476" s="171">
        <v>31.96</v>
      </c>
      <c r="G1476" s="171">
        <v>24.39</v>
      </c>
      <c r="H1476" s="171">
        <v>26.79</v>
      </c>
      <c r="I1476" s="171">
        <v>33.99</v>
      </c>
      <c r="J1476" s="171">
        <v>42.46</v>
      </c>
      <c r="K1476" s="171">
        <v>49.370000000000005</v>
      </c>
      <c r="L1476" s="171">
        <v>51.93</v>
      </c>
      <c r="M1476" s="171">
        <v>51.230000000000004</v>
      </c>
      <c r="N1476" s="171">
        <v>50.4</v>
      </c>
      <c r="O1476" s="171">
        <v>50.13</v>
      </c>
      <c r="P1476" s="171">
        <v>50.980000000000004</v>
      </c>
      <c r="Q1476" s="171">
        <v>50.86</v>
      </c>
      <c r="R1476" s="171">
        <v>48.79</v>
      </c>
      <c r="S1476" s="171">
        <v>49.47</v>
      </c>
      <c r="T1476" s="171">
        <v>53.13</v>
      </c>
      <c r="U1476" s="171">
        <v>64.48</v>
      </c>
      <c r="V1476" s="171">
        <v>64.94</v>
      </c>
      <c r="W1476" s="171">
        <v>59.67</v>
      </c>
      <c r="X1476" s="171">
        <v>51.25</v>
      </c>
      <c r="Y1476" s="171">
        <v>48.410000000000004</v>
      </c>
      <c r="Z1476" s="171">
        <v>47.44</v>
      </c>
      <c r="AA1476" s="171">
        <v>43.31</v>
      </c>
      <c r="AB1476" s="171">
        <v>64.94</v>
      </c>
      <c r="AC1476" s="171">
        <v>47.44</v>
      </c>
      <c r="AD1476" s="171">
        <v>40.25</v>
      </c>
      <c r="AF1476" s="171">
        <f t="shared" ref="AF1476:AF1539" si="71">YEAR(B1476)</f>
        <v>2011</v>
      </c>
      <c r="AG1476" s="171">
        <f t="shared" ref="AG1476:AG1539" si="72">COUNTIF(D1476:AA1476,"&lt;="&amp;$AH$1)</f>
        <v>6</v>
      </c>
      <c r="AH1476" s="700">
        <f>SUMIF(D$3:$AA1476,"&lt;="&amp;$AH$1)/COUNTIF(D$3:$AA1476,"&lt;="&amp;$AH$1)</f>
        <v>30.597537974683668</v>
      </c>
    </row>
    <row r="1477" spans="2:34" x14ac:dyDescent="0.25">
      <c r="B1477" s="910">
        <v>40893</v>
      </c>
      <c r="C1477" s="581">
        <f t="shared" si="70"/>
        <v>12</v>
      </c>
      <c r="D1477" s="171">
        <v>48.06</v>
      </c>
      <c r="E1477" s="171">
        <v>43.72</v>
      </c>
      <c r="F1477" s="171">
        <v>37.550000000000004</v>
      </c>
      <c r="G1477" s="171">
        <v>35.020000000000003</v>
      </c>
      <c r="H1477" s="171">
        <v>35.050000000000004</v>
      </c>
      <c r="I1477" s="171">
        <v>41.21</v>
      </c>
      <c r="J1477" s="171">
        <v>47.76</v>
      </c>
      <c r="K1477" s="171">
        <v>56.35</v>
      </c>
      <c r="L1477" s="171">
        <v>61.120000000000005</v>
      </c>
      <c r="M1477" s="171">
        <v>61.14</v>
      </c>
      <c r="N1477" s="171">
        <v>61.63</v>
      </c>
      <c r="O1477" s="171">
        <v>59.89</v>
      </c>
      <c r="P1477" s="171">
        <v>57.9</v>
      </c>
      <c r="Q1477" s="171">
        <v>51.370000000000005</v>
      </c>
      <c r="R1477" s="171">
        <v>46.69</v>
      </c>
      <c r="S1477" s="171">
        <v>44.75</v>
      </c>
      <c r="T1477" s="171">
        <v>48.480000000000004</v>
      </c>
      <c r="U1477" s="171">
        <v>56.74</v>
      </c>
      <c r="V1477" s="171">
        <v>54.71</v>
      </c>
      <c r="W1477" s="171">
        <v>48.5</v>
      </c>
      <c r="X1477" s="171">
        <v>47.92</v>
      </c>
      <c r="Y1477" s="171">
        <v>44.58</v>
      </c>
      <c r="Z1477" s="171">
        <v>42.02</v>
      </c>
      <c r="AA1477" s="171">
        <v>40.28</v>
      </c>
      <c r="AB1477" s="171">
        <v>61.63</v>
      </c>
      <c r="AC1477" s="171">
        <v>42.02</v>
      </c>
      <c r="AD1477" s="171">
        <v>43.29</v>
      </c>
      <c r="AF1477" s="171">
        <f t="shared" si="71"/>
        <v>2011</v>
      </c>
      <c r="AG1477" s="171">
        <f t="shared" si="72"/>
        <v>6</v>
      </c>
      <c r="AH1477" s="700">
        <f>SUMIF(D$3:$AA1477,"&lt;="&amp;$AH$1)/COUNTIF(D$3:$AA1477,"&lt;="&amp;$AH$1)</f>
        <v>30.601297643523772</v>
      </c>
    </row>
    <row r="1478" spans="2:34" x14ac:dyDescent="0.25">
      <c r="B1478" s="910">
        <v>40896</v>
      </c>
      <c r="C1478" s="581">
        <f t="shared" si="70"/>
        <v>12</v>
      </c>
      <c r="D1478" s="171">
        <v>41.800000000000004</v>
      </c>
      <c r="E1478" s="171">
        <v>40.22</v>
      </c>
      <c r="F1478" s="171">
        <v>39.28</v>
      </c>
      <c r="G1478" s="171">
        <v>36.619999999999997</v>
      </c>
      <c r="H1478" s="171">
        <v>35.07</v>
      </c>
      <c r="I1478" s="171">
        <v>35.22</v>
      </c>
      <c r="J1478" s="171">
        <v>42.07</v>
      </c>
      <c r="K1478" s="171">
        <v>54.36</v>
      </c>
      <c r="L1478" s="171">
        <v>56.93</v>
      </c>
      <c r="M1478" s="171">
        <v>56.31</v>
      </c>
      <c r="N1478" s="171">
        <v>58.63</v>
      </c>
      <c r="O1478" s="171">
        <v>55.92</v>
      </c>
      <c r="P1478" s="171">
        <v>54.9</v>
      </c>
      <c r="Q1478" s="171">
        <v>55.99</v>
      </c>
      <c r="R1478" s="171">
        <v>55.6</v>
      </c>
      <c r="S1478" s="171">
        <v>55.75</v>
      </c>
      <c r="T1478" s="171">
        <v>58.07</v>
      </c>
      <c r="U1478" s="171">
        <v>64.89</v>
      </c>
      <c r="V1478" s="171">
        <v>59.910000000000004</v>
      </c>
      <c r="W1478" s="171">
        <v>53.84</v>
      </c>
      <c r="X1478" s="171">
        <v>48.75</v>
      </c>
      <c r="Y1478" s="171">
        <v>41.68</v>
      </c>
      <c r="Z1478" s="171">
        <v>39.68</v>
      </c>
      <c r="AA1478" s="171">
        <v>38.67</v>
      </c>
      <c r="AB1478" s="171">
        <v>64.89</v>
      </c>
      <c r="AC1478" s="171">
        <v>39.68</v>
      </c>
      <c r="AD1478" s="171">
        <v>41.12</v>
      </c>
      <c r="AF1478" s="171">
        <f t="shared" si="71"/>
        <v>2011</v>
      </c>
      <c r="AG1478" s="171">
        <f t="shared" si="72"/>
        <v>10</v>
      </c>
      <c r="AH1478" s="700">
        <f>SUMIF(D$3:$AA1478,"&lt;="&amp;$AH$1)/COUNTIF(D$3:$AA1478,"&lt;="&amp;$AH$1)</f>
        <v>30.60795828065752</v>
      </c>
    </row>
    <row r="1479" spans="2:34" x14ac:dyDescent="0.25">
      <c r="B1479" s="910">
        <v>40897</v>
      </c>
      <c r="C1479" s="581">
        <f t="shared" si="70"/>
        <v>12</v>
      </c>
      <c r="D1479" s="171">
        <v>38.53</v>
      </c>
      <c r="E1479" s="171">
        <v>36.590000000000003</v>
      </c>
      <c r="F1479" s="171">
        <v>35.21</v>
      </c>
      <c r="G1479" s="171">
        <v>32.910000000000004</v>
      </c>
      <c r="H1479" s="171">
        <v>33.39</v>
      </c>
      <c r="I1479" s="171">
        <v>37.56</v>
      </c>
      <c r="J1479" s="171">
        <v>41.09</v>
      </c>
      <c r="K1479" s="171">
        <v>49.13</v>
      </c>
      <c r="L1479" s="171">
        <v>48.63</v>
      </c>
      <c r="M1479" s="171">
        <v>51.45</v>
      </c>
      <c r="N1479" s="171">
        <v>53.19</v>
      </c>
      <c r="O1479" s="171">
        <v>54.52</v>
      </c>
      <c r="P1479" s="171">
        <v>52.43</v>
      </c>
      <c r="Q1479" s="171">
        <v>53.19</v>
      </c>
      <c r="R1479" s="171">
        <v>51.19</v>
      </c>
      <c r="S1479" s="171">
        <v>49.49</v>
      </c>
      <c r="T1479" s="171">
        <v>51.19</v>
      </c>
      <c r="U1479" s="171">
        <v>61.19</v>
      </c>
      <c r="V1479" s="171">
        <v>59.81</v>
      </c>
      <c r="W1479" s="171">
        <v>59.24</v>
      </c>
      <c r="X1479" s="171">
        <v>53.02</v>
      </c>
      <c r="Y1479" s="171">
        <v>47.75</v>
      </c>
      <c r="Z1479" s="171">
        <v>47.11</v>
      </c>
      <c r="AA1479" s="171">
        <v>43.14</v>
      </c>
      <c r="AB1479" s="171">
        <v>61.19</v>
      </c>
      <c r="AC1479" s="171">
        <v>47.11</v>
      </c>
      <c r="AD1479" s="171">
        <v>41.29</v>
      </c>
      <c r="AF1479" s="171">
        <f t="shared" si="71"/>
        <v>2011</v>
      </c>
      <c r="AG1479" s="171">
        <f t="shared" si="72"/>
        <v>7</v>
      </c>
      <c r="AH1479" s="700">
        <f>SUMIF(D$3:$AA1479,"&lt;="&amp;$AH$1)/COUNTIF(D$3:$AA1479,"&lt;="&amp;$AH$1)</f>
        <v>30.611197978362288</v>
      </c>
    </row>
    <row r="1480" spans="2:34" x14ac:dyDescent="0.25">
      <c r="B1480" s="910">
        <v>40898</v>
      </c>
      <c r="C1480" s="581">
        <f t="shared" si="70"/>
        <v>12</v>
      </c>
      <c r="D1480" s="171">
        <v>42.050000000000004</v>
      </c>
      <c r="E1480" s="171">
        <v>39.800000000000004</v>
      </c>
      <c r="F1480" s="171">
        <v>38.230000000000004</v>
      </c>
      <c r="G1480" s="171">
        <v>35.03</v>
      </c>
      <c r="H1480" s="171">
        <v>36.11</v>
      </c>
      <c r="I1480" s="171">
        <v>38.17</v>
      </c>
      <c r="J1480" s="171">
        <v>42.85</v>
      </c>
      <c r="K1480" s="171">
        <v>49.08</v>
      </c>
      <c r="L1480" s="171">
        <v>53.22</v>
      </c>
      <c r="M1480" s="171">
        <v>54.42</v>
      </c>
      <c r="N1480" s="171">
        <v>53.27</v>
      </c>
      <c r="O1480" s="171">
        <v>55.5</v>
      </c>
      <c r="P1480" s="171">
        <v>56.4</v>
      </c>
      <c r="Q1480" s="171">
        <v>54.910000000000004</v>
      </c>
      <c r="R1480" s="171">
        <v>54.49</v>
      </c>
      <c r="S1480" s="171">
        <v>54.45</v>
      </c>
      <c r="T1480" s="171">
        <v>55.46</v>
      </c>
      <c r="U1480" s="171">
        <v>62.4</v>
      </c>
      <c r="V1480" s="171">
        <v>62.96</v>
      </c>
      <c r="W1480" s="171">
        <v>58.96</v>
      </c>
      <c r="X1480" s="171">
        <v>54.910000000000004</v>
      </c>
      <c r="Y1480" s="171">
        <v>49.59</v>
      </c>
      <c r="Z1480" s="171">
        <v>48</v>
      </c>
      <c r="AA1480" s="171">
        <v>46.36</v>
      </c>
      <c r="AB1480" s="171">
        <v>62.96</v>
      </c>
      <c r="AC1480" s="171">
        <v>48</v>
      </c>
      <c r="AD1480" s="171">
        <v>43.35</v>
      </c>
      <c r="AF1480" s="171">
        <f t="shared" si="71"/>
        <v>2011</v>
      </c>
      <c r="AG1480" s="171">
        <f t="shared" si="72"/>
        <v>6</v>
      </c>
      <c r="AH1480" s="700">
        <f>SUMIF(D$3:$AA1480,"&lt;="&amp;$AH$1)/COUNTIF(D$3:$AA1480,"&lt;="&amp;$AH$1)</f>
        <v>30.614807009235268</v>
      </c>
    </row>
    <row r="1481" spans="2:34" x14ac:dyDescent="0.25">
      <c r="B1481" s="910">
        <v>40899</v>
      </c>
      <c r="C1481" s="581">
        <f t="shared" si="70"/>
        <v>12</v>
      </c>
      <c r="D1481" s="171">
        <v>42.87</v>
      </c>
      <c r="E1481" s="171">
        <v>39.94</v>
      </c>
      <c r="F1481" s="171">
        <v>36.980000000000004</v>
      </c>
      <c r="G1481" s="171">
        <v>33.22</v>
      </c>
      <c r="H1481" s="171">
        <v>33.53</v>
      </c>
      <c r="I1481" s="171">
        <v>37.619999999999997</v>
      </c>
      <c r="J1481" s="171">
        <v>44.4</v>
      </c>
      <c r="K1481" s="171">
        <v>53.42</v>
      </c>
      <c r="L1481" s="171">
        <v>55.81</v>
      </c>
      <c r="M1481" s="171">
        <v>56.08</v>
      </c>
      <c r="N1481" s="171">
        <v>57.44</v>
      </c>
      <c r="O1481" s="171">
        <v>56.35</v>
      </c>
      <c r="P1481" s="171">
        <v>54.480000000000004</v>
      </c>
      <c r="Q1481" s="171">
        <v>55.14</v>
      </c>
      <c r="R1481" s="171">
        <v>53.910000000000004</v>
      </c>
      <c r="S1481" s="171">
        <v>51.39</v>
      </c>
      <c r="T1481" s="171">
        <v>54.95</v>
      </c>
      <c r="U1481" s="171">
        <v>59.6</v>
      </c>
      <c r="V1481" s="171">
        <v>61.19</v>
      </c>
      <c r="W1481" s="171">
        <v>59.06</v>
      </c>
      <c r="X1481" s="171">
        <v>53.2</v>
      </c>
      <c r="Y1481" s="171">
        <v>49.5</v>
      </c>
      <c r="Z1481" s="171">
        <v>47.5</v>
      </c>
      <c r="AA1481" s="171">
        <v>43.07</v>
      </c>
      <c r="AB1481" s="171">
        <v>61.19</v>
      </c>
      <c r="AC1481" s="171">
        <v>47.5</v>
      </c>
      <c r="AD1481" s="171">
        <v>42.94</v>
      </c>
      <c r="AF1481" s="171">
        <f t="shared" si="71"/>
        <v>2011</v>
      </c>
      <c r="AG1481" s="171">
        <f t="shared" si="72"/>
        <v>5</v>
      </c>
      <c r="AH1481" s="700">
        <f>SUMIF(D$3:$AA1481,"&lt;="&amp;$AH$1)/COUNTIF(D$3:$AA1481,"&lt;="&amp;$AH$1)</f>
        <v>30.617033296512673</v>
      </c>
    </row>
    <row r="1482" spans="2:34" x14ac:dyDescent="0.25">
      <c r="B1482" s="910">
        <v>40900</v>
      </c>
      <c r="C1482" s="581">
        <f t="shared" si="70"/>
        <v>12</v>
      </c>
      <c r="D1482" s="171">
        <v>41.85</v>
      </c>
      <c r="E1482" s="171">
        <v>40.46</v>
      </c>
      <c r="F1482" s="171">
        <v>37.75</v>
      </c>
      <c r="G1482" s="171">
        <v>35.130000000000003</v>
      </c>
      <c r="H1482" s="171">
        <v>34.03</v>
      </c>
      <c r="I1482" s="171">
        <v>37.44</v>
      </c>
      <c r="J1482" s="171">
        <v>42.74</v>
      </c>
      <c r="K1482" s="171">
        <v>49.63</v>
      </c>
      <c r="L1482" s="171">
        <v>53.34</v>
      </c>
      <c r="M1482" s="171">
        <v>54.31</v>
      </c>
      <c r="N1482" s="171">
        <v>53.31</v>
      </c>
      <c r="O1482" s="171">
        <v>54.45</v>
      </c>
      <c r="P1482" s="171">
        <v>54.26</v>
      </c>
      <c r="Q1482" s="171">
        <v>50.46</v>
      </c>
      <c r="R1482" s="171">
        <v>45.35</v>
      </c>
      <c r="S1482" s="171">
        <v>42.67</v>
      </c>
      <c r="T1482" s="171">
        <v>46.67</v>
      </c>
      <c r="U1482" s="171">
        <v>53.95</v>
      </c>
      <c r="V1482" s="171">
        <v>54.18</v>
      </c>
      <c r="W1482" s="171">
        <v>53.19</v>
      </c>
      <c r="X1482" s="171">
        <v>49.83</v>
      </c>
      <c r="Y1482" s="171">
        <v>44</v>
      </c>
      <c r="Z1482" s="171">
        <v>45.1</v>
      </c>
      <c r="AA1482" s="171">
        <v>41.6</v>
      </c>
      <c r="AB1482" s="171">
        <v>54.45</v>
      </c>
      <c r="AC1482" s="171">
        <v>42.67</v>
      </c>
      <c r="AD1482" s="171">
        <v>41.63</v>
      </c>
      <c r="AF1482" s="171">
        <f t="shared" si="71"/>
        <v>2011</v>
      </c>
      <c r="AG1482" s="171">
        <f t="shared" si="72"/>
        <v>7</v>
      </c>
      <c r="AH1482" s="700">
        <f>SUMIF(D$3:$AA1482,"&lt;="&amp;$AH$1)/COUNTIF(D$3:$AA1482,"&lt;="&amp;$AH$1)</f>
        <v>30.621286964750542</v>
      </c>
    </row>
    <row r="1483" spans="2:34" x14ac:dyDescent="0.25">
      <c r="B1483" s="910">
        <v>40903</v>
      </c>
      <c r="C1483" s="581">
        <f t="shared" si="70"/>
        <v>12</v>
      </c>
      <c r="D1483" s="171">
        <v>30.19</v>
      </c>
      <c r="E1483" s="171">
        <v>27.96</v>
      </c>
      <c r="F1483" s="171">
        <v>25.060000000000002</v>
      </c>
      <c r="G1483" s="171">
        <v>23.88</v>
      </c>
      <c r="H1483" s="171">
        <v>24.84</v>
      </c>
      <c r="I1483" s="171">
        <v>25.07</v>
      </c>
      <c r="J1483" s="171">
        <v>28.96</v>
      </c>
      <c r="K1483" s="171">
        <v>35.6</v>
      </c>
      <c r="L1483" s="171">
        <v>35.480000000000004</v>
      </c>
      <c r="M1483" s="171">
        <v>40</v>
      </c>
      <c r="N1483" s="171">
        <v>42.14</v>
      </c>
      <c r="O1483" s="171">
        <v>46</v>
      </c>
      <c r="P1483" s="171">
        <v>44.44</v>
      </c>
      <c r="Q1483" s="171">
        <v>40</v>
      </c>
      <c r="R1483" s="171">
        <v>37.270000000000003</v>
      </c>
      <c r="S1483" s="171">
        <v>35.25</v>
      </c>
      <c r="T1483" s="171">
        <v>38</v>
      </c>
      <c r="U1483" s="171">
        <v>53.57</v>
      </c>
      <c r="V1483" s="171">
        <v>58.5</v>
      </c>
      <c r="W1483" s="171">
        <v>56.19</v>
      </c>
      <c r="X1483" s="171">
        <v>50.76</v>
      </c>
      <c r="Y1483" s="171">
        <v>44.74</v>
      </c>
      <c r="Z1483" s="171">
        <v>46.92</v>
      </c>
      <c r="AA1483" s="171">
        <v>42.27</v>
      </c>
      <c r="AB1483" s="171">
        <v>58.5</v>
      </c>
      <c r="AC1483" s="171">
        <v>35.25</v>
      </c>
      <c r="AD1483" s="171">
        <v>33.85</v>
      </c>
      <c r="AF1483" s="171">
        <f t="shared" si="71"/>
        <v>2011</v>
      </c>
      <c r="AG1483" s="171">
        <f t="shared" si="72"/>
        <v>16</v>
      </c>
      <c r="AH1483" s="700">
        <f>SUMIF(D$3:$AA1483,"&lt;="&amp;$AH$1)/COUNTIF(D$3:$AA1483,"&lt;="&amp;$AH$1)</f>
        <v>30.624597148932953</v>
      </c>
    </row>
    <row r="1484" spans="2:34" x14ac:dyDescent="0.25">
      <c r="B1484" s="910">
        <v>40904</v>
      </c>
      <c r="C1484" s="581">
        <f t="shared" si="70"/>
        <v>12</v>
      </c>
      <c r="D1484" s="171">
        <v>30.19</v>
      </c>
      <c r="E1484" s="171">
        <v>27.96</v>
      </c>
      <c r="F1484" s="171">
        <v>25.060000000000002</v>
      </c>
      <c r="G1484" s="171">
        <v>23.88</v>
      </c>
      <c r="H1484" s="171">
        <v>24.84</v>
      </c>
      <c r="I1484" s="171">
        <v>25.07</v>
      </c>
      <c r="J1484" s="171">
        <v>28.96</v>
      </c>
      <c r="K1484" s="171">
        <v>35.6</v>
      </c>
      <c r="L1484" s="171">
        <v>35.480000000000004</v>
      </c>
      <c r="M1484" s="171">
        <v>40</v>
      </c>
      <c r="N1484" s="171">
        <v>42.14</v>
      </c>
      <c r="O1484" s="171">
        <v>46</v>
      </c>
      <c r="P1484" s="171">
        <v>44.44</v>
      </c>
      <c r="Q1484" s="171">
        <v>40</v>
      </c>
      <c r="R1484" s="171">
        <v>37.270000000000003</v>
      </c>
      <c r="S1484" s="171">
        <v>35.25</v>
      </c>
      <c r="T1484" s="171">
        <v>38</v>
      </c>
      <c r="U1484" s="171">
        <v>53.57</v>
      </c>
      <c r="V1484" s="171">
        <v>58.5</v>
      </c>
      <c r="W1484" s="171">
        <v>56.19</v>
      </c>
      <c r="X1484" s="171">
        <v>50.76</v>
      </c>
      <c r="Y1484" s="171">
        <v>44.74</v>
      </c>
      <c r="Z1484" s="171">
        <v>46.92</v>
      </c>
      <c r="AA1484" s="171">
        <v>42.27</v>
      </c>
      <c r="AB1484" s="171">
        <v>58.5</v>
      </c>
      <c r="AC1484" s="171">
        <v>35.25</v>
      </c>
      <c r="AD1484" s="171">
        <v>33.85</v>
      </c>
      <c r="AF1484" s="171">
        <f t="shared" si="71"/>
        <v>2011</v>
      </c>
      <c r="AG1484" s="171">
        <f t="shared" si="72"/>
        <v>16</v>
      </c>
      <c r="AH1484" s="700">
        <f>SUMIF(D$3:$AA1484,"&lt;="&amp;$AH$1)/COUNTIF(D$3:$AA1484,"&lt;="&amp;$AH$1)</f>
        <v>30.627899001022715</v>
      </c>
    </row>
    <row r="1485" spans="2:34" x14ac:dyDescent="0.25">
      <c r="B1485" s="910">
        <v>40905</v>
      </c>
      <c r="C1485" s="581">
        <f t="shared" si="70"/>
        <v>12</v>
      </c>
      <c r="D1485" s="171">
        <v>44.25</v>
      </c>
      <c r="E1485" s="171">
        <v>39.99</v>
      </c>
      <c r="F1485" s="171">
        <v>37.6</v>
      </c>
      <c r="G1485" s="171">
        <v>34.21</v>
      </c>
      <c r="H1485" s="171">
        <v>30.42</v>
      </c>
      <c r="I1485" s="171">
        <v>37</v>
      </c>
      <c r="J1485" s="171">
        <v>40.56</v>
      </c>
      <c r="K1485" s="171">
        <v>46.13</v>
      </c>
      <c r="L1485" s="171">
        <v>47.86</v>
      </c>
      <c r="M1485" s="171">
        <v>47.63</v>
      </c>
      <c r="N1485" s="171">
        <v>49.29</v>
      </c>
      <c r="O1485" s="171">
        <v>48.85</v>
      </c>
      <c r="P1485" s="171">
        <v>50.27</v>
      </c>
      <c r="Q1485" s="171">
        <v>46.89</v>
      </c>
      <c r="R1485" s="171">
        <v>43.980000000000004</v>
      </c>
      <c r="S1485" s="171">
        <v>43.2</v>
      </c>
      <c r="T1485" s="171">
        <v>48.97</v>
      </c>
      <c r="U1485" s="171">
        <v>53.96</v>
      </c>
      <c r="V1485" s="171">
        <v>56.2</v>
      </c>
      <c r="W1485" s="171">
        <v>52.120000000000005</v>
      </c>
      <c r="X1485" s="171">
        <v>49</v>
      </c>
      <c r="Y1485" s="171">
        <v>41.81</v>
      </c>
      <c r="Z1485" s="171">
        <v>39.79</v>
      </c>
      <c r="AA1485" s="171">
        <v>38.25</v>
      </c>
      <c r="AB1485" s="171">
        <v>56.2</v>
      </c>
      <c r="AC1485" s="171">
        <v>39.79</v>
      </c>
      <c r="AD1485" s="171">
        <v>39.92</v>
      </c>
      <c r="AF1485" s="171">
        <f t="shared" si="71"/>
        <v>2011</v>
      </c>
      <c r="AG1485" s="171">
        <f t="shared" si="72"/>
        <v>9</v>
      </c>
      <c r="AH1485" s="700">
        <f>SUMIF(D$3:$AA1485,"&lt;="&amp;$AH$1)/COUNTIF(D$3:$AA1485,"&lt;="&amp;$AH$1)</f>
        <v>30.632927998742471</v>
      </c>
    </row>
    <row r="1486" spans="2:34" x14ac:dyDescent="0.25">
      <c r="B1486" s="910">
        <v>40906</v>
      </c>
      <c r="C1486" s="581">
        <f t="shared" si="70"/>
        <v>12</v>
      </c>
      <c r="D1486" s="171">
        <v>34.49</v>
      </c>
      <c r="E1486" s="171">
        <v>35.79</v>
      </c>
      <c r="F1486" s="171">
        <v>20.7</v>
      </c>
      <c r="G1486" s="171">
        <v>12.18</v>
      </c>
      <c r="H1486" s="171">
        <v>12.47</v>
      </c>
      <c r="I1486" s="171">
        <v>13.11</v>
      </c>
      <c r="J1486" s="171">
        <v>28.98</v>
      </c>
      <c r="K1486" s="171">
        <v>40.1</v>
      </c>
      <c r="L1486" s="171">
        <v>41.87</v>
      </c>
      <c r="M1486" s="171">
        <v>44.94</v>
      </c>
      <c r="N1486" s="171">
        <v>46.5</v>
      </c>
      <c r="O1486" s="171">
        <v>46</v>
      </c>
      <c r="P1486" s="171">
        <v>47.43</v>
      </c>
      <c r="Q1486" s="171">
        <v>46.5</v>
      </c>
      <c r="R1486" s="171">
        <v>42.9</v>
      </c>
      <c r="S1486" s="171">
        <v>42.42</v>
      </c>
      <c r="T1486" s="171">
        <v>45</v>
      </c>
      <c r="U1486" s="171">
        <v>53.1</v>
      </c>
      <c r="V1486" s="171">
        <v>54.93</v>
      </c>
      <c r="W1486" s="171">
        <v>49.88</v>
      </c>
      <c r="X1486" s="171">
        <v>45</v>
      </c>
      <c r="Y1486" s="171">
        <v>40.270000000000003</v>
      </c>
      <c r="Z1486" s="171">
        <v>43.74</v>
      </c>
      <c r="AA1486" s="171">
        <v>41.910000000000004</v>
      </c>
      <c r="AB1486" s="171">
        <v>54.93</v>
      </c>
      <c r="AC1486" s="171">
        <v>40.1</v>
      </c>
      <c r="AD1486" s="171">
        <v>30.73</v>
      </c>
      <c r="AF1486" s="171">
        <f t="shared" si="71"/>
        <v>2011</v>
      </c>
      <c r="AG1486" s="171">
        <f t="shared" si="72"/>
        <v>12</v>
      </c>
      <c r="AH1486" s="700">
        <f>SUMIF(D$3:$AA1486,"&lt;="&amp;$AH$1)/COUNTIF(D$3:$AA1486,"&lt;="&amp;$AH$1)</f>
        <v>30.632668446678309</v>
      </c>
    </row>
    <row r="1487" spans="2:34" x14ac:dyDescent="0.25">
      <c r="B1487" s="910">
        <v>40907</v>
      </c>
      <c r="C1487" s="581">
        <f t="shared" si="70"/>
        <v>12</v>
      </c>
      <c r="D1487" s="171">
        <v>34.910000000000004</v>
      </c>
      <c r="E1487" s="171">
        <v>33.020000000000003</v>
      </c>
      <c r="F1487" s="171">
        <v>27.26</v>
      </c>
      <c r="G1487" s="171">
        <v>17.7</v>
      </c>
      <c r="H1487" s="171">
        <v>18.75</v>
      </c>
      <c r="I1487" s="171">
        <v>25.18</v>
      </c>
      <c r="J1487" s="171">
        <v>31</v>
      </c>
      <c r="K1487" s="171">
        <v>38.5</v>
      </c>
      <c r="L1487" s="171">
        <v>40.630000000000003</v>
      </c>
      <c r="M1487" s="171">
        <v>42.9</v>
      </c>
      <c r="N1487" s="171">
        <v>43.800000000000004</v>
      </c>
      <c r="O1487" s="171">
        <v>46.5</v>
      </c>
      <c r="P1487" s="171">
        <v>48.76</v>
      </c>
      <c r="Q1487" s="171">
        <v>44.5</v>
      </c>
      <c r="R1487" s="171">
        <v>42.77</v>
      </c>
      <c r="S1487" s="171">
        <v>42.78</v>
      </c>
      <c r="T1487" s="171">
        <v>46</v>
      </c>
      <c r="U1487" s="171">
        <v>57.93</v>
      </c>
      <c r="V1487" s="171">
        <v>63.22</v>
      </c>
      <c r="W1487" s="171">
        <v>55.76</v>
      </c>
      <c r="X1487" s="171">
        <v>51.39</v>
      </c>
      <c r="Y1487" s="171">
        <v>43.13</v>
      </c>
      <c r="Z1487" s="171">
        <v>46.62</v>
      </c>
      <c r="AA1487" s="171">
        <v>41.15</v>
      </c>
      <c r="AB1487" s="171">
        <v>63.22</v>
      </c>
      <c r="AC1487" s="171">
        <v>38.5</v>
      </c>
      <c r="AD1487" s="171">
        <v>34.049999999999997</v>
      </c>
      <c r="AF1487" s="171">
        <f t="shared" si="71"/>
        <v>2011</v>
      </c>
      <c r="AG1487" s="171">
        <f t="shared" si="72"/>
        <v>10</v>
      </c>
      <c r="AH1487" s="700">
        <f>SUMIF(D$3:$AA1487,"&lt;="&amp;$AH$1)/COUNTIF(D$3:$AA1487,"&lt;="&amp;$AH$1)</f>
        <v>30.632807595731453</v>
      </c>
    </row>
    <row r="1488" spans="2:34" x14ac:dyDescent="0.25">
      <c r="B1488" s="910">
        <v>40910</v>
      </c>
      <c r="C1488" s="581">
        <f t="shared" si="70"/>
        <v>1</v>
      </c>
      <c r="D1488" s="171">
        <v>34.910000000000004</v>
      </c>
      <c r="E1488" s="171">
        <v>33.020000000000003</v>
      </c>
      <c r="F1488" s="171">
        <v>27.26</v>
      </c>
      <c r="G1488" s="171">
        <v>17.7</v>
      </c>
      <c r="H1488" s="171">
        <v>18.75</v>
      </c>
      <c r="I1488" s="171">
        <v>25.18</v>
      </c>
      <c r="J1488" s="171">
        <v>31</v>
      </c>
      <c r="K1488" s="171">
        <v>38.5</v>
      </c>
      <c r="L1488" s="171">
        <v>40.630000000000003</v>
      </c>
      <c r="M1488" s="171">
        <v>42.9</v>
      </c>
      <c r="N1488" s="171">
        <v>43.800000000000004</v>
      </c>
      <c r="O1488" s="171">
        <v>46.5</v>
      </c>
      <c r="P1488" s="171">
        <v>48.76</v>
      </c>
      <c r="Q1488" s="171">
        <v>44.5</v>
      </c>
      <c r="R1488" s="171">
        <v>42.77</v>
      </c>
      <c r="S1488" s="171">
        <v>42.78</v>
      </c>
      <c r="T1488" s="171">
        <v>46</v>
      </c>
      <c r="U1488" s="171">
        <v>57.93</v>
      </c>
      <c r="V1488" s="171">
        <v>63.22</v>
      </c>
      <c r="W1488" s="171">
        <v>55.76</v>
      </c>
      <c r="X1488" s="171">
        <v>51.39</v>
      </c>
      <c r="Y1488" s="171">
        <v>43.13</v>
      </c>
      <c r="Z1488" s="171">
        <v>46.62</v>
      </c>
      <c r="AA1488" s="171">
        <v>41.15</v>
      </c>
      <c r="AB1488" s="171">
        <v>63.22</v>
      </c>
      <c r="AC1488" s="171">
        <v>38.5</v>
      </c>
      <c r="AD1488" s="171">
        <v>34.049999999999997</v>
      </c>
      <c r="AF1488" s="171">
        <f t="shared" si="71"/>
        <v>2012</v>
      </c>
      <c r="AG1488" s="171">
        <f t="shared" si="72"/>
        <v>10</v>
      </c>
      <c r="AH1488" s="700">
        <f>SUMIF(D$3:$AA1488,"&lt;="&amp;$AH$1)/COUNTIF(D$3:$AA1488,"&lt;="&amp;$AH$1)</f>
        <v>30.632946526580028</v>
      </c>
    </row>
    <row r="1489" spans="2:34" x14ac:dyDescent="0.25">
      <c r="B1489" s="910">
        <v>40911</v>
      </c>
      <c r="C1489" s="581">
        <f t="shared" si="70"/>
        <v>1</v>
      </c>
      <c r="D1489" s="171">
        <v>29</v>
      </c>
      <c r="E1489" s="171">
        <v>25.55</v>
      </c>
      <c r="F1489" s="171">
        <v>22.96</v>
      </c>
      <c r="G1489" s="171">
        <v>19.940000000000001</v>
      </c>
      <c r="H1489" s="171">
        <v>19.02</v>
      </c>
      <c r="I1489" s="171">
        <v>24.27</v>
      </c>
      <c r="J1489" s="171">
        <v>39.160000000000004</v>
      </c>
      <c r="K1489" s="171">
        <v>46.67</v>
      </c>
      <c r="L1489" s="171">
        <v>53.1</v>
      </c>
      <c r="M1489" s="171">
        <v>51.870000000000005</v>
      </c>
      <c r="N1489" s="171">
        <v>44.34</v>
      </c>
      <c r="O1489" s="171">
        <v>44.1</v>
      </c>
      <c r="P1489" s="171">
        <v>44.19</v>
      </c>
      <c r="Q1489" s="171">
        <v>44</v>
      </c>
      <c r="R1489" s="171">
        <v>41.54</v>
      </c>
      <c r="S1489" s="171">
        <v>41.660000000000004</v>
      </c>
      <c r="T1489" s="171">
        <v>41.83</v>
      </c>
      <c r="U1489" s="171">
        <v>62.72</v>
      </c>
      <c r="V1489" s="171">
        <v>52.44</v>
      </c>
      <c r="W1489" s="171">
        <v>45</v>
      </c>
      <c r="X1489" s="171">
        <v>49.94</v>
      </c>
      <c r="Y1489" s="171">
        <v>41.83</v>
      </c>
      <c r="Z1489" s="171">
        <v>34.82</v>
      </c>
      <c r="AA1489" s="171">
        <v>27.45</v>
      </c>
      <c r="AB1489" s="171">
        <v>62.72</v>
      </c>
      <c r="AC1489" s="171">
        <v>34.82</v>
      </c>
      <c r="AD1489" s="171">
        <v>31.720000000000002</v>
      </c>
      <c r="AF1489" s="171">
        <f t="shared" si="71"/>
        <v>2012</v>
      </c>
      <c r="AG1489" s="171">
        <f t="shared" si="72"/>
        <v>13</v>
      </c>
      <c r="AH1489" s="700">
        <f>SUMIF(D$3:$AA1489,"&lt;="&amp;$AH$1)/COUNTIF(D$3:$AA1489,"&lt;="&amp;$AH$1)</f>
        <v>30.633792590271927</v>
      </c>
    </row>
    <row r="1490" spans="2:34" x14ac:dyDescent="0.25">
      <c r="B1490" s="910">
        <v>40912</v>
      </c>
      <c r="C1490" s="581">
        <f t="shared" si="70"/>
        <v>1</v>
      </c>
      <c r="D1490" s="171">
        <v>18.91</v>
      </c>
      <c r="E1490" s="171">
        <v>19.96</v>
      </c>
      <c r="F1490" s="171">
        <v>10.9</v>
      </c>
      <c r="G1490" s="171">
        <v>10.09</v>
      </c>
      <c r="H1490" s="171">
        <v>9.98</v>
      </c>
      <c r="I1490" s="171">
        <v>10.99</v>
      </c>
      <c r="J1490" s="171">
        <v>20.440000000000001</v>
      </c>
      <c r="K1490" s="171">
        <v>39.880000000000003</v>
      </c>
      <c r="L1490" s="171">
        <v>43.89</v>
      </c>
      <c r="M1490" s="171">
        <v>45.410000000000004</v>
      </c>
      <c r="N1490" s="171">
        <v>46.910000000000004</v>
      </c>
      <c r="O1490" s="171">
        <v>48.54</v>
      </c>
      <c r="P1490" s="171">
        <v>46.910000000000004</v>
      </c>
      <c r="Q1490" s="171">
        <v>45</v>
      </c>
      <c r="R1490" s="171">
        <v>42.77</v>
      </c>
      <c r="S1490" s="171">
        <v>41.84</v>
      </c>
      <c r="T1490" s="171">
        <v>44.83</v>
      </c>
      <c r="U1490" s="171">
        <v>64.09</v>
      </c>
      <c r="V1490" s="171">
        <v>60.300000000000004</v>
      </c>
      <c r="W1490" s="171">
        <v>53.2</v>
      </c>
      <c r="X1490" s="171">
        <v>44</v>
      </c>
      <c r="Y1490" s="171">
        <v>39.770000000000003</v>
      </c>
      <c r="Z1490" s="171">
        <v>34.090000000000003</v>
      </c>
      <c r="AA1490" s="171">
        <v>29.96</v>
      </c>
      <c r="AB1490" s="171">
        <v>64.09</v>
      </c>
      <c r="AC1490" s="171">
        <v>34.090000000000003</v>
      </c>
      <c r="AD1490" s="171">
        <v>24.080000000000002</v>
      </c>
      <c r="AF1490" s="171">
        <f t="shared" si="71"/>
        <v>2012</v>
      </c>
      <c r="AG1490" s="171">
        <f t="shared" si="72"/>
        <v>12</v>
      </c>
      <c r="AH1490" s="700">
        <f>SUMIF(D$3:$AA1490,"&lt;="&amp;$AH$1)/COUNTIF(D$3:$AA1490,"&lt;="&amp;$AH$1)</f>
        <v>30.627470068080587</v>
      </c>
    </row>
    <row r="1491" spans="2:34" x14ac:dyDescent="0.25">
      <c r="B1491" s="910">
        <v>40913</v>
      </c>
      <c r="C1491" s="581">
        <f t="shared" si="70"/>
        <v>1</v>
      </c>
      <c r="D1491" s="171">
        <v>28.1</v>
      </c>
      <c r="E1491" s="171">
        <v>27.22</v>
      </c>
      <c r="F1491" s="171">
        <v>27.150000000000002</v>
      </c>
      <c r="G1491" s="171">
        <v>27.42</v>
      </c>
      <c r="H1491" s="171">
        <v>28.28</v>
      </c>
      <c r="I1491" s="171">
        <v>25.13</v>
      </c>
      <c r="J1491" s="171">
        <v>32.96</v>
      </c>
      <c r="K1491" s="171">
        <v>39.76</v>
      </c>
      <c r="L1491" s="171">
        <v>46.44</v>
      </c>
      <c r="M1491" s="171">
        <v>46.21</v>
      </c>
      <c r="N1491" s="171">
        <v>49.2</v>
      </c>
      <c r="O1491" s="171">
        <v>51.51</v>
      </c>
      <c r="P1491" s="171">
        <v>51.51</v>
      </c>
      <c r="Q1491" s="171">
        <v>50.35</v>
      </c>
      <c r="R1491" s="171">
        <v>48.050000000000004</v>
      </c>
      <c r="S1491" s="171">
        <v>43.56</v>
      </c>
      <c r="T1491" s="171">
        <v>41.71</v>
      </c>
      <c r="U1491" s="171">
        <v>59.57</v>
      </c>
      <c r="V1491" s="171">
        <v>48.67</v>
      </c>
      <c r="W1491" s="171">
        <v>44.75</v>
      </c>
      <c r="X1491" s="171">
        <v>44.94</v>
      </c>
      <c r="Y1491" s="171">
        <v>39.4</v>
      </c>
      <c r="Z1491" s="171">
        <v>39.4</v>
      </c>
      <c r="AA1491" s="171">
        <v>35.61</v>
      </c>
      <c r="AB1491" s="171">
        <v>59.57</v>
      </c>
      <c r="AC1491" s="171">
        <v>39.4</v>
      </c>
      <c r="AD1491" s="171">
        <v>32.950000000000003</v>
      </c>
      <c r="AF1491" s="171">
        <f t="shared" si="71"/>
        <v>2012</v>
      </c>
      <c r="AG1491" s="171">
        <f t="shared" si="72"/>
        <v>12</v>
      </c>
      <c r="AH1491" s="700">
        <f>SUMIF(D$3:$AA1491,"&lt;="&amp;$AH$1)/COUNTIF(D$3:$AA1491,"&lt;="&amp;$AH$1)</f>
        <v>30.629394105230386</v>
      </c>
    </row>
    <row r="1492" spans="2:34" x14ac:dyDescent="0.25">
      <c r="B1492" s="910">
        <v>40914</v>
      </c>
      <c r="C1492" s="581">
        <f t="shared" si="70"/>
        <v>1</v>
      </c>
      <c r="D1492" s="171">
        <v>28.8</v>
      </c>
      <c r="E1492" s="171">
        <v>27.84</v>
      </c>
      <c r="F1492" s="171">
        <v>26.98</v>
      </c>
      <c r="G1492" s="171">
        <v>26.67</v>
      </c>
      <c r="H1492" s="171">
        <v>25</v>
      </c>
      <c r="I1492" s="171">
        <v>19.96</v>
      </c>
      <c r="J1492" s="171">
        <v>30.01</v>
      </c>
      <c r="K1492" s="171">
        <v>37.630000000000003</v>
      </c>
      <c r="L1492" s="171">
        <v>43</v>
      </c>
      <c r="M1492" s="171">
        <v>49.120000000000005</v>
      </c>
      <c r="N1492" s="171">
        <v>50</v>
      </c>
      <c r="O1492" s="171">
        <v>51.79</v>
      </c>
      <c r="P1492" s="171">
        <v>47.94</v>
      </c>
      <c r="Q1492" s="171">
        <v>47.43</v>
      </c>
      <c r="R1492" s="171">
        <v>45</v>
      </c>
      <c r="S1492" s="171">
        <v>42.06</v>
      </c>
      <c r="T1492" s="171">
        <v>44.13</v>
      </c>
      <c r="U1492" s="171">
        <v>65.72</v>
      </c>
      <c r="V1492" s="171">
        <v>80</v>
      </c>
      <c r="W1492" s="171">
        <v>57.96</v>
      </c>
      <c r="X1492" s="171">
        <v>49.78</v>
      </c>
      <c r="Y1492" s="171">
        <v>43</v>
      </c>
      <c r="Z1492" s="171">
        <v>43.65</v>
      </c>
      <c r="AA1492" s="171">
        <v>39.19</v>
      </c>
      <c r="AB1492" s="171">
        <v>80</v>
      </c>
      <c r="AC1492" s="171">
        <v>37.630000000000003</v>
      </c>
      <c r="AD1492" s="171">
        <v>33.21</v>
      </c>
      <c r="AF1492" s="171">
        <f t="shared" si="71"/>
        <v>2012</v>
      </c>
      <c r="AG1492" s="171">
        <f t="shared" si="72"/>
        <v>10</v>
      </c>
      <c r="AH1492" s="700">
        <f>SUMIF(D$3:$AA1492,"&lt;="&amp;$AH$1)/COUNTIF(D$3:$AA1492,"&lt;="&amp;$AH$1)</f>
        <v>30.629225841731262</v>
      </c>
    </row>
    <row r="1493" spans="2:34" x14ac:dyDescent="0.25">
      <c r="B1493" s="910">
        <v>40917</v>
      </c>
      <c r="C1493" s="581">
        <f t="shared" si="70"/>
        <v>1</v>
      </c>
      <c r="D1493" s="171">
        <v>34.97</v>
      </c>
      <c r="E1493" s="171">
        <v>33.43</v>
      </c>
      <c r="F1493" s="171">
        <v>32.74</v>
      </c>
      <c r="G1493" s="171">
        <v>32.46</v>
      </c>
      <c r="H1493" s="171">
        <v>32.5</v>
      </c>
      <c r="I1493" s="171">
        <v>36.130000000000003</v>
      </c>
      <c r="J1493" s="171">
        <v>43.02</v>
      </c>
      <c r="K1493" s="171">
        <v>59.03</v>
      </c>
      <c r="L1493" s="171">
        <v>64.48</v>
      </c>
      <c r="M1493" s="171">
        <v>58.72</v>
      </c>
      <c r="N1493" s="171">
        <v>56.480000000000004</v>
      </c>
      <c r="O1493" s="171">
        <v>56.04</v>
      </c>
      <c r="P1493" s="171">
        <v>55.7</v>
      </c>
      <c r="Q1493" s="171">
        <v>54.84</v>
      </c>
      <c r="R1493" s="171">
        <v>52.32</v>
      </c>
      <c r="S1493" s="171">
        <v>50.72</v>
      </c>
      <c r="T1493" s="171">
        <v>51.57</v>
      </c>
      <c r="U1493" s="171">
        <v>57.02</v>
      </c>
      <c r="V1493" s="171">
        <v>61.27</v>
      </c>
      <c r="W1493" s="171">
        <v>53.2</v>
      </c>
      <c r="X1493" s="171">
        <v>47.31</v>
      </c>
      <c r="Y1493" s="171">
        <v>42</v>
      </c>
      <c r="Z1493" s="171">
        <v>42.19</v>
      </c>
      <c r="AA1493" s="171">
        <v>41.34</v>
      </c>
      <c r="AB1493" s="171">
        <v>64.48</v>
      </c>
      <c r="AC1493" s="171">
        <v>42</v>
      </c>
      <c r="AD1493" s="171">
        <v>39.76</v>
      </c>
      <c r="AF1493" s="171">
        <f t="shared" si="71"/>
        <v>2012</v>
      </c>
      <c r="AG1493" s="171">
        <f t="shared" si="72"/>
        <v>9</v>
      </c>
      <c r="AH1493" s="700">
        <f>SUMIF(D$3:$AA1493,"&lt;="&amp;$AH$1)/COUNTIF(D$3:$AA1493,"&lt;="&amp;$AH$1)</f>
        <v>30.633292740046986</v>
      </c>
    </row>
    <row r="1494" spans="2:34" x14ac:dyDescent="0.25">
      <c r="B1494" s="910">
        <v>40918</v>
      </c>
      <c r="C1494" s="581">
        <f t="shared" si="70"/>
        <v>1</v>
      </c>
      <c r="D1494" s="171">
        <v>36.410000000000004</v>
      </c>
      <c r="E1494" s="171">
        <v>34.590000000000003</v>
      </c>
      <c r="F1494" s="171">
        <v>31.650000000000002</v>
      </c>
      <c r="G1494" s="171">
        <v>28.060000000000002</v>
      </c>
      <c r="H1494" s="171">
        <v>30.5</v>
      </c>
      <c r="I1494" s="171">
        <v>33.82</v>
      </c>
      <c r="J1494" s="171">
        <v>39.82</v>
      </c>
      <c r="K1494" s="171">
        <v>47.99</v>
      </c>
      <c r="L1494" s="171">
        <v>52.96</v>
      </c>
      <c r="M1494" s="171">
        <v>51.06</v>
      </c>
      <c r="N1494" s="171">
        <v>51.06</v>
      </c>
      <c r="O1494" s="171">
        <v>53</v>
      </c>
      <c r="P1494" s="171">
        <v>52.21</v>
      </c>
      <c r="Q1494" s="171">
        <v>52.96</v>
      </c>
      <c r="R1494" s="171">
        <v>51.99</v>
      </c>
      <c r="S1494" s="171">
        <v>49.83</v>
      </c>
      <c r="T1494" s="171">
        <v>49.160000000000004</v>
      </c>
      <c r="U1494" s="171">
        <v>61.18</v>
      </c>
      <c r="V1494" s="171">
        <v>61.18</v>
      </c>
      <c r="W1494" s="171">
        <v>56.79</v>
      </c>
      <c r="X1494" s="171">
        <v>48</v>
      </c>
      <c r="Y1494" s="171">
        <v>42.74</v>
      </c>
      <c r="Z1494" s="171">
        <v>42.93</v>
      </c>
      <c r="AA1494" s="171">
        <v>39.67</v>
      </c>
      <c r="AB1494" s="171">
        <v>61.18</v>
      </c>
      <c r="AC1494" s="171">
        <v>42.74</v>
      </c>
      <c r="AD1494" s="171">
        <v>38.01</v>
      </c>
      <c r="AF1494" s="171">
        <f t="shared" si="71"/>
        <v>2012</v>
      </c>
      <c r="AG1494" s="171">
        <f t="shared" si="72"/>
        <v>8</v>
      </c>
      <c r="AH1494" s="700">
        <f>SUMIF(D$3:$AA1494,"&lt;="&amp;$AH$1)/COUNTIF(D$3:$AA1494,"&lt;="&amp;$AH$1)</f>
        <v>30.635590575752996</v>
      </c>
    </row>
    <row r="1495" spans="2:34" x14ac:dyDescent="0.25">
      <c r="B1495" s="910">
        <v>40919</v>
      </c>
      <c r="C1495" s="581">
        <f t="shared" si="70"/>
        <v>1</v>
      </c>
      <c r="D1495" s="171">
        <v>40.090000000000003</v>
      </c>
      <c r="E1495" s="171">
        <v>35.92</v>
      </c>
      <c r="F1495" s="171">
        <v>34.08</v>
      </c>
      <c r="G1495" s="171">
        <v>29.41</v>
      </c>
      <c r="H1495" s="171">
        <v>30.11</v>
      </c>
      <c r="I1495" s="171">
        <v>36.11</v>
      </c>
      <c r="J1495" s="171">
        <v>44</v>
      </c>
      <c r="K1495" s="171">
        <v>52</v>
      </c>
      <c r="L1495" s="171">
        <v>51.910000000000004</v>
      </c>
      <c r="M1495" s="171">
        <v>51.96</v>
      </c>
      <c r="N1495" s="171">
        <v>51.43</v>
      </c>
      <c r="O1495" s="171">
        <v>51.99</v>
      </c>
      <c r="P1495" s="171">
        <v>51.56</v>
      </c>
      <c r="Q1495" s="171">
        <v>50.39</v>
      </c>
      <c r="R1495" s="171">
        <v>49.03</v>
      </c>
      <c r="S1495" s="171">
        <v>50.92</v>
      </c>
      <c r="T1495" s="171">
        <v>49.09</v>
      </c>
      <c r="U1495" s="171">
        <v>60.2</v>
      </c>
      <c r="V1495" s="171">
        <v>70.989999999999995</v>
      </c>
      <c r="W1495" s="171">
        <v>62.31</v>
      </c>
      <c r="X1495" s="171">
        <v>56.18</v>
      </c>
      <c r="Y1495" s="171">
        <v>47.93</v>
      </c>
      <c r="Z1495" s="171">
        <v>47.910000000000004</v>
      </c>
      <c r="AA1495" s="171">
        <v>42.480000000000004</v>
      </c>
      <c r="AB1495" s="171">
        <v>70.989999999999995</v>
      </c>
      <c r="AC1495" s="171">
        <v>47.910000000000004</v>
      </c>
      <c r="AD1495" s="171">
        <v>41.35</v>
      </c>
      <c r="AF1495" s="171">
        <f t="shared" si="71"/>
        <v>2012</v>
      </c>
      <c r="AG1495" s="171">
        <f t="shared" si="72"/>
        <v>7</v>
      </c>
      <c r="AH1495" s="700">
        <f>SUMIF(D$3:$AA1495,"&lt;="&amp;$AH$1)/COUNTIF(D$3:$AA1495,"&lt;="&amp;$AH$1)</f>
        <v>30.638222222222367</v>
      </c>
    </row>
    <row r="1496" spans="2:34" x14ac:dyDescent="0.25">
      <c r="B1496" s="910">
        <v>40920</v>
      </c>
      <c r="C1496" s="581">
        <f t="shared" si="70"/>
        <v>1</v>
      </c>
      <c r="D1496" s="171">
        <v>40.42</v>
      </c>
      <c r="E1496" s="171">
        <v>38.770000000000003</v>
      </c>
      <c r="F1496" s="171">
        <v>38.020000000000003</v>
      </c>
      <c r="G1496" s="171">
        <v>35.19</v>
      </c>
      <c r="H1496" s="171">
        <v>29.21</v>
      </c>
      <c r="I1496" s="171">
        <v>36.11</v>
      </c>
      <c r="J1496" s="171">
        <v>45.21</v>
      </c>
      <c r="K1496" s="171">
        <v>52.79</v>
      </c>
      <c r="L1496" s="171">
        <v>56.42</v>
      </c>
      <c r="M1496" s="171">
        <v>53.36</v>
      </c>
      <c r="N1496" s="171">
        <v>54.14</v>
      </c>
      <c r="O1496" s="171">
        <v>55.18</v>
      </c>
      <c r="P1496" s="171">
        <v>53.02</v>
      </c>
      <c r="Q1496" s="171">
        <v>51</v>
      </c>
      <c r="R1496" s="171">
        <v>45.2</v>
      </c>
      <c r="S1496" s="171">
        <v>42.43</v>
      </c>
      <c r="T1496" s="171">
        <v>43.39</v>
      </c>
      <c r="U1496" s="171">
        <v>56.18</v>
      </c>
      <c r="V1496" s="171">
        <v>65.989999999999995</v>
      </c>
      <c r="W1496" s="171">
        <v>59.58</v>
      </c>
      <c r="X1496" s="171">
        <v>48.01</v>
      </c>
      <c r="Y1496" s="171">
        <v>46.29</v>
      </c>
      <c r="Z1496" s="171">
        <v>47.800000000000004</v>
      </c>
      <c r="AA1496" s="171">
        <v>45</v>
      </c>
      <c r="AB1496" s="171">
        <v>65.989999999999995</v>
      </c>
      <c r="AC1496" s="171">
        <v>42.43</v>
      </c>
      <c r="AD1496" s="171">
        <v>41.9</v>
      </c>
      <c r="AF1496" s="171">
        <f t="shared" si="71"/>
        <v>2012</v>
      </c>
      <c r="AG1496" s="171">
        <f t="shared" si="72"/>
        <v>7</v>
      </c>
      <c r="AH1496" s="700">
        <f>SUMIF(D$3:$AA1496,"&lt;="&amp;$AH$1)/COUNTIF(D$3:$AA1496,"&lt;="&amp;$AH$1)</f>
        <v>30.641782263092416</v>
      </c>
    </row>
    <row r="1497" spans="2:34" x14ac:dyDescent="0.25">
      <c r="B1497" s="910">
        <v>40921</v>
      </c>
      <c r="C1497" s="581">
        <f t="shared" si="70"/>
        <v>1</v>
      </c>
      <c r="D1497" s="171">
        <v>45.69</v>
      </c>
      <c r="E1497" s="171">
        <v>45</v>
      </c>
      <c r="F1497" s="171">
        <v>40.340000000000003</v>
      </c>
      <c r="G1497" s="171">
        <v>36.6</v>
      </c>
      <c r="H1497" s="171">
        <v>32.93</v>
      </c>
      <c r="I1497" s="171">
        <v>35.33</v>
      </c>
      <c r="J1497" s="171">
        <v>40</v>
      </c>
      <c r="K1497" s="171">
        <v>45.99</v>
      </c>
      <c r="L1497" s="171">
        <v>56.92</v>
      </c>
      <c r="M1497" s="171">
        <v>57.120000000000005</v>
      </c>
      <c r="N1497" s="171">
        <v>58.43</v>
      </c>
      <c r="O1497" s="171">
        <v>59.57</v>
      </c>
      <c r="P1497" s="171">
        <v>53.7</v>
      </c>
      <c r="Q1497" s="171">
        <v>51.120000000000005</v>
      </c>
      <c r="R1497" s="171">
        <v>46.33</v>
      </c>
      <c r="S1497" s="171">
        <v>44.76</v>
      </c>
      <c r="T1497" s="171">
        <v>44.11</v>
      </c>
      <c r="U1497" s="171">
        <v>61.2</v>
      </c>
      <c r="V1497" s="171">
        <v>67.7</v>
      </c>
      <c r="W1497" s="171">
        <v>60.6</v>
      </c>
      <c r="X1497" s="171">
        <v>50.620000000000005</v>
      </c>
      <c r="Y1497" s="171">
        <v>47.08</v>
      </c>
      <c r="Z1497" s="171">
        <v>46.38</v>
      </c>
      <c r="AA1497" s="171">
        <v>43.85</v>
      </c>
      <c r="AB1497" s="171">
        <v>67.7</v>
      </c>
      <c r="AC1497" s="171">
        <v>44.11</v>
      </c>
      <c r="AD1497" s="171">
        <v>42.480000000000004</v>
      </c>
      <c r="AF1497" s="171">
        <f t="shared" si="71"/>
        <v>2012</v>
      </c>
      <c r="AG1497" s="171">
        <f t="shared" si="72"/>
        <v>5</v>
      </c>
      <c r="AH1497" s="700">
        <f>SUMIF(D$3:$AA1497,"&lt;="&amp;$AH$1)/COUNTIF(D$3:$AA1497,"&lt;="&amp;$AH$1)</f>
        <v>30.644274363169114</v>
      </c>
    </row>
    <row r="1498" spans="2:34" x14ac:dyDescent="0.25">
      <c r="B1498" s="910">
        <v>40924</v>
      </c>
      <c r="C1498" s="581">
        <f t="shared" si="70"/>
        <v>1</v>
      </c>
      <c r="D1498" s="171">
        <v>41.94</v>
      </c>
      <c r="E1498" s="171">
        <v>39.69</v>
      </c>
      <c r="F1498" s="171">
        <v>38</v>
      </c>
      <c r="G1498" s="171">
        <v>33.58</v>
      </c>
      <c r="H1498" s="171">
        <v>33.47</v>
      </c>
      <c r="I1498" s="171">
        <v>36.119999999999997</v>
      </c>
      <c r="J1498" s="171">
        <v>42.29</v>
      </c>
      <c r="K1498" s="171">
        <v>57.96</v>
      </c>
      <c r="L1498" s="171">
        <v>60.89</v>
      </c>
      <c r="M1498" s="171">
        <v>57.050000000000004</v>
      </c>
      <c r="N1498" s="171">
        <v>56.18</v>
      </c>
      <c r="O1498" s="171">
        <v>53.28</v>
      </c>
      <c r="P1498" s="171">
        <v>53.19</v>
      </c>
      <c r="Q1498" s="171">
        <v>51.9</v>
      </c>
      <c r="R1498" s="171">
        <v>49.08</v>
      </c>
      <c r="S1498" s="171">
        <v>49.93</v>
      </c>
      <c r="T1498" s="171">
        <v>52.42</v>
      </c>
      <c r="U1498" s="171">
        <v>60.160000000000004</v>
      </c>
      <c r="V1498" s="171">
        <v>70.45</v>
      </c>
      <c r="W1498" s="171">
        <v>61.4</v>
      </c>
      <c r="X1498" s="171">
        <v>53.26</v>
      </c>
      <c r="Y1498" s="171">
        <v>45.64</v>
      </c>
      <c r="Z1498" s="171">
        <v>46.96</v>
      </c>
      <c r="AA1498" s="171">
        <v>43.37</v>
      </c>
      <c r="AB1498" s="171">
        <v>70.45</v>
      </c>
      <c r="AC1498" s="171">
        <v>45.64</v>
      </c>
      <c r="AD1498" s="171">
        <v>42.69</v>
      </c>
      <c r="AF1498" s="171">
        <f t="shared" si="71"/>
        <v>2012</v>
      </c>
      <c r="AG1498" s="171">
        <f t="shared" si="72"/>
        <v>7</v>
      </c>
      <c r="AH1498" s="700">
        <f>SUMIF(D$3:$AA1498,"&lt;="&amp;$AH$1)/COUNTIF(D$3:$AA1498,"&lt;="&amp;$AH$1)</f>
        <v>30.648212394892703</v>
      </c>
    </row>
    <row r="1499" spans="2:34" x14ac:dyDescent="0.25">
      <c r="B1499" s="910">
        <v>40925</v>
      </c>
      <c r="C1499" s="581">
        <f t="shared" si="70"/>
        <v>1</v>
      </c>
      <c r="D1499" s="171">
        <v>40.14</v>
      </c>
      <c r="E1499" s="171">
        <v>40.130000000000003</v>
      </c>
      <c r="F1499" s="171">
        <v>39.93</v>
      </c>
      <c r="G1499" s="171">
        <v>38.6</v>
      </c>
      <c r="H1499" s="171">
        <v>38.08</v>
      </c>
      <c r="I1499" s="171">
        <v>40.14</v>
      </c>
      <c r="J1499" s="171">
        <v>46.63</v>
      </c>
      <c r="K1499" s="171">
        <v>57.39</v>
      </c>
      <c r="L1499" s="171">
        <v>59.28</v>
      </c>
      <c r="M1499" s="171">
        <v>57.980000000000004</v>
      </c>
      <c r="N1499" s="171">
        <v>54.120000000000005</v>
      </c>
      <c r="O1499" s="171">
        <v>53.980000000000004</v>
      </c>
      <c r="P1499" s="171">
        <v>52.22</v>
      </c>
      <c r="Q1499" s="171">
        <v>51.28</v>
      </c>
      <c r="R1499" s="171">
        <v>49.95</v>
      </c>
      <c r="S1499" s="171">
        <v>50.13</v>
      </c>
      <c r="T1499" s="171">
        <v>53.6</v>
      </c>
      <c r="U1499" s="171">
        <v>61.56</v>
      </c>
      <c r="V1499" s="171">
        <v>68.2</v>
      </c>
      <c r="W1499" s="171">
        <v>59.24</v>
      </c>
      <c r="X1499" s="171">
        <v>52.15</v>
      </c>
      <c r="Y1499" s="171">
        <v>44.57</v>
      </c>
      <c r="Z1499" s="171">
        <v>46.730000000000004</v>
      </c>
      <c r="AA1499" s="171">
        <v>44.410000000000004</v>
      </c>
      <c r="AB1499" s="171">
        <v>68.2</v>
      </c>
      <c r="AC1499" s="171">
        <v>44.57</v>
      </c>
      <c r="AD1499" s="171">
        <v>44.08</v>
      </c>
      <c r="AF1499" s="171">
        <f t="shared" si="71"/>
        <v>2012</v>
      </c>
      <c r="AG1499" s="171">
        <f t="shared" si="72"/>
        <v>6</v>
      </c>
      <c r="AH1499" s="700">
        <f>SUMIF(D$3:$AA1499,"&lt;="&amp;$AH$1)/COUNTIF(D$3:$AA1499,"&lt;="&amp;$AH$1)</f>
        <v>30.652347081712211</v>
      </c>
    </row>
    <row r="1500" spans="2:34" x14ac:dyDescent="0.25">
      <c r="B1500" s="910">
        <v>40926</v>
      </c>
      <c r="C1500" s="581">
        <f t="shared" si="70"/>
        <v>1</v>
      </c>
      <c r="D1500" s="171">
        <v>42.5</v>
      </c>
      <c r="E1500" s="171">
        <v>41.5</v>
      </c>
      <c r="F1500" s="171">
        <v>40.29</v>
      </c>
      <c r="G1500" s="171">
        <v>39.29</v>
      </c>
      <c r="H1500" s="171">
        <v>39.380000000000003</v>
      </c>
      <c r="I1500" s="171">
        <v>40.1</v>
      </c>
      <c r="J1500" s="171">
        <v>45.6</v>
      </c>
      <c r="K1500" s="171">
        <v>54.800000000000004</v>
      </c>
      <c r="L1500" s="171">
        <v>62.75</v>
      </c>
      <c r="M1500" s="171">
        <v>57.620000000000005</v>
      </c>
      <c r="N1500" s="171">
        <v>47.7</v>
      </c>
      <c r="O1500" s="171">
        <v>46.32</v>
      </c>
      <c r="P1500" s="171">
        <v>44.59</v>
      </c>
      <c r="Q1500" s="171">
        <v>44</v>
      </c>
      <c r="R1500" s="171">
        <v>43.12</v>
      </c>
      <c r="S1500" s="171">
        <v>44.59</v>
      </c>
      <c r="T1500" s="171">
        <v>44.300000000000004</v>
      </c>
      <c r="U1500" s="171">
        <v>55.27</v>
      </c>
      <c r="V1500" s="171">
        <v>47.18</v>
      </c>
      <c r="W1500" s="171">
        <v>42.050000000000004</v>
      </c>
      <c r="X1500" s="171">
        <v>44.19</v>
      </c>
      <c r="Y1500" s="171">
        <v>43.14</v>
      </c>
      <c r="Z1500" s="171">
        <v>43.99</v>
      </c>
      <c r="AA1500" s="171">
        <v>42.43</v>
      </c>
      <c r="AB1500" s="171">
        <v>62.75</v>
      </c>
      <c r="AC1500" s="171">
        <v>42.050000000000004</v>
      </c>
      <c r="AD1500" s="171">
        <v>43.1</v>
      </c>
      <c r="AF1500" s="171">
        <f t="shared" si="71"/>
        <v>2012</v>
      </c>
      <c r="AG1500" s="171">
        <f t="shared" si="72"/>
        <v>8</v>
      </c>
      <c r="AH1500" s="700">
        <f>SUMIF(D$3:$AA1500,"&lt;="&amp;$AH$1)/COUNTIF(D$3:$AA1500,"&lt;="&amp;$AH$1)</f>
        <v>30.658749416705696</v>
      </c>
    </row>
    <row r="1501" spans="2:34" x14ac:dyDescent="0.25">
      <c r="B1501" s="910">
        <v>40927</v>
      </c>
      <c r="C1501" s="581">
        <f t="shared" si="70"/>
        <v>1</v>
      </c>
      <c r="D1501" s="171">
        <v>42.5</v>
      </c>
      <c r="E1501" s="171">
        <v>41.5</v>
      </c>
      <c r="F1501" s="171">
        <v>40.29</v>
      </c>
      <c r="G1501" s="171">
        <v>39.29</v>
      </c>
      <c r="H1501" s="171">
        <v>39.380000000000003</v>
      </c>
      <c r="I1501" s="171">
        <v>40.1</v>
      </c>
      <c r="J1501" s="171">
        <v>45.6</v>
      </c>
      <c r="K1501" s="171">
        <v>54.800000000000004</v>
      </c>
      <c r="L1501" s="171">
        <v>62.75</v>
      </c>
      <c r="M1501" s="171">
        <v>57.620000000000005</v>
      </c>
      <c r="N1501" s="171">
        <v>47.7</v>
      </c>
      <c r="O1501" s="171">
        <v>46.32</v>
      </c>
      <c r="P1501" s="171">
        <v>44.59</v>
      </c>
      <c r="Q1501" s="171">
        <v>44</v>
      </c>
      <c r="R1501" s="171">
        <v>43.12</v>
      </c>
      <c r="S1501" s="171">
        <v>44.59</v>
      </c>
      <c r="T1501" s="171">
        <v>44.300000000000004</v>
      </c>
      <c r="U1501" s="171">
        <v>55.27</v>
      </c>
      <c r="V1501" s="171">
        <v>47.18</v>
      </c>
      <c r="W1501" s="171">
        <v>42.050000000000004</v>
      </c>
      <c r="X1501" s="171">
        <v>44.19</v>
      </c>
      <c r="Y1501" s="171">
        <v>43.14</v>
      </c>
      <c r="Z1501" s="171">
        <v>43.99</v>
      </c>
      <c r="AA1501" s="171">
        <v>42.43</v>
      </c>
      <c r="AB1501" s="171">
        <v>62.75</v>
      </c>
      <c r="AC1501" s="171">
        <v>42.050000000000004</v>
      </c>
      <c r="AD1501" s="171">
        <v>43.1</v>
      </c>
      <c r="AF1501" s="171">
        <f t="shared" si="71"/>
        <v>2012</v>
      </c>
      <c r="AG1501" s="171">
        <f t="shared" si="72"/>
        <v>8</v>
      </c>
      <c r="AH1501" s="700">
        <f>SUMIF(D$3:$AA1501,"&lt;="&amp;$AH$1)/COUNTIF(D$3:$AA1501,"&lt;="&amp;$AH$1)</f>
        <v>30.665143789833806</v>
      </c>
    </row>
    <row r="1502" spans="2:34" x14ac:dyDescent="0.25">
      <c r="B1502" s="910">
        <v>40928</v>
      </c>
      <c r="C1502" s="581">
        <f t="shared" si="70"/>
        <v>1</v>
      </c>
      <c r="D1502" s="171">
        <v>35.950000000000003</v>
      </c>
      <c r="E1502" s="171">
        <v>31.54</v>
      </c>
      <c r="F1502" s="171">
        <v>30.23</v>
      </c>
      <c r="G1502" s="171">
        <v>30.09</v>
      </c>
      <c r="H1502" s="171">
        <v>31.39</v>
      </c>
      <c r="I1502" s="171">
        <v>31.17</v>
      </c>
      <c r="J1502" s="171">
        <v>39.33</v>
      </c>
      <c r="K1502" s="171">
        <v>45.95</v>
      </c>
      <c r="L1502" s="171">
        <v>49.910000000000004</v>
      </c>
      <c r="M1502" s="171">
        <v>50.120000000000005</v>
      </c>
      <c r="N1502" s="171">
        <v>50.35</v>
      </c>
      <c r="O1502" s="171">
        <v>53.03</v>
      </c>
      <c r="P1502" s="171">
        <v>51.69</v>
      </c>
      <c r="Q1502" s="171">
        <v>49.51</v>
      </c>
      <c r="R1502" s="171">
        <v>46.47</v>
      </c>
      <c r="S1502" s="171">
        <v>45.24</v>
      </c>
      <c r="T1502" s="171">
        <v>47.480000000000004</v>
      </c>
      <c r="U1502" s="171">
        <v>55.07</v>
      </c>
      <c r="V1502" s="171">
        <v>58.46</v>
      </c>
      <c r="W1502" s="171">
        <v>51.58</v>
      </c>
      <c r="X1502" s="171">
        <v>46.44</v>
      </c>
      <c r="Y1502" s="171">
        <v>41.49</v>
      </c>
      <c r="Z1502" s="171">
        <v>44.25</v>
      </c>
      <c r="AA1502" s="171">
        <v>44.58</v>
      </c>
      <c r="AB1502" s="171">
        <v>58.46</v>
      </c>
      <c r="AC1502" s="171">
        <v>41.49</v>
      </c>
      <c r="AD1502" s="171">
        <v>37.700000000000003</v>
      </c>
      <c r="AF1502" s="171">
        <f t="shared" si="71"/>
        <v>2012</v>
      </c>
      <c r="AG1502" s="171">
        <f t="shared" si="72"/>
        <v>8</v>
      </c>
      <c r="AH1502" s="700">
        <f>SUMIF(D$3:$AA1502,"&lt;="&amp;$AH$1)/COUNTIF(D$3:$AA1502,"&lt;="&amp;$AH$1)</f>
        <v>30.667153176945916</v>
      </c>
    </row>
    <row r="1503" spans="2:34" x14ac:dyDescent="0.25">
      <c r="B1503" s="910">
        <v>40931</v>
      </c>
      <c r="C1503" s="581">
        <f t="shared" si="70"/>
        <v>1</v>
      </c>
      <c r="D1503" s="171">
        <v>31.98</v>
      </c>
      <c r="E1503" s="171">
        <v>31.32</v>
      </c>
      <c r="F1503" s="171">
        <v>30.96</v>
      </c>
      <c r="G1503" s="171">
        <v>30.44</v>
      </c>
      <c r="H1503" s="171">
        <v>28.02</v>
      </c>
      <c r="I1503" s="171">
        <v>31.63</v>
      </c>
      <c r="J1503" s="171">
        <v>41.15</v>
      </c>
      <c r="K1503" s="171">
        <v>52.06</v>
      </c>
      <c r="L1503" s="171">
        <v>55.01</v>
      </c>
      <c r="M1503" s="171">
        <v>50.97</v>
      </c>
      <c r="N1503" s="171">
        <v>50.79</v>
      </c>
      <c r="O1503" s="171">
        <v>51.51</v>
      </c>
      <c r="P1503" s="171">
        <v>50.06</v>
      </c>
      <c r="Q1503" s="171">
        <v>47.9</v>
      </c>
      <c r="R1503" s="171">
        <v>46.82</v>
      </c>
      <c r="S1503" s="171">
        <v>45.07</v>
      </c>
      <c r="T1503" s="171">
        <v>46.230000000000004</v>
      </c>
      <c r="U1503" s="171">
        <v>55.050000000000004</v>
      </c>
      <c r="V1503" s="171">
        <v>60.2</v>
      </c>
      <c r="W1503" s="171">
        <v>55.15</v>
      </c>
      <c r="X1503" s="171">
        <v>47.410000000000004</v>
      </c>
      <c r="Y1503" s="171">
        <v>40.57</v>
      </c>
      <c r="Z1503" s="171">
        <v>39.69</v>
      </c>
      <c r="AA1503" s="171">
        <v>37.44</v>
      </c>
      <c r="AB1503" s="171">
        <v>60.2</v>
      </c>
      <c r="AC1503" s="171">
        <v>39.69</v>
      </c>
      <c r="AD1503" s="171">
        <v>36.89</v>
      </c>
      <c r="AF1503" s="171">
        <f t="shared" si="71"/>
        <v>2012</v>
      </c>
      <c r="AG1503" s="171">
        <f t="shared" si="72"/>
        <v>10</v>
      </c>
      <c r="AH1503" s="700">
        <f>SUMIF(D$3:$AA1503,"&lt;="&amp;$AH$1)/COUNTIF(D$3:$AA1503,"&lt;="&amp;$AH$1)</f>
        <v>30.669988357653043</v>
      </c>
    </row>
    <row r="1504" spans="2:34" x14ac:dyDescent="0.25">
      <c r="B1504" s="910">
        <v>40932</v>
      </c>
      <c r="C1504" s="581">
        <f t="shared" si="70"/>
        <v>1</v>
      </c>
      <c r="D1504" s="171">
        <v>40.230000000000004</v>
      </c>
      <c r="E1504" s="171">
        <v>38.35</v>
      </c>
      <c r="F1504" s="171">
        <v>35.81</v>
      </c>
      <c r="G1504" s="171">
        <v>34.42</v>
      </c>
      <c r="H1504" s="171">
        <v>35.160000000000004</v>
      </c>
      <c r="I1504" s="171">
        <v>37.340000000000003</v>
      </c>
      <c r="J1504" s="171">
        <v>42</v>
      </c>
      <c r="K1504" s="171">
        <v>53.18</v>
      </c>
      <c r="L1504" s="171">
        <v>54.93</v>
      </c>
      <c r="M1504" s="171">
        <v>55.93</v>
      </c>
      <c r="N1504" s="171">
        <v>54.27</v>
      </c>
      <c r="O1504" s="171">
        <v>53.99</v>
      </c>
      <c r="P1504" s="171">
        <v>52.97</v>
      </c>
      <c r="Q1504" s="171">
        <v>52.35</v>
      </c>
      <c r="R1504" s="171">
        <v>51.2</v>
      </c>
      <c r="S1504" s="171">
        <v>50.97</v>
      </c>
      <c r="T1504" s="171">
        <v>48.410000000000004</v>
      </c>
      <c r="U1504" s="171">
        <v>62.63</v>
      </c>
      <c r="V1504" s="171">
        <v>67.010000000000005</v>
      </c>
      <c r="W1504" s="171">
        <v>59.32</v>
      </c>
      <c r="X1504" s="171">
        <v>52.99</v>
      </c>
      <c r="Y1504" s="171">
        <v>47.96</v>
      </c>
      <c r="Z1504" s="171">
        <v>47.96</v>
      </c>
      <c r="AA1504" s="171">
        <v>44.61</v>
      </c>
      <c r="AB1504" s="171">
        <v>67.010000000000005</v>
      </c>
      <c r="AC1504" s="171">
        <v>47.96</v>
      </c>
      <c r="AD1504" s="171">
        <v>42.5</v>
      </c>
      <c r="AF1504" s="171">
        <f t="shared" si="71"/>
        <v>2012</v>
      </c>
      <c r="AG1504" s="171">
        <f t="shared" si="72"/>
        <v>7</v>
      </c>
      <c r="AH1504" s="700">
        <f>SUMIF(D$3:$AA1504,"&lt;="&amp;$AH$1)/COUNTIF(D$3:$AA1504,"&lt;="&amp;$AH$1)</f>
        <v>30.673759987588376</v>
      </c>
    </row>
    <row r="1505" spans="2:34" x14ac:dyDescent="0.25">
      <c r="B1505" s="910">
        <v>40933</v>
      </c>
      <c r="C1505" s="581">
        <f t="shared" si="70"/>
        <v>1</v>
      </c>
      <c r="D1505" s="171">
        <v>41.800000000000004</v>
      </c>
      <c r="E1505" s="171">
        <v>39.480000000000004</v>
      </c>
      <c r="F1505" s="171">
        <v>38.270000000000003</v>
      </c>
      <c r="G1505" s="171">
        <v>37.18</v>
      </c>
      <c r="H1505" s="171">
        <v>37</v>
      </c>
      <c r="I1505" s="171">
        <v>38.5</v>
      </c>
      <c r="J1505" s="171">
        <v>43.160000000000004</v>
      </c>
      <c r="K1505" s="171">
        <v>52.300000000000004</v>
      </c>
      <c r="L1505" s="171">
        <v>58.04</v>
      </c>
      <c r="M1505" s="171">
        <v>55.07</v>
      </c>
      <c r="N1505" s="171">
        <v>51.5</v>
      </c>
      <c r="O1505" s="171">
        <v>50.24</v>
      </c>
      <c r="P1505" s="171">
        <v>47.51</v>
      </c>
      <c r="Q1505" s="171">
        <v>45.87</v>
      </c>
      <c r="R1505" s="171">
        <v>45.13</v>
      </c>
      <c r="S1505" s="171">
        <v>45.11</v>
      </c>
      <c r="T1505" s="171">
        <v>46.52</v>
      </c>
      <c r="U1505" s="171">
        <v>53.2</v>
      </c>
      <c r="V1505" s="171">
        <v>66.09</v>
      </c>
      <c r="W1505" s="171">
        <v>53.99</v>
      </c>
      <c r="X1505" s="171">
        <v>47.160000000000004</v>
      </c>
      <c r="Y1505" s="171">
        <v>45.35</v>
      </c>
      <c r="Z1505" s="171">
        <v>42.52</v>
      </c>
      <c r="AA1505" s="171">
        <v>40.28</v>
      </c>
      <c r="AB1505" s="171">
        <v>66.09</v>
      </c>
      <c r="AC1505" s="171">
        <v>42.52</v>
      </c>
      <c r="AD1505" s="171">
        <v>41.92</v>
      </c>
      <c r="AF1505" s="171">
        <f t="shared" si="71"/>
        <v>2012</v>
      </c>
      <c r="AG1505" s="171">
        <f t="shared" si="72"/>
        <v>8</v>
      </c>
      <c r="AH1505" s="700">
        <f>SUMIF(D$3:$AA1505,"&lt;="&amp;$AH$1)/COUNTIF(D$3:$AA1505,"&lt;="&amp;$AH$1)</f>
        <v>30.679158849523358</v>
      </c>
    </row>
    <row r="1506" spans="2:34" x14ac:dyDescent="0.25">
      <c r="B1506" s="910">
        <v>40934</v>
      </c>
      <c r="C1506" s="581">
        <f t="shared" si="70"/>
        <v>1</v>
      </c>
      <c r="D1506" s="171">
        <v>38.86</v>
      </c>
      <c r="E1506" s="171">
        <v>37.730000000000004</v>
      </c>
      <c r="F1506" s="171">
        <v>36.450000000000003</v>
      </c>
      <c r="G1506" s="171">
        <v>33.590000000000003</v>
      </c>
      <c r="H1506" s="171">
        <v>33.96</v>
      </c>
      <c r="I1506" s="171">
        <v>35.71</v>
      </c>
      <c r="J1506" s="171">
        <v>42.29</v>
      </c>
      <c r="K1506" s="171">
        <v>54.54</v>
      </c>
      <c r="L1506" s="171">
        <v>57.78</v>
      </c>
      <c r="M1506" s="171">
        <v>51.96</v>
      </c>
      <c r="N1506" s="171">
        <v>48.51</v>
      </c>
      <c r="O1506" s="171">
        <v>50</v>
      </c>
      <c r="P1506" s="171">
        <v>46.84</v>
      </c>
      <c r="Q1506" s="171">
        <v>45.69</v>
      </c>
      <c r="R1506" s="171">
        <v>43.15</v>
      </c>
      <c r="S1506" s="171">
        <v>45.29</v>
      </c>
      <c r="T1506" s="171">
        <v>46.26</v>
      </c>
      <c r="U1506" s="171">
        <v>57.25</v>
      </c>
      <c r="V1506" s="171">
        <v>67</v>
      </c>
      <c r="W1506" s="171">
        <v>59.06</v>
      </c>
      <c r="X1506" s="171">
        <v>49</v>
      </c>
      <c r="Y1506" s="171">
        <v>42.910000000000004</v>
      </c>
      <c r="Z1506" s="171">
        <v>44.94</v>
      </c>
      <c r="AA1506" s="171">
        <v>40.53</v>
      </c>
      <c r="AB1506" s="171">
        <v>67</v>
      </c>
      <c r="AC1506" s="171">
        <v>42.910000000000004</v>
      </c>
      <c r="AD1506" s="171">
        <v>40.880000000000003</v>
      </c>
      <c r="AF1506" s="171">
        <f t="shared" si="71"/>
        <v>2012</v>
      </c>
      <c r="AG1506" s="171">
        <f t="shared" si="72"/>
        <v>8</v>
      </c>
      <c r="AH1506" s="700">
        <f>SUMIF(D$3:$AA1506,"&lt;="&amp;$AH$1)/COUNTIF(D$3:$AA1506,"&lt;="&amp;$AH$1)</f>
        <v>30.683318354381484</v>
      </c>
    </row>
    <row r="1507" spans="2:34" x14ac:dyDescent="0.25">
      <c r="B1507" s="910">
        <v>40935</v>
      </c>
      <c r="C1507" s="581">
        <f t="shared" si="70"/>
        <v>1</v>
      </c>
      <c r="D1507" s="171">
        <v>40.58</v>
      </c>
      <c r="E1507" s="171">
        <v>39.32</v>
      </c>
      <c r="F1507" s="171">
        <v>37.96</v>
      </c>
      <c r="G1507" s="171">
        <v>34.950000000000003</v>
      </c>
      <c r="H1507" s="171">
        <v>34.31</v>
      </c>
      <c r="I1507" s="171">
        <v>39.65</v>
      </c>
      <c r="J1507" s="171">
        <v>42.800000000000004</v>
      </c>
      <c r="K1507" s="171">
        <v>51.97</v>
      </c>
      <c r="L1507" s="171">
        <v>55.94</v>
      </c>
      <c r="M1507" s="171">
        <v>59.15</v>
      </c>
      <c r="N1507" s="171">
        <v>58.54</v>
      </c>
      <c r="O1507" s="171">
        <v>56.68</v>
      </c>
      <c r="P1507" s="171">
        <v>58</v>
      </c>
      <c r="Q1507" s="171">
        <v>51.56</v>
      </c>
      <c r="R1507" s="171">
        <v>47.800000000000004</v>
      </c>
      <c r="S1507" s="171">
        <v>45.34</v>
      </c>
      <c r="T1507" s="171">
        <v>46.04</v>
      </c>
      <c r="U1507" s="171">
        <v>52.29</v>
      </c>
      <c r="V1507" s="171">
        <v>65.040000000000006</v>
      </c>
      <c r="W1507" s="171">
        <v>59.7</v>
      </c>
      <c r="X1507" s="171">
        <v>47.99</v>
      </c>
      <c r="Y1507" s="171">
        <v>44.75</v>
      </c>
      <c r="Z1507" s="171">
        <v>47.910000000000004</v>
      </c>
      <c r="AA1507" s="171">
        <v>44.75</v>
      </c>
      <c r="AB1507" s="171">
        <v>65.040000000000006</v>
      </c>
      <c r="AC1507" s="171">
        <v>44.75</v>
      </c>
      <c r="AD1507" s="171">
        <v>42.24</v>
      </c>
      <c r="AF1507" s="171">
        <f t="shared" si="71"/>
        <v>2012</v>
      </c>
      <c r="AG1507" s="171">
        <f t="shared" si="72"/>
        <v>6</v>
      </c>
      <c r="AH1507" s="700">
        <f>SUMIF(D$3:$AA1507,"&lt;="&amp;$AH$1)/COUNTIF(D$3:$AA1507,"&lt;="&amp;$AH$1)</f>
        <v>30.686622783241841</v>
      </c>
    </row>
    <row r="1508" spans="2:34" x14ac:dyDescent="0.25">
      <c r="B1508" s="910">
        <v>40938</v>
      </c>
      <c r="C1508" s="581">
        <f t="shared" si="70"/>
        <v>1</v>
      </c>
      <c r="D1508" s="171">
        <v>37.47</v>
      </c>
      <c r="E1508" s="171">
        <v>34.24</v>
      </c>
      <c r="F1508" s="171">
        <v>32.549999999999997</v>
      </c>
      <c r="G1508" s="171">
        <v>30.080000000000002</v>
      </c>
      <c r="H1508" s="171">
        <v>29.67</v>
      </c>
      <c r="I1508" s="171">
        <v>32.19</v>
      </c>
      <c r="J1508" s="171">
        <v>40.06</v>
      </c>
      <c r="K1508" s="171">
        <v>51.35</v>
      </c>
      <c r="L1508" s="171">
        <v>55.97</v>
      </c>
      <c r="M1508" s="171">
        <v>52.910000000000004</v>
      </c>
      <c r="N1508" s="171">
        <v>49.08</v>
      </c>
      <c r="O1508" s="171">
        <v>49.9</v>
      </c>
      <c r="P1508" s="171">
        <v>46.65</v>
      </c>
      <c r="Q1508" s="171">
        <v>46.65</v>
      </c>
      <c r="R1508" s="171">
        <v>45.410000000000004</v>
      </c>
      <c r="S1508" s="171">
        <v>46.480000000000004</v>
      </c>
      <c r="T1508" s="171">
        <v>49.93</v>
      </c>
      <c r="U1508" s="171">
        <v>58.71</v>
      </c>
      <c r="V1508" s="171">
        <v>59.28</v>
      </c>
      <c r="W1508" s="171">
        <v>51.59</v>
      </c>
      <c r="X1508" s="171">
        <v>45.39</v>
      </c>
      <c r="Y1508" s="171">
        <v>42.19</v>
      </c>
      <c r="Z1508" s="171">
        <v>40.660000000000004</v>
      </c>
      <c r="AA1508" s="171">
        <v>37.54</v>
      </c>
      <c r="AB1508" s="171">
        <v>59.28</v>
      </c>
      <c r="AC1508" s="171">
        <v>40.660000000000004</v>
      </c>
      <c r="AD1508" s="171">
        <v>37.78</v>
      </c>
      <c r="AF1508" s="171">
        <f t="shared" si="71"/>
        <v>2012</v>
      </c>
      <c r="AG1508" s="171">
        <f t="shared" si="72"/>
        <v>10</v>
      </c>
      <c r="AH1508" s="700">
        <f>SUMIF(D$3:$AA1508,"&lt;="&amp;$AH$1)/COUNTIF(D$3:$AA1508,"&lt;="&amp;$AH$1)</f>
        <v>30.690475121875867</v>
      </c>
    </row>
    <row r="1509" spans="2:34" x14ac:dyDescent="0.25">
      <c r="B1509" s="910">
        <v>40939</v>
      </c>
      <c r="C1509" s="581">
        <f t="shared" si="70"/>
        <v>1</v>
      </c>
      <c r="D1509" s="171">
        <v>38.520000000000003</v>
      </c>
      <c r="E1509" s="171">
        <v>37.94</v>
      </c>
      <c r="F1509" s="171">
        <v>37.840000000000003</v>
      </c>
      <c r="G1509" s="171">
        <v>36.69</v>
      </c>
      <c r="H1509" s="171">
        <v>37.020000000000003</v>
      </c>
      <c r="I1509" s="171">
        <v>38.380000000000003</v>
      </c>
      <c r="J1509" s="171">
        <v>45.95</v>
      </c>
      <c r="K1509" s="171">
        <v>55.01</v>
      </c>
      <c r="L1509" s="171">
        <v>60.800000000000004</v>
      </c>
      <c r="M1509" s="171">
        <v>60.910000000000004</v>
      </c>
      <c r="N1509" s="171">
        <v>52.97</v>
      </c>
      <c r="O1509" s="171">
        <v>52.04</v>
      </c>
      <c r="P1509" s="171">
        <v>50.1</v>
      </c>
      <c r="Q1509" s="171">
        <v>48.99</v>
      </c>
      <c r="R1509" s="171">
        <v>45.82</v>
      </c>
      <c r="S1509" s="171">
        <v>48.92</v>
      </c>
      <c r="T1509" s="171">
        <v>48.88</v>
      </c>
      <c r="U1509" s="171">
        <v>58.44</v>
      </c>
      <c r="V1509" s="171">
        <v>70.94</v>
      </c>
      <c r="W1509" s="171">
        <v>56.9</v>
      </c>
      <c r="X1509" s="171">
        <v>49.97</v>
      </c>
      <c r="Y1509" s="171">
        <v>46.57</v>
      </c>
      <c r="Z1509" s="171">
        <v>46.94</v>
      </c>
      <c r="AA1509" s="171">
        <v>43.050000000000004</v>
      </c>
      <c r="AB1509" s="171">
        <v>70.94</v>
      </c>
      <c r="AC1509" s="171">
        <v>45.82</v>
      </c>
      <c r="AD1509" s="171">
        <v>42.82</v>
      </c>
      <c r="AF1509" s="171">
        <f t="shared" si="71"/>
        <v>2012</v>
      </c>
      <c r="AG1509" s="171">
        <f t="shared" si="72"/>
        <v>6</v>
      </c>
      <c r="AH1509" s="700">
        <f>SUMIF(D$3:$AA1509,"&lt;="&amp;$AH$1)/COUNTIF(D$3:$AA1509,"&lt;="&amp;$AH$1)</f>
        <v>30.6937427488593</v>
      </c>
    </row>
    <row r="1510" spans="2:34" x14ac:dyDescent="0.25">
      <c r="B1510" s="910">
        <v>40940</v>
      </c>
      <c r="C1510" s="581">
        <f t="shared" si="70"/>
        <v>2</v>
      </c>
      <c r="D1510" s="171">
        <v>41.9</v>
      </c>
      <c r="E1510" s="171">
        <v>40.090000000000003</v>
      </c>
      <c r="F1510" s="171">
        <v>38.520000000000003</v>
      </c>
      <c r="G1510" s="171">
        <v>38.700000000000003</v>
      </c>
      <c r="H1510" s="171">
        <v>39.94</v>
      </c>
      <c r="I1510" s="171">
        <v>43.33</v>
      </c>
      <c r="J1510" s="171">
        <v>45.02</v>
      </c>
      <c r="K1510" s="171">
        <v>56.04</v>
      </c>
      <c r="L1510" s="171">
        <v>59.7</v>
      </c>
      <c r="M1510" s="171">
        <v>61.19</v>
      </c>
      <c r="N1510" s="171">
        <v>62.230000000000004</v>
      </c>
      <c r="O1510" s="171">
        <v>59.27</v>
      </c>
      <c r="P1510" s="171">
        <v>58.480000000000004</v>
      </c>
      <c r="Q1510" s="171">
        <v>54.93</v>
      </c>
      <c r="R1510" s="171">
        <v>50.84</v>
      </c>
      <c r="S1510" s="171">
        <v>49.370000000000005</v>
      </c>
      <c r="T1510" s="171">
        <v>48.83</v>
      </c>
      <c r="U1510" s="171">
        <v>56.99</v>
      </c>
      <c r="V1510" s="171">
        <v>78.92</v>
      </c>
      <c r="W1510" s="171">
        <v>56.94</v>
      </c>
      <c r="X1510" s="171">
        <v>51.5</v>
      </c>
      <c r="Y1510" s="171">
        <v>47.980000000000004</v>
      </c>
      <c r="Z1510" s="171">
        <v>46.33</v>
      </c>
      <c r="AA1510" s="171">
        <v>42</v>
      </c>
      <c r="AB1510" s="171">
        <v>78.92</v>
      </c>
      <c r="AC1510" s="171">
        <v>46.33</v>
      </c>
      <c r="AD1510" s="171">
        <v>44.28</v>
      </c>
      <c r="AF1510" s="171">
        <f t="shared" si="71"/>
        <v>2012</v>
      </c>
      <c r="AG1510" s="171">
        <f t="shared" si="72"/>
        <v>6</v>
      </c>
      <c r="AH1510" s="700">
        <f>SUMIF(D$3:$AA1510,"&lt;="&amp;$AH$1)/COUNTIF(D$3:$AA1510,"&lt;="&amp;$AH$1)</f>
        <v>30.698148434480245</v>
      </c>
    </row>
    <row r="1511" spans="2:34" x14ac:dyDescent="0.25">
      <c r="B1511" s="910">
        <v>40941</v>
      </c>
      <c r="C1511" s="581">
        <f t="shared" si="70"/>
        <v>2</v>
      </c>
      <c r="D1511" s="171">
        <v>41.95</v>
      </c>
      <c r="E1511" s="171">
        <v>40.33</v>
      </c>
      <c r="F1511" s="171">
        <v>39.76</v>
      </c>
      <c r="G1511" s="171">
        <v>40.36</v>
      </c>
      <c r="H1511" s="171">
        <v>41.88</v>
      </c>
      <c r="I1511" s="171">
        <v>43.45</v>
      </c>
      <c r="J1511" s="171">
        <v>47.57</v>
      </c>
      <c r="K1511" s="171">
        <v>53.410000000000004</v>
      </c>
      <c r="L1511" s="171">
        <v>70.510000000000005</v>
      </c>
      <c r="M1511" s="171">
        <v>72.91</v>
      </c>
      <c r="N1511" s="171">
        <v>73.03</v>
      </c>
      <c r="O1511" s="171">
        <v>72.88</v>
      </c>
      <c r="P1511" s="171">
        <v>64.97</v>
      </c>
      <c r="Q1511" s="171">
        <v>59</v>
      </c>
      <c r="R1511" s="171">
        <v>56.11</v>
      </c>
      <c r="S1511" s="171">
        <v>56.910000000000004</v>
      </c>
      <c r="T1511" s="171">
        <v>55.04</v>
      </c>
      <c r="U1511" s="171">
        <v>75</v>
      </c>
      <c r="V1511" s="171">
        <v>120</v>
      </c>
      <c r="W1511" s="171">
        <v>99.92</v>
      </c>
      <c r="X1511" s="171">
        <v>66.23</v>
      </c>
      <c r="Y1511" s="171">
        <v>56.19</v>
      </c>
      <c r="Z1511" s="171">
        <v>49.56</v>
      </c>
      <c r="AA1511" s="171">
        <v>44.01</v>
      </c>
      <c r="AB1511" s="171">
        <v>120</v>
      </c>
      <c r="AC1511" s="171">
        <v>49.56</v>
      </c>
      <c r="AD1511" s="171">
        <v>47.06</v>
      </c>
      <c r="AF1511" s="171">
        <f t="shared" si="71"/>
        <v>2012</v>
      </c>
      <c r="AG1511" s="171">
        <f t="shared" si="72"/>
        <v>5</v>
      </c>
      <c r="AH1511" s="700">
        <f>SUMIF(D$3:$AA1511,"&lt;="&amp;$AH$1)/COUNTIF(D$3:$AA1511,"&lt;="&amp;$AH$1)</f>
        <v>30.702073415765224</v>
      </c>
    </row>
    <row r="1512" spans="2:34" x14ac:dyDescent="0.25">
      <c r="B1512" s="910">
        <v>40942</v>
      </c>
      <c r="C1512" s="581">
        <f t="shared" si="70"/>
        <v>2</v>
      </c>
      <c r="D1512" s="171">
        <v>45.910000000000004</v>
      </c>
      <c r="E1512" s="171">
        <v>43.800000000000004</v>
      </c>
      <c r="F1512" s="171">
        <v>42.160000000000004</v>
      </c>
      <c r="G1512" s="171">
        <v>42.53</v>
      </c>
      <c r="H1512" s="171">
        <v>42.95</v>
      </c>
      <c r="I1512" s="171">
        <v>42.96</v>
      </c>
      <c r="J1512" s="171">
        <v>51.99</v>
      </c>
      <c r="K1512" s="171">
        <v>84.94</v>
      </c>
      <c r="L1512" s="171">
        <v>106.51</v>
      </c>
      <c r="M1512" s="171">
        <v>85.8</v>
      </c>
      <c r="N1512" s="171">
        <v>79.960000000000008</v>
      </c>
      <c r="O1512" s="171">
        <v>80.06</v>
      </c>
      <c r="P1512" s="171">
        <v>67.7</v>
      </c>
      <c r="Q1512" s="171">
        <v>58.32</v>
      </c>
      <c r="R1512" s="171">
        <v>54.300000000000004</v>
      </c>
      <c r="S1512" s="171">
        <v>54.19</v>
      </c>
      <c r="T1512" s="171">
        <v>58.410000000000004</v>
      </c>
      <c r="U1512" s="171">
        <v>93.36</v>
      </c>
      <c r="V1512" s="171">
        <v>111.42</v>
      </c>
      <c r="W1512" s="171">
        <v>75.260000000000005</v>
      </c>
      <c r="X1512" s="171">
        <v>57.99</v>
      </c>
      <c r="Y1512" s="171">
        <v>50.74</v>
      </c>
      <c r="Z1512" s="171">
        <v>53</v>
      </c>
      <c r="AA1512" s="171">
        <v>44.28</v>
      </c>
      <c r="AB1512" s="171">
        <v>111.42</v>
      </c>
      <c r="AC1512" s="171">
        <v>50.74</v>
      </c>
      <c r="AD1512" s="171">
        <v>50.27</v>
      </c>
      <c r="AF1512" s="171">
        <f t="shared" si="71"/>
        <v>2012</v>
      </c>
      <c r="AG1512" s="171">
        <f t="shared" si="72"/>
        <v>2</v>
      </c>
      <c r="AH1512" s="700">
        <f>SUMIF(D$3:$AA1512,"&lt;="&amp;$AH$1)/COUNTIF(D$3:$AA1512,"&lt;="&amp;$AH$1)</f>
        <v>30.703872662648894</v>
      </c>
    </row>
    <row r="1513" spans="2:34" x14ac:dyDescent="0.25">
      <c r="B1513" s="910">
        <v>40945</v>
      </c>
      <c r="C1513" s="581">
        <f t="shared" si="70"/>
        <v>2</v>
      </c>
      <c r="D1513" s="171">
        <v>47.09</v>
      </c>
      <c r="E1513" s="171">
        <v>42.4</v>
      </c>
      <c r="F1513" s="171">
        <v>42</v>
      </c>
      <c r="G1513" s="171">
        <v>40.200000000000003</v>
      </c>
      <c r="H1513" s="171">
        <v>42.43</v>
      </c>
      <c r="I1513" s="171">
        <v>44.52</v>
      </c>
      <c r="J1513" s="171">
        <v>58</v>
      </c>
      <c r="K1513" s="171">
        <v>100.31</v>
      </c>
      <c r="L1513" s="171">
        <v>120</v>
      </c>
      <c r="M1513" s="171">
        <v>108.54</v>
      </c>
      <c r="N1513" s="171">
        <v>101.64</v>
      </c>
      <c r="O1513" s="171">
        <v>90.92</v>
      </c>
      <c r="P1513" s="171">
        <v>79.930000000000007</v>
      </c>
      <c r="Q1513" s="171">
        <v>79.600000000000009</v>
      </c>
      <c r="R1513" s="171">
        <v>73.97</v>
      </c>
      <c r="S1513" s="171">
        <v>73.78</v>
      </c>
      <c r="T1513" s="171">
        <v>84.98</v>
      </c>
      <c r="U1513" s="171">
        <v>105.71000000000001</v>
      </c>
      <c r="V1513" s="171">
        <v>142.91</v>
      </c>
      <c r="W1513" s="171">
        <v>124.78</v>
      </c>
      <c r="X1513" s="171">
        <v>100.09</v>
      </c>
      <c r="Y1513" s="171">
        <v>71.59</v>
      </c>
      <c r="Z1513" s="171">
        <v>65.27</v>
      </c>
      <c r="AA1513" s="171">
        <v>54.06</v>
      </c>
      <c r="AB1513" s="171">
        <v>142.91</v>
      </c>
      <c r="AC1513" s="171">
        <v>65.27</v>
      </c>
      <c r="AD1513" s="171">
        <v>59</v>
      </c>
      <c r="AF1513" s="171">
        <f t="shared" si="71"/>
        <v>2012</v>
      </c>
      <c r="AG1513" s="171">
        <f t="shared" si="72"/>
        <v>4</v>
      </c>
      <c r="AH1513" s="700">
        <f>SUMIF(D$3:$AA1513,"&lt;="&amp;$AH$1)/COUNTIF(D$3:$AA1513,"&lt;="&amp;$AH$1)</f>
        <v>30.707287965394872</v>
      </c>
    </row>
    <row r="1514" spans="2:34" x14ac:dyDescent="0.25">
      <c r="B1514" s="910">
        <v>40946</v>
      </c>
      <c r="C1514" s="581">
        <f t="shared" si="70"/>
        <v>2</v>
      </c>
      <c r="D1514" s="171">
        <v>53.54</v>
      </c>
      <c r="E1514" s="171">
        <v>51.800000000000004</v>
      </c>
      <c r="F1514" s="171">
        <v>46.96</v>
      </c>
      <c r="G1514" s="171">
        <v>45.07</v>
      </c>
      <c r="H1514" s="171">
        <v>45</v>
      </c>
      <c r="I1514" s="171">
        <v>47.02</v>
      </c>
      <c r="J1514" s="171">
        <v>66.58</v>
      </c>
      <c r="K1514" s="171">
        <v>120.03</v>
      </c>
      <c r="L1514" s="171">
        <v>120</v>
      </c>
      <c r="M1514" s="171">
        <v>115</v>
      </c>
      <c r="N1514" s="171">
        <v>99.3</v>
      </c>
      <c r="O1514" s="171">
        <v>95.93</v>
      </c>
      <c r="P1514" s="171">
        <v>95.91</v>
      </c>
      <c r="Q1514" s="171">
        <v>84.27</v>
      </c>
      <c r="R1514" s="171">
        <v>69.91</v>
      </c>
      <c r="S1514" s="171">
        <v>68.06</v>
      </c>
      <c r="T1514" s="171">
        <v>72.75</v>
      </c>
      <c r="U1514" s="171">
        <v>100</v>
      </c>
      <c r="V1514" s="171">
        <v>125.07000000000001</v>
      </c>
      <c r="W1514" s="171">
        <v>100.05</v>
      </c>
      <c r="X1514" s="171">
        <v>85.04</v>
      </c>
      <c r="Y1514" s="171">
        <v>61.38</v>
      </c>
      <c r="Z1514" s="171">
        <v>59.11</v>
      </c>
      <c r="AA1514" s="171">
        <v>46.77</v>
      </c>
      <c r="AB1514" s="171">
        <v>125.07000000000001</v>
      </c>
      <c r="AC1514" s="171">
        <v>59.11</v>
      </c>
      <c r="AD1514" s="171">
        <v>60.69</v>
      </c>
      <c r="AF1514" s="171">
        <f t="shared" si="71"/>
        <v>2012</v>
      </c>
      <c r="AG1514" s="171">
        <f t="shared" si="72"/>
        <v>0</v>
      </c>
      <c r="AH1514" s="700">
        <f>SUMIF(D$3:$AA1514,"&lt;="&amp;$AH$1)/COUNTIF(D$3:$AA1514,"&lt;="&amp;$AH$1)</f>
        <v>30.707287965394872</v>
      </c>
    </row>
    <row r="1515" spans="2:34" x14ac:dyDescent="0.25">
      <c r="B1515" s="910">
        <v>40947</v>
      </c>
      <c r="C1515" s="581">
        <f t="shared" si="70"/>
        <v>2</v>
      </c>
      <c r="D1515" s="171">
        <v>44.43</v>
      </c>
      <c r="E1515" s="171">
        <v>43.17</v>
      </c>
      <c r="F1515" s="171">
        <v>42.480000000000004</v>
      </c>
      <c r="G1515" s="171">
        <v>42.62</v>
      </c>
      <c r="H1515" s="171">
        <v>44.4</v>
      </c>
      <c r="I1515" s="171">
        <v>45.74</v>
      </c>
      <c r="J1515" s="171">
        <v>64.98</v>
      </c>
      <c r="K1515" s="171">
        <v>119.93</v>
      </c>
      <c r="L1515" s="171">
        <v>156</v>
      </c>
      <c r="M1515" s="171">
        <v>124.96000000000001</v>
      </c>
      <c r="N1515" s="171">
        <v>107.52</v>
      </c>
      <c r="O1515" s="171">
        <v>111.88</v>
      </c>
      <c r="P1515" s="171">
        <v>100.5</v>
      </c>
      <c r="Q1515" s="171">
        <v>100.08</v>
      </c>
      <c r="R1515" s="171">
        <v>99.91</v>
      </c>
      <c r="S1515" s="171">
        <v>105.51</v>
      </c>
      <c r="T1515" s="171">
        <v>121.12</v>
      </c>
      <c r="U1515" s="171">
        <v>151.88</v>
      </c>
      <c r="V1515" s="171">
        <v>210</v>
      </c>
      <c r="W1515" s="171">
        <v>169.9</v>
      </c>
      <c r="X1515" s="171">
        <v>136.03</v>
      </c>
      <c r="Y1515" s="171">
        <v>94.89</v>
      </c>
      <c r="Z1515" s="171">
        <v>79.710000000000008</v>
      </c>
      <c r="AA1515" s="171">
        <v>57.94</v>
      </c>
      <c r="AB1515" s="171">
        <v>210</v>
      </c>
      <c r="AC1515" s="171">
        <v>79.710000000000008</v>
      </c>
      <c r="AD1515" s="171">
        <v>68.03</v>
      </c>
      <c r="AF1515" s="171">
        <f t="shared" si="71"/>
        <v>2012</v>
      </c>
      <c r="AG1515" s="171">
        <f t="shared" si="72"/>
        <v>1</v>
      </c>
      <c r="AH1515" s="700">
        <f>SUMIF(D$3:$AA1515,"&lt;="&amp;$AH$1)/COUNTIF(D$3:$AA1515,"&lt;="&amp;$AH$1)</f>
        <v>30.708197265776011</v>
      </c>
    </row>
    <row r="1516" spans="2:34" x14ac:dyDescent="0.25">
      <c r="B1516" s="910">
        <v>40948</v>
      </c>
      <c r="C1516" s="581">
        <f t="shared" si="70"/>
        <v>2</v>
      </c>
      <c r="D1516" s="171">
        <v>55.07</v>
      </c>
      <c r="E1516" s="171">
        <v>51.050000000000004</v>
      </c>
      <c r="F1516" s="171">
        <v>43.47</v>
      </c>
      <c r="G1516" s="171">
        <v>42.44</v>
      </c>
      <c r="H1516" s="171">
        <v>43.46</v>
      </c>
      <c r="I1516" s="171">
        <v>45.160000000000004</v>
      </c>
      <c r="J1516" s="171">
        <v>60.4</v>
      </c>
      <c r="K1516" s="171">
        <v>104.37</v>
      </c>
      <c r="L1516" s="171">
        <v>94.9</v>
      </c>
      <c r="M1516" s="171">
        <v>86.4</v>
      </c>
      <c r="N1516" s="171">
        <v>100.31</v>
      </c>
      <c r="O1516" s="171">
        <v>81.08</v>
      </c>
      <c r="P1516" s="171">
        <v>77.100000000000009</v>
      </c>
      <c r="Q1516" s="171">
        <v>73.8</v>
      </c>
      <c r="R1516" s="171">
        <v>69.91</v>
      </c>
      <c r="S1516" s="171">
        <v>71.239999999999995</v>
      </c>
      <c r="T1516" s="171">
        <v>68.91</v>
      </c>
      <c r="U1516" s="171">
        <v>101.36</v>
      </c>
      <c r="V1516" s="171">
        <v>169.9</v>
      </c>
      <c r="W1516" s="171">
        <v>121.01</v>
      </c>
      <c r="X1516" s="171">
        <v>86.78</v>
      </c>
      <c r="Y1516" s="171">
        <v>67.430000000000007</v>
      </c>
      <c r="Z1516" s="171">
        <v>65.06</v>
      </c>
      <c r="AA1516" s="171">
        <v>55.08</v>
      </c>
      <c r="AB1516" s="171">
        <v>169.9</v>
      </c>
      <c r="AC1516" s="171">
        <v>65.06</v>
      </c>
      <c r="AD1516" s="171">
        <v>59.980000000000004</v>
      </c>
      <c r="AF1516" s="171">
        <f t="shared" si="71"/>
        <v>2012</v>
      </c>
      <c r="AG1516" s="171">
        <f t="shared" si="72"/>
        <v>1</v>
      </c>
      <c r="AH1516" s="700">
        <f>SUMIF(D$3:$AA1516,"&lt;="&amp;$AH$1)/COUNTIF(D$3:$AA1516,"&lt;="&amp;$AH$1)</f>
        <v>30.709103336422768</v>
      </c>
    </row>
    <row r="1517" spans="2:34" x14ac:dyDescent="0.25">
      <c r="B1517" s="910">
        <v>40949</v>
      </c>
      <c r="C1517" s="581">
        <f t="shared" si="70"/>
        <v>2</v>
      </c>
      <c r="D1517" s="171">
        <v>45.59</v>
      </c>
      <c r="E1517" s="171">
        <v>45.18</v>
      </c>
      <c r="F1517" s="171">
        <v>44.9</v>
      </c>
      <c r="G1517" s="171">
        <v>45.13</v>
      </c>
      <c r="H1517" s="171">
        <v>46.2</v>
      </c>
      <c r="I1517" s="171">
        <v>49.57</v>
      </c>
      <c r="J1517" s="171">
        <v>59.45</v>
      </c>
      <c r="K1517" s="171">
        <v>94.94</v>
      </c>
      <c r="L1517" s="171">
        <v>149.1</v>
      </c>
      <c r="M1517" s="171">
        <v>124.96000000000001</v>
      </c>
      <c r="N1517" s="171">
        <v>105</v>
      </c>
      <c r="O1517" s="171">
        <v>90.460000000000008</v>
      </c>
      <c r="P1517" s="171">
        <v>85.820000000000007</v>
      </c>
      <c r="Q1517" s="171">
        <v>74.47</v>
      </c>
      <c r="R1517" s="171">
        <v>60.18</v>
      </c>
      <c r="S1517" s="171">
        <v>60</v>
      </c>
      <c r="T1517" s="171">
        <v>69.960000000000008</v>
      </c>
      <c r="U1517" s="171">
        <v>81.83</v>
      </c>
      <c r="V1517" s="171">
        <v>105</v>
      </c>
      <c r="W1517" s="171">
        <v>101.04</v>
      </c>
      <c r="X1517" s="171">
        <v>69.92</v>
      </c>
      <c r="Y1517" s="171">
        <v>59.94</v>
      </c>
      <c r="Z1517" s="171">
        <v>60.730000000000004</v>
      </c>
      <c r="AA1517" s="171">
        <v>52.6</v>
      </c>
      <c r="AB1517" s="171">
        <v>149.1</v>
      </c>
      <c r="AC1517" s="171">
        <v>59.94</v>
      </c>
      <c r="AD1517" s="171">
        <v>56.18</v>
      </c>
      <c r="AF1517" s="171">
        <f t="shared" si="71"/>
        <v>2012</v>
      </c>
      <c r="AG1517" s="171">
        <f t="shared" si="72"/>
        <v>0</v>
      </c>
      <c r="AH1517" s="700">
        <f>SUMIF(D$3:$AA1517,"&lt;="&amp;$AH$1)/COUNTIF(D$3:$AA1517,"&lt;="&amp;$AH$1)</f>
        <v>30.709103336422768</v>
      </c>
    </row>
    <row r="1518" spans="2:34" x14ac:dyDescent="0.25">
      <c r="B1518" s="910">
        <v>40952</v>
      </c>
      <c r="C1518" s="581">
        <f t="shared" si="70"/>
        <v>2</v>
      </c>
      <c r="D1518" s="171">
        <v>42.53</v>
      </c>
      <c r="E1518" s="171">
        <v>40.04</v>
      </c>
      <c r="F1518" s="171">
        <v>40.090000000000003</v>
      </c>
      <c r="G1518" s="171">
        <v>40.14</v>
      </c>
      <c r="H1518" s="171">
        <v>41.36</v>
      </c>
      <c r="I1518" s="171">
        <v>42.79</v>
      </c>
      <c r="J1518" s="171">
        <v>54.94</v>
      </c>
      <c r="K1518" s="171">
        <v>85.17</v>
      </c>
      <c r="L1518" s="171">
        <v>99.93</v>
      </c>
      <c r="M1518" s="171">
        <v>108</v>
      </c>
      <c r="N1518" s="171">
        <v>124.96000000000001</v>
      </c>
      <c r="O1518" s="171">
        <v>124.96000000000001</v>
      </c>
      <c r="P1518" s="171">
        <v>113</v>
      </c>
      <c r="Q1518" s="171">
        <v>108.87</v>
      </c>
      <c r="R1518" s="171">
        <v>103.65</v>
      </c>
      <c r="S1518" s="171">
        <v>87.93</v>
      </c>
      <c r="T1518" s="171">
        <v>87.61</v>
      </c>
      <c r="U1518" s="171">
        <v>91.41</v>
      </c>
      <c r="V1518" s="171">
        <v>108</v>
      </c>
      <c r="W1518" s="171">
        <v>81.489999999999995</v>
      </c>
      <c r="X1518" s="171">
        <v>89.76</v>
      </c>
      <c r="Y1518" s="171">
        <v>68.040000000000006</v>
      </c>
      <c r="Z1518" s="171">
        <v>62.9</v>
      </c>
      <c r="AA1518" s="171">
        <v>54.83</v>
      </c>
      <c r="AB1518" s="171">
        <v>124.96000000000001</v>
      </c>
      <c r="AC1518" s="171">
        <v>62.9</v>
      </c>
      <c r="AD1518" s="171">
        <v>55.22</v>
      </c>
      <c r="AF1518" s="171">
        <f t="shared" si="71"/>
        <v>2012</v>
      </c>
      <c r="AG1518" s="171">
        <f t="shared" si="72"/>
        <v>5</v>
      </c>
      <c r="AH1518" s="700">
        <f>SUMIF(D$3:$AA1518,"&lt;="&amp;$AH$1)/COUNTIF(D$3:$AA1518,"&lt;="&amp;$AH$1)</f>
        <v>30.713010885509306</v>
      </c>
    </row>
    <row r="1519" spans="2:34" x14ac:dyDescent="0.25">
      <c r="B1519" s="910">
        <v>40953</v>
      </c>
      <c r="C1519" s="581">
        <f t="shared" si="70"/>
        <v>2</v>
      </c>
      <c r="D1519" s="171">
        <v>49.01</v>
      </c>
      <c r="E1519" s="171">
        <v>47.96</v>
      </c>
      <c r="F1519" s="171">
        <v>45.07</v>
      </c>
      <c r="G1519" s="171">
        <v>43.09</v>
      </c>
      <c r="H1519" s="171">
        <v>39.910000000000004</v>
      </c>
      <c r="I1519" s="171">
        <v>43.99</v>
      </c>
      <c r="J1519" s="171">
        <v>43.94</v>
      </c>
      <c r="K1519" s="171">
        <v>48.86</v>
      </c>
      <c r="L1519" s="171">
        <v>58.99</v>
      </c>
      <c r="M1519" s="171">
        <v>88.52</v>
      </c>
      <c r="N1519" s="171">
        <v>83.2</v>
      </c>
      <c r="O1519" s="171">
        <v>81.37</v>
      </c>
      <c r="P1519" s="171">
        <v>76</v>
      </c>
      <c r="Q1519" s="171">
        <v>74.3</v>
      </c>
      <c r="R1519" s="171">
        <v>71.760000000000005</v>
      </c>
      <c r="S1519" s="171">
        <v>68.099999999999994</v>
      </c>
      <c r="T1519" s="171">
        <v>54.94</v>
      </c>
      <c r="U1519" s="171">
        <v>61.09</v>
      </c>
      <c r="V1519" s="171">
        <v>97.41</v>
      </c>
      <c r="W1519" s="171">
        <v>74.06</v>
      </c>
      <c r="X1519" s="171">
        <v>52.75</v>
      </c>
      <c r="Y1519" s="171">
        <v>44.94</v>
      </c>
      <c r="Z1519" s="171">
        <v>39.86</v>
      </c>
      <c r="AA1519" s="171">
        <v>35</v>
      </c>
      <c r="AB1519" s="171">
        <v>97.41</v>
      </c>
      <c r="AC1519" s="171">
        <v>39.86</v>
      </c>
      <c r="AD1519" s="171">
        <v>44.53</v>
      </c>
      <c r="AF1519" s="171">
        <f t="shared" si="71"/>
        <v>2012</v>
      </c>
      <c r="AG1519" s="171">
        <f t="shared" si="72"/>
        <v>3</v>
      </c>
      <c r="AH1519" s="700">
        <f>SUMIF(D$3:$AA1519,"&lt;="&amp;$AH$1)/COUNTIF(D$3:$AA1519,"&lt;="&amp;$AH$1)</f>
        <v>30.714757641247452</v>
      </c>
    </row>
    <row r="1520" spans="2:34" x14ac:dyDescent="0.25">
      <c r="B1520" s="910">
        <v>40954</v>
      </c>
      <c r="C1520" s="581">
        <f t="shared" si="70"/>
        <v>2</v>
      </c>
      <c r="D1520" s="171">
        <v>33.51</v>
      </c>
      <c r="E1520" s="171">
        <v>31.05</v>
      </c>
      <c r="F1520" s="171">
        <v>30.42</v>
      </c>
      <c r="G1520" s="171">
        <v>30.990000000000002</v>
      </c>
      <c r="H1520" s="171">
        <v>32.270000000000003</v>
      </c>
      <c r="I1520" s="171">
        <v>33.869999999999997</v>
      </c>
      <c r="J1520" s="171">
        <v>36.29</v>
      </c>
      <c r="K1520" s="171">
        <v>41.82</v>
      </c>
      <c r="L1520" s="171">
        <v>44.94</v>
      </c>
      <c r="M1520" s="171">
        <v>49.410000000000004</v>
      </c>
      <c r="N1520" s="171">
        <v>54.78</v>
      </c>
      <c r="O1520" s="171">
        <v>55.93</v>
      </c>
      <c r="P1520" s="171">
        <v>56</v>
      </c>
      <c r="Q1520" s="171">
        <v>54.93</v>
      </c>
      <c r="R1520" s="171">
        <v>50.42</v>
      </c>
      <c r="S1520" s="171">
        <v>49.1</v>
      </c>
      <c r="T1520" s="171">
        <v>44.58</v>
      </c>
      <c r="U1520" s="171">
        <v>48.120000000000005</v>
      </c>
      <c r="V1520" s="171">
        <v>66.650000000000006</v>
      </c>
      <c r="W1520" s="171">
        <v>55.870000000000005</v>
      </c>
      <c r="X1520" s="171">
        <v>49.6</v>
      </c>
      <c r="Y1520" s="171">
        <v>42.800000000000004</v>
      </c>
      <c r="Z1520" s="171">
        <v>42.230000000000004</v>
      </c>
      <c r="AA1520" s="171">
        <v>42.33</v>
      </c>
      <c r="AB1520" s="171">
        <v>66.650000000000006</v>
      </c>
      <c r="AC1520" s="171">
        <v>41.82</v>
      </c>
      <c r="AD1520" s="171">
        <v>37.26</v>
      </c>
      <c r="AF1520" s="171">
        <f t="shared" si="71"/>
        <v>2012</v>
      </c>
      <c r="AG1520" s="171">
        <f t="shared" si="72"/>
        <v>10</v>
      </c>
      <c r="AH1520" s="700">
        <f>SUMIF(D$3:$AA1520,"&lt;="&amp;$AH$1)/COUNTIF(D$3:$AA1520,"&lt;="&amp;$AH$1)</f>
        <v>30.718431281814127</v>
      </c>
    </row>
    <row r="1521" spans="2:34" x14ac:dyDescent="0.25">
      <c r="B1521" s="910">
        <v>40955</v>
      </c>
      <c r="C1521" s="581">
        <f t="shared" si="70"/>
        <v>2</v>
      </c>
      <c r="D1521" s="171">
        <v>41.02</v>
      </c>
      <c r="E1521" s="171">
        <v>40.54</v>
      </c>
      <c r="F1521" s="171">
        <v>40.25</v>
      </c>
      <c r="G1521" s="171">
        <v>40.950000000000003</v>
      </c>
      <c r="H1521" s="171">
        <v>40.56</v>
      </c>
      <c r="I1521" s="171">
        <v>42.94</v>
      </c>
      <c r="J1521" s="171">
        <v>49.160000000000004</v>
      </c>
      <c r="K1521" s="171">
        <v>64.3</v>
      </c>
      <c r="L1521" s="171">
        <v>60</v>
      </c>
      <c r="M1521" s="171">
        <v>77.03</v>
      </c>
      <c r="N1521" s="171">
        <v>71.14</v>
      </c>
      <c r="O1521" s="171">
        <v>68.760000000000005</v>
      </c>
      <c r="P1521" s="171">
        <v>58.08</v>
      </c>
      <c r="Q1521" s="171">
        <v>54.980000000000004</v>
      </c>
      <c r="R1521" s="171">
        <v>51.81</v>
      </c>
      <c r="S1521" s="171">
        <v>52.08</v>
      </c>
      <c r="T1521" s="171">
        <v>51.63</v>
      </c>
      <c r="U1521" s="171">
        <v>60.99</v>
      </c>
      <c r="V1521" s="171">
        <v>82.31</v>
      </c>
      <c r="W1521" s="171">
        <v>60.08</v>
      </c>
      <c r="X1521" s="171">
        <v>52</v>
      </c>
      <c r="Y1521" s="171">
        <v>47.13</v>
      </c>
      <c r="Z1521" s="171">
        <v>44.99</v>
      </c>
      <c r="AA1521" s="171">
        <v>42.62</v>
      </c>
      <c r="AB1521" s="171">
        <v>82.31</v>
      </c>
      <c r="AC1521" s="171">
        <v>44.99</v>
      </c>
      <c r="AD1521" s="171">
        <v>45.54</v>
      </c>
      <c r="AF1521" s="171">
        <f t="shared" si="71"/>
        <v>2012</v>
      </c>
      <c r="AG1521" s="171">
        <f t="shared" si="72"/>
        <v>5</v>
      </c>
      <c r="AH1521" s="700">
        <f>SUMIF(D$3:$AA1521,"&lt;="&amp;$AH$1)/COUNTIF(D$3:$AA1521,"&lt;="&amp;$AH$1)</f>
        <v>30.722265052810268</v>
      </c>
    </row>
    <row r="1522" spans="2:34" x14ac:dyDescent="0.25">
      <c r="B1522" s="910">
        <v>40956</v>
      </c>
      <c r="C1522" s="581">
        <f t="shared" si="70"/>
        <v>2</v>
      </c>
      <c r="D1522" s="171">
        <v>39</v>
      </c>
      <c r="E1522" s="171">
        <v>37.18</v>
      </c>
      <c r="F1522" s="171">
        <v>34.56</v>
      </c>
      <c r="G1522" s="171">
        <v>35.050000000000004</v>
      </c>
      <c r="H1522" s="171">
        <v>35.590000000000003</v>
      </c>
      <c r="I1522" s="171">
        <v>36.5</v>
      </c>
      <c r="J1522" s="171">
        <v>41.1</v>
      </c>
      <c r="K1522" s="171">
        <v>46.94</v>
      </c>
      <c r="L1522" s="171">
        <v>50.160000000000004</v>
      </c>
      <c r="M1522" s="171">
        <v>53.050000000000004</v>
      </c>
      <c r="N1522" s="171">
        <v>61.980000000000004</v>
      </c>
      <c r="O1522" s="171">
        <v>58.67</v>
      </c>
      <c r="P1522" s="171">
        <v>54.86</v>
      </c>
      <c r="Q1522" s="171">
        <v>49.77</v>
      </c>
      <c r="R1522" s="171">
        <v>45.17</v>
      </c>
      <c r="S1522" s="171">
        <v>44</v>
      </c>
      <c r="T1522" s="171">
        <v>43.9</v>
      </c>
      <c r="U1522" s="171">
        <v>54.86</v>
      </c>
      <c r="V1522" s="171">
        <v>72.2</v>
      </c>
      <c r="W1522" s="171">
        <v>65.44</v>
      </c>
      <c r="X1522" s="171">
        <v>51.92</v>
      </c>
      <c r="Y1522" s="171">
        <v>51.54</v>
      </c>
      <c r="Z1522" s="171">
        <v>46.910000000000004</v>
      </c>
      <c r="AA1522" s="171">
        <v>46.64</v>
      </c>
      <c r="AB1522" s="171">
        <v>72.2</v>
      </c>
      <c r="AC1522" s="171">
        <v>43.9</v>
      </c>
      <c r="AD1522" s="171">
        <v>41.910000000000004</v>
      </c>
      <c r="AF1522" s="171">
        <f t="shared" si="71"/>
        <v>2012</v>
      </c>
      <c r="AG1522" s="171">
        <f t="shared" si="72"/>
        <v>7</v>
      </c>
      <c r="AH1522" s="700">
        <f>SUMIF(D$3:$AA1522,"&lt;="&amp;$AH$1)/COUNTIF(D$3:$AA1522,"&lt;="&amp;$AH$1)</f>
        <v>30.725649560795343</v>
      </c>
    </row>
    <row r="1523" spans="2:34" x14ac:dyDescent="0.25">
      <c r="B1523" s="910">
        <v>40959</v>
      </c>
      <c r="C1523" s="581">
        <f t="shared" si="70"/>
        <v>2</v>
      </c>
      <c r="D1523" s="171">
        <v>44.93</v>
      </c>
      <c r="E1523" s="171">
        <v>40.450000000000003</v>
      </c>
      <c r="F1523" s="171">
        <v>42.06</v>
      </c>
      <c r="G1523" s="171">
        <v>35.19</v>
      </c>
      <c r="H1523" s="171">
        <v>35.96</v>
      </c>
      <c r="I1523" s="171">
        <v>39.44</v>
      </c>
      <c r="J1523" s="171">
        <v>59.94</v>
      </c>
      <c r="K1523" s="171">
        <v>89.52</v>
      </c>
      <c r="L1523" s="171">
        <v>60.83</v>
      </c>
      <c r="M1523" s="171">
        <v>55.980000000000004</v>
      </c>
      <c r="N1523" s="171">
        <v>49.85</v>
      </c>
      <c r="O1523" s="171">
        <v>49.870000000000005</v>
      </c>
      <c r="P1523" s="171">
        <v>45.800000000000004</v>
      </c>
      <c r="Q1523" s="171">
        <v>44.410000000000004</v>
      </c>
      <c r="R1523" s="171">
        <v>44.17</v>
      </c>
      <c r="S1523" s="171">
        <v>47.43</v>
      </c>
      <c r="T1523" s="171">
        <v>49.21</v>
      </c>
      <c r="U1523" s="171">
        <v>61.28</v>
      </c>
      <c r="V1523" s="171">
        <v>86.600000000000009</v>
      </c>
      <c r="W1523" s="171">
        <v>68.67</v>
      </c>
      <c r="X1523" s="171">
        <v>54.910000000000004</v>
      </c>
      <c r="Y1523" s="171">
        <v>44.78</v>
      </c>
      <c r="Z1523" s="171">
        <v>40.450000000000003</v>
      </c>
      <c r="AA1523" s="171">
        <v>34.85</v>
      </c>
      <c r="AB1523" s="171">
        <v>89.52</v>
      </c>
      <c r="AC1523" s="171">
        <v>40.450000000000003</v>
      </c>
      <c r="AD1523" s="171">
        <v>46.87</v>
      </c>
      <c r="AF1523" s="171">
        <f t="shared" si="71"/>
        <v>2012</v>
      </c>
      <c r="AG1523" s="171">
        <f t="shared" si="72"/>
        <v>7</v>
      </c>
      <c r="AH1523" s="700">
        <f>SUMIF(D$3:$AA1523,"&lt;="&amp;$AH$1)/COUNTIF(D$3:$AA1523,"&lt;="&amp;$AH$1)</f>
        <v>30.729755872160336</v>
      </c>
    </row>
    <row r="1524" spans="2:34" x14ac:dyDescent="0.25">
      <c r="B1524" s="910">
        <v>40960</v>
      </c>
      <c r="C1524" s="581">
        <f t="shared" si="70"/>
        <v>2</v>
      </c>
      <c r="D1524" s="171">
        <v>37.61</v>
      </c>
      <c r="E1524" s="171">
        <v>35.46</v>
      </c>
      <c r="F1524" s="171">
        <v>34.380000000000003</v>
      </c>
      <c r="G1524" s="171">
        <v>36.08</v>
      </c>
      <c r="H1524" s="171">
        <v>36.18</v>
      </c>
      <c r="I1524" s="171">
        <v>36.39</v>
      </c>
      <c r="J1524" s="171">
        <v>40.79</v>
      </c>
      <c r="K1524" s="171">
        <v>41.74</v>
      </c>
      <c r="L1524" s="171">
        <v>46.33</v>
      </c>
      <c r="M1524" s="171">
        <v>56.38</v>
      </c>
      <c r="N1524" s="171">
        <v>68.510000000000005</v>
      </c>
      <c r="O1524" s="171">
        <v>66.010000000000005</v>
      </c>
      <c r="P1524" s="171">
        <v>62.27</v>
      </c>
      <c r="Q1524" s="171">
        <v>53.49</v>
      </c>
      <c r="R1524" s="171">
        <v>54.07</v>
      </c>
      <c r="S1524" s="171">
        <v>49.93</v>
      </c>
      <c r="T1524" s="171">
        <v>46.2</v>
      </c>
      <c r="U1524" s="171">
        <v>51.5</v>
      </c>
      <c r="V1524" s="171">
        <v>73.86</v>
      </c>
      <c r="W1524" s="171">
        <v>75.8</v>
      </c>
      <c r="X1524" s="171">
        <v>57.58</v>
      </c>
      <c r="Y1524" s="171">
        <v>46.26</v>
      </c>
      <c r="Z1524" s="171">
        <v>48.17</v>
      </c>
      <c r="AA1524" s="171">
        <v>43.76</v>
      </c>
      <c r="AB1524" s="171">
        <v>75.8</v>
      </c>
      <c r="AC1524" s="171">
        <v>41.74</v>
      </c>
      <c r="AD1524" s="171">
        <v>41.2</v>
      </c>
      <c r="AF1524" s="171">
        <f t="shared" si="71"/>
        <v>2012</v>
      </c>
      <c r="AG1524" s="171">
        <f t="shared" si="72"/>
        <v>8</v>
      </c>
      <c r="AH1524" s="700">
        <f>SUMIF(D$3:$AA1524,"&lt;="&amp;$AH$1)/COUNTIF(D$3:$AA1524,"&lt;="&amp;$AH$1)</f>
        <v>30.733818979450625</v>
      </c>
    </row>
    <row r="1525" spans="2:34" x14ac:dyDescent="0.25">
      <c r="B1525" s="910">
        <v>40961</v>
      </c>
      <c r="C1525" s="581">
        <f t="shared" si="70"/>
        <v>2</v>
      </c>
      <c r="D1525" s="171">
        <v>39.46</v>
      </c>
      <c r="E1525" s="171">
        <v>38.08</v>
      </c>
      <c r="F1525" s="171">
        <v>36.86</v>
      </c>
      <c r="G1525" s="171">
        <v>37.44</v>
      </c>
      <c r="H1525" s="171">
        <v>38.61</v>
      </c>
      <c r="I1525" s="171">
        <v>39.42</v>
      </c>
      <c r="J1525" s="171">
        <v>47.7</v>
      </c>
      <c r="K1525" s="171">
        <v>55.06</v>
      </c>
      <c r="L1525" s="171">
        <v>57.910000000000004</v>
      </c>
      <c r="M1525" s="171">
        <v>53.07</v>
      </c>
      <c r="N1525" s="171">
        <v>56.5</v>
      </c>
      <c r="O1525" s="171">
        <v>60.84</v>
      </c>
      <c r="P1525" s="171">
        <v>59.7</v>
      </c>
      <c r="Q1525" s="171">
        <v>53.26</v>
      </c>
      <c r="R1525" s="171">
        <v>46.62</v>
      </c>
      <c r="S1525" s="171">
        <v>46.35</v>
      </c>
      <c r="T1525" s="171">
        <v>45.33</v>
      </c>
      <c r="U1525" s="171">
        <v>52.910000000000004</v>
      </c>
      <c r="V1525" s="171">
        <v>55.1</v>
      </c>
      <c r="W1525" s="171">
        <v>50.94</v>
      </c>
      <c r="X1525" s="171">
        <v>59.93</v>
      </c>
      <c r="Y1525" s="171">
        <v>44.76</v>
      </c>
      <c r="Z1525" s="171">
        <v>44</v>
      </c>
      <c r="AA1525" s="171">
        <v>41.64</v>
      </c>
      <c r="AB1525" s="171">
        <v>60.84</v>
      </c>
      <c r="AC1525" s="171">
        <v>44</v>
      </c>
      <c r="AD1525" s="171">
        <v>43.58</v>
      </c>
      <c r="AF1525" s="171">
        <f t="shared" si="71"/>
        <v>2012</v>
      </c>
      <c r="AG1525" s="171">
        <f t="shared" si="72"/>
        <v>7</v>
      </c>
      <c r="AH1525" s="700">
        <f>SUMIF(D$3:$AA1525,"&lt;="&amp;$AH$1)/COUNTIF(D$3:$AA1525,"&lt;="&amp;$AH$1)</f>
        <v>30.738155384615538</v>
      </c>
    </row>
    <row r="1526" spans="2:34" x14ac:dyDescent="0.25">
      <c r="B1526" s="910">
        <v>40962</v>
      </c>
      <c r="C1526" s="581">
        <f t="shared" si="70"/>
        <v>2</v>
      </c>
      <c r="D1526" s="171">
        <v>39.96</v>
      </c>
      <c r="E1526" s="171">
        <v>36.6</v>
      </c>
      <c r="F1526" s="171">
        <v>34.94</v>
      </c>
      <c r="G1526" s="171">
        <v>32.43</v>
      </c>
      <c r="H1526" s="171">
        <v>32.43</v>
      </c>
      <c r="I1526" s="171">
        <v>36.01</v>
      </c>
      <c r="J1526" s="171">
        <v>39.94</v>
      </c>
      <c r="K1526" s="171">
        <v>45.78</v>
      </c>
      <c r="L1526" s="171">
        <v>49.9</v>
      </c>
      <c r="M1526" s="171">
        <v>64.930000000000007</v>
      </c>
      <c r="N1526" s="171">
        <v>82.12</v>
      </c>
      <c r="O1526" s="171">
        <v>64.930000000000007</v>
      </c>
      <c r="P1526" s="171">
        <v>55.97</v>
      </c>
      <c r="Q1526" s="171">
        <v>55.85</v>
      </c>
      <c r="R1526" s="171">
        <v>52.85</v>
      </c>
      <c r="S1526" s="171">
        <v>52.800000000000004</v>
      </c>
      <c r="T1526" s="171">
        <v>47.660000000000004</v>
      </c>
      <c r="U1526" s="171">
        <v>52.88</v>
      </c>
      <c r="V1526" s="171">
        <v>72.210000000000008</v>
      </c>
      <c r="W1526" s="171">
        <v>57.97</v>
      </c>
      <c r="X1526" s="171">
        <v>45.12</v>
      </c>
      <c r="Y1526" s="171">
        <v>45</v>
      </c>
      <c r="Z1526" s="171">
        <v>43.49</v>
      </c>
      <c r="AA1526" s="171">
        <v>43.32</v>
      </c>
      <c r="AB1526" s="171">
        <v>82.12</v>
      </c>
      <c r="AC1526" s="171">
        <v>43.49</v>
      </c>
      <c r="AD1526" s="171">
        <v>39.58</v>
      </c>
      <c r="AF1526" s="171">
        <f t="shared" si="71"/>
        <v>2012</v>
      </c>
      <c r="AG1526" s="171">
        <f t="shared" si="72"/>
        <v>7</v>
      </c>
      <c r="AH1526" s="700">
        <f>SUMIF(D$3:$AA1526,"&lt;="&amp;$AH$1)/COUNTIF(D$3:$AA1526,"&lt;="&amp;$AH$1)</f>
        <v>30.741010994080263</v>
      </c>
    </row>
    <row r="1527" spans="2:34" x14ac:dyDescent="0.25">
      <c r="B1527" s="910">
        <v>40963</v>
      </c>
      <c r="C1527" s="581">
        <f t="shared" si="70"/>
        <v>2</v>
      </c>
      <c r="D1527" s="171">
        <v>40.46</v>
      </c>
      <c r="E1527" s="171">
        <v>39.660000000000004</v>
      </c>
      <c r="F1527" s="171">
        <v>37.36</v>
      </c>
      <c r="G1527" s="171">
        <v>39.31</v>
      </c>
      <c r="H1527" s="171">
        <v>39.96</v>
      </c>
      <c r="I1527" s="171">
        <v>39</v>
      </c>
      <c r="J1527" s="171">
        <v>44.93</v>
      </c>
      <c r="K1527" s="171">
        <v>48.5</v>
      </c>
      <c r="L1527" s="171">
        <v>52.81</v>
      </c>
      <c r="M1527" s="171">
        <v>53.75</v>
      </c>
      <c r="N1527" s="171">
        <v>55.82</v>
      </c>
      <c r="O1527" s="171">
        <v>60</v>
      </c>
      <c r="P1527" s="171">
        <v>55.93</v>
      </c>
      <c r="Q1527" s="171">
        <v>53.64</v>
      </c>
      <c r="R1527" s="171">
        <v>46.88</v>
      </c>
      <c r="S1527" s="171">
        <v>45.96</v>
      </c>
      <c r="T1527" s="171">
        <v>44</v>
      </c>
      <c r="U1527" s="171">
        <v>50.730000000000004</v>
      </c>
      <c r="V1527" s="171">
        <v>57.99</v>
      </c>
      <c r="W1527" s="171">
        <v>66.02</v>
      </c>
      <c r="X1527" s="171">
        <v>61.78</v>
      </c>
      <c r="Y1527" s="171">
        <v>49.94</v>
      </c>
      <c r="Z1527" s="171">
        <v>48.84</v>
      </c>
      <c r="AA1527" s="171">
        <v>42.44</v>
      </c>
      <c r="AB1527" s="171">
        <v>66.02</v>
      </c>
      <c r="AC1527" s="171">
        <v>44</v>
      </c>
      <c r="AD1527" s="171">
        <v>44.35</v>
      </c>
      <c r="AF1527" s="171">
        <f t="shared" si="71"/>
        <v>2012</v>
      </c>
      <c r="AG1527" s="171">
        <f t="shared" si="72"/>
        <v>7</v>
      </c>
      <c r="AH1527" s="700">
        <f>SUMIF(D$3:$AA1527,"&lt;="&amp;$AH$1)/COUNTIF(D$3:$AA1527,"&lt;="&amp;$AH$1)</f>
        <v>30.74585215921331</v>
      </c>
    </row>
    <row r="1528" spans="2:34" x14ac:dyDescent="0.25">
      <c r="B1528" s="910">
        <v>40966</v>
      </c>
      <c r="C1528" s="581">
        <f t="shared" si="70"/>
        <v>2</v>
      </c>
      <c r="D1528" s="171">
        <v>41.550000000000004</v>
      </c>
      <c r="E1528" s="171">
        <v>37.550000000000004</v>
      </c>
      <c r="F1528" s="171">
        <v>36.56</v>
      </c>
      <c r="G1528" s="171">
        <v>33.880000000000003</v>
      </c>
      <c r="H1528" s="171">
        <v>33.549999999999997</v>
      </c>
      <c r="I1528" s="171">
        <v>35.29</v>
      </c>
      <c r="J1528" s="171">
        <v>43.92</v>
      </c>
      <c r="K1528" s="171">
        <v>58.1</v>
      </c>
      <c r="L1528" s="171">
        <v>59.72</v>
      </c>
      <c r="M1528" s="171">
        <v>55.480000000000004</v>
      </c>
      <c r="N1528" s="171">
        <v>51.92</v>
      </c>
      <c r="O1528" s="171">
        <v>48.93</v>
      </c>
      <c r="P1528" s="171">
        <v>44.79</v>
      </c>
      <c r="Q1528" s="171">
        <v>48.52</v>
      </c>
      <c r="R1528" s="171">
        <v>46.06</v>
      </c>
      <c r="S1528" s="171">
        <v>44.93</v>
      </c>
      <c r="T1528" s="171">
        <v>44.94</v>
      </c>
      <c r="U1528" s="171">
        <v>51.69</v>
      </c>
      <c r="V1528" s="171">
        <v>65.02</v>
      </c>
      <c r="W1528" s="171">
        <v>65.47</v>
      </c>
      <c r="X1528" s="171">
        <v>51.44</v>
      </c>
      <c r="Y1528" s="171">
        <v>49.19</v>
      </c>
      <c r="Z1528" s="171">
        <v>44</v>
      </c>
      <c r="AA1528" s="171">
        <v>42.2</v>
      </c>
      <c r="AB1528" s="171">
        <v>65.47</v>
      </c>
      <c r="AC1528" s="171">
        <v>44</v>
      </c>
      <c r="AD1528" s="171">
        <v>42.27</v>
      </c>
      <c r="AF1528" s="171">
        <f t="shared" si="71"/>
        <v>2012</v>
      </c>
      <c r="AG1528" s="171">
        <f t="shared" si="72"/>
        <v>7</v>
      </c>
      <c r="AH1528" s="700">
        <f>SUMIF(D$3:$AA1528,"&lt;="&amp;$AH$1)/COUNTIF(D$3:$AA1528,"&lt;="&amp;$AH$1)</f>
        <v>30.749335688503336</v>
      </c>
    </row>
    <row r="1529" spans="2:34" x14ac:dyDescent="0.25">
      <c r="B1529" s="910">
        <v>40967</v>
      </c>
      <c r="C1529" s="581">
        <f t="shared" si="70"/>
        <v>2</v>
      </c>
      <c r="D1529" s="171">
        <v>40.270000000000003</v>
      </c>
      <c r="E1529" s="171">
        <v>37.47</v>
      </c>
      <c r="F1529" s="171">
        <v>36.520000000000003</v>
      </c>
      <c r="G1529" s="171">
        <v>35.9</v>
      </c>
      <c r="H1529" s="171">
        <v>35.92</v>
      </c>
      <c r="I1529" s="171">
        <v>42.160000000000004</v>
      </c>
      <c r="J1529" s="171">
        <v>50</v>
      </c>
      <c r="K1529" s="171">
        <v>57.52</v>
      </c>
      <c r="L1529" s="171">
        <v>61.19</v>
      </c>
      <c r="M1529" s="171">
        <v>61.19</v>
      </c>
      <c r="N1529" s="171">
        <v>60.56</v>
      </c>
      <c r="O1529" s="171">
        <v>61.19</v>
      </c>
      <c r="P1529" s="171">
        <v>60.03</v>
      </c>
      <c r="Q1529" s="171">
        <v>57.07</v>
      </c>
      <c r="R1529" s="171">
        <v>54.69</v>
      </c>
      <c r="S1529" s="171">
        <v>48.67</v>
      </c>
      <c r="T1529" s="171">
        <v>46.64</v>
      </c>
      <c r="U1529" s="171">
        <v>53.19</v>
      </c>
      <c r="V1529" s="171">
        <v>60.27</v>
      </c>
      <c r="W1529" s="171">
        <v>66.349999999999994</v>
      </c>
      <c r="X1529" s="171">
        <v>60.58</v>
      </c>
      <c r="Y1529" s="171">
        <v>50.6</v>
      </c>
      <c r="Z1529" s="171">
        <v>52</v>
      </c>
      <c r="AA1529" s="171">
        <v>45.62</v>
      </c>
      <c r="AB1529" s="171">
        <v>66.349999999999994</v>
      </c>
      <c r="AC1529" s="171">
        <v>46.64</v>
      </c>
      <c r="AD1529" s="171">
        <v>45.38</v>
      </c>
      <c r="AF1529" s="171">
        <f t="shared" si="71"/>
        <v>2012</v>
      </c>
      <c r="AG1529" s="171">
        <f t="shared" si="72"/>
        <v>6</v>
      </c>
      <c r="AH1529" s="700">
        <f>SUMIF(D$3:$AA1529,"&lt;="&amp;$AH$1)/COUNTIF(D$3:$AA1529,"&lt;="&amp;$AH$1)</f>
        <v>30.752693636294001</v>
      </c>
    </row>
    <row r="1530" spans="2:34" x14ac:dyDescent="0.25">
      <c r="B1530" s="910">
        <v>40968</v>
      </c>
      <c r="C1530" s="581">
        <f t="shared" si="70"/>
        <v>2</v>
      </c>
      <c r="D1530" s="171">
        <v>44</v>
      </c>
      <c r="E1530" s="171">
        <v>42.85</v>
      </c>
      <c r="F1530" s="171">
        <v>40.630000000000003</v>
      </c>
      <c r="G1530" s="171">
        <v>36.369999999999997</v>
      </c>
      <c r="H1530" s="171">
        <v>34.15</v>
      </c>
      <c r="I1530" s="171">
        <v>37.980000000000004</v>
      </c>
      <c r="J1530" s="171">
        <v>44.79</v>
      </c>
      <c r="K1530" s="171">
        <v>53.04</v>
      </c>
      <c r="L1530" s="171">
        <v>61.54</v>
      </c>
      <c r="M1530" s="171">
        <v>62.730000000000004</v>
      </c>
      <c r="N1530" s="171">
        <v>60.44</v>
      </c>
      <c r="O1530" s="171">
        <v>59.78</v>
      </c>
      <c r="P1530" s="171">
        <v>57.97</v>
      </c>
      <c r="Q1530" s="171">
        <v>54.08</v>
      </c>
      <c r="R1530" s="171">
        <v>51.97</v>
      </c>
      <c r="S1530" s="171">
        <v>48.78</v>
      </c>
      <c r="T1530" s="171">
        <v>46.5</v>
      </c>
      <c r="U1530" s="171">
        <v>52.44</v>
      </c>
      <c r="V1530" s="171">
        <v>64.570000000000007</v>
      </c>
      <c r="W1530" s="171">
        <v>68.239999999999995</v>
      </c>
      <c r="X1530" s="171">
        <v>54.54</v>
      </c>
      <c r="Y1530" s="171">
        <v>50.36</v>
      </c>
      <c r="Z1530" s="171">
        <v>51.94</v>
      </c>
      <c r="AA1530" s="171">
        <v>44.94</v>
      </c>
      <c r="AB1530" s="171">
        <v>68.239999999999995</v>
      </c>
      <c r="AC1530" s="171">
        <v>46.5</v>
      </c>
      <c r="AD1530" s="171">
        <v>44.63</v>
      </c>
      <c r="AF1530" s="171">
        <f t="shared" si="71"/>
        <v>2012</v>
      </c>
      <c r="AG1530" s="171">
        <f t="shared" si="72"/>
        <v>4</v>
      </c>
      <c r="AH1530" s="700">
        <f>SUMIF(D$3:$AA1530,"&lt;="&amp;$AH$1)/COUNTIF(D$3:$AA1530,"&lt;="&amp;$AH$1)</f>
        <v>30.754698027780059</v>
      </c>
    </row>
    <row r="1531" spans="2:34" x14ac:dyDescent="0.25">
      <c r="B1531" s="910">
        <v>40969</v>
      </c>
      <c r="C1531" s="581">
        <f t="shared" si="70"/>
        <v>3</v>
      </c>
      <c r="D1531" s="171">
        <v>42.15</v>
      </c>
      <c r="E1531" s="171">
        <v>40.06</v>
      </c>
      <c r="F1531" s="171">
        <v>35.85</v>
      </c>
      <c r="G1531" s="171">
        <v>30.93</v>
      </c>
      <c r="H1531" s="171">
        <v>35.090000000000003</v>
      </c>
      <c r="I1531" s="171">
        <v>39.96</v>
      </c>
      <c r="J1531" s="171">
        <v>49.01</v>
      </c>
      <c r="K1531" s="171">
        <v>56.93</v>
      </c>
      <c r="L1531" s="171">
        <v>62.4</v>
      </c>
      <c r="M1531" s="171">
        <v>62.01</v>
      </c>
      <c r="N1531" s="171">
        <v>60.89</v>
      </c>
      <c r="O1531" s="171">
        <v>58.58</v>
      </c>
      <c r="P1531" s="171">
        <v>58.77</v>
      </c>
      <c r="Q1531" s="171">
        <v>55.550000000000004</v>
      </c>
      <c r="R1531" s="171">
        <v>50.79</v>
      </c>
      <c r="S1531" s="171">
        <v>47.28</v>
      </c>
      <c r="T1531" s="171">
        <v>48.85</v>
      </c>
      <c r="U1531" s="171">
        <v>51.07</v>
      </c>
      <c r="V1531" s="171">
        <v>59.93</v>
      </c>
      <c r="W1531" s="171">
        <v>64.72</v>
      </c>
      <c r="X1531" s="171">
        <v>56.52</v>
      </c>
      <c r="Y1531" s="171">
        <v>47.88</v>
      </c>
      <c r="Z1531" s="171">
        <v>50.730000000000004</v>
      </c>
      <c r="AA1531" s="171">
        <v>49.81</v>
      </c>
      <c r="AB1531" s="171">
        <v>64.72</v>
      </c>
      <c r="AC1531" s="171">
        <v>47.28</v>
      </c>
      <c r="AD1531" s="171">
        <v>44.58</v>
      </c>
      <c r="AF1531" s="171">
        <f t="shared" si="71"/>
        <v>2012</v>
      </c>
      <c r="AG1531" s="171">
        <f t="shared" si="72"/>
        <v>6</v>
      </c>
      <c r="AH1531" s="700">
        <f>SUMIF(D$3:$AA1531,"&lt;="&amp;$AH$1)/COUNTIF(D$3:$AA1531,"&lt;="&amp;$AH$1)</f>
        <v>30.757728771956891</v>
      </c>
    </row>
    <row r="1532" spans="2:34" x14ac:dyDescent="0.25">
      <c r="B1532" s="910">
        <v>40970</v>
      </c>
      <c r="C1532" s="581">
        <f t="shared" si="70"/>
        <v>3</v>
      </c>
      <c r="D1532" s="171">
        <v>44.93</v>
      </c>
      <c r="E1532" s="171">
        <v>42.67</v>
      </c>
      <c r="F1532" s="171">
        <v>38.9</v>
      </c>
      <c r="G1532" s="171">
        <v>35.6</v>
      </c>
      <c r="H1532" s="171">
        <v>37.32</v>
      </c>
      <c r="I1532" s="171">
        <v>42.11</v>
      </c>
      <c r="J1532" s="171">
        <v>52.77</v>
      </c>
      <c r="K1532" s="171">
        <v>60.230000000000004</v>
      </c>
      <c r="L1532" s="171">
        <v>60.21</v>
      </c>
      <c r="M1532" s="171">
        <v>60.45</v>
      </c>
      <c r="N1532" s="171">
        <v>61.28</v>
      </c>
      <c r="O1532" s="171">
        <v>59.9</v>
      </c>
      <c r="P1532" s="171">
        <v>57.76</v>
      </c>
      <c r="Q1532" s="171">
        <v>53.43</v>
      </c>
      <c r="R1532" s="171">
        <v>47.43</v>
      </c>
      <c r="S1532" s="171">
        <v>43.68</v>
      </c>
      <c r="T1532" s="171">
        <v>44.67</v>
      </c>
      <c r="U1532" s="171">
        <v>51.95</v>
      </c>
      <c r="V1532" s="171">
        <v>60.480000000000004</v>
      </c>
      <c r="W1532" s="171">
        <v>61.18</v>
      </c>
      <c r="X1532" s="171">
        <v>53.52</v>
      </c>
      <c r="Y1532" s="171">
        <v>49.36</v>
      </c>
      <c r="Z1532" s="171">
        <v>49.18</v>
      </c>
      <c r="AA1532" s="171">
        <v>48.26</v>
      </c>
      <c r="AB1532" s="171">
        <v>61.28</v>
      </c>
      <c r="AC1532" s="171">
        <v>43.68</v>
      </c>
      <c r="AD1532" s="171">
        <v>46.24</v>
      </c>
      <c r="AF1532" s="171">
        <f t="shared" si="71"/>
        <v>2012</v>
      </c>
      <c r="AG1532" s="171">
        <f t="shared" si="72"/>
        <v>4</v>
      </c>
      <c r="AH1532" s="700">
        <f>SUMIF(D$3:$AA1532,"&lt;="&amp;$AH$1)/COUNTIF(D$3:$AA1532,"&lt;="&amp;$AH$1)</f>
        <v>30.760098151982362</v>
      </c>
    </row>
    <row r="1533" spans="2:34" x14ac:dyDescent="0.25">
      <c r="B1533" s="910">
        <v>40973</v>
      </c>
      <c r="C1533" s="581">
        <f t="shared" si="70"/>
        <v>3</v>
      </c>
      <c r="D1533" s="171">
        <v>34.410000000000004</v>
      </c>
      <c r="E1533" s="171">
        <v>30</v>
      </c>
      <c r="F1533" s="171">
        <v>29</v>
      </c>
      <c r="G1533" s="171">
        <v>26.64</v>
      </c>
      <c r="H1533" s="171">
        <v>24.68</v>
      </c>
      <c r="I1533" s="171">
        <v>27.01</v>
      </c>
      <c r="J1533" s="171">
        <v>35.61</v>
      </c>
      <c r="K1533" s="171">
        <v>45</v>
      </c>
      <c r="L1533" s="171">
        <v>51.65</v>
      </c>
      <c r="M1533" s="171">
        <v>53.49</v>
      </c>
      <c r="N1533" s="171">
        <v>57.44</v>
      </c>
      <c r="O1533" s="171">
        <v>58.08</v>
      </c>
      <c r="P1533" s="171">
        <v>58.33</v>
      </c>
      <c r="Q1533" s="171">
        <v>55</v>
      </c>
      <c r="R1533" s="171">
        <v>53.77</v>
      </c>
      <c r="S1533" s="171">
        <v>51.300000000000004</v>
      </c>
      <c r="T1533" s="171">
        <v>46.42</v>
      </c>
      <c r="U1533" s="171">
        <v>52.050000000000004</v>
      </c>
      <c r="V1533" s="171">
        <v>69.86</v>
      </c>
      <c r="W1533" s="171">
        <v>85.79</v>
      </c>
      <c r="X1533" s="171">
        <v>61.1</v>
      </c>
      <c r="Y1533" s="171">
        <v>49.89</v>
      </c>
      <c r="Z1533" s="171">
        <v>45</v>
      </c>
      <c r="AA1533" s="171">
        <v>43.96</v>
      </c>
      <c r="AB1533" s="171">
        <v>85.79</v>
      </c>
      <c r="AC1533" s="171">
        <v>45</v>
      </c>
      <c r="AD1533" s="171">
        <v>37.69</v>
      </c>
      <c r="AF1533" s="171">
        <f t="shared" si="71"/>
        <v>2012</v>
      </c>
      <c r="AG1533" s="171">
        <f t="shared" si="72"/>
        <v>7</v>
      </c>
      <c r="AH1533" s="700">
        <f>SUMIF(D$3:$AA1533,"&lt;="&amp;$AH$1)/COUNTIF(D$3:$AA1533,"&lt;="&amp;$AH$1)</f>
        <v>30.759487277743865</v>
      </c>
    </row>
    <row r="1534" spans="2:34" x14ac:dyDescent="0.25">
      <c r="B1534" s="910">
        <v>40974</v>
      </c>
      <c r="C1534" s="581">
        <f t="shared" si="70"/>
        <v>3</v>
      </c>
      <c r="D1534" s="171">
        <v>42.43</v>
      </c>
      <c r="E1534" s="171">
        <v>40.06</v>
      </c>
      <c r="F1534" s="171">
        <v>37.96</v>
      </c>
      <c r="G1534" s="171">
        <v>37.06</v>
      </c>
      <c r="H1534" s="171">
        <v>37.6</v>
      </c>
      <c r="I1534" s="171">
        <v>42.14</v>
      </c>
      <c r="J1534" s="171">
        <v>48.67</v>
      </c>
      <c r="K1534" s="171">
        <v>57.9</v>
      </c>
      <c r="L1534" s="171">
        <v>55.06</v>
      </c>
      <c r="M1534" s="171">
        <v>55</v>
      </c>
      <c r="N1534" s="171">
        <v>46.84</v>
      </c>
      <c r="O1534" s="171">
        <v>46</v>
      </c>
      <c r="P1534" s="171">
        <v>45</v>
      </c>
      <c r="Q1534" s="171">
        <v>48.93</v>
      </c>
      <c r="R1534" s="171">
        <v>51.26</v>
      </c>
      <c r="S1534" s="171">
        <v>50.51</v>
      </c>
      <c r="T1534" s="171">
        <v>49.370000000000005</v>
      </c>
      <c r="U1534" s="171">
        <v>53.09</v>
      </c>
      <c r="V1534" s="171">
        <v>66.260000000000005</v>
      </c>
      <c r="W1534" s="171">
        <v>77.540000000000006</v>
      </c>
      <c r="X1534" s="171">
        <v>52</v>
      </c>
      <c r="Y1534" s="171">
        <v>50</v>
      </c>
      <c r="Z1534" s="171">
        <v>47.52</v>
      </c>
      <c r="AA1534" s="171">
        <v>43.480000000000004</v>
      </c>
      <c r="AB1534" s="171">
        <v>77.540000000000006</v>
      </c>
      <c r="AC1534" s="171">
        <v>45</v>
      </c>
      <c r="AD1534" s="171">
        <v>44.74</v>
      </c>
      <c r="AF1534" s="171">
        <f t="shared" si="71"/>
        <v>2012</v>
      </c>
      <c r="AG1534" s="171">
        <f t="shared" si="72"/>
        <v>6</v>
      </c>
      <c r="AH1534" s="700">
        <f>SUMIF(D$3:$AA1534,"&lt;="&amp;$AH$1)/COUNTIF(D$3:$AA1534,"&lt;="&amp;$AH$1)</f>
        <v>30.763523824115364</v>
      </c>
    </row>
    <row r="1535" spans="2:34" x14ac:dyDescent="0.25">
      <c r="B1535" s="910">
        <v>40975</v>
      </c>
      <c r="C1535" s="581">
        <f t="shared" si="70"/>
        <v>3</v>
      </c>
      <c r="D1535" s="171">
        <v>40.800000000000004</v>
      </c>
      <c r="E1535" s="171">
        <v>39.96</v>
      </c>
      <c r="F1535" s="171">
        <v>38.340000000000003</v>
      </c>
      <c r="G1535" s="171">
        <v>37.57</v>
      </c>
      <c r="H1535" s="171">
        <v>37.56</v>
      </c>
      <c r="I1535" s="171">
        <v>39.03</v>
      </c>
      <c r="J1535" s="171">
        <v>48.88</v>
      </c>
      <c r="K1535" s="171">
        <v>58.54</v>
      </c>
      <c r="L1535" s="171">
        <v>64.099999999999994</v>
      </c>
      <c r="M1535" s="171">
        <v>53.08</v>
      </c>
      <c r="N1535" s="171">
        <v>54.910000000000004</v>
      </c>
      <c r="O1535" s="171">
        <v>54.910000000000004</v>
      </c>
      <c r="P1535" s="171">
        <v>50.7</v>
      </c>
      <c r="Q1535" s="171">
        <v>48.06</v>
      </c>
      <c r="R1535" s="171">
        <v>45.800000000000004</v>
      </c>
      <c r="S1535" s="171">
        <v>43.77</v>
      </c>
      <c r="T1535" s="171">
        <v>41.78</v>
      </c>
      <c r="U1535" s="171">
        <v>44.53</v>
      </c>
      <c r="V1535" s="171">
        <v>55.65</v>
      </c>
      <c r="W1535" s="171">
        <v>63.480000000000004</v>
      </c>
      <c r="X1535" s="171">
        <v>50</v>
      </c>
      <c r="Y1535" s="171">
        <v>46.75</v>
      </c>
      <c r="Z1535" s="171">
        <v>45</v>
      </c>
      <c r="AA1535" s="171">
        <v>40</v>
      </c>
      <c r="AB1535" s="171">
        <v>64.099999999999994</v>
      </c>
      <c r="AC1535" s="171">
        <v>41.78</v>
      </c>
      <c r="AD1535" s="171">
        <v>43.54</v>
      </c>
      <c r="AF1535" s="171">
        <f t="shared" si="71"/>
        <v>2012</v>
      </c>
      <c r="AG1535" s="171">
        <f t="shared" si="72"/>
        <v>8</v>
      </c>
      <c r="AH1535" s="700">
        <f>SUMIF(D$3:$AA1535,"&lt;="&amp;$AH$1)/COUNTIF(D$3:$AA1535,"&lt;="&amp;$AH$1)</f>
        <v>30.768801102434701</v>
      </c>
    </row>
    <row r="1536" spans="2:34" x14ac:dyDescent="0.25">
      <c r="B1536" s="910">
        <v>40976</v>
      </c>
      <c r="C1536" s="581">
        <f t="shared" si="70"/>
        <v>3</v>
      </c>
      <c r="D1536" s="171">
        <v>41.160000000000004</v>
      </c>
      <c r="E1536" s="171">
        <v>38.04</v>
      </c>
      <c r="F1536" s="171">
        <v>37.1</v>
      </c>
      <c r="G1536" s="171">
        <v>36.08</v>
      </c>
      <c r="H1536" s="171">
        <v>33.08</v>
      </c>
      <c r="I1536" s="171">
        <v>35.19</v>
      </c>
      <c r="J1536" s="171">
        <v>41</v>
      </c>
      <c r="K1536" s="171">
        <v>45.730000000000004</v>
      </c>
      <c r="L1536" s="171">
        <v>49.88</v>
      </c>
      <c r="M1536" s="171">
        <v>49.99</v>
      </c>
      <c r="N1536" s="171">
        <v>52.18</v>
      </c>
      <c r="O1536" s="171">
        <v>52.410000000000004</v>
      </c>
      <c r="P1536" s="171">
        <v>50.22</v>
      </c>
      <c r="Q1536" s="171">
        <v>50.22</v>
      </c>
      <c r="R1536" s="171">
        <v>45.730000000000004</v>
      </c>
      <c r="S1536" s="171">
        <v>46.01</v>
      </c>
      <c r="T1536" s="171">
        <v>47.86</v>
      </c>
      <c r="U1536" s="171">
        <v>50.22</v>
      </c>
      <c r="V1536" s="171">
        <v>70.37</v>
      </c>
      <c r="W1536" s="171">
        <v>89.94</v>
      </c>
      <c r="X1536" s="171">
        <v>59.94</v>
      </c>
      <c r="Y1536" s="171">
        <v>50.620000000000005</v>
      </c>
      <c r="Z1536" s="171">
        <v>50.65</v>
      </c>
      <c r="AA1536" s="171">
        <v>46</v>
      </c>
      <c r="AB1536" s="171">
        <v>89.94</v>
      </c>
      <c r="AC1536" s="171">
        <v>45.730000000000004</v>
      </c>
      <c r="AD1536" s="171">
        <v>42.88</v>
      </c>
      <c r="AF1536" s="171">
        <f t="shared" si="71"/>
        <v>2012</v>
      </c>
      <c r="AG1536" s="171">
        <f t="shared" si="72"/>
        <v>7</v>
      </c>
      <c r="AH1536" s="700">
        <f>SUMIF(D$3:$AA1536,"&lt;="&amp;$AH$1)/COUNTIF(D$3:$AA1536,"&lt;="&amp;$AH$1)</f>
        <v>30.772341418624379</v>
      </c>
    </row>
    <row r="1537" spans="2:34" x14ac:dyDescent="0.25">
      <c r="B1537" s="910">
        <v>40977</v>
      </c>
      <c r="C1537" s="581">
        <f t="shared" si="70"/>
        <v>3</v>
      </c>
      <c r="D1537" s="171">
        <v>43.25</v>
      </c>
      <c r="E1537" s="171">
        <v>41.160000000000004</v>
      </c>
      <c r="F1537" s="171">
        <v>40.630000000000003</v>
      </c>
      <c r="G1537" s="171">
        <v>39.270000000000003</v>
      </c>
      <c r="H1537" s="171">
        <v>38.65</v>
      </c>
      <c r="I1537" s="171">
        <v>41.27</v>
      </c>
      <c r="J1537" s="171">
        <v>49.6</v>
      </c>
      <c r="K1537" s="171">
        <v>57.96</v>
      </c>
      <c r="L1537" s="171">
        <v>61.14</v>
      </c>
      <c r="M1537" s="171">
        <v>58.660000000000004</v>
      </c>
      <c r="N1537" s="171">
        <v>61.2</v>
      </c>
      <c r="O1537" s="171">
        <v>57.050000000000004</v>
      </c>
      <c r="P1537" s="171">
        <v>54.96</v>
      </c>
      <c r="Q1537" s="171">
        <v>52</v>
      </c>
      <c r="R1537" s="171">
        <v>46.82</v>
      </c>
      <c r="S1537" s="171">
        <v>44.17</v>
      </c>
      <c r="T1537" s="171">
        <v>44.96</v>
      </c>
      <c r="U1537" s="171">
        <v>50.01</v>
      </c>
      <c r="V1537" s="171">
        <v>58.19</v>
      </c>
      <c r="W1537" s="171">
        <v>64.94</v>
      </c>
      <c r="X1537" s="171">
        <v>50.95</v>
      </c>
      <c r="Y1537" s="171">
        <v>48.76</v>
      </c>
      <c r="Z1537" s="171">
        <v>45.800000000000004</v>
      </c>
      <c r="AA1537" s="171">
        <v>45.44</v>
      </c>
      <c r="AB1537" s="171">
        <v>64.94</v>
      </c>
      <c r="AC1537" s="171">
        <v>44.17</v>
      </c>
      <c r="AD1537" s="171">
        <v>45.230000000000004</v>
      </c>
      <c r="AF1537" s="171">
        <f t="shared" si="71"/>
        <v>2012</v>
      </c>
      <c r="AG1537" s="171">
        <f t="shared" si="72"/>
        <v>5</v>
      </c>
      <c r="AH1537" s="700">
        <f>SUMIF(D$3:$AA1537,"&lt;="&amp;$AH$1)/COUNTIF(D$3:$AA1537,"&lt;="&amp;$AH$1)</f>
        <v>30.775945387792724</v>
      </c>
    </row>
    <row r="1538" spans="2:34" x14ac:dyDescent="0.25">
      <c r="B1538" s="910">
        <v>40980</v>
      </c>
      <c r="C1538" s="581">
        <f t="shared" si="70"/>
        <v>3</v>
      </c>
      <c r="D1538" s="171">
        <v>37.4</v>
      </c>
      <c r="E1538" s="171">
        <v>33.04</v>
      </c>
      <c r="F1538" s="171">
        <v>28.650000000000002</v>
      </c>
      <c r="G1538" s="171">
        <v>25.45</v>
      </c>
      <c r="H1538" s="171">
        <v>26.28</v>
      </c>
      <c r="I1538" s="171">
        <v>34.35</v>
      </c>
      <c r="J1538" s="171">
        <v>45.12</v>
      </c>
      <c r="K1538" s="171">
        <v>53.19</v>
      </c>
      <c r="L1538" s="171">
        <v>62.92</v>
      </c>
      <c r="M1538" s="171">
        <v>63.07</v>
      </c>
      <c r="N1538" s="171">
        <v>58.29</v>
      </c>
      <c r="O1538" s="171">
        <v>59.83</v>
      </c>
      <c r="P1538" s="171">
        <v>57.79</v>
      </c>
      <c r="Q1538" s="171">
        <v>56.63</v>
      </c>
      <c r="R1538" s="171">
        <v>50.04</v>
      </c>
      <c r="S1538" s="171">
        <v>45.03</v>
      </c>
      <c r="T1538" s="171">
        <v>42.95</v>
      </c>
      <c r="U1538" s="171">
        <v>50.81</v>
      </c>
      <c r="V1538" s="171">
        <v>58.54</v>
      </c>
      <c r="W1538" s="171">
        <v>78.48</v>
      </c>
      <c r="X1538" s="171">
        <v>61.2</v>
      </c>
      <c r="Y1538" s="171">
        <v>48.94</v>
      </c>
      <c r="Z1538" s="171">
        <v>48</v>
      </c>
      <c r="AA1538" s="171">
        <v>48</v>
      </c>
      <c r="AB1538" s="171">
        <v>78.48</v>
      </c>
      <c r="AC1538" s="171">
        <v>42.95</v>
      </c>
      <c r="AD1538" s="171">
        <v>40.800000000000004</v>
      </c>
      <c r="AF1538" s="171">
        <f t="shared" si="71"/>
        <v>2012</v>
      </c>
      <c r="AG1538" s="171">
        <f t="shared" si="72"/>
        <v>6</v>
      </c>
      <c r="AH1538" s="700">
        <f>SUMIF(D$3:$AA1538,"&lt;="&amp;$AH$1)/COUNTIF(D$3:$AA1538,"&lt;="&amp;$AH$1)</f>
        <v>30.775984709480284</v>
      </c>
    </row>
    <row r="1539" spans="2:34" x14ac:dyDescent="0.25">
      <c r="B1539" s="910">
        <v>40981</v>
      </c>
      <c r="C1539" s="581">
        <f t="shared" si="70"/>
        <v>3</v>
      </c>
      <c r="D1539" s="171">
        <v>38.08</v>
      </c>
      <c r="E1539" s="171">
        <v>37.72</v>
      </c>
      <c r="F1539" s="171">
        <v>37</v>
      </c>
      <c r="G1539" s="171">
        <v>34.57</v>
      </c>
      <c r="H1539" s="171">
        <v>34.39</v>
      </c>
      <c r="I1539" s="171">
        <v>38.29</v>
      </c>
      <c r="J1539" s="171">
        <v>46.18</v>
      </c>
      <c r="K1539" s="171">
        <v>56.27</v>
      </c>
      <c r="L1539" s="171">
        <v>61.300000000000004</v>
      </c>
      <c r="M1539" s="171">
        <v>61.19</v>
      </c>
      <c r="N1539" s="171">
        <v>58.34</v>
      </c>
      <c r="O1539" s="171">
        <v>55.43</v>
      </c>
      <c r="P1539" s="171">
        <v>52.01</v>
      </c>
      <c r="Q1539" s="171">
        <v>49</v>
      </c>
      <c r="R1539" s="171">
        <v>45.65</v>
      </c>
      <c r="S1539" s="171">
        <v>41.94</v>
      </c>
      <c r="T1539" s="171">
        <v>41.95</v>
      </c>
      <c r="U1539" s="171">
        <v>50.230000000000004</v>
      </c>
      <c r="V1539" s="171">
        <v>53.17</v>
      </c>
      <c r="W1539" s="171">
        <v>79.210000000000008</v>
      </c>
      <c r="X1539" s="171">
        <v>61.04</v>
      </c>
      <c r="Y1539" s="171">
        <v>49.06</v>
      </c>
      <c r="Z1539" s="171">
        <v>46.51</v>
      </c>
      <c r="AA1539" s="171">
        <v>44.94</v>
      </c>
      <c r="AB1539" s="171">
        <v>79.210000000000008</v>
      </c>
      <c r="AC1539" s="171">
        <v>41.94</v>
      </c>
      <c r="AD1539" s="171">
        <v>43.67</v>
      </c>
      <c r="AF1539" s="171">
        <f t="shared" si="71"/>
        <v>2012</v>
      </c>
      <c r="AG1539" s="171">
        <f t="shared" si="72"/>
        <v>8</v>
      </c>
      <c r="AH1539" s="700">
        <f>SUMIF(D$3:$AA1539,"&lt;="&amp;$AH$1)/COUNTIF(D$3:$AA1539,"&lt;="&amp;$AH$1)</f>
        <v>30.780395782396248</v>
      </c>
    </row>
    <row r="1540" spans="2:34" x14ac:dyDescent="0.25">
      <c r="B1540" s="910">
        <v>40982</v>
      </c>
      <c r="C1540" s="581">
        <f t="shared" ref="C1540:C1603" si="73">MONTH(B1540)</f>
        <v>3</v>
      </c>
      <c r="D1540" s="171">
        <v>40</v>
      </c>
      <c r="E1540" s="171">
        <v>34.630000000000003</v>
      </c>
      <c r="F1540" s="171">
        <v>33.049999999999997</v>
      </c>
      <c r="G1540" s="171">
        <v>31.82</v>
      </c>
      <c r="H1540" s="171">
        <v>32.69</v>
      </c>
      <c r="I1540" s="171">
        <v>36.82</v>
      </c>
      <c r="J1540" s="171">
        <v>45.09</v>
      </c>
      <c r="K1540" s="171">
        <v>53.11</v>
      </c>
      <c r="L1540" s="171">
        <v>56.5</v>
      </c>
      <c r="M1540" s="171">
        <v>58.09</v>
      </c>
      <c r="N1540" s="171">
        <v>55.95</v>
      </c>
      <c r="O1540" s="171">
        <v>55</v>
      </c>
      <c r="P1540" s="171">
        <v>53.86</v>
      </c>
      <c r="Q1540" s="171">
        <v>47.38</v>
      </c>
      <c r="R1540" s="171">
        <v>44.94</v>
      </c>
      <c r="S1540" s="171">
        <v>44.94</v>
      </c>
      <c r="T1540" s="171">
        <v>44.07</v>
      </c>
      <c r="U1540" s="171">
        <v>48.77</v>
      </c>
      <c r="V1540" s="171">
        <v>55.870000000000005</v>
      </c>
      <c r="W1540" s="171">
        <v>82.16</v>
      </c>
      <c r="X1540" s="171">
        <v>57.1</v>
      </c>
      <c r="Y1540" s="171">
        <v>46.69</v>
      </c>
      <c r="Z1540" s="171">
        <v>49.9</v>
      </c>
      <c r="AA1540" s="171">
        <v>46.300000000000004</v>
      </c>
      <c r="AB1540" s="171">
        <v>82.16</v>
      </c>
      <c r="AC1540" s="171">
        <v>44.07</v>
      </c>
      <c r="AD1540" s="171">
        <v>42.27</v>
      </c>
      <c r="AF1540" s="171">
        <f t="shared" ref="AF1540:AF1603" si="74">YEAR(B1540)</f>
        <v>2012</v>
      </c>
      <c r="AG1540" s="171">
        <f t="shared" ref="AG1540:AG1603" si="75">COUNTIF(D1540:AA1540,"&lt;="&amp;$AH$1)</f>
        <v>6</v>
      </c>
      <c r="AH1540" s="700">
        <f>SUMIF(D$3:$AA1540,"&lt;="&amp;$AH$1)/COUNTIF(D$3:$AA1540,"&lt;="&amp;$AH$1)</f>
        <v>30.782253703986719</v>
      </c>
    </row>
    <row r="1541" spans="2:34" x14ac:dyDescent="0.25">
      <c r="B1541" s="910">
        <v>40983</v>
      </c>
      <c r="C1541" s="581">
        <f t="shared" si="73"/>
        <v>3</v>
      </c>
      <c r="D1541" s="171">
        <v>40.99</v>
      </c>
      <c r="E1541" s="171">
        <v>38.25</v>
      </c>
      <c r="F1541" s="171">
        <v>36.300000000000004</v>
      </c>
      <c r="G1541" s="171">
        <v>33.65</v>
      </c>
      <c r="H1541" s="171">
        <v>33.11</v>
      </c>
      <c r="I1541" s="171">
        <v>37.840000000000003</v>
      </c>
      <c r="J1541" s="171">
        <v>48.95</v>
      </c>
      <c r="K1541" s="171">
        <v>58.9</v>
      </c>
      <c r="L1541" s="171">
        <v>65.95</v>
      </c>
      <c r="M1541" s="171">
        <v>59.97</v>
      </c>
      <c r="N1541" s="171">
        <v>50.94</v>
      </c>
      <c r="O1541" s="171">
        <v>49</v>
      </c>
      <c r="P1541" s="171">
        <v>47.42</v>
      </c>
      <c r="Q1541" s="171">
        <v>44.56</v>
      </c>
      <c r="R1541" s="171">
        <v>43.39</v>
      </c>
      <c r="S1541" s="171">
        <v>44.51</v>
      </c>
      <c r="T1541" s="171">
        <v>44</v>
      </c>
      <c r="U1541" s="171">
        <v>49.410000000000004</v>
      </c>
      <c r="V1541" s="171">
        <v>61.28</v>
      </c>
      <c r="W1541" s="171">
        <v>73.98</v>
      </c>
      <c r="X1541" s="171">
        <v>55</v>
      </c>
      <c r="Y1541" s="171">
        <v>45.58</v>
      </c>
      <c r="Z1541" s="171">
        <v>43.99</v>
      </c>
      <c r="AA1541" s="171">
        <v>43.46</v>
      </c>
      <c r="AB1541" s="171">
        <v>73.98</v>
      </c>
      <c r="AC1541" s="171">
        <v>43.39</v>
      </c>
      <c r="AD1541" s="171">
        <v>43</v>
      </c>
      <c r="AF1541" s="171">
        <f t="shared" si="74"/>
        <v>2012</v>
      </c>
      <c r="AG1541" s="171">
        <f t="shared" si="75"/>
        <v>6</v>
      </c>
      <c r="AH1541" s="700">
        <f>SUMIF(D$3:$AA1541,"&lt;="&amp;$AH$1)/COUNTIF(D$3:$AA1541,"&lt;="&amp;$AH$1)</f>
        <v>30.784959541984897</v>
      </c>
    </row>
    <row r="1542" spans="2:34" x14ac:dyDescent="0.25">
      <c r="B1542" s="910">
        <v>40984</v>
      </c>
      <c r="C1542" s="581">
        <f t="shared" si="73"/>
        <v>3</v>
      </c>
      <c r="D1542" s="171">
        <v>38.450000000000003</v>
      </c>
      <c r="E1542" s="171">
        <v>35.160000000000004</v>
      </c>
      <c r="F1542" s="171">
        <v>35.01</v>
      </c>
      <c r="G1542" s="171">
        <v>33.46</v>
      </c>
      <c r="H1542" s="171">
        <v>34.04</v>
      </c>
      <c r="I1542" s="171">
        <v>36.840000000000003</v>
      </c>
      <c r="J1542" s="171">
        <v>47.72</v>
      </c>
      <c r="K1542" s="171">
        <v>56.96</v>
      </c>
      <c r="L1542" s="171">
        <v>61.19</v>
      </c>
      <c r="M1542" s="171">
        <v>64.42</v>
      </c>
      <c r="N1542" s="171">
        <v>61.01</v>
      </c>
      <c r="O1542" s="171">
        <v>53.2</v>
      </c>
      <c r="P1542" s="171">
        <v>50.28</v>
      </c>
      <c r="Q1542" s="171">
        <v>44.87</v>
      </c>
      <c r="R1542" s="171">
        <v>42.43</v>
      </c>
      <c r="S1542" s="171">
        <v>41.02</v>
      </c>
      <c r="T1542" s="171">
        <v>41.28</v>
      </c>
      <c r="U1542" s="171">
        <v>46.300000000000004</v>
      </c>
      <c r="V1542" s="171">
        <v>53.52</v>
      </c>
      <c r="W1542" s="171">
        <v>64.930000000000007</v>
      </c>
      <c r="X1542" s="171">
        <v>53.04</v>
      </c>
      <c r="Y1542" s="171">
        <v>44.85</v>
      </c>
      <c r="Z1542" s="171">
        <v>46.07</v>
      </c>
      <c r="AA1542" s="171">
        <v>45.85</v>
      </c>
      <c r="AB1542" s="171">
        <v>64.930000000000007</v>
      </c>
      <c r="AC1542" s="171">
        <v>41.02</v>
      </c>
      <c r="AD1542" s="171">
        <v>42.29</v>
      </c>
      <c r="AF1542" s="171">
        <f t="shared" si="74"/>
        <v>2012</v>
      </c>
      <c r="AG1542" s="171">
        <f t="shared" si="75"/>
        <v>9</v>
      </c>
      <c r="AH1542" s="700">
        <f>SUMIF(D$3:$AA1542,"&lt;="&amp;$AH$1)/COUNTIF(D$3:$AA1542,"&lt;="&amp;$AH$1)</f>
        <v>30.789584255092088</v>
      </c>
    </row>
    <row r="1543" spans="2:34" x14ac:dyDescent="0.25">
      <c r="B1543" s="910">
        <v>40987</v>
      </c>
      <c r="C1543" s="581">
        <f t="shared" si="73"/>
        <v>3</v>
      </c>
      <c r="D1543" s="171">
        <v>43.15</v>
      </c>
      <c r="E1543" s="171">
        <v>39.18</v>
      </c>
      <c r="F1543" s="171">
        <v>33.31</v>
      </c>
      <c r="G1543" s="171">
        <v>26.45</v>
      </c>
      <c r="H1543" s="171">
        <v>24.650000000000002</v>
      </c>
      <c r="I1543" s="171">
        <v>34.31</v>
      </c>
      <c r="J1543" s="171">
        <v>49.64</v>
      </c>
      <c r="K1543" s="171">
        <v>56.72</v>
      </c>
      <c r="L1543" s="171">
        <v>55.01</v>
      </c>
      <c r="M1543" s="171">
        <v>53.19</v>
      </c>
      <c r="N1543" s="171">
        <v>52.76</v>
      </c>
      <c r="O1543" s="171">
        <v>50.910000000000004</v>
      </c>
      <c r="P1543" s="171">
        <v>49.660000000000004</v>
      </c>
      <c r="Q1543" s="171">
        <v>48.14</v>
      </c>
      <c r="R1543" s="171">
        <v>44.84</v>
      </c>
      <c r="S1543" s="171">
        <v>42.660000000000004</v>
      </c>
      <c r="T1543" s="171">
        <v>42.77</v>
      </c>
      <c r="U1543" s="171">
        <v>47.58</v>
      </c>
      <c r="V1543" s="171">
        <v>66</v>
      </c>
      <c r="W1543" s="171">
        <v>121.97</v>
      </c>
      <c r="X1543" s="171">
        <v>67.59</v>
      </c>
      <c r="Y1543" s="171">
        <v>50.9</v>
      </c>
      <c r="Z1543" s="171">
        <v>49.79</v>
      </c>
      <c r="AA1543" s="171">
        <v>44.660000000000004</v>
      </c>
      <c r="AB1543" s="171">
        <v>121.97</v>
      </c>
      <c r="AC1543" s="171">
        <v>42.660000000000004</v>
      </c>
      <c r="AD1543" s="171">
        <v>43.36</v>
      </c>
      <c r="AF1543" s="171">
        <f t="shared" si="74"/>
        <v>2012</v>
      </c>
      <c r="AG1543" s="171">
        <f t="shared" si="75"/>
        <v>5</v>
      </c>
      <c r="AH1543" s="700">
        <f>SUMIF(D$3:$AA1543,"&lt;="&amp;$AH$1)/COUNTIF(D$3:$AA1543,"&lt;="&amp;$AH$1)</f>
        <v>30.789885618423227</v>
      </c>
    </row>
    <row r="1544" spans="2:34" x14ac:dyDescent="0.25">
      <c r="B1544" s="910">
        <v>40988</v>
      </c>
      <c r="C1544" s="581">
        <f t="shared" si="73"/>
        <v>3</v>
      </c>
      <c r="D1544" s="171">
        <v>40.630000000000003</v>
      </c>
      <c r="E1544" s="171">
        <v>39.93</v>
      </c>
      <c r="F1544" s="171">
        <v>36.14</v>
      </c>
      <c r="G1544" s="171">
        <v>31.3</v>
      </c>
      <c r="H1544" s="171">
        <v>32.590000000000003</v>
      </c>
      <c r="I1544" s="171">
        <v>36.49</v>
      </c>
      <c r="J1544" s="171">
        <v>43.08</v>
      </c>
      <c r="K1544" s="171">
        <v>50</v>
      </c>
      <c r="L1544" s="171">
        <v>53.06</v>
      </c>
      <c r="M1544" s="171">
        <v>61.99</v>
      </c>
      <c r="N1544" s="171">
        <v>61.19</v>
      </c>
      <c r="O1544" s="171">
        <v>61.19</v>
      </c>
      <c r="P1544" s="171">
        <v>56.19</v>
      </c>
      <c r="Q1544" s="171">
        <v>52</v>
      </c>
      <c r="R1544" s="171">
        <v>52.71</v>
      </c>
      <c r="S1544" s="171">
        <v>45.35</v>
      </c>
      <c r="T1544" s="171">
        <v>44.92</v>
      </c>
      <c r="U1544" s="171">
        <v>48.65</v>
      </c>
      <c r="V1544" s="171">
        <v>56.88</v>
      </c>
      <c r="W1544" s="171">
        <v>88.19</v>
      </c>
      <c r="X1544" s="171">
        <v>56.42</v>
      </c>
      <c r="Y1544" s="171">
        <v>52.44</v>
      </c>
      <c r="Z1544" s="171">
        <v>50.49</v>
      </c>
      <c r="AA1544" s="171">
        <v>49.45</v>
      </c>
      <c r="AB1544" s="171">
        <v>88.19</v>
      </c>
      <c r="AC1544" s="171">
        <v>44.92</v>
      </c>
      <c r="AD1544" s="171">
        <v>43.25</v>
      </c>
      <c r="AF1544" s="171">
        <f t="shared" si="74"/>
        <v>2012</v>
      </c>
      <c r="AG1544" s="171">
        <f t="shared" si="75"/>
        <v>6</v>
      </c>
      <c r="AH1544" s="700">
        <f>SUMIF(D$3:$AA1544,"&lt;="&amp;$AH$1)/COUNTIF(D$3:$AA1544,"&lt;="&amp;$AH$1)</f>
        <v>30.792350609756266</v>
      </c>
    </row>
    <row r="1545" spans="2:34" x14ac:dyDescent="0.25">
      <c r="B1545" s="910">
        <v>40989</v>
      </c>
      <c r="C1545" s="581">
        <f t="shared" si="73"/>
        <v>3</v>
      </c>
      <c r="D1545" s="171">
        <v>42.76</v>
      </c>
      <c r="E1545" s="171">
        <v>39.869999999999997</v>
      </c>
      <c r="F1545" s="171">
        <v>37.020000000000003</v>
      </c>
      <c r="G1545" s="171">
        <v>33.71</v>
      </c>
      <c r="H1545" s="171">
        <v>33.71</v>
      </c>
      <c r="I1545" s="171">
        <v>38.44</v>
      </c>
      <c r="J1545" s="171">
        <v>46.31</v>
      </c>
      <c r="K1545" s="171">
        <v>59.6</v>
      </c>
      <c r="L1545" s="171">
        <v>56.09</v>
      </c>
      <c r="M1545" s="171">
        <v>65.13</v>
      </c>
      <c r="N1545" s="171">
        <v>54.38</v>
      </c>
      <c r="O1545" s="171">
        <v>51.09</v>
      </c>
      <c r="P1545" s="171">
        <v>52.07</v>
      </c>
      <c r="Q1545" s="171">
        <v>49.94</v>
      </c>
      <c r="R1545" s="171">
        <v>44.94</v>
      </c>
      <c r="S1545" s="171">
        <v>42.57</v>
      </c>
      <c r="T1545" s="171">
        <v>42.82</v>
      </c>
      <c r="U1545" s="171">
        <v>47.09</v>
      </c>
      <c r="V1545" s="171">
        <v>56.18</v>
      </c>
      <c r="W1545" s="171">
        <v>84.47</v>
      </c>
      <c r="X1545" s="171">
        <v>61.02</v>
      </c>
      <c r="Y1545" s="171">
        <v>48.97</v>
      </c>
      <c r="Z1545" s="171">
        <v>47.94</v>
      </c>
      <c r="AA1545" s="171">
        <v>43.37</v>
      </c>
      <c r="AB1545" s="171">
        <v>84.47</v>
      </c>
      <c r="AC1545" s="171">
        <v>42.57</v>
      </c>
      <c r="AD1545" s="171">
        <v>44.39</v>
      </c>
      <c r="AF1545" s="171">
        <f t="shared" si="74"/>
        <v>2012</v>
      </c>
      <c r="AG1545" s="171">
        <f t="shared" si="75"/>
        <v>5</v>
      </c>
      <c r="AH1545" s="700">
        <f>SUMIF(D$3:$AA1545,"&lt;="&amp;$AH$1)/COUNTIF(D$3:$AA1545,"&lt;="&amp;$AH$1)</f>
        <v>30.794544000000172</v>
      </c>
    </row>
    <row r="1546" spans="2:34" x14ac:dyDescent="0.25">
      <c r="B1546" s="910">
        <v>40990</v>
      </c>
      <c r="C1546" s="581">
        <f t="shared" si="73"/>
        <v>3</v>
      </c>
      <c r="D1546" s="171">
        <v>39.869999999999997</v>
      </c>
      <c r="E1546" s="171">
        <v>37.6</v>
      </c>
      <c r="F1546" s="171">
        <v>35.33</v>
      </c>
      <c r="G1546" s="171">
        <v>32.43</v>
      </c>
      <c r="H1546" s="171">
        <v>33.42</v>
      </c>
      <c r="I1546" s="171">
        <v>38.07</v>
      </c>
      <c r="J1546" s="171">
        <v>49.97</v>
      </c>
      <c r="K1546" s="171">
        <v>53.19</v>
      </c>
      <c r="L1546" s="171">
        <v>56.99</v>
      </c>
      <c r="M1546" s="171">
        <v>59.26</v>
      </c>
      <c r="N1546" s="171">
        <v>59.410000000000004</v>
      </c>
      <c r="O1546" s="171">
        <v>57.09</v>
      </c>
      <c r="P1546" s="171">
        <v>55.13</v>
      </c>
      <c r="Q1546" s="171">
        <v>46.78</v>
      </c>
      <c r="R1546" s="171">
        <v>43.88</v>
      </c>
      <c r="S1546" s="171">
        <v>43.68</v>
      </c>
      <c r="T1546" s="171">
        <v>44</v>
      </c>
      <c r="U1546" s="171">
        <v>47.660000000000004</v>
      </c>
      <c r="V1546" s="171">
        <v>55.95</v>
      </c>
      <c r="W1546" s="171">
        <v>75.45</v>
      </c>
      <c r="X1546" s="171">
        <v>59.49</v>
      </c>
      <c r="Y1546" s="171">
        <v>48.44</v>
      </c>
      <c r="Z1546" s="171">
        <v>48.35</v>
      </c>
      <c r="AA1546" s="171">
        <v>44.660000000000004</v>
      </c>
      <c r="AB1546" s="171">
        <v>75.45</v>
      </c>
      <c r="AC1546" s="171">
        <v>43.68</v>
      </c>
      <c r="AD1546" s="171">
        <v>43.4</v>
      </c>
      <c r="AF1546" s="171">
        <f t="shared" si="74"/>
        <v>2012</v>
      </c>
      <c r="AG1546" s="171">
        <f t="shared" si="75"/>
        <v>6</v>
      </c>
      <c r="AH1546" s="700">
        <f>SUMIF(D$3:$AA1546,"&lt;="&amp;$AH$1)/COUNTIF(D$3:$AA1546,"&lt;="&amp;$AH$1)</f>
        <v>30.796977381768507</v>
      </c>
    </row>
    <row r="1547" spans="2:34" x14ac:dyDescent="0.25">
      <c r="B1547" s="910">
        <v>40991</v>
      </c>
      <c r="C1547" s="581">
        <f t="shared" si="73"/>
        <v>3</v>
      </c>
      <c r="D1547" s="171">
        <v>35.68</v>
      </c>
      <c r="E1547" s="171">
        <v>33.53</v>
      </c>
      <c r="F1547" s="171">
        <v>30.35</v>
      </c>
      <c r="G1547" s="171">
        <v>27.14</v>
      </c>
      <c r="H1547" s="171">
        <v>28.61</v>
      </c>
      <c r="I1547" s="171">
        <v>34.18</v>
      </c>
      <c r="J1547" s="171">
        <v>42.52</v>
      </c>
      <c r="K1547" s="171">
        <v>51.11</v>
      </c>
      <c r="L1547" s="171">
        <v>52.32</v>
      </c>
      <c r="M1547" s="171">
        <v>49.94</v>
      </c>
      <c r="N1547" s="171">
        <v>46.11</v>
      </c>
      <c r="O1547" s="171">
        <v>45.29</v>
      </c>
      <c r="P1547" s="171">
        <v>45.4</v>
      </c>
      <c r="Q1547" s="171">
        <v>42.81</v>
      </c>
      <c r="R1547" s="171">
        <v>40.550000000000004</v>
      </c>
      <c r="S1547" s="171">
        <v>39.94</v>
      </c>
      <c r="T1547" s="171">
        <v>41.04</v>
      </c>
      <c r="U1547" s="171">
        <v>43</v>
      </c>
      <c r="V1547" s="171">
        <v>51.01</v>
      </c>
      <c r="W1547" s="171">
        <v>63.53</v>
      </c>
      <c r="X1547" s="171">
        <v>51.95</v>
      </c>
      <c r="Y1547" s="171">
        <v>42.11</v>
      </c>
      <c r="Z1547" s="171">
        <v>42.43</v>
      </c>
      <c r="AA1547" s="171">
        <v>40.97</v>
      </c>
      <c r="AB1547" s="171">
        <v>63.53</v>
      </c>
      <c r="AC1547" s="171">
        <v>39.94</v>
      </c>
      <c r="AD1547" s="171">
        <v>38.380000000000003</v>
      </c>
      <c r="AF1547" s="171">
        <f t="shared" si="74"/>
        <v>2012</v>
      </c>
      <c r="AG1547" s="171">
        <f t="shared" si="75"/>
        <v>13</v>
      </c>
      <c r="AH1547" s="700">
        <f>SUMIF(D$3:$AA1547,"&lt;="&amp;$AH$1)/COUNTIF(D$3:$AA1547,"&lt;="&amp;$AH$1)</f>
        <v>30.802964090079289</v>
      </c>
    </row>
    <row r="1548" spans="2:34" x14ac:dyDescent="0.25">
      <c r="B1548" s="910">
        <v>40994</v>
      </c>
      <c r="C1548" s="581">
        <f t="shared" si="73"/>
        <v>3</v>
      </c>
      <c r="D1548" s="171">
        <v>27.02</v>
      </c>
      <c r="E1548" s="171">
        <v>26.32</v>
      </c>
      <c r="F1548" s="171">
        <v>23.76</v>
      </c>
      <c r="G1548" s="171">
        <v>23.16</v>
      </c>
      <c r="H1548" s="171">
        <v>24.64</v>
      </c>
      <c r="I1548" s="171">
        <v>26.93</v>
      </c>
      <c r="J1548" s="171">
        <v>46.42</v>
      </c>
      <c r="K1548" s="171">
        <v>58.28</v>
      </c>
      <c r="L1548" s="171">
        <v>67.14</v>
      </c>
      <c r="M1548" s="171">
        <v>63.160000000000004</v>
      </c>
      <c r="N1548" s="171">
        <v>58.24</v>
      </c>
      <c r="O1548" s="171">
        <v>55.76</v>
      </c>
      <c r="P1548" s="171">
        <v>53.19</v>
      </c>
      <c r="Q1548" s="171">
        <v>51.28</v>
      </c>
      <c r="R1548" s="171">
        <v>39.94</v>
      </c>
      <c r="S1548" s="171">
        <v>37.42</v>
      </c>
      <c r="T1548" s="171">
        <v>37.53</v>
      </c>
      <c r="U1548" s="171">
        <v>40.910000000000004</v>
      </c>
      <c r="V1548" s="171">
        <v>44.52</v>
      </c>
      <c r="W1548" s="171">
        <v>50</v>
      </c>
      <c r="X1548" s="171">
        <v>57.59</v>
      </c>
      <c r="Y1548" s="171">
        <v>50</v>
      </c>
      <c r="Z1548" s="171">
        <v>46.17</v>
      </c>
      <c r="AA1548" s="171">
        <v>42.28</v>
      </c>
      <c r="AB1548" s="171">
        <v>67.14</v>
      </c>
      <c r="AC1548" s="171">
        <v>37.42</v>
      </c>
      <c r="AD1548" s="171">
        <v>37.71</v>
      </c>
      <c r="AF1548" s="171">
        <f t="shared" si="74"/>
        <v>2012</v>
      </c>
      <c r="AG1548" s="171">
        <f t="shared" si="75"/>
        <v>11</v>
      </c>
      <c r="AH1548" s="700">
        <f>SUMIF(D$3:$AA1548,"&lt;="&amp;$AH$1)/COUNTIF(D$3:$AA1548,"&lt;="&amp;$AH$1)</f>
        <v>30.803806157354785</v>
      </c>
    </row>
    <row r="1549" spans="2:34" x14ac:dyDescent="0.25">
      <c r="B1549" s="910">
        <v>40995</v>
      </c>
      <c r="C1549" s="581">
        <f t="shared" si="73"/>
        <v>3</v>
      </c>
      <c r="D1549" s="171">
        <v>34.97</v>
      </c>
      <c r="E1549" s="171">
        <v>29.88</v>
      </c>
      <c r="F1549" s="171">
        <v>23.85</v>
      </c>
      <c r="G1549" s="171">
        <v>21.29</v>
      </c>
      <c r="H1549" s="171">
        <v>23.1</v>
      </c>
      <c r="I1549" s="171">
        <v>31.66</v>
      </c>
      <c r="J1549" s="171">
        <v>42.5</v>
      </c>
      <c r="K1549" s="171">
        <v>53.050000000000004</v>
      </c>
      <c r="L1549" s="171">
        <v>55</v>
      </c>
      <c r="M1549" s="171">
        <v>50.51</v>
      </c>
      <c r="N1549" s="171">
        <v>49.18</v>
      </c>
      <c r="O1549" s="171">
        <v>47.09</v>
      </c>
      <c r="P1549" s="171">
        <v>44.93</v>
      </c>
      <c r="Q1549" s="171">
        <v>41.54</v>
      </c>
      <c r="R1549" s="171">
        <v>39.96</v>
      </c>
      <c r="S1549" s="171">
        <v>40</v>
      </c>
      <c r="T1549" s="171">
        <v>39.96</v>
      </c>
      <c r="U1549" s="171">
        <v>43</v>
      </c>
      <c r="V1549" s="171">
        <v>42.35</v>
      </c>
      <c r="W1549" s="171">
        <v>48.980000000000004</v>
      </c>
      <c r="X1549" s="171">
        <v>54.050000000000004</v>
      </c>
      <c r="Y1549" s="171">
        <v>45.97</v>
      </c>
      <c r="Z1549" s="171">
        <v>43.980000000000004</v>
      </c>
      <c r="AA1549" s="171">
        <v>38.200000000000003</v>
      </c>
      <c r="AB1549" s="171">
        <v>55</v>
      </c>
      <c r="AC1549" s="171">
        <v>39.96</v>
      </c>
      <c r="AD1549" s="171">
        <v>36.880000000000003</v>
      </c>
      <c r="AF1549" s="171">
        <f t="shared" si="74"/>
        <v>2012</v>
      </c>
      <c r="AG1549" s="171">
        <f t="shared" si="75"/>
        <v>13</v>
      </c>
      <c r="AH1549" s="700">
        <f>SUMIF(D$3:$AA1549,"&lt;="&amp;$AH$1)/COUNTIF(D$3:$AA1549,"&lt;="&amp;$AH$1)</f>
        <v>30.807512910085215</v>
      </c>
    </row>
    <row r="1550" spans="2:34" x14ac:dyDescent="0.25">
      <c r="B1550" s="910">
        <v>40996</v>
      </c>
      <c r="C1550" s="581">
        <f t="shared" si="73"/>
        <v>3</v>
      </c>
      <c r="D1550" s="171">
        <v>32.619999999999997</v>
      </c>
      <c r="E1550" s="171">
        <v>26.01</v>
      </c>
      <c r="F1550" s="171">
        <v>23.2</v>
      </c>
      <c r="G1550" s="171">
        <v>21.580000000000002</v>
      </c>
      <c r="H1550" s="171">
        <v>23.06</v>
      </c>
      <c r="I1550" s="171">
        <v>32.619999999999997</v>
      </c>
      <c r="J1550" s="171">
        <v>44.99</v>
      </c>
      <c r="K1550" s="171">
        <v>52.94</v>
      </c>
      <c r="L1550" s="171">
        <v>58.07</v>
      </c>
      <c r="M1550" s="171">
        <v>57.61</v>
      </c>
      <c r="N1550" s="171">
        <v>55.43</v>
      </c>
      <c r="O1550" s="171">
        <v>53.25</v>
      </c>
      <c r="P1550" s="171">
        <v>49.94</v>
      </c>
      <c r="Q1550" s="171">
        <v>46.69</v>
      </c>
      <c r="R1550" s="171">
        <v>45.57</v>
      </c>
      <c r="S1550" s="171">
        <v>44.96</v>
      </c>
      <c r="T1550" s="171">
        <v>43.5</v>
      </c>
      <c r="U1550" s="171">
        <v>44.94</v>
      </c>
      <c r="V1550" s="171">
        <v>44.94</v>
      </c>
      <c r="W1550" s="171">
        <v>48</v>
      </c>
      <c r="X1550" s="171">
        <v>50.120000000000005</v>
      </c>
      <c r="Y1550" s="171">
        <v>50.82</v>
      </c>
      <c r="Z1550" s="171">
        <v>46.730000000000004</v>
      </c>
      <c r="AA1550" s="171">
        <v>44.1</v>
      </c>
      <c r="AB1550" s="171">
        <v>58.07</v>
      </c>
      <c r="AC1550" s="171">
        <v>43.5</v>
      </c>
      <c r="AD1550" s="171">
        <v>37.4</v>
      </c>
      <c r="AF1550" s="171">
        <f t="shared" si="74"/>
        <v>2012</v>
      </c>
      <c r="AG1550" s="171">
        <f t="shared" si="75"/>
        <v>6</v>
      </c>
      <c r="AH1550" s="700">
        <f>SUMIF(D$3:$AA1550,"&lt;="&amp;$AH$1)/COUNTIF(D$3:$AA1550,"&lt;="&amp;$AH$1)</f>
        <v>30.805557917109621</v>
      </c>
    </row>
    <row r="1551" spans="2:34" x14ac:dyDescent="0.25">
      <c r="B1551" s="910">
        <v>40997</v>
      </c>
      <c r="C1551" s="581">
        <f t="shared" si="73"/>
        <v>3</v>
      </c>
      <c r="D1551" s="171">
        <v>36.230000000000004</v>
      </c>
      <c r="E1551" s="171">
        <v>28.01</v>
      </c>
      <c r="F1551" s="171">
        <v>16.22</v>
      </c>
      <c r="G1551" s="171">
        <v>14.94</v>
      </c>
      <c r="H1551" s="171">
        <v>14.200000000000001</v>
      </c>
      <c r="I1551" s="171">
        <v>22.55</v>
      </c>
      <c r="J1551" s="171">
        <v>38.99</v>
      </c>
      <c r="K1551" s="171">
        <v>48.53</v>
      </c>
      <c r="L1551" s="171">
        <v>48.93</v>
      </c>
      <c r="M1551" s="171">
        <v>51.63</v>
      </c>
      <c r="N1551" s="171">
        <v>48.24</v>
      </c>
      <c r="O1551" s="171">
        <v>69.34</v>
      </c>
      <c r="P1551" s="171">
        <v>50.01</v>
      </c>
      <c r="Q1551" s="171">
        <v>45.32</v>
      </c>
      <c r="R1551" s="171">
        <v>45</v>
      </c>
      <c r="S1551" s="171">
        <v>45</v>
      </c>
      <c r="T1551" s="171">
        <v>44.94</v>
      </c>
      <c r="U1551" s="171">
        <v>47</v>
      </c>
      <c r="V1551" s="171">
        <v>47</v>
      </c>
      <c r="W1551" s="171">
        <v>46</v>
      </c>
      <c r="X1551" s="171">
        <v>49.050000000000004</v>
      </c>
      <c r="Y1551" s="171">
        <v>47</v>
      </c>
      <c r="Z1551" s="171">
        <v>45</v>
      </c>
      <c r="AA1551" s="171">
        <v>42</v>
      </c>
      <c r="AB1551" s="171">
        <v>69.34</v>
      </c>
      <c r="AC1551" s="171">
        <v>44.94</v>
      </c>
      <c r="AD1551" s="171">
        <v>33.56</v>
      </c>
      <c r="AF1551" s="171">
        <f t="shared" si="74"/>
        <v>2012</v>
      </c>
      <c r="AG1551" s="171">
        <f t="shared" si="75"/>
        <v>8</v>
      </c>
      <c r="AH1551" s="700">
        <f>SUMIF(D$3:$AA1551,"&lt;="&amp;$AH$1)/COUNTIF(D$3:$AA1551,"&lt;="&amp;$AH$1)</f>
        <v>30.803031406463518</v>
      </c>
    </row>
    <row r="1552" spans="2:34" x14ac:dyDescent="0.25">
      <c r="B1552" s="910">
        <v>40998</v>
      </c>
      <c r="C1552" s="581">
        <f t="shared" si="73"/>
        <v>3</v>
      </c>
      <c r="D1552" s="171">
        <v>37.26</v>
      </c>
      <c r="E1552" s="171">
        <v>28.62</v>
      </c>
      <c r="F1552" s="171">
        <v>17.990000000000002</v>
      </c>
      <c r="G1552" s="171">
        <v>16.21</v>
      </c>
      <c r="H1552" s="171">
        <v>17.13</v>
      </c>
      <c r="I1552" s="171">
        <v>23.41</v>
      </c>
      <c r="J1552" s="171">
        <v>38</v>
      </c>
      <c r="K1552" s="171">
        <v>49.89</v>
      </c>
      <c r="L1552" s="171">
        <v>56.72</v>
      </c>
      <c r="M1552" s="171">
        <v>62.28</v>
      </c>
      <c r="N1552" s="171">
        <v>61.19</v>
      </c>
      <c r="O1552" s="171">
        <v>67.210000000000008</v>
      </c>
      <c r="P1552" s="171">
        <v>57.01</v>
      </c>
      <c r="Q1552" s="171">
        <v>53.27</v>
      </c>
      <c r="R1552" s="171">
        <v>47.870000000000005</v>
      </c>
      <c r="S1552" s="171">
        <v>46.75</v>
      </c>
      <c r="T1552" s="171">
        <v>45</v>
      </c>
      <c r="U1552" s="171">
        <v>45.18</v>
      </c>
      <c r="V1552" s="171">
        <v>44.04</v>
      </c>
      <c r="W1552" s="171">
        <v>46.15</v>
      </c>
      <c r="X1552" s="171">
        <v>49.43</v>
      </c>
      <c r="Y1552" s="171">
        <v>47.44</v>
      </c>
      <c r="Z1552" s="171">
        <v>45</v>
      </c>
      <c r="AA1552" s="171">
        <v>43.26</v>
      </c>
      <c r="AB1552" s="171">
        <v>67.210000000000008</v>
      </c>
      <c r="AC1552" s="171">
        <v>44.04</v>
      </c>
      <c r="AD1552" s="171">
        <v>34.47</v>
      </c>
      <c r="AF1552" s="171">
        <f t="shared" si="74"/>
        <v>2012</v>
      </c>
      <c r="AG1552" s="171">
        <f t="shared" si="75"/>
        <v>7</v>
      </c>
      <c r="AH1552" s="700">
        <f>SUMIF(D$3:$AA1552,"&lt;="&amp;$AH$1)/COUNTIF(D$3:$AA1552,"&lt;="&amp;$AH$1)</f>
        <v>30.800225945864135</v>
      </c>
    </row>
    <row r="1553" spans="2:34" x14ac:dyDescent="0.25">
      <c r="B1553" s="910">
        <v>41001</v>
      </c>
      <c r="C1553" s="581">
        <f t="shared" si="73"/>
        <v>4</v>
      </c>
      <c r="D1553" s="171">
        <v>39.94</v>
      </c>
      <c r="E1553" s="171">
        <v>30.07</v>
      </c>
      <c r="F1553" s="171">
        <v>21.26</v>
      </c>
      <c r="G1553" s="171">
        <v>19.38</v>
      </c>
      <c r="H1553" s="171">
        <v>16.420000000000002</v>
      </c>
      <c r="I1553" s="171">
        <v>30.25</v>
      </c>
      <c r="J1553" s="171">
        <v>46.910000000000004</v>
      </c>
      <c r="K1553" s="171">
        <v>53.27</v>
      </c>
      <c r="L1553" s="171">
        <v>65.53</v>
      </c>
      <c r="M1553" s="171">
        <v>63.36</v>
      </c>
      <c r="N1553" s="171">
        <v>67.33</v>
      </c>
      <c r="O1553" s="171">
        <v>65.180000000000007</v>
      </c>
      <c r="P1553" s="171">
        <v>61.26</v>
      </c>
      <c r="Q1553" s="171">
        <v>51.29</v>
      </c>
      <c r="R1553" s="171">
        <v>48.82</v>
      </c>
      <c r="S1553" s="171">
        <v>47.58</v>
      </c>
      <c r="T1553" s="171">
        <v>47.160000000000004</v>
      </c>
      <c r="U1553" s="171">
        <v>49.95</v>
      </c>
      <c r="V1553" s="171">
        <v>54.84</v>
      </c>
      <c r="W1553" s="171">
        <v>60.34</v>
      </c>
      <c r="X1553" s="171">
        <v>61.910000000000004</v>
      </c>
      <c r="Y1553" s="171">
        <v>58.47</v>
      </c>
      <c r="Z1553" s="171">
        <v>53.550000000000004</v>
      </c>
      <c r="AA1553" s="171">
        <v>52.92</v>
      </c>
      <c r="AB1553" s="171">
        <v>67.33</v>
      </c>
      <c r="AC1553" s="171">
        <v>47.160000000000004</v>
      </c>
      <c r="AD1553" s="171">
        <v>40.36</v>
      </c>
      <c r="AF1553" s="171">
        <f t="shared" si="74"/>
        <v>2012</v>
      </c>
      <c r="AG1553" s="171">
        <f t="shared" si="75"/>
        <v>6</v>
      </c>
      <c r="AH1553" s="700">
        <f>SUMIF(D$3:$AA1553,"&lt;="&amp;$AH$1)/COUNTIF(D$3:$AA1553,"&lt;="&amp;$AH$1)</f>
        <v>30.798143236074431</v>
      </c>
    </row>
    <row r="1554" spans="2:34" x14ac:dyDescent="0.25">
      <c r="B1554" s="910">
        <v>41002</v>
      </c>
      <c r="C1554" s="581">
        <f t="shared" si="73"/>
        <v>4</v>
      </c>
      <c r="D1554" s="171">
        <v>46.33</v>
      </c>
      <c r="E1554" s="171">
        <v>40</v>
      </c>
      <c r="F1554" s="171">
        <v>38.03</v>
      </c>
      <c r="G1554" s="171">
        <v>35.300000000000004</v>
      </c>
      <c r="H1554" s="171">
        <v>35.21</v>
      </c>
      <c r="I1554" s="171">
        <v>39.71</v>
      </c>
      <c r="J1554" s="171">
        <v>52.33</v>
      </c>
      <c r="K1554" s="171">
        <v>61.19</v>
      </c>
      <c r="L1554" s="171">
        <v>65.53</v>
      </c>
      <c r="M1554" s="171">
        <v>61.76</v>
      </c>
      <c r="N1554" s="171">
        <v>60.6</v>
      </c>
      <c r="O1554" s="171">
        <v>57.620000000000005</v>
      </c>
      <c r="P1554" s="171">
        <v>54.39</v>
      </c>
      <c r="Q1554" s="171">
        <v>54.79</v>
      </c>
      <c r="R1554" s="171">
        <v>50</v>
      </c>
      <c r="S1554" s="171">
        <v>48.51</v>
      </c>
      <c r="T1554" s="171">
        <v>47.11</v>
      </c>
      <c r="U1554" s="171">
        <v>50.4</v>
      </c>
      <c r="V1554" s="171">
        <v>57</v>
      </c>
      <c r="W1554" s="171">
        <v>57.480000000000004</v>
      </c>
      <c r="X1554" s="171">
        <v>58.94</v>
      </c>
      <c r="Y1554" s="171">
        <v>53.03</v>
      </c>
      <c r="Z1554" s="171">
        <v>49.94</v>
      </c>
      <c r="AA1554" s="171">
        <v>45.86</v>
      </c>
      <c r="AB1554" s="171">
        <v>65.53</v>
      </c>
      <c r="AC1554" s="171">
        <v>47.11</v>
      </c>
      <c r="AD1554" s="171">
        <v>46.32</v>
      </c>
      <c r="AF1554" s="171">
        <f t="shared" si="74"/>
        <v>2012</v>
      </c>
      <c r="AG1554" s="171">
        <f t="shared" si="75"/>
        <v>5</v>
      </c>
      <c r="AH1554" s="700">
        <f>SUMIF(D$3:$AA1554,"&lt;="&amp;$AH$1)/COUNTIF(D$3:$AA1554,"&lt;="&amp;$AH$1)</f>
        <v>30.8007386363638</v>
      </c>
    </row>
    <row r="1555" spans="2:34" x14ac:dyDescent="0.25">
      <c r="B1555" s="910">
        <v>41003</v>
      </c>
      <c r="C1555" s="581">
        <f t="shared" si="73"/>
        <v>4</v>
      </c>
      <c r="D1555" s="171">
        <v>39.43</v>
      </c>
      <c r="E1555" s="171">
        <v>36.42</v>
      </c>
      <c r="F1555" s="171">
        <v>34.730000000000004</v>
      </c>
      <c r="G1555" s="171">
        <v>32.369999999999997</v>
      </c>
      <c r="H1555" s="171">
        <v>32.96</v>
      </c>
      <c r="I1555" s="171">
        <v>35.06</v>
      </c>
      <c r="J1555" s="171">
        <v>44.94</v>
      </c>
      <c r="K1555" s="171">
        <v>53.09</v>
      </c>
      <c r="L1555" s="171">
        <v>57.83</v>
      </c>
      <c r="M1555" s="171">
        <v>58.79</v>
      </c>
      <c r="N1555" s="171">
        <v>61.19</v>
      </c>
      <c r="O1555" s="171">
        <v>62.08</v>
      </c>
      <c r="P1555" s="171">
        <v>64.010000000000005</v>
      </c>
      <c r="Q1555" s="171">
        <v>56.88</v>
      </c>
      <c r="R1555" s="171">
        <v>52.57</v>
      </c>
      <c r="S1555" s="171">
        <v>46.31</v>
      </c>
      <c r="T1555" s="171">
        <v>44.96</v>
      </c>
      <c r="U1555" s="171">
        <v>48.04</v>
      </c>
      <c r="V1555" s="171">
        <v>53.2</v>
      </c>
      <c r="W1555" s="171">
        <v>53.2</v>
      </c>
      <c r="X1555" s="171">
        <v>58.24</v>
      </c>
      <c r="Y1555" s="171">
        <v>53.19</v>
      </c>
      <c r="Z1555" s="171">
        <v>52.59</v>
      </c>
      <c r="AA1555" s="171">
        <v>49.01</v>
      </c>
      <c r="AB1555" s="171">
        <v>64.010000000000005</v>
      </c>
      <c r="AC1555" s="171">
        <v>44.96</v>
      </c>
      <c r="AD1555" s="171">
        <v>43.5</v>
      </c>
      <c r="AF1555" s="171">
        <f t="shared" si="74"/>
        <v>2012</v>
      </c>
      <c r="AG1555" s="171">
        <f t="shared" si="75"/>
        <v>6</v>
      </c>
      <c r="AH1555" s="700">
        <f>SUMIF(D$3:$AA1555,"&lt;="&amp;$AH$1)/COUNTIF(D$3:$AA1555,"&lt;="&amp;$AH$1)</f>
        <v>30.802719975768753</v>
      </c>
    </row>
    <row r="1556" spans="2:34" x14ac:dyDescent="0.25">
      <c r="B1556" s="910">
        <v>41004</v>
      </c>
      <c r="C1556" s="581">
        <f t="shared" si="73"/>
        <v>4</v>
      </c>
      <c r="D1556" s="171">
        <v>42.32</v>
      </c>
      <c r="E1556" s="171">
        <v>39.28</v>
      </c>
      <c r="F1556" s="171">
        <v>36.020000000000003</v>
      </c>
      <c r="G1556" s="171">
        <v>34.17</v>
      </c>
      <c r="H1556" s="171">
        <v>34.15</v>
      </c>
      <c r="I1556" s="171">
        <v>38.18</v>
      </c>
      <c r="J1556" s="171">
        <v>44.14</v>
      </c>
      <c r="K1556" s="171">
        <v>53.550000000000004</v>
      </c>
      <c r="L1556" s="171">
        <v>64.61</v>
      </c>
      <c r="M1556" s="171">
        <v>65.98</v>
      </c>
      <c r="N1556" s="171">
        <v>59.28</v>
      </c>
      <c r="O1556" s="171">
        <v>59.04</v>
      </c>
      <c r="P1556" s="171">
        <v>57.97</v>
      </c>
      <c r="Q1556" s="171">
        <v>54.52</v>
      </c>
      <c r="R1556" s="171">
        <v>52.050000000000004</v>
      </c>
      <c r="S1556" s="171">
        <v>49.46</v>
      </c>
      <c r="T1556" s="171">
        <v>44.910000000000004</v>
      </c>
      <c r="U1556" s="171">
        <v>50</v>
      </c>
      <c r="V1556" s="171">
        <v>55.51</v>
      </c>
      <c r="W1556" s="171">
        <v>58.18</v>
      </c>
      <c r="X1556" s="171">
        <v>58.22</v>
      </c>
      <c r="Y1556" s="171">
        <v>51.38</v>
      </c>
      <c r="Z1556" s="171">
        <v>49.93</v>
      </c>
      <c r="AA1556" s="171">
        <v>47.68</v>
      </c>
      <c r="AB1556" s="171">
        <v>65.98</v>
      </c>
      <c r="AC1556" s="171">
        <v>44.910000000000004</v>
      </c>
      <c r="AD1556" s="171">
        <v>44.08</v>
      </c>
      <c r="AF1556" s="171">
        <f t="shared" si="74"/>
        <v>2012</v>
      </c>
      <c r="AG1556" s="171">
        <f t="shared" si="75"/>
        <v>6</v>
      </c>
      <c r="AH1556" s="700">
        <f>SUMIF(D$3:$AA1556,"&lt;="&amp;$AH$1)/COUNTIF(D$3:$AA1556,"&lt;="&amp;$AH$1)</f>
        <v>30.805694822888448</v>
      </c>
    </row>
    <row r="1557" spans="2:34" x14ac:dyDescent="0.25">
      <c r="B1557" s="910">
        <v>41005</v>
      </c>
      <c r="C1557" s="581">
        <f t="shared" si="73"/>
        <v>4</v>
      </c>
      <c r="D1557" s="171">
        <v>47.09</v>
      </c>
      <c r="E1557" s="171">
        <v>36.31</v>
      </c>
      <c r="F1557" s="171">
        <v>34.04</v>
      </c>
      <c r="G1557" s="171">
        <v>32.54</v>
      </c>
      <c r="H1557" s="171">
        <v>32.130000000000003</v>
      </c>
      <c r="I1557" s="171">
        <v>33.090000000000003</v>
      </c>
      <c r="J1557" s="171">
        <v>30.11</v>
      </c>
      <c r="K1557" s="171">
        <v>28.45</v>
      </c>
      <c r="L1557" s="171">
        <v>28.92</v>
      </c>
      <c r="M1557" s="171">
        <v>31.970000000000002</v>
      </c>
      <c r="N1557" s="171">
        <v>32.69</v>
      </c>
      <c r="O1557" s="171">
        <v>35</v>
      </c>
      <c r="P1557" s="171">
        <v>37.44</v>
      </c>
      <c r="Q1557" s="171">
        <v>35.300000000000004</v>
      </c>
      <c r="R1557" s="171">
        <v>34.94</v>
      </c>
      <c r="S1557" s="171">
        <v>30</v>
      </c>
      <c r="T1557" s="171">
        <v>28</v>
      </c>
      <c r="U1557" s="171">
        <v>34.94</v>
      </c>
      <c r="V1557" s="171">
        <v>37.630000000000003</v>
      </c>
      <c r="W1557" s="171">
        <v>44.93</v>
      </c>
      <c r="X1557" s="171">
        <v>51.800000000000004</v>
      </c>
      <c r="Y1557" s="171">
        <v>52.82</v>
      </c>
      <c r="Z1557" s="171">
        <v>52.84</v>
      </c>
      <c r="AA1557" s="171">
        <v>46.49</v>
      </c>
      <c r="AB1557" s="171">
        <v>52.84</v>
      </c>
      <c r="AC1557" s="171">
        <v>28</v>
      </c>
      <c r="AD1557" s="171">
        <v>43.04</v>
      </c>
      <c r="AF1557" s="171">
        <f t="shared" si="74"/>
        <v>2012</v>
      </c>
      <c r="AG1557" s="171">
        <f t="shared" si="75"/>
        <v>18</v>
      </c>
      <c r="AH1557" s="700">
        <f>SUMIF(D$3:$AA1557,"&lt;="&amp;$AH$1)/COUNTIF(D$3:$AA1557,"&lt;="&amp;$AH$1)</f>
        <v>30.808642479214068</v>
      </c>
    </row>
    <row r="1558" spans="2:34" x14ac:dyDescent="0.25">
      <c r="B1558" s="910">
        <v>41008</v>
      </c>
      <c r="C1558" s="581">
        <f t="shared" si="73"/>
        <v>4</v>
      </c>
      <c r="D1558" s="171">
        <v>47.09</v>
      </c>
      <c r="E1558" s="171">
        <v>36.31</v>
      </c>
      <c r="F1558" s="171">
        <v>34.04</v>
      </c>
      <c r="G1558" s="171">
        <v>32.54</v>
      </c>
      <c r="H1558" s="171">
        <v>32.130000000000003</v>
      </c>
      <c r="I1558" s="171">
        <v>33.090000000000003</v>
      </c>
      <c r="J1558" s="171">
        <v>30.11</v>
      </c>
      <c r="K1558" s="171">
        <v>28.45</v>
      </c>
      <c r="L1558" s="171">
        <v>28.92</v>
      </c>
      <c r="M1558" s="171">
        <v>31.970000000000002</v>
      </c>
      <c r="N1558" s="171">
        <v>32.69</v>
      </c>
      <c r="O1558" s="171">
        <v>35</v>
      </c>
      <c r="P1558" s="171">
        <v>37.44</v>
      </c>
      <c r="Q1558" s="171">
        <v>35.300000000000004</v>
      </c>
      <c r="R1558" s="171">
        <v>34.94</v>
      </c>
      <c r="S1558" s="171">
        <v>30</v>
      </c>
      <c r="T1558" s="171">
        <v>28</v>
      </c>
      <c r="U1558" s="171">
        <v>34.94</v>
      </c>
      <c r="V1558" s="171">
        <v>37.630000000000003</v>
      </c>
      <c r="W1558" s="171">
        <v>44.93</v>
      </c>
      <c r="X1558" s="171">
        <v>51.800000000000004</v>
      </c>
      <c r="Y1558" s="171">
        <v>52.82</v>
      </c>
      <c r="Z1558" s="171">
        <v>52.84</v>
      </c>
      <c r="AA1558" s="171">
        <v>46.49</v>
      </c>
      <c r="AB1558" s="171">
        <v>52.84</v>
      </c>
      <c r="AC1558" s="171">
        <v>28</v>
      </c>
      <c r="AD1558" s="171">
        <v>43.04</v>
      </c>
      <c r="AF1558" s="171">
        <f t="shared" si="74"/>
        <v>2012</v>
      </c>
      <c r="AG1558" s="171">
        <f t="shared" si="75"/>
        <v>18</v>
      </c>
      <c r="AH1558" s="700">
        <f>SUMIF(D$3:$AA1558,"&lt;="&amp;$AH$1)/COUNTIF(D$3:$AA1558,"&lt;="&amp;$AH$1)</f>
        <v>30.811582125604019</v>
      </c>
    </row>
    <row r="1559" spans="2:34" x14ac:dyDescent="0.25">
      <c r="B1559" s="910">
        <v>41009</v>
      </c>
      <c r="C1559" s="581">
        <f t="shared" si="73"/>
        <v>4</v>
      </c>
      <c r="D1559" s="171">
        <v>47.09</v>
      </c>
      <c r="E1559" s="171">
        <v>36.31</v>
      </c>
      <c r="F1559" s="171">
        <v>34.04</v>
      </c>
      <c r="G1559" s="171">
        <v>32.54</v>
      </c>
      <c r="H1559" s="171">
        <v>32.130000000000003</v>
      </c>
      <c r="I1559" s="171">
        <v>33.090000000000003</v>
      </c>
      <c r="J1559" s="171">
        <v>30.11</v>
      </c>
      <c r="K1559" s="171">
        <v>28.45</v>
      </c>
      <c r="L1559" s="171">
        <v>28.92</v>
      </c>
      <c r="M1559" s="171">
        <v>31.970000000000002</v>
      </c>
      <c r="N1559" s="171">
        <v>32.69</v>
      </c>
      <c r="O1559" s="171">
        <v>35</v>
      </c>
      <c r="P1559" s="171">
        <v>37.44</v>
      </c>
      <c r="Q1559" s="171">
        <v>35.300000000000004</v>
      </c>
      <c r="R1559" s="171">
        <v>34.94</v>
      </c>
      <c r="S1559" s="171">
        <v>30</v>
      </c>
      <c r="T1559" s="171">
        <v>28</v>
      </c>
      <c r="U1559" s="171">
        <v>34.94</v>
      </c>
      <c r="V1559" s="171">
        <v>37.630000000000003</v>
      </c>
      <c r="W1559" s="171">
        <v>44.93</v>
      </c>
      <c r="X1559" s="171">
        <v>51.800000000000004</v>
      </c>
      <c r="Y1559" s="171">
        <v>52.82</v>
      </c>
      <c r="Z1559" s="171">
        <v>52.84</v>
      </c>
      <c r="AA1559" s="171">
        <v>46.49</v>
      </c>
      <c r="AB1559" s="171">
        <v>52.84</v>
      </c>
      <c r="AC1559" s="171">
        <v>28</v>
      </c>
      <c r="AD1559" s="171">
        <v>43.04</v>
      </c>
      <c r="AF1559" s="171">
        <f t="shared" si="74"/>
        <v>2012</v>
      </c>
      <c r="AG1559" s="171">
        <f t="shared" si="75"/>
        <v>18</v>
      </c>
      <c r="AH1559" s="700">
        <f>SUMIF(D$3:$AA1559,"&lt;="&amp;$AH$1)/COUNTIF(D$3:$AA1559,"&lt;="&amp;$AH$1)</f>
        <v>30.814513794663199</v>
      </c>
    </row>
    <row r="1560" spans="2:34" x14ac:dyDescent="0.25">
      <c r="B1560" s="910">
        <v>41010</v>
      </c>
      <c r="C1560" s="581">
        <f t="shared" si="73"/>
        <v>4</v>
      </c>
      <c r="D1560" s="171">
        <v>42.1</v>
      </c>
      <c r="E1560" s="171">
        <v>38.200000000000003</v>
      </c>
      <c r="F1560" s="171">
        <v>37.15</v>
      </c>
      <c r="G1560" s="171">
        <v>36.03</v>
      </c>
      <c r="H1560" s="171">
        <v>35.630000000000003</v>
      </c>
      <c r="I1560" s="171">
        <v>40.93</v>
      </c>
      <c r="J1560" s="171">
        <v>54.36</v>
      </c>
      <c r="K1560" s="171">
        <v>69.22</v>
      </c>
      <c r="L1560" s="171">
        <v>77.7</v>
      </c>
      <c r="M1560" s="171">
        <v>79.239999999999995</v>
      </c>
      <c r="N1560" s="171">
        <v>70.33</v>
      </c>
      <c r="O1560" s="171">
        <v>64.989999999999995</v>
      </c>
      <c r="P1560" s="171">
        <v>60.120000000000005</v>
      </c>
      <c r="Q1560" s="171">
        <v>59.93</v>
      </c>
      <c r="R1560" s="171">
        <v>52</v>
      </c>
      <c r="S1560" s="171">
        <v>49.25</v>
      </c>
      <c r="T1560" s="171">
        <v>46.53</v>
      </c>
      <c r="U1560" s="171">
        <v>48.06</v>
      </c>
      <c r="V1560" s="171">
        <v>57.120000000000005</v>
      </c>
      <c r="W1560" s="171">
        <v>54.93</v>
      </c>
      <c r="X1560" s="171">
        <v>56.07</v>
      </c>
      <c r="Y1560" s="171">
        <v>54.74</v>
      </c>
      <c r="Z1560" s="171">
        <v>52.96</v>
      </c>
      <c r="AA1560" s="171">
        <v>54.96</v>
      </c>
      <c r="AB1560" s="171">
        <v>79.239999999999995</v>
      </c>
      <c r="AC1560" s="171">
        <v>46.53</v>
      </c>
      <c r="AD1560" s="171">
        <v>47.7</v>
      </c>
      <c r="AF1560" s="171">
        <f t="shared" si="74"/>
        <v>2012</v>
      </c>
      <c r="AG1560" s="171">
        <f t="shared" si="75"/>
        <v>6</v>
      </c>
      <c r="AH1560" s="700">
        <f>SUMIF(D$3:$AA1560,"&lt;="&amp;$AH$1)/COUNTIF(D$3:$AA1560,"&lt;="&amp;$AH$1)</f>
        <v>30.817915913200878</v>
      </c>
    </row>
    <row r="1561" spans="2:34" x14ac:dyDescent="0.25">
      <c r="B1561" s="910">
        <v>41011</v>
      </c>
      <c r="C1561" s="581">
        <f t="shared" si="73"/>
        <v>4</v>
      </c>
      <c r="D1561" s="171">
        <v>47.44</v>
      </c>
      <c r="E1561" s="171">
        <v>41.07</v>
      </c>
      <c r="F1561" s="171">
        <v>41.67</v>
      </c>
      <c r="G1561" s="171">
        <v>39.15</v>
      </c>
      <c r="H1561" s="171">
        <v>39.06</v>
      </c>
      <c r="I1561" s="171">
        <v>43.06</v>
      </c>
      <c r="J1561" s="171">
        <v>56.03</v>
      </c>
      <c r="K1561" s="171">
        <v>56.7</v>
      </c>
      <c r="L1561" s="171">
        <v>64.02</v>
      </c>
      <c r="M1561" s="171">
        <v>62.06</v>
      </c>
      <c r="N1561" s="171">
        <v>61.09</v>
      </c>
      <c r="O1561" s="171">
        <v>63.440000000000005</v>
      </c>
      <c r="P1561" s="171">
        <v>57.38</v>
      </c>
      <c r="Q1561" s="171">
        <v>52.870000000000005</v>
      </c>
      <c r="R1561" s="171">
        <v>50.86</v>
      </c>
      <c r="S1561" s="171">
        <v>48.44</v>
      </c>
      <c r="T1561" s="171">
        <v>45.46</v>
      </c>
      <c r="U1561" s="171">
        <v>48.96</v>
      </c>
      <c r="V1561" s="171">
        <v>59.94</v>
      </c>
      <c r="W1561" s="171">
        <v>62</v>
      </c>
      <c r="X1561" s="171">
        <v>64.95</v>
      </c>
      <c r="Y1561" s="171">
        <v>64.25</v>
      </c>
      <c r="Z1561" s="171">
        <v>54.9</v>
      </c>
      <c r="AA1561" s="171">
        <v>49.58</v>
      </c>
      <c r="AB1561" s="171">
        <v>64.95</v>
      </c>
      <c r="AC1561" s="171">
        <v>45.46</v>
      </c>
      <c r="AD1561" s="171">
        <v>49.82</v>
      </c>
      <c r="AF1561" s="171">
        <f t="shared" si="74"/>
        <v>2012</v>
      </c>
      <c r="AG1561" s="171">
        <f t="shared" si="75"/>
        <v>4</v>
      </c>
      <c r="AH1561" s="700">
        <f>SUMIF(D$3:$AA1561,"&lt;="&amp;$AH$1)/COUNTIF(D$3:$AA1561,"&lt;="&amp;$AH$1)</f>
        <v>30.82075399216647</v>
      </c>
    </row>
    <row r="1562" spans="2:34" x14ac:dyDescent="0.25">
      <c r="B1562" s="910">
        <v>41012</v>
      </c>
      <c r="C1562" s="581">
        <f t="shared" si="73"/>
        <v>4</v>
      </c>
      <c r="D1562" s="171">
        <v>48.6</v>
      </c>
      <c r="E1562" s="171">
        <v>44.61</v>
      </c>
      <c r="F1562" s="171">
        <v>42.81</v>
      </c>
      <c r="G1562" s="171">
        <v>41.730000000000004</v>
      </c>
      <c r="H1562" s="171">
        <v>40.75</v>
      </c>
      <c r="I1562" s="171">
        <v>42.52</v>
      </c>
      <c r="J1562" s="171">
        <v>56.19</v>
      </c>
      <c r="K1562" s="171">
        <v>72.98</v>
      </c>
      <c r="L1562" s="171">
        <v>81.19</v>
      </c>
      <c r="M1562" s="171">
        <v>76.5</v>
      </c>
      <c r="N1562" s="171">
        <v>74.460000000000008</v>
      </c>
      <c r="O1562" s="171">
        <v>68.03</v>
      </c>
      <c r="P1562" s="171">
        <v>66.28</v>
      </c>
      <c r="Q1562" s="171">
        <v>57.2</v>
      </c>
      <c r="R1562" s="171">
        <v>47.17</v>
      </c>
      <c r="S1562" s="171">
        <v>44.93</v>
      </c>
      <c r="T1562" s="171">
        <v>44.08</v>
      </c>
      <c r="U1562" s="171">
        <v>48.25</v>
      </c>
      <c r="V1562" s="171">
        <v>60.32</v>
      </c>
      <c r="W1562" s="171">
        <v>63.940000000000005</v>
      </c>
      <c r="X1562" s="171">
        <v>62.230000000000004</v>
      </c>
      <c r="Y1562" s="171">
        <v>58.42</v>
      </c>
      <c r="Z1562" s="171">
        <v>60.06</v>
      </c>
      <c r="AA1562" s="171">
        <v>57</v>
      </c>
      <c r="AB1562" s="171">
        <v>81.19</v>
      </c>
      <c r="AC1562" s="171">
        <v>44.08</v>
      </c>
      <c r="AD1562" s="171">
        <v>52.33</v>
      </c>
      <c r="AF1562" s="171">
        <f t="shared" si="74"/>
        <v>2012</v>
      </c>
      <c r="AG1562" s="171">
        <f t="shared" si="75"/>
        <v>3</v>
      </c>
      <c r="AH1562" s="700">
        <f>SUMIF(D$3:$AA1562,"&lt;="&amp;$AH$1)/COUNTIF(D$3:$AA1562,"&lt;="&amp;$AH$1)</f>
        <v>30.823204307553436</v>
      </c>
    </row>
    <row r="1563" spans="2:34" x14ac:dyDescent="0.25">
      <c r="B1563" s="910">
        <v>41015</v>
      </c>
      <c r="C1563" s="581">
        <f t="shared" si="73"/>
        <v>4</v>
      </c>
      <c r="D1563" s="171">
        <v>32.020000000000003</v>
      </c>
      <c r="E1563" s="171">
        <v>30.87</v>
      </c>
      <c r="F1563" s="171">
        <v>29.560000000000002</v>
      </c>
      <c r="G1563" s="171">
        <v>28</v>
      </c>
      <c r="H1563" s="171">
        <v>28.05</v>
      </c>
      <c r="I1563" s="171">
        <v>32.06</v>
      </c>
      <c r="J1563" s="171">
        <v>41.82</v>
      </c>
      <c r="K1563" s="171">
        <v>60.980000000000004</v>
      </c>
      <c r="L1563" s="171">
        <v>62.93</v>
      </c>
      <c r="M1563" s="171">
        <v>61.18</v>
      </c>
      <c r="N1563" s="171">
        <v>60.92</v>
      </c>
      <c r="O1563" s="171">
        <v>60.74</v>
      </c>
      <c r="P1563" s="171">
        <v>69.960000000000008</v>
      </c>
      <c r="Q1563" s="171">
        <v>65</v>
      </c>
      <c r="R1563" s="171">
        <v>61.19</v>
      </c>
      <c r="S1563" s="171">
        <v>47.46</v>
      </c>
      <c r="T1563" s="171">
        <v>43.67</v>
      </c>
      <c r="U1563" s="171">
        <v>44</v>
      </c>
      <c r="V1563" s="171">
        <v>51.08</v>
      </c>
      <c r="W1563" s="171">
        <v>56.78</v>
      </c>
      <c r="X1563" s="171">
        <v>58.82</v>
      </c>
      <c r="Y1563" s="171">
        <v>62.35</v>
      </c>
      <c r="Z1563" s="171">
        <v>56.49</v>
      </c>
      <c r="AA1563" s="171">
        <v>47.44</v>
      </c>
      <c r="AB1563" s="171">
        <v>69.960000000000008</v>
      </c>
      <c r="AC1563" s="171">
        <v>43.67</v>
      </c>
      <c r="AD1563" s="171">
        <v>42.37</v>
      </c>
      <c r="AF1563" s="171">
        <f t="shared" si="74"/>
        <v>2012</v>
      </c>
      <c r="AG1563" s="171">
        <f t="shared" si="75"/>
        <v>7</v>
      </c>
      <c r="AH1563" s="700">
        <f>SUMIF(D$3:$AA1563,"&lt;="&amp;$AH$1)/COUNTIF(D$3:$AA1563,"&lt;="&amp;$AH$1)</f>
        <v>30.823702393497069</v>
      </c>
    </row>
    <row r="1564" spans="2:34" x14ac:dyDescent="0.25">
      <c r="B1564" s="910">
        <v>41016</v>
      </c>
      <c r="C1564" s="581">
        <f t="shared" si="73"/>
        <v>4</v>
      </c>
      <c r="D1564" s="171">
        <v>53.21</v>
      </c>
      <c r="E1564" s="171">
        <v>41.67</v>
      </c>
      <c r="F1564" s="171">
        <v>41.92</v>
      </c>
      <c r="G1564" s="171">
        <v>39.869999999999997</v>
      </c>
      <c r="H1564" s="171">
        <v>38.44</v>
      </c>
      <c r="I1564" s="171">
        <v>42.87</v>
      </c>
      <c r="J1564" s="171">
        <v>61.19</v>
      </c>
      <c r="K1564" s="171">
        <v>74.94</v>
      </c>
      <c r="L1564" s="171">
        <v>78.19</v>
      </c>
      <c r="M1564" s="171">
        <v>61.97</v>
      </c>
      <c r="N1564" s="171">
        <v>61.34</v>
      </c>
      <c r="O1564" s="171">
        <v>58.11</v>
      </c>
      <c r="P1564" s="171">
        <v>53.42</v>
      </c>
      <c r="Q1564" s="171">
        <v>53</v>
      </c>
      <c r="R1564" s="171">
        <v>48.18</v>
      </c>
      <c r="S1564" s="171">
        <v>47.44</v>
      </c>
      <c r="T1564" s="171">
        <v>44.99</v>
      </c>
      <c r="U1564" s="171">
        <v>52.660000000000004</v>
      </c>
      <c r="V1564" s="171">
        <v>65.12</v>
      </c>
      <c r="W1564" s="171">
        <v>62.620000000000005</v>
      </c>
      <c r="X1564" s="171">
        <v>58.86</v>
      </c>
      <c r="Y1564" s="171">
        <v>60.83</v>
      </c>
      <c r="Z1564" s="171">
        <v>47.17</v>
      </c>
      <c r="AA1564" s="171">
        <v>46.04</v>
      </c>
      <c r="AB1564" s="171">
        <v>78.19</v>
      </c>
      <c r="AC1564" s="171">
        <v>44.99</v>
      </c>
      <c r="AD1564" s="171">
        <v>50.58</v>
      </c>
      <c r="AF1564" s="171">
        <f t="shared" si="74"/>
        <v>2012</v>
      </c>
      <c r="AG1564" s="171">
        <f t="shared" si="75"/>
        <v>4</v>
      </c>
      <c r="AH1564" s="700">
        <f>SUMIF(D$3:$AA1564,"&lt;="&amp;$AH$1)/COUNTIF(D$3:$AA1564,"&lt;="&amp;$AH$1)</f>
        <v>30.826607223476451</v>
      </c>
    </row>
    <row r="1565" spans="2:34" x14ac:dyDescent="0.25">
      <c r="B1565" s="910">
        <v>41017</v>
      </c>
      <c r="C1565" s="581">
        <f t="shared" si="73"/>
        <v>4</v>
      </c>
      <c r="D1565" s="171">
        <v>42.44</v>
      </c>
      <c r="E1565" s="171">
        <v>36.24</v>
      </c>
      <c r="F1565" s="171">
        <v>35.79</v>
      </c>
      <c r="G1565" s="171">
        <v>34.83</v>
      </c>
      <c r="H1565" s="171">
        <v>34.4</v>
      </c>
      <c r="I1565" s="171">
        <v>38.17</v>
      </c>
      <c r="J1565" s="171">
        <v>42.44</v>
      </c>
      <c r="K1565" s="171">
        <v>57.910000000000004</v>
      </c>
      <c r="L1565" s="171">
        <v>70.69</v>
      </c>
      <c r="M1565" s="171">
        <v>74</v>
      </c>
      <c r="N1565" s="171">
        <v>76.41</v>
      </c>
      <c r="O1565" s="171">
        <v>69.960000000000008</v>
      </c>
      <c r="P1565" s="171">
        <v>62.300000000000004</v>
      </c>
      <c r="Q1565" s="171">
        <v>61.19</v>
      </c>
      <c r="R1565" s="171">
        <v>52.22</v>
      </c>
      <c r="S1565" s="171">
        <v>46.25</v>
      </c>
      <c r="T1565" s="171">
        <v>43.730000000000004</v>
      </c>
      <c r="U1565" s="171">
        <v>45.07</v>
      </c>
      <c r="V1565" s="171">
        <v>51.52</v>
      </c>
      <c r="W1565" s="171">
        <v>58.57</v>
      </c>
      <c r="X1565" s="171">
        <v>56.480000000000004</v>
      </c>
      <c r="Y1565" s="171">
        <v>50.6</v>
      </c>
      <c r="Z1565" s="171">
        <v>48.36</v>
      </c>
      <c r="AA1565" s="171">
        <v>45</v>
      </c>
      <c r="AB1565" s="171">
        <v>76.41</v>
      </c>
      <c r="AC1565" s="171">
        <v>43.730000000000004</v>
      </c>
      <c r="AD1565" s="171">
        <v>43.56</v>
      </c>
      <c r="AF1565" s="171">
        <f t="shared" si="74"/>
        <v>2012</v>
      </c>
      <c r="AG1565" s="171">
        <f t="shared" si="75"/>
        <v>7</v>
      </c>
      <c r="AH1565" s="700">
        <f>SUMIF(D$3:$AA1565,"&lt;="&amp;$AH$1)/COUNTIF(D$3:$AA1565,"&lt;="&amp;$AH$1)</f>
        <v>30.830256448823196</v>
      </c>
    </row>
    <row r="1566" spans="2:34" x14ac:dyDescent="0.25">
      <c r="B1566" s="910">
        <v>41018</v>
      </c>
      <c r="C1566" s="581">
        <f t="shared" si="73"/>
        <v>4</v>
      </c>
      <c r="D1566" s="171">
        <v>40.53</v>
      </c>
      <c r="E1566" s="171">
        <v>38.36</v>
      </c>
      <c r="F1566" s="171">
        <v>36.72</v>
      </c>
      <c r="G1566" s="171">
        <v>36.369999999999997</v>
      </c>
      <c r="H1566" s="171">
        <v>37.28</v>
      </c>
      <c r="I1566" s="171">
        <v>41.28</v>
      </c>
      <c r="J1566" s="171">
        <v>52.65</v>
      </c>
      <c r="K1566" s="171">
        <v>60</v>
      </c>
      <c r="L1566" s="171">
        <v>61.980000000000004</v>
      </c>
      <c r="M1566" s="171">
        <v>57.92</v>
      </c>
      <c r="N1566" s="171">
        <v>57.44</v>
      </c>
      <c r="O1566" s="171">
        <v>56.620000000000005</v>
      </c>
      <c r="P1566" s="171">
        <v>52.44</v>
      </c>
      <c r="Q1566" s="171">
        <v>53.46</v>
      </c>
      <c r="R1566" s="171">
        <v>49.17</v>
      </c>
      <c r="S1566" s="171">
        <v>47.67</v>
      </c>
      <c r="T1566" s="171">
        <v>47.980000000000004</v>
      </c>
      <c r="U1566" s="171">
        <v>53.2</v>
      </c>
      <c r="V1566" s="171">
        <v>62.38</v>
      </c>
      <c r="W1566" s="171">
        <v>61.93</v>
      </c>
      <c r="X1566" s="171">
        <v>63.45</v>
      </c>
      <c r="Y1566" s="171">
        <v>61.19</v>
      </c>
      <c r="Z1566" s="171">
        <v>60.04</v>
      </c>
      <c r="AA1566" s="171">
        <v>44.04</v>
      </c>
      <c r="AB1566" s="171">
        <v>63.45</v>
      </c>
      <c r="AC1566" s="171">
        <v>47.67</v>
      </c>
      <c r="AD1566" s="171">
        <v>47.660000000000004</v>
      </c>
      <c r="AF1566" s="171">
        <f t="shared" si="74"/>
        <v>2012</v>
      </c>
      <c r="AG1566" s="171">
        <f t="shared" si="75"/>
        <v>6</v>
      </c>
      <c r="AH1566" s="700">
        <f>SUMIF(D$3:$AA1566,"&lt;="&amp;$AH$1)/COUNTIF(D$3:$AA1566,"&lt;="&amp;$AH$1)</f>
        <v>30.833681124558524</v>
      </c>
    </row>
    <row r="1567" spans="2:34" x14ac:dyDescent="0.25">
      <c r="B1567" s="910">
        <v>41019</v>
      </c>
      <c r="C1567" s="581">
        <f t="shared" si="73"/>
        <v>4</v>
      </c>
      <c r="D1567" s="171">
        <v>42.61</v>
      </c>
      <c r="E1567" s="171">
        <v>41.02</v>
      </c>
      <c r="F1567" s="171">
        <v>40.31</v>
      </c>
      <c r="G1567" s="171">
        <v>39.950000000000003</v>
      </c>
      <c r="H1567" s="171">
        <v>39.97</v>
      </c>
      <c r="I1567" s="171">
        <v>42.11</v>
      </c>
      <c r="J1567" s="171">
        <v>61.910000000000004</v>
      </c>
      <c r="K1567" s="171">
        <v>68.42</v>
      </c>
      <c r="L1567" s="171">
        <v>77.98</v>
      </c>
      <c r="M1567" s="171">
        <v>71.09</v>
      </c>
      <c r="N1567" s="171">
        <v>70.89</v>
      </c>
      <c r="O1567" s="171">
        <v>64.820000000000007</v>
      </c>
      <c r="P1567" s="171">
        <v>61.18</v>
      </c>
      <c r="Q1567" s="171">
        <v>52.03</v>
      </c>
      <c r="R1567" s="171">
        <v>47.92</v>
      </c>
      <c r="S1567" s="171">
        <v>44.51</v>
      </c>
      <c r="T1567" s="171">
        <v>43</v>
      </c>
      <c r="U1567" s="171">
        <v>44.74</v>
      </c>
      <c r="V1567" s="171">
        <v>56.28</v>
      </c>
      <c r="W1567" s="171">
        <v>60.09</v>
      </c>
      <c r="X1567" s="171">
        <v>58.97</v>
      </c>
      <c r="Y1567" s="171">
        <v>58.96</v>
      </c>
      <c r="Z1567" s="171">
        <v>55.410000000000004</v>
      </c>
      <c r="AA1567" s="171">
        <v>48.63</v>
      </c>
      <c r="AB1567" s="171">
        <v>77.98</v>
      </c>
      <c r="AC1567" s="171">
        <v>43</v>
      </c>
      <c r="AD1567" s="171">
        <v>49.86</v>
      </c>
      <c r="AF1567" s="171">
        <f t="shared" si="74"/>
        <v>2012</v>
      </c>
      <c r="AG1567" s="171">
        <f t="shared" si="75"/>
        <v>5</v>
      </c>
      <c r="AH1567" s="700">
        <f>SUMIF(D$3:$AA1567,"&lt;="&amp;$AH$1)/COUNTIF(D$3:$AA1567,"&lt;="&amp;$AH$1)</f>
        <v>30.837377517282992</v>
      </c>
    </row>
    <row r="1568" spans="2:34" x14ac:dyDescent="0.25">
      <c r="B1568" s="910">
        <v>41022</v>
      </c>
      <c r="C1568" s="581">
        <f t="shared" si="73"/>
        <v>4</v>
      </c>
      <c r="D1568" s="171">
        <v>51.660000000000004</v>
      </c>
      <c r="E1568" s="171">
        <v>42.65</v>
      </c>
      <c r="F1568" s="171">
        <v>37.700000000000003</v>
      </c>
      <c r="G1568" s="171">
        <v>35.130000000000003</v>
      </c>
      <c r="H1568" s="171">
        <v>34.08</v>
      </c>
      <c r="I1568" s="171">
        <v>38.160000000000004</v>
      </c>
      <c r="J1568" s="171">
        <v>53.2</v>
      </c>
      <c r="K1568" s="171">
        <v>58.38</v>
      </c>
      <c r="L1568" s="171">
        <v>67.02</v>
      </c>
      <c r="M1568" s="171">
        <v>65.760000000000005</v>
      </c>
      <c r="N1568" s="171">
        <v>62.38</v>
      </c>
      <c r="O1568" s="171">
        <v>65</v>
      </c>
      <c r="P1568" s="171">
        <v>58.77</v>
      </c>
      <c r="Q1568" s="171">
        <v>53.52</v>
      </c>
      <c r="R1568" s="171">
        <v>49.99</v>
      </c>
      <c r="S1568" s="171">
        <v>47.06</v>
      </c>
      <c r="T1568" s="171">
        <v>47.82</v>
      </c>
      <c r="U1568" s="171">
        <v>51.97</v>
      </c>
      <c r="V1568" s="171">
        <v>62.7</v>
      </c>
      <c r="W1568" s="171">
        <v>62.33</v>
      </c>
      <c r="X1568" s="171">
        <v>57.88</v>
      </c>
      <c r="Y1568" s="171">
        <v>50.160000000000004</v>
      </c>
      <c r="Z1568" s="171">
        <v>49.76</v>
      </c>
      <c r="AA1568" s="171">
        <v>50.51</v>
      </c>
      <c r="AB1568" s="171">
        <v>67.02</v>
      </c>
      <c r="AC1568" s="171">
        <v>47.06</v>
      </c>
      <c r="AD1568" s="171">
        <v>46.61</v>
      </c>
      <c r="AF1568" s="171">
        <f t="shared" si="74"/>
        <v>2012</v>
      </c>
      <c r="AG1568" s="171">
        <f t="shared" si="75"/>
        <v>4</v>
      </c>
      <c r="AH1568" s="700">
        <f>SUMIF(D$3:$AA1568,"&lt;="&amp;$AH$1)/COUNTIF(D$3:$AA1568,"&lt;="&amp;$AH$1)</f>
        <v>30.839009164663615</v>
      </c>
    </row>
    <row r="1569" spans="2:34" x14ac:dyDescent="0.25">
      <c r="B1569" s="910">
        <v>41023</v>
      </c>
      <c r="C1569" s="581">
        <f t="shared" si="73"/>
        <v>4</v>
      </c>
      <c r="D1569" s="171">
        <v>40.22</v>
      </c>
      <c r="E1569" s="171">
        <v>36.29</v>
      </c>
      <c r="F1569" s="171">
        <v>34.85</v>
      </c>
      <c r="G1569" s="171">
        <v>34.700000000000003</v>
      </c>
      <c r="H1569" s="171">
        <v>35.020000000000003</v>
      </c>
      <c r="I1569" s="171">
        <v>38.200000000000003</v>
      </c>
      <c r="J1569" s="171">
        <v>42.94</v>
      </c>
      <c r="K1569" s="171">
        <v>59</v>
      </c>
      <c r="L1569" s="171">
        <v>63.300000000000004</v>
      </c>
      <c r="M1569" s="171">
        <v>63.63</v>
      </c>
      <c r="N1569" s="171">
        <v>63.95</v>
      </c>
      <c r="O1569" s="171">
        <v>63.83</v>
      </c>
      <c r="P1569" s="171">
        <v>60.980000000000004</v>
      </c>
      <c r="Q1569" s="171">
        <v>61.39</v>
      </c>
      <c r="R1569" s="171">
        <v>57.52</v>
      </c>
      <c r="S1569" s="171">
        <v>53.02</v>
      </c>
      <c r="T1569" s="171">
        <v>47.480000000000004</v>
      </c>
      <c r="U1569" s="171">
        <v>48.03</v>
      </c>
      <c r="V1569" s="171">
        <v>55.19</v>
      </c>
      <c r="W1569" s="171">
        <v>56.78</v>
      </c>
      <c r="X1569" s="171">
        <v>56.870000000000005</v>
      </c>
      <c r="Y1569" s="171">
        <v>56.800000000000004</v>
      </c>
      <c r="Z1569" s="171">
        <v>55.2</v>
      </c>
      <c r="AA1569" s="171">
        <v>51.01</v>
      </c>
      <c r="AB1569" s="171">
        <v>63.95</v>
      </c>
      <c r="AC1569" s="171">
        <v>47.480000000000004</v>
      </c>
      <c r="AD1569" s="171">
        <v>45.09</v>
      </c>
      <c r="AF1569" s="171">
        <f t="shared" si="74"/>
        <v>2012</v>
      </c>
      <c r="AG1569" s="171">
        <f t="shared" si="75"/>
        <v>6</v>
      </c>
      <c r="AH1569" s="700">
        <f>SUMIF(D$3:$AA1569,"&lt;="&amp;$AH$1)/COUNTIF(D$3:$AA1569,"&lt;="&amp;$AH$1)</f>
        <v>30.841580567652951</v>
      </c>
    </row>
    <row r="1570" spans="2:34" x14ac:dyDescent="0.25">
      <c r="B1570" s="910">
        <v>41024</v>
      </c>
      <c r="C1570" s="581">
        <f t="shared" si="73"/>
        <v>4</v>
      </c>
      <c r="D1570" s="171">
        <v>42.44</v>
      </c>
      <c r="E1570" s="171">
        <v>40.11</v>
      </c>
      <c r="F1570" s="171">
        <v>37.130000000000003</v>
      </c>
      <c r="G1570" s="171">
        <v>34.619999999999997</v>
      </c>
      <c r="H1570" s="171">
        <v>35.06</v>
      </c>
      <c r="I1570" s="171">
        <v>37.25</v>
      </c>
      <c r="J1570" s="171">
        <v>45</v>
      </c>
      <c r="K1570" s="171">
        <v>51.71</v>
      </c>
      <c r="L1570" s="171">
        <v>59.82</v>
      </c>
      <c r="M1570" s="171">
        <v>59.410000000000004</v>
      </c>
      <c r="N1570" s="171">
        <v>61.76</v>
      </c>
      <c r="O1570" s="171">
        <v>59.94</v>
      </c>
      <c r="P1570" s="171">
        <v>53</v>
      </c>
      <c r="Q1570" s="171">
        <v>52</v>
      </c>
      <c r="R1570" s="171">
        <v>49.45</v>
      </c>
      <c r="S1570" s="171">
        <v>45</v>
      </c>
      <c r="T1570" s="171">
        <v>43.61</v>
      </c>
      <c r="U1570" s="171">
        <v>44.94</v>
      </c>
      <c r="V1570" s="171">
        <v>48.5</v>
      </c>
      <c r="W1570" s="171">
        <v>50.410000000000004</v>
      </c>
      <c r="X1570" s="171">
        <v>52.08</v>
      </c>
      <c r="Y1570" s="171">
        <v>46.19</v>
      </c>
      <c r="Z1570" s="171">
        <v>42.89</v>
      </c>
      <c r="AA1570" s="171">
        <v>37.64</v>
      </c>
      <c r="AB1570" s="171">
        <v>61.76</v>
      </c>
      <c r="AC1570" s="171">
        <v>42.89</v>
      </c>
      <c r="AD1570" s="171">
        <v>41.84</v>
      </c>
      <c r="AF1570" s="171">
        <f t="shared" si="74"/>
        <v>2012</v>
      </c>
      <c r="AG1570" s="171">
        <f t="shared" si="75"/>
        <v>7</v>
      </c>
      <c r="AH1570" s="700">
        <f>SUMIF(D$3:$AA1570,"&lt;="&amp;$AH$1)/COUNTIF(D$3:$AA1570,"&lt;="&amp;$AH$1)</f>
        <v>30.845209756097713</v>
      </c>
    </row>
    <row r="1571" spans="2:34" x14ac:dyDescent="0.25">
      <c r="B1571" s="910">
        <v>41025</v>
      </c>
      <c r="C1571" s="581">
        <f t="shared" si="73"/>
        <v>4</v>
      </c>
      <c r="D1571" s="171">
        <v>32.57</v>
      </c>
      <c r="E1571" s="171">
        <v>29.09</v>
      </c>
      <c r="F1571" s="171">
        <v>26.98</v>
      </c>
      <c r="G1571" s="171">
        <v>25.73</v>
      </c>
      <c r="H1571" s="171">
        <v>24.92</v>
      </c>
      <c r="I1571" s="171">
        <v>30.11</v>
      </c>
      <c r="J1571" s="171">
        <v>36.910000000000004</v>
      </c>
      <c r="K1571" s="171">
        <v>45.6</v>
      </c>
      <c r="L1571" s="171">
        <v>53.04</v>
      </c>
      <c r="M1571" s="171">
        <v>60.54</v>
      </c>
      <c r="N1571" s="171">
        <v>60.4</v>
      </c>
      <c r="O1571" s="171">
        <v>57.870000000000005</v>
      </c>
      <c r="P1571" s="171">
        <v>58.95</v>
      </c>
      <c r="Q1571" s="171">
        <v>53.03</v>
      </c>
      <c r="R1571" s="171">
        <v>48.5</v>
      </c>
      <c r="S1571" s="171">
        <v>44.19</v>
      </c>
      <c r="T1571" s="171">
        <v>40</v>
      </c>
      <c r="U1571" s="171">
        <v>41.83</v>
      </c>
      <c r="V1571" s="171">
        <v>51.59</v>
      </c>
      <c r="W1571" s="171">
        <v>56.730000000000004</v>
      </c>
      <c r="X1571" s="171">
        <v>57.910000000000004</v>
      </c>
      <c r="Y1571" s="171">
        <v>59.22</v>
      </c>
      <c r="Z1571" s="171">
        <v>55.5</v>
      </c>
      <c r="AA1571" s="171">
        <v>49.29</v>
      </c>
      <c r="AB1571" s="171">
        <v>60.54</v>
      </c>
      <c r="AC1571" s="171">
        <v>40</v>
      </c>
      <c r="AD1571" s="171">
        <v>39.49</v>
      </c>
      <c r="AF1571" s="171">
        <f t="shared" si="74"/>
        <v>2012</v>
      </c>
      <c r="AG1571" s="171">
        <f t="shared" si="75"/>
        <v>9</v>
      </c>
      <c r="AH1571" s="700">
        <f>SUMIF(D$3:$AA1571,"&lt;="&amp;$AH$1)/COUNTIF(D$3:$AA1571,"&lt;="&amp;$AH$1)</f>
        <v>30.845999700015149</v>
      </c>
    </row>
    <row r="1572" spans="2:34" x14ac:dyDescent="0.25">
      <c r="B1572" s="910">
        <v>41026</v>
      </c>
      <c r="C1572" s="581">
        <f t="shared" si="73"/>
        <v>4</v>
      </c>
      <c r="D1572" s="171">
        <v>45.86</v>
      </c>
      <c r="E1572" s="171">
        <v>40.07</v>
      </c>
      <c r="F1572" s="171">
        <v>36.14</v>
      </c>
      <c r="G1572" s="171">
        <v>35.01</v>
      </c>
      <c r="H1572" s="171">
        <v>35.99</v>
      </c>
      <c r="I1572" s="171">
        <v>38.76</v>
      </c>
      <c r="J1572" s="171">
        <v>53.19</v>
      </c>
      <c r="K1572" s="171">
        <v>61.89</v>
      </c>
      <c r="L1572" s="171">
        <v>62.59</v>
      </c>
      <c r="M1572" s="171">
        <v>61.19</v>
      </c>
      <c r="N1572" s="171">
        <v>63.27</v>
      </c>
      <c r="O1572" s="171">
        <v>63.2</v>
      </c>
      <c r="P1572" s="171">
        <v>60</v>
      </c>
      <c r="Q1572" s="171">
        <v>56.18</v>
      </c>
      <c r="R1572" s="171">
        <v>53</v>
      </c>
      <c r="S1572" s="171">
        <v>45.67</v>
      </c>
      <c r="T1572" s="171">
        <v>43.25</v>
      </c>
      <c r="U1572" s="171">
        <v>49.63</v>
      </c>
      <c r="V1572" s="171">
        <v>56.9</v>
      </c>
      <c r="W1572" s="171">
        <v>56.59</v>
      </c>
      <c r="X1572" s="171">
        <v>58.82</v>
      </c>
      <c r="Y1572" s="171">
        <v>53.19</v>
      </c>
      <c r="Z1572" s="171">
        <v>58.56</v>
      </c>
      <c r="AA1572" s="171">
        <v>49.58</v>
      </c>
      <c r="AB1572" s="171">
        <v>63.27</v>
      </c>
      <c r="AC1572" s="171">
        <v>43.25</v>
      </c>
      <c r="AD1572" s="171">
        <v>47.26</v>
      </c>
      <c r="AF1572" s="171">
        <f t="shared" si="74"/>
        <v>2012</v>
      </c>
      <c r="AG1572" s="171">
        <f t="shared" si="75"/>
        <v>5</v>
      </c>
      <c r="AH1572" s="700">
        <f>SUMIF(D$3:$AA1572,"&lt;="&amp;$AH$1)/COUNTIF(D$3:$AA1572,"&lt;="&amp;$AH$1)</f>
        <v>30.848379188844891</v>
      </c>
    </row>
    <row r="1573" spans="2:34" x14ac:dyDescent="0.25">
      <c r="B1573" s="910">
        <v>41029</v>
      </c>
      <c r="C1573" s="581">
        <f t="shared" si="73"/>
        <v>4</v>
      </c>
      <c r="D1573" s="171">
        <v>45.54</v>
      </c>
      <c r="E1573" s="171">
        <v>40.340000000000003</v>
      </c>
      <c r="F1573" s="171">
        <v>39.93</v>
      </c>
      <c r="G1573" s="171">
        <v>35.21</v>
      </c>
      <c r="H1573" s="171">
        <v>33.79</v>
      </c>
      <c r="I1573" s="171">
        <v>33.19</v>
      </c>
      <c r="J1573" s="171">
        <v>42.44</v>
      </c>
      <c r="K1573" s="171">
        <v>53.19</v>
      </c>
      <c r="L1573" s="171">
        <v>58.84</v>
      </c>
      <c r="M1573" s="171">
        <v>57.46</v>
      </c>
      <c r="N1573" s="171">
        <v>55.47</v>
      </c>
      <c r="O1573" s="171">
        <v>54.74</v>
      </c>
      <c r="P1573" s="171">
        <v>51.95</v>
      </c>
      <c r="Q1573" s="171">
        <v>46.99</v>
      </c>
      <c r="R1573" s="171">
        <v>41.480000000000004</v>
      </c>
      <c r="S1573" s="171">
        <v>36.75</v>
      </c>
      <c r="T1573" s="171">
        <v>36.06</v>
      </c>
      <c r="U1573" s="171">
        <v>39.94</v>
      </c>
      <c r="V1573" s="171">
        <v>45</v>
      </c>
      <c r="W1573" s="171">
        <v>47.9</v>
      </c>
      <c r="X1573" s="171">
        <v>45.2</v>
      </c>
      <c r="Y1573" s="171">
        <v>48</v>
      </c>
      <c r="Z1573" s="171">
        <v>45.87</v>
      </c>
      <c r="AA1573" s="171">
        <v>38.75</v>
      </c>
      <c r="AB1573" s="171">
        <v>58.84</v>
      </c>
      <c r="AC1573" s="171">
        <v>36.06</v>
      </c>
      <c r="AD1573" s="171">
        <v>47.26</v>
      </c>
      <c r="AF1573" s="171">
        <f t="shared" si="74"/>
        <v>2012</v>
      </c>
      <c r="AG1573" s="171">
        <f t="shared" si="75"/>
        <v>11</v>
      </c>
      <c r="AH1573" s="700">
        <f>SUMIF(D$3:$AA1573,"&lt;="&amp;$AH$1)/COUNTIF(D$3:$AA1573,"&lt;="&amp;$AH$1)</f>
        <v>30.854262921348464</v>
      </c>
    </row>
    <row r="1574" spans="2:34" x14ac:dyDescent="0.25">
      <c r="B1574" s="910">
        <v>41030</v>
      </c>
      <c r="C1574" s="581">
        <f t="shared" si="73"/>
        <v>5</v>
      </c>
      <c r="D1574" s="171">
        <v>25.86</v>
      </c>
      <c r="E1574" s="171">
        <v>23.34</v>
      </c>
      <c r="F1574" s="171">
        <v>21.03</v>
      </c>
      <c r="G1574" s="171">
        <v>16.82</v>
      </c>
      <c r="H1574" s="171">
        <v>14.98</v>
      </c>
      <c r="I1574" s="171">
        <v>16.57</v>
      </c>
      <c r="J1574" s="171">
        <v>32.36</v>
      </c>
      <c r="K1574" s="171">
        <v>39.93</v>
      </c>
      <c r="L1574" s="171">
        <v>47.76</v>
      </c>
      <c r="M1574" s="171">
        <v>50.01</v>
      </c>
      <c r="N1574" s="171">
        <v>59.35</v>
      </c>
      <c r="O1574" s="171">
        <v>65.849999999999994</v>
      </c>
      <c r="P1574" s="171">
        <v>68.81</v>
      </c>
      <c r="Q1574" s="171">
        <v>67.739999999999995</v>
      </c>
      <c r="R1574" s="171">
        <v>59</v>
      </c>
      <c r="S1574" s="171">
        <v>52</v>
      </c>
      <c r="T1574" s="171">
        <v>52</v>
      </c>
      <c r="U1574" s="171">
        <v>53.32</v>
      </c>
      <c r="V1574" s="171">
        <v>65</v>
      </c>
      <c r="W1574" s="171">
        <v>50</v>
      </c>
      <c r="X1574" s="171">
        <v>52.43</v>
      </c>
      <c r="Y1574" s="171">
        <v>61.71</v>
      </c>
      <c r="Z1574" s="171">
        <v>54.94</v>
      </c>
      <c r="AA1574" s="171">
        <v>44.94</v>
      </c>
      <c r="AB1574" s="171">
        <v>68.81</v>
      </c>
      <c r="AC1574" s="171">
        <v>39.93</v>
      </c>
      <c r="AD1574" s="171">
        <v>33.74</v>
      </c>
      <c r="AF1574" s="171">
        <f t="shared" si="74"/>
        <v>2012</v>
      </c>
      <c r="AG1574" s="171">
        <f t="shared" si="75"/>
        <v>8</v>
      </c>
      <c r="AH1574" s="700">
        <f>SUMIF(D$3:$AA1574,"&lt;="&amp;$AH$1)/COUNTIF(D$3:$AA1574,"&lt;="&amp;$AH$1)</f>
        <v>30.850074861506364</v>
      </c>
    </row>
    <row r="1575" spans="2:34" x14ac:dyDescent="0.25">
      <c r="B1575" s="910">
        <v>41031</v>
      </c>
      <c r="C1575" s="581">
        <f t="shared" si="73"/>
        <v>5</v>
      </c>
      <c r="D1575" s="171">
        <v>25.86</v>
      </c>
      <c r="E1575" s="171">
        <v>23.34</v>
      </c>
      <c r="F1575" s="171">
        <v>21.03</v>
      </c>
      <c r="G1575" s="171">
        <v>16.82</v>
      </c>
      <c r="H1575" s="171">
        <v>14.98</v>
      </c>
      <c r="I1575" s="171">
        <v>16.57</v>
      </c>
      <c r="J1575" s="171">
        <v>32.36</v>
      </c>
      <c r="K1575" s="171">
        <v>39.93</v>
      </c>
      <c r="L1575" s="171">
        <v>47.76</v>
      </c>
      <c r="M1575" s="171">
        <v>50.01</v>
      </c>
      <c r="N1575" s="171">
        <v>59.35</v>
      </c>
      <c r="O1575" s="171">
        <v>65.849999999999994</v>
      </c>
      <c r="P1575" s="171">
        <v>68.81</v>
      </c>
      <c r="Q1575" s="171">
        <v>67.739999999999995</v>
      </c>
      <c r="R1575" s="171">
        <v>59</v>
      </c>
      <c r="S1575" s="171">
        <v>52</v>
      </c>
      <c r="T1575" s="171">
        <v>52</v>
      </c>
      <c r="U1575" s="171">
        <v>53.32</v>
      </c>
      <c r="V1575" s="171">
        <v>65</v>
      </c>
      <c r="W1575" s="171">
        <v>50</v>
      </c>
      <c r="X1575" s="171">
        <v>52.43</v>
      </c>
      <c r="Y1575" s="171">
        <v>61.71</v>
      </c>
      <c r="Z1575" s="171">
        <v>54.94</v>
      </c>
      <c r="AA1575" s="171">
        <v>44.94</v>
      </c>
      <c r="AB1575" s="171">
        <v>68.81</v>
      </c>
      <c r="AC1575" s="171">
        <v>39.93</v>
      </c>
      <c r="AD1575" s="171">
        <v>33.74</v>
      </c>
      <c r="AF1575" s="171">
        <f t="shared" si="74"/>
        <v>2012</v>
      </c>
      <c r="AG1575" s="171">
        <f t="shared" si="75"/>
        <v>8</v>
      </c>
      <c r="AH1575" s="700">
        <f>SUMIF(D$3:$AA1575,"&lt;="&amp;$AH$1)/COUNTIF(D$3:$AA1575,"&lt;="&amp;$AH$1)</f>
        <v>30.845891815053271</v>
      </c>
    </row>
    <row r="1576" spans="2:34" x14ac:dyDescent="0.25">
      <c r="B1576" s="910">
        <v>41032</v>
      </c>
      <c r="C1576" s="581">
        <f t="shared" si="73"/>
        <v>5</v>
      </c>
      <c r="D1576" s="171">
        <v>40</v>
      </c>
      <c r="E1576" s="171">
        <v>36.630000000000003</v>
      </c>
      <c r="F1576" s="171">
        <v>34.56</v>
      </c>
      <c r="G1576" s="171">
        <v>34.01</v>
      </c>
      <c r="H1576" s="171">
        <v>34.11</v>
      </c>
      <c r="I1576" s="171">
        <v>37.770000000000003</v>
      </c>
      <c r="J1576" s="171">
        <v>49.15</v>
      </c>
      <c r="K1576" s="171">
        <v>63.28</v>
      </c>
      <c r="L1576" s="171">
        <v>71.460000000000008</v>
      </c>
      <c r="M1576" s="171">
        <v>68.460000000000008</v>
      </c>
      <c r="N1576" s="171">
        <v>62.190000000000005</v>
      </c>
      <c r="O1576" s="171">
        <v>60.67</v>
      </c>
      <c r="P1576" s="171">
        <v>54.72</v>
      </c>
      <c r="Q1576" s="171">
        <v>53.2</v>
      </c>
      <c r="R1576" s="171">
        <v>53.19</v>
      </c>
      <c r="S1576" s="171">
        <v>50.74</v>
      </c>
      <c r="T1576" s="171">
        <v>48</v>
      </c>
      <c r="U1576" s="171">
        <v>51.51</v>
      </c>
      <c r="V1576" s="171">
        <v>54.33</v>
      </c>
      <c r="W1576" s="171">
        <v>57.06</v>
      </c>
      <c r="X1576" s="171">
        <v>54.96</v>
      </c>
      <c r="Y1576" s="171">
        <v>54.94</v>
      </c>
      <c r="Z1576" s="171">
        <v>52.44</v>
      </c>
      <c r="AA1576" s="171">
        <v>52.730000000000004</v>
      </c>
      <c r="AB1576" s="171">
        <v>71.460000000000008</v>
      </c>
      <c r="AC1576" s="171">
        <v>48</v>
      </c>
      <c r="AD1576" s="171">
        <v>45.38</v>
      </c>
      <c r="AF1576" s="171">
        <f t="shared" si="74"/>
        <v>2012</v>
      </c>
      <c r="AG1576" s="171">
        <f t="shared" si="75"/>
        <v>6</v>
      </c>
      <c r="AH1576" s="700">
        <f>SUMIF(D$3:$AA1576,"&lt;="&amp;$AH$1)/COUNTIF(D$3:$AA1576,"&lt;="&amp;$AH$1)</f>
        <v>30.848285222853878</v>
      </c>
    </row>
    <row r="1577" spans="2:34" x14ac:dyDescent="0.25">
      <c r="B1577" s="910">
        <v>41033</v>
      </c>
      <c r="C1577" s="581">
        <f t="shared" si="73"/>
        <v>5</v>
      </c>
      <c r="D1577" s="171">
        <v>51</v>
      </c>
      <c r="E1577" s="171">
        <v>41</v>
      </c>
      <c r="F1577" s="171">
        <v>35.57</v>
      </c>
      <c r="G1577" s="171">
        <v>34.47</v>
      </c>
      <c r="H1577" s="171">
        <v>32.97</v>
      </c>
      <c r="I1577" s="171">
        <v>34.75</v>
      </c>
      <c r="J1577" s="171">
        <v>42.35</v>
      </c>
      <c r="K1577" s="171">
        <v>56.76</v>
      </c>
      <c r="L1577" s="171">
        <v>69.3</v>
      </c>
      <c r="M1577" s="171">
        <v>57.92</v>
      </c>
      <c r="N1577" s="171">
        <v>56.45</v>
      </c>
      <c r="O1577" s="171">
        <v>59.94</v>
      </c>
      <c r="P1577" s="171">
        <v>57.45</v>
      </c>
      <c r="Q1577" s="171">
        <v>69.960000000000008</v>
      </c>
      <c r="R1577" s="171">
        <v>66.739999999999995</v>
      </c>
      <c r="S1577" s="171">
        <v>57.44</v>
      </c>
      <c r="T1577" s="171">
        <v>58.11</v>
      </c>
      <c r="U1577" s="171">
        <v>57.43</v>
      </c>
      <c r="V1577" s="171">
        <v>47.44</v>
      </c>
      <c r="W1577" s="171">
        <v>49.07</v>
      </c>
      <c r="X1577" s="171">
        <v>52.44</v>
      </c>
      <c r="Y1577" s="171">
        <v>54.75</v>
      </c>
      <c r="Z1577" s="171">
        <v>63.5</v>
      </c>
      <c r="AA1577" s="171">
        <v>51.32</v>
      </c>
      <c r="AB1577" s="171">
        <v>69.960000000000008</v>
      </c>
      <c r="AC1577" s="171">
        <v>47.44</v>
      </c>
      <c r="AD1577" s="171">
        <v>45.910000000000004</v>
      </c>
      <c r="AF1577" s="171">
        <f t="shared" si="74"/>
        <v>2012</v>
      </c>
      <c r="AG1577" s="171">
        <f t="shared" si="75"/>
        <v>6</v>
      </c>
      <c r="AH1577" s="700">
        <f>SUMIF(D$3:$AA1577,"&lt;="&amp;$AH$1)/COUNTIF(D$3:$AA1577,"&lt;="&amp;$AH$1)</f>
        <v>30.850977724622663</v>
      </c>
    </row>
    <row r="1578" spans="2:34" x14ac:dyDescent="0.25">
      <c r="B1578" s="910">
        <v>41036</v>
      </c>
      <c r="C1578" s="581">
        <f t="shared" si="73"/>
        <v>5</v>
      </c>
      <c r="D1578" s="171">
        <v>39.94</v>
      </c>
      <c r="E1578" s="171">
        <v>34.700000000000003</v>
      </c>
      <c r="F1578" s="171">
        <v>32.090000000000003</v>
      </c>
      <c r="G1578" s="171">
        <v>29.3</v>
      </c>
      <c r="H1578" s="171">
        <v>29.830000000000002</v>
      </c>
      <c r="I1578" s="171">
        <v>32.04</v>
      </c>
      <c r="J1578" s="171">
        <v>44.94</v>
      </c>
      <c r="K1578" s="171">
        <v>57.46</v>
      </c>
      <c r="L1578" s="171">
        <v>58.980000000000004</v>
      </c>
      <c r="M1578" s="171">
        <v>60.56</v>
      </c>
      <c r="N1578" s="171">
        <v>59.61</v>
      </c>
      <c r="O1578" s="171">
        <v>60.49</v>
      </c>
      <c r="P1578" s="171">
        <v>64.930000000000007</v>
      </c>
      <c r="Q1578" s="171">
        <v>65</v>
      </c>
      <c r="R1578" s="171">
        <v>52.09</v>
      </c>
      <c r="S1578" s="171">
        <v>50.26</v>
      </c>
      <c r="T1578" s="171">
        <v>48</v>
      </c>
      <c r="U1578" s="171">
        <v>48.13</v>
      </c>
      <c r="V1578" s="171">
        <v>51.14</v>
      </c>
      <c r="W1578" s="171">
        <v>53.61</v>
      </c>
      <c r="X1578" s="171">
        <v>51.480000000000004</v>
      </c>
      <c r="Y1578" s="171">
        <v>52.870000000000005</v>
      </c>
      <c r="Z1578" s="171">
        <v>50.28</v>
      </c>
      <c r="AA1578" s="171">
        <v>45</v>
      </c>
      <c r="AB1578" s="171">
        <v>65</v>
      </c>
      <c r="AC1578" s="171">
        <v>48</v>
      </c>
      <c r="AD1578" s="171">
        <v>41.660000000000004</v>
      </c>
      <c r="AF1578" s="171">
        <f t="shared" si="74"/>
        <v>2012</v>
      </c>
      <c r="AG1578" s="171">
        <f t="shared" si="75"/>
        <v>6</v>
      </c>
      <c r="AH1578" s="700">
        <f>SUMIF(D$3:$AA1578,"&lt;="&amp;$AH$1)/COUNTIF(D$3:$AA1578,"&lt;="&amp;$AH$1)</f>
        <v>30.851933652122085</v>
      </c>
    </row>
    <row r="1579" spans="2:34" x14ac:dyDescent="0.25">
      <c r="B1579" s="910">
        <v>41037</v>
      </c>
      <c r="C1579" s="581">
        <f t="shared" si="73"/>
        <v>5</v>
      </c>
      <c r="D1579" s="171">
        <v>36.03</v>
      </c>
      <c r="E1579" s="171">
        <v>34.49</v>
      </c>
      <c r="F1579" s="171">
        <v>33.11</v>
      </c>
      <c r="G1579" s="171">
        <v>33</v>
      </c>
      <c r="H1579" s="171">
        <v>33.15</v>
      </c>
      <c r="I1579" s="171">
        <v>33.590000000000003</v>
      </c>
      <c r="J1579" s="171">
        <v>39.630000000000003</v>
      </c>
      <c r="K1579" s="171">
        <v>47.12</v>
      </c>
      <c r="L1579" s="171">
        <v>50.07</v>
      </c>
      <c r="M1579" s="171">
        <v>49.94</v>
      </c>
      <c r="N1579" s="171">
        <v>57.44</v>
      </c>
      <c r="O1579" s="171">
        <v>65</v>
      </c>
      <c r="P1579" s="171">
        <v>54.94</v>
      </c>
      <c r="Q1579" s="171">
        <v>54.94</v>
      </c>
      <c r="R1579" s="171">
        <v>64.94</v>
      </c>
      <c r="S1579" s="171">
        <v>59.96</v>
      </c>
      <c r="T1579" s="171">
        <v>57.43</v>
      </c>
      <c r="U1579" s="171">
        <v>56</v>
      </c>
      <c r="V1579" s="171">
        <v>48.93</v>
      </c>
      <c r="W1579" s="171">
        <v>49.9</v>
      </c>
      <c r="X1579" s="171">
        <v>49.97</v>
      </c>
      <c r="Y1579" s="171">
        <v>50.43</v>
      </c>
      <c r="Z1579" s="171">
        <v>47.11</v>
      </c>
      <c r="AA1579" s="171">
        <v>49.93</v>
      </c>
      <c r="AB1579" s="171">
        <v>65</v>
      </c>
      <c r="AC1579" s="171">
        <v>47.11</v>
      </c>
      <c r="AD1579" s="171">
        <v>40.630000000000003</v>
      </c>
      <c r="AF1579" s="171">
        <f t="shared" si="74"/>
        <v>2012</v>
      </c>
      <c r="AG1579" s="171">
        <f t="shared" si="75"/>
        <v>7</v>
      </c>
      <c r="AH1579" s="700">
        <f>SUMIF(D$3:$AA1579,"&lt;="&amp;$AH$1)/COUNTIF(D$3:$AA1579,"&lt;="&amp;$AH$1)</f>
        <v>30.853952654768282</v>
      </c>
    </row>
    <row r="1580" spans="2:34" x14ac:dyDescent="0.25">
      <c r="B1580" s="910">
        <v>41038</v>
      </c>
      <c r="C1580" s="581">
        <f t="shared" si="73"/>
        <v>5</v>
      </c>
      <c r="D1580" s="171">
        <v>36.1</v>
      </c>
      <c r="E1580" s="171">
        <v>33.67</v>
      </c>
      <c r="F1580" s="171">
        <v>31.21</v>
      </c>
      <c r="G1580" s="171">
        <v>28.61</v>
      </c>
      <c r="H1580" s="171">
        <v>31.150000000000002</v>
      </c>
      <c r="I1580" s="171">
        <v>36.22</v>
      </c>
      <c r="J1580" s="171">
        <v>47.21</v>
      </c>
      <c r="K1580" s="171">
        <v>54.93</v>
      </c>
      <c r="L1580" s="171">
        <v>56.03</v>
      </c>
      <c r="M1580" s="171">
        <v>61.18</v>
      </c>
      <c r="N1580" s="171">
        <v>59.04</v>
      </c>
      <c r="O1580" s="171">
        <v>60.96</v>
      </c>
      <c r="P1580" s="171">
        <v>57.730000000000004</v>
      </c>
      <c r="Q1580" s="171">
        <v>55.46</v>
      </c>
      <c r="R1580" s="171">
        <v>53.53</v>
      </c>
      <c r="S1580" s="171">
        <v>50.28</v>
      </c>
      <c r="T1580" s="171">
        <v>48.25</v>
      </c>
      <c r="U1580" s="171">
        <v>52</v>
      </c>
      <c r="V1580" s="171">
        <v>52.1</v>
      </c>
      <c r="W1580" s="171">
        <v>53.03</v>
      </c>
      <c r="X1580" s="171">
        <v>55.39</v>
      </c>
      <c r="Y1580" s="171">
        <v>57</v>
      </c>
      <c r="Z1580" s="171">
        <v>52.9</v>
      </c>
      <c r="AA1580" s="171">
        <v>44.2</v>
      </c>
      <c r="AB1580" s="171">
        <v>61.18</v>
      </c>
      <c r="AC1580" s="171">
        <v>48.25</v>
      </c>
      <c r="AD1580" s="171">
        <v>42.38</v>
      </c>
      <c r="AF1580" s="171">
        <f t="shared" si="74"/>
        <v>2012</v>
      </c>
      <c r="AG1580" s="171">
        <f t="shared" si="75"/>
        <v>6</v>
      </c>
      <c r="AH1580" s="700">
        <f>SUMIF(D$3:$AA1580,"&lt;="&amp;$AH$1)/COUNTIF(D$3:$AA1580,"&lt;="&amp;$AH$1)</f>
        <v>30.85483615734881</v>
      </c>
    </row>
    <row r="1581" spans="2:34" x14ac:dyDescent="0.25">
      <c r="B1581" s="910">
        <v>41039</v>
      </c>
      <c r="C1581" s="581">
        <f t="shared" si="73"/>
        <v>5</v>
      </c>
      <c r="D1581" s="171">
        <v>40.99</v>
      </c>
      <c r="E1581" s="171">
        <v>36</v>
      </c>
      <c r="F1581" s="171">
        <v>33.130000000000003</v>
      </c>
      <c r="G1581" s="171">
        <v>30.53</v>
      </c>
      <c r="H1581" s="171">
        <v>33.090000000000003</v>
      </c>
      <c r="I1581" s="171">
        <v>35.550000000000004</v>
      </c>
      <c r="J1581" s="171">
        <v>47.93</v>
      </c>
      <c r="K1581" s="171">
        <v>52.88</v>
      </c>
      <c r="L1581" s="171">
        <v>52.47</v>
      </c>
      <c r="M1581" s="171">
        <v>48.51</v>
      </c>
      <c r="N1581" s="171">
        <v>46.82</v>
      </c>
      <c r="O1581" s="171">
        <v>46.11</v>
      </c>
      <c r="P1581" s="171">
        <v>46.43</v>
      </c>
      <c r="Q1581" s="171">
        <v>45.71</v>
      </c>
      <c r="R1581" s="171">
        <v>45.99</v>
      </c>
      <c r="S1581" s="171">
        <v>44.94</v>
      </c>
      <c r="T1581" s="171">
        <v>47.43</v>
      </c>
      <c r="U1581" s="171">
        <v>50</v>
      </c>
      <c r="V1581" s="171">
        <v>48.43</v>
      </c>
      <c r="W1581" s="171">
        <v>50.08</v>
      </c>
      <c r="X1581" s="171">
        <v>49.93</v>
      </c>
      <c r="Y1581" s="171">
        <v>47.43</v>
      </c>
      <c r="Z1581" s="171">
        <v>47.53</v>
      </c>
      <c r="AA1581" s="171">
        <v>46.800000000000004</v>
      </c>
      <c r="AB1581" s="171">
        <v>52.88</v>
      </c>
      <c r="AC1581" s="171">
        <v>44.94</v>
      </c>
      <c r="AD1581" s="171">
        <v>41.82</v>
      </c>
      <c r="AF1581" s="171">
        <f t="shared" si="74"/>
        <v>2012</v>
      </c>
      <c r="AG1581" s="171">
        <f t="shared" si="75"/>
        <v>6</v>
      </c>
      <c r="AH1581" s="700">
        <f>SUMIF(D$3:$AA1581,"&lt;="&amp;$AH$1)/COUNTIF(D$3:$AA1581,"&lt;="&amp;$AH$1)</f>
        <v>30.856638812206377</v>
      </c>
    </row>
    <row r="1582" spans="2:34" x14ac:dyDescent="0.25">
      <c r="B1582" s="910">
        <v>41040</v>
      </c>
      <c r="C1582" s="581">
        <f t="shared" si="73"/>
        <v>5</v>
      </c>
      <c r="D1582" s="171">
        <v>34.21</v>
      </c>
      <c r="E1582" s="171">
        <v>28.42</v>
      </c>
      <c r="F1582" s="171">
        <v>24.92</v>
      </c>
      <c r="G1582" s="171">
        <v>22.39</v>
      </c>
      <c r="H1582" s="171">
        <v>23.91</v>
      </c>
      <c r="I1582" s="171">
        <v>31.61</v>
      </c>
      <c r="J1582" s="171">
        <v>41.01</v>
      </c>
      <c r="K1582" s="171">
        <v>49.49</v>
      </c>
      <c r="L1582" s="171">
        <v>50.7</v>
      </c>
      <c r="M1582" s="171">
        <v>51.93</v>
      </c>
      <c r="N1582" s="171">
        <v>52.04</v>
      </c>
      <c r="O1582" s="171">
        <v>55.57</v>
      </c>
      <c r="P1582" s="171">
        <v>58.47</v>
      </c>
      <c r="Q1582" s="171">
        <v>75.81</v>
      </c>
      <c r="R1582" s="171">
        <v>73.87</v>
      </c>
      <c r="S1582" s="171">
        <v>60</v>
      </c>
      <c r="T1582" s="171">
        <v>56.27</v>
      </c>
      <c r="U1582" s="171">
        <v>47.12</v>
      </c>
      <c r="V1582" s="171">
        <v>45.84</v>
      </c>
      <c r="W1582" s="171">
        <v>45.01</v>
      </c>
      <c r="X1582" s="171">
        <v>49.870000000000005</v>
      </c>
      <c r="Y1582" s="171">
        <v>50.22</v>
      </c>
      <c r="Z1582" s="171">
        <v>50</v>
      </c>
      <c r="AA1582" s="171">
        <v>45.18</v>
      </c>
      <c r="AB1582" s="171">
        <v>75.81</v>
      </c>
      <c r="AC1582" s="171">
        <v>45.01</v>
      </c>
      <c r="AD1582" s="171">
        <v>37.6</v>
      </c>
      <c r="AF1582" s="171">
        <f t="shared" si="74"/>
        <v>2012</v>
      </c>
      <c r="AG1582" s="171">
        <f t="shared" si="75"/>
        <v>7</v>
      </c>
      <c r="AH1582" s="700">
        <f>SUMIF(D$3:$AA1582,"&lt;="&amp;$AH$1)/COUNTIF(D$3:$AA1582,"&lt;="&amp;$AH$1)</f>
        <v>30.855928411633261</v>
      </c>
    </row>
    <row r="1583" spans="2:34" x14ac:dyDescent="0.25">
      <c r="B1583" s="910">
        <v>41043</v>
      </c>
      <c r="C1583" s="581">
        <f t="shared" si="73"/>
        <v>5</v>
      </c>
      <c r="D1583" s="171">
        <v>37.47</v>
      </c>
      <c r="E1583" s="171">
        <v>33.31</v>
      </c>
      <c r="F1583" s="171">
        <v>31.8</v>
      </c>
      <c r="G1583" s="171">
        <v>24.990000000000002</v>
      </c>
      <c r="H1583" s="171">
        <v>25.66</v>
      </c>
      <c r="I1583" s="171">
        <v>30.02</v>
      </c>
      <c r="J1583" s="171">
        <v>41.230000000000004</v>
      </c>
      <c r="K1583" s="171">
        <v>57.85</v>
      </c>
      <c r="L1583" s="171">
        <v>65.45</v>
      </c>
      <c r="M1583" s="171">
        <v>57.44</v>
      </c>
      <c r="N1583" s="171">
        <v>62.43</v>
      </c>
      <c r="O1583" s="171">
        <v>67.650000000000006</v>
      </c>
      <c r="P1583" s="171">
        <v>60.03</v>
      </c>
      <c r="Q1583" s="171">
        <v>58.96</v>
      </c>
      <c r="R1583" s="171">
        <v>51.9</v>
      </c>
      <c r="S1583" s="171">
        <v>49.94</v>
      </c>
      <c r="T1583" s="171">
        <v>45.68</v>
      </c>
      <c r="U1583" s="171">
        <v>48.550000000000004</v>
      </c>
      <c r="V1583" s="171">
        <v>54.02</v>
      </c>
      <c r="W1583" s="171">
        <v>59.410000000000004</v>
      </c>
      <c r="X1583" s="171">
        <v>66.849999999999994</v>
      </c>
      <c r="Y1583" s="171">
        <v>61.4</v>
      </c>
      <c r="Z1583" s="171">
        <v>55</v>
      </c>
      <c r="AA1583" s="171">
        <v>45.84</v>
      </c>
      <c r="AB1583" s="171">
        <v>67.650000000000006</v>
      </c>
      <c r="AC1583" s="171">
        <v>45.68</v>
      </c>
      <c r="AD1583" s="171">
        <v>42.62</v>
      </c>
      <c r="AF1583" s="171">
        <f t="shared" si="74"/>
        <v>2012</v>
      </c>
      <c r="AG1583" s="171">
        <f t="shared" si="75"/>
        <v>7</v>
      </c>
      <c r="AH1583" s="700">
        <f>SUMIF(D$3:$AA1583,"&lt;="&amp;$AH$1)/COUNTIF(D$3:$AA1583,"&lt;="&amp;$AH$1)</f>
        <v>30.856561079227991</v>
      </c>
    </row>
    <row r="1584" spans="2:34" x14ac:dyDescent="0.25">
      <c r="B1584" s="910">
        <v>41044</v>
      </c>
      <c r="C1584" s="581">
        <f t="shared" si="73"/>
        <v>5</v>
      </c>
      <c r="D1584" s="171">
        <v>41.01</v>
      </c>
      <c r="E1584" s="171">
        <v>38.01</v>
      </c>
      <c r="F1584" s="171">
        <v>34.53</v>
      </c>
      <c r="G1584" s="171">
        <v>32.86</v>
      </c>
      <c r="H1584" s="171">
        <v>33.869999999999997</v>
      </c>
      <c r="I1584" s="171">
        <v>36.79</v>
      </c>
      <c r="J1584" s="171">
        <v>45.42</v>
      </c>
      <c r="K1584" s="171">
        <v>54.03</v>
      </c>
      <c r="L1584" s="171">
        <v>63.910000000000004</v>
      </c>
      <c r="M1584" s="171">
        <v>60.660000000000004</v>
      </c>
      <c r="N1584" s="171">
        <v>60.1</v>
      </c>
      <c r="O1584" s="171">
        <v>61.18</v>
      </c>
      <c r="P1584" s="171">
        <v>55.57</v>
      </c>
      <c r="Q1584" s="171">
        <v>57.04</v>
      </c>
      <c r="R1584" s="171">
        <v>53.72</v>
      </c>
      <c r="S1584" s="171">
        <v>51.980000000000004</v>
      </c>
      <c r="T1584" s="171">
        <v>50.02</v>
      </c>
      <c r="U1584" s="171">
        <v>49.94</v>
      </c>
      <c r="V1584" s="171">
        <v>52.910000000000004</v>
      </c>
      <c r="W1584" s="171">
        <v>53.93</v>
      </c>
      <c r="X1584" s="171">
        <v>50.9</v>
      </c>
      <c r="Y1584" s="171">
        <v>50.4</v>
      </c>
      <c r="Z1584" s="171">
        <v>50.160000000000004</v>
      </c>
      <c r="AA1584" s="171">
        <v>42.44</v>
      </c>
      <c r="AB1584" s="171">
        <v>63.910000000000004</v>
      </c>
      <c r="AC1584" s="171">
        <v>49.94</v>
      </c>
      <c r="AD1584" s="171">
        <v>42.53</v>
      </c>
      <c r="AF1584" s="171">
        <f t="shared" si="74"/>
        <v>2012</v>
      </c>
      <c r="AG1584" s="171">
        <f t="shared" si="75"/>
        <v>7</v>
      </c>
      <c r="AH1584" s="700">
        <f>SUMIF(D$3:$AA1584,"&lt;="&amp;$AH$1)/COUNTIF(D$3:$AA1584,"&lt;="&amp;$AH$1)</f>
        <v>30.859802592372017</v>
      </c>
    </row>
    <row r="1585" spans="2:34" x14ac:dyDescent="0.25">
      <c r="B1585" s="910">
        <v>41045</v>
      </c>
      <c r="C1585" s="581">
        <f t="shared" si="73"/>
        <v>5</v>
      </c>
      <c r="D1585" s="171">
        <v>39.46</v>
      </c>
      <c r="E1585" s="171">
        <v>34.520000000000003</v>
      </c>
      <c r="F1585" s="171">
        <v>32.96</v>
      </c>
      <c r="G1585" s="171">
        <v>27.35</v>
      </c>
      <c r="H1585" s="171">
        <v>28.22</v>
      </c>
      <c r="I1585" s="171">
        <v>31.54</v>
      </c>
      <c r="J1585" s="171">
        <v>38.21</v>
      </c>
      <c r="K1585" s="171">
        <v>47.56</v>
      </c>
      <c r="L1585" s="171">
        <v>54.94</v>
      </c>
      <c r="M1585" s="171">
        <v>52.57</v>
      </c>
      <c r="N1585" s="171">
        <v>50.980000000000004</v>
      </c>
      <c r="O1585" s="171">
        <v>51.85</v>
      </c>
      <c r="P1585" s="171">
        <v>53.08</v>
      </c>
      <c r="Q1585" s="171">
        <v>53.2</v>
      </c>
      <c r="R1585" s="171">
        <v>50.01</v>
      </c>
      <c r="S1585" s="171">
        <v>45.62</v>
      </c>
      <c r="T1585" s="171">
        <v>45.34</v>
      </c>
      <c r="U1585" s="171">
        <v>46.07</v>
      </c>
      <c r="V1585" s="171">
        <v>45</v>
      </c>
      <c r="W1585" s="171">
        <v>46.74</v>
      </c>
      <c r="X1585" s="171">
        <v>46.5</v>
      </c>
      <c r="Y1585" s="171">
        <v>47.51</v>
      </c>
      <c r="Z1585" s="171">
        <v>49.99</v>
      </c>
      <c r="AA1585" s="171">
        <v>47.19</v>
      </c>
      <c r="AB1585" s="171">
        <v>54.94</v>
      </c>
      <c r="AC1585" s="171">
        <v>45</v>
      </c>
      <c r="AD1585" s="171">
        <v>39.25</v>
      </c>
      <c r="AF1585" s="171">
        <f t="shared" si="74"/>
        <v>2012</v>
      </c>
      <c r="AG1585" s="171">
        <f t="shared" si="75"/>
        <v>7</v>
      </c>
      <c r="AH1585" s="700">
        <f>SUMIF(D$3:$AA1585,"&lt;="&amp;$AH$1)/COUNTIF(D$3:$AA1585,"&lt;="&amp;$AH$1)</f>
        <v>30.861011838284714</v>
      </c>
    </row>
    <row r="1586" spans="2:34" x14ac:dyDescent="0.25">
      <c r="B1586" s="910">
        <v>41046</v>
      </c>
      <c r="C1586" s="581">
        <f t="shared" si="73"/>
        <v>5</v>
      </c>
      <c r="D1586" s="171">
        <v>45</v>
      </c>
      <c r="E1586" s="171">
        <v>40</v>
      </c>
      <c r="F1586" s="171">
        <v>35</v>
      </c>
      <c r="G1586" s="171">
        <v>28</v>
      </c>
      <c r="H1586" s="171">
        <v>28.1</v>
      </c>
      <c r="I1586" s="171">
        <v>28.310000000000002</v>
      </c>
      <c r="J1586" s="171">
        <v>28.05</v>
      </c>
      <c r="K1586" s="171">
        <v>29.330000000000002</v>
      </c>
      <c r="L1586" s="171">
        <v>27.43</v>
      </c>
      <c r="M1586" s="171">
        <v>29.98</v>
      </c>
      <c r="N1586" s="171">
        <v>35</v>
      </c>
      <c r="O1586" s="171">
        <v>35.24</v>
      </c>
      <c r="P1586" s="171">
        <v>35.81</v>
      </c>
      <c r="Q1586" s="171">
        <v>35.24</v>
      </c>
      <c r="R1586" s="171">
        <v>35.660000000000004</v>
      </c>
      <c r="S1586" s="171">
        <v>35.24</v>
      </c>
      <c r="T1586" s="171">
        <v>35.840000000000003</v>
      </c>
      <c r="U1586" s="171">
        <v>39.96</v>
      </c>
      <c r="V1586" s="171">
        <v>40</v>
      </c>
      <c r="W1586" s="171">
        <v>40</v>
      </c>
      <c r="X1586" s="171">
        <v>40</v>
      </c>
      <c r="Y1586" s="171">
        <v>42.43</v>
      </c>
      <c r="Z1586" s="171">
        <v>44</v>
      </c>
      <c r="AA1586" s="171">
        <v>36.020000000000003</v>
      </c>
      <c r="AB1586" s="171">
        <v>44</v>
      </c>
      <c r="AC1586" s="171">
        <v>27.43</v>
      </c>
      <c r="AD1586" s="171">
        <v>35.35</v>
      </c>
      <c r="AF1586" s="171">
        <f t="shared" si="74"/>
        <v>2012</v>
      </c>
      <c r="AG1586" s="171">
        <f t="shared" si="75"/>
        <v>22</v>
      </c>
      <c r="AH1586" s="700">
        <f>SUMIF(D$3:$AA1586,"&lt;="&amp;$AH$1)/COUNTIF(D$3:$AA1586,"&lt;="&amp;$AH$1)</f>
        <v>30.867084665130598</v>
      </c>
    </row>
    <row r="1587" spans="2:34" x14ac:dyDescent="0.25">
      <c r="B1587" s="910">
        <v>41047</v>
      </c>
      <c r="C1587" s="581">
        <f t="shared" si="73"/>
        <v>5</v>
      </c>
      <c r="D1587" s="171">
        <v>34.090000000000003</v>
      </c>
      <c r="E1587" s="171">
        <v>27.78</v>
      </c>
      <c r="F1587" s="171">
        <v>25.37</v>
      </c>
      <c r="G1587" s="171">
        <v>23.85</v>
      </c>
      <c r="H1587" s="171">
        <v>24.01</v>
      </c>
      <c r="I1587" s="171">
        <v>26.23</v>
      </c>
      <c r="J1587" s="171">
        <v>31.5</v>
      </c>
      <c r="K1587" s="171">
        <v>38.36</v>
      </c>
      <c r="L1587" s="171">
        <v>41.58</v>
      </c>
      <c r="M1587" s="171">
        <v>42.44</v>
      </c>
      <c r="N1587" s="171">
        <v>45</v>
      </c>
      <c r="O1587" s="171">
        <v>49.93</v>
      </c>
      <c r="P1587" s="171">
        <v>49.93</v>
      </c>
      <c r="Q1587" s="171">
        <v>47.43</v>
      </c>
      <c r="R1587" s="171">
        <v>47.1</v>
      </c>
      <c r="S1587" s="171">
        <v>45.89</v>
      </c>
      <c r="T1587" s="171">
        <v>46.49</v>
      </c>
      <c r="U1587" s="171">
        <v>54.94</v>
      </c>
      <c r="V1587" s="171">
        <v>50</v>
      </c>
      <c r="W1587" s="171">
        <v>45.07</v>
      </c>
      <c r="X1587" s="171">
        <v>45.67</v>
      </c>
      <c r="Y1587" s="171">
        <v>45.77</v>
      </c>
      <c r="Z1587" s="171">
        <v>44.19</v>
      </c>
      <c r="AA1587" s="171">
        <v>44.94</v>
      </c>
      <c r="AB1587" s="171">
        <v>54.94</v>
      </c>
      <c r="AC1587" s="171">
        <v>38.36</v>
      </c>
      <c r="AD1587" s="171">
        <v>34.31</v>
      </c>
      <c r="AF1587" s="171">
        <f t="shared" si="74"/>
        <v>2012</v>
      </c>
      <c r="AG1587" s="171">
        <f t="shared" si="75"/>
        <v>10</v>
      </c>
      <c r="AH1587" s="700">
        <f>SUMIF(D$3:$AA1587,"&lt;="&amp;$AH$1)/COUNTIF(D$3:$AA1587,"&lt;="&amp;$AH$1)</f>
        <v>30.867570378073385</v>
      </c>
    </row>
    <row r="1588" spans="2:34" x14ac:dyDescent="0.25">
      <c r="B1588" s="910">
        <v>41050</v>
      </c>
      <c r="C1588" s="581">
        <f t="shared" si="73"/>
        <v>5</v>
      </c>
      <c r="D1588" s="171">
        <v>24.94</v>
      </c>
      <c r="E1588" s="171">
        <v>19.940000000000001</v>
      </c>
      <c r="F1588" s="171">
        <v>18.97</v>
      </c>
      <c r="G1588" s="171">
        <v>14.94</v>
      </c>
      <c r="H1588" s="171">
        <v>16.309999999999999</v>
      </c>
      <c r="I1588" s="171">
        <v>21.78</v>
      </c>
      <c r="J1588" s="171">
        <v>39.39</v>
      </c>
      <c r="K1588" s="171">
        <v>48.99</v>
      </c>
      <c r="L1588" s="171">
        <v>55.26</v>
      </c>
      <c r="M1588" s="171">
        <v>55.85</v>
      </c>
      <c r="N1588" s="171">
        <v>64.570000000000007</v>
      </c>
      <c r="O1588" s="171">
        <v>77.8</v>
      </c>
      <c r="P1588" s="171">
        <v>65</v>
      </c>
      <c r="Q1588" s="171">
        <v>64.94</v>
      </c>
      <c r="R1588" s="171">
        <v>53.19</v>
      </c>
      <c r="S1588" s="171">
        <v>49.93</v>
      </c>
      <c r="T1588" s="171">
        <v>48.52</v>
      </c>
      <c r="U1588" s="171">
        <v>50</v>
      </c>
      <c r="V1588" s="171">
        <v>49</v>
      </c>
      <c r="W1588" s="171">
        <v>47.5</v>
      </c>
      <c r="X1588" s="171">
        <v>45.46</v>
      </c>
      <c r="Y1588" s="171">
        <v>45.89</v>
      </c>
      <c r="Z1588" s="171">
        <v>47.58</v>
      </c>
      <c r="AA1588" s="171">
        <v>45.94</v>
      </c>
      <c r="AB1588" s="171">
        <v>77.8</v>
      </c>
      <c r="AC1588" s="171">
        <v>45.46</v>
      </c>
      <c r="AD1588" s="171">
        <v>32.51</v>
      </c>
      <c r="AF1588" s="171">
        <f t="shared" si="74"/>
        <v>2012</v>
      </c>
      <c r="AG1588" s="171">
        <f t="shared" si="75"/>
        <v>7</v>
      </c>
      <c r="AH1588" s="700">
        <f>SUMIF(D$3:$AA1588,"&lt;="&amp;$AH$1)/COUNTIF(D$3:$AA1588,"&lt;="&amp;$AH$1)</f>
        <v>30.863130660727688</v>
      </c>
    </row>
    <row r="1589" spans="2:34" x14ac:dyDescent="0.25">
      <c r="B1589" s="910">
        <v>41051</v>
      </c>
      <c r="C1589" s="581">
        <f t="shared" si="73"/>
        <v>5</v>
      </c>
      <c r="D1589" s="171">
        <v>35.82</v>
      </c>
      <c r="E1589" s="171">
        <v>33.22</v>
      </c>
      <c r="F1589" s="171">
        <v>29.23</v>
      </c>
      <c r="G1589" s="171">
        <v>22.72</v>
      </c>
      <c r="H1589" s="171">
        <v>26.330000000000002</v>
      </c>
      <c r="I1589" s="171">
        <v>32.67</v>
      </c>
      <c r="J1589" s="171">
        <v>44.1</v>
      </c>
      <c r="K1589" s="171">
        <v>54.78</v>
      </c>
      <c r="L1589" s="171">
        <v>55.75</v>
      </c>
      <c r="M1589" s="171">
        <v>52.03</v>
      </c>
      <c r="N1589" s="171">
        <v>52.11</v>
      </c>
      <c r="O1589" s="171">
        <v>53.2</v>
      </c>
      <c r="P1589" s="171">
        <v>53.03</v>
      </c>
      <c r="Q1589" s="171">
        <v>52.36</v>
      </c>
      <c r="R1589" s="171">
        <v>50.58</v>
      </c>
      <c r="S1589" s="171">
        <v>50.96</v>
      </c>
      <c r="T1589" s="171">
        <v>50.25</v>
      </c>
      <c r="U1589" s="171">
        <v>51.75</v>
      </c>
      <c r="V1589" s="171">
        <v>55.14</v>
      </c>
      <c r="W1589" s="171">
        <v>54.72</v>
      </c>
      <c r="X1589" s="171">
        <v>51.54</v>
      </c>
      <c r="Y1589" s="171">
        <v>50.94</v>
      </c>
      <c r="Z1589" s="171">
        <v>50</v>
      </c>
      <c r="AA1589" s="171">
        <v>43.56</v>
      </c>
      <c r="AB1589" s="171">
        <v>55.75</v>
      </c>
      <c r="AC1589" s="171">
        <v>50</v>
      </c>
      <c r="AD1589" s="171">
        <v>39.58</v>
      </c>
      <c r="AF1589" s="171">
        <f t="shared" si="74"/>
        <v>2012</v>
      </c>
      <c r="AG1589" s="171">
        <f t="shared" si="75"/>
        <v>6</v>
      </c>
      <c r="AH1589" s="700">
        <f>SUMIF(D$3:$AA1589,"&lt;="&amp;$AH$1)/COUNTIF(D$3:$AA1589,"&lt;="&amp;$AH$1)</f>
        <v>30.862745621846386</v>
      </c>
    </row>
    <row r="1590" spans="2:34" x14ac:dyDescent="0.25">
      <c r="B1590" s="910">
        <v>41052</v>
      </c>
      <c r="C1590" s="581">
        <f t="shared" si="73"/>
        <v>5</v>
      </c>
      <c r="D1590" s="171">
        <v>38.28</v>
      </c>
      <c r="E1590" s="171">
        <v>33.6</v>
      </c>
      <c r="F1590" s="171">
        <v>30.79</v>
      </c>
      <c r="G1590" s="171">
        <v>28.03</v>
      </c>
      <c r="H1590" s="171">
        <v>29.060000000000002</v>
      </c>
      <c r="I1590" s="171">
        <v>34.770000000000003</v>
      </c>
      <c r="J1590" s="171">
        <v>40.97</v>
      </c>
      <c r="K1590" s="171">
        <v>51</v>
      </c>
      <c r="L1590" s="171">
        <v>58.03</v>
      </c>
      <c r="M1590" s="171">
        <v>58.800000000000004</v>
      </c>
      <c r="N1590" s="171">
        <v>58.54</v>
      </c>
      <c r="O1590" s="171">
        <v>58.54</v>
      </c>
      <c r="P1590" s="171">
        <v>57.36</v>
      </c>
      <c r="Q1590" s="171">
        <v>55</v>
      </c>
      <c r="R1590" s="171">
        <v>55</v>
      </c>
      <c r="S1590" s="171">
        <v>49.93</v>
      </c>
      <c r="T1590" s="171">
        <v>52</v>
      </c>
      <c r="U1590" s="171">
        <v>54.94</v>
      </c>
      <c r="V1590" s="171">
        <v>52.44</v>
      </c>
      <c r="W1590" s="171">
        <v>47.660000000000004</v>
      </c>
      <c r="X1590" s="171">
        <v>48.51</v>
      </c>
      <c r="Y1590" s="171">
        <v>44.96</v>
      </c>
      <c r="Z1590" s="171">
        <v>49.94</v>
      </c>
      <c r="AA1590" s="171">
        <v>49.58</v>
      </c>
      <c r="AB1590" s="171">
        <v>58.800000000000004</v>
      </c>
      <c r="AC1590" s="171">
        <v>44.96</v>
      </c>
      <c r="AD1590" s="171">
        <v>39.96</v>
      </c>
      <c r="AF1590" s="171">
        <f t="shared" si="74"/>
        <v>2012</v>
      </c>
      <c r="AG1590" s="171">
        <f t="shared" si="75"/>
        <v>7</v>
      </c>
      <c r="AH1590" s="700">
        <f>SUMIF(D$3:$AA1590,"&lt;="&amp;$AH$1)/COUNTIF(D$3:$AA1590,"&lt;="&amp;$AH$1)</f>
        <v>30.864188978714079</v>
      </c>
    </row>
    <row r="1591" spans="2:34" x14ac:dyDescent="0.25">
      <c r="B1591" s="910">
        <v>41053</v>
      </c>
      <c r="C1591" s="581">
        <f t="shared" si="73"/>
        <v>5</v>
      </c>
      <c r="D1591" s="171">
        <v>43.9</v>
      </c>
      <c r="E1591" s="171">
        <v>33.86</v>
      </c>
      <c r="F1591" s="171">
        <v>30.900000000000002</v>
      </c>
      <c r="G1591" s="171">
        <v>25.51</v>
      </c>
      <c r="H1591" s="171">
        <v>25</v>
      </c>
      <c r="I1591" s="171">
        <v>32.020000000000003</v>
      </c>
      <c r="J1591" s="171">
        <v>43.03</v>
      </c>
      <c r="K1591" s="171">
        <v>54.57</v>
      </c>
      <c r="L1591" s="171">
        <v>57.050000000000004</v>
      </c>
      <c r="M1591" s="171">
        <v>55.88</v>
      </c>
      <c r="N1591" s="171">
        <v>55.17</v>
      </c>
      <c r="O1591" s="171">
        <v>64.72</v>
      </c>
      <c r="P1591" s="171">
        <v>59.94</v>
      </c>
      <c r="Q1591" s="171">
        <v>61.26</v>
      </c>
      <c r="R1591" s="171">
        <v>57.43</v>
      </c>
      <c r="S1591" s="171">
        <v>59.83</v>
      </c>
      <c r="T1591" s="171">
        <v>54.94</v>
      </c>
      <c r="U1591" s="171">
        <v>52.9</v>
      </c>
      <c r="V1591" s="171">
        <v>56.480000000000004</v>
      </c>
      <c r="W1591" s="171">
        <v>50.870000000000005</v>
      </c>
      <c r="X1591" s="171">
        <v>50</v>
      </c>
      <c r="Y1591" s="171">
        <v>46</v>
      </c>
      <c r="Z1591" s="171">
        <v>45.74</v>
      </c>
      <c r="AA1591" s="171">
        <v>39.840000000000003</v>
      </c>
      <c r="AB1591" s="171">
        <v>64.72</v>
      </c>
      <c r="AC1591" s="171">
        <v>45.74</v>
      </c>
      <c r="AD1591" s="171">
        <v>39.200000000000003</v>
      </c>
      <c r="AF1591" s="171">
        <f t="shared" si="74"/>
        <v>2012</v>
      </c>
      <c r="AG1591" s="171">
        <f t="shared" si="75"/>
        <v>6</v>
      </c>
      <c r="AH1591" s="700">
        <f>SUMIF(D$3:$AA1591,"&lt;="&amp;$AH$1)/COUNTIF(D$3:$AA1591,"&lt;="&amp;$AH$1)</f>
        <v>30.864333160353027</v>
      </c>
    </row>
    <row r="1592" spans="2:34" x14ac:dyDescent="0.25">
      <c r="B1592" s="910">
        <v>41054</v>
      </c>
      <c r="C1592" s="581">
        <f t="shared" si="73"/>
        <v>5</v>
      </c>
      <c r="D1592" s="171">
        <v>32.04</v>
      </c>
      <c r="E1592" s="171">
        <v>28.34</v>
      </c>
      <c r="F1592" s="171">
        <v>28.94</v>
      </c>
      <c r="G1592" s="171">
        <v>26.34</v>
      </c>
      <c r="H1592" s="171">
        <v>27.25</v>
      </c>
      <c r="I1592" s="171">
        <v>30.34</v>
      </c>
      <c r="J1592" s="171">
        <v>37.92</v>
      </c>
      <c r="K1592" s="171">
        <v>48.64</v>
      </c>
      <c r="L1592" s="171">
        <v>54.04</v>
      </c>
      <c r="M1592" s="171">
        <v>49.94</v>
      </c>
      <c r="N1592" s="171">
        <v>56.44</v>
      </c>
      <c r="O1592" s="171">
        <v>60.17</v>
      </c>
      <c r="P1592" s="171">
        <v>60.050000000000004</v>
      </c>
      <c r="Q1592" s="171">
        <v>55.480000000000004</v>
      </c>
      <c r="R1592" s="171">
        <v>45.87</v>
      </c>
      <c r="S1592" s="171">
        <v>41.25</v>
      </c>
      <c r="T1592" s="171">
        <v>44.94</v>
      </c>
      <c r="U1592" s="171">
        <v>44</v>
      </c>
      <c r="V1592" s="171">
        <v>41.97</v>
      </c>
      <c r="W1592" s="171">
        <v>42.7</v>
      </c>
      <c r="X1592" s="171">
        <v>48.52</v>
      </c>
      <c r="Y1592" s="171">
        <v>47.2</v>
      </c>
      <c r="Z1592" s="171">
        <v>50.56</v>
      </c>
      <c r="AA1592" s="171">
        <v>49.72</v>
      </c>
      <c r="AB1592" s="171">
        <v>60.17</v>
      </c>
      <c r="AC1592" s="171">
        <v>41.25</v>
      </c>
      <c r="AD1592" s="171">
        <v>37.980000000000004</v>
      </c>
      <c r="AF1592" s="171">
        <f t="shared" si="74"/>
        <v>2012</v>
      </c>
      <c r="AG1592" s="171">
        <f t="shared" si="75"/>
        <v>9</v>
      </c>
      <c r="AH1592" s="700">
        <f>SUMIF(D$3:$AA1592,"&lt;="&amp;$AH$1)/COUNTIF(D$3:$AA1592,"&lt;="&amp;$AH$1)</f>
        <v>30.865563787227885</v>
      </c>
    </row>
    <row r="1593" spans="2:34" x14ac:dyDescent="0.25">
      <c r="B1593" s="910">
        <v>41057</v>
      </c>
      <c r="C1593" s="581">
        <f t="shared" si="73"/>
        <v>5</v>
      </c>
      <c r="D1593" s="171">
        <v>41</v>
      </c>
      <c r="E1593" s="171">
        <v>20.3</v>
      </c>
      <c r="F1593" s="171">
        <v>20.2</v>
      </c>
      <c r="G1593" s="171">
        <v>20.3</v>
      </c>
      <c r="H1593" s="171">
        <v>22.44</v>
      </c>
      <c r="I1593" s="171">
        <v>15.1</v>
      </c>
      <c r="J1593" s="171">
        <v>20.85</v>
      </c>
      <c r="K1593" s="171">
        <v>26.01</v>
      </c>
      <c r="L1593" s="171">
        <v>27.98</v>
      </c>
      <c r="M1593" s="171">
        <v>37.1</v>
      </c>
      <c r="N1593" s="171">
        <v>44.93</v>
      </c>
      <c r="O1593" s="171">
        <v>45</v>
      </c>
      <c r="P1593" s="171">
        <v>44.94</v>
      </c>
      <c r="Q1593" s="171">
        <v>42.44</v>
      </c>
      <c r="R1593" s="171">
        <v>41.35</v>
      </c>
      <c r="S1593" s="171">
        <v>37.44</v>
      </c>
      <c r="T1593" s="171">
        <v>44.11</v>
      </c>
      <c r="U1593" s="171">
        <v>47.11</v>
      </c>
      <c r="V1593" s="171">
        <v>54.230000000000004</v>
      </c>
      <c r="W1593" s="171">
        <v>52.230000000000004</v>
      </c>
      <c r="X1593" s="171">
        <v>53.27</v>
      </c>
      <c r="Y1593" s="171">
        <v>50</v>
      </c>
      <c r="Z1593" s="171">
        <v>54.93</v>
      </c>
      <c r="AA1593" s="171">
        <v>45.33</v>
      </c>
      <c r="AB1593" s="171">
        <v>54.93</v>
      </c>
      <c r="AC1593" s="171">
        <v>26.01</v>
      </c>
      <c r="AD1593" s="171">
        <v>32.480000000000004</v>
      </c>
      <c r="AF1593" s="171">
        <f t="shared" si="74"/>
        <v>2012</v>
      </c>
      <c r="AG1593" s="171">
        <f t="shared" si="75"/>
        <v>13</v>
      </c>
      <c r="AH1593" s="700">
        <f>SUMIF(D$3:$AA1593,"&lt;="&amp;$AH$1)/COUNTIF(D$3:$AA1593,"&lt;="&amp;$AH$1)</f>
        <v>30.863436459181546</v>
      </c>
    </row>
    <row r="1594" spans="2:34" x14ac:dyDescent="0.25">
      <c r="B1594" s="910">
        <v>41058</v>
      </c>
      <c r="C1594" s="581">
        <f t="shared" si="73"/>
        <v>5</v>
      </c>
      <c r="D1594" s="171">
        <v>39.19</v>
      </c>
      <c r="E1594" s="171">
        <v>31.62</v>
      </c>
      <c r="F1594" s="171">
        <v>27</v>
      </c>
      <c r="G1594" s="171">
        <v>23.04</v>
      </c>
      <c r="H1594" s="171">
        <v>21.96</v>
      </c>
      <c r="I1594" s="171">
        <v>27.060000000000002</v>
      </c>
      <c r="J1594" s="171">
        <v>39.9</v>
      </c>
      <c r="K1594" s="171">
        <v>49.99</v>
      </c>
      <c r="L1594" s="171">
        <v>55</v>
      </c>
      <c r="M1594" s="171">
        <v>53.51</v>
      </c>
      <c r="N1594" s="171">
        <v>53.03</v>
      </c>
      <c r="O1594" s="171">
        <v>56.19</v>
      </c>
      <c r="P1594" s="171">
        <v>61.19</v>
      </c>
      <c r="Q1594" s="171">
        <v>56.42</v>
      </c>
      <c r="R1594" s="171">
        <v>60.370000000000005</v>
      </c>
      <c r="S1594" s="171">
        <v>48.79</v>
      </c>
      <c r="T1594" s="171">
        <v>46.7</v>
      </c>
      <c r="U1594" s="171">
        <v>52.44</v>
      </c>
      <c r="V1594" s="171">
        <v>53.54</v>
      </c>
      <c r="W1594" s="171">
        <v>53.96</v>
      </c>
      <c r="X1594" s="171">
        <v>50.11</v>
      </c>
      <c r="Y1594" s="171">
        <v>49.4</v>
      </c>
      <c r="Z1594" s="171">
        <v>47.99</v>
      </c>
      <c r="AA1594" s="171">
        <v>46.21</v>
      </c>
      <c r="AB1594" s="171">
        <v>61.19</v>
      </c>
      <c r="AC1594" s="171">
        <v>46.7</v>
      </c>
      <c r="AD1594" s="171">
        <v>37.79</v>
      </c>
      <c r="AF1594" s="171">
        <f t="shared" si="74"/>
        <v>2012</v>
      </c>
      <c r="AG1594" s="171">
        <f t="shared" si="75"/>
        <v>7</v>
      </c>
      <c r="AH1594" s="700">
        <f>SUMIF(D$3:$AA1594,"&lt;="&amp;$AH$1)/COUNTIF(D$3:$AA1594,"&lt;="&amp;$AH$1)</f>
        <v>30.862972333185521</v>
      </c>
    </row>
    <row r="1595" spans="2:34" x14ac:dyDescent="0.25">
      <c r="B1595" s="910">
        <v>41059</v>
      </c>
      <c r="C1595" s="581">
        <f t="shared" si="73"/>
        <v>5</v>
      </c>
      <c r="D1595" s="171">
        <v>39.19</v>
      </c>
      <c r="E1595" s="171">
        <v>31.62</v>
      </c>
      <c r="F1595" s="171">
        <v>27</v>
      </c>
      <c r="G1595" s="171">
        <v>23.04</v>
      </c>
      <c r="H1595" s="171">
        <v>21.96</v>
      </c>
      <c r="I1595" s="171">
        <v>27.060000000000002</v>
      </c>
      <c r="J1595" s="171">
        <v>39.9</v>
      </c>
      <c r="K1595" s="171">
        <v>49.99</v>
      </c>
      <c r="L1595" s="171">
        <v>55</v>
      </c>
      <c r="M1595" s="171">
        <v>53.51</v>
      </c>
      <c r="N1595" s="171">
        <v>53.03</v>
      </c>
      <c r="O1595" s="171">
        <v>56.19</v>
      </c>
      <c r="P1595" s="171">
        <v>61.19</v>
      </c>
      <c r="Q1595" s="171">
        <v>56.42</v>
      </c>
      <c r="R1595" s="171">
        <v>60.370000000000005</v>
      </c>
      <c r="S1595" s="171">
        <v>48.79</v>
      </c>
      <c r="T1595" s="171">
        <v>46.7</v>
      </c>
      <c r="U1595" s="171">
        <v>52.44</v>
      </c>
      <c r="V1595" s="171">
        <v>53.54</v>
      </c>
      <c r="W1595" s="171">
        <v>53.96</v>
      </c>
      <c r="X1595" s="171">
        <v>50.11</v>
      </c>
      <c r="Y1595" s="171">
        <v>49.4</v>
      </c>
      <c r="Z1595" s="171">
        <v>47.99</v>
      </c>
      <c r="AA1595" s="171">
        <v>46.21</v>
      </c>
      <c r="AB1595" s="171">
        <v>61.19</v>
      </c>
      <c r="AC1595" s="171">
        <v>46.7</v>
      </c>
      <c r="AD1595" s="171">
        <v>37.79</v>
      </c>
      <c r="AF1595" s="171">
        <f t="shared" si="74"/>
        <v>2012</v>
      </c>
      <c r="AG1595" s="171">
        <f t="shared" si="75"/>
        <v>7</v>
      </c>
      <c r="AH1595" s="700">
        <f>SUMIF(D$3:$AA1595,"&lt;="&amp;$AH$1)/COUNTIF(D$3:$AA1595,"&lt;="&amp;$AH$1)</f>
        <v>30.862508687615669</v>
      </c>
    </row>
    <row r="1596" spans="2:34" x14ac:dyDescent="0.25">
      <c r="B1596" s="910">
        <v>41060</v>
      </c>
      <c r="C1596" s="581">
        <f t="shared" si="73"/>
        <v>5</v>
      </c>
      <c r="D1596" s="171">
        <v>42.09</v>
      </c>
      <c r="E1596" s="171">
        <v>37</v>
      </c>
      <c r="F1596" s="171">
        <v>33.96</v>
      </c>
      <c r="G1596" s="171">
        <v>33.730000000000004</v>
      </c>
      <c r="H1596" s="171">
        <v>32.86</v>
      </c>
      <c r="I1596" s="171">
        <v>35.090000000000003</v>
      </c>
      <c r="J1596" s="171">
        <v>45.5</v>
      </c>
      <c r="K1596" s="171">
        <v>53.19</v>
      </c>
      <c r="L1596" s="171">
        <v>58.65</v>
      </c>
      <c r="M1596" s="171">
        <v>57.75</v>
      </c>
      <c r="N1596" s="171">
        <v>58.03</v>
      </c>
      <c r="O1596" s="171">
        <v>57.35</v>
      </c>
      <c r="P1596" s="171">
        <v>56.51</v>
      </c>
      <c r="Q1596" s="171">
        <v>56.61</v>
      </c>
      <c r="R1596" s="171">
        <v>55.050000000000004</v>
      </c>
      <c r="S1596" s="171">
        <v>53.93</v>
      </c>
      <c r="T1596" s="171">
        <v>50.050000000000004</v>
      </c>
      <c r="U1596" s="171">
        <v>52.99</v>
      </c>
      <c r="V1596" s="171">
        <v>53.2</v>
      </c>
      <c r="W1596" s="171">
        <v>54.31</v>
      </c>
      <c r="X1596" s="171">
        <v>50.95</v>
      </c>
      <c r="Y1596" s="171">
        <v>49.910000000000004</v>
      </c>
      <c r="Z1596" s="171">
        <v>49.97</v>
      </c>
      <c r="AA1596" s="171">
        <v>49.94</v>
      </c>
      <c r="AB1596" s="171">
        <v>58.65</v>
      </c>
      <c r="AC1596" s="171">
        <v>49.910000000000004</v>
      </c>
      <c r="AD1596" s="171">
        <v>42.85</v>
      </c>
      <c r="AF1596" s="171">
        <f t="shared" si="74"/>
        <v>2012</v>
      </c>
      <c r="AG1596" s="171">
        <f t="shared" si="75"/>
        <v>6</v>
      </c>
      <c r="AH1596" s="700">
        <f>SUMIF(D$3:$AA1596,"&lt;="&amp;$AH$1)/COUNTIF(D$3:$AA1596,"&lt;="&amp;$AH$1)</f>
        <v>30.864692927352152</v>
      </c>
    </row>
    <row r="1597" spans="2:34" x14ac:dyDescent="0.25">
      <c r="B1597" s="910">
        <v>41061</v>
      </c>
      <c r="C1597" s="581">
        <f t="shared" si="73"/>
        <v>6</v>
      </c>
      <c r="D1597" s="171">
        <v>36.300000000000004</v>
      </c>
      <c r="E1597" s="171">
        <v>32.47</v>
      </c>
      <c r="F1597" s="171">
        <v>28.43</v>
      </c>
      <c r="G1597" s="171">
        <v>27</v>
      </c>
      <c r="H1597" s="171">
        <v>30</v>
      </c>
      <c r="I1597" s="171">
        <v>32.72</v>
      </c>
      <c r="J1597" s="171">
        <v>36.800000000000004</v>
      </c>
      <c r="K1597" s="171">
        <v>47.63</v>
      </c>
      <c r="L1597" s="171">
        <v>52.69</v>
      </c>
      <c r="M1597" s="171">
        <v>57.65</v>
      </c>
      <c r="N1597" s="171">
        <v>62.690000000000005</v>
      </c>
      <c r="O1597" s="171">
        <v>65.17</v>
      </c>
      <c r="P1597" s="171">
        <v>63.97</v>
      </c>
      <c r="Q1597" s="171">
        <v>67.06</v>
      </c>
      <c r="R1597" s="171">
        <v>59.53</v>
      </c>
      <c r="S1597" s="171">
        <v>51.96</v>
      </c>
      <c r="T1597" s="171">
        <v>49.21</v>
      </c>
      <c r="U1597" s="171">
        <v>49.94</v>
      </c>
      <c r="V1597" s="171">
        <v>52.43</v>
      </c>
      <c r="W1597" s="171">
        <v>46.45</v>
      </c>
      <c r="X1597" s="171">
        <v>48.07</v>
      </c>
      <c r="Y1597" s="171">
        <v>54.93</v>
      </c>
      <c r="Z1597" s="171">
        <v>49.94</v>
      </c>
      <c r="AA1597" s="171">
        <v>49.81</v>
      </c>
      <c r="AB1597" s="171">
        <v>67.06</v>
      </c>
      <c r="AC1597" s="171">
        <v>46.45</v>
      </c>
      <c r="AD1597" s="171">
        <v>39.51</v>
      </c>
      <c r="AF1597" s="171">
        <f t="shared" si="74"/>
        <v>2012</v>
      </c>
      <c r="AG1597" s="171">
        <f t="shared" si="75"/>
        <v>7</v>
      </c>
      <c r="AH1597" s="700">
        <f>SUMIF(D$3:$AA1597,"&lt;="&amp;$AH$1)/COUNTIF(D$3:$AA1597,"&lt;="&amp;$AH$1)</f>
        <v>30.865259270202532</v>
      </c>
    </row>
    <row r="1598" spans="2:34" x14ac:dyDescent="0.25">
      <c r="B1598" s="910">
        <v>41064</v>
      </c>
      <c r="C1598" s="581">
        <f t="shared" si="73"/>
        <v>6</v>
      </c>
      <c r="D1598" s="171">
        <v>39.71</v>
      </c>
      <c r="E1598" s="171">
        <v>29.93</v>
      </c>
      <c r="F1598" s="171">
        <v>31.85</v>
      </c>
      <c r="G1598" s="171">
        <v>23.25</v>
      </c>
      <c r="H1598" s="171">
        <v>23.36</v>
      </c>
      <c r="I1598" s="171">
        <v>24.98</v>
      </c>
      <c r="J1598" s="171">
        <v>35.980000000000004</v>
      </c>
      <c r="K1598" s="171">
        <v>51.31</v>
      </c>
      <c r="L1598" s="171">
        <v>65</v>
      </c>
      <c r="M1598" s="171">
        <v>66.400000000000006</v>
      </c>
      <c r="N1598" s="171">
        <v>69.67</v>
      </c>
      <c r="O1598" s="171">
        <v>72.13</v>
      </c>
      <c r="P1598" s="171">
        <v>66.150000000000006</v>
      </c>
      <c r="Q1598" s="171">
        <v>62.84</v>
      </c>
      <c r="R1598" s="171">
        <v>57.480000000000004</v>
      </c>
      <c r="S1598" s="171">
        <v>50.13</v>
      </c>
      <c r="T1598" s="171">
        <v>46.88</v>
      </c>
      <c r="U1598" s="171">
        <v>48.93</v>
      </c>
      <c r="V1598" s="171">
        <v>51.07</v>
      </c>
      <c r="W1598" s="171">
        <v>51.45</v>
      </c>
      <c r="X1598" s="171">
        <v>46.2</v>
      </c>
      <c r="Y1598" s="171">
        <v>44.17</v>
      </c>
      <c r="Z1598" s="171">
        <v>43.29</v>
      </c>
      <c r="AA1598" s="171">
        <v>45.37</v>
      </c>
      <c r="AB1598" s="171">
        <v>72.13</v>
      </c>
      <c r="AC1598" s="171">
        <v>43.29</v>
      </c>
      <c r="AD1598" s="171">
        <v>36.619999999999997</v>
      </c>
      <c r="AF1598" s="171">
        <f t="shared" si="74"/>
        <v>2012</v>
      </c>
      <c r="AG1598" s="171">
        <f t="shared" si="75"/>
        <v>7</v>
      </c>
      <c r="AH1598" s="700">
        <f>SUMIF(D$3:$AA1598,"&lt;="&amp;$AH$1)/COUNTIF(D$3:$AA1598,"&lt;="&amp;$AH$1)</f>
        <v>30.864742709487029</v>
      </c>
    </row>
    <row r="1599" spans="2:34" x14ac:dyDescent="0.25">
      <c r="B1599" s="910">
        <v>41065</v>
      </c>
      <c r="C1599" s="581">
        <f t="shared" si="73"/>
        <v>6</v>
      </c>
      <c r="D1599" s="171">
        <v>35.61</v>
      </c>
      <c r="E1599" s="171">
        <v>32.049999999999997</v>
      </c>
      <c r="F1599" s="171">
        <v>25.43</v>
      </c>
      <c r="G1599" s="171">
        <v>26.25</v>
      </c>
      <c r="H1599" s="171">
        <v>22.77</v>
      </c>
      <c r="I1599" s="171">
        <v>28.96</v>
      </c>
      <c r="J1599" s="171">
        <v>37.119999999999997</v>
      </c>
      <c r="K1599" s="171">
        <v>47.02</v>
      </c>
      <c r="L1599" s="171">
        <v>49.94</v>
      </c>
      <c r="M1599" s="171">
        <v>49</v>
      </c>
      <c r="N1599" s="171">
        <v>56.26</v>
      </c>
      <c r="O1599" s="171">
        <v>61.28</v>
      </c>
      <c r="P1599" s="171">
        <v>65.12</v>
      </c>
      <c r="Q1599" s="171">
        <v>56.11</v>
      </c>
      <c r="R1599" s="171">
        <v>52.42</v>
      </c>
      <c r="S1599" s="171">
        <v>47.86</v>
      </c>
      <c r="T1599" s="171">
        <v>45.71</v>
      </c>
      <c r="U1599" s="171">
        <v>46.67</v>
      </c>
      <c r="V1599" s="171">
        <v>55</v>
      </c>
      <c r="W1599" s="171">
        <v>60.88</v>
      </c>
      <c r="X1599" s="171">
        <v>55</v>
      </c>
      <c r="Y1599" s="171">
        <v>54.92</v>
      </c>
      <c r="Z1599" s="171">
        <v>55.01</v>
      </c>
      <c r="AA1599" s="171">
        <v>43.160000000000004</v>
      </c>
      <c r="AB1599" s="171">
        <v>65.12</v>
      </c>
      <c r="AC1599" s="171">
        <v>45.71</v>
      </c>
      <c r="AD1599" s="171">
        <v>38.61</v>
      </c>
      <c r="AF1599" s="171">
        <f t="shared" si="74"/>
        <v>2012</v>
      </c>
      <c r="AG1599" s="171">
        <f t="shared" si="75"/>
        <v>7</v>
      </c>
      <c r="AH1599" s="700">
        <f>SUMIF(D$3:$AA1599,"&lt;="&amp;$AH$1)/COUNTIF(D$3:$AA1599,"&lt;="&amp;$AH$1)</f>
        <v>30.864162485242165</v>
      </c>
    </row>
    <row r="1600" spans="2:34" x14ac:dyDescent="0.25">
      <c r="B1600" s="910">
        <v>41066</v>
      </c>
      <c r="C1600" s="581">
        <f t="shared" si="73"/>
        <v>6</v>
      </c>
      <c r="D1600" s="171">
        <v>41.95</v>
      </c>
      <c r="E1600" s="171">
        <v>38.050000000000004</v>
      </c>
      <c r="F1600" s="171">
        <v>35.730000000000004</v>
      </c>
      <c r="G1600" s="171">
        <v>33.18</v>
      </c>
      <c r="H1600" s="171">
        <v>31.93</v>
      </c>
      <c r="I1600" s="171">
        <v>32.08</v>
      </c>
      <c r="J1600" s="171">
        <v>39.130000000000003</v>
      </c>
      <c r="K1600" s="171">
        <v>51.28</v>
      </c>
      <c r="L1600" s="171">
        <v>55.01</v>
      </c>
      <c r="M1600" s="171">
        <v>57.1</v>
      </c>
      <c r="N1600" s="171">
        <v>61.19</v>
      </c>
      <c r="O1600" s="171">
        <v>69.22</v>
      </c>
      <c r="P1600" s="171">
        <v>61.2</v>
      </c>
      <c r="Q1600" s="171">
        <v>58.77</v>
      </c>
      <c r="R1600" s="171">
        <v>59.800000000000004</v>
      </c>
      <c r="S1600" s="171">
        <v>53.94</v>
      </c>
      <c r="T1600" s="171">
        <v>53.02</v>
      </c>
      <c r="U1600" s="171">
        <v>53.19</v>
      </c>
      <c r="V1600" s="171">
        <v>50.94</v>
      </c>
      <c r="W1600" s="171">
        <v>50</v>
      </c>
      <c r="X1600" s="171">
        <v>46.59</v>
      </c>
      <c r="Y1600" s="171">
        <v>45.06</v>
      </c>
      <c r="Z1600" s="171">
        <v>47.61</v>
      </c>
      <c r="AA1600" s="171">
        <v>48.92</v>
      </c>
      <c r="AB1600" s="171">
        <v>69.22</v>
      </c>
      <c r="AC1600" s="171">
        <v>45.06</v>
      </c>
      <c r="AD1600" s="171">
        <v>40.96</v>
      </c>
      <c r="AF1600" s="171">
        <f t="shared" si="74"/>
        <v>2012</v>
      </c>
      <c r="AG1600" s="171">
        <f t="shared" si="75"/>
        <v>7</v>
      </c>
      <c r="AH1600" s="700">
        <f>SUMIF(D$3:$AA1600,"&lt;="&amp;$AH$1)/COUNTIF(D$3:$AA1600,"&lt;="&amp;$AH$1)</f>
        <v>30.866817611918414</v>
      </c>
    </row>
    <row r="1601" spans="2:34" x14ac:dyDescent="0.25">
      <c r="B1601" s="910">
        <v>41067</v>
      </c>
      <c r="C1601" s="581">
        <f t="shared" si="73"/>
        <v>6</v>
      </c>
      <c r="D1601" s="171">
        <v>44.94</v>
      </c>
      <c r="E1601" s="171">
        <v>32.68</v>
      </c>
      <c r="F1601" s="171">
        <v>31.12</v>
      </c>
      <c r="G1601" s="171">
        <v>27.27</v>
      </c>
      <c r="H1601" s="171">
        <v>31.68</v>
      </c>
      <c r="I1601" s="171">
        <v>27</v>
      </c>
      <c r="J1601" s="171">
        <v>32.14</v>
      </c>
      <c r="K1601" s="171">
        <v>42.44</v>
      </c>
      <c r="L1601" s="171">
        <v>49.67</v>
      </c>
      <c r="M1601" s="171">
        <v>54.19</v>
      </c>
      <c r="N1601" s="171">
        <v>60.13</v>
      </c>
      <c r="O1601" s="171">
        <v>64.41</v>
      </c>
      <c r="P1601" s="171">
        <v>64.94</v>
      </c>
      <c r="Q1601" s="171">
        <v>68.92</v>
      </c>
      <c r="R1601" s="171">
        <v>57.160000000000004</v>
      </c>
      <c r="S1601" s="171">
        <v>52.44</v>
      </c>
      <c r="T1601" s="171">
        <v>50</v>
      </c>
      <c r="U1601" s="171">
        <v>58.7</v>
      </c>
      <c r="V1601" s="171">
        <v>47.85</v>
      </c>
      <c r="W1601" s="171">
        <v>47.39</v>
      </c>
      <c r="X1601" s="171">
        <v>51.34</v>
      </c>
      <c r="Y1601" s="171">
        <v>49.550000000000004</v>
      </c>
      <c r="Z1601" s="171">
        <v>49.67</v>
      </c>
      <c r="AA1601" s="171">
        <v>42.980000000000004</v>
      </c>
      <c r="AB1601" s="171">
        <v>68.92</v>
      </c>
      <c r="AC1601" s="171">
        <v>42.44</v>
      </c>
      <c r="AD1601" s="171">
        <v>38.57</v>
      </c>
      <c r="AF1601" s="171">
        <f t="shared" si="74"/>
        <v>2012</v>
      </c>
      <c r="AG1601" s="171">
        <f t="shared" si="75"/>
        <v>7</v>
      </c>
      <c r="AH1601" s="700">
        <f>SUMIF(D$3:$AA1601,"&lt;="&amp;$AH$1)/COUNTIF(D$3:$AA1601,"&lt;="&amp;$AH$1)</f>
        <v>30.86742665487261</v>
      </c>
    </row>
    <row r="1602" spans="2:34" x14ac:dyDescent="0.25">
      <c r="B1602" s="910">
        <v>41068</v>
      </c>
      <c r="C1602" s="581">
        <f t="shared" si="73"/>
        <v>6</v>
      </c>
      <c r="D1602" s="171">
        <v>42.44</v>
      </c>
      <c r="E1602" s="171">
        <v>31.6</v>
      </c>
      <c r="F1602" s="171">
        <v>21.17</v>
      </c>
      <c r="G1602" s="171">
        <v>19.850000000000001</v>
      </c>
      <c r="H1602" s="171">
        <v>19.72</v>
      </c>
      <c r="I1602" s="171">
        <v>24.61</v>
      </c>
      <c r="J1602" s="171">
        <v>34.99</v>
      </c>
      <c r="K1602" s="171">
        <v>45.12</v>
      </c>
      <c r="L1602" s="171">
        <v>49.7</v>
      </c>
      <c r="M1602" s="171">
        <v>54.04</v>
      </c>
      <c r="N1602" s="171">
        <v>54.660000000000004</v>
      </c>
      <c r="O1602" s="171">
        <v>57.730000000000004</v>
      </c>
      <c r="P1602" s="171">
        <v>52.44</v>
      </c>
      <c r="Q1602" s="171">
        <v>52.43</v>
      </c>
      <c r="R1602" s="171">
        <v>49</v>
      </c>
      <c r="S1602" s="171">
        <v>44.94</v>
      </c>
      <c r="T1602" s="171">
        <v>42.7</v>
      </c>
      <c r="U1602" s="171">
        <v>44.94</v>
      </c>
      <c r="V1602" s="171">
        <v>45</v>
      </c>
      <c r="W1602" s="171">
        <v>45</v>
      </c>
      <c r="X1602" s="171">
        <v>40.61</v>
      </c>
      <c r="Y1602" s="171">
        <v>40.700000000000003</v>
      </c>
      <c r="Z1602" s="171">
        <v>43.97</v>
      </c>
      <c r="AA1602" s="171">
        <v>38</v>
      </c>
      <c r="AB1602" s="171">
        <v>57.730000000000004</v>
      </c>
      <c r="AC1602" s="171">
        <v>40.61</v>
      </c>
      <c r="AD1602" s="171">
        <v>33.56</v>
      </c>
      <c r="AF1602" s="171">
        <f t="shared" si="74"/>
        <v>2012</v>
      </c>
      <c r="AG1602" s="171">
        <f t="shared" si="75"/>
        <v>10</v>
      </c>
      <c r="AH1602" s="700">
        <f>SUMIF(D$3:$AA1602,"&lt;="&amp;$AH$1)/COUNTIF(D$3:$AA1602,"&lt;="&amp;$AH$1)</f>
        <v>30.867796110783861</v>
      </c>
    </row>
    <row r="1603" spans="2:34" x14ac:dyDescent="0.25">
      <c r="B1603" s="910">
        <v>41071</v>
      </c>
      <c r="C1603" s="581">
        <f t="shared" si="73"/>
        <v>6</v>
      </c>
      <c r="D1603" s="171">
        <v>43.97</v>
      </c>
      <c r="E1603" s="171">
        <v>35.17</v>
      </c>
      <c r="F1603" s="171">
        <v>32.67</v>
      </c>
      <c r="G1603" s="171">
        <v>30.900000000000002</v>
      </c>
      <c r="H1603" s="171">
        <v>20.240000000000002</v>
      </c>
      <c r="I1603" s="171">
        <v>23.490000000000002</v>
      </c>
      <c r="J1603" s="171">
        <v>39.590000000000003</v>
      </c>
      <c r="K1603" s="171">
        <v>49.910000000000004</v>
      </c>
      <c r="L1603" s="171">
        <v>60.22</v>
      </c>
      <c r="M1603" s="171">
        <v>62.870000000000005</v>
      </c>
      <c r="N1603" s="171">
        <v>61.26</v>
      </c>
      <c r="O1603" s="171">
        <v>62.120000000000005</v>
      </c>
      <c r="P1603" s="171">
        <v>59.99</v>
      </c>
      <c r="Q1603" s="171">
        <v>56.120000000000005</v>
      </c>
      <c r="R1603" s="171">
        <v>50</v>
      </c>
      <c r="S1603" s="171">
        <v>51.95</v>
      </c>
      <c r="T1603" s="171">
        <v>49.2</v>
      </c>
      <c r="U1603" s="171">
        <v>49.56</v>
      </c>
      <c r="V1603" s="171">
        <v>49.63</v>
      </c>
      <c r="W1603" s="171">
        <v>53.910000000000004</v>
      </c>
      <c r="X1603" s="171">
        <v>52.09</v>
      </c>
      <c r="Y1603" s="171">
        <v>48.97</v>
      </c>
      <c r="Z1603" s="171">
        <v>51.52</v>
      </c>
      <c r="AA1603" s="171">
        <v>48.25</v>
      </c>
      <c r="AB1603" s="171">
        <v>62.870000000000005</v>
      </c>
      <c r="AC1603" s="171">
        <v>48.97</v>
      </c>
      <c r="AD1603" s="171">
        <v>39.730000000000004</v>
      </c>
      <c r="AF1603" s="171">
        <f t="shared" si="74"/>
        <v>2012</v>
      </c>
      <c r="AG1603" s="171">
        <f t="shared" si="75"/>
        <v>6</v>
      </c>
      <c r="AH1603" s="700">
        <f>SUMIF(D$3:$AA1603,"&lt;="&amp;$AH$1)/COUNTIF(D$3:$AA1603,"&lt;="&amp;$AH$1)</f>
        <v>30.867564423501818</v>
      </c>
    </row>
    <row r="1604" spans="2:34" x14ac:dyDescent="0.25">
      <c r="B1604" s="910">
        <v>41072</v>
      </c>
      <c r="C1604" s="581">
        <f t="shared" ref="C1604:C1667" si="76">MONTH(B1604)</f>
        <v>6</v>
      </c>
      <c r="D1604" s="171">
        <v>37.57</v>
      </c>
      <c r="E1604" s="171">
        <v>35.01</v>
      </c>
      <c r="F1604" s="171">
        <v>33.96</v>
      </c>
      <c r="G1604" s="171">
        <v>30.830000000000002</v>
      </c>
      <c r="H1604" s="171">
        <v>31.060000000000002</v>
      </c>
      <c r="I1604" s="171">
        <v>34.090000000000003</v>
      </c>
      <c r="J1604" s="171">
        <v>46.01</v>
      </c>
      <c r="K1604" s="171">
        <v>58.07</v>
      </c>
      <c r="L1604" s="171">
        <v>57.93</v>
      </c>
      <c r="M1604" s="171">
        <v>56.69</v>
      </c>
      <c r="N1604" s="171">
        <v>55.96</v>
      </c>
      <c r="O1604" s="171">
        <v>60</v>
      </c>
      <c r="P1604" s="171">
        <v>60.300000000000004</v>
      </c>
      <c r="Q1604" s="171">
        <v>60.63</v>
      </c>
      <c r="R1604" s="171">
        <v>55.050000000000004</v>
      </c>
      <c r="S1604" s="171">
        <v>53.94</v>
      </c>
      <c r="T1604" s="171">
        <v>52.1</v>
      </c>
      <c r="U1604" s="171">
        <v>52.980000000000004</v>
      </c>
      <c r="V1604" s="171">
        <v>56.050000000000004</v>
      </c>
      <c r="W1604" s="171">
        <v>53.19</v>
      </c>
      <c r="X1604" s="171">
        <v>50</v>
      </c>
      <c r="Y1604" s="171">
        <v>49.99</v>
      </c>
      <c r="Z1604" s="171">
        <v>49.35</v>
      </c>
      <c r="AA1604" s="171">
        <v>47.53</v>
      </c>
      <c r="AB1604" s="171">
        <v>60.63</v>
      </c>
      <c r="AC1604" s="171">
        <v>49.35</v>
      </c>
      <c r="AD1604" s="171">
        <v>41.96</v>
      </c>
      <c r="AF1604" s="171">
        <f t="shared" ref="AF1604:AF1667" si="77">YEAR(B1604)</f>
        <v>2012</v>
      </c>
      <c r="AG1604" s="171">
        <f t="shared" ref="AG1604:AG1667" si="78">COUNTIF(D1604:AA1604,"&lt;="&amp;$AH$1)</f>
        <v>6</v>
      </c>
      <c r="AH1604" s="700">
        <f>SUMIF(D$3:$AA1604,"&lt;="&amp;$AH$1)/COUNTIF(D$3:$AA1604,"&lt;="&amp;$AH$1)</f>
        <v>30.868838681189416</v>
      </c>
    </row>
    <row r="1605" spans="2:34" x14ac:dyDescent="0.25">
      <c r="B1605" s="910">
        <v>41073</v>
      </c>
      <c r="C1605" s="581">
        <f t="shared" si="76"/>
        <v>6</v>
      </c>
      <c r="D1605" s="171">
        <v>38</v>
      </c>
      <c r="E1605" s="171">
        <v>33.630000000000003</v>
      </c>
      <c r="F1605" s="171">
        <v>31.66</v>
      </c>
      <c r="G1605" s="171">
        <v>32.660000000000004</v>
      </c>
      <c r="H1605" s="171">
        <v>33.160000000000004</v>
      </c>
      <c r="I1605" s="171">
        <v>32.590000000000003</v>
      </c>
      <c r="J1605" s="171">
        <v>43.65</v>
      </c>
      <c r="K1605" s="171">
        <v>53.88</v>
      </c>
      <c r="L1605" s="171">
        <v>61.18</v>
      </c>
      <c r="M1605" s="171">
        <v>61.1</v>
      </c>
      <c r="N1605" s="171">
        <v>64.5</v>
      </c>
      <c r="O1605" s="171">
        <v>65.739999999999995</v>
      </c>
      <c r="P1605" s="171">
        <v>61.19</v>
      </c>
      <c r="Q1605" s="171">
        <v>52.63</v>
      </c>
      <c r="R1605" s="171">
        <v>52.77</v>
      </c>
      <c r="S1605" s="171">
        <v>49.1</v>
      </c>
      <c r="T1605" s="171">
        <v>47.09</v>
      </c>
      <c r="U1605" s="171">
        <v>51.550000000000004</v>
      </c>
      <c r="V1605" s="171">
        <v>53.92</v>
      </c>
      <c r="W1605" s="171">
        <v>53.2</v>
      </c>
      <c r="X1605" s="171">
        <v>50</v>
      </c>
      <c r="Y1605" s="171">
        <v>47.550000000000004</v>
      </c>
      <c r="Z1605" s="171">
        <v>49.980000000000004</v>
      </c>
      <c r="AA1605" s="171">
        <v>54</v>
      </c>
      <c r="AB1605" s="171">
        <v>65.739999999999995</v>
      </c>
      <c r="AC1605" s="171">
        <v>47.09</v>
      </c>
      <c r="AD1605" s="171">
        <v>41.730000000000004</v>
      </c>
      <c r="AF1605" s="171">
        <f t="shared" si="77"/>
        <v>2012</v>
      </c>
      <c r="AG1605" s="171">
        <f t="shared" si="78"/>
        <v>6</v>
      </c>
      <c r="AH1605" s="700">
        <f>SUMIF(D$3:$AA1605,"&lt;="&amp;$AH$1)/COUNTIF(D$3:$AA1605,"&lt;="&amp;$AH$1)</f>
        <v>30.870051493305997</v>
      </c>
    </row>
    <row r="1606" spans="2:34" x14ac:dyDescent="0.25">
      <c r="B1606" s="910">
        <v>41074</v>
      </c>
      <c r="C1606" s="581">
        <f t="shared" si="76"/>
        <v>6</v>
      </c>
      <c r="D1606" s="171">
        <v>39.94</v>
      </c>
      <c r="E1606" s="171">
        <v>34.28</v>
      </c>
      <c r="F1606" s="171">
        <v>32.94</v>
      </c>
      <c r="G1606" s="171">
        <v>31.650000000000002</v>
      </c>
      <c r="H1606" s="171">
        <v>32.03</v>
      </c>
      <c r="I1606" s="171">
        <v>33.980000000000004</v>
      </c>
      <c r="J1606" s="171">
        <v>42.12</v>
      </c>
      <c r="K1606" s="171">
        <v>54.04</v>
      </c>
      <c r="L1606" s="171">
        <v>62.17</v>
      </c>
      <c r="M1606" s="171">
        <v>60.57</v>
      </c>
      <c r="N1606" s="171">
        <v>55.300000000000004</v>
      </c>
      <c r="O1606" s="171">
        <v>57.57</v>
      </c>
      <c r="P1606" s="171">
        <v>54.93</v>
      </c>
      <c r="Q1606" s="171">
        <v>54.99</v>
      </c>
      <c r="R1606" s="171">
        <v>52.56</v>
      </c>
      <c r="S1606" s="171">
        <v>50.46</v>
      </c>
      <c r="T1606" s="171">
        <v>54.42</v>
      </c>
      <c r="U1606" s="171">
        <v>54.94</v>
      </c>
      <c r="V1606" s="171">
        <v>53.2</v>
      </c>
      <c r="W1606" s="171">
        <v>56.4</v>
      </c>
      <c r="X1606" s="171">
        <v>52.79</v>
      </c>
      <c r="Y1606" s="171">
        <v>49.08</v>
      </c>
      <c r="Z1606" s="171">
        <v>50.07</v>
      </c>
      <c r="AA1606" s="171">
        <v>47.5</v>
      </c>
      <c r="AB1606" s="171">
        <v>62.17</v>
      </c>
      <c r="AC1606" s="171">
        <v>49.08</v>
      </c>
      <c r="AD1606" s="171">
        <v>41.7</v>
      </c>
      <c r="AF1606" s="171">
        <f t="shared" si="77"/>
        <v>2012</v>
      </c>
      <c r="AG1606" s="171">
        <f t="shared" si="78"/>
        <v>7</v>
      </c>
      <c r="AH1606" s="700">
        <f>SUMIF(D$3:$AA1606,"&lt;="&amp;$AH$1)/COUNTIF(D$3:$AA1606,"&lt;="&amp;$AH$1)</f>
        <v>30.872319682376428</v>
      </c>
    </row>
    <row r="1607" spans="2:34" x14ac:dyDescent="0.25">
      <c r="B1607" s="910">
        <v>41075</v>
      </c>
      <c r="C1607" s="581">
        <f t="shared" si="76"/>
        <v>6</v>
      </c>
      <c r="D1607" s="171">
        <v>34.96</v>
      </c>
      <c r="E1607" s="171">
        <v>31.240000000000002</v>
      </c>
      <c r="F1607" s="171">
        <v>29.13</v>
      </c>
      <c r="G1607" s="171">
        <v>24.52</v>
      </c>
      <c r="H1607" s="171">
        <v>25.36</v>
      </c>
      <c r="I1607" s="171">
        <v>28.02</v>
      </c>
      <c r="J1607" s="171">
        <v>37.06</v>
      </c>
      <c r="K1607" s="171">
        <v>46.980000000000004</v>
      </c>
      <c r="L1607" s="171">
        <v>54.5</v>
      </c>
      <c r="M1607" s="171">
        <v>53.06</v>
      </c>
      <c r="N1607" s="171">
        <v>71.7</v>
      </c>
      <c r="O1607" s="171">
        <v>71.39</v>
      </c>
      <c r="P1607" s="171">
        <v>66.010000000000005</v>
      </c>
      <c r="Q1607" s="171">
        <v>64.960000000000008</v>
      </c>
      <c r="R1607" s="171">
        <v>55</v>
      </c>
      <c r="S1607" s="171">
        <v>50.34</v>
      </c>
      <c r="T1607" s="171">
        <v>51.53</v>
      </c>
      <c r="U1607" s="171">
        <v>52.82</v>
      </c>
      <c r="V1607" s="171">
        <v>52.43</v>
      </c>
      <c r="W1607" s="171">
        <v>47</v>
      </c>
      <c r="X1607" s="171">
        <v>49.94</v>
      </c>
      <c r="Y1607" s="171">
        <v>50</v>
      </c>
      <c r="Z1607" s="171">
        <v>51.28</v>
      </c>
      <c r="AA1607" s="171">
        <v>48.56</v>
      </c>
      <c r="AB1607" s="171">
        <v>71.7</v>
      </c>
      <c r="AC1607" s="171">
        <v>46.980000000000004</v>
      </c>
      <c r="AD1607" s="171">
        <v>38.090000000000003</v>
      </c>
      <c r="AF1607" s="171">
        <f t="shared" si="77"/>
        <v>2012</v>
      </c>
      <c r="AG1607" s="171">
        <f t="shared" si="78"/>
        <v>7</v>
      </c>
      <c r="AH1607" s="700">
        <f>SUMIF(D$3:$AA1607,"&lt;="&amp;$AH$1)/COUNTIF(D$3:$AA1607,"&lt;="&amp;$AH$1)</f>
        <v>30.871892269253514</v>
      </c>
    </row>
    <row r="1608" spans="2:34" x14ac:dyDescent="0.25">
      <c r="B1608" s="910">
        <v>41078</v>
      </c>
      <c r="C1608" s="581">
        <f t="shared" si="76"/>
        <v>6</v>
      </c>
      <c r="D1608" s="171">
        <v>51.39</v>
      </c>
      <c r="E1608" s="171">
        <v>38</v>
      </c>
      <c r="F1608" s="171">
        <v>27.37</v>
      </c>
      <c r="G1608" s="171">
        <v>30.62</v>
      </c>
      <c r="H1608" s="171">
        <v>18.96</v>
      </c>
      <c r="I1608" s="171">
        <v>22.18</v>
      </c>
      <c r="J1608" s="171">
        <v>37.880000000000003</v>
      </c>
      <c r="K1608" s="171">
        <v>49.99</v>
      </c>
      <c r="L1608" s="171">
        <v>53.050000000000004</v>
      </c>
      <c r="M1608" s="171">
        <v>51.92</v>
      </c>
      <c r="N1608" s="171">
        <v>57.49</v>
      </c>
      <c r="O1608" s="171">
        <v>60</v>
      </c>
      <c r="P1608" s="171">
        <v>61.19</v>
      </c>
      <c r="Q1608" s="171">
        <v>61.19</v>
      </c>
      <c r="R1608" s="171">
        <v>55.1</v>
      </c>
      <c r="S1608" s="171">
        <v>54.01</v>
      </c>
      <c r="T1608" s="171">
        <v>51.99</v>
      </c>
      <c r="U1608" s="171">
        <v>52.44</v>
      </c>
      <c r="V1608" s="171">
        <v>53.19</v>
      </c>
      <c r="W1608" s="171">
        <v>50.72</v>
      </c>
      <c r="X1608" s="171">
        <v>54.93</v>
      </c>
      <c r="Y1608" s="171">
        <v>49.24</v>
      </c>
      <c r="Z1608" s="171">
        <v>51.75</v>
      </c>
      <c r="AA1608" s="171">
        <v>53.300000000000004</v>
      </c>
      <c r="AB1608" s="171">
        <v>61.19</v>
      </c>
      <c r="AC1608" s="171">
        <v>49.24</v>
      </c>
      <c r="AD1608" s="171">
        <v>40.47</v>
      </c>
      <c r="AF1608" s="171">
        <f t="shared" si="77"/>
        <v>2012</v>
      </c>
      <c r="AG1608" s="171">
        <f t="shared" si="78"/>
        <v>6</v>
      </c>
      <c r="AH1608" s="700">
        <f>SUMIF(D$3:$AA1608,"&lt;="&amp;$AH$1)/COUNTIF(D$3:$AA1608,"&lt;="&amp;$AH$1)</f>
        <v>30.871141472014237</v>
      </c>
    </row>
    <row r="1609" spans="2:34" x14ac:dyDescent="0.25">
      <c r="B1609" s="910">
        <v>41079</v>
      </c>
      <c r="C1609" s="581">
        <f t="shared" si="76"/>
        <v>6</v>
      </c>
      <c r="D1609" s="171">
        <v>45.64</v>
      </c>
      <c r="E1609" s="171">
        <v>38.14</v>
      </c>
      <c r="F1609" s="171">
        <v>32.72</v>
      </c>
      <c r="G1609" s="171">
        <v>32.17</v>
      </c>
      <c r="H1609" s="171">
        <v>32.54</v>
      </c>
      <c r="I1609" s="171">
        <v>32.85</v>
      </c>
      <c r="J1609" s="171">
        <v>42.22</v>
      </c>
      <c r="K1609" s="171">
        <v>55.01</v>
      </c>
      <c r="L1609" s="171">
        <v>55.01</v>
      </c>
      <c r="M1609" s="171">
        <v>54.43</v>
      </c>
      <c r="N1609" s="171">
        <v>59.44</v>
      </c>
      <c r="O1609" s="171">
        <v>56.72</v>
      </c>
      <c r="P1609" s="171">
        <v>57.160000000000004</v>
      </c>
      <c r="Q1609" s="171">
        <v>62.99</v>
      </c>
      <c r="R1609" s="171">
        <v>53.6</v>
      </c>
      <c r="S1609" s="171">
        <v>53.03</v>
      </c>
      <c r="T1609" s="171">
        <v>52.01</v>
      </c>
      <c r="U1609" s="171">
        <v>55.550000000000004</v>
      </c>
      <c r="V1609" s="171">
        <v>57.86</v>
      </c>
      <c r="W1609" s="171">
        <v>57.04</v>
      </c>
      <c r="X1609" s="171">
        <v>50.99</v>
      </c>
      <c r="Y1609" s="171">
        <v>48.96</v>
      </c>
      <c r="Z1609" s="171">
        <v>52</v>
      </c>
      <c r="AA1609" s="171">
        <v>54.96</v>
      </c>
      <c r="AB1609" s="171">
        <v>62.99</v>
      </c>
      <c r="AC1609" s="171">
        <v>48.96</v>
      </c>
      <c r="AD1609" s="171">
        <v>43.18</v>
      </c>
      <c r="AF1609" s="171">
        <f t="shared" si="77"/>
        <v>2012</v>
      </c>
      <c r="AG1609" s="171">
        <f t="shared" si="78"/>
        <v>6</v>
      </c>
      <c r="AH1609" s="700">
        <f>SUMIF(D$3:$AA1609,"&lt;="&amp;$AH$1)/COUNTIF(D$3:$AA1609,"&lt;="&amp;$AH$1)</f>
        <v>30.873007342144032</v>
      </c>
    </row>
    <row r="1610" spans="2:34" x14ac:dyDescent="0.25">
      <c r="B1610" s="910">
        <v>41080</v>
      </c>
      <c r="C1610" s="581">
        <f t="shared" si="76"/>
        <v>6</v>
      </c>
      <c r="D1610" s="171">
        <v>51.86</v>
      </c>
      <c r="E1610" s="171">
        <v>36.94</v>
      </c>
      <c r="F1610" s="171">
        <v>34.770000000000003</v>
      </c>
      <c r="G1610" s="171">
        <v>33.29</v>
      </c>
      <c r="H1610" s="171">
        <v>33.81</v>
      </c>
      <c r="I1610" s="171">
        <v>34.69</v>
      </c>
      <c r="J1610" s="171">
        <v>43.94</v>
      </c>
      <c r="K1610" s="171">
        <v>59.07</v>
      </c>
      <c r="L1610" s="171">
        <v>61.18</v>
      </c>
      <c r="M1610" s="171">
        <v>64.95</v>
      </c>
      <c r="N1610" s="171">
        <v>63.82</v>
      </c>
      <c r="O1610" s="171">
        <v>64.36</v>
      </c>
      <c r="P1610" s="171">
        <v>61.18</v>
      </c>
      <c r="Q1610" s="171">
        <v>63.120000000000005</v>
      </c>
      <c r="R1610" s="171">
        <v>60.02</v>
      </c>
      <c r="S1610" s="171">
        <v>55.6</v>
      </c>
      <c r="T1610" s="171">
        <v>53.28</v>
      </c>
      <c r="U1610" s="171">
        <v>55.97</v>
      </c>
      <c r="V1610" s="171">
        <v>53.2</v>
      </c>
      <c r="W1610" s="171">
        <v>51.910000000000004</v>
      </c>
      <c r="X1610" s="171">
        <v>55.01</v>
      </c>
      <c r="Y1610" s="171">
        <v>47.44</v>
      </c>
      <c r="Z1610" s="171">
        <v>48</v>
      </c>
      <c r="AA1610" s="171">
        <v>48</v>
      </c>
      <c r="AB1610" s="171">
        <v>64.95</v>
      </c>
      <c r="AC1610" s="171">
        <v>47.44</v>
      </c>
      <c r="AD1610" s="171">
        <v>43.9</v>
      </c>
      <c r="AF1610" s="171">
        <f t="shared" si="77"/>
        <v>2012</v>
      </c>
      <c r="AG1610" s="171">
        <f t="shared" si="78"/>
        <v>5</v>
      </c>
      <c r="AH1610" s="700">
        <f>SUMIF(D$3:$AA1610,"&lt;="&amp;$AH$1)/COUNTIF(D$3:$AA1610,"&lt;="&amp;$AH$1)</f>
        <v>30.874411743119392</v>
      </c>
    </row>
    <row r="1611" spans="2:34" x14ac:dyDescent="0.25">
      <c r="B1611" s="910">
        <v>41081</v>
      </c>
      <c r="C1611" s="581">
        <f t="shared" si="76"/>
        <v>6</v>
      </c>
      <c r="D1611" s="171">
        <v>46.08</v>
      </c>
      <c r="E1611" s="171">
        <v>37.68</v>
      </c>
      <c r="F1611" s="171">
        <v>35.800000000000004</v>
      </c>
      <c r="G1611" s="171">
        <v>34.5</v>
      </c>
      <c r="H1611" s="171">
        <v>33.78</v>
      </c>
      <c r="I1611" s="171">
        <v>35.050000000000004</v>
      </c>
      <c r="J1611" s="171">
        <v>41.480000000000004</v>
      </c>
      <c r="K1611" s="171">
        <v>54.050000000000004</v>
      </c>
      <c r="L1611" s="171">
        <v>55.88</v>
      </c>
      <c r="M1611" s="171">
        <v>60.51</v>
      </c>
      <c r="N1611" s="171">
        <v>61.19</v>
      </c>
      <c r="O1611" s="171">
        <v>62.56</v>
      </c>
      <c r="P1611" s="171">
        <v>60.42</v>
      </c>
      <c r="Q1611" s="171">
        <v>56.04</v>
      </c>
      <c r="R1611" s="171">
        <v>54.43</v>
      </c>
      <c r="S1611" s="171">
        <v>54.1</v>
      </c>
      <c r="T1611" s="171">
        <v>52.02</v>
      </c>
      <c r="U1611" s="171">
        <v>53.03</v>
      </c>
      <c r="V1611" s="171">
        <v>54.01</v>
      </c>
      <c r="W1611" s="171">
        <v>51.95</v>
      </c>
      <c r="X1611" s="171">
        <v>59.96</v>
      </c>
      <c r="Y1611" s="171">
        <v>52.620000000000005</v>
      </c>
      <c r="Z1611" s="171">
        <v>51.4</v>
      </c>
      <c r="AA1611" s="171">
        <v>48.410000000000004</v>
      </c>
      <c r="AB1611" s="171">
        <v>62.56</v>
      </c>
      <c r="AC1611" s="171">
        <v>51.4</v>
      </c>
      <c r="AD1611" s="171">
        <v>44.230000000000004</v>
      </c>
      <c r="AF1611" s="171">
        <f t="shared" si="77"/>
        <v>2012</v>
      </c>
      <c r="AG1611" s="171">
        <f t="shared" si="78"/>
        <v>6</v>
      </c>
      <c r="AH1611" s="700">
        <f>SUMIF(D$3:$AA1611,"&lt;="&amp;$AH$1)/COUNTIF(D$3:$AA1611,"&lt;="&amp;$AH$1)</f>
        <v>30.876835888783045</v>
      </c>
    </row>
    <row r="1612" spans="2:34" x14ac:dyDescent="0.25">
      <c r="B1612" s="910">
        <v>41082</v>
      </c>
      <c r="C1612" s="581">
        <f t="shared" si="76"/>
        <v>6</v>
      </c>
      <c r="D1612" s="171">
        <v>37.03</v>
      </c>
      <c r="E1612" s="171">
        <v>34.08</v>
      </c>
      <c r="F1612" s="171">
        <v>27.080000000000002</v>
      </c>
      <c r="G1612" s="171">
        <v>20.8</v>
      </c>
      <c r="H1612" s="171">
        <v>20.78</v>
      </c>
      <c r="I1612" s="171">
        <v>30.150000000000002</v>
      </c>
      <c r="J1612" s="171">
        <v>42.9</v>
      </c>
      <c r="K1612" s="171">
        <v>44.7</v>
      </c>
      <c r="L1612" s="171">
        <v>52.52</v>
      </c>
      <c r="M1612" s="171">
        <v>52</v>
      </c>
      <c r="N1612" s="171">
        <v>60.92</v>
      </c>
      <c r="O1612" s="171">
        <v>64.930000000000007</v>
      </c>
      <c r="P1612" s="171">
        <v>65.260000000000005</v>
      </c>
      <c r="Q1612" s="171">
        <v>60</v>
      </c>
      <c r="R1612" s="171">
        <v>53.2</v>
      </c>
      <c r="S1612" s="171">
        <v>47.32</v>
      </c>
      <c r="T1612" s="171">
        <v>43.87</v>
      </c>
      <c r="U1612" s="171">
        <v>44.93</v>
      </c>
      <c r="V1612" s="171">
        <v>44.980000000000004</v>
      </c>
      <c r="W1612" s="171">
        <v>45.96</v>
      </c>
      <c r="X1612" s="171">
        <v>47.7</v>
      </c>
      <c r="Y1612" s="171">
        <v>43.410000000000004</v>
      </c>
      <c r="Z1612" s="171">
        <v>46.63</v>
      </c>
      <c r="AA1612" s="171">
        <v>44.72</v>
      </c>
      <c r="AB1612" s="171">
        <v>65.260000000000005</v>
      </c>
      <c r="AC1612" s="171">
        <v>43.410000000000004</v>
      </c>
      <c r="AD1612" s="171">
        <v>36.67</v>
      </c>
      <c r="AF1612" s="171">
        <f t="shared" si="77"/>
        <v>2012</v>
      </c>
      <c r="AG1612" s="171">
        <f t="shared" si="78"/>
        <v>6</v>
      </c>
      <c r="AH1612" s="700">
        <f>SUMIF(D$3:$AA1612,"&lt;="&amp;$AH$1)/COUNTIF(D$3:$AA1612,"&lt;="&amp;$AH$1)</f>
        <v>30.875710933489902</v>
      </c>
    </row>
    <row r="1613" spans="2:34" x14ac:dyDescent="0.25">
      <c r="B1613" s="910">
        <v>41085</v>
      </c>
      <c r="C1613" s="581">
        <f t="shared" si="76"/>
        <v>6</v>
      </c>
      <c r="D1613" s="171">
        <v>17.87</v>
      </c>
      <c r="E1613" s="171">
        <v>11.11</v>
      </c>
      <c r="F1613" s="171">
        <v>8.67</v>
      </c>
      <c r="G1613" s="171">
        <v>9.5</v>
      </c>
      <c r="H1613" s="171">
        <v>10</v>
      </c>
      <c r="I1613" s="171">
        <v>12.3</v>
      </c>
      <c r="J1613" s="171">
        <v>30.5</v>
      </c>
      <c r="K1613" s="171">
        <v>42.82</v>
      </c>
      <c r="L1613" s="171">
        <v>47.44</v>
      </c>
      <c r="M1613" s="171">
        <v>50</v>
      </c>
      <c r="N1613" s="171">
        <v>53.19</v>
      </c>
      <c r="O1613" s="171">
        <v>57.47</v>
      </c>
      <c r="P1613" s="171">
        <v>61.27</v>
      </c>
      <c r="Q1613" s="171">
        <v>55</v>
      </c>
      <c r="R1613" s="171">
        <v>53.19</v>
      </c>
      <c r="S1613" s="171">
        <v>50.71</v>
      </c>
      <c r="T1613" s="171">
        <v>49.94</v>
      </c>
      <c r="U1613" s="171">
        <v>51.5</v>
      </c>
      <c r="V1613" s="171">
        <v>52.730000000000004</v>
      </c>
      <c r="W1613" s="171">
        <v>49.56</v>
      </c>
      <c r="X1613" s="171">
        <v>43.32</v>
      </c>
      <c r="Y1613" s="171">
        <v>42.71</v>
      </c>
      <c r="Z1613" s="171">
        <v>46.92</v>
      </c>
      <c r="AA1613" s="171">
        <v>45.63</v>
      </c>
      <c r="AB1613" s="171">
        <v>61.27</v>
      </c>
      <c r="AC1613" s="171">
        <v>42.71</v>
      </c>
      <c r="AD1613" s="171">
        <v>26.78</v>
      </c>
      <c r="AF1613" s="171">
        <f t="shared" si="77"/>
        <v>2012</v>
      </c>
      <c r="AG1613" s="171">
        <f t="shared" si="78"/>
        <v>7</v>
      </c>
      <c r="AH1613" s="700">
        <f>SUMIF(D$3:$AA1613,"&lt;="&amp;$AH$1)/COUNTIF(D$3:$AA1613,"&lt;="&amp;$AH$1)</f>
        <v>30.867195836998079</v>
      </c>
    </row>
    <row r="1614" spans="2:34" x14ac:dyDescent="0.25">
      <c r="B1614" s="910">
        <v>41086</v>
      </c>
      <c r="C1614" s="581">
        <f t="shared" si="76"/>
        <v>6</v>
      </c>
      <c r="D1614" s="171">
        <v>41.46</v>
      </c>
      <c r="E1614" s="171">
        <v>30.96</v>
      </c>
      <c r="F1614" s="171">
        <v>30.96</v>
      </c>
      <c r="G1614" s="171">
        <v>30.96</v>
      </c>
      <c r="H1614" s="171">
        <v>30.96</v>
      </c>
      <c r="I1614" s="171">
        <v>26.25</v>
      </c>
      <c r="J1614" s="171">
        <v>36.21</v>
      </c>
      <c r="K1614" s="171">
        <v>47.25</v>
      </c>
      <c r="L1614" s="171">
        <v>52.5</v>
      </c>
      <c r="M1614" s="171">
        <v>53.19</v>
      </c>
      <c r="N1614" s="171">
        <v>55.06</v>
      </c>
      <c r="O1614" s="171">
        <v>55</v>
      </c>
      <c r="P1614" s="171">
        <v>61.19</v>
      </c>
      <c r="Q1614" s="171">
        <v>55.07</v>
      </c>
      <c r="R1614" s="171">
        <v>53.2</v>
      </c>
      <c r="S1614" s="171">
        <v>52.08</v>
      </c>
      <c r="T1614" s="171">
        <v>45.97</v>
      </c>
      <c r="U1614" s="171">
        <v>51.36</v>
      </c>
      <c r="V1614" s="171">
        <v>50.9</v>
      </c>
      <c r="W1614" s="171">
        <v>50</v>
      </c>
      <c r="X1614" s="171">
        <v>52.32</v>
      </c>
      <c r="Y1614" s="171">
        <v>45.980000000000004</v>
      </c>
      <c r="Z1614" s="171">
        <v>49.53</v>
      </c>
      <c r="AA1614" s="171">
        <v>51</v>
      </c>
      <c r="AB1614" s="171">
        <v>61.19</v>
      </c>
      <c r="AC1614" s="171">
        <v>45.97</v>
      </c>
      <c r="AD1614" s="171">
        <v>39.49</v>
      </c>
      <c r="AF1614" s="171">
        <f t="shared" si="77"/>
        <v>2012</v>
      </c>
      <c r="AG1614" s="171">
        <f t="shared" si="78"/>
        <v>7</v>
      </c>
      <c r="AH1614" s="700">
        <f>SUMIF(D$3:$AA1614,"&lt;="&amp;$AH$1)/COUNTIF(D$3:$AA1614,"&lt;="&amp;$AH$1)</f>
        <v>30.868052157351247</v>
      </c>
    </row>
    <row r="1615" spans="2:34" x14ac:dyDescent="0.25">
      <c r="B1615" s="910">
        <v>41087</v>
      </c>
      <c r="C1615" s="581">
        <f t="shared" si="76"/>
        <v>6</v>
      </c>
      <c r="D1615" s="171">
        <v>64.94</v>
      </c>
      <c r="E1615" s="171">
        <v>47.43</v>
      </c>
      <c r="F1615" s="171">
        <v>38.880000000000003</v>
      </c>
      <c r="G1615" s="171">
        <v>35</v>
      </c>
      <c r="H1615" s="171">
        <v>32.619999999999997</v>
      </c>
      <c r="I1615" s="171">
        <v>31.28</v>
      </c>
      <c r="J1615" s="171">
        <v>40.75</v>
      </c>
      <c r="K1615" s="171">
        <v>54.050000000000004</v>
      </c>
      <c r="L1615" s="171">
        <v>53.28</v>
      </c>
      <c r="M1615" s="171">
        <v>56.63</v>
      </c>
      <c r="N1615" s="171">
        <v>55.75</v>
      </c>
      <c r="O1615" s="171">
        <v>60.1</v>
      </c>
      <c r="P1615" s="171">
        <v>59.300000000000004</v>
      </c>
      <c r="Q1615" s="171">
        <v>61.19</v>
      </c>
      <c r="R1615" s="171">
        <v>58.56</v>
      </c>
      <c r="S1615" s="171">
        <v>55</v>
      </c>
      <c r="T1615" s="171">
        <v>49.77</v>
      </c>
      <c r="U1615" s="171">
        <v>52.08</v>
      </c>
      <c r="V1615" s="171">
        <v>56.27</v>
      </c>
      <c r="W1615" s="171">
        <v>55.06</v>
      </c>
      <c r="X1615" s="171">
        <v>53.980000000000004</v>
      </c>
      <c r="Y1615" s="171">
        <v>53.65</v>
      </c>
      <c r="Z1615" s="171">
        <v>54.93</v>
      </c>
      <c r="AA1615" s="171">
        <v>48.32</v>
      </c>
      <c r="AB1615" s="171">
        <v>61.19</v>
      </c>
      <c r="AC1615" s="171">
        <v>49.77</v>
      </c>
      <c r="AD1615" s="171">
        <v>46.32</v>
      </c>
      <c r="AF1615" s="171">
        <f t="shared" si="77"/>
        <v>2012</v>
      </c>
      <c r="AG1615" s="171">
        <f t="shared" si="78"/>
        <v>5</v>
      </c>
      <c r="AH1615" s="700">
        <f>SUMIF(D$3:$AA1615,"&lt;="&amp;$AH$1)/COUNTIF(D$3:$AA1615,"&lt;="&amp;$AH$1)</f>
        <v>30.86982352079686</v>
      </c>
    </row>
    <row r="1616" spans="2:34" x14ac:dyDescent="0.25">
      <c r="B1616" s="910">
        <v>41088</v>
      </c>
      <c r="C1616" s="581">
        <f t="shared" si="76"/>
        <v>6</v>
      </c>
      <c r="D1616" s="171">
        <v>47.53</v>
      </c>
      <c r="E1616" s="171">
        <v>38</v>
      </c>
      <c r="F1616" s="171">
        <v>36.369999999999997</v>
      </c>
      <c r="G1616" s="171">
        <v>35.46</v>
      </c>
      <c r="H1616" s="171">
        <v>31.82</v>
      </c>
      <c r="I1616" s="171">
        <v>34.97</v>
      </c>
      <c r="J1616" s="171">
        <v>44.12</v>
      </c>
      <c r="K1616" s="171">
        <v>53.58</v>
      </c>
      <c r="L1616" s="171">
        <v>61.24</v>
      </c>
      <c r="M1616" s="171">
        <v>61.26</v>
      </c>
      <c r="N1616" s="171">
        <v>62.11</v>
      </c>
      <c r="O1616" s="171">
        <v>63.2</v>
      </c>
      <c r="P1616" s="171">
        <v>55.22</v>
      </c>
      <c r="Q1616" s="171">
        <v>52.52</v>
      </c>
      <c r="R1616" s="171">
        <v>50</v>
      </c>
      <c r="S1616" s="171">
        <v>49.56</v>
      </c>
      <c r="T1616" s="171">
        <v>48.93</v>
      </c>
      <c r="U1616" s="171">
        <v>51.06</v>
      </c>
      <c r="V1616" s="171">
        <v>52</v>
      </c>
      <c r="W1616" s="171">
        <v>50</v>
      </c>
      <c r="X1616" s="171">
        <v>48.31</v>
      </c>
      <c r="Y1616" s="171">
        <v>46.03</v>
      </c>
      <c r="Z1616" s="171">
        <v>50.84</v>
      </c>
      <c r="AA1616" s="171">
        <v>50</v>
      </c>
      <c r="AB1616" s="171">
        <v>63.2</v>
      </c>
      <c r="AC1616" s="171">
        <v>46.03</v>
      </c>
      <c r="AD1616" s="171">
        <v>43.09</v>
      </c>
      <c r="AF1616" s="171">
        <f t="shared" si="77"/>
        <v>2012</v>
      </c>
      <c r="AG1616" s="171">
        <f t="shared" si="78"/>
        <v>5</v>
      </c>
      <c r="AH1616" s="700">
        <f>SUMIF(D$3:$AA1616,"&lt;="&amp;$AH$1)/COUNTIF(D$3:$AA1616,"&lt;="&amp;$AH$1)</f>
        <v>30.871453773515988</v>
      </c>
    </row>
    <row r="1617" spans="2:34" x14ac:dyDescent="0.25">
      <c r="B1617" s="910">
        <v>41089</v>
      </c>
      <c r="C1617" s="581">
        <f t="shared" si="76"/>
        <v>6</v>
      </c>
      <c r="D1617" s="171">
        <v>42.49</v>
      </c>
      <c r="E1617" s="171">
        <v>36.61</v>
      </c>
      <c r="F1617" s="171">
        <v>32.450000000000003</v>
      </c>
      <c r="G1617" s="171">
        <v>32.770000000000003</v>
      </c>
      <c r="H1617" s="171">
        <v>34.61</v>
      </c>
      <c r="I1617" s="171">
        <v>35.14</v>
      </c>
      <c r="J1617" s="171">
        <v>42.97</v>
      </c>
      <c r="K1617" s="171">
        <v>53.2</v>
      </c>
      <c r="L1617" s="171">
        <v>60.29</v>
      </c>
      <c r="M1617" s="171">
        <v>60</v>
      </c>
      <c r="N1617" s="171">
        <v>61.08</v>
      </c>
      <c r="O1617" s="171">
        <v>61.28</v>
      </c>
      <c r="P1617" s="171">
        <v>61.27</v>
      </c>
      <c r="Q1617" s="171">
        <v>56.5</v>
      </c>
      <c r="R1617" s="171">
        <v>58.1</v>
      </c>
      <c r="S1617" s="171">
        <v>50</v>
      </c>
      <c r="T1617" s="171">
        <v>45.96</v>
      </c>
      <c r="U1617" s="171">
        <v>52.01</v>
      </c>
      <c r="V1617" s="171">
        <v>53.03</v>
      </c>
      <c r="W1617" s="171">
        <v>53.01</v>
      </c>
      <c r="X1617" s="171">
        <v>51.82</v>
      </c>
      <c r="Y1617" s="171">
        <v>45.92</v>
      </c>
      <c r="Z1617" s="171">
        <v>51.2</v>
      </c>
      <c r="AA1617" s="171">
        <v>50</v>
      </c>
      <c r="AB1617" s="171">
        <v>61.28</v>
      </c>
      <c r="AC1617" s="171">
        <v>45.92</v>
      </c>
      <c r="AD1617" s="171">
        <v>42.43</v>
      </c>
      <c r="AF1617" s="171">
        <f t="shared" si="77"/>
        <v>2012</v>
      </c>
      <c r="AG1617" s="171">
        <f t="shared" si="78"/>
        <v>6</v>
      </c>
      <c r="AH1617" s="700">
        <f>SUMIF(D$3:$AA1617,"&lt;="&amp;$AH$1)/COUNTIF(D$3:$AA1617,"&lt;="&amp;$AH$1)</f>
        <v>30.873564059413326</v>
      </c>
    </row>
    <row r="1618" spans="2:34" x14ac:dyDescent="0.25">
      <c r="B1618" s="910">
        <v>41092</v>
      </c>
      <c r="C1618" s="581">
        <f t="shared" si="76"/>
        <v>7</v>
      </c>
      <c r="D1618" s="171">
        <v>30.810000000000002</v>
      </c>
      <c r="E1618" s="171">
        <v>21.89</v>
      </c>
      <c r="F1618" s="171">
        <v>30.810000000000002</v>
      </c>
      <c r="G1618" s="171">
        <v>27.46</v>
      </c>
      <c r="H1618" s="171">
        <v>26.25</v>
      </c>
      <c r="I1618" s="171">
        <v>21.17</v>
      </c>
      <c r="J1618" s="171">
        <v>40.32</v>
      </c>
      <c r="K1618" s="171">
        <v>48.95</v>
      </c>
      <c r="L1618" s="171">
        <v>52.09</v>
      </c>
      <c r="M1618" s="171">
        <v>53.03</v>
      </c>
      <c r="N1618" s="171">
        <v>55.33</v>
      </c>
      <c r="O1618" s="171">
        <v>58.92</v>
      </c>
      <c r="P1618" s="171">
        <v>58.31</v>
      </c>
      <c r="Q1618" s="171">
        <v>56.72</v>
      </c>
      <c r="R1618" s="171">
        <v>55.14</v>
      </c>
      <c r="S1618" s="171">
        <v>54.02</v>
      </c>
      <c r="T1618" s="171">
        <v>53.08</v>
      </c>
      <c r="U1618" s="171">
        <v>55.93</v>
      </c>
      <c r="V1618" s="171">
        <v>58.910000000000004</v>
      </c>
      <c r="W1618" s="171">
        <v>53.02</v>
      </c>
      <c r="X1618" s="171">
        <v>47.99</v>
      </c>
      <c r="Y1618" s="171">
        <v>46.46</v>
      </c>
      <c r="Z1618" s="171">
        <v>48.96</v>
      </c>
      <c r="AA1618" s="171">
        <v>43.52</v>
      </c>
      <c r="AB1618" s="171">
        <v>58.92</v>
      </c>
      <c r="AC1618" s="171">
        <v>46.46</v>
      </c>
      <c r="AD1618" s="171">
        <v>36.22</v>
      </c>
      <c r="AF1618" s="171">
        <f t="shared" si="77"/>
        <v>2012</v>
      </c>
      <c r="AG1618" s="171">
        <f t="shared" si="78"/>
        <v>7</v>
      </c>
      <c r="AH1618" s="700">
        <f>SUMIF(D$3:$AA1618,"&lt;="&amp;$AH$1)/COUNTIF(D$3:$AA1618,"&lt;="&amp;$AH$1)</f>
        <v>30.872291209594994</v>
      </c>
    </row>
    <row r="1619" spans="2:34" x14ac:dyDescent="0.25">
      <c r="B1619" s="910">
        <v>41093</v>
      </c>
      <c r="C1619" s="581">
        <f t="shared" si="76"/>
        <v>7</v>
      </c>
      <c r="D1619" s="171">
        <v>36.99</v>
      </c>
      <c r="E1619" s="171">
        <v>35.090000000000003</v>
      </c>
      <c r="F1619" s="171">
        <v>31.77</v>
      </c>
      <c r="G1619" s="171">
        <v>28.04</v>
      </c>
      <c r="H1619" s="171">
        <v>25.28</v>
      </c>
      <c r="I1619" s="171">
        <v>31.5</v>
      </c>
      <c r="J1619" s="171">
        <v>41.53</v>
      </c>
      <c r="K1619" s="171">
        <v>55</v>
      </c>
      <c r="L1619" s="171">
        <v>59.5</v>
      </c>
      <c r="M1619" s="171">
        <v>58.94</v>
      </c>
      <c r="N1619" s="171">
        <v>60.06</v>
      </c>
      <c r="O1619" s="171">
        <v>61.19</v>
      </c>
      <c r="P1619" s="171">
        <v>57.86</v>
      </c>
      <c r="Q1619" s="171">
        <v>61.06</v>
      </c>
      <c r="R1619" s="171">
        <v>59.01</v>
      </c>
      <c r="S1619" s="171">
        <v>56.01</v>
      </c>
      <c r="T1619" s="171">
        <v>53.03</v>
      </c>
      <c r="U1619" s="171">
        <v>55.1</v>
      </c>
      <c r="V1619" s="171">
        <v>53.480000000000004</v>
      </c>
      <c r="W1619" s="171">
        <v>56.29</v>
      </c>
      <c r="X1619" s="171">
        <v>61.19</v>
      </c>
      <c r="Y1619" s="171">
        <v>55.03</v>
      </c>
      <c r="Z1619" s="171">
        <v>53.19</v>
      </c>
      <c r="AA1619" s="171">
        <v>44.99</v>
      </c>
      <c r="AB1619" s="171">
        <v>61.19</v>
      </c>
      <c r="AC1619" s="171">
        <v>53.03</v>
      </c>
      <c r="AD1619" s="171">
        <v>41.63</v>
      </c>
      <c r="AF1619" s="171">
        <f t="shared" si="77"/>
        <v>2012</v>
      </c>
      <c r="AG1619" s="171">
        <f t="shared" si="78"/>
        <v>7</v>
      </c>
      <c r="AH1619" s="700">
        <f>SUMIF(D$3:$AA1619,"&lt;="&amp;$AH$1)/COUNTIF(D$3:$AA1619,"&lt;="&amp;$AH$1)</f>
        <v>30.873321394635042</v>
      </c>
    </row>
    <row r="1620" spans="2:34" x14ac:dyDescent="0.25">
      <c r="B1620" s="910">
        <v>41094</v>
      </c>
      <c r="C1620" s="581">
        <f t="shared" si="76"/>
        <v>7</v>
      </c>
      <c r="D1620" s="171">
        <v>48.93</v>
      </c>
      <c r="E1620" s="171">
        <v>37.92</v>
      </c>
      <c r="F1620" s="171">
        <v>35.020000000000003</v>
      </c>
      <c r="G1620" s="171">
        <v>33.1</v>
      </c>
      <c r="H1620" s="171">
        <v>32.26</v>
      </c>
      <c r="I1620" s="171">
        <v>34.74</v>
      </c>
      <c r="J1620" s="171">
        <v>42.44</v>
      </c>
      <c r="K1620" s="171">
        <v>52.25</v>
      </c>
      <c r="L1620" s="171">
        <v>53.53</v>
      </c>
      <c r="M1620" s="171">
        <v>55.01</v>
      </c>
      <c r="N1620" s="171">
        <v>57.660000000000004</v>
      </c>
      <c r="O1620" s="171">
        <v>58.660000000000004</v>
      </c>
      <c r="P1620" s="171">
        <v>64</v>
      </c>
      <c r="Q1620" s="171">
        <v>63.93</v>
      </c>
      <c r="R1620" s="171">
        <v>55</v>
      </c>
      <c r="S1620" s="171">
        <v>53.2</v>
      </c>
      <c r="T1620" s="171">
        <v>53.25</v>
      </c>
      <c r="U1620" s="171">
        <v>55.01</v>
      </c>
      <c r="V1620" s="171">
        <v>55.33</v>
      </c>
      <c r="W1620" s="171">
        <v>53.49</v>
      </c>
      <c r="X1620" s="171">
        <v>59.370000000000005</v>
      </c>
      <c r="Y1620" s="171">
        <v>54.33</v>
      </c>
      <c r="Z1620" s="171">
        <v>51.81</v>
      </c>
      <c r="AA1620" s="171">
        <v>53.61</v>
      </c>
      <c r="AB1620" s="171">
        <v>64</v>
      </c>
      <c r="AC1620" s="171">
        <v>51.81</v>
      </c>
      <c r="AD1620" s="171">
        <v>44.65</v>
      </c>
      <c r="AF1620" s="171">
        <f t="shared" si="77"/>
        <v>2012</v>
      </c>
      <c r="AG1620" s="171">
        <f t="shared" si="78"/>
        <v>6</v>
      </c>
      <c r="AH1620" s="700">
        <f>SUMIF(D$3:$AA1620,"&lt;="&amp;$AH$1)/COUNTIF(D$3:$AA1620,"&lt;="&amp;$AH$1)</f>
        <v>30.875530795645648</v>
      </c>
    </row>
    <row r="1621" spans="2:34" x14ac:dyDescent="0.25">
      <c r="B1621" s="910">
        <v>41095</v>
      </c>
      <c r="C1621" s="581">
        <f t="shared" si="76"/>
        <v>7</v>
      </c>
      <c r="D1621" s="171">
        <v>46.53</v>
      </c>
      <c r="E1621" s="171">
        <v>34.94</v>
      </c>
      <c r="F1621" s="171">
        <v>31.01</v>
      </c>
      <c r="G1621" s="171">
        <v>31.01</v>
      </c>
      <c r="H1621" s="171">
        <v>33.97</v>
      </c>
      <c r="I1621" s="171">
        <v>33.86</v>
      </c>
      <c r="J1621" s="171">
        <v>39.910000000000004</v>
      </c>
      <c r="K1621" s="171">
        <v>50</v>
      </c>
      <c r="L1621" s="171">
        <v>56.65</v>
      </c>
      <c r="M1621" s="171">
        <v>57.9</v>
      </c>
      <c r="N1621" s="171">
        <v>56.07</v>
      </c>
      <c r="O1621" s="171">
        <v>58.92</v>
      </c>
      <c r="P1621" s="171">
        <v>59.93</v>
      </c>
      <c r="Q1621" s="171">
        <v>55.980000000000004</v>
      </c>
      <c r="R1621" s="171">
        <v>55.43</v>
      </c>
      <c r="S1621" s="171">
        <v>55.99</v>
      </c>
      <c r="T1621" s="171">
        <v>55.5</v>
      </c>
      <c r="U1621" s="171">
        <v>53.18</v>
      </c>
      <c r="V1621" s="171">
        <v>57.53</v>
      </c>
      <c r="W1621" s="171">
        <v>54.93</v>
      </c>
      <c r="X1621" s="171">
        <v>49.26</v>
      </c>
      <c r="Y1621" s="171">
        <v>46.72</v>
      </c>
      <c r="Z1621" s="171">
        <v>50</v>
      </c>
      <c r="AA1621" s="171">
        <v>52.03</v>
      </c>
      <c r="AB1621" s="171">
        <v>59.93</v>
      </c>
      <c r="AC1621" s="171">
        <v>46.72</v>
      </c>
      <c r="AD1621" s="171">
        <v>41.6</v>
      </c>
      <c r="AF1621" s="171">
        <f t="shared" si="77"/>
        <v>2012</v>
      </c>
      <c r="AG1621" s="171">
        <f t="shared" si="78"/>
        <v>6</v>
      </c>
      <c r="AH1621" s="700">
        <f>SUMIF(D$3:$AA1621,"&lt;="&amp;$AH$1)/COUNTIF(D$3:$AA1621,"&lt;="&amp;$AH$1)</f>
        <v>30.876950996859851</v>
      </c>
    </row>
    <row r="1622" spans="2:34" x14ac:dyDescent="0.25">
      <c r="B1622" s="910">
        <v>41096</v>
      </c>
      <c r="C1622" s="581">
        <f t="shared" si="76"/>
        <v>7</v>
      </c>
      <c r="D1622" s="171">
        <v>48</v>
      </c>
      <c r="E1622" s="171">
        <v>35.07</v>
      </c>
      <c r="F1622" s="171">
        <v>31.11</v>
      </c>
      <c r="G1622" s="171">
        <v>34</v>
      </c>
      <c r="H1622" s="171">
        <v>31.11</v>
      </c>
      <c r="I1622" s="171">
        <v>33.22</v>
      </c>
      <c r="J1622" s="171">
        <v>41.53</v>
      </c>
      <c r="K1622" s="171">
        <v>53.11</v>
      </c>
      <c r="L1622" s="171">
        <v>57.910000000000004</v>
      </c>
      <c r="M1622" s="171">
        <v>61.97</v>
      </c>
      <c r="N1622" s="171">
        <v>68.47</v>
      </c>
      <c r="O1622" s="171">
        <v>72.06</v>
      </c>
      <c r="P1622" s="171">
        <v>65</v>
      </c>
      <c r="Q1622" s="171">
        <v>57.04</v>
      </c>
      <c r="R1622" s="171">
        <v>53.19</v>
      </c>
      <c r="S1622" s="171">
        <v>51.35</v>
      </c>
      <c r="T1622" s="171">
        <v>48.72</v>
      </c>
      <c r="U1622" s="171">
        <v>49.36</v>
      </c>
      <c r="V1622" s="171">
        <v>52.44</v>
      </c>
      <c r="W1622" s="171">
        <v>52.81</v>
      </c>
      <c r="X1622" s="171">
        <v>54.93</v>
      </c>
      <c r="Y1622" s="171">
        <v>49.77</v>
      </c>
      <c r="Z1622" s="171">
        <v>53.11</v>
      </c>
      <c r="AA1622" s="171">
        <v>46.4</v>
      </c>
      <c r="AB1622" s="171">
        <v>72.06</v>
      </c>
      <c r="AC1622" s="171">
        <v>48.72</v>
      </c>
      <c r="AD1622" s="171">
        <v>42.61</v>
      </c>
      <c r="AF1622" s="171">
        <f t="shared" si="77"/>
        <v>2012</v>
      </c>
      <c r="AG1622" s="171">
        <f t="shared" si="78"/>
        <v>6</v>
      </c>
      <c r="AH1622" s="700">
        <f>SUMIF(D$3:$AA1622,"&lt;="&amp;$AH$1)/COUNTIF(D$3:$AA1622,"&lt;="&amp;$AH$1)</f>
        <v>30.878467771370314</v>
      </c>
    </row>
    <row r="1623" spans="2:34" x14ac:dyDescent="0.25">
      <c r="B1623" s="910">
        <v>41099</v>
      </c>
      <c r="C1623" s="581">
        <f t="shared" si="76"/>
        <v>7</v>
      </c>
      <c r="D1623" s="171">
        <v>34.83</v>
      </c>
      <c r="E1623" s="171">
        <v>21.990000000000002</v>
      </c>
      <c r="F1623" s="171">
        <v>18.8</v>
      </c>
      <c r="G1623" s="171">
        <v>15.1</v>
      </c>
      <c r="H1623" s="171">
        <v>15.99</v>
      </c>
      <c r="I1623" s="171">
        <v>19.16</v>
      </c>
      <c r="J1623" s="171">
        <v>35.619999999999997</v>
      </c>
      <c r="K1623" s="171">
        <v>46.86</v>
      </c>
      <c r="L1623" s="171">
        <v>50.1</v>
      </c>
      <c r="M1623" s="171">
        <v>53.08</v>
      </c>
      <c r="N1623" s="171">
        <v>51.13</v>
      </c>
      <c r="O1623" s="171">
        <v>54.93</v>
      </c>
      <c r="P1623" s="171">
        <v>55.71</v>
      </c>
      <c r="Q1623" s="171">
        <v>64.930000000000007</v>
      </c>
      <c r="R1623" s="171">
        <v>65</v>
      </c>
      <c r="S1623" s="171">
        <v>58.77</v>
      </c>
      <c r="T1623" s="171">
        <v>56.22</v>
      </c>
      <c r="U1623" s="171">
        <v>69.960000000000008</v>
      </c>
      <c r="V1623" s="171">
        <v>55</v>
      </c>
      <c r="W1623" s="171">
        <v>55</v>
      </c>
      <c r="X1623" s="171">
        <v>56.57</v>
      </c>
      <c r="Y1623" s="171">
        <v>51</v>
      </c>
      <c r="Z1623" s="171">
        <v>51.65</v>
      </c>
      <c r="AA1623" s="171">
        <v>53.92</v>
      </c>
      <c r="AB1623" s="171">
        <v>69.960000000000008</v>
      </c>
      <c r="AC1623" s="171">
        <v>46.86</v>
      </c>
      <c r="AD1623" s="171">
        <v>35.119999999999997</v>
      </c>
      <c r="AF1623" s="171">
        <f t="shared" si="77"/>
        <v>2012</v>
      </c>
      <c r="AG1623" s="171">
        <f t="shared" si="78"/>
        <v>7</v>
      </c>
      <c r="AH1623" s="700">
        <f>SUMIF(D$3:$AA1623,"&lt;="&amp;$AH$1)/COUNTIF(D$3:$AA1623,"&lt;="&amp;$AH$1)</f>
        <v>30.874479789873185</v>
      </c>
    </row>
    <row r="1624" spans="2:34" x14ac:dyDescent="0.25">
      <c r="B1624" s="910">
        <v>41100</v>
      </c>
      <c r="C1624" s="581">
        <f t="shared" si="76"/>
        <v>7</v>
      </c>
      <c r="D1624" s="171">
        <v>52.730000000000004</v>
      </c>
      <c r="E1624" s="171">
        <v>44.94</v>
      </c>
      <c r="F1624" s="171">
        <v>37.800000000000004</v>
      </c>
      <c r="G1624" s="171">
        <v>35</v>
      </c>
      <c r="H1624" s="171">
        <v>34.96</v>
      </c>
      <c r="I1624" s="171">
        <v>35.04</v>
      </c>
      <c r="J1624" s="171">
        <v>41.68</v>
      </c>
      <c r="K1624" s="171">
        <v>52.800000000000004</v>
      </c>
      <c r="L1624" s="171">
        <v>58.46</v>
      </c>
      <c r="M1624" s="171">
        <v>56.58</v>
      </c>
      <c r="N1624" s="171">
        <v>65</v>
      </c>
      <c r="O1624" s="171">
        <v>72.180000000000007</v>
      </c>
      <c r="P1624" s="171">
        <v>69.930000000000007</v>
      </c>
      <c r="Q1624" s="171">
        <v>69.94</v>
      </c>
      <c r="R1624" s="171">
        <v>60</v>
      </c>
      <c r="S1624" s="171">
        <v>56.34</v>
      </c>
      <c r="T1624" s="171">
        <v>55.27</v>
      </c>
      <c r="U1624" s="171">
        <v>59</v>
      </c>
      <c r="V1624" s="171">
        <v>52.54</v>
      </c>
      <c r="W1624" s="171">
        <v>53.1</v>
      </c>
      <c r="X1624" s="171">
        <v>57.93</v>
      </c>
      <c r="Y1624" s="171">
        <v>55</v>
      </c>
      <c r="Z1624" s="171">
        <v>52.34</v>
      </c>
      <c r="AA1624" s="171">
        <v>50.9</v>
      </c>
      <c r="AB1624" s="171">
        <v>72.180000000000007</v>
      </c>
      <c r="AC1624" s="171">
        <v>52.34</v>
      </c>
      <c r="AD1624" s="171">
        <v>45.93</v>
      </c>
      <c r="AF1624" s="171">
        <f t="shared" si="77"/>
        <v>2012</v>
      </c>
      <c r="AG1624" s="171">
        <f t="shared" si="78"/>
        <v>5</v>
      </c>
      <c r="AH1624" s="700">
        <f>SUMIF(D$3:$AA1624,"&lt;="&amp;$AH$1)/COUNTIF(D$3:$AA1624,"&lt;="&amp;$AH$1)</f>
        <v>30.87667566187746</v>
      </c>
    </row>
    <row r="1625" spans="2:34" x14ac:dyDescent="0.25">
      <c r="B1625" s="910">
        <v>41101</v>
      </c>
      <c r="C1625" s="581">
        <f t="shared" si="76"/>
        <v>7</v>
      </c>
      <c r="D1625" s="171">
        <v>45.36</v>
      </c>
      <c r="E1625" s="171">
        <v>36.86</v>
      </c>
      <c r="F1625" s="171">
        <v>33.14</v>
      </c>
      <c r="G1625" s="171">
        <v>33.11</v>
      </c>
      <c r="H1625" s="171">
        <v>32.630000000000003</v>
      </c>
      <c r="I1625" s="171">
        <v>34.11</v>
      </c>
      <c r="J1625" s="171">
        <v>39.96</v>
      </c>
      <c r="K1625" s="171">
        <v>47.410000000000004</v>
      </c>
      <c r="L1625" s="171">
        <v>58.67</v>
      </c>
      <c r="M1625" s="171">
        <v>58.97</v>
      </c>
      <c r="N1625" s="171">
        <v>58.370000000000005</v>
      </c>
      <c r="O1625" s="171">
        <v>58.94</v>
      </c>
      <c r="P1625" s="171">
        <v>56.63</v>
      </c>
      <c r="Q1625" s="171">
        <v>56.7</v>
      </c>
      <c r="R1625" s="171">
        <v>54.94</v>
      </c>
      <c r="S1625" s="171">
        <v>54.93</v>
      </c>
      <c r="T1625" s="171">
        <v>56.28</v>
      </c>
      <c r="U1625" s="171">
        <v>67.97</v>
      </c>
      <c r="V1625" s="171">
        <v>54.93</v>
      </c>
      <c r="W1625" s="171">
        <v>48.03</v>
      </c>
      <c r="X1625" s="171">
        <v>53.730000000000004</v>
      </c>
      <c r="Y1625" s="171">
        <v>46.54</v>
      </c>
      <c r="Z1625" s="171">
        <v>47.96</v>
      </c>
      <c r="AA1625" s="171">
        <v>54</v>
      </c>
      <c r="AB1625" s="171">
        <v>67.97</v>
      </c>
      <c r="AC1625" s="171">
        <v>46.54</v>
      </c>
      <c r="AD1625" s="171">
        <v>42.07</v>
      </c>
      <c r="AF1625" s="171">
        <f t="shared" si="77"/>
        <v>2012</v>
      </c>
      <c r="AG1625" s="171">
        <f t="shared" si="78"/>
        <v>6</v>
      </c>
      <c r="AH1625" s="700">
        <f>SUMIF(D$3:$AA1625,"&lt;="&amp;$AH$1)/COUNTIF(D$3:$AA1625,"&lt;="&amp;$AH$1)</f>
        <v>30.878465407888157</v>
      </c>
    </row>
    <row r="1626" spans="2:34" x14ac:dyDescent="0.25">
      <c r="B1626" s="910">
        <v>41102</v>
      </c>
      <c r="C1626" s="581">
        <f t="shared" si="76"/>
        <v>7</v>
      </c>
      <c r="D1626" s="171">
        <v>37</v>
      </c>
      <c r="E1626" s="171">
        <v>32.049999999999997</v>
      </c>
      <c r="F1626" s="171">
        <v>28.96</v>
      </c>
      <c r="G1626" s="171">
        <v>21.71</v>
      </c>
      <c r="H1626" s="171">
        <v>20.7</v>
      </c>
      <c r="I1626" s="171">
        <v>30.38</v>
      </c>
      <c r="J1626" s="171">
        <v>37.980000000000004</v>
      </c>
      <c r="K1626" s="171">
        <v>47.52</v>
      </c>
      <c r="L1626" s="171">
        <v>50.11</v>
      </c>
      <c r="M1626" s="171">
        <v>48.84</v>
      </c>
      <c r="N1626" s="171">
        <v>50.45</v>
      </c>
      <c r="O1626" s="171">
        <v>52.99</v>
      </c>
      <c r="P1626" s="171">
        <v>52.870000000000005</v>
      </c>
      <c r="Q1626" s="171">
        <v>55</v>
      </c>
      <c r="R1626" s="171">
        <v>57.44</v>
      </c>
      <c r="S1626" s="171">
        <v>58.01</v>
      </c>
      <c r="T1626" s="171">
        <v>64.94</v>
      </c>
      <c r="U1626" s="171">
        <v>69.94</v>
      </c>
      <c r="V1626" s="171">
        <v>60</v>
      </c>
      <c r="W1626" s="171">
        <v>54.94</v>
      </c>
      <c r="X1626" s="171">
        <v>59.94</v>
      </c>
      <c r="Y1626" s="171">
        <v>59.94</v>
      </c>
      <c r="Z1626" s="171">
        <v>59.94</v>
      </c>
      <c r="AA1626" s="171">
        <v>52.83</v>
      </c>
      <c r="AB1626" s="171">
        <v>69.94</v>
      </c>
      <c r="AC1626" s="171">
        <v>47.52</v>
      </c>
      <c r="AD1626" s="171">
        <v>40.75</v>
      </c>
      <c r="AF1626" s="171">
        <f t="shared" si="77"/>
        <v>2012</v>
      </c>
      <c r="AG1626" s="171">
        <f t="shared" si="78"/>
        <v>7</v>
      </c>
      <c r="AH1626" s="700">
        <f>SUMIF(D$3:$AA1626,"&lt;="&amp;$AH$1)/COUNTIF(D$3:$AA1626,"&lt;="&amp;$AH$1)</f>
        <v>30.877928446517185</v>
      </c>
    </row>
    <row r="1627" spans="2:34" x14ac:dyDescent="0.25">
      <c r="B1627" s="910">
        <v>41103</v>
      </c>
      <c r="C1627" s="581">
        <f t="shared" si="76"/>
        <v>7</v>
      </c>
      <c r="D1627" s="171">
        <v>50.35</v>
      </c>
      <c r="E1627" s="171">
        <v>39.28</v>
      </c>
      <c r="F1627" s="171">
        <v>35.39</v>
      </c>
      <c r="G1627" s="171">
        <v>34.54</v>
      </c>
      <c r="H1627" s="171">
        <v>33.32</v>
      </c>
      <c r="I1627" s="171">
        <v>34.520000000000003</v>
      </c>
      <c r="J1627" s="171">
        <v>39.980000000000004</v>
      </c>
      <c r="K1627" s="171">
        <v>48.13</v>
      </c>
      <c r="L1627" s="171">
        <v>53.93</v>
      </c>
      <c r="M1627" s="171">
        <v>54.65</v>
      </c>
      <c r="N1627" s="171">
        <v>63.15</v>
      </c>
      <c r="O1627" s="171">
        <v>69.03</v>
      </c>
      <c r="P1627" s="171">
        <v>66.45</v>
      </c>
      <c r="Q1627" s="171">
        <v>59.93</v>
      </c>
      <c r="R1627" s="171">
        <v>54.93</v>
      </c>
      <c r="S1627" s="171">
        <v>49.74</v>
      </c>
      <c r="T1627" s="171">
        <v>47.93</v>
      </c>
      <c r="U1627" s="171">
        <v>48.51</v>
      </c>
      <c r="V1627" s="171">
        <v>48.13</v>
      </c>
      <c r="W1627" s="171">
        <v>47.06</v>
      </c>
      <c r="X1627" s="171">
        <v>44.050000000000004</v>
      </c>
      <c r="Y1627" s="171">
        <v>40.99</v>
      </c>
      <c r="Z1627" s="171">
        <v>45.72</v>
      </c>
      <c r="AA1627" s="171">
        <v>53.86</v>
      </c>
      <c r="AB1627" s="171">
        <v>69.03</v>
      </c>
      <c r="AC1627" s="171">
        <v>40.99</v>
      </c>
      <c r="AD1627" s="171">
        <v>41.68</v>
      </c>
      <c r="AF1627" s="171">
        <f t="shared" si="77"/>
        <v>2012</v>
      </c>
      <c r="AG1627" s="171">
        <f t="shared" si="78"/>
        <v>7</v>
      </c>
      <c r="AH1627" s="700">
        <f>SUMIF(D$3:$AA1627,"&lt;="&amp;$AH$1)/COUNTIF(D$3:$AA1627,"&lt;="&amp;$AH$1)</f>
        <v>30.880978078799934</v>
      </c>
    </row>
    <row r="1628" spans="2:34" x14ac:dyDescent="0.25">
      <c r="B1628" s="910">
        <v>41106</v>
      </c>
      <c r="C1628" s="581">
        <f t="shared" si="76"/>
        <v>7</v>
      </c>
      <c r="D1628" s="171">
        <v>31.67</v>
      </c>
      <c r="E1628" s="171">
        <v>19</v>
      </c>
      <c r="F1628" s="171">
        <v>16.600000000000001</v>
      </c>
      <c r="G1628" s="171">
        <v>15.71</v>
      </c>
      <c r="H1628" s="171">
        <v>15.58</v>
      </c>
      <c r="I1628" s="171">
        <v>21.62</v>
      </c>
      <c r="J1628" s="171">
        <v>38.380000000000003</v>
      </c>
      <c r="K1628" s="171">
        <v>45.37</v>
      </c>
      <c r="L1628" s="171">
        <v>49.94</v>
      </c>
      <c r="M1628" s="171">
        <v>49.75</v>
      </c>
      <c r="N1628" s="171">
        <v>53.2</v>
      </c>
      <c r="O1628" s="171">
        <v>52.6</v>
      </c>
      <c r="P1628" s="171">
        <v>53.2</v>
      </c>
      <c r="Q1628" s="171">
        <v>54.24</v>
      </c>
      <c r="R1628" s="171">
        <v>53.03</v>
      </c>
      <c r="S1628" s="171">
        <v>47.18</v>
      </c>
      <c r="T1628" s="171">
        <v>45</v>
      </c>
      <c r="U1628" s="171">
        <v>45.1</v>
      </c>
      <c r="V1628" s="171">
        <v>46.04</v>
      </c>
      <c r="W1628" s="171">
        <v>49</v>
      </c>
      <c r="X1628" s="171">
        <v>46.910000000000004</v>
      </c>
      <c r="Y1628" s="171">
        <v>44.21</v>
      </c>
      <c r="Z1628" s="171">
        <v>44.93</v>
      </c>
      <c r="AA1628" s="171">
        <v>38.86</v>
      </c>
      <c r="AB1628" s="171">
        <v>54.24</v>
      </c>
      <c r="AC1628" s="171">
        <v>44.21</v>
      </c>
      <c r="AD1628" s="171">
        <v>31.57</v>
      </c>
      <c r="AF1628" s="171">
        <f t="shared" si="77"/>
        <v>2012</v>
      </c>
      <c r="AG1628" s="171">
        <f t="shared" si="78"/>
        <v>8</v>
      </c>
      <c r="AH1628" s="700">
        <f>SUMIF(D$3:$AA1628,"&lt;="&amp;$AH$1)/COUNTIF(D$3:$AA1628,"&lt;="&amp;$AH$1)</f>
        <v>30.877365892714309</v>
      </c>
    </row>
    <row r="1629" spans="2:34" x14ac:dyDescent="0.25">
      <c r="B1629" s="910">
        <v>41107</v>
      </c>
      <c r="C1629" s="581">
        <f t="shared" si="76"/>
        <v>7</v>
      </c>
      <c r="D1629" s="171">
        <v>34.020000000000003</v>
      </c>
      <c r="E1629" s="171">
        <v>32.840000000000003</v>
      </c>
      <c r="F1629" s="171">
        <v>24.64</v>
      </c>
      <c r="G1629" s="171">
        <v>19.87</v>
      </c>
      <c r="H1629" s="171">
        <v>26.95</v>
      </c>
      <c r="I1629" s="171">
        <v>27.78</v>
      </c>
      <c r="J1629" s="171">
        <v>39.04</v>
      </c>
      <c r="K1629" s="171">
        <v>48.17</v>
      </c>
      <c r="L1629" s="171">
        <v>53.19</v>
      </c>
      <c r="M1629" s="171">
        <v>55.1</v>
      </c>
      <c r="N1629" s="171">
        <v>58.92</v>
      </c>
      <c r="O1629" s="171">
        <v>61.18</v>
      </c>
      <c r="P1629" s="171">
        <v>58.43</v>
      </c>
      <c r="Q1629" s="171">
        <v>56.18</v>
      </c>
      <c r="R1629" s="171">
        <v>55.46</v>
      </c>
      <c r="S1629" s="171">
        <v>51.03</v>
      </c>
      <c r="T1629" s="171">
        <v>51.06</v>
      </c>
      <c r="U1629" s="171">
        <v>50</v>
      </c>
      <c r="V1629" s="171">
        <v>48.980000000000004</v>
      </c>
      <c r="W1629" s="171">
        <v>48.99</v>
      </c>
      <c r="X1629" s="171">
        <v>48.11</v>
      </c>
      <c r="Y1629" s="171">
        <v>46.97</v>
      </c>
      <c r="Z1629" s="171">
        <v>50.96</v>
      </c>
      <c r="AA1629" s="171">
        <v>45.800000000000004</v>
      </c>
      <c r="AB1629" s="171">
        <v>61.18</v>
      </c>
      <c r="AC1629" s="171">
        <v>46.97</v>
      </c>
      <c r="AD1629" s="171">
        <v>37.1</v>
      </c>
      <c r="AF1629" s="171">
        <f t="shared" si="77"/>
        <v>2012</v>
      </c>
      <c r="AG1629" s="171">
        <f t="shared" si="78"/>
        <v>7</v>
      </c>
      <c r="AH1629" s="700">
        <f>SUMIF(D$3:$AA1629,"&lt;="&amp;$AH$1)/COUNTIF(D$3:$AA1629,"&lt;="&amp;$AH$1)</f>
        <v>30.876565546340895</v>
      </c>
    </row>
    <row r="1630" spans="2:34" x14ac:dyDescent="0.25">
      <c r="B1630" s="910">
        <v>41108</v>
      </c>
      <c r="C1630" s="581">
        <f t="shared" si="76"/>
        <v>7</v>
      </c>
      <c r="D1630" s="171">
        <v>38.24</v>
      </c>
      <c r="E1630" s="171">
        <v>35.42</v>
      </c>
      <c r="F1630" s="171">
        <v>34.22</v>
      </c>
      <c r="G1630" s="171">
        <v>29.86</v>
      </c>
      <c r="H1630" s="171">
        <v>29.34</v>
      </c>
      <c r="I1630" s="171">
        <v>35.050000000000004</v>
      </c>
      <c r="J1630" s="171">
        <v>40.01</v>
      </c>
      <c r="K1630" s="171">
        <v>48.19</v>
      </c>
      <c r="L1630" s="171">
        <v>51.21</v>
      </c>
      <c r="M1630" s="171">
        <v>53.09</v>
      </c>
      <c r="N1630" s="171">
        <v>53.69</v>
      </c>
      <c r="O1630" s="171">
        <v>54.34</v>
      </c>
      <c r="P1630" s="171">
        <v>51.13</v>
      </c>
      <c r="Q1630" s="171">
        <v>49.38</v>
      </c>
      <c r="R1630" s="171">
        <v>47.58</v>
      </c>
      <c r="S1630" s="171">
        <v>44.78</v>
      </c>
      <c r="T1630" s="171">
        <v>43.82</v>
      </c>
      <c r="U1630" s="171">
        <v>44.43</v>
      </c>
      <c r="V1630" s="171">
        <v>47.81</v>
      </c>
      <c r="W1630" s="171">
        <v>48.32</v>
      </c>
      <c r="X1630" s="171">
        <v>45.980000000000004</v>
      </c>
      <c r="Y1630" s="171">
        <v>43.82</v>
      </c>
      <c r="Z1630" s="171">
        <v>42.84</v>
      </c>
      <c r="AA1630" s="171">
        <v>39.85</v>
      </c>
      <c r="AB1630" s="171">
        <v>54.34</v>
      </c>
      <c r="AC1630" s="171">
        <v>42.84</v>
      </c>
      <c r="AD1630" s="171">
        <v>38.57</v>
      </c>
      <c r="AF1630" s="171">
        <f t="shared" si="77"/>
        <v>2012</v>
      </c>
      <c r="AG1630" s="171">
        <f t="shared" si="78"/>
        <v>8</v>
      </c>
      <c r="AH1630" s="700">
        <f>SUMIF(D$3:$AA1630,"&lt;="&amp;$AH$1)/COUNTIF(D$3:$AA1630,"&lt;="&amp;$AH$1)</f>
        <v>30.879108622946188</v>
      </c>
    </row>
    <row r="1631" spans="2:34" x14ac:dyDescent="0.25">
      <c r="B1631" s="910">
        <v>41109</v>
      </c>
      <c r="C1631" s="581">
        <f t="shared" si="76"/>
        <v>7</v>
      </c>
      <c r="D1631" s="171">
        <v>37.96</v>
      </c>
      <c r="E1631" s="171">
        <v>35.17</v>
      </c>
      <c r="F1631" s="171">
        <v>31.62</v>
      </c>
      <c r="G1631" s="171">
        <v>28.900000000000002</v>
      </c>
      <c r="H1631" s="171">
        <v>28.03</v>
      </c>
      <c r="I1631" s="171">
        <v>34.44</v>
      </c>
      <c r="J1631" s="171">
        <v>42.81</v>
      </c>
      <c r="K1631" s="171">
        <v>50</v>
      </c>
      <c r="L1631" s="171">
        <v>50</v>
      </c>
      <c r="M1631" s="171">
        <v>51.01</v>
      </c>
      <c r="N1631" s="171">
        <v>50.5</v>
      </c>
      <c r="O1631" s="171">
        <v>53.19</v>
      </c>
      <c r="P1631" s="171">
        <v>54.14</v>
      </c>
      <c r="Q1631" s="171">
        <v>53.27</v>
      </c>
      <c r="R1631" s="171">
        <v>53.2</v>
      </c>
      <c r="S1631" s="171">
        <v>51.5</v>
      </c>
      <c r="T1631" s="171">
        <v>51.800000000000004</v>
      </c>
      <c r="U1631" s="171">
        <v>52.43</v>
      </c>
      <c r="V1631" s="171">
        <v>48.56</v>
      </c>
      <c r="W1631" s="171">
        <v>46.74</v>
      </c>
      <c r="X1631" s="171">
        <v>42.800000000000004</v>
      </c>
      <c r="Y1631" s="171">
        <v>42</v>
      </c>
      <c r="Z1631" s="171">
        <v>47.160000000000004</v>
      </c>
      <c r="AA1631" s="171">
        <v>45.550000000000004</v>
      </c>
      <c r="AB1631" s="171">
        <v>54.14</v>
      </c>
      <c r="AC1631" s="171">
        <v>42</v>
      </c>
      <c r="AD1631" s="171">
        <v>38.869999999999997</v>
      </c>
      <c r="AF1631" s="171">
        <f t="shared" si="77"/>
        <v>2012</v>
      </c>
      <c r="AG1631" s="171">
        <f t="shared" si="78"/>
        <v>7</v>
      </c>
      <c r="AH1631" s="700">
        <f>SUMIF(D$3:$AA1631,"&lt;="&amp;$AH$1)/COUNTIF(D$3:$AA1631,"&lt;="&amp;$AH$1)</f>
        <v>30.880704890633087</v>
      </c>
    </row>
    <row r="1632" spans="2:34" x14ac:dyDescent="0.25">
      <c r="B1632" s="910">
        <v>41110</v>
      </c>
      <c r="C1632" s="581">
        <f t="shared" si="76"/>
        <v>7</v>
      </c>
      <c r="D1632" s="171">
        <v>35.840000000000003</v>
      </c>
      <c r="E1632" s="171">
        <v>33.76</v>
      </c>
      <c r="F1632" s="171">
        <v>30.73</v>
      </c>
      <c r="G1632" s="171">
        <v>28.68</v>
      </c>
      <c r="H1632" s="171">
        <v>26.91</v>
      </c>
      <c r="I1632" s="171">
        <v>35.03</v>
      </c>
      <c r="J1632" s="171">
        <v>42.22</v>
      </c>
      <c r="K1632" s="171">
        <v>51.54</v>
      </c>
      <c r="L1632" s="171">
        <v>53.19</v>
      </c>
      <c r="M1632" s="171">
        <v>55.910000000000004</v>
      </c>
      <c r="N1632" s="171">
        <v>59.94</v>
      </c>
      <c r="O1632" s="171">
        <v>65.040000000000006</v>
      </c>
      <c r="P1632" s="171">
        <v>64.930000000000007</v>
      </c>
      <c r="Q1632" s="171">
        <v>58.01</v>
      </c>
      <c r="R1632" s="171">
        <v>50.18</v>
      </c>
      <c r="S1632" s="171">
        <v>48</v>
      </c>
      <c r="T1632" s="171">
        <v>45.06</v>
      </c>
      <c r="U1632" s="171">
        <v>49.96</v>
      </c>
      <c r="V1632" s="171">
        <v>50.19</v>
      </c>
      <c r="W1632" s="171">
        <v>50.15</v>
      </c>
      <c r="X1632" s="171">
        <v>52.44</v>
      </c>
      <c r="Y1632" s="171">
        <v>48</v>
      </c>
      <c r="Z1632" s="171">
        <v>49.86</v>
      </c>
      <c r="AA1632" s="171">
        <v>45.07</v>
      </c>
      <c r="AB1632" s="171">
        <v>65.040000000000006</v>
      </c>
      <c r="AC1632" s="171">
        <v>45.06</v>
      </c>
      <c r="AD1632" s="171">
        <v>40.01</v>
      </c>
      <c r="AF1632" s="171">
        <f t="shared" si="77"/>
        <v>2012</v>
      </c>
      <c r="AG1632" s="171">
        <f t="shared" si="78"/>
        <v>7</v>
      </c>
      <c r="AH1632" s="700">
        <f>SUMIF(D$3:$AA1632,"&lt;="&amp;$AH$1)/COUNTIF(D$3:$AA1632,"&lt;="&amp;$AH$1)</f>
        <v>30.881940005810716</v>
      </c>
    </row>
    <row r="1633" spans="2:34" x14ac:dyDescent="0.25">
      <c r="B1633" s="910">
        <v>41113</v>
      </c>
      <c r="C1633" s="581">
        <f t="shared" si="76"/>
        <v>7</v>
      </c>
      <c r="D1633" s="171">
        <v>35.51</v>
      </c>
      <c r="E1633" s="171">
        <v>31.3</v>
      </c>
      <c r="F1633" s="171">
        <v>28.5</v>
      </c>
      <c r="G1633" s="171">
        <v>22.05</v>
      </c>
      <c r="H1633" s="171">
        <v>24.04</v>
      </c>
      <c r="I1633" s="171">
        <v>31.080000000000002</v>
      </c>
      <c r="J1633" s="171">
        <v>39.79</v>
      </c>
      <c r="K1633" s="171">
        <v>47.81</v>
      </c>
      <c r="L1633" s="171">
        <v>49.800000000000004</v>
      </c>
      <c r="M1633" s="171">
        <v>49.34</v>
      </c>
      <c r="N1633" s="171">
        <v>52.370000000000005</v>
      </c>
      <c r="O1633" s="171">
        <v>59.660000000000004</v>
      </c>
      <c r="P1633" s="171">
        <v>65.41</v>
      </c>
      <c r="Q1633" s="171">
        <v>65.84</v>
      </c>
      <c r="R1633" s="171">
        <v>59.660000000000004</v>
      </c>
      <c r="S1633" s="171">
        <v>54.97</v>
      </c>
      <c r="T1633" s="171">
        <v>49.94</v>
      </c>
      <c r="U1633" s="171">
        <v>54.24</v>
      </c>
      <c r="V1633" s="171">
        <v>53.660000000000004</v>
      </c>
      <c r="W1633" s="171">
        <v>53.550000000000004</v>
      </c>
      <c r="X1633" s="171">
        <v>51.83</v>
      </c>
      <c r="Y1633" s="171">
        <v>52.21</v>
      </c>
      <c r="Z1633" s="171">
        <v>51.21</v>
      </c>
      <c r="AA1633" s="171">
        <v>46.910000000000004</v>
      </c>
      <c r="AB1633" s="171">
        <v>65.84</v>
      </c>
      <c r="AC1633" s="171">
        <v>47.81</v>
      </c>
      <c r="AD1633" s="171">
        <v>38.520000000000003</v>
      </c>
      <c r="AF1633" s="171">
        <f t="shared" si="77"/>
        <v>2012</v>
      </c>
      <c r="AG1633" s="171">
        <f t="shared" si="78"/>
        <v>7</v>
      </c>
      <c r="AH1633" s="700">
        <f>SUMIF(D$3:$AA1633,"&lt;="&amp;$AH$1)/COUNTIF(D$3:$AA1633,"&lt;="&amp;$AH$1)</f>
        <v>30.881656624319554</v>
      </c>
    </row>
    <row r="1634" spans="2:34" x14ac:dyDescent="0.25">
      <c r="B1634" s="910">
        <v>41114</v>
      </c>
      <c r="C1634" s="581">
        <f t="shared" si="76"/>
        <v>7</v>
      </c>
      <c r="D1634" s="171">
        <v>39.090000000000003</v>
      </c>
      <c r="E1634" s="171">
        <v>36.47</v>
      </c>
      <c r="F1634" s="171">
        <v>34.06</v>
      </c>
      <c r="G1634" s="171">
        <v>30.080000000000002</v>
      </c>
      <c r="H1634" s="171">
        <v>29.48</v>
      </c>
      <c r="I1634" s="171">
        <v>35.01</v>
      </c>
      <c r="J1634" s="171">
        <v>40.99</v>
      </c>
      <c r="K1634" s="171">
        <v>49.1</v>
      </c>
      <c r="L1634" s="171">
        <v>51.93</v>
      </c>
      <c r="M1634" s="171">
        <v>53.28</v>
      </c>
      <c r="N1634" s="171">
        <v>59.93</v>
      </c>
      <c r="O1634" s="171">
        <v>66.099999999999994</v>
      </c>
      <c r="P1634" s="171">
        <v>69.94</v>
      </c>
      <c r="Q1634" s="171">
        <v>72.09</v>
      </c>
      <c r="R1634" s="171">
        <v>62.2</v>
      </c>
      <c r="S1634" s="171">
        <v>57.5</v>
      </c>
      <c r="T1634" s="171">
        <v>63.34</v>
      </c>
      <c r="U1634" s="171">
        <v>65.73</v>
      </c>
      <c r="V1634" s="171">
        <v>53.06</v>
      </c>
      <c r="W1634" s="171">
        <v>53.730000000000004</v>
      </c>
      <c r="X1634" s="171">
        <v>52.94</v>
      </c>
      <c r="Y1634" s="171">
        <v>51.47</v>
      </c>
      <c r="Z1634" s="171">
        <v>52.02</v>
      </c>
      <c r="AA1634" s="171">
        <v>47.660000000000004</v>
      </c>
      <c r="AB1634" s="171">
        <v>72.09</v>
      </c>
      <c r="AC1634" s="171">
        <v>49.1</v>
      </c>
      <c r="AD1634" s="171">
        <v>41.53</v>
      </c>
      <c r="AF1634" s="171">
        <f t="shared" si="77"/>
        <v>2012</v>
      </c>
      <c r="AG1634" s="171">
        <f t="shared" si="78"/>
        <v>7</v>
      </c>
      <c r="AH1634" s="700">
        <f>SUMIF(D$3:$AA1634,"&lt;="&amp;$AH$1)/COUNTIF(D$3:$AA1634,"&lt;="&amp;$AH$1)</f>
        <v>30.883761427949633</v>
      </c>
    </row>
    <row r="1635" spans="2:34" x14ac:dyDescent="0.25">
      <c r="B1635" s="910">
        <v>41115</v>
      </c>
      <c r="C1635" s="581">
        <f t="shared" si="76"/>
        <v>7</v>
      </c>
      <c r="D1635" s="171">
        <v>41.77</v>
      </c>
      <c r="E1635" s="171">
        <v>39.380000000000003</v>
      </c>
      <c r="F1635" s="171">
        <v>37.869999999999997</v>
      </c>
      <c r="G1635" s="171">
        <v>35.28</v>
      </c>
      <c r="H1635" s="171">
        <v>35.380000000000003</v>
      </c>
      <c r="I1635" s="171">
        <v>38.06</v>
      </c>
      <c r="J1635" s="171">
        <v>41.11</v>
      </c>
      <c r="K1635" s="171">
        <v>50.980000000000004</v>
      </c>
      <c r="L1635" s="171">
        <v>56</v>
      </c>
      <c r="M1635" s="171">
        <v>53.67</v>
      </c>
      <c r="N1635" s="171">
        <v>56.28</v>
      </c>
      <c r="O1635" s="171">
        <v>57.44</v>
      </c>
      <c r="P1635" s="171">
        <v>58</v>
      </c>
      <c r="Q1635" s="171">
        <v>59.94</v>
      </c>
      <c r="R1635" s="171">
        <v>57.44</v>
      </c>
      <c r="S1635" s="171">
        <v>53.52</v>
      </c>
      <c r="T1635" s="171">
        <v>54.19</v>
      </c>
      <c r="U1635" s="171">
        <v>57.21</v>
      </c>
      <c r="V1635" s="171">
        <v>57.17</v>
      </c>
      <c r="W1635" s="171">
        <v>55.42</v>
      </c>
      <c r="X1635" s="171">
        <v>53.09</v>
      </c>
      <c r="Y1635" s="171">
        <v>52.050000000000004</v>
      </c>
      <c r="Z1635" s="171">
        <v>51.96</v>
      </c>
      <c r="AA1635" s="171">
        <v>47.32</v>
      </c>
      <c r="AB1635" s="171">
        <v>59.94</v>
      </c>
      <c r="AC1635" s="171">
        <v>50.980000000000004</v>
      </c>
      <c r="AD1635" s="171">
        <v>43.69</v>
      </c>
      <c r="AF1635" s="171">
        <f t="shared" si="77"/>
        <v>2012</v>
      </c>
      <c r="AG1635" s="171">
        <f t="shared" si="78"/>
        <v>7</v>
      </c>
      <c r="AH1635" s="700">
        <f>SUMIF(D$3:$AA1635,"&lt;="&amp;$AH$1)/COUNTIF(D$3:$AA1635,"&lt;="&amp;$AH$1)</f>
        <v>30.887580680252512</v>
      </c>
    </row>
    <row r="1636" spans="2:34" x14ac:dyDescent="0.25">
      <c r="B1636" s="910">
        <v>41116</v>
      </c>
      <c r="C1636" s="581">
        <f t="shared" si="76"/>
        <v>7</v>
      </c>
      <c r="D1636" s="171">
        <v>45.88</v>
      </c>
      <c r="E1636" s="171">
        <v>41.35</v>
      </c>
      <c r="F1636" s="171">
        <v>38.01</v>
      </c>
      <c r="G1636" s="171">
        <v>36.130000000000003</v>
      </c>
      <c r="H1636" s="171">
        <v>36.25</v>
      </c>
      <c r="I1636" s="171">
        <v>38.08</v>
      </c>
      <c r="J1636" s="171">
        <v>43.72</v>
      </c>
      <c r="K1636" s="171">
        <v>53.08</v>
      </c>
      <c r="L1636" s="171">
        <v>53.27</v>
      </c>
      <c r="M1636" s="171">
        <v>55.1</v>
      </c>
      <c r="N1636" s="171">
        <v>52.97</v>
      </c>
      <c r="O1636" s="171">
        <v>54.68</v>
      </c>
      <c r="P1636" s="171">
        <v>55</v>
      </c>
      <c r="Q1636" s="171">
        <v>56.7</v>
      </c>
      <c r="R1636" s="171">
        <v>55.17</v>
      </c>
      <c r="S1636" s="171">
        <v>53.03</v>
      </c>
      <c r="T1636" s="171">
        <v>52.800000000000004</v>
      </c>
      <c r="U1636" s="171">
        <v>55.96</v>
      </c>
      <c r="V1636" s="171">
        <v>59.92</v>
      </c>
      <c r="W1636" s="171">
        <v>59.09</v>
      </c>
      <c r="X1636" s="171">
        <v>59.93</v>
      </c>
      <c r="Y1636" s="171">
        <v>55.68</v>
      </c>
      <c r="Z1636" s="171">
        <v>54.82</v>
      </c>
      <c r="AA1636" s="171">
        <v>48.660000000000004</v>
      </c>
      <c r="AB1636" s="171">
        <v>59.93</v>
      </c>
      <c r="AC1636" s="171">
        <v>52.800000000000004</v>
      </c>
      <c r="AD1636" s="171">
        <v>45.97</v>
      </c>
      <c r="AF1636" s="171">
        <f t="shared" si="77"/>
        <v>2012</v>
      </c>
      <c r="AG1636" s="171">
        <f t="shared" si="78"/>
        <v>5</v>
      </c>
      <c r="AH1636" s="700">
        <f>SUMIF(D$3:$AA1636,"&lt;="&amp;$AH$1)/COUNTIF(D$3:$AA1636,"&lt;="&amp;$AH$1)</f>
        <v>30.890145715528629</v>
      </c>
    </row>
    <row r="1637" spans="2:34" x14ac:dyDescent="0.25">
      <c r="B1637" s="910">
        <v>41117</v>
      </c>
      <c r="C1637" s="581">
        <f t="shared" si="76"/>
        <v>7</v>
      </c>
      <c r="D1637" s="171">
        <v>40.6</v>
      </c>
      <c r="E1637" s="171">
        <v>40.090000000000003</v>
      </c>
      <c r="F1637" s="171">
        <v>38.130000000000003</v>
      </c>
      <c r="G1637" s="171">
        <v>38.07</v>
      </c>
      <c r="H1637" s="171">
        <v>37.18</v>
      </c>
      <c r="I1637" s="171">
        <v>38.08</v>
      </c>
      <c r="J1637" s="171">
        <v>43.01</v>
      </c>
      <c r="K1637" s="171">
        <v>54.75</v>
      </c>
      <c r="L1637" s="171">
        <v>57.300000000000004</v>
      </c>
      <c r="M1637" s="171">
        <v>57.49</v>
      </c>
      <c r="N1637" s="171">
        <v>59.27</v>
      </c>
      <c r="O1637" s="171">
        <v>57.93</v>
      </c>
      <c r="P1637" s="171">
        <v>58</v>
      </c>
      <c r="Q1637" s="171">
        <v>56.22</v>
      </c>
      <c r="R1637" s="171">
        <v>54.81</v>
      </c>
      <c r="S1637" s="171">
        <v>51.67</v>
      </c>
      <c r="T1637" s="171">
        <v>48.39</v>
      </c>
      <c r="U1637" s="171">
        <v>52.910000000000004</v>
      </c>
      <c r="V1637" s="171">
        <v>53.56</v>
      </c>
      <c r="W1637" s="171">
        <v>53.97</v>
      </c>
      <c r="X1637" s="171">
        <v>51.86</v>
      </c>
      <c r="Y1637" s="171">
        <v>51.86</v>
      </c>
      <c r="Z1637" s="171">
        <v>50.51</v>
      </c>
      <c r="AA1637" s="171">
        <v>51.28</v>
      </c>
      <c r="AB1637" s="171">
        <v>59.27</v>
      </c>
      <c r="AC1637" s="171">
        <v>48.39</v>
      </c>
      <c r="AD1637" s="171">
        <v>44.62</v>
      </c>
      <c r="AF1637" s="171">
        <f t="shared" si="77"/>
        <v>2012</v>
      </c>
      <c r="AG1637" s="171">
        <f t="shared" si="78"/>
        <v>6</v>
      </c>
      <c r="AH1637" s="700">
        <f>SUMIF(D$3:$AA1637,"&lt;="&amp;$AH$1)/COUNTIF(D$3:$AA1637,"&lt;="&amp;$AH$1)</f>
        <v>30.893537681159561</v>
      </c>
    </row>
    <row r="1638" spans="2:34" x14ac:dyDescent="0.25">
      <c r="B1638" s="910">
        <v>41120</v>
      </c>
      <c r="C1638" s="581">
        <f t="shared" si="76"/>
        <v>7</v>
      </c>
      <c r="D1638" s="171">
        <v>33.03</v>
      </c>
      <c r="E1638" s="171">
        <v>24.54</v>
      </c>
      <c r="F1638" s="171">
        <v>23.59</v>
      </c>
      <c r="G1638" s="171">
        <v>16.34</v>
      </c>
      <c r="H1638" s="171">
        <v>17.75</v>
      </c>
      <c r="I1638" s="171">
        <v>28.17</v>
      </c>
      <c r="J1638" s="171">
        <v>35.410000000000004</v>
      </c>
      <c r="K1638" s="171">
        <v>46.12</v>
      </c>
      <c r="L1638" s="171">
        <v>48.02</v>
      </c>
      <c r="M1638" s="171">
        <v>47.68</v>
      </c>
      <c r="N1638" s="171">
        <v>48.76</v>
      </c>
      <c r="O1638" s="171">
        <v>49.980000000000004</v>
      </c>
      <c r="P1638" s="171">
        <v>48.32</v>
      </c>
      <c r="Q1638" s="171">
        <v>46.980000000000004</v>
      </c>
      <c r="R1638" s="171">
        <v>45.47</v>
      </c>
      <c r="S1638" s="171">
        <v>42.99</v>
      </c>
      <c r="T1638" s="171">
        <v>42.99</v>
      </c>
      <c r="U1638" s="171">
        <v>45</v>
      </c>
      <c r="V1638" s="171">
        <v>46.42</v>
      </c>
      <c r="W1638" s="171">
        <v>48.93</v>
      </c>
      <c r="X1638" s="171">
        <v>44.5</v>
      </c>
      <c r="Y1638" s="171">
        <v>45.06</v>
      </c>
      <c r="Z1638" s="171">
        <v>46.72</v>
      </c>
      <c r="AA1638" s="171">
        <v>40</v>
      </c>
      <c r="AB1638" s="171">
        <v>49.980000000000004</v>
      </c>
      <c r="AC1638" s="171">
        <v>42.99</v>
      </c>
      <c r="AD1638" s="171">
        <v>33.44</v>
      </c>
      <c r="AF1638" s="171">
        <f t="shared" si="77"/>
        <v>2012</v>
      </c>
      <c r="AG1638" s="171">
        <f t="shared" si="78"/>
        <v>8</v>
      </c>
      <c r="AH1638" s="700">
        <f>SUMIF(D$3:$AA1638,"&lt;="&amp;$AH$1)/COUNTIF(D$3:$AA1638,"&lt;="&amp;$AH$1)</f>
        <v>30.891486819235368</v>
      </c>
    </row>
    <row r="1639" spans="2:34" x14ac:dyDescent="0.25">
      <c r="B1639" s="910">
        <v>41121</v>
      </c>
      <c r="C1639" s="581">
        <f t="shared" si="76"/>
        <v>7</v>
      </c>
      <c r="D1639" s="171">
        <v>35.71</v>
      </c>
      <c r="E1639" s="171">
        <v>35.28</v>
      </c>
      <c r="F1639" s="171">
        <v>30.73</v>
      </c>
      <c r="G1639" s="171">
        <v>23.19</v>
      </c>
      <c r="H1639" s="171">
        <v>27.1</v>
      </c>
      <c r="I1639" s="171">
        <v>30.970000000000002</v>
      </c>
      <c r="J1639" s="171">
        <v>38.119999999999997</v>
      </c>
      <c r="K1639" s="171">
        <v>47.26</v>
      </c>
      <c r="L1639" s="171">
        <v>49.370000000000005</v>
      </c>
      <c r="M1639" s="171">
        <v>51.24</v>
      </c>
      <c r="N1639" s="171">
        <v>52.33</v>
      </c>
      <c r="O1639" s="171">
        <v>52.89</v>
      </c>
      <c r="P1639" s="171">
        <v>52.32</v>
      </c>
      <c r="Q1639" s="171">
        <v>50</v>
      </c>
      <c r="R1639" s="171">
        <v>51.980000000000004</v>
      </c>
      <c r="S1639" s="171">
        <v>50.050000000000004</v>
      </c>
      <c r="T1639" s="171">
        <v>51.49</v>
      </c>
      <c r="U1639" s="171">
        <v>50.43</v>
      </c>
      <c r="V1639" s="171">
        <v>50.4</v>
      </c>
      <c r="W1639" s="171">
        <v>50</v>
      </c>
      <c r="X1639" s="171">
        <v>49.94</v>
      </c>
      <c r="Y1639" s="171">
        <v>50</v>
      </c>
      <c r="Z1639" s="171">
        <v>48.910000000000004</v>
      </c>
      <c r="AA1639" s="171">
        <v>43.49</v>
      </c>
      <c r="AB1639" s="171">
        <v>52.89</v>
      </c>
      <c r="AC1639" s="171">
        <v>47.26</v>
      </c>
      <c r="AD1639" s="171">
        <v>38.39</v>
      </c>
      <c r="AF1639" s="171">
        <f t="shared" si="77"/>
        <v>2012</v>
      </c>
      <c r="AG1639" s="171">
        <f t="shared" si="78"/>
        <v>7</v>
      </c>
      <c r="AH1639" s="700">
        <f>SUMIF(D$3:$AA1639,"&lt;="&amp;$AH$1)/COUNTIF(D$3:$AA1639,"&lt;="&amp;$AH$1)</f>
        <v>30.891838581252401</v>
      </c>
    </row>
    <row r="1640" spans="2:34" x14ac:dyDescent="0.25">
      <c r="B1640" s="910">
        <v>41122</v>
      </c>
      <c r="C1640" s="581">
        <f t="shared" si="76"/>
        <v>8</v>
      </c>
      <c r="D1640" s="171">
        <v>38</v>
      </c>
      <c r="E1640" s="171">
        <v>35.08</v>
      </c>
      <c r="F1640" s="171">
        <v>31.330000000000002</v>
      </c>
      <c r="G1640" s="171">
        <v>27.47</v>
      </c>
      <c r="H1640" s="171">
        <v>26.25</v>
      </c>
      <c r="I1640" s="171">
        <v>33.090000000000003</v>
      </c>
      <c r="J1640" s="171">
        <v>40.15</v>
      </c>
      <c r="K1640" s="171">
        <v>45.94</v>
      </c>
      <c r="L1640" s="171">
        <v>49.21</v>
      </c>
      <c r="M1640" s="171">
        <v>47.93</v>
      </c>
      <c r="N1640" s="171">
        <v>53.26</v>
      </c>
      <c r="O1640" s="171">
        <v>61.870000000000005</v>
      </c>
      <c r="P1640" s="171">
        <v>63.1</v>
      </c>
      <c r="Q1640" s="171">
        <v>63.43</v>
      </c>
      <c r="R1640" s="171">
        <v>64.45</v>
      </c>
      <c r="S1640" s="171">
        <v>53.86</v>
      </c>
      <c r="T1640" s="171">
        <v>59.78</v>
      </c>
      <c r="U1640" s="171">
        <v>65.56</v>
      </c>
      <c r="V1640" s="171">
        <v>55</v>
      </c>
      <c r="W1640" s="171">
        <v>52.910000000000004</v>
      </c>
      <c r="X1640" s="171">
        <v>50.09</v>
      </c>
      <c r="Y1640" s="171">
        <v>47.17</v>
      </c>
      <c r="Z1640" s="171">
        <v>46.5</v>
      </c>
      <c r="AA1640" s="171">
        <v>49.08</v>
      </c>
      <c r="AB1640" s="171">
        <v>65.56</v>
      </c>
      <c r="AC1640" s="171">
        <v>45.94</v>
      </c>
      <c r="AD1640" s="171">
        <v>39.18</v>
      </c>
      <c r="AF1640" s="171">
        <f t="shared" si="77"/>
        <v>2012</v>
      </c>
      <c r="AG1640" s="171">
        <f t="shared" si="78"/>
        <v>7</v>
      </c>
      <c r="AH1640" s="700">
        <f>SUMIF(D$3:$AA1640,"&lt;="&amp;$AH$1)/COUNTIF(D$3:$AA1640,"&lt;="&amp;$AH$1)</f>
        <v>30.892933005353928</v>
      </c>
    </row>
    <row r="1641" spans="2:34" x14ac:dyDescent="0.25">
      <c r="B1641" s="910">
        <v>41123</v>
      </c>
      <c r="C1641" s="581">
        <f t="shared" si="76"/>
        <v>8</v>
      </c>
      <c r="D1641" s="171">
        <v>47.34</v>
      </c>
      <c r="E1641" s="171">
        <v>35.97</v>
      </c>
      <c r="F1641" s="171">
        <v>32.29</v>
      </c>
      <c r="G1641" s="171">
        <v>32.78</v>
      </c>
      <c r="H1641" s="171">
        <v>32.14</v>
      </c>
      <c r="I1641" s="171">
        <v>30.73</v>
      </c>
      <c r="J1641" s="171">
        <v>35.75</v>
      </c>
      <c r="K1641" s="171">
        <v>44.07</v>
      </c>
      <c r="L1641" s="171">
        <v>49.96</v>
      </c>
      <c r="M1641" s="171">
        <v>49.45</v>
      </c>
      <c r="N1641" s="171">
        <v>49.94</v>
      </c>
      <c r="O1641" s="171">
        <v>52.44</v>
      </c>
      <c r="P1641" s="171">
        <v>52.44</v>
      </c>
      <c r="Q1641" s="171">
        <v>54.93</v>
      </c>
      <c r="R1641" s="171">
        <v>49.42</v>
      </c>
      <c r="S1641" s="171">
        <v>49.94</v>
      </c>
      <c r="T1641" s="171">
        <v>49.94</v>
      </c>
      <c r="U1641" s="171">
        <v>54.870000000000005</v>
      </c>
      <c r="V1641" s="171">
        <v>54.93</v>
      </c>
      <c r="W1641" s="171">
        <v>53.19</v>
      </c>
      <c r="X1641" s="171">
        <v>53.04</v>
      </c>
      <c r="Y1641" s="171">
        <v>53.06</v>
      </c>
      <c r="Z1641" s="171">
        <v>51.99</v>
      </c>
      <c r="AA1641" s="171">
        <v>46.61</v>
      </c>
      <c r="AB1641" s="171">
        <v>54.93</v>
      </c>
      <c r="AC1641" s="171">
        <v>44.07</v>
      </c>
      <c r="AD1641" s="171">
        <v>41.31</v>
      </c>
      <c r="AF1641" s="171">
        <f t="shared" si="77"/>
        <v>2012</v>
      </c>
      <c r="AG1641" s="171">
        <f t="shared" si="78"/>
        <v>6</v>
      </c>
      <c r="AH1641" s="700">
        <f>SUMIF(D$3:$AA1641,"&lt;="&amp;$AH$1)/COUNTIF(D$3:$AA1641,"&lt;="&amp;$AH$1)</f>
        <v>30.893967312699012</v>
      </c>
    </row>
    <row r="1642" spans="2:34" x14ac:dyDescent="0.25">
      <c r="B1642" s="910">
        <v>41124</v>
      </c>
      <c r="C1642" s="581">
        <f t="shared" si="76"/>
        <v>8</v>
      </c>
      <c r="D1642" s="171">
        <v>45.64</v>
      </c>
      <c r="E1642" s="171">
        <v>39.85</v>
      </c>
      <c r="F1642" s="171">
        <v>35.96</v>
      </c>
      <c r="G1642" s="171">
        <v>31.75</v>
      </c>
      <c r="H1642" s="171">
        <v>31.16</v>
      </c>
      <c r="I1642" s="171">
        <v>36.71</v>
      </c>
      <c r="J1642" s="171">
        <v>42.11</v>
      </c>
      <c r="K1642" s="171">
        <v>52.11</v>
      </c>
      <c r="L1642" s="171">
        <v>53.44</v>
      </c>
      <c r="M1642" s="171">
        <v>56.120000000000005</v>
      </c>
      <c r="N1642" s="171">
        <v>56.09</v>
      </c>
      <c r="O1642" s="171">
        <v>56.67</v>
      </c>
      <c r="P1642" s="171">
        <v>53.47</v>
      </c>
      <c r="Q1642" s="171">
        <v>49.93</v>
      </c>
      <c r="R1642" s="171">
        <v>48.07</v>
      </c>
      <c r="S1642" s="171">
        <v>45</v>
      </c>
      <c r="T1642" s="171">
        <v>48.25</v>
      </c>
      <c r="U1642" s="171">
        <v>50</v>
      </c>
      <c r="V1642" s="171">
        <v>50.43</v>
      </c>
      <c r="W1642" s="171">
        <v>48.96</v>
      </c>
      <c r="X1642" s="171">
        <v>48.29</v>
      </c>
      <c r="Y1642" s="171">
        <v>46.96</v>
      </c>
      <c r="Z1642" s="171">
        <v>50</v>
      </c>
      <c r="AA1642" s="171">
        <v>49.88</v>
      </c>
      <c r="AB1642" s="171">
        <v>56.67</v>
      </c>
      <c r="AC1642" s="171">
        <v>45</v>
      </c>
      <c r="AD1642" s="171">
        <v>42.53</v>
      </c>
      <c r="AF1642" s="171">
        <f t="shared" si="77"/>
        <v>2012</v>
      </c>
      <c r="AG1642" s="171">
        <f t="shared" si="78"/>
        <v>6</v>
      </c>
      <c r="AH1642" s="700">
        <f>SUMIF(D$3:$AA1642,"&lt;="&amp;$AH$1)/COUNTIF(D$3:$AA1642,"&lt;="&amp;$AH$1)</f>
        <v>30.896293190689743</v>
      </c>
    </row>
    <row r="1643" spans="2:34" x14ac:dyDescent="0.25">
      <c r="B1643" s="910">
        <v>41127</v>
      </c>
      <c r="C1643" s="581">
        <f t="shared" si="76"/>
        <v>8</v>
      </c>
      <c r="D1643" s="171">
        <v>33.28</v>
      </c>
      <c r="E1643" s="171">
        <v>28.09</v>
      </c>
      <c r="F1643" s="171">
        <v>28.1</v>
      </c>
      <c r="G1643" s="171">
        <v>18.61</v>
      </c>
      <c r="H1643" s="171">
        <v>21.18</v>
      </c>
      <c r="I1643" s="171">
        <v>31.16</v>
      </c>
      <c r="J1643" s="171">
        <v>44.08</v>
      </c>
      <c r="K1643" s="171">
        <v>58.83</v>
      </c>
      <c r="L1643" s="171">
        <v>53.02</v>
      </c>
      <c r="M1643" s="171">
        <v>53.02</v>
      </c>
      <c r="N1643" s="171">
        <v>52.03</v>
      </c>
      <c r="O1643" s="171">
        <v>51.95</v>
      </c>
      <c r="P1643" s="171">
        <v>52.34</v>
      </c>
      <c r="Q1643" s="171">
        <v>50.17</v>
      </c>
      <c r="R1643" s="171">
        <v>49.07</v>
      </c>
      <c r="S1643" s="171">
        <v>45.94</v>
      </c>
      <c r="T1643" s="171">
        <v>44.38</v>
      </c>
      <c r="U1643" s="171">
        <v>46.29</v>
      </c>
      <c r="V1643" s="171">
        <v>50.27</v>
      </c>
      <c r="W1643" s="171">
        <v>51</v>
      </c>
      <c r="X1643" s="171">
        <v>50.410000000000004</v>
      </c>
      <c r="Y1643" s="171">
        <v>48.13</v>
      </c>
      <c r="Z1643" s="171">
        <v>47.58</v>
      </c>
      <c r="AA1643" s="171">
        <v>39.21</v>
      </c>
      <c r="AB1643" s="171">
        <v>58.83</v>
      </c>
      <c r="AC1643" s="171">
        <v>44.38</v>
      </c>
      <c r="AD1643" s="171">
        <v>37.39</v>
      </c>
      <c r="AF1643" s="171">
        <f t="shared" si="77"/>
        <v>2012</v>
      </c>
      <c r="AG1643" s="171">
        <f t="shared" si="78"/>
        <v>7</v>
      </c>
      <c r="AH1643" s="700">
        <f>SUMIF(D$3:$AA1643,"&lt;="&amp;$AH$1)/COUNTIF(D$3:$AA1643,"&lt;="&amp;$AH$1)</f>
        <v>30.895090672639398</v>
      </c>
    </row>
    <row r="1644" spans="2:34" x14ac:dyDescent="0.25">
      <c r="B1644" s="910">
        <v>41128</v>
      </c>
      <c r="C1644" s="581">
        <f t="shared" si="76"/>
        <v>8</v>
      </c>
      <c r="D1644" s="171">
        <v>31.330000000000002</v>
      </c>
      <c r="E1644" s="171">
        <v>28.04</v>
      </c>
      <c r="F1644" s="171">
        <v>23.64</v>
      </c>
      <c r="G1644" s="171">
        <v>17.89</v>
      </c>
      <c r="H1644" s="171">
        <v>18.32</v>
      </c>
      <c r="I1644" s="171">
        <v>26.01</v>
      </c>
      <c r="J1644" s="171">
        <v>34.57</v>
      </c>
      <c r="K1644" s="171">
        <v>42.43</v>
      </c>
      <c r="L1644" s="171">
        <v>45.12</v>
      </c>
      <c r="M1644" s="171">
        <v>44.96</v>
      </c>
      <c r="N1644" s="171">
        <v>45</v>
      </c>
      <c r="O1644" s="171">
        <v>48.45</v>
      </c>
      <c r="P1644" s="171">
        <v>50.5</v>
      </c>
      <c r="Q1644" s="171">
        <v>48.46</v>
      </c>
      <c r="R1644" s="171">
        <v>48.22</v>
      </c>
      <c r="S1644" s="171">
        <v>44</v>
      </c>
      <c r="T1644" s="171">
        <v>44.93</v>
      </c>
      <c r="U1644" s="171">
        <v>45.07</v>
      </c>
      <c r="V1644" s="171">
        <v>47.730000000000004</v>
      </c>
      <c r="W1644" s="171">
        <v>48.08</v>
      </c>
      <c r="X1644" s="171">
        <v>47.14</v>
      </c>
      <c r="Y1644" s="171">
        <v>46.96</v>
      </c>
      <c r="Z1644" s="171">
        <v>47.12</v>
      </c>
      <c r="AA1644" s="171">
        <v>45.51</v>
      </c>
      <c r="AB1644" s="171">
        <v>50.5</v>
      </c>
      <c r="AC1644" s="171">
        <v>42.43</v>
      </c>
      <c r="AD1644" s="171">
        <v>34.08</v>
      </c>
      <c r="AF1644" s="171">
        <f t="shared" si="77"/>
        <v>2012</v>
      </c>
      <c r="AG1644" s="171">
        <f t="shared" si="78"/>
        <v>8</v>
      </c>
      <c r="AH1644" s="700">
        <f>SUMIF(D$3:$AA1644,"&lt;="&amp;$AH$1)/COUNTIF(D$3:$AA1644,"&lt;="&amp;$AH$1)</f>
        <v>30.893290490288251</v>
      </c>
    </row>
    <row r="1645" spans="2:34" x14ac:dyDescent="0.25">
      <c r="B1645" s="910">
        <v>41129</v>
      </c>
      <c r="C1645" s="581">
        <f t="shared" si="76"/>
        <v>8</v>
      </c>
      <c r="D1645" s="171">
        <v>36.56</v>
      </c>
      <c r="E1645" s="171">
        <v>31.46</v>
      </c>
      <c r="F1645" s="171">
        <v>30.060000000000002</v>
      </c>
      <c r="G1645" s="171">
        <v>25.04</v>
      </c>
      <c r="H1645" s="171">
        <v>24.79</v>
      </c>
      <c r="I1645" s="171">
        <v>32.49</v>
      </c>
      <c r="J1645" s="171">
        <v>39.480000000000004</v>
      </c>
      <c r="K1645" s="171">
        <v>44.94</v>
      </c>
      <c r="L1645" s="171">
        <v>47.160000000000004</v>
      </c>
      <c r="M1645" s="171">
        <v>49.32</v>
      </c>
      <c r="N1645" s="171">
        <v>49.97</v>
      </c>
      <c r="O1645" s="171">
        <v>51.050000000000004</v>
      </c>
      <c r="P1645" s="171">
        <v>51.02</v>
      </c>
      <c r="Q1645" s="171">
        <v>50.03</v>
      </c>
      <c r="R1645" s="171">
        <v>48.57</v>
      </c>
      <c r="S1645" s="171">
        <v>48.910000000000004</v>
      </c>
      <c r="T1645" s="171">
        <v>48.09</v>
      </c>
      <c r="U1645" s="171">
        <v>50</v>
      </c>
      <c r="V1645" s="171">
        <v>50.51</v>
      </c>
      <c r="W1645" s="171">
        <v>50.99</v>
      </c>
      <c r="X1645" s="171">
        <v>51.95</v>
      </c>
      <c r="Y1645" s="171">
        <v>52.480000000000004</v>
      </c>
      <c r="Z1645" s="171">
        <v>51.42</v>
      </c>
      <c r="AA1645" s="171">
        <v>45.04</v>
      </c>
      <c r="AB1645" s="171">
        <v>52.480000000000004</v>
      </c>
      <c r="AC1645" s="171">
        <v>44.94</v>
      </c>
      <c r="AD1645" s="171">
        <v>38.81</v>
      </c>
      <c r="AF1645" s="171">
        <f t="shared" si="77"/>
        <v>2012</v>
      </c>
      <c r="AG1645" s="171">
        <f t="shared" si="78"/>
        <v>7</v>
      </c>
      <c r="AH1645" s="700">
        <f>SUMIF(D$3:$AA1645,"&lt;="&amp;$AH$1)/COUNTIF(D$3:$AA1645,"&lt;="&amp;$AH$1)</f>
        <v>30.893552251732242</v>
      </c>
    </row>
    <row r="1646" spans="2:34" x14ac:dyDescent="0.25">
      <c r="B1646" s="910">
        <v>41130</v>
      </c>
      <c r="C1646" s="581">
        <f t="shared" si="76"/>
        <v>8</v>
      </c>
      <c r="D1646" s="171">
        <v>46.77</v>
      </c>
      <c r="E1646" s="171">
        <v>39.72</v>
      </c>
      <c r="F1646" s="171">
        <v>36.869999999999997</v>
      </c>
      <c r="G1646" s="171">
        <v>34.08</v>
      </c>
      <c r="H1646" s="171">
        <v>31.69</v>
      </c>
      <c r="I1646" s="171">
        <v>35.47</v>
      </c>
      <c r="J1646" s="171">
        <v>44.550000000000004</v>
      </c>
      <c r="K1646" s="171">
        <v>50.25</v>
      </c>
      <c r="L1646" s="171">
        <v>51.99</v>
      </c>
      <c r="M1646" s="171">
        <v>51.71</v>
      </c>
      <c r="N1646" s="171">
        <v>51.910000000000004</v>
      </c>
      <c r="O1646" s="171">
        <v>53.11</v>
      </c>
      <c r="P1646" s="171">
        <v>51.9</v>
      </c>
      <c r="Q1646" s="171">
        <v>50.34</v>
      </c>
      <c r="R1646" s="171">
        <v>50.67</v>
      </c>
      <c r="S1646" s="171">
        <v>49.94</v>
      </c>
      <c r="T1646" s="171">
        <v>48.46</v>
      </c>
      <c r="U1646" s="171">
        <v>49.660000000000004</v>
      </c>
      <c r="V1646" s="171">
        <v>51.92</v>
      </c>
      <c r="W1646" s="171">
        <v>51.97</v>
      </c>
      <c r="X1646" s="171">
        <v>51.93</v>
      </c>
      <c r="Y1646" s="171">
        <v>50.92</v>
      </c>
      <c r="Z1646" s="171">
        <v>50</v>
      </c>
      <c r="AA1646" s="171">
        <v>45.09</v>
      </c>
      <c r="AB1646" s="171">
        <v>53.11</v>
      </c>
      <c r="AC1646" s="171">
        <v>48.46</v>
      </c>
      <c r="AD1646" s="171">
        <v>43.11</v>
      </c>
      <c r="AF1646" s="171">
        <f t="shared" si="77"/>
        <v>2012</v>
      </c>
      <c r="AG1646" s="171">
        <f t="shared" si="78"/>
        <v>5</v>
      </c>
      <c r="AH1646" s="700">
        <f>SUMIF(D$3:$AA1646,"&lt;="&amp;$AH$1)/COUNTIF(D$3:$AA1646,"&lt;="&amp;$AH$1)</f>
        <v>30.895237717336546</v>
      </c>
    </row>
    <row r="1647" spans="2:34" x14ac:dyDescent="0.25">
      <c r="B1647" s="910">
        <v>41131</v>
      </c>
      <c r="C1647" s="581">
        <f t="shared" si="76"/>
        <v>8</v>
      </c>
      <c r="D1647" s="171">
        <v>38.950000000000003</v>
      </c>
      <c r="E1647" s="171">
        <v>37.72</v>
      </c>
      <c r="F1647" s="171">
        <v>34.39</v>
      </c>
      <c r="G1647" s="171">
        <v>30.05</v>
      </c>
      <c r="H1647" s="171">
        <v>30.1</v>
      </c>
      <c r="I1647" s="171">
        <v>37.97</v>
      </c>
      <c r="J1647" s="171">
        <v>40.980000000000004</v>
      </c>
      <c r="K1647" s="171">
        <v>50</v>
      </c>
      <c r="L1647" s="171">
        <v>50.97</v>
      </c>
      <c r="M1647" s="171">
        <v>50.82</v>
      </c>
      <c r="N1647" s="171">
        <v>51.11</v>
      </c>
      <c r="O1647" s="171">
        <v>51.52</v>
      </c>
      <c r="P1647" s="171">
        <v>50.27</v>
      </c>
      <c r="Q1647" s="171">
        <v>48.2</v>
      </c>
      <c r="R1647" s="171">
        <v>45</v>
      </c>
      <c r="S1647" s="171">
        <v>43.5</v>
      </c>
      <c r="T1647" s="171">
        <v>43.46</v>
      </c>
      <c r="U1647" s="171">
        <v>47.230000000000004</v>
      </c>
      <c r="V1647" s="171">
        <v>49.51</v>
      </c>
      <c r="W1647" s="171">
        <v>49.94</v>
      </c>
      <c r="X1647" s="171">
        <v>48.13</v>
      </c>
      <c r="Y1647" s="171">
        <v>50.800000000000004</v>
      </c>
      <c r="Z1647" s="171">
        <v>50.61</v>
      </c>
      <c r="AA1647" s="171">
        <v>45.25</v>
      </c>
      <c r="AB1647" s="171">
        <v>51.52</v>
      </c>
      <c r="AC1647" s="171">
        <v>43.46</v>
      </c>
      <c r="AD1647" s="171">
        <v>41.25</v>
      </c>
      <c r="AF1647" s="171">
        <f t="shared" si="77"/>
        <v>2012</v>
      </c>
      <c r="AG1647" s="171">
        <f t="shared" si="78"/>
        <v>7</v>
      </c>
      <c r="AH1647" s="700">
        <f>SUMIF(D$3:$AA1647,"&lt;="&amp;$AH$1)/COUNTIF(D$3:$AA1647,"&lt;="&amp;$AH$1)</f>
        <v>30.897681713296926</v>
      </c>
    </row>
    <row r="1648" spans="2:34" x14ac:dyDescent="0.25">
      <c r="B1648" s="910">
        <v>41134</v>
      </c>
      <c r="C1648" s="581">
        <f t="shared" si="76"/>
        <v>8</v>
      </c>
      <c r="D1648" s="171">
        <v>33.619999999999997</v>
      </c>
      <c r="E1648" s="171">
        <v>31.150000000000002</v>
      </c>
      <c r="F1648" s="171">
        <v>29.91</v>
      </c>
      <c r="G1648" s="171">
        <v>29.93</v>
      </c>
      <c r="H1648" s="171">
        <v>26.66</v>
      </c>
      <c r="I1648" s="171">
        <v>31.17</v>
      </c>
      <c r="J1648" s="171">
        <v>39.14</v>
      </c>
      <c r="K1648" s="171">
        <v>47.68</v>
      </c>
      <c r="L1648" s="171">
        <v>53.19</v>
      </c>
      <c r="M1648" s="171">
        <v>53.19</v>
      </c>
      <c r="N1648" s="171">
        <v>52.15</v>
      </c>
      <c r="O1648" s="171">
        <v>63.410000000000004</v>
      </c>
      <c r="P1648" s="171">
        <v>61.72</v>
      </c>
      <c r="Q1648" s="171">
        <v>60</v>
      </c>
      <c r="R1648" s="171">
        <v>56.94</v>
      </c>
      <c r="S1648" s="171">
        <v>52.43</v>
      </c>
      <c r="T1648" s="171">
        <v>53.39</v>
      </c>
      <c r="U1648" s="171">
        <v>56.7</v>
      </c>
      <c r="V1648" s="171">
        <v>53.19</v>
      </c>
      <c r="W1648" s="171">
        <v>52.33</v>
      </c>
      <c r="X1648" s="171">
        <v>50</v>
      </c>
      <c r="Y1648" s="171">
        <v>51.370000000000005</v>
      </c>
      <c r="Z1648" s="171">
        <v>49.6</v>
      </c>
      <c r="AA1648" s="171">
        <v>49.94</v>
      </c>
      <c r="AB1648" s="171">
        <v>63.410000000000004</v>
      </c>
      <c r="AC1648" s="171">
        <v>47.68</v>
      </c>
      <c r="AD1648" s="171">
        <v>39.18</v>
      </c>
      <c r="AF1648" s="171">
        <f t="shared" si="77"/>
        <v>2012</v>
      </c>
      <c r="AG1648" s="171">
        <f t="shared" si="78"/>
        <v>7</v>
      </c>
      <c r="AH1648" s="700">
        <f>SUMIF(D$3:$AA1648,"&lt;="&amp;$AH$1)/COUNTIF(D$3:$AA1648,"&lt;="&amp;$AH$1)</f>
        <v>30.898063423423551</v>
      </c>
    </row>
    <row r="1649" spans="2:34" x14ac:dyDescent="0.25">
      <c r="B1649" s="910">
        <v>41135</v>
      </c>
      <c r="C1649" s="581">
        <f t="shared" si="76"/>
        <v>8</v>
      </c>
      <c r="D1649" s="171">
        <v>44.93</v>
      </c>
      <c r="E1649" s="171">
        <v>39.85</v>
      </c>
      <c r="F1649" s="171">
        <v>37.72</v>
      </c>
      <c r="G1649" s="171">
        <v>36.619999999999997</v>
      </c>
      <c r="H1649" s="171">
        <v>35.03</v>
      </c>
      <c r="I1649" s="171">
        <v>39.43</v>
      </c>
      <c r="J1649" s="171">
        <v>45.09</v>
      </c>
      <c r="K1649" s="171">
        <v>54.95</v>
      </c>
      <c r="L1649" s="171">
        <v>51.24</v>
      </c>
      <c r="M1649" s="171">
        <v>52.09</v>
      </c>
      <c r="N1649" s="171">
        <v>53.75</v>
      </c>
      <c r="O1649" s="171">
        <v>60</v>
      </c>
      <c r="P1649" s="171">
        <v>59.94</v>
      </c>
      <c r="Q1649" s="171">
        <v>60.46</v>
      </c>
      <c r="R1649" s="171">
        <v>59.35</v>
      </c>
      <c r="S1649" s="171">
        <v>54.08</v>
      </c>
      <c r="T1649" s="171">
        <v>54.69</v>
      </c>
      <c r="U1649" s="171">
        <v>54.82</v>
      </c>
      <c r="V1649" s="171">
        <v>55.99</v>
      </c>
      <c r="W1649" s="171">
        <v>56.72</v>
      </c>
      <c r="X1649" s="171">
        <v>54.9</v>
      </c>
      <c r="Y1649" s="171">
        <v>53.19</v>
      </c>
      <c r="Z1649" s="171">
        <v>51.870000000000005</v>
      </c>
      <c r="AA1649" s="171">
        <v>50.160000000000004</v>
      </c>
      <c r="AB1649" s="171">
        <v>60.46</v>
      </c>
      <c r="AC1649" s="171">
        <v>51.24</v>
      </c>
      <c r="AD1649" s="171">
        <v>45.31</v>
      </c>
      <c r="AF1649" s="171">
        <f t="shared" si="77"/>
        <v>2012</v>
      </c>
      <c r="AG1649" s="171">
        <f t="shared" si="78"/>
        <v>5</v>
      </c>
      <c r="AH1649" s="700">
        <f>SUMIF(D$3:$AA1649,"&lt;="&amp;$AH$1)/COUNTIF(D$3:$AA1649,"&lt;="&amp;$AH$1)</f>
        <v>30.900524495677356</v>
      </c>
    </row>
    <row r="1650" spans="2:34" x14ac:dyDescent="0.25">
      <c r="B1650" s="910">
        <v>41136</v>
      </c>
      <c r="C1650" s="581">
        <f t="shared" si="76"/>
        <v>8</v>
      </c>
      <c r="D1650" s="171">
        <v>54.94</v>
      </c>
      <c r="E1650" s="171">
        <v>40</v>
      </c>
      <c r="F1650" s="171">
        <v>34.869999999999997</v>
      </c>
      <c r="G1650" s="171">
        <v>34.520000000000003</v>
      </c>
      <c r="H1650" s="171">
        <v>34.03</v>
      </c>
      <c r="I1650" s="171">
        <v>34.03</v>
      </c>
      <c r="J1650" s="171">
        <v>37.270000000000003</v>
      </c>
      <c r="K1650" s="171">
        <v>49.94</v>
      </c>
      <c r="L1650" s="171">
        <v>54.65</v>
      </c>
      <c r="M1650" s="171">
        <v>59.93</v>
      </c>
      <c r="N1650" s="171">
        <v>56.480000000000004</v>
      </c>
      <c r="O1650" s="171">
        <v>56.480000000000004</v>
      </c>
      <c r="P1650" s="171">
        <v>61.36</v>
      </c>
      <c r="Q1650" s="171">
        <v>60</v>
      </c>
      <c r="R1650" s="171">
        <v>63.800000000000004</v>
      </c>
      <c r="S1650" s="171">
        <v>63.9</v>
      </c>
      <c r="T1650" s="171">
        <v>63.65</v>
      </c>
      <c r="U1650" s="171">
        <v>58.92</v>
      </c>
      <c r="V1650" s="171">
        <v>44.980000000000004</v>
      </c>
      <c r="W1650" s="171">
        <v>50.620000000000005</v>
      </c>
      <c r="X1650" s="171">
        <v>50.77</v>
      </c>
      <c r="Y1650" s="171">
        <v>50.64</v>
      </c>
      <c r="Z1650" s="171">
        <v>50.38</v>
      </c>
      <c r="AA1650" s="171">
        <v>54.94</v>
      </c>
      <c r="AB1650" s="171">
        <v>63.9</v>
      </c>
      <c r="AC1650" s="171">
        <v>44.980000000000004</v>
      </c>
      <c r="AD1650" s="171">
        <v>43.86</v>
      </c>
      <c r="AF1650" s="171">
        <f t="shared" si="77"/>
        <v>2012</v>
      </c>
      <c r="AG1650" s="171">
        <f t="shared" si="78"/>
        <v>6</v>
      </c>
      <c r="AH1650" s="700">
        <f>SUMIF(D$3:$AA1650,"&lt;="&amp;$AH$1)/COUNTIF(D$3:$AA1650,"&lt;="&amp;$AH$1)</f>
        <v>30.902635748235763</v>
      </c>
    </row>
    <row r="1651" spans="2:34" x14ac:dyDescent="0.25">
      <c r="B1651" s="910">
        <v>41137</v>
      </c>
      <c r="C1651" s="581">
        <f t="shared" si="76"/>
        <v>8</v>
      </c>
      <c r="D1651" s="171">
        <v>45.64</v>
      </c>
      <c r="E1651" s="171">
        <v>35.090000000000003</v>
      </c>
      <c r="F1651" s="171">
        <v>35.19</v>
      </c>
      <c r="G1651" s="171">
        <v>35.410000000000004</v>
      </c>
      <c r="H1651" s="171">
        <v>35.04</v>
      </c>
      <c r="I1651" s="171">
        <v>40.18</v>
      </c>
      <c r="J1651" s="171">
        <v>44.13</v>
      </c>
      <c r="K1651" s="171">
        <v>51.6</v>
      </c>
      <c r="L1651" s="171">
        <v>54.67</v>
      </c>
      <c r="M1651" s="171">
        <v>56.61</v>
      </c>
      <c r="N1651" s="171">
        <v>58.94</v>
      </c>
      <c r="O1651" s="171">
        <v>61.64</v>
      </c>
      <c r="P1651" s="171">
        <v>60.08</v>
      </c>
      <c r="Q1651" s="171">
        <v>57.61</v>
      </c>
      <c r="R1651" s="171">
        <v>54.79</v>
      </c>
      <c r="S1651" s="171">
        <v>53.57</v>
      </c>
      <c r="T1651" s="171">
        <v>53.27</v>
      </c>
      <c r="U1651" s="171">
        <v>57.44</v>
      </c>
      <c r="V1651" s="171">
        <v>57.43</v>
      </c>
      <c r="W1651" s="171">
        <v>58.49</v>
      </c>
      <c r="X1651" s="171">
        <v>60.79</v>
      </c>
      <c r="Y1651" s="171">
        <v>61.5</v>
      </c>
      <c r="Z1651" s="171">
        <v>59.84</v>
      </c>
      <c r="AA1651" s="171">
        <v>53.56</v>
      </c>
      <c r="AB1651" s="171">
        <v>61.64</v>
      </c>
      <c r="AC1651" s="171">
        <v>51.6</v>
      </c>
      <c r="AD1651" s="171">
        <v>46.5</v>
      </c>
      <c r="AF1651" s="171">
        <f t="shared" si="77"/>
        <v>2012</v>
      </c>
      <c r="AG1651" s="171">
        <f t="shared" si="78"/>
        <v>5</v>
      </c>
      <c r="AH1651" s="700">
        <f>SUMIF(D$3:$AA1651,"&lt;="&amp;$AH$1)/COUNTIF(D$3:$AA1651,"&lt;="&amp;$AH$1)</f>
        <v>30.904536030523488</v>
      </c>
    </row>
    <row r="1652" spans="2:34" x14ac:dyDescent="0.25">
      <c r="B1652" s="910">
        <v>41138</v>
      </c>
      <c r="C1652" s="581">
        <f t="shared" si="76"/>
        <v>8</v>
      </c>
      <c r="D1652" s="171">
        <v>50</v>
      </c>
      <c r="E1652" s="171">
        <v>48.120000000000005</v>
      </c>
      <c r="F1652" s="171">
        <v>39.68</v>
      </c>
      <c r="G1652" s="171">
        <v>38.050000000000004</v>
      </c>
      <c r="H1652" s="171">
        <v>38.090000000000003</v>
      </c>
      <c r="I1652" s="171">
        <v>38.04</v>
      </c>
      <c r="J1652" s="171">
        <v>46.730000000000004</v>
      </c>
      <c r="K1652" s="171">
        <v>56.97</v>
      </c>
      <c r="L1652" s="171">
        <v>57.9</v>
      </c>
      <c r="M1652" s="171">
        <v>58.27</v>
      </c>
      <c r="N1652" s="171">
        <v>57.93</v>
      </c>
      <c r="O1652" s="171">
        <v>58.9</v>
      </c>
      <c r="P1652" s="171">
        <v>58.07</v>
      </c>
      <c r="Q1652" s="171">
        <v>55.82</v>
      </c>
      <c r="R1652" s="171">
        <v>51.06</v>
      </c>
      <c r="S1652" s="171">
        <v>50.19</v>
      </c>
      <c r="T1652" s="171">
        <v>54.04</v>
      </c>
      <c r="U1652" s="171">
        <v>57.68</v>
      </c>
      <c r="V1652" s="171">
        <v>61.940000000000005</v>
      </c>
      <c r="W1652" s="171">
        <v>61.18</v>
      </c>
      <c r="X1652" s="171">
        <v>57.09</v>
      </c>
      <c r="Y1652" s="171">
        <v>55.19</v>
      </c>
      <c r="Z1652" s="171">
        <v>53.44</v>
      </c>
      <c r="AA1652" s="171">
        <v>49.19</v>
      </c>
      <c r="AB1652" s="171">
        <v>61.940000000000005</v>
      </c>
      <c r="AC1652" s="171">
        <v>50.19</v>
      </c>
      <c r="AD1652" s="171">
        <v>47.550000000000004</v>
      </c>
      <c r="AF1652" s="171">
        <f t="shared" si="77"/>
        <v>2012</v>
      </c>
      <c r="AG1652" s="171">
        <f t="shared" si="78"/>
        <v>4</v>
      </c>
      <c r="AH1652" s="700">
        <f>SUMIF(D$3:$AA1652,"&lt;="&amp;$AH$1)/COUNTIF(D$3:$AA1652,"&lt;="&amp;$AH$1)</f>
        <v>30.906712486506063</v>
      </c>
    </row>
    <row r="1653" spans="2:34" x14ac:dyDescent="0.25">
      <c r="B1653" s="910">
        <v>41141</v>
      </c>
      <c r="C1653" s="581">
        <f t="shared" si="76"/>
        <v>8</v>
      </c>
      <c r="D1653" s="171">
        <v>43.75</v>
      </c>
      <c r="E1653" s="171">
        <v>35.410000000000004</v>
      </c>
      <c r="F1653" s="171">
        <v>34.700000000000003</v>
      </c>
      <c r="G1653" s="171">
        <v>30.69</v>
      </c>
      <c r="H1653" s="171">
        <v>34.550000000000004</v>
      </c>
      <c r="I1653" s="171">
        <v>38.42</v>
      </c>
      <c r="J1653" s="171">
        <v>45.25</v>
      </c>
      <c r="K1653" s="171">
        <v>56.97</v>
      </c>
      <c r="L1653" s="171">
        <v>56.25</v>
      </c>
      <c r="M1653" s="171">
        <v>56.94</v>
      </c>
      <c r="N1653" s="171">
        <v>60.08</v>
      </c>
      <c r="O1653" s="171">
        <v>60.04</v>
      </c>
      <c r="P1653" s="171">
        <v>59.4</v>
      </c>
      <c r="Q1653" s="171">
        <v>56.46</v>
      </c>
      <c r="R1653" s="171">
        <v>52.910000000000004</v>
      </c>
      <c r="S1653" s="171">
        <v>51.36</v>
      </c>
      <c r="T1653" s="171">
        <v>52.230000000000004</v>
      </c>
      <c r="U1653" s="171">
        <v>53.2</v>
      </c>
      <c r="V1653" s="171">
        <v>55.17</v>
      </c>
      <c r="W1653" s="171">
        <v>57.160000000000004</v>
      </c>
      <c r="X1653" s="171">
        <v>59.76</v>
      </c>
      <c r="Y1653" s="171">
        <v>59.96</v>
      </c>
      <c r="Z1653" s="171">
        <v>53.61</v>
      </c>
      <c r="AA1653" s="171">
        <v>46</v>
      </c>
      <c r="AB1653" s="171">
        <v>60.08</v>
      </c>
      <c r="AC1653" s="171">
        <v>51.36</v>
      </c>
      <c r="AD1653" s="171">
        <v>44.92</v>
      </c>
      <c r="AF1653" s="171">
        <f t="shared" si="77"/>
        <v>2012</v>
      </c>
      <c r="AG1653" s="171">
        <f t="shared" si="78"/>
        <v>5</v>
      </c>
      <c r="AH1653" s="700">
        <f>SUMIF(D$3:$AA1653,"&lt;="&amp;$AH$1)/COUNTIF(D$3:$AA1653,"&lt;="&amp;$AH$1)</f>
        <v>30.90809640287782</v>
      </c>
    </row>
    <row r="1654" spans="2:34" x14ac:dyDescent="0.25">
      <c r="B1654" s="910">
        <v>41142</v>
      </c>
      <c r="C1654" s="581">
        <f t="shared" si="76"/>
        <v>8</v>
      </c>
      <c r="D1654" s="171">
        <v>52.01</v>
      </c>
      <c r="E1654" s="171">
        <v>44.38</v>
      </c>
      <c r="F1654" s="171">
        <v>43.04</v>
      </c>
      <c r="G1654" s="171">
        <v>41.17</v>
      </c>
      <c r="H1654" s="171">
        <v>40.050000000000004</v>
      </c>
      <c r="I1654" s="171">
        <v>43.1</v>
      </c>
      <c r="J1654" s="171">
        <v>56.800000000000004</v>
      </c>
      <c r="K1654" s="171">
        <v>69.38</v>
      </c>
      <c r="L1654" s="171">
        <v>62.660000000000004</v>
      </c>
      <c r="M1654" s="171">
        <v>70.84</v>
      </c>
      <c r="N1654" s="171">
        <v>68.02</v>
      </c>
      <c r="O1654" s="171">
        <v>67.78</v>
      </c>
      <c r="P1654" s="171">
        <v>66.180000000000007</v>
      </c>
      <c r="Q1654" s="171">
        <v>64.36</v>
      </c>
      <c r="R1654" s="171">
        <v>65.570000000000007</v>
      </c>
      <c r="S1654" s="171">
        <v>65.73</v>
      </c>
      <c r="T1654" s="171">
        <v>65.06</v>
      </c>
      <c r="U1654" s="171">
        <v>69.150000000000006</v>
      </c>
      <c r="V1654" s="171">
        <v>69.31</v>
      </c>
      <c r="W1654" s="171">
        <v>63.980000000000004</v>
      </c>
      <c r="X1654" s="171">
        <v>65.570000000000007</v>
      </c>
      <c r="Y1654" s="171">
        <v>67.81</v>
      </c>
      <c r="Z1654" s="171">
        <v>56.910000000000004</v>
      </c>
      <c r="AA1654" s="171">
        <v>49.54</v>
      </c>
      <c r="AB1654" s="171">
        <v>70.84</v>
      </c>
      <c r="AC1654" s="171">
        <v>56.910000000000004</v>
      </c>
      <c r="AD1654" s="171">
        <v>52.480000000000004</v>
      </c>
      <c r="AF1654" s="171">
        <f t="shared" si="77"/>
        <v>2012</v>
      </c>
      <c r="AG1654" s="171">
        <f t="shared" si="78"/>
        <v>2</v>
      </c>
      <c r="AH1654" s="700">
        <f>SUMIF(D$3:$AA1654,"&lt;="&amp;$AH$1)/COUNTIF(D$3:$AA1654,"&lt;="&amp;$AH$1)</f>
        <v>30.909492159401648</v>
      </c>
    </row>
    <row r="1655" spans="2:34" x14ac:dyDescent="0.25">
      <c r="B1655" s="910">
        <v>41143</v>
      </c>
      <c r="C1655" s="581">
        <f t="shared" si="76"/>
        <v>8</v>
      </c>
      <c r="D1655" s="171">
        <v>48.52</v>
      </c>
      <c r="E1655" s="171">
        <v>41.38</v>
      </c>
      <c r="F1655" s="171">
        <v>39.980000000000004</v>
      </c>
      <c r="G1655" s="171">
        <v>39.800000000000004</v>
      </c>
      <c r="H1655" s="171">
        <v>38.660000000000004</v>
      </c>
      <c r="I1655" s="171">
        <v>40.06</v>
      </c>
      <c r="J1655" s="171">
        <v>47.59</v>
      </c>
      <c r="K1655" s="171">
        <v>54.050000000000004</v>
      </c>
      <c r="L1655" s="171">
        <v>60</v>
      </c>
      <c r="M1655" s="171">
        <v>57.58</v>
      </c>
      <c r="N1655" s="171">
        <v>58.93</v>
      </c>
      <c r="O1655" s="171">
        <v>59.88</v>
      </c>
      <c r="P1655" s="171">
        <v>56.1</v>
      </c>
      <c r="Q1655" s="171">
        <v>56.22</v>
      </c>
      <c r="R1655" s="171">
        <v>55.75</v>
      </c>
      <c r="S1655" s="171">
        <v>48.07</v>
      </c>
      <c r="T1655" s="171">
        <v>48.6</v>
      </c>
      <c r="U1655" s="171">
        <v>51.99</v>
      </c>
      <c r="V1655" s="171">
        <v>55.93</v>
      </c>
      <c r="W1655" s="171">
        <v>56.93</v>
      </c>
      <c r="X1655" s="171">
        <v>54</v>
      </c>
      <c r="Y1655" s="171">
        <v>55.57</v>
      </c>
      <c r="Z1655" s="171">
        <v>54.07</v>
      </c>
      <c r="AA1655" s="171">
        <v>49.050000000000004</v>
      </c>
      <c r="AB1655" s="171">
        <v>60</v>
      </c>
      <c r="AC1655" s="171">
        <v>48.07</v>
      </c>
      <c r="AD1655" s="171">
        <v>46.89</v>
      </c>
      <c r="AF1655" s="171">
        <f t="shared" si="77"/>
        <v>2012</v>
      </c>
      <c r="AG1655" s="171">
        <f t="shared" si="78"/>
        <v>5</v>
      </c>
      <c r="AH1655" s="700">
        <f>SUMIF(D$3:$AA1655,"&lt;="&amp;$AH$1)/COUNTIF(D$3:$AA1655,"&lt;="&amp;$AH$1)</f>
        <v>30.91275185158565</v>
      </c>
    </row>
    <row r="1656" spans="2:34" x14ac:dyDescent="0.25">
      <c r="B1656" s="910">
        <v>41144</v>
      </c>
      <c r="C1656" s="581">
        <f t="shared" si="76"/>
        <v>8</v>
      </c>
      <c r="D1656" s="171">
        <v>42.86</v>
      </c>
      <c r="E1656" s="171">
        <v>42.06</v>
      </c>
      <c r="F1656" s="171">
        <v>39.68</v>
      </c>
      <c r="G1656" s="171">
        <v>36.89</v>
      </c>
      <c r="H1656" s="171">
        <v>38.04</v>
      </c>
      <c r="I1656" s="171">
        <v>40.33</v>
      </c>
      <c r="J1656" s="171">
        <v>50.31</v>
      </c>
      <c r="K1656" s="171">
        <v>56.96</v>
      </c>
      <c r="L1656" s="171">
        <v>55.89</v>
      </c>
      <c r="M1656" s="171">
        <v>58.09</v>
      </c>
      <c r="N1656" s="171">
        <v>57.6</v>
      </c>
      <c r="O1656" s="171">
        <v>57.61</v>
      </c>
      <c r="P1656" s="171">
        <v>57</v>
      </c>
      <c r="Q1656" s="171">
        <v>56.18</v>
      </c>
      <c r="R1656" s="171">
        <v>53.19</v>
      </c>
      <c r="S1656" s="171">
        <v>53.53</v>
      </c>
      <c r="T1656" s="171">
        <v>54.97</v>
      </c>
      <c r="U1656" s="171">
        <v>58.79</v>
      </c>
      <c r="V1656" s="171">
        <v>59.95</v>
      </c>
      <c r="W1656" s="171">
        <v>64.930000000000007</v>
      </c>
      <c r="X1656" s="171">
        <v>70.040000000000006</v>
      </c>
      <c r="Y1656" s="171">
        <v>64</v>
      </c>
      <c r="Z1656" s="171">
        <v>59.96</v>
      </c>
      <c r="AA1656" s="171">
        <v>50</v>
      </c>
      <c r="AB1656" s="171">
        <v>70.040000000000006</v>
      </c>
      <c r="AC1656" s="171">
        <v>53.19</v>
      </c>
      <c r="AD1656" s="171">
        <v>49.26</v>
      </c>
      <c r="AF1656" s="171">
        <f t="shared" si="77"/>
        <v>2012</v>
      </c>
      <c r="AG1656" s="171">
        <f t="shared" si="78"/>
        <v>5</v>
      </c>
      <c r="AH1656" s="700">
        <f>SUMIF(D$3:$AA1656,"&lt;="&amp;$AH$1)/COUNTIF(D$3:$AA1656,"&lt;="&amp;$AH$1)</f>
        <v>30.915802185164004</v>
      </c>
    </row>
    <row r="1657" spans="2:34" x14ac:dyDescent="0.25">
      <c r="B1657" s="910">
        <v>41145</v>
      </c>
      <c r="C1657" s="581">
        <f t="shared" si="76"/>
        <v>8</v>
      </c>
      <c r="D1657" s="171">
        <v>42.86</v>
      </c>
      <c r="E1657" s="171">
        <v>42.06</v>
      </c>
      <c r="F1657" s="171">
        <v>39.68</v>
      </c>
      <c r="G1657" s="171">
        <v>36.89</v>
      </c>
      <c r="H1657" s="171">
        <v>38.04</v>
      </c>
      <c r="I1657" s="171">
        <v>40.33</v>
      </c>
      <c r="J1657" s="171">
        <v>50.31</v>
      </c>
      <c r="K1657" s="171">
        <v>56.96</v>
      </c>
      <c r="L1657" s="171">
        <v>55.89</v>
      </c>
      <c r="M1657" s="171">
        <v>58.09</v>
      </c>
      <c r="N1657" s="171">
        <v>57.6</v>
      </c>
      <c r="O1657" s="171">
        <v>57.61</v>
      </c>
      <c r="P1657" s="171">
        <v>57</v>
      </c>
      <c r="Q1657" s="171">
        <v>56.18</v>
      </c>
      <c r="R1657" s="171">
        <v>53.19</v>
      </c>
      <c r="S1657" s="171">
        <v>53.53</v>
      </c>
      <c r="T1657" s="171">
        <v>54.97</v>
      </c>
      <c r="U1657" s="171">
        <v>58.79</v>
      </c>
      <c r="V1657" s="171">
        <v>59.95</v>
      </c>
      <c r="W1657" s="171">
        <v>64.930000000000007</v>
      </c>
      <c r="X1657" s="171">
        <v>70.040000000000006</v>
      </c>
      <c r="Y1657" s="171">
        <v>64</v>
      </c>
      <c r="Z1657" s="171">
        <v>59.96</v>
      </c>
      <c r="AA1657" s="171">
        <v>50</v>
      </c>
      <c r="AB1657" s="171">
        <v>70.040000000000006</v>
      </c>
      <c r="AC1657" s="171">
        <v>53.19</v>
      </c>
      <c r="AD1657" s="171">
        <v>49.26</v>
      </c>
      <c r="AF1657" s="171">
        <f t="shared" si="77"/>
        <v>2012</v>
      </c>
      <c r="AG1657" s="171">
        <f t="shared" si="78"/>
        <v>5</v>
      </c>
      <c r="AH1657" s="700">
        <f>SUMIF(D$3:$AA1657,"&lt;="&amp;$AH$1)/COUNTIF(D$3:$AA1657,"&lt;="&amp;$AH$1)</f>
        <v>30.918850326938394</v>
      </c>
    </row>
    <row r="1658" spans="2:34" x14ac:dyDescent="0.25">
      <c r="B1658" s="910">
        <v>41148</v>
      </c>
      <c r="C1658" s="581">
        <f t="shared" si="76"/>
        <v>8</v>
      </c>
      <c r="D1658" s="171">
        <v>43.61</v>
      </c>
      <c r="E1658" s="171">
        <v>39.56</v>
      </c>
      <c r="F1658" s="171">
        <v>35.07</v>
      </c>
      <c r="G1658" s="171">
        <v>32.76</v>
      </c>
      <c r="H1658" s="171">
        <v>31.36</v>
      </c>
      <c r="I1658" s="171">
        <v>40.04</v>
      </c>
      <c r="J1658" s="171">
        <v>50.18</v>
      </c>
      <c r="K1658" s="171">
        <v>57.910000000000004</v>
      </c>
      <c r="L1658" s="171">
        <v>55.620000000000005</v>
      </c>
      <c r="M1658" s="171">
        <v>52.59</v>
      </c>
      <c r="N1658" s="171">
        <v>51.99</v>
      </c>
      <c r="O1658" s="171">
        <v>53.92</v>
      </c>
      <c r="P1658" s="171">
        <v>56.18</v>
      </c>
      <c r="Q1658" s="171">
        <v>60.1</v>
      </c>
      <c r="R1658" s="171">
        <v>53.89</v>
      </c>
      <c r="S1658" s="171">
        <v>49.96</v>
      </c>
      <c r="T1658" s="171">
        <v>49.07</v>
      </c>
      <c r="U1658" s="171">
        <v>56.28</v>
      </c>
      <c r="V1658" s="171">
        <v>67.12</v>
      </c>
      <c r="W1658" s="171">
        <v>66.710000000000008</v>
      </c>
      <c r="X1658" s="171">
        <v>65.2</v>
      </c>
      <c r="Y1658" s="171">
        <v>56.1</v>
      </c>
      <c r="Z1658" s="171">
        <v>50</v>
      </c>
      <c r="AA1658" s="171">
        <v>45</v>
      </c>
      <c r="AB1658" s="171">
        <v>67.12</v>
      </c>
      <c r="AC1658" s="171">
        <v>49.07</v>
      </c>
      <c r="AD1658" s="171">
        <v>45.57</v>
      </c>
      <c r="AF1658" s="171">
        <f t="shared" si="77"/>
        <v>2012</v>
      </c>
      <c r="AG1658" s="171">
        <f t="shared" si="78"/>
        <v>5</v>
      </c>
      <c r="AH1658" s="700">
        <f>SUMIF(D$3:$AA1658,"&lt;="&amp;$AH$1)/COUNTIF(D$3:$AA1658,"&lt;="&amp;$AH$1)</f>
        <v>30.920588277546447</v>
      </c>
    </row>
    <row r="1659" spans="2:34" x14ac:dyDescent="0.25">
      <c r="B1659" s="910">
        <v>41149</v>
      </c>
      <c r="C1659" s="581">
        <f t="shared" si="76"/>
        <v>8</v>
      </c>
      <c r="D1659" s="171">
        <v>43.61</v>
      </c>
      <c r="E1659" s="171">
        <v>39.56</v>
      </c>
      <c r="F1659" s="171">
        <v>35.07</v>
      </c>
      <c r="G1659" s="171">
        <v>32.76</v>
      </c>
      <c r="H1659" s="171">
        <v>31.36</v>
      </c>
      <c r="I1659" s="171">
        <v>40.04</v>
      </c>
      <c r="J1659" s="171">
        <v>50.18</v>
      </c>
      <c r="K1659" s="171">
        <v>57.910000000000004</v>
      </c>
      <c r="L1659" s="171">
        <v>55.620000000000005</v>
      </c>
      <c r="M1659" s="171">
        <v>52.59</v>
      </c>
      <c r="N1659" s="171">
        <v>51.99</v>
      </c>
      <c r="O1659" s="171">
        <v>53.92</v>
      </c>
      <c r="P1659" s="171">
        <v>56.18</v>
      </c>
      <c r="Q1659" s="171">
        <v>60.1</v>
      </c>
      <c r="R1659" s="171">
        <v>53.89</v>
      </c>
      <c r="S1659" s="171">
        <v>49.96</v>
      </c>
      <c r="T1659" s="171">
        <v>49.07</v>
      </c>
      <c r="U1659" s="171">
        <v>56.28</v>
      </c>
      <c r="V1659" s="171">
        <v>67.12</v>
      </c>
      <c r="W1659" s="171">
        <v>66.710000000000008</v>
      </c>
      <c r="X1659" s="171">
        <v>65.2</v>
      </c>
      <c r="Y1659" s="171">
        <v>56.1</v>
      </c>
      <c r="Z1659" s="171">
        <v>50</v>
      </c>
      <c r="AA1659" s="171">
        <v>45</v>
      </c>
      <c r="AB1659" s="171">
        <v>67.12</v>
      </c>
      <c r="AC1659" s="171">
        <v>49.07</v>
      </c>
      <c r="AD1659" s="171">
        <v>45.57</v>
      </c>
      <c r="AF1659" s="171">
        <f t="shared" si="77"/>
        <v>2012</v>
      </c>
      <c r="AG1659" s="171">
        <f t="shared" si="78"/>
        <v>5</v>
      </c>
      <c r="AH1659" s="700">
        <f>SUMIF(D$3:$AA1659,"&lt;="&amp;$AH$1)/COUNTIF(D$3:$AA1659,"&lt;="&amp;$AH$1)</f>
        <v>30.922324980254299</v>
      </c>
    </row>
    <row r="1660" spans="2:34" x14ac:dyDescent="0.25">
      <c r="B1660" s="910">
        <v>41150</v>
      </c>
      <c r="C1660" s="581">
        <f t="shared" si="76"/>
        <v>8</v>
      </c>
      <c r="D1660" s="171">
        <v>41.980000000000004</v>
      </c>
      <c r="E1660" s="171">
        <v>42.02</v>
      </c>
      <c r="F1660" s="171">
        <v>40.5</v>
      </c>
      <c r="G1660" s="171">
        <v>39.39</v>
      </c>
      <c r="H1660" s="171">
        <v>40.04</v>
      </c>
      <c r="I1660" s="171">
        <v>42.21</v>
      </c>
      <c r="J1660" s="171">
        <v>47.27</v>
      </c>
      <c r="K1660" s="171">
        <v>57.92</v>
      </c>
      <c r="L1660" s="171">
        <v>61.67</v>
      </c>
      <c r="M1660" s="171">
        <v>61.22</v>
      </c>
      <c r="N1660" s="171">
        <v>60.99</v>
      </c>
      <c r="O1660" s="171">
        <v>60.56</v>
      </c>
      <c r="P1660" s="171">
        <v>59.97</v>
      </c>
      <c r="Q1660" s="171">
        <v>57.38</v>
      </c>
      <c r="R1660" s="171">
        <v>53.07</v>
      </c>
      <c r="S1660" s="171">
        <v>52.59</v>
      </c>
      <c r="T1660" s="171">
        <v>53.27</v>
      </c>
      <c r="U1660" s="171">
        <v>57.72</v>
      </c>
      <c r="V1660" s="171">
        <v>58.09</v>
      </c>
      <c r="W1660" s="171">
        <v>57.96</v>
      </c>
      <c r="X1660" s="171">
        <v>57.94</v>
      </c>
      <c r="Y1660" s="171">
        <v>55.660000000000004</v>
      </c>
      <c r="Z1660" s="171">
        <v>50.800000000000004</v>
      </c>
      <c r="AA1660" s="171">
        <v>43.95</v>
      </c>
      <c r="AB1660" s="171">
        <v>61.67</v>
      </c>
      <c r="AC1660" s="171">
        <v>50.800000000000004</v>
      </c>
      <c r="AD1660" s="171">
        <v>46.64</v>
      </c>
      <c r="AF1660" s="171">
        <f t="shared" si="77"/>
        <v>2012</v>
      </c>
      <c r="AG1660" s="171">
        <f t="shared" si="78"/>
        <v>6</v>
      </c>
      <c r="AH1660" s="700">
        <f>SUMIF(D$3:$AA1660,"&lt;="&amp;$AH$1)/COUNTIF(D$3:$AA1660,"&lt;="&amp;$AH$1)</f>
        <v>30.926674800832672</v>
      </c>
    </row>
    <row r="1661" spans="2:34" x14ac:dyDescent="0.25">
      <c r="B1661" s="910">
        <v>41151</v>
      </c>
      <c r="C1661" s="581">
        <f t="shared" si="76"/>
        <v>8</v>
      </c>
      <c r="D1661" s="171">
        <v>44.1</v>
      </c>
      <c r="E1661" s="171">
        <v>41.1</v>
      </c>
      <c r="F1661" s="171">
        <v>39.36</v>
      </c>
      <c r="G1661" s="171">
        <v>37.369999999999997</v>
      </c>
      <c r="H1661" s="171">
        <v>37.76</v>
      </c>
      <c r="I1661" s="171">
        <v>40.36</v>
      </c>
      <c r="J1661" s="171">
        <v>46.92</v>
      </c>
      <c r="K1661" s="171">
        <v>53.08</v>
      </c>
      <c r="L1661" s="171">
        <v>57.97</v>
      </c>
      <c r="M1661" s="171">
        <v>57.550000000000004</v>
      </c>
      <c r="N1661" s="171">
        <v>60.11</v>
      </c>
      <c r="O1661" s="171">
        <v>62.480000000000004</v>
      </c>
      <c r="P1661" s="171">
        <v>61.79</v>
      </c>
      <c r="Q1661" s="171">
        <v>60.99</v>
      </c>
      <c r="R1661" s="171">
        <v>59.1</v>
      </c>
      <c r="S1661" s="171">
        <v>57.95</v>
      </c>
      <c r="T1661" s="171">
        <v>54.52</v>
      </c>
      <c r="U1661" s="171">
        <v>56.52</v>
      </c>
      <c r="V1661" s="171">
        <v>58.59</v>
      </c>
      <c r="W1661" s="171">
        <v>57.51</v>
      </c>
      <c r="X1661" s="171">
        <v>61.11</v>
      </c>
      <c r="Y1661" s="171">
        <v>57.07</v>
      </c>
      <c r="Z1661" s="171">
        <v>51.82</v>
      </c>
      <c r="AA1661" s="171">
        <v>45.36</v>
      </c>
      <c r="AB1661" s="171">
        <v>62.480000000000004</v>
      </c>
      <c r="AC1661" s="171">
        <v>51.82</v>
      </c>
      <c r="AD1661" s="171">
        <v>46.28</v>
      </c>
      <c r="AF1661" s="171">
        <f t="shared" si="77"/>
        <v>2012</v>
      </c>
      <c r="AG1661" s="171">
        <f t="shared" si="78"/>
        <v>5</v>
      </c>
      <c r="AH1661" s="700">
        <f>SUMIF(D$3:$AA1661,"&lt;="&amp;$AH$1)/COUNTIF(D$3:$AA1661,"&lt;="&amp;$AH$1)</f>
        <v>30.929639116085635</v>
      </c>
    </row>
    <row r="1662" spans="2:34" x14ac:dyDescent="0.25">
      <c r="B1662" s="910">
        <v>41152</v>
      </c>
      <c r="C1662" s="581">
        <f t="shared" si="76"/>
        <v>8</v>
      </c>
      <c r="D1662" s="171">
        <v>43.25</v>
      </c>
      <c r="E1662" s="171">
        <v>38.54</v>
      </c>
      <c r="F1662" s="171">
        <v>37.01</v>
      </c>
      <c r="G1662" s="171">
        <v>35.94</v>
      </c>
      <c r="H1662" s="171">
        <v>37.04</v>
      </c>
      <c r="I1662" s="171">
        <v>39.81</v>
      </c>
      <c r="J1662" s="171">
        <v>44.15</v>
      </c>
      <c r="K1662" s="171">
        <v>55</v>
      </c>
      <c r="L1662" s="171">
        <v>59.77</v>
      </c>
      <c r="M1662" s="171">
        <v>65.69</v>
      </c>
      <c r="N1662" s="171">
        <v>66.989999999999995</v>
      </c>
      <c r="O1662" s="171">
        <v>66.489999999999995</v>
      </c>
      <c r="P1662" s="171">
        <v>64.52</v>
      </c>
      <c r="Q1662" s="171">
        <v>60.99</v>
      </c>
      <c r="R1662" s="171">
        <v>54.67</v>
      </c>
      <c r="S1662" s="171">
        <v>48.54</v>
      </c>
      <c r="T1662" s="171">
        <v>47.44</v>
      </c>
      <c r="U1662" s="171">
        <v>48.28</v>
      </c>
      <c r="V1662" s="171">
        <v>50.660000000000004</v>
      </c>
      <c r="W1662" s="171">
        <v>48.96</v>
      </c>
      <c r="X1662" s="171">
        <v>55</v>
      </c>
      <c r="Y1662" s="171">
        <v>48.89</v>
      </c>
      <c r="Z1662" s="171">
        <v>50.71</v>
      </c>
      <c r="AA1662" s="171">
        <v>48.800000000000004</v>
      </c>
      <c r="AB1662" s="171">
        <v>66.989999999999995</v>
      </c>
      <c r="AC1662" s="171">
        <v>47.44</v>
      </c>
      <c r="AD1662" s="171">
        <v>44.51</v>
      </c>
      <c r="AF1662" s="171">
        <f t="shared" si="77"/>
        <v>2012</v>
      </c>
      <c r="AG1662" s="171">
        <f t="shared" si="78"/>
        <v>5</v>
      </c>
      <c r="AH1662" s="700">
        <f>SUMIF(D$3:$AA1662,"&lt;="&amp;$AH$1)/COUNTIF(D$3:$AA1662,"&lt;="&amp;$AH$1)</f>
        <v>30.932055511726425</v>
      </c>
    </row>
    <row r="1663" spans="2:34" x14ac:dyDescent="0.25">
      <c r="B1663" s="910">
        <v>41155</v>
      </c>
      <c r="C1663" s="581">
        <f t="shared" si="76"/>
        <v>9</v>
      </c>
      <c r="D1663" s="171">
        <v>52.44</v>
      </c>
      <c r="E1663" s="171">
        <v>46.800000000000004</v>
      </c>
      <c r="F1663" s="171">
        <v>35.840000000000003</v>
      </c>
      <c r="G1663" s="171">
        <v>34.33</v>
      </c>
      <c r="H1663" s="171">
        <v>31.57</v>
      </c>
      <c r="I1663" s="171">
        <v>35.480000000000004</v>
      </c>
      <c r="J1663" s="171">
        <v>55.11</v>
      </c>
      <c r="K1663" s="171">
        <v>60</v>
      </c>
      <c r="L1663" s="171">
        <v>62.22</v>
      </c>
      <c r="M1663" s="171">
        <v>61.86</v>
      </c>
      <c r="N1663" s="171">
        <v>62.82</v>
      </c>
      <c r="O1663" s="171">
        <v>63.2</v>
      </c>
      <c r="P1663" s="171">
        <v>57.92</v>
      </c>
      <c r="Q1663" s="171">
        <v>57.03</v>
      </c>
      <c r="R1663" s="171">
        <v>57.99</v>
      </c>
      <c r="S1663" s="171">
        <v>55.15</v>
      </c>
      <c r="T1663" s="171">
        <v>53.2</v>
      </c>
      <c r="U1663" s="171">
        <v>55.13</v>
      </c>
      <c r="V1663" s="171">
        <v>58.09</v>
      </c>
      <c r="W1663" s="171">
        <v>58.72</v>
      </c>
      <c r="X1663" s="171">
        <v>59.06</v>
      </c>
      <c r="Y1663" s="171">
        <v>55.43</v>
      </c>
      <c r="Z1663" s="171">
        <v>50</v>
      </c>
      <c r="AA1663" s="171">
        <v>44.93</v>
      </c>
      <c r="AB1663" s="171">
        <v>63.2</v>
      </c>
      <c r="AC1663" s="171">
        <v>50</v>
      </c>
      <c r="AD1663" s="171">
        <v>46.75</v>
      </c>
      <c r="AF1663" s="171">
        <f t="shared" si="77"/>
        <v>2012</v>
      </c>
      <c r="AG1663" s="171">
        <f t="shared" si="78"/>
        <v>4</v>
      </c>
      <c r="AH1663" s="700">
        <f>SUMIF(D$3:$AA1663,"&lt;="&amp;$AH$1)/COUNTIF(D$3:$AA1663,"&lt;="&amp;$AH$1)</f>
        <v>30.933022872302399</v>
      </c>
    </row>
    <row r="1664" spans="2:34" x14ac:dyDescent="0.25">
      <c r="B1664" s="910">
        <v>41156</v>
      </c>
      <c r="C1664" s="581">
        <f t="shared" si="76"/>
        <v>9</v>
      </c>
      <c r="D1664" s="171">
        <v>45.17</v>
      </c>
      <c r="E1664" s="171">
        <v>38.43</v>
      </c>
      <c r="F1664" s="171">
        <v>37.17</v>
      </c>
      <c r="G1664" s="171">
        <v>35.65</v>
      </c>
      <c r="H1664" s="171">
        <v>37</v>
      </c>
      <c r="I1664" s="171">
        <v>39.5</v>
      </c>
      <c r="J1664" s="171">
        <v>45.01</v>
      </c>
      <c r="K1664" s="171">
        <v>56.56</v>
      </c>
      <c r="L1664" s="171">
        <v>59.43</v>
      </c>
      <c r="M1664" s="171">
        <v>57.910000000000004</v>
      </c>
      <c r="N1664" s="171">
        <v>59.94</v>
      </c>
      <c r="O1664" s="171">
        <v>64.81</v>
      </c>
      <c r="P1664" s="171">
        <v>64.94</v>
      </c>
      <c r="Q1664" s="171">
        <v>66.570000000000007</v>
      </c>
      <c r="R1664" s="171">
        <v>61.32</v>
      </c>
      <c r="S1664" s="171">
        <v>54.94</v>
      </c>
      <c r="T1664" s="171">
        <v>53</v>
      </c>
      <c r="U1664" s="171">
        <v>56.72</v>
      </c>
      <c r="V1664" s="171">
        <v>59.97</v>
      </c>
      <c r="W1664" s="171">
        <v>60.99</v>
      </c>
      <c r="X1664" s="171">
        <v>61.27</v>
      </c>
      <c r="Y1664" s="171">
        <v>61.11</v>
      </c>
      <c r="Z1664" s="171">
        <v>54.44</v>
      </c>
      <c r="AA1664" s="171">
        <v>49.910000000000004</v>
      </c>
      <c r="AB1664" s="171">
        <v>66.570000000000007</v>
      </c>
      <c r="AC1664" s="171">
        <v>53</v>
      </c>
      <c r="AD1664" s="171">
        <v>46.77</v>
      </c>
      <c r="AF1664" s="171">
        <f t="shared" si="77"/>
        <v>2012</v>
      </c>
      <c r="AG1664" s="171">
        <f t="shared" si="78"/>
        <v>5</v>
      </c>
      <c r="AH1664" s="700">
        <f>SUMIF(D$3:$AA1664,"&lt;="&amp;$AH$1)/COUNTIF(D$3:$AA1664,"&lt;="&amp;$AH$1)</f>
        <v>30.93539420871571</v>
      </c>
    </row>
    <row r="1665" spans="2:34" x14ac:dyDescent="0.25">
      <c r="B1665" s="910">
        <v>41157</v>
      </c>
      <c r="C1665" s="581">
        <f t="shared" si="76"/>
        <v>9</v>
      </c>
      <c r="D1665" s="171">
        <v>44.94</v>
      </c>
      <c r="E1665" s="171">
        <v>37.08</v>
      </c>
      <c r="F1665" s="171">
        <v>40</v>
      </c>
      <c r="G1665" s="171">
        <v>36.19</v>
      </c>
      <c r="H1665" s="171">
        <v>34.89</v>
      </c>
      <c r="I1665" s="171">
        <v>39.47</v>
      </c>
      <c r="J1665" s="171">
        <v>46.95</v>
      </c>
      <c r="K1665" s="171">
        <v>58.13</v>
      </c>
      <c r="L1665" s="171">
        <v>59.76</v>
      </c>
      <c r="M1665" s="171">
        <v>57.54</v>
      </c>
      <c r="N1665" s="171">
        <v>59.94</v>
      </c>
      <c r="O1665" s="171">
        <v>64.11</v>
      </c>
      <c r="P1665" s="171">
        <v>60.46</v>
      </c>
      <c r="Q1665" s="171">
        <v>62.230000000000004</v>
      </c>
      <c r="R1665" s="171">
        <v>58.35</v>
      </c>
      <c r="S1665" s="171">
        <v>56.83</v>
      </c>
      <c r="T1665" s="171">
        <v>54.93</v>
      </c>
      <c r="U1665" s="171">
        <v>59.93</v>
      </c>
      <c r="V1665" s="171">
        <v>56.83</v>
      </c>
      <c r="W1665" s="171">
        <v>56.97</v>
      </c>
      <c r="X1665" s="171">
        <v>59.86</v>
      </c>
      <c r="Y1665" s="171">
        <v>65.44</v>
      </c>
      <c r="Z1665" s="171">
        <v>54.85</v>
      </c>
      <c r="AA1665" s="171">
        <v>51.27</v>
      </c>
      <c r="AB1665" s="171">
        <v>65.44</v>
      </c>
      <c r="AC1665" s="171">
        <v>54.85</v>
      </c>
      <c r="AD1665" s="171">
        <v>47.42</v>
      </c>
      <c r="AF1665" s="171">
        <f t="shared" si="77"/>
        <v>2012</v>
      </c>
      <c r="AG1665" s="171">
        <f t="shared" si="78"/>
        <v>5</v>
      </c>
      <c r="AH1665" s="700">
        <f>SUMIF(D$3:$AA1665,"&lt;="&amp;$AH$1)/COUNTIF(D$3:$AA1665,"&lt;="&amp;$AH$1)</f>
        <v>30.937755248262633</v>
      </c>
    </row>
    <row r="1666" spans="2:34" x14ac:dyDescent="0.25">
      <c r="B1666" s="910">
        <v>41158</v>
      </c>
      <c r="C1666" s="581">
        <f t="shared" si="76"/>
        <v>9</v>
      </c>
      <c r="D1666" s="171">
        <v>54.94</v>
      </c>
      <c r="E1666" s="171">
        <v>38.880000000000003</v>
      </c>
      <c r="F1666" s="171">
        <v>39</v>
      </c>
      <c r="G1666" s="171">
        <v>38.25</v>
      </c>
      <c r="H1666" s="171">
        <v>39.64</v>
      </c>
      <c r="I1666" s="171">
        <v>40.07</v>
      </c>
      <c r="J1666" s="171">
        <v>48.72</v>
      </c>
      <c r="K1666" s="171">
        <v>59.09</v>
      </c>
      <c r="L1666" s="171">
        <v>62</v>
      </c>
      <c r="M1666" s="171">
        <v>62.35</v>
      </c>
      <c r="N1666" s="171">
        <v>59.94</v>
      </c>
      <c r="O1666" s="171">
        <v>60.730000000000004</v>
      </c>
      <c r="P1666" s="171">
        <v>59.07</v>
      </c>
      <c r="Q1666" s="171">
        <v>57</v>
      </c>
      <c r="R1666" s="171">
        <v>57</v>
      </c>
      <c r="S1666" s="171">
        <v>57.43</v>
      </c>
      <c r="T1666" s="171">
        <v>54.14</v>
      </c>
      <c r="U1666" s="171">
        <v>60</v>
      </c>
      <c r="V1666" s="171">
        <v>60.730000000000004</v>
      </c>
      <c r="W1666" s="171">
        <v>63.870000000000005</v>
      </c>
      <c r="X1666" s="171">
        <v>62.74</v>
      </c>
      <c r="Y1666" s="171">
        <v>65.98</v>
      </c>
      <c r="Z1666" s="171">
        <v>55.050000000000004</v>
      </c>
      <c r="AA1666" s="171">
        <v>52.81</v>
      </c>
      <c r="AB1666" s="171">
        <v>65.98</v>
      </c>
      <c r="AC1666" s="171">
        <v>54.14</v>
      </c>
      <c r="AD1666" s="171">
        <v>49.6</v>
      </c>
      <c r="AF1666" s="171">
        <f t="shared" si="77"/>
        <v>2012</v>
      </c>
      <c r="AG1666" s="171">
        <f t="shared" si="78"/>
        <v>5</v>
      </c>
      <c r="AH1666" s="700">
        <f>SUMIF(D$3:$AA1666,"&lt;="&amp;$AH$1)/COUNTIF(D$3:$AA1666,"&lt;="&amp;$AH$1)</f>
        <v>30.940702621401059</v>
      </c>
    </row>
    <row r="1667" spans="2:34" x14ac:dyDescent="0.25">
      <c r="B1667" s="910">
        <v>41159</v>
      </c>
      <c r="C1667" s="581">
        <f t="shared" si="76"/>
        <v>9</v>
      </c>
      <c r="D1667" s="171">
        <v>51.32</v>
      </c>
      <c r="E1667" s="171">
        <v>42.14</v>
      </c>
      <c r="F1667" s="171">
        <v>38.15</v>
      </c>
      <c r="G1667" s="171">
        <v>33.21</v>
      </c>
      <c r="H1667" s="171">
        <v>34.450000000000003</v>
      </c>
      <c r="I1667" s="171">
        <v>38.730000000000004</v>
      </c>
      <c r="J1667" s="171">
        <v>48.550000000000004</v>
      </c>
      <c r="K1667" s="171">
        <v>56</v>
      </c>
      <c r="L1667" s="171">
        <v>60.02</v>
      </c>
      <c r="M1667" s="171">
        <v>58.19</v>
      </c>
      <c r="N1667" s="171">
        <v>57.980000000000004</v>
      </c>
      <c r="O1667" s="171">
        <v>59.42</v>
      </c>
      <c r="P1667" s="171">
        <v>60.39</v>
      </c>
      <c r="Q1667" s="171">
        <v>56.89</v>
      </c>
      <c r="R1667" s="171">
        <v>58.33</v>
      </c>
      <c r="S1667" s="171">
        <v>53.300000000000004</v>
      </c>
      <c r="T1667" s="171">
        <v>53.19</v>
      </c>
      <c r="U1667" s="171">
        <v>53.2</v>
      </c>
      <c r="V1667" s="171">
        <v>56.96</v>
      </c>
      <c r="W1667" s="171">
        <v>59.92</v>
      </c>
      <c r="X1667" s="171">
        <v>60.1</v>
      </c>
      <c r="Y1667" s="171">
        <v>55.67</v>
      </c>
      <c r="Z1667" s="171">
        <v>54.46</v>
      </c>
      <c r="AA1667" s="171">
        <v>54.620000000000005</v>
      </c>
      <c r="AB1667" s="171">
        <v>60.39</v>
      </c>
      <c r="AC1667" s="171">
        <v>53.19</v>
      </c>
      <c r="AD1667" s="171">
        <v>47.28</v>
      </c>
      <c r="AF1667" s="171">
        <f t="shared" si="77"/>
        <v>2012</v>
      </c>
      <c r="AG1667" s="171">
        <f t="shared" si="78"/>
        <v>5</v>
      </c>
      <c r="AH1667" s="700">
        <f>SUMIF(D$3:$AA1667,"&lt;="&amp;$AH$1)/COUNTIF(D$3:$AA1667,"&lt;="&amp;$AH$1)</f>
        <v>30.942992052695757</v>
      </c>
    </row>
    <row r="1668" spans="2:34" x14ac:dyDescent="0.25">
      <c r="B1668" s="910">
        <v>41162</v>
      </c>
      <c r="C1668" s="581">
        <f t="shared" ref="C1668:C1731" si="79">MONTH(B1668)</f>
        <v>9</v>
      </c>
      <c r="D1668" s="171">
        <v>44.94</v>
      </c>
      <c r="E1668" s="171">
        <v>35</v>
      </c>
      <c r="F1668" s="171">
        <v>33.090000000000003</v>
      </c>
      <c r="G1668" s="171">
        <v>30.400000000000002</v>
      </c>
      <c r="H1668" s="171">
        <v>26</v>
      </c>
      <c r="I1668" s="171">
        <v>35.840000000000003</v>
      </c>
      <c r="J1668" s="171">
        <v>49.47</v>
      </c>
      <c r="K1668" s="171">
        <v>57.04</v>
      </c>
      <c r="L1668" s="171">
        <v>59.64</v>
      </c>
      <c r="M1668" s="171">
        <v>58.7</v>
      </c>
      <c r="N1668" s="171">
        <v>58.7</v>
      </c>
      <c r="O1668" s="171">
        <v>58.7</v>
      </c>
      <c r="P1668" s="171">
        <v>58.7</v>
      </c>
      <c r="Q1668" s="171">
        <v>59.9</v>
      </c>
      <c r="R1668" s="171">
        <v>55.51</v>
      </c>
      <c r="S1668" s="171">
        <v>53.9</v>
      </c>
      <c r="T1668" s="171">
        <v>56.910000000000004</v>
      </c>
      <c r="U1668" s="171">
        <v>61.19</v>
      </c>
      <c r="V1668" s="171">
        <v>65.42</v>
      </c>
      <c r="W1668" s="171">
        <v>68.25</v>
      </c>
      <c r="X1668" s="171">
        <v>73.64</v>
      </c>
      <c r="Y1668" s="171">
        <v>61.97</v>
      </c>
      <c r="Z1668" s="171">
        <v>57.050000000000004</v>
      </c>
      <c r="AA1668" s="171">
        <v>51.13</v>
      </c>
      <c r="AB1668" s="171">
        <v>73.64</v>
      </c>
      <c r="AC1668" s="171">
        <v>53.9</v>
      </c>
      <c r="AD1668" s="171">
        <v>46.300000000000004</v>
      </c>
      <c r="AF1668" s="171">
        <f t="shared" ref="AF1668:AF1731" si="80">YEAR(B1668)</f>
        <v>2012</v>
      </c>
      <c r="AG1668" s="171">
        <f t="shared" ref="AG1668:AG1731" si="81">COUNTIF(D1668:AA1668,"&lt;="&amp;$AH$1)</f>
        <v>5</v>
      </c>
      <c r="AH1668" s="700">
        <f>SUMIF(D$3:$AA1668,"&lt;="&amp;$AH$1)/COUNTIF(D$3:$AA1668,"&lt;="&amp;$AH$1)</f>
        <v>30.943393930718702</v>
      </c>
    </row>
    <row r="1669" spans="2:34" x14ac:dyDescent="0.25">
      <c r="B1669" s="910">
        <v>41163</v>
      </c>
      <c r="C1669" s="581">
        <f t="shared" si="79"/>
        <v>9</v>
      </c>
      <c r="D1669" s="171">
        <v>43.63</v>
      </c>
      <c r="E1669" s="171">
        <v>40.01</v>
      </c>
      <c r="F1669" s="171">
        <v>38.869999999999997</v>
      </c>
      <c r="G1669" s="171">
        <v>35.840000000000003</v>
      </c>
      <c r="H1669" s="171">
        <v>36.08</v>
      </c>
      <c r="I1669" s="171">
        <v>39.79</v>
      </c>
      <c r="J1669" s="171">
        <v>53.2</v>
      </c>
      <c r="K1669" s="171">
        <v>61.660000000000004</v>
      </c>
      <c r="L1669" s="171">
        <v>63.95</v>
      </c>
      <c r="M1669" s="171">
        <v>61.18</v>
      </c>
      <c r="N1669" s="171">
        <v>60.06</v>
      </c>
      <c r="O1669" s="171">
        <v>61.27</v>
      </c>
      <c r="P1669" s="171">
        <v>59.96</v>
      </c>
      <c r="Q1669" s="171">
        <v>57.050000000000004</v>
      </c>
      <c r="R1669" s="171">
        <v>57.07</v>
      </c>
      <c r="S1669" s="171">
        <v>57.08</v>
      </c>
      <c r="T1669" s="171">
        <v>55.07</v>
      </c>
      <c r="U1669" s="171">
        <v>57.09</v>
      </c>
      <c r="V1669" s="171">
        <v>60.06</v>
      </c>
      <c r="W1669" s="171">
        <v>63.31</v>
      </c>
      <c r="X1669" s="171">
        <v>63.84</v>
      </c>
      <c r="Y1669" s="171">
        <v>58.21</v>
      </c>
      <c r="Z1669" s="171">
        <v>54.910000000000004</v>
      </c>
      <c r="AA1669" s="171">
        <v>49.79</v>
      </c>
      <c r="AB1669" s="171">
        <v>63.95</v>
      </c>
      <c r="AC1669" s="171">
        <v>54.910000000000004</v>
      </c>
      <c r="AD1669" s="171">
        <v>47.99</v>
      </c>
      <c r="AF1669" s="171">
        <f t="shared" si="80"/>
        <v>2012</v>
      </c>
      <c r="AG1669" s="171">
        <f t="shared" si="81"/>
        <v>5</v>
      </c>
      <c r="AH1669" s="700">
        <f>SUMIF(D$3:$AA1669,"&lt;="&amp;$AH$1)/COUNTIF(D$3:$AA1669,"&lt;="&amp;$AH$1)</f>
        <v>30.945960506546594</v>
      </c>
    </row>
    <row r="1670" spans="2:34" x14ac:dyDescent="0.25">
      <c r="B1670" s="910">
        <v>41164</v>
      </c>
      <c r="C1670" s="581">
        <f t="shared" si="79"/>
        <v>9</v>
      </c>
      <c r="D1670" s="171">
        <v>43.84</v>
      </c>
      <c r="E1670" s="171">
        <v>39.67</v>
      </c>
      <c r="F1670" s="171">
        <v>37.69</v>
      </c>
      <c r="G1670" s="171">
        <v>35.64</v>
      </c>
      <c r="H1670" s="171">
        <v>36.01</v>
      </c>
      <c r="I1670" s="171">
        <v>40.36</v>
      </c>
      <c r="J1670" s="171">
        <v>53.2</v>
      </c>
      <c r="K1670" s="171">
        <v>62.96</v>
      </c>
      <c r="L1670" s="171">
        <v>67.13</v>
      </c>
      <c r="M1670" s="171">
        <v>70.08</v>
      </c>
      <c r="N1670" s="171">
        <v>69.989999999999995</v>
      </c>
      <c r="O1670" s="171">
        <v>70.5</v>
      </c>
      <c r="P1670" s="171">
        <v>67.31</v>
      </c>
      <c r="Q1670" s="171">
        <v>64.94</v>
      </c>
      <c r="R1670" s="171">
        <v>62.38</v>
      </c>
      <c r="S1670" s="171">
        <v>59.95</v>
      </c>
      <c r="T1670" s="171">
        <v>57.03</v>
      </c>
      <c r="U1670" s="171">
        <v>58</v>
      </c>
      <c r="V1670" s="171">
        <v>62.95</v>
      </c>
      <c r="W1670" s="171">
        <v>63.730000000000004</v>
      </c>
      <c r="X1670" s="171">
        <v>63.25</v>
      </c>
      <c r="Y1670" s="171">
        <v>59.95</v>
      </c>
      <c r="Z1670" s="171">
        <v>50.17</v>
      </c>
      <c r="AA1670" s="171">
        <v>46.26</v>
      </c>
      <c r="AB1670" s="171">
        <v>70.5</v>
      </c>
      <c r="AC1670" s="171">
        <v>50.17</v>
      </c>
      <c r="AD1670" s="171">
        <v>47.42</v>
      </c>
      <c r="AF1670" s="171">
        <f t="shared" si="80"/>
        <v>2012</v>
      </c>
      <c r="AG1670" s="171">
        <f t="shared" si="81"/>
        <v>5</v>
      </c>
      <c r="AH1670" s="700">
        <f>SUMIF(D$3:$AA1670,"&lt;="&amp;$AH$1)/COUNTIF(D$3:$AA1670,"&lt;="&amp;$AH$1)</f>
        <v>30.948437991703745</v>
      </c>
    </row>
    <row r="1671" spans="2:34" x14ac:dyDescent="0.25">
      <c r="B1671" s="910">
        <v>41165</v>
      </c>
      <c r="C1671" s="581">
        <f t="shared" si="79"/>
        <v>9</v>
      </c>
      <c r="D1671" s="171">
        <v>39.550000000000004</v>
      </c>
      <c r="E1671" s="171">
        <v>37.17</v>
      </c>
      <c r="F1671" s="171">
        <v>36.39</v>
      </c>
      <c r="G1671" s="171">
        <v>34.630000000000003</v>
      </c>
      <c r="H1671" s="171">
        <v>34.14</v>
      </c>
      <c r="I1671" s="171">
        <v>37.99</v>
      </c>
      <c r="J1671" s="171">
        <v>49.660000000000004</v>
      </c>
      <c r="K1671" s="171">
        <v>60.5</v>
      </c>
      <c r="L1671" s="171">
        <v>62.120000000000005</v>
      </c>
      <c r="M1671" s="171">
        <v>61.19</v>
      </c>
      <c r="N1671" s="171">
        <v>60.5</v>
      </c>
      <c r="O1671" s="171">
        <v>61.050000000000004</v>
      </c>
      <c r="P1671" s="171">
        <v>61.2</v>
      </c>
      <c r="Q1671" s="171">
        <v>60.89</v>
      </c>
      <c r="R1671" s="171">
        <v>59.95</v>
      </c>
      <c r="S1671" s="171">
        <v>58.160000000000004</v>
      </c>
      <c r="T1671" s="171">
        <v>53.97</v>
      </c>
      <c r="U1671" s="171">
        <v>58</v>
      </c>
      <c r="V1671" s="171">
        <v>60.800000000000004</v>
      </c>
      <c r="W1671" s="171">
        <v>62.43</v>
      </c>
      <c r="X1671" s="171">
        <v>65.63</v>
      </c>
      <c r="Y1671" s="171">
        <v>56.94</v>
      </c>
      <c r="Z1671" s="171">
        <v>50.46</v>
      </c>
      <c r="AA1671" s="171">
        <v>45.14</v>
      </c>
      <c r="AB1671" s="171">
        <v>65.63</v>
      </c>
      <c r="AC1671" s="171">
        <v>50.46</v>
      </c>
      <c r="AD1671" s="171">
        <v>45.68</v>
      </c>
      <c r="AF1671" s="171">
        <f t="shared" si="80"/>
        <v>2012</v>
      </c>
      <c r="AG1671" s="171">
        <f t="shared" si="81"/>
        <v>6</v>
      </c>
      <c r="AH1671" s="700">
        <f>SUMIF(D$3:$AA1671,"&lt;="&amp;$AH$1)/COUNTIF(D$3:$AA1671,"&lt;="&amp;$AH$1)</f>
        <v>30.950881469831408</v>
      </c>
    </row>
    <row r="1672" spans="2:34" x14ac:dyDescent="0.25">
      <c r="B1672" s="910">
        <v>41166</v>
      </c>
      <c r="C1672" s="581">
        <f t="shared" si="79"/>
        <v>9</v>
      </c>
      <c r="D1672" s="171">
        <v>37.050000000000004</v>
      </c>
      <c r="E1672" s="171">
        <v>34.1</v>
      </c>
      <c r="F1672" s="171">
        <v>27.580000000000002</v>
      </c>
      <c r="G1672" s="171">
        <v>16.54</v>
      </c>
      <c r="H1672" s="171">
        <v>17.41</v>
      </c>
      <c r="I1672" s="171">
        <v>28.98</v>
      </c>
      <c r="J1672" s="171">
        <v>41.24</v>
      </c>
      <c r="K1672" s="171">
        <v>53.72</v>
      </c>
      <c r="L1672" s="171">
        <v>52.92</v>
      </c>
      <c r="M1672" s="171">
        <v>55.81</v>
      </c>
      <c r="N1672" s="171">
        <v>69.44</v>
      </c>
      <c r="O1672" s="171">
        <v>69.44</v>
      </c>
      <c r="P1672" s="171">
        <v>69.960000000000008</v>
      </c>
      <c r="Q1672" s="171">
        <v>67.070000000000007</v>
      </c>
      <c r="R1672" s="171">
        <v>59.94</v>
      </c>
      <c r="S1672" s="171">
        <v>54.96</v>
      </c>
      <c r="T1672" s="171">
        <v>46.93</v>
      </c>
      <c r="U1672" s="171">
        <v>50</v>
      </c>
      <c r="V1672" s="171">
        <v>49</v>
      </c>
      <c r="W1672" s="171">
        <v>51.97</v>
      </c>
      <c r="X1672" s="171">
        <v>59.94</v>
      </c>
      <c r="Y1672" s="171">
        <v>64.94</v>
      </c>
      <c r="Z1672" s="171">
        <v>51.89</v>
      </c>
      <c r="AA1672" s="171">
        <v>51.5</v>
      </c>
      <c r="AB1672" s="171">
        <v>69.960000000000008</v>
      </c>
      <c r="AC1672" s="171">
        <v>46.93</v>
      </c>
      <c r="AD1672" s="171">
        <v>40.410000000000004</v>
      </c>
      <c r="AF1672" s="171">
        <f t="shared" si="80"/>
        <v>2012</v>
      </c>
      <c r="AG1672" s="171">
        <f t="shared" si="81"/>
        <v>7</v>
      </c>
      <c r="AH1672" s="700">
        <f>SUMIF(D$3:$AA1672,"&lt;="&amp;$AH$1)/COUNTIF(D$3:$AA1672,"&lt;="&amp;$AH$1)</f>
        <v>30.949898535191256</v>
      </c>
    </row>
    <row r="1673" spans="2:34" x14ac:dyDescent="0.25">
      <c r="B1673" s="910">
        <v>41169</v>
      </c>
      <c r="C1673" s="581">
        <f t="shared" si="79"/>
        <v>9</v>
      </c>
      <c r="D1673" s="171">
        <v>35.42</v>
      </c>
      <c r="E1673" s="171">
        <v>30</v>
      </c>
      <c r="F1673" s="171">
        <v>28.43</v>
      </c>
      <c r="G1673" s="171">
        <v>21.27</v>
      </c>
      <c r="H1673" s="171">
        <v>18.98</v>
      </c>
      <c r="I1673" s="171">
        <v>32.93</v>
      </c>
      <c r="J1673" s="171">
        <v>49.17</v>
      </c>
      <c r="K1673" s="171">
        <v>56.96</v>
      </c>
      <c r="L1673" s="171">
        <v>59.85</v>
      </c>
      <c r="M1673" s="171">
        <v>59.61</v>
      </c>
      <c r="N1673" s="171">
        <v>59.24</v>
      </c>
      <c r="O1673" s="171">
        <v>57.94</v>
      </c>
      <c r="P1673" s="171">
        <v>55.07</v>
      </c>
      <c r="Q1673" s="171">
        <v>56.27</v>
      </c>
      <c r="R1673" s="171">
        <v>52.46</v>
      </c>
      <c r="S1673" s="171">
        <v>53.19</v>
      </c>
      <c r="T1673" s="171">
        <v>55.01</v>
      </c>
      <c r="U1673" s="171">
        <v>59.31</v>
      </c>
      <c r="V1673" s="171">
        <v>63.77</v>
      </c>
      <c r="W1673" s="171">
        <v>68.37</v>
      </c>
      <c r="X1673" s="171">
        <v>67.47</v>
      </c>
      <c r="Y1673" s="171">
        <v>60.120000000000005</v>
      </c>
      <c r="Z1673" s="171">
        <v>53.2</v>
      </c>
      <c r="AA1673" s="171">
        <v>49</v>
      </c>
      <c r="AB1673" s="171">
        <v>68.37</v>
      </c>
      <c r="AC1673" s="171">
        <v>52.46</v>
      </c>
      <c r="AD1673" s="171">
        <v>41.910000000000004</v>
      </c>
      <c r="AF1673" s="171">
        <f t="shared" si="80"/>
        <v>2012</v>
      </c>
      <c r="AG1673" s="171">
        <f t="shared" si="81"/>
        <v>6</v>
      </c>
      <c r="AH1673" s="700">
        <f>SUMIF(D$3:$AA1673,"&lt;="&amp;$AH$1)/COUNTIF(D$3:$AA1673,"&lt;="&amp;$AH$1)</f>
        <v>30.948565102492793</v>
      </c>
    </row>
    <row r="1674" spans="2:34" x14ac:dyDescent="0.25">
      <c r="B1674" s="910">
        <v>41170</v>
      </c>
      <c r="C1674" s="581">
        <f t="shared" si="79"/>
        <v>9</v>
      </c>
      <c r="D1674" s="171">
        <v>41.4</v>
      </c>
      <c r="E1674" s="171">
        <v>40.450000000000003</v>
      </c>
      <c r="F1674" s="171">
        <v>36.660000000000004</v>
      </c>
      <c r="G1674" s="171">
        <v>35.980000000000004</v>
      </c>
      <c r="H1674" s="171">
        <v>35.53</v>
      </c>
      <c r="I1674" s="171">
        <v>37.28</v>
      </c>
      <c r="J1674" s="171">
        <v>55</v>
      </c>
      <c r="K1674" s="171">
        <v>61.27</v>
      </c>
      <c r="L1674" s="171">
        <v>64.930000000000007</v>
      </c>
      <c r="M1674" s="171">
        <v>63.25</v>
      </c>
      <c r="N1674" s="171">
        <v>63.28</v>
      </c>
      <c r="O1674" s="171">
        <v>60.92</v>
      </c>
      <c r="P1674" s="171">
        <v>59.300000000000004</v>
      </c>
      <c r="Q1674" s="171">
        <v>58.230000000000004</v>
      </c>
      <c r="R1674" s="171">
        <v>56.34</v>
      </c>
      <c r="S1674" s="171">
        <v>55.17</v>
      </c>
      <c r="T1674" s="171">
        <v>54.94</v>
      </c>
      <c r="U1674" s="171">
        <v>56.33</v>
      </c>
      <c r="V1674" s="171">
        <v>59.53</v>
      </c>
      <c r="W1674" s="171">
        <v>63.01</v>
      </c>
      <c r="X1674" s="171">
        <v>62</v>
      </c>
      <c r="Y1674" s="171">
        <v>57.03</v>
      </c>
      <c r="Z1674" s="171">
        <v>53.19</v>
      </c>
      <c r="AA1674" s="171">
        <v>45.58</v>
      </c>
      <c r="AB1674" s="171">
        <v>64.930000000000007</v>
      </c>
      <c r="AC1674" s="171">
        <v>53.19</v>
      </c>
      <c r="AD1674" s="171">
        <v>46.78</v>
      </c>
      <c r="AF1674" s="171">
        <f t="shared" si="80"/>
        <v>2012</v>
      </c>
      <c r="AG1674" s="171">
        <f t="shared" si="81"/>
        <v>6</v>
      </c>
      <c r="AH1674" s="700">
        <f>SUMIF(D$3:$AA1674,"&lt;="&amp;$AH$1)/COUNTIF(D$3:$AA1674,"&lt;="&amp;$AH$1)</f>
        <v>30.951535660741175</v>
      </c>
    </row>
    <row r="1675" spans="2:34" x14ac:dyDescent="0.25">
      <c r="B1675" s="910">
        <v>41171</v>
      </c>
      <c r="C1675" s="581">
        <f t="shared" si="79"/>
        <v>9</v>
      </c>
      <c r="D1675" s="171">
        <v>38.86</v>
      </c>
      <c r="E1675" s="171">
        <v>38.369999999999997</v>
      </c>
      <c r="F1675" s="171">
        <v>37.01</v>
      </c>
      <c r="G1675" s="171">
        <v>34.82</v>
      </c>
      <c r="H1675" s="171">
        <v>35.49</v>
      </c>
      <c r="I1675" s="171">
        <v>38.22</v>
      </c>
      <c r="J1675" s="171">
        <v>51.74</v>
      </c>
      <c r="K1675" s="171">
        <v>64.44</v>
      </c>
      <c r="L1675" s="171">
        <v>62.980000000000004</v>
      </c>
      <c r="M1675" s="171">
        <v>61.99</v>
      </c>
      <c r="N1675" s="171">
        <v>60.08</v>
      </c>
      <c r="O1675" s="171">
        <v>60.03</v>
      </c>
      <c r="P1675" s="171">
        <v>57.550000000000004</v>
      </c>
      <c r="Q1675" s="171">
        <v>54.27</v>
      </c>
      <c r="R1675" s="171">
        <v>50.800000000000004</v>
      </c>
      <c r="S1675" s="171">
        <v>47.6</v>
      </c>
      <c r="T1675" s="171">
        <v>46.480000000000004</v>
      </c>
      <c r="U1675" s="171">
        <v>55</v>
      </c>
      <c r="V1675" s="171">
        <v>61.96</v>
      </c>
      <c r="W1675" s="171">
        <v>66.41</v>
      </c>
      <c r="X1675" s="171">
        <v>64.540000000000006</v>
      </c>
      <c r="Y1675" s="171">
        <v>60.09</v>
      </c>
      <c r="Z1675" s="171">
        <v>48.120000000000005</v>
      </c>
      <c r="AA1675" s="171">
        <v>47.25</v>
      </c>
      <c r="AB1675" s="171">
        <v>66.41</v>
      </c>
      <c r="AC1675" s="171">
        <v>46.480000000000004</v>
      </c>
      <c r="AD1675" s="171">
        <v>46.58</v>
      </c>
      <c r="AF1675" s="171">
        <f t="shared" si="80"/>
        <v>2012</v>
      </c>
      <c r="AG1675" s="171">
        <f t="shared" si="81"/>
        <v>6</v>
      </c>
      <c r="AH1675" s="700">
        <f>SUMIF(D$3:$AA1675,"&lt;="&amp;$AH$1)/COUNTIF(D$3:$AA1675,"&lt;="&amp;$AH$1)</f>
        <v>30.954180403910769</v>
      </c>
    </row>
    <row r="1676" spans="2:34" x14ac:dyDescent="0.25">
      <c r="B1676" s="910">
        <v>41172</v>
      </c>
      <c r="C1676" s="581">
        <f t="shared" si="79"/>
        <v>9</v>
      </c>
      <c r="D1676" s="171">
        <v>38.04</v>
      </c>
      <c r="E1676" s="171">
        <v>36.86</v>
      </c>
      <c r="F1676" s="171">
        <v>35.97</v>
      </c>
      <c r="G1676" s="171">
        <v>33.31</v>
      </c>
      <c r="H1676" s="171">
        <v>33.799999999999997</v>
      </c>
      <c r="I1676" s="171">
        <v>37.79</v>
      </c>
      <c r="J1676" s="171">
        <v>52</v>
      </c>
      <c r="K1676" s="171">
        <v>60.97</v>
      </c>
      <c r="L1676" s="171">
        <v>61</v>
      </c>
      <c r="M1676" s="171">
        <v>60.11</v>
      </c>
      <c r="N1676" s="171">
        <v>59.89</v>
      </c>
      <c r="O1676" s="171">
        <v>56.04</v>
      </c>
      <c r="P1676" s="171">
        <v>54.99</v>
      </c>
      <c r="Q1676" s="171">
        <v>53.21</v>
      </c>
      <c r="R1676" s="171">
        <v>52.550000000000004</v>
      </c>
      <c r="S1676" s="171">
        <v>48.31</v>
      </c>
      <c r="T1676" s="171">
        <v>47.63</v>
      </c>
      <c r="U1676" s="171">
        <v>56.19</v>
      </c>
      <c r="V1676" s="171">
        <v>62.940000000000005</v>
      </c>
      <c r="W1676" s="171">
        <v>70.19</v>
      </c>
      <c r="X1676" s="171">
        <v>67.3</v>
      </c>
      <c r="Y1676" s="171">
        <v>60</v>
      </c>
      <c r="Z1676" s="171">
        <v>56.17</v>
      </c>
      <c r="AA1676" s="171">
        <v>47.480000000000004</v>
      </c>
      <c r="AB1676" s="171">
        <v>70.19</v>
      </c>
      <c r="AC1676" s="171">
        <v>47.63</v>
      </c>
      <c r="AD1676" s="171">
        <v>46.64</v>
      </c>
      <c r="AF1676" s="171">
        <f t="shared" si="80"/>
        <v>2012</v>
      </c>
      <c r="AG1676" s="171">
        <f t="shared" si="81"/>
        <v>6</v>
      </c>
      <c r="AH1676" s="700">
        <f>SUMIF(D$3:$AA1676,"&lt;="&amp;$AH$1)/COUNTIF(D$3:$AA1676,"&lt;="&amp;$AH$1)</f>
        <v>30.956323560881771</v>
      </c>
    </row>
    <row r="1677" spans="2:34" x14ac:dyDescent="0.25">
      <c r="B1677" s="910">
        <v>41173</v>
      </c>
      <c r="C1677" s="581">
        <f t="shared" si="79"/>
        <v>9</v>
      </c>
      <c r="D1677" s="171">
        <v>38.64</v>
      </c>
      <c r="E1677" s="171">
        <v>37.200000000000003</v>
      </c>
      <c r="F1677" s="171">
        <v>36.020000000000003</v>
      </c>
      <c r="G1677" s="171">
        <v>33.68</v>
      </c>
      <c r="H1677" s="171">
        <v>34.15</v>
      </c>
      <c r="I1677" s="171">
        <v>37.300000000000004</v>
      </c>
      <c r="J1677" s="171">
        <v>50.25</v>
      </c>
      <c r="K1677" s="171">
        <v>58.88</v>
      </c>
      <c r="L1677" s="171">
        <v>63.480000000000004</v>
      </c>
      <c r="M1677" s="171">
        <v>60.94</v>
      </c>
      <c r="N1677" s="171">
        <v>60.15</v>
      </c>
      <c r="O1677" s="171">
        <v>59.99</v>
      </c>
      <c r="P1677" s="171">
        <v>56.46</v>
      </c>
      <c r="Q1677" s="171">
        <v>54</v>
      </c>
      <c r="R1677" s="171">
        <v>52.2</v>
      </c>
      <c r="S1677" s="171">
        <v>46.910000000000004</v>
      </c>
      <c r="T1677" s="171">
        <v>47.62</v>
      </c>
      <c r="U1677" s="171">
        <v>53.300000000000004</v>
      </c>
      <c r="V1677" s="171">
        <v>59.97</v>
      </c>
      <c r="W1677" s="171">
        <v>61.19</v>
      </c>
      <c r="X1677" s="171">
        <v>60.01</v>
      </c>
      <c r="Y1677" s="171">
        <v>52.95</v>
      </c>
      <c r="Z1677" s="171">
        <v>46.86</v>
      </c>
      <c r="AA1677" s="171">
        <v>43.59</v>
      </c>
      <c r="AB1677" s="171">
        <v>63.480000000000004</v>
      </c>
      <c r="AC1677" s="171">
        <v>46.86</v>
      </c>
      <c r="AD1677" s="171">
        <v>44.13</v>
      </c>
      <c r="AF1677" s="171">
        <f t="shared" si="80"/>
        <v>2012</v>
      </c>
      <c r="AG1677" s="171">
        <f t="shared" si="81"/>
        <v>6</v>
      </c>
      <c r="AH1677" s="700">
        <f>SUMIF(D$3:$AA1677,"&lt;="&amp;$AH$1)/COUNTIF(D$3:$AA1677,"&lt;="&amp;$AH$1)</f>
        <v>30.958551871657868</v>
      </c>
    </row>
    <row r="1678" spans="2:34" x14ac:dyDescent="0.25">
      <c r="B1678" s="910">
        <v>41176</v>
      </c>
      <c r="C1678" s="581">
        <f t="shared" si="79"/>
        <v>9</v>
      </c>
      <c r="D1678" s="171">
        <v>17.22</v>
      </c>
      <c r="E1678" s="171">
        <v>15.76</v>
      </c>
      <c r="F1678" s="171">
        <v>15.75</v>
      </c>
      <c r="G1678" s="171">
        <v>15.790000000000001</v>
      </c>
      <c r="H1678" s="171">
        <v>15.780000000000001</v>
      </c>
      <c r="I1678" s="171">
        <v>15.76</v>
      </c>
      <c r="J1678" s="171">
        <v>40.83</v>
      </c>
      <c r="K1678" s="171">
        <v>51.72</v>
      </c>
      <c r="L1678" s="171">
        <v>54.03</v>
      </c>
      <c r="M1678" s="171">
        <v>54.980000000000004</v>
      </c>
      <c r="N1678" s="171">
        <v>54.01</v>
      </c>
      <c r="O1678" s="171">
        <v>56</v>
      </c>
      <c r="P1678" s="171">
        <v>56.370000000000005</v>
      </c>
      <c r="Q1678" s="171">
        <v>54</v>
      </c>
      <c r="R1678" s="171">
        <v>49.94</v>
      </c>
      <c r="S1678" s="171">
        <v>49.25</v>
      </c>
      <c r="T1678" s="171">
        <v>48.14</v>
      </c>
      <c r="U1678" s="171">
        <v>49</v>
      </c>
      <c r="V1678" s="171">
        <v>52.92</v>
      </c>
      <c r="W1678" s="171">
        <v>59.93</v>
      </c>
      <c r="X1678" s="171">
        <v>54.49</v>
      </c>
      <c r="Y1678" s="171">
        <v>47.44</v>
      </c>
      <c r="Z1678" s="171">
        <v>45.2</v>
      </c>
      <c r="AA1678" s="171">
        <v>38.730000000000004</v>
      </c>
      <c r="AB1678" s="171">
        <v>59.93</v>
      </c>
      <c r="AC1678" s="171">
        <v>45.2</v>
      </c>
      <c r="AD1678" s="171">
        <v>31.21</v>
      </c>
      <c r="AF1678" s="171">
        <f t="shared" si="80"/>
        <v>2012</v>
      </c>
      <c r="AG1678" s="171">
        <f t="shared" si="81"/>
        <v>8</v>
      </c>
      <c r="AH1678" s="700">
        <f>SUMIF(D$3:$AA1678,"&lt;="&amp;$AH$1)/COUNTIF(D$3:$AA1678,"&lt;="&amp;$AH$1)</f>
        <v>30.953417658376797</v>
      </c>
    </row>
    <row r="1679" spans="2:34" x14ac:dyDescent="0.25">
      <c r="B1679" s="910">
        <v>41177</v>
      </c>
      <c r="C1679" s="581">
        <f t="shared" si="79"/>
        <v>9</v>
      </c>
      <c r="D1679" s="171">
        <v>26.810000000000002</v>
      </c>
      <c r="E1679" s="171">
        <v>21.29</v>
      </c>
      <c r="F1679" s="171">
        <v>18.830000000000002</v>
      </c>
      <c r="G1679" s="171">
        <v>17.5</v>
      </c>
      <c r="H1679" s="171">
        <v>19.88</v>
      </c>
      <c r="I1679" s="171">
        <v>31</v>
      </c>
      <c r="J1679" s="171">
        <v>46.24</v>
      </c>
      <c r="K1679" s="171">
        <v>57.44</v>
      </c>
      <c r="L1679" s="171">
        <v>57.44</v>
      </c>
      <c r="M1679" s="171">
        <v>54.83</v>
      </c>
      <c r="N1679" s="171">
        <v>53.44</v>
      </c>
      <c r="O1679" s="171">
        <v>53.870000000000005</v>
      </c>
      <c r="P1679" s="171">
        <v>55.24</v>
      </c>
      <c r="Q1679" s="171">
        <v>51.63</v>
      </c>
      <c r="R1679" s="171">
        <v>53.02</v>
      </c>
      <c r="S1679" s="171">
        <v>49.4</v>
      </c>
      <c r="T1679" s="171">
        <v>50</v>
      </c>
      <c r="U1679" s="171">
        <v>57.44</v>
      </c>
      <c r="V1679" s="171">
        <v>61.43</v>
      </c>
      <c r="W1679" s="171">
        <v>68.19</v>
      </c>
      <c r="X1679" s="171">
        <v>65.070000000000007</v>
      </c>
      <c r="Y1679" s="171">
        <v>54.17</v>
      </c>
      <c r="Z1679" s="171">
        <v>45.64</v>
      </c>
      <c r="AA1679" s="171">
        <v>38.910000000000004</v>
      </c>
      <c r="AB1679" s="171">
        <v>68.19</v>
      </c>
      <c r="AC1679" s="171">
        <v>45.64</v>
      </c>
      <c r="AD1679" s="171">
        <v>36.9</v>
      </c>
      <c r="AF1679" s="171">
        <f t="shared" si="80"/>
        <v>2012</v>
      </c>
      <c r="AG1679" s="171">
        <f t="shared" si="81"/>
        <v>7</v>
      </c>
      <c r="AH1679" s="700">
        <f>SUMIF(D$3:$AA1679,"&lt;="&amp;$AH$1)/COUNTIF(D$3:$AA1679,"&lt;="&amp;$AH$1)</f>
        <v>30.950393874643986</v>
      </c>
    </row>
    <row r="1680" spans="2:34" x14ac:dyDescent="0.25">
      <c r="B1680" s="910">
        <v>41178</v>
      </c>
      <c r="C1680" s="581">
        <f t="shared" si="79"/>
        <v>9</v>
      </c>
      <c r="D1680" s="171">
        <v>36.64</v>
      </c>
      <c r="E1680" s="171">
        <v>32.86</v>
      </c>
      <c r="F1680" s="171">
        <v>28.38</v>
      </c>
      <c r="G1680" s="171">
        <v>25.28</v>
      </c>
      <c r="H1680" s="171">
        <v>26.650000000000002</v>
      </c>
      <c r="I1680" s="171">
        <v>33.910000000000004</v>
      </c>
      <c r="J1680" s="171">
        <v>44.94</v>
      </c>
      <c r="K1680" s="171">
        <v>57.870000000000005</v>
      </c>
      <c r="L1680" s="171">
        <v>63.190000000000005</v>
      </c>
      <c r="M1680" s="171">
        <v>61.96</v>
      </c>
      <c r="N1680" s="171">
        <v>61.95</v>
      </c>
      <c r="O1680" s="171">
        <v>61.26</v>
      </c>
      <c r="P1680" s="171">
        <v>60.04</v>
      </c>
      <c r="Q1680" s="171">
        <v>56.08</v>
      </c>
      <c r="R1680" s="171">
        <v>54.95</v>
      </c>
      <c r="S1680" s="171">
        <v>53.28</v>
      </c>
      <c r="T1680" s="171">
        <v>51.76</v>
      </c>
      <c r="U1680" s="171">
        <v>56.5</v>
      </c>
      <c r="V1680" s="171">
        <v>60.47</v>
      </c>
      <c r="W1680" s="171">
        <v>67.040000000000006</v>
      </c>
      <c r="X1680" s="171">
        <v>61.910000000000004</v>
      </c>
      <c r="Y1680" s="171">
        <v>51.910000000000004</v>
      </c>
      <c r="Z1680" s="171">
        <v>47.5</v>
      </c>
      <c r="AA1680" s="171">
        <v>40.910000000000004</v>
      </c>
      <c r="AB1680" s="171">
        <v>67.040000000000006</v>
      </c>
      <c r="AC1680" s="171">
        <v>47.5</v>
      </c>
      <c r="AD1680" s="171">
        <v>40.730000000000004</v>
      </c>
      <c r="AF1680" s="171">
        <f t="shared" si="80"/>
        <v>2012</v>
      </c>
      <c r="AG1680" s="171">
        <f t="shared" si="81"/>
        <v>7</v>
      </c>
      <c r="AH1680" s="700">
        <f>SUMIF(D$3:$AA1680,"&lt;="&amp;$AH$1)/COUNTIF(D$3:$AA1680,"&lt;="&amp;$AH$1)</f>
        <v>30.950961771196805</v>
      </c>
    </row>
    <row r="1681" spans="2:34" x14ac:dyDescent="0.25">
      <c r="B1681" s="910">
        <v>41179</v>
      </c>
      <c r="C1681" s="581">
        <f t="shared" si="79"/>
        <v>9</v>
      </c>
      <c r="D1681" s="171">
        <v>37.230000000000004</v>
      </c>
      <c r="E1681" s="171">
        <v>34.270000000000003</v>
      </c>
      <c r="F1681" s="171">
        <v>30.5</v>
      </c>
      <c r="G1681" s="171">
        <v>28.490000000000002</v>
      </c>
      <c r="H1681" s="171">
        <v>30.080000000000002</v>
      </c>
      <c r="I1681" s="171">
        <v>34.550000000000004</v>
      </c>
      <c r="J1681" s="171">
        <v>46.480000000000004</v>
      </c>
      <c r="K1681" s="171">
        <v>57.160000000000004</v>
      </c>
      <c r="L1681" s="171">
        <v>58.480000000000004</v>
      </c>
      <c r="M1681" s="171">
        <v>58.5</v>
      </c>
      <c r="N1681" s="171">
        <v>54.92</v>
      </c>
      <c r="O1681" s="171">
        <v>54.910000000000004</v>
      </c>
      <c r="P1681" s="171">
        <v>54.08</v>
      </c>
      <c r="Q1681" s="171">
        <v>53.19</v>
      </c>
      <c r="R1681" s="171">
        <v>53.02</v>
      </c>
      <c r="S1681" s="171">
        <v>51.47</v>
      </c>
      <c r="T1681" s="171">
        <v>49</v>
      </c>
      <c r="U1681" s="171">
        <v>52.02</v>
      </c>
      <c r="V1681" s="171">
        <v>58.28</v>
      </c>
      <c r="W1681" s="171">
        <v>67.08</v>
      </c>
      <c r="X1681" s="171">
        <v>60.67</v>
      </c>
      <c r="Y1681" s="171">
        <v>48.95</v>
      </c>
      <c r="Z1681" s="171">
        <v>50</v>
      </c>
      <c r="AA1681" s="171">
        <v>41.83</v>
      </c>
      <c r="AB1681" s="171">
        <v>67.08</v>
      </c>
      <c r="AC1681" s="171">
        <v>48.95</v>
      </c>
      <c r="AD1681" s="171">
        <v>41.68</v>
      </c>
      <c r="AF1681" s="171">
        <f t="shared" si="80"/>
        <v>2012</v>
      </c>
      <c r="AG1681" s="171">
        <f t="shared" si="81"/>
        <v>7</v>
      </c>
      <c r="AH1681" s="700">
        <f>SUMIF(D$3:$AA1681,"&lt;="&amp;$AH$1)/COUNTIF(D$3:$AA1681,"&lt;="&amp;$AH$1)</f>
        <v>30.952405720791344</v>
      </c>
    </row>
    <row r="1682" spans="2:34" x14ac:dyDescent="0.25">
      <c r="B1682" s="910">
        <v>41180</v>
      </c>
      <c r="C1682" s="581">
        <f t="shared" si="79"/>
        <v>9</v>
      </c>
      <c r="D1682" s="171">
        <v>38.85</v>
      </c>
      <c r="E1682" s="171">
        <v>29.62</v>
      </c>
      <c r="F1682" s="171">
        <v>29.3</v>
      </c>
      <c r="G1682" s="171">
        <v>24.150000000000002</v>
      </c>
      <c r="H1682" s="171">
        <v>25.75</v>
      </c>
      <c r="I1682" s="171">
        <v>32.06</v>
      </c>
      <c r="J1682" s="171">
        <v>42.12</v>
      </c>
      <c r="K1682" s="171">
        <v>54.97</v>
      </c>
      <c r="L1682" s="171">
        <v>63.57</v>
      </c>
      <c r="M1682" s="171">
        <v>61.97</v>
      </c>
      <c r="N1682" s="171">
        <v>60.42</v>
      </c>
      <c r="O1682" s="171">
        <v>61</v>
      </c>
      <c r="P1682" s="171">
        <v>55</v>
      </c>
      <c r="Q1682" s="171">
        <v>50.78</v>
      </c>
      <c r="R1682" s="171">
        <v>48.27</v>
      </c>
      <c r="S1682" s="171">
        <v>45.14</v>
      </c>
      <c r="T1682" s="171">
        <v>44.04</v>
      </c>
      <c r="U1682" s="171">
        <v>46.56</v>
      </c>
      <c r="V1682" s="171">
        <v>55</v>
      </c>
      <c r="W1682" s="171">
        <v>64.489999999999995</v>
      </c>
      <c r="X1682" s="171">
        <v>57.08</v>
      </c>
      <c r="Y1682" s="171">
        <v>46.24</v>
      </c>
      <c r="Z1682" s="171">
        <v>44.37</v>
      </c>
      <c r="AA1682" s="171">
        <v>43.82</v>
      </c>
      <c r="AB1682" s="171">
        <v>64.489999999999995</v>
      </c>
      <c r="AC1682" s="171">
        <v>44.04</v>
      </c>
      <c r="AD1682" s="171">
        <v>39.03</v>
      </c>
      <c r="AF1682" s="171">
        <f t="shared" si="80"/>
        <v>2012</v>
      </c>
      <c r="AG1682" s="171">
        <f t="shared" si="81"/>
        <v>7</v>
      </c>
      <c r="AH1682" s="700">
        <f>SUMIF(D$3:$AA1682,"&lt;="&amp;$AH$1)/COUNTIF(D$3:$AA1682,"&lt;="&amp;$AH$1)</f>
        <v>30.952774340374194</v>
      </c>
    </row>
    <row r="1683" spans="2:34" x14ac:dyDescent="0.25">
      <c r="B1683" s="910">
        <v>41183</v>
      </c>
      <c r="C1683" s="581">
        <f t="shared" si="79"/>
        <v>10</v>
      </c>
      <c r="D1683" s="171">
        <v>30.05</v>
      </c>
      <c r="E1683" s="171">
        <v>28.92</v>
      </c>
      <c r="F1683" s="171">
        <v>32.71</v>
      </c>
      <c r="G1683" s="171">
        <v>32.31</v>
      </c>
      <c r="H1683" s="171">
        <v>29.95</v>
      </c>
      <c r="I1683" s="171">
        <v>37.090000000000003</v>
      </c>
      <c r="J1683" s="171">
        <v>53.63</v>
      </c>
      <c r="K1683" s="171">
        <v>63.9</v>
      </c>
      <c r="L1683" s="171">
        <v>62.84</v>
      </c>
      <c r="M1683" s="171">
        <v>62.08</v>
      </c>
      <c r="N1683" s="171">
        <v>64.06</v>
      </c>
      <c r="O1683" s="171">
        <v>63.190000000000005</v>
      </c>
      <c r="P1683" s="171">
        <v>60.07</v>
      </c>
      <c r="Q1683" s="171">
        <v>59.89</v>
      </c>
      <c r="R1683" s="171">
        <v>53.2</v>
      </c>
      <c r="S1683" s="171">
        <v>51.95</v>
      </c>
      <c r="T1683" s="171">
        <v>51.38</v>
      </c>
      <c r="U1683" s="171">
        <v>51.99</v>
      </c>
      <c r="V1683" s="171">
        <v>61.27</v>
      </c>
      <c r="W1683" s="171">
        <v>68.56</v>
      </c>
      <c r="X1683" s="171">
        <v>63.54</v>
      </c>
      <c r="Y1683" s="171">
        <v>52.93</v>
      </c>
      <c r="Z1683" s="171">
        <v>49.67</v>
      </c>
      <c r="AA1683" s="171">
        <v>47.38</v>
      </c>
      <c r="AB1683" s="171">
        <v>68.56</v>
      </c>
      <c r="AC1683" s="171">
        <v>49.67</v>
      </c>
      <c r="AD1683" s="171">
        <v>43.51</v>
      </c>
      <c r="AF1683" s="171">
        <f t="shared" si="80"/>
        <v>2012</v>
      </c>
      <c r="AG1683" s="171">
        <f t="shared" si="81"/>
        <v>6</v>
      </c>
      <c r="AH1683" s="700">
        <f>SUMIF(D$3:$AA1683,"&lt;="&amp;$AH$1)/COUNTIF(D$3:$AA1683,"&lt;="&amp;$AH$1)</f>
        <v>30.953152058008214</v>
      </c>
    </row>
    <row r="1684" spans="2:34" x14ac:dyDescent="0.25">
      <c r="B1684" s="910">
        <v>41184</v>
      </c>
      <c r="C1684" s="581">
        <f t="shared" si="79"/>
        <v>10</v>
      </c>
      <c r="D1684" s="171">
        <v>38.19</v>
      </c>
      <c r="E1684" s="171">
        <v>33.770000000000003</v>
      </c>
      <c r="F1684" s="171">
        <v>31.01</v>
      </c>
      <c r="G1684" s="171">
        <v>27.84</v>
      </c>
      <c r="H1684" s="171">
        <v>30.98</v>
      </c>
      <c r="I1684" s="171">
        <v>34.07</v>
      </c>
      <c r="J1684" s="171">
        <v>44.38</v>
      </c>
      <c r="K1684" s="171">
        <v>57.65</v>
      </c>
      <c r="L1684" s="171">
        <v>60.06</v>
      </c>
      <c r="M1684" s="171">
        <v>60.02</v>
      </c>
      <c r="N1684" s="171">
        <v>57.78</v>
      </c>
      <c r="O1684" s="171">
        <v>59.7</v>
      </c>
      <c r="P1684" s="171">
        <v>59.7</v>
      </c>
      <c r="Q1684" s="171">
        <v>55.480000000000004</v>
      </c>
      <c r="R1684" s="171">
        <v>53.97</v>
      </c>
      <c r="S1684" s="171">
        <v>48.24</v>
      </c>
      <c r="T1684" s="171">
        <v>48.24</v>
      </c>
      <c r="U1684" s="171">
        <v>54.94</v>
      </c>
      <c r="V1684" s="171">
        <v>62.21</v>
      </c>
      <c r="W1684" s="171">
        <v>74.77</v>
      </c>
      <c r="X1684" s="171">
        <v>61.25</v>
      </c>
      <c r="Y1684" s="171">
        <v>54.96</v>
      </c>
      <c r="Z1684" s="171">
        <v>50</v>
      </c>
      <c r="AA1684" s="171">
        <v>45.300000000000004</v>
      </c>
      <c r="AB1684" s="171">
        <v>74.77</v>
      </c>
      <c r="AC1684" s="171">
        <v>48.24</v>
      </c>
      <c r="AD1684" s="171">
        <v>42.45</v>
      </c>
      <c r="AF1684" s="171">
        <f t="shared" si="80"/>
        <v>2012</v>
      </c>
      <c r="AG1684" s="171">
        <f t="shared" si="81"/>
        <v>6</v>
      </c>
      <c r="AH1684" s="700">
        <f>SUMIF(D$3:$AA1684,"&lt;="&amp;$AH$1)/COUNTIF(D$3:$AA1684,"&lt;="&amp;$AH$1)</f>
        <v>30.953872663966575</v>
      </c>
    </row>
    <row r="1685" spans="2:34" x14ac:dyDescent="0.25">
      <c r="B1685" s="910">
        <v>41185</v>
      </c>
      <c r="C1685" s="581">
        <f t="shared" si="79"/>
        <v>10</v>
      </c>
      <c r="D1685" s="171">
        <v>39.520000000000003</v>
      </c>
      <c r="E1685" s="171">
        <v>34.58</v>
      </c>
      <c r="F1685" s="171">
        <v>32.230000000000004</v>
      </c>
      <c r="G1685" s="171">
        <v>22.02</v>
      </c>
      <c r="H1685" s="171">
        <v>23.3</v>
      </c>
      <c r="I1685" s="171">
        <v>28.91</v>
      </c>
      <c r="J1685" s="171">
        <v>40.61</v>
      </c>
      <c r="K1685" s="171">
        <v>50</v>
      </c>
      <c r="L1685" s="171">
        <v>53.92</v>
      </c>
      <c r="M1685" s="171">
        <v>59.32</v>
      </c>
      <c r="N1685" s="171">
        <v>65</v>
      </c>
      <c r="O1685" s="171">
        <v>67.88</v>
      </c>
      <c r="P1685" s="171">
        <v>64.930000000000007</v>
      </c>
      <c r="Q1685" s="171">
        <v>70.17</v>
      </c>
      <c r="R1685" s="171">
        <v>61.410000000000004</v>
      </c>
      <c r="S1685" s="171">
        <v>56</v>
      </c>
      <c r="T1685" s="171">
        <v>50.56</v>
      </c>
      <c r="U1685" s="171">
        <v>53.19</v>
      </c>
      <c r="V1685" s="171">
        <v>50.550000000000004</v>
      </c>
      <c r="W1685" s="171">
        <v>61.2</v>
      </c>
      <c r="X1685" s="171">
        <v>54.96</v>
      </c>
      <c r="Y1685" s="171">
        <v>50</v>
      </c>
      <c r="Z1685" s="171">
        <v>53.03</v>
      </c>
      <c r="AA1685" s="171">
        <v>47.46</v>
      </c>
      <c r="AB1685" s="171">
        <v>70.17</v>
      </c>
      <c r="AC1685" s="171">
        <v>50</v>
      </c>
      <c r="AD1685" s="171">
        <v>39.72</v>
      </c>
      <c r="AF1685" s="171">
        <f t="shared" si="80"/>
        <v>2012</v>
      </c>
      <c r="AG1685" s="171">
        <f t="shared" si="81"/>
        <v>7</v>
      </c>
      <c r="AH1685" s="700">
        <f>SUMIF(D$3:$AA1685,"&lt;="&amp;$AH$1)/COUNTIF(D$3:$AA1685,"&lt;="&amp;$AH$1)</f>
        <v>30.954191761363749</v>
      </c>
    </row>
    <row r="1686" spans="2:34" x14ac:dyDescent="0.25">
      <c r="B1686" s="910">
        <v>41186</v>
      </c>
      <c r="C1686" s="581">
        <f t="shared" si="79"/>
        <v>10</v>
      </c>
      <c r="D1686" s="171">
        <v>50.03</v>
      </c>
      <c r="E1686" s="171">
        <v>39.94</v>
      </c>
      <c r="F1686" s="171">
        <v>34.19</v>
      </c>
      <c r="G1686" s="171">
        <v>33</v>
      </c>
      <c r="H1686" s="171">
        <v>31.2</v>
      </c>
      <c r="I1686" s="171">
        <v>33.770000000000003</v>
      </c>
      <c r="J1686" s="171">
        <v>53.26</v>
      </c>
      <c r="K1686" s="171">
        <v>66.8</v>
      </c>
      <c r="L1686" s="171">
        <v>60.07</v>
      </c>
      <c r="M1686" s="171">
        <v>63.79</v>
      </c>
      <c r="N1686" s="171">
        <v>61.2</v>
      </c>
      <c r="O1686" s="171">
        <v>61.19</v>
      </c>
      <c r="P1686" s="171">
        <v>57.6</v>
      </c>
      <c r="Q1686" s="171">
        <v>57.96</v>
      </c>
      <c r="R1686" s="171">
        <v>58.93</v>
      </c>
      <c r="S1686" s="171">
        <v>56.28</v>
      </c>
      <c r="T1686" s="171">
        <v>53</v>
      </c>
      <c r="U1686" s="171">
        <v>57.59</v>
      </c>
      <c r="V1686" s="171">
        <v>61.67</v>
      </c>
      <c r="W1686" s="171">
        <v>68.03</v>
      </c>
      <c r="X1686" s="171">
        <v>69.42</v>
      </c>
      <c r="Y1686" s="171">
        <v>60.980000000000004</v>
      </c>
      <c r="Z1686" s="171">
        <v>53.49</v>
      </c>
      <c r="AA1686" s="171">
        <v>49.6</v>
      </c>
      <c r="AB1686" s="171">
        <v>69.42</v>
      </c>
      <c r="AC1686" s="171">
        <v>53</v>
      </c>
      <c r="AD1686" s="171">
        <v>47.97</v>
      </c>
      <c r="AF1686" s="171">
        <f t="shared" si="80"/>
        <v>2012</v>
      </c>
      <c r="AG1686" s="171">
        <f t="shared" si="81"/>
        <v>5</v>
      </c>
      <c r="AH1686" s="700">
        <f>SUMIF(D$3:$AA1686,"&lt;="&amp;$AH$1)/COUNTIF(D$3:$AA1686,"&lt;="&amp;$AH$1)</f>
        <v>30.955422080227308</v>
      </c>
    </row>
    <row r="1687" spans="2:34" x14ac:dyDescent="0.25">
      <c r="B1687" s="910">
        <v>41187</v>
      </c>
      <c r="C1687" s="581">
        <f t="shared" si="79"/>
        <v>10</v>
      </c>
      <c r="D1687" s="171">
        <v>46.61</v>
      </c>
      <c r="E1687" s="171">
        <v>42.910000000000004</v>
      </c>
      <c r="F1687" s="171">
        <v>37.619999999999997</v>
      </c>
      <c r="G1687" s="171">
        <v>30.150000000000002</v>
      </c>
      <c r="H1687" s="171">
        <v>29.57</v>
      </c>
      <c r="I1687" s="171">
        <v>35.17</v>
      </c>
      <c r="J1687" s="171">
        <v>49.95</v>
      </c>
      <c r="K1687" s="171">
        <v>62.29</v>
      </c>
      <c r="L1687" s="171">
        <v>63.440000000000005</v>
      </c>
      <c r="M1687" s="171">
        <v>63.7</v>
      </c>
      <c r="N1687" s="171">
        <v>61.19</v>
      </c>
      <c r="O1687" s="171">
        <v>59.94</v>
      </c>
      <c r="P1687" s="171">
        <v>59.81</v>
      </c>
      <c r="Q1687" s="171">
        <v>55.78</v>
      </c>
      <c r="R1687" s="171">
        <v>54.28</v>
      </c>
      <c r="S1687" s="171">
        <v>50.24</v>
      </c>
      <c r="T1687" s="171">
        <v>52.03</v>
      </c>
      <c r="U1687" s="171">
        <v>54.28</v>
      </c>
      <c r="V1687" s="171">
        <v>57.43</v>
      </c>
      <c r="W1687" s="171">
        <v>76.23</v>
      </c>
      <c r="X1687" s="171">
        <v>67</v>
      </c>
      <c r="Y1687" s="171">
        <v>57.42</v>
      </c>
      <c r="Z1687" s="171">
        <v>58.25</v>
      </c>
      <c r="AA1687" s="171">
        <v>54.370000000000005</v>
      </c>
      <c r="AB1687" s="171">
        <v>76.23</v>
      </c>
      <c r="AC1687" s="171">
        <v>50.24</v>
      </c>
      <c r="AD1687" s="171">
        <v>47.61</v>
      </c>
      <c r="AF1687" s="171">
        <f t="shared" si="80"/>
        <v>2012</v>
      </c>
      <c r="AG1687" s="171">
        <f t="shared" si="81"/>
        <v>4</v>
      </c>
      <c r="AH1687" s="700">
        <f>SUMIF(D$3:$AA1687,"&lt;="&amp;$AH$1)/COUNTIF(D$3:$AA1687,"&lt;="&amp;$AH$1)</f>
        <v>30.956038753637706</v>
      </c>
    </row>
    <row r="1688" spans="2:34" x14ac:dyDescent="0.25">
      <c r="B1688" s="910">
        <v>41190</v>
      </c>
      <c r="C1688" s="581">
        <f t="shared" si="79"/>
        <v>10</v>
      </c>
      <c r="D1688" s="171">
        <v>43.17</v>
      </c>
      <c r="E1688" s="171">
        <v>34.71</v>
      </c>
      <c r="F1688" s="171">
        <v>33.07</v>
      </c>
      <c r="G1688" s="171">
        <v>23.39</v>
      </c>
      <c r="H1688" s="171">
        <v>25.16</v>
      </c>
      <c r="I1688" s="171">
        <v>35.04</v>
      </c>
      <c r="J1688" s="171">
        <v>44.71</v>
      </c>
      <c r="K1688" s="171">
        <v>53.15</v>
      </c>
      <c r="L1688" s="171">
        <v>57.54</v>
      </c>
      <c r="M1688" s="171">
        <v>52.480000000000004</v>
      </c>
      <c r="N1688" s="171">
        <v>58.17</v>
      </c>
      <c r="O1688" s="171">
        <v>61.19</v>
      </c>
      <c r="P1688" s="171">
        <v>59.52</v>
      </c>
      <c r="Q1688" s="171">
        <v>58.99</v>
      </c>
      <c r="R1688" s="171">
        <v>53.69</v>
      </c>
      <c r="S1688" s="171">
        <v>49.93</v>
      </c>
      <c r="T1688" s="171">
        <v>51.17</v>
      </c>
      <c r="U1688" s="171">
        <v>54.88</v>
      </c>
      <c r="V1688" s="171">
        <v>60.04</v>
      </c>
      <c r="W1688" s="171">
        <v>71.989999999999995</v>
      </c>
      <c r="X1688" s="171">
        <v>61.910000000000004</v>
      </c>
      <c r="Y1688" s="171">
        <v>51.92</v>
      </c>
      <c r="Z1688" s="171">
        <v>54.14</v>
      </c>
      <c r="AA1688" s="171">
        <v>53.33</v>
      </c>
      <c r="AB1688" s="171">
        <v>71.989999999999995</v>
      </c>
      <c r="AC1688" s="171">
        <v>49.93</v>
      </c>
      <c r="AD1688" s="171">
        <v>42.81</v>
      </c>
      <c r="AF1688" s="171">
        <f t="shared" si="80"/>
        <v>2012</v>
      </c>
      <c r="AG1688" s="171">
        <f t="shared" si="81"/>
        <v>5</v>
      </c>
      <c r="AH1688" s="700">
        <f>SUMIF(D$3:$AA1688,"&lt;="&amp;$AH$1)/COUNTIF(D$3:$AA1688,"&lt;="&amp;$AH$1)</f>
        <v>30.95579679296166</v>
      </c>
    </row>
    <row r="1689" spans="2:34" x14ac:dyDescent="0.25">
      <c r="B1689" s="910">
        <v>41191</v>
      </c>
      <c r="C1689" s="581">
        <f t="shared" si="79"/>
        <v>10</v>
      </c>
      <c r="D1689" s="171">
        <v>43.04</v>
      </c>
      <c r="E1689" s="171">
        <v>35</v>
      </c>
      <c r="F1689" s="171">
        <v>31.21</v>
      </c>
      <c r="G1689" s="171">
        <v>30.05</v>
      </c>
      <c r="H1689" s="171">
        <v>31.3</v>
      </c>
      <c r="I1689" s="171">
        <v>32.97</v>
      </c>
      <c r="J1689" s="171">
        <v>45.35</v>
      </c>
      <c r="K1689" s="171">
        <v>61.99</v>
      </c>
      <c r="L1689" s="171">
        <v>62.71</v>
      </c>
      <c r="M1689" s="171">
        <v>62.27</v>
      </c>
      <c r="N1689" s="171">
        <v>61.95</v>
      </c>
      <c r="O1689" s="171">
        <v>60.31</v>
      </c>
      <c r="P1689" s="171">
        <v>61.2</v>
      </c>
      <c r="Q1689" s="171">
        <v>58</v>
      </c>
      <c r="R1689" s="171">
        <v>59.36</v>
      </c>
      <c r="S1689" s="171">
        <v>49.94</v>
      </c>
      <c r="T1689" s="171">
        <v>50</v>
      </c>
      <c r="U1689" s="171">
        <v>53.28</v>
      </c>
      <c r="V1689" s="171">
        <v>60.07</v>
      </c>
      <c r="W1689" s="171">
        <v>75.09</v>
      </c>
      <c r="X1689" s="171">
        <v>63.84</v>
      </c>
      <c r="Y1689" s="171">
        <v>51.230000000000004</v>
      </c>
      <c r="Z1689" s="171">
        <v>53.19</v>
      </c>
      <c r="AA1689" s="171">
        <v>46.36</v>
      </c>
      <c r="AB1689" s="171">
        <v>75.09</v>
      </c>
      <c r="AC1689" s="171">
        <v>49.94</v>
      </c>
      <c r="AD1689" s="171">
        <v>43.79</v>
      </c>
      <c r="AF1689" s="171">
        <f t="shared" si="80"/>
        <v>2012</v>
      </c>
      <c r="AG1689" s="171">
        <f t="shared" si="81"/>
        <v>5</v>
      </c>
      <c r="AH1689" s="700">
        <f>SUMIF(D$3:$AA1689,"&lt;="&amp;$AH$1)/COUNTIF(D$3:$AA1689,"&lt;="&amp;$AH$1)</f>
        <v>30.95620469536858</v>
      </c>
    </row>
    <row r="1690" spans="2:34" x14ac:dyDescent="0.25">
      <c r="B1690" s="910">
        <v>41192</v>
      </c>
      <c r="C1690" s="581">
        <f t="shared" si="79"/>
        <v>10</v>
      </c>
      <c r="D1690" s="171">
        <v>40.020000000000003</v>
      </c>
      <c r="E1690" s="171">
        <v>34.770000000000003</v>
      </c>
      <c r="F1690" s="171">
        <v>32.06</v>
      </c>
      <c r="G1690" s="171">
        <v>31.79</v>
      </c>
      <c r="H1690" s="171">
        <v>32.450000000000003</v>
      </c>
      <c r="I1690" s="171">
        <v>37.050000000000004</v>
      </c>
      <c r="J1690" s="171">
        <v>50.57</v>
      </c>
      <c r="K1690" s="171">
        <v>64.87</v>
      </c>
      <c r="L1690" s="171">
        <v>63.980000000000004</v>
      </c>
      <c r="M1690" s="171">
        <v>63.58</v>
      </c>
      <c r="N1690" s="171">
        <v>61.95</v>
      </c>
      <c r="O1690" s="171">
        <v>65.489999999999995</v>
      </c>
      <c r="P1690" s="171">
        <v>61.19</v>
      </c>
      <c r="Q1690" s="171">
        <v>56.7</v>
      </c>
      <c r="R1690" s="171">
        <v>53.2</v>
      </c>
      <c r="S1690" s="171">
        <v>49.4</v>
      </c>
      <c r="T1690" s="171">
        <v>50</v>
      </c>
      <c r="U1690" s="171">
        <v>55.5</v>
      </c>
      <c r="V1690" s="171">
        <v>64.17</v>
      </c>
      <c r="W1690" s="171">
        <v>90.19</v>
      </c>
      <c r="X1690" s="171">
        <v>61.27</v>
      </c>
      <c r="Y1690" s="171">
        <v>55.07</v>
      </c>
      <c r="Z1690" s="171">
        <v>53</v>
      </c>
      <c r="AA1690" s="171">
        <v>47.6</v>
      </c>
      <c r="AB1690" s="171">
        <v>90.19</v>
      </c>
      <c r="AC1690" s="171">
        <v>49.4</v>
      </c>
      <c r="AD1690" s="171">
        <v>45.04</v>
      </c>
      <c r="AF1690" s="171">
        <f t="shared" si="80"/>
        <v>2012</v>
      </c>
      <c r="AG1690" s="171">
        <f t="shared" si="81"/>
        <v>6</v>
      </c>
      <c r="AH1690" s="700">
        <f>SUMIF(D$3:$AA1690,"&lt;="&amp;$AH$1)/COUNTIF(D$3:$AA1690,"&lt;="&amp;$AH$1)</f>
        <v>30.957792981212449</v>
      </c>
    </row>
    <row r="1691" spans="2:34" x14ac:dyDescent="0.25">
      <c r="B1691" s="910">
        <v>41193</v>
      </c>
      <c r="C1691" s="581">
        <f t="shared" si="79"/>
        <v>10</v>
      </c>
      <c r="D1691" s="171">
        <v>43.67</v>
      </c>
      <c r="E1691" s="171">
        <v>35.97</v>
      </c>
      <c r="F1691" s="171">
        <v>34.910000000000004</v>
      </c>
      <c r="G1691" s="171">
        <v>33.880000000000003</v>
      </c>
      <c r="H1691" s="171">
        <v>34.94</v>
      </c>
      <c r="I1691" s="171">
        <v>38.78</v>
      </c>
      <c r="J1691" s="171">
        <v>53.27</v>
      </c>
      <c r="K1691" s="171">
        <v>70.69</v>
      </c>
      <c r="L1691" s="171">
        <v>73.75</v>
      </c>
      <c r="M1691" s="171">
        <v>69.960000000000008</v>
      </c>
      <c r="N1691" s="171">
        <v>63.28</v>
      </c>
      <c r="O1691" s="171">
        <v>59.7</v>
      </c>
      <c r="P1691" s="171">
        <v>57</v>
      </c>
      <c r="Q1691" s="171">
        <v>55.230000000000004</v>
      </c>
      <c r="R1691" s="171">
        <v>54.9</v>
      </c>
      <c r="S1691" s="171">
        <v>53.19</v>
      </c>
      <c r="T1691" s="171">
        <v>52.910000000000004</v>
      </c>
      <c r="U1691" s="171">
        <v>60.02</v>
      </c>
      <c r="V1691" s="171">
        <v>64.56</v>
      </c>
      <c r="W1691" s="171">
        <v>81.710000000000008</v>
      </c>
      <c r="X1691" s="171">
        <v>57.99</v>
      </c>
      <c r="Y1691" s="171">
        <v>53.24</v>
      </c>
      <c r="Z1691" s="171">
        <v>48.85</v>
      </c>
      <c r="AA1691" s="171">
        <v>44.54</v>
      </c>
      <c r="AB1691" s="171">
        <v>81.710000000000008</v>
      </c>
      <c r="AC1691" s="171">
        <v>48.85</v>
      </c>
      <c r="AD1691" s="171">
        <v>45.89</v>
      </c>
      <c r="AF1691" s="171">
        <f t="shared" si="80"/>
        <v>2012</v>
      </c>
      <c r="AG1691" s="171">
        <f t="shared" si="81"/>
        <v>5</v>
      </c>
      <c r="AH1691" s="700">
        <f>SUMIF(D$3:$AA1691,"&lt;="&amp;$AH$1)/COUNTIF(D$3:$AA1691,"&lt;="&amp;$AH$1)</f>
        <v>30.959472005669852</v>
      </c>
    </row>
    <row r="1692" spans="2:34" x14ac:dyDescent="0.25">
      <c r="B1692" s="910">
        <v>41194</v>
      </c>
      <c r="C1692" s="581">
        <f t="shared" si="79"/>
        <v>10</v>
      </c>
      <c r="D1692" s="171">
        <v>35.5</v>
      </c>
      <c r="E1692" s="171">
        <v>32.86</v>
      </c>
      <c r="F1692" s="171">
        <v>32.14</v>
      </c>
      <c r="G1692" s="171">
        <v>30.76</v>
      </c>
      <c r="H1692" s="171">
        <v>31.8</v>
      </c>
      <c r="I1692" s="171">
        <v>32.97</v>
      </c>
      <c r="J1692" s="171">
        <v>41.15</v>
      </c>
      <c r="K1692" s="171">
        <v>55.78</v>
      </c>
      <c r="L1692" s="171">
        <v>58.81</v>
      </c>
      <c r="M1692" s="171">
        <v>64.930000000000007</v>
      </c>
      <c r="N1692" s="171">
        <v>69</v>
      </c>
      <c r="O1692" s="171">
        <v>70.320000000000007</v>
      </c>
      <c r="P1692" s="171">
        <v>58.09</v>
      </c>
      <c r="Q1692" s="171">
        <v>53.28</v>
      </c>
      <c r="R1692" s="171">
        <v>49.94</v>
      </c>
      <c r="S1692" s="171">
        <v>47.77</v>
      </c>
      <c r="T1692" s="171">
        <v>45.550000000000004</v>
      </c>
      <c r="U1692" s="171">
        <v>47.96</v>
      </c>
      <c r="V1692" s="171">
        <v>56.11</v>
      </c>
      <c r="W1692" s="171">
        <v>65.91</v>
      </c>
      <c r="X1692" s="171">
        <v>53.82</v>
      </c>
      <c r="Y1692" s="171">
        <v>49.94</v>
      </c>
      <c r="Z1692" s="171">
        <v>49.93</v>
      </c>
      <c r="AA1692" s="171">
        <v>45.59</v>
      </c>
      <c r="AB1692" s="171">
        <v>70.320000000000007</v>
      </c>
      <c r="AC1692" s="171">
        <v>45.550000000000004</v>
      </c>
      <c r="AD1692" s="171">
        <v>41.02</v>
      </c>
      <c r="AF1692" s="171">
        <f t="shared" si="80"/>
        <v>2012</v>
      </c>
      <c r="AG1692" s="171">
        <f t="shared" si="81"/>
        <v>7</v>
      </c>
      <c r="AH1692" s="700">
        <f>SUMIF(D$3:$AA1692,"&lt;="&amp;$AH$1)/COUNTIF(D$3:$AA1692,"&lt;="&amp;$AH$1)</f>
        <v>30.960921583906043</v>
      </c>
    </row>
    <row r="1693" spans="2:34" x14ac:dyDescent="0.25">
      <c r="B1693" s="910">
        <v>41197</v>
      </c>
      <c r="C1693" s="581">
        <f t="shared" si="79"/>
        <v>10</v>
      </c>
      <c r="D1693" s="171">
        <v>34.79</v>
      </c>
      <c r="E1693" s="171">
        <v>35.24</v>
      </c>
      <c r="F1693" s="171">
        <v>26.87</v>
      </c>
      <c r="G1693" s="171">
        <v>27.26</v>
      </c>
      <c r="H1693" s="171">
        <v>30.25</v>
      </c>
      <c r="I1693" s="171">
        <v>21.900000000000002</v>
      </c>
      <c r="J1693" s="171">
        <v>47.72</v>
      </c>
      <c r="K1693" s="171">
        <v>57.81</v>
      </c>
      <c r="L1693" s="171">
        <v>64.430000000000007</v>
      </c>
      <c r="M1693" s="171">
        <v>65.44</v>
      </c>
      <c r="N1693" s="171">
        <v>65.2</v>
      </c>
      <c r="O1693" s="171">
        <v>63.88</v>
      </c>
      <c r="P1693" s="171">
        <v>61.59</v>
      </c>
      <c r="Q1693" s="171">
        <v>60</v>
      </c>
      <c r="R1693" s="171">
        <v>57.44</v>
      </c>
      <c r="S1693" s="171">
        <v>50</v>
      </c>
      <c r="T1693" s="171">
        <v>50</v>
      </c>
      <c r="U1693" s="171">
        <v>50.1</v>
      </c>
      <c r="V1693" s="171">
        <v>60.050000000000004</v>
      </c>
      <c r="W1693" s="171">
        <v>76</v>
      </c>
      <c r="X1693" s="171">
        <v>70</v>
      </c>
      <c r="Y1693" s="171">
        <v>52.38</v>
      </c>
      <c r="Z1693" s="171">
        <v>53.2</v>
      </c>
      <c r="AA1693" s="171">
        <v>54.93</v>
      </c>
      <c r="AB1693" s="171">
        <v>76</v>
      </c>
      <c r="AC1693" s="171">
        <v>50</v>
      </c>
      <c r="AD1693" s="171">
        <v>42.7</v>
      </c>
      <c r="AF1693" s="171">
        <f t="shared" si="80"/>
        <v>2012</v>
      </c>
      <c r="AG1693" s="171">
        <f t="shared" si="81"/>
        <v>6</v>
      </c>
      <c r="AH1693" s="700">
        <f>SUMIF(D$3:$AA1693,"&lt;="&amp;$AH$1)/COUNTIF(D$3:$AA1693,"&lt;="&amp;$AH$1)</f>
        <v>30.960252071089823</v>
      </c>
    </row>
    <row r="1694" spans="2:34" x14ac:dyDescent="0.25">
      <c r="B1694" s="910">
        <v>41198</v>
      </c>
      <c r="C1694" s="581">
        <f t="shared" si="79"/>
        <v>10</v>
      </c>
      <c r="D1694" s="171">
        <v>49.22</v>
      </c>
      <c r="E1694" s="171">
        <v>32.97</v>
      </c>
      <c r="F1694" s="171">
        <v>29.830000000000002</v>
      </c>
      <c r="G1694" s="171">
        <v>27.54</v>
      </c>
      <c r="H1694" s="171">
        <v>28.150000000000002</v>
      </c>
      <c r="I1694" s="171">
        <v>32.090000000000003</v>
      </c>
      <c r="J1694" s="171">
        <v>45.02</v>
      </c>
      <c r="K1694" s="171">
        <v>60.72</v>
      </c>
      <c r="L1694" s="171">
        <v>63.95</v>
      </c>
      <c r="M1694" s="171">
        <v>53.17</v>
      </c>
      <c r="N1694" s="171">
        <v>51.25</v>
      </c>
      <c r="O1694" s="171">
        <v>51.25</v>
      </c>
      <c r="P1694" s="171">
        <v>51.28</v>
      </c>
      <c r="Q1694" s="171">
        <v>51.28</v>
      </c>
      <c r="R1694" s="171">
        <v>48.82</v>
      </c>
      <c r="S1694" s="171">
        <v>50</v>
      </c>
      <c r="T1694" s="171">
        <v>51.28</v>
      </c>
      <c r="U1694" s="171">
        <v>56.02</v>
      </c>
      <c r="V1694" s="171">
        <v>60.9</v>
      </c>
      <c r="W1694" s="171">
        <v>83.97</v>
      </c>
      <c r="X1694" s="171">
        <v>57.95</v>
      </c>
      <c r="Y1694" s="171">
        <v>53.19</v>
      </c>
      <c r="Z1694" s="171">
        <v>52.02</v>
      </c>
      <c r="AA1694" s="171">
        <v>51.5</v>
      </c>
      <c r="AB1694" s="171">
        <v>83.97</v>
      </c>
      <c r="AC1694" s="171">
        <v>48.82</v>
      </c>
      <c r="AD1694" s="171">
        <v>43.35</v>
      </c>
      <c r="AF1694" s="171">
        <f t="shared" si="80"/>
        <v>2012</v>
      </c>
      <c r="AG1694" s="171">
        <f t="shared" si="81"/>
        <v>5</v>
      </c>
      <c r="AH1694" s="700">
        <f>SUMIF(D$3:$AA1694,"&lt;="&amp;$AH$1)/COUNTIF(D$3:$AA1694,"&lt;="&amp;$AH$1)</f>
        <v>30.959953284258322</v>
      </c>
    </row>
    <row r="1695" spans="2:34" x14ac:dyDescent="0.25">
      <c r="B1695" s="910">
        <v>41199</v>
      </c>
      <c r="C1695" s="581">
        <f t="shared" si="79"/>
        <v>10</v>
      </c>
      <c r="D1695" s="171">
        <v>42.17</v>
      </c>
      <c r="E1695" s="171">
        <v>37.39</v>
      </c>
      <c r="F1695" s="171">
        <v>33.53</v>
      </c>
      <c r="G1695" s="171">
        <v>26.54</v>
      </c>
      <c r="H1695" s="171">
        <v>26.67</v>
      </c>
      <c r="I1695" s="171">
        <v>32.15</v>
      </c>
      <c r="J1695" s="171">
        <v>43.980000000000004</v>
      </c>
      <c r="K1695" s="171">
        <v>59.71</v>
      </c>
      <c r="L1695" s="171">
        <v>63.24</v>
      </c>
      <c r="M1695" s="171">
        <v>61.18</v>
      </c>
      <c r="N1695" s="171">
        <v>63.53</v>
      </c>
      <c r="O1695" s="171">
        <v>63.27</v>
      </c>
      <c r="P1695" s="171">
        <v>56.27</v>
      </c>
      <c r="Q1695" s="171">
        <v>53.18</v>
      </c>
      <c r="R1695" s="171">
        <v>51.5</v>
      </c>
      <c r="S1695" s="171">
        <v>53</v>
      </c>
      <c r="T1695" s="171">
        <v>54.94</v>
      </c>
      <c r="U1695" s="171">
        <v>53.9</v>
      </c>
      <c r="V1695" s="171">
        <v>59.77</v>
      </c>
      <c r="W1695" s="171">
        <v>67.070000000000007</v>
      </c>
      <c r="X1695" s="171">
        <v>54.160000000000004</v>
      </c>
      <c r="Y1695" s="171">
        <v>52.36</v>
      </c>
      <c r="Z1695" s="171">
        <v>52.84</v>
      </c>
      <c r="AA1695" s="171">
        <v>45.730000000000004</v>
      </c>
      <c r="AB1695" s="171">
        <v>67.070000000000007</v>
      </c>
      <c r="AC1695" s="171">
        <v>51.5</v>
      </c>
      <c r="AD1695" s="171">
        <v>42.27</v>
      </c>
      <c r="AF1695" s="171">
        <f t="shared" si="80"/>
        <v>2012</v>
      </c>
      <c r="AG1695" s="171">
        <f t="shared" si="81"/>
        <v>6</v>
      </c>
      <c r="AH1695" s="700">
        <f>SUMIF(D$3:$AA1695,"&lt;="&amp;$AH$1)/COUNTIF(D$3:$AA1695,"&lt;="&amp;$AH$1)</f>
        <v>30.960851139097326</v>
      </c>
    </row>
    <row r="1696" spans="2:34" x14ac:dyDescent="0.25">
      <c r="B1696" s="910">
        <v>41200</v>
      </c>
      <c r="C1696" s="581">
        <f t="shared" si="79"/>
        <v>10</v>
      </c>
      <c r="D1696" s="171">
        <v>45.36</v>
      </c>
      <c r="E1696" s="171">
        <v>41.39</v>
      </c>
      <c r="F1696" s="171">
        <v>34.57</v>
      </c>
      <c r="G1696" s="171">
        <v>30.18</v>
      </c>
      <c r="H1696" s="171">
        <v>30.36</v>
      </c>
      <c r="I1696" s="171">
        <v>33.08</v>
      </c>
      <c r="J1696" s="171">
        <v>44.1</v>
      </c>
      <c r="K1696" s="171">
        <v>57.61</v>
      </c>
      <c r="L1696" s="171">
        <v>59.22</v>
      </c>
      <c r="M1696" s="171">
        <v>65</v>
      </c>
      <c r="N1696" s="171">
        <v>67.91</v>
      </c>
      <c r="O1696" s="171">
        <v>64.150000000000006</v>
      </c>
      <c r="P1696" s="171">
        <v>61.39</v>
      </c>
      <c r="Q1696" s="171">
        <v>59.68</v>
      </c>
      <c r="R1696" s="171">
        <v>58.11</v>
      </c>
      <c r="S1696" s="171">
        <v>50.71</v>
      </c>
      <c r="T1696" s="171">
        <v>50.57</v>
      </c>
      <c r="U1696" s="171">
        <v>53</v>
      </c>
      <c r="V1696" s="171">
        <v>60.9</v>
      </c>
      <c r="W1696" s="171">
        <v>75</v>
      </c>
      <c r="X1696" s="171">
        <v>61.2</v>
      </c>
      <c r="Y1696" s="171">
        <v>53.230000000000004</v>
      </c>
      <c r="Z1696" s="171">
        <v>58</v>
      </c>
      <c r="AA1696" s="171">
        <v>55</v>
      </c>
      <c r="AB1696" s="171">
        <v>75</v>
      </c>
      <c r="AC1696" s="171">
        <v>50.57</v>
      </c>
      <c r="AD1696" s="171">
        <v>45.34</v>
      </c>
      <c r="AF1696" s="171">
        <f t="shared" si="80"/>
        <v>2012</v>
      </c>
      <c r="AG1696" s="171">
        <f t="shared" si="81"/>
        <v>5</v>
      </c>
      <c r="AH1696" s="700">
        <f>SUMIF(D$3:$AA1696,"&lt;="&amp;$AH$1)/COUNTIF(D$3:$AA1696,"&lt;="&amp;$AH$1)</f>
        <v>30.961896173704055</v>
      </c>
    </row>
    <row r="1697" spans="2:34" x14ac:dyDescent="0.25">
      <c r="B1697" s="910">
        <v>41201</v>
      </c>
      <c r="C1697" s="581">
        <f t="shared" si="79"/>
        <v>10</v>
      </c>
      <c r="D1697" s="171">
        <v>43.96</v>
      </c>
      <c r="E1697" s="171">
        <v>33.85</v>
      </c>
      <c r="F1697" s="171">
        <v>34.730000000000004</v>
      </c>
      <c r="G1697" s="171">
        <v>30.01</v>
      </c>
      <c r="H1697" s="171">
        <v>30.59</v>
      </c>
      <c r="I1697" s="171">
        <v>31.62</v>
      </c>
      <c r="J1697" s="171">
        <v>43.660000000000004</v>
      </c>
      <c r="K1697" s="171">
        <v>63.95</v>
      </c>
      <c r="L1697" s="171">
        <v>67.83</v>
      </c>
      <c r="M1697" s="171">
        <v>65.13</v>
      </c>
      <c r="N1697" s="171">
        <v>74.73</v>
      </c>
      <c r="O1697" s="171">
        <v>69.94</v>
      </c>
      <c r="P1697" s="171">
        <v>71</v>
      </c>
      <c r="Q1697" s="171">
        <v>59.93</v>
      </c>
      <c r="R1697" s="171">
        <v>53.5</v>
      </c>
      <c r="S1697" s="171">
        <v>53</v>
      </c>
      <c r="T1697" s="171">
        <v>49.94</v>
      </c>
      <c r="U1697" s="171">
        <v>55.300000000000004</v>
      </c>
      <c r="V1697" s="171">
        <v>63.76</v>
      </c>
      <c r="W1697" s="171">
        <v>67.070000000000007</v>
      </c>
      <c r="X1697" s="171">
        <v>56.89</v>
      </c>
      <c r="Y1697" s="171">
        <v>50.120000000000005</v>
      </c>
      <c r="Z1697" s="171">
        <v>47.44</v>
      </c>
      <c r="AA1697" s="171">
        <v>44.94</v>
      </c>
      <c r="AB1697" s="171">
        <v>74.73</v>
      </c>
      <c r="AC1697" s="171">
        <v>47.44</v>
      </c>
      <c r="AD1697" s="171">
        <v>42.65</v>
      </c>
      <c r="AF1697" s="171">
        <f t="shared" si="80"/>
        <v>2012</v>
      </c>
      <c r="AG1697" s="171">
        <f t="shared" si="81"/>
        <v>5</v>
      </c>
      <c r="AH1697" s="700">
        <f>SUMIF(D$3:$AA1697,"&lt;="&amp;$AH$1)/COUNTIF(D$3:$AA1697,"&lt;="&amp;$AH$1)</f>
        <v>30.962319711538576</v>
      </c>
    </row>
    <row r="1698" spans="2:34" x14ac:dyDescent="0.25">
      <c r="B1698" s="910">
        <v>41204</v>
      </c>
      <c r="C1698" s="581">
        <f t="shared" si="79"/>
        <v>10</v>
      </c>
      <c r="D1698" s="171">
        <v>39.96</v>
      </c>
      <c r="E1698" s="171">
        <v>32.31</v>
      </c>
      <c r="F1698" s="171">
        <v>32.01</v>
      </c>
      <c r="G1698" s="171">
        <v>31.96</v>
      </c>
      <c r="H1698" s="171">
        <v>33.92</v>
      </c>
      <c r="I1698" s="171">
        <v>38.99</v>
      </c>
      <c r="J1698" s="171">
        <v>52.42</v>
      </c>
      <c r="K1698" s="171">
        <v>63.550000000000004</v>
      </c>
      <c r="L1698" s="171">
        <v>66.98</v>
      </c>
      <c r="M1698" s="171">
        <v>63.92</v>
      </c>
      <c r="N1698" s="171">
        <v>60.870000000000005</v>
      </c>
      <c r="O1698" s="171">
        <v>60</v>
      </c>
      <c r="P1698" s="171">
        <v>60.07</v>
      </c>
      <c r="Q1698" s="171">
        <v>58.59</v>
      </c>
      <c r="R1698" s="171">
        <v>58.06</v>
      </c>
      <c r="S1698" s="171">
        <v>56.25</v>
      </c>
      <c r="T1698" s="171">
        <v>53.19</v>
      </c>
      <c r="U1698" s="171">
        <v>59.15</v>
      </c>
      <c r="V1698" s="171">
        <v>66.989999999999995</v>
      </c>
      <c r="W1698" s="171">
        <v>80</v>
      </c>
      <c r="X1698" s="171">
        <v>59.22</v>
      </c>
      <c r="Y1698" s="171">
        <v>55</v>
      </c>
      <c r="Z1698" s="171">
        <v>53.160000000000004</v>
      </c>
      <c r="AA1698" s="171">
        <v>49.53</v>
      </c>
      <c r="AB1698" s="171">
        <v>80</v>
      </c>
      <c r="AC1698" s="171">
        <v>53.160000000000004</v>
      </c>
      <c r="AD1698" s="171">
        <v>45.17</v>
      </c>
      <c r="AF1698" s="171">
        <f t="shared" si="80"/>
        <v>2012</v>
      </c>
      <c r="AG1698" s="171">
        <f t="shared" si="81"/>
        <v>6</v>
      </c>
      <c r="AH1698" s="700">
        <f>SUMIF(D$3:$AA1698,"&lt;="&amp;$AH$1)/COUNTIF(D$3:$AA1698,"&lt;="&amp;$AH$1)</f>
        <v>30.963971731448879</v>
      </c>
    </row>
    <row r="1699" spans="2:34" x14ac:dyDescent="0.25">
      <c r="B1699" s="910">
        <v>41205</v>
      </c>
      <c r="C1699" s="581">
        <f t="shared" si="79"/>
        <v>10</v>
      </c>
      <c r="D1699" s="171">
        <v>39.96</v>
      </c>
      <c r="E1699" s="171">
        <v>32.31</v>
      </c>
      <c r="F1699" s="171">
        <v>32.01</v>
      </c>
      <c r="G1699" s="171">
        <v>31.96</v>
      </c>
      <c r="H1699" s="171">
        <v>33.92</v>
      </c>
      <c r="I1699" s="171">
        <v>38.99</v>
      </c>
      <c r="J1699" s="171">
        <v>52.42</v>
      </c>
      <c r="K1699" s="171">
        <v>63.550000000000004</v>
      </c>
      <c r="L1699" s="171">
        <v>66.98</v>
      </c>
      <c r="M1699" s="171">
        <v>63.92</v>
      </c>
      <c r="N1699" s="171">
        <v>60.870000000000005</v>
      </c>
      <c r="O1699" s="171">
        <v>60</v>
      </c>
      <c r="P1699" s="171">
        <v>60.07</v>
      </c>
      <c r="Q1699" s="171">
        <v>58.59</v>
      </c>
      <c r="R1699" s="171">
        <v>58.06</v>
      </c>
      <c r="S1699" s="171">
        <v>56.25</v>
      </c>
      <c r="T1699" s="171">
        <v>53.19</v>
      </c>
      <c r="U1699" s="171">
        <v>59.15</v>
      </c>
      <c r="V1699" s="171">
        <v>66.989999999999995</v>
      </c>
      <c r="W1699" s="171">
        <v>80</v>
      </c>
      <c r="X1699" s="171">
        <v>59.22</v>
      </c>
      <c r="Y1699" s="171">
        <v>55</v>
      </c>
      <c r="Z1699" s="171">
        <v>53.160000000000004</v>
      </c>
      <c r="AA1699" s="171">
        <v>49.53</v>
      </c>
      <c r="AB1699" s="171">
        <v>80</v>
      </c>
      <c r="AC1699" s="171">
        <v>53.160000000000004</v>
      </c>
      <c r="AD1699" s="171">
        <v>45.17</v>
      </c>
      <c r="AF1699" s="171">
        <f t="shared" si="80"/>
        <v>2012</v>
      </c>
      <c r="AG1699" s="171">
        <f t="shared" si="81"/>
        <v>6</v>
      </c>
      <c r="AH1699" s="700">
        <f>SUMIF(D$3:$AA1699,"&lt;="&amp;$AH$1)/COUNTIF(D$3:$AA1699,"&lt;="&amp;$AH$1)</f>
        <v>30.965622350946713</v>
      </c>
    </row>
    <row r="1700" spans="2:34" x14ac:dyDescent="0.25">
      <c r="B1700" s="910">
        <v>41206</v>
      </c>
      <c r="C1700" s="581">
        <f t="shared" si="79"/>
        <v>10</v>
      </c>
      <c r="D1700" s="171">
        <v>54</v>
      </c>
      <c r="E1700" s="171">
        <v>34.54</v>
      </c>
      <c r="F1700" s="171">
        <v>33.450000000000003</v>
      </c>
      <c r="G1700" s="171">
        <v>34.67</v>
      </c>
      <c r="H1700" s="171">
        <v>35.22</v>
      </c>
      <c r="I1700" s="171">
        <v>41.68</v>
      </c>
      <c r="J1700" s="171">
        <v>58.29</v>
      </c>
      <c r="K1700" s="171">
        <v>72.760000000000005</v>
      </c>
      <c r="L1700" s="171">
        <v>69.95</v>
      </c>
      <c r="M1700" s="171">
        <v>67.739999999999995</v>
      </c>
      <c r="N1700" s="171">
        <v>69.72</v>
      </c>
      <c r="O1700" s="171">
        <v>70</v>
      </c>
      <c r="P1700" s="171">
        <v>64.98</v>
      </c>
      <c r="Q1700" s="171">
        <v>61.06</v>
      </c>
      <c r="R1700" s="171">
        <v>57.99</v>
      </c>
      <c r="S1700" s="171">
        <v>56.19</v>
      </c>
      <c r="T1700" s="171">
        <v>57.06</v>
      </c>
      <c r="U1700" s="171">
        <v>61.370000000000005</v>
      </c>
      <c r="V1700" s="171">
        <v>67.290000000000006</v>
      </c>
      <c r="W1700" s="171">
        <v>69.56</v>
      </c>
      <c r="X1700" s="171">
        <v>61.96</v>
      </c>
      <c r="Y1700" s="171">
        <v>59.22</v>
      </c>
      <c r="Z1700" s="171">
        <v>60.26</v>
      </c>
      <c r="AA1700" s="171">
        <v>56.24</v>
      </c>
      <c r="AB1700" s="171">
        <v>72.760000000000005</v>
      </c>
      <c r="AC1700" s="171">
        <v>56.19</v>
      </c>
      <c r="AD1700" s="171">
        <v>50.19</v>
      </c>
      <c r="AF1700" s="171">
        <f t="shared" si="80"/>
        <v>2012</v>
      </c>
      <c r="AG1700" s="171">
        <f t="shared" si="81"/>
        <v>5</v>
      </c>
      <c r="AH1700" s="700">
        <f>SUMIF(D$3:$AA1700,"&lt;="&amp;$AH$1)/COUNTIF(D$3:$AA1700,"&lt;="&amp;$AH$1)</f>
        <v>30.967368829885007</v>
      </c>
    </row>
    <row r="1701" spans="2:34" x14ac:dyDescent="0.25">
      <c r="B1701" s="910">
        <v>41207</v>
      </c>
      <c r="C1701" s="581">
        <f t="shared" si="79"/>
        <v>10</v>
      </c>
      <c r="D1701" s="171">
        <v>43.81</v>
      </c>
      <c r="E1701" s="171">
        <v>37.300000000000004</v>
      </c>
      <c r="F1701" s="171">
        <v>37.89</v>
      </c>
      <c r="G1701" s="171">
        <v>34.28</v>
      </c>
      <c r="H1701" s="171">
        <v>34.72</v>
      </c>
      <c r="I1701" s="171">
        <v>35.57</v>
      </c>
      <c r="J1701" s="171">
        <v>50</v>
      </c>
      <c r="K1701" s="171">
        <v>62.78</v>
      </c>
      <c r="L1701" s="171">
        <v>68.92</v>
      </c>
      <c r="M1701" s="171">
        <v>66.31</v>
      </c>
      <c r="N1701" s="171">
        <v>84</v>
      </c>
      <c r="O1701" s="171">
        <v>89.710000000000008</v>
      </c>
      <c r="P1701" s="171">
        <v>74.12</v>
      </c>
      <c r="Q1701" s="171">
        <v>74.12</v>
      </c>
      <c r="R1701" s="171">
        <v>65</v>
      </c>
      <c r="S1701" s="171">
        <v>57.1</v>
      </c>
      <c r="T1701" s="171">
        <v>52.2</v>
      </c>
      <c r="U1701" s="171">
        <v>55</v>
      </c>
      <c r="V1701" s="171">
        <v>61.620000000000005</v>
      </c>
      <c r="W1701" s="171">
        <v>66.150000000000006</v>
      </c>
      <c r="X1701" s="171">
        <v>58.4</v>
      </c>
      <c r="Y1701" s="171">
        <v>56.71</v>
      </c>
      <c r="Z1701" s="171">
        <v>58.03</v>
      </c>
      <c r="AA1701" s="171">
        <v>53.6</v>
      </c>
      <c r="AB1701" s="171">
        <v>89.710000000000008</v>
      </c>
      <c r="AC1701" s="171">
        <v>52.2</v>
      </c>
      <c r="AD1701" s="171">
        <v>46.92</v>
      </c>
      <c r="AF1701" s="171">
        <f t="shared" si="80"/>
        <v>2012</v>
      </c>
      <c r="AG1701" s="171">
        <f t="shared" si="81"/>
        <v>5</v>
      </c>
      <c r="AH1701" s="700">
        <f>SUMIF(D$3:$AA1701,"&lt;="&amp;$AH$1)/COUNTIF(D$3:$AA1701,"&lt;="&amp;$AH$1)</f>
        <v>30.96912819426808</v>
      </c>
    </row>
    <row r="1702" spans="2:34" x14ac:dyDescent="0.25">
      <c r="B1702" s="910">
        <v>41208</v>
      </c>
      <c r="C1702" s="581">
        <f t="shared" si="79"/>
        <v>10</v>
      </c>
      <c r="D1702" s="171">
        <v>47.52</v>
      </c>
      <c r="E1702" s="171">
        <v>35.630000000000003</v>
      </c>
      <c r="F1702" s="171">
        <v>31.69</v>
      </c>
      <c r="G1702" s="171">
        <v>33.520000000000003</v>
      </c>
      <c r="H1702" s="171">
        <v>34.79</v>
      </c>
      <c r="I1702" s="171">
        <v>35.64</v>
      </c>
      <c r="J1702" s="171">
        <v>44.44</v>
      </c>
      <c r="K1702" s="171">
        <v>61.06</v>
      </c>
      <c r="L1702" s="171">
        <v>62.910000000000004</v>
      </c>
      <c r="M1702" s="171">
        <v>65.010000000000005</v>
      </c>
      <c r="N1702" s="171">
        <v>61.82</v>
      </c>
      <c r="O1702" s="171">
        <v>65.930000000000007</v>
      </c>
      <c r="P1702" s="171">
        <v>64.63</v>
      </c>
      <c r="Q1702" s="171">
        <v>61.11</v>
      </c>
      <c r="R1702" s="171">
        <v>56.88</v>
      </c>
      <c r="S1702" s="171">
        <v>52.92</v>
      </c>
      <c r="T1702" s="171">
        <v>53</v>
      </c>
      <c r="U1702" s="171">
        <v>57.03</v>
      </c>
      <c r="V1702" s="171">
        <v>66.87</v>
      </c>
      <c r="W1702" s="171">
        <v>78.570000000000007</v>
      </c>
      <c r="X1702" s="171">
        <v>60</v>
      </c>
      <c r="Y1702" s="171">
        <v>52.99</v>
      </c>
      <c r="Z1702" s="171">
        <v>54.65</v>
      </c>
      <c r="AA1702" s="171">
        <v>53.6</v>
      </c>
      <c r="AB1702" s="171">
        <v>78.570000000000007</v>
      </c>
      <c r="AC1702" s="171">
        <v>52.92</v>
      </c>
      <c r="AD1702" s="171">
        <v>45.46</v>
      </c>
      <c r="AF1702" s="171">
        <f t="shared" si="80"/>
        <v>2012</v>
      </c>
      <c r="AG1702" s="171">
        <f t="shared" si="81"/>
        <v>5</v>
      </c>
      <c r="AH1702" s="700">
        <f>SUMIF(D$3:$AA1702,"&lt;="&amp;$AH$1)/COUNTIF(D$3:$AA1702,"&lt;="&amp;$AH$1)</f>
        <v>30.970287206266434</v>
      </c>
    </row>
    <row r="1703" spans="2:34" x14ac:dyDescent="0.25">
      <c r="B1703" s="910">
        <v>41211</v>
      </c>
      <c r="C1703" s="581">
        <f t="shared" si="79"/>
        <v>10</v>
      </c>
      <c r="D1703" s="171">
        <v>32.9</v>
      </c>
      <c r="E1703" s="171">
        <v>32</v>
      </c>
      <c r="F1703" s="171">
        <v>31.740000000000002</v>
      </c>
      <c r="G1703" s="171">
        <v>31.28</v>
      </c>
      <c r="H1703" s="171">
        <v>29.27</v>
      </c>
      <c r="I1703" s="171">
        <v>34.69</v>
      </c>
      <c r="J1703" s="171">
        <v>36.630000000000003</v>
      </c>
      <c r="K1703" s="171">
        <v>54.910000000000004</v>
      </c>
      <c r="L1703" s="171">
        <v>56.95</v>
      </c>
      <c r="M1703" s="171">
        <v>55.03</v>
      </c>
      <c r="N1703" s="171">
        <v>57.42</v>
      </c>
      <c r="O1703" s="171">
        <v>59.300000000000004</v>
      </c>
      <c r="P1703" s="171">
        <v>57.42</v>
      </c>
      <c r="Q1703" s="171">
        <v>57.42</v>
      </c>
      <c r="R1703" s="171">
        <v>57.42</v>
      </c>
      <c r="S1703" s="171">
        <v>54.93</v>
      </c>
      <c r="T1703" s="171">
        <v>61.35</v>
      </c>
      <c r="U1703" s="171">
        <v>68.59</v>
      </c>
      <c r="V1703" s="171">
        <v>80.600000000000009</v>
      </c>
      <c r="W1703" s="171">
        <v>70.05</v>
      </c>
      <c r="X1703" s="171">
        <v>59.82</v>
      </c>
      <c r="Y1703" s="171">
        <v>53</v>
      </c>
      <c r="Z1703" s="171">
        <v>48.1</v>
      </c>
      <c r="AA1703" s="171">
        <v>45</v>
      </c>
      <c r="AB1703" s="171">
        <v>80.600000000000009</v>
      </c>
      <c r="AC1703" s="171">
        <v>48.1</v>
      </c>
      <c r="AD1703" s="171">
        <v>40.78</v>
      </c>
      <c r="AF1703" s="171">
        <f t="shared" si="80"/>
        <v>2012</v>
      </c>
      <c r="AG1703" s="171">
        <f t="shared" si="81"/>
        <v>7</v>
      </c>
      <c r="AH1703" s="700">
        <f>SUMIF(D$3:$AA1703,"&lt;="&amp;$AH$1)/COUNTIF(D$3:$AA1703,"&lt;="&amp;$AH$1)</f>
        <v>30.971113697277591</v>
      </c>
    </row>
    <row r="1704" spans="2:34" x14ac:dyDescent="0.25">
      <c r="B1704" s="910">
        <v>41212</v>
      </c>
      <c r="C1704" s="581">
        <f t="shared" si="79"/>
        <v>10</v>
      </c>
      <c r="D1704" s="171">
        <v>41.95</v>
      </c>
      <c r="E1704" s="171">
        <v>37.11</v>
      </c>
      <c r="F1704" s="171">
        <v>37.11</v>
      </c>
      <c r="G1704" s="171">
        <v>33.86</v>
      </c>
      <c r="H1704" s="171">
        <v>34.480000000000004</v>
      </c>
      <c r="I1704" s="171">
        <v>36.31</v>
      </c>
      <c r="J1704" s="171">
        <v>43.86</v>
      </c>
      <c r="K1704" s="171">
        <v>57.02</v>
      </c>
      <c r="L1704" s="171">
        <v>61.5</v>
      </c>
      <c r="M1704" s="171">
        <v>62.65</v>
      </c>
      <c r="N1704" s="171">
        <v>65.87</v>
      </c>
      <c r="O1704" s="171">
        <v>65.64</v>
      </c>
      <c r="P1704" s="171">
        <v>61.2</v>
      </c>
      <c r="Q1704" s="171">
        <v>60.81</v>
      </c>
      <c r="R1704" s="171">
        <v>61.03</v>
      </c>
      <c r="S1704" s="171">
        <v>63.9</v>
      </c>
      <c r="T1704" s="171">
        <v>65.11</v>
      </c>
      <c r="U1704" s="171">
        <v>73.88</v>
      </c>
      <c r="V1704" s="171">
        <v>105.49000000000001</v>
      </c>
      <c r="W1704" s="171">
        <v>71.680000000000007</v>
      </c>
      <c r="X1704" s="171">
        <v>61.67</v>
      </c>
      <c r="Y1704" s="171">
        <v>57</v>
      </c>
      <c r="Z1704" s="171">
        <v>50</v>
      </c>
      <c r="AA1704" s="171">
        <v>39.5</v>
      </c>
      <c r="AB1704" s="171">
        <v>105.49000000000001</v>
      </c>
      <c r="AC1704" s="171">
        <v>50</v>
      </c>
      <c r="AD1704" s="171">
        <v>44.160000000000004</v>
      </c>
      <c r="AF1704" s="171">
        <f t="shared" si="80"/>
        <v>2012</v>
      </c>
      <c r="AG1704" s="171">
        <f t="shared" si="81"/>
        <v>7</v>
      </c>
      <c r="AH1704" s="700">
        <f>SUMIF(D$3:$AA1704,"&lt;="&amp;$AH$1)/COUNTIF(D$3:$AA1704,"&lt;="&amp;$AH$1)</f>
        <v>30.97418188227012</v>
      </c>
    </row>
    <row r="1705" spans="2:34" x14ac:dyDescent="0.25">
      <c r="B1705" s="910">
        <v>41213</v>
      </c>
      <c r="C1705" s="581">
        <f t="shared" si="79"/>
        <v>10</v>
      </c>
      <c r="D1705" s="171">
        <v>37.42</v>
      </c>
      <c r="E1705" s="171">
        <v>37.1</v>
      </c>
      <c r="F1705" s="171">
        <v>36.24</v>
      </c>
      <c r="G1705" s="171">
        <v>35.83</v>
      </c>
      <c r="H1705" s="171">
        <v>35.46</v>
      </c>
      <c r="I1705" s="171">
        <v>36.06</v>
      </c>
      <c r="J1705" s="171">
        <v>50.42</v>
      </c>
      <c r="K1705" s="171">
        <v>63.92</v>
      </c>
      <c r="L1705" s="171">
        <v>66.2</v>
      </c>
      <c r="M1705" s="171">
        <v>61.26</v>
      </c>
      <c r="N1705" s="171">
        <v>68.75</v>
      </c>
      <c r="O1705" s="171">
        <v>63.28</v>
      </c>
      <c r="P1705" s="171">
        <v>60.47</v>
      </c>
      <c r="Q1705" s="171">
        <v>59.64</v>
      </c>
      <c r="R1705" s="171">
        <v>58.44</v>
      </c>
      <c r="S1705" s="171">
        <v>57.26</v>
      </c>
      <c r="T1705" s="171">
        <v>57.120000000000005</v>
      </c>
      <c r="U1705" s="171">
        <v>64.06</v>
      </c>
      <c r="V1705" s="171">
        <v>69.94</v>
      </c>
      <c r="W1705" s="171">
        <v>65.34</v>
      </c>
      <c r="X1705" s="171">
        <v>57.5</v>
      </c>
      <c r="Y1705" s="171">
        <v>54.5</v>
      </c>
      <c r="Z1705" s="171">
        <v>56.120000000000005</v>
      </c>
      <c r="AA1705" s="171">
        <v>51.63</v>
      </c>
      <c r="AB1705" s="171">
        <v>69.94</v>
      </c>
      <c r="AC1705" s="171">
        <v>54.5</v>
      </c>
      <c r="AD1705" s="171">
        <v>46.02</v>
      </c>
      <c r="AF1705" s="171">
        <f t="shared" si="80"/>
        <v>2012</v>
      </c>
      <c r="AG1705" s="171">
        <f t="shared" si="81"/>
        <v>6</v>
      </c>
      <c r="AH1705" s="700">
        <f>SUMIF(D$3:$AA1705,"&lt;="&amp;$AH$1)/COUNTIF(D$3:$AA1705,"&lt;="&amp;$AH$1)</f>
        <v>30.976455499964882</v>
      </c>
    </row>
    <row r="1706" spans="2:34" x14ac:dyDescent="0.25">
      <c r="B1706" s="910">
        <v>41214</v>
      </c>
      <c r="C1706" s="581">
        <f t="shared" si="79"/>
        <v>11</v>
      </c>
      <c r="D1706" s="171">
        <v>39.910000000000004</v>
      </c>
      <c r="E1706" s="171">
        <v>36.230000000000004</v>
      </c>
      <c r="F1706" s="171">
        <v>29.44</v>
      </c>
      <c r="G1706" s="171">
        <v>31.23</v>
      </c>
      <c r="H1706" s="171">
        <v>31.35</v>
      </c>
      <c r="I1706" s="171">
        <v>29.05</v>
      </c>
      <c r="J1706" s="171">
        <v>32.630000000000003</v>
      </c>
      <c r="K1706" s="171">
        <v>39.5</v>
      </c>
      <c r="L1706" s="171">
        <v>44</v>
      </c>
      <c r="M1706" s="171">
        <v>49.94</v>
      </c>
      <c r="N1706" s="171">
        <v>50</v>
      </c>
      <c r="O1706" s="171">
        <v>57.800000000000004</v>
      </c>
      <c r="P1706" s="171">
        <v>70.180000000000007</v>
      </c>
      <c r="Q1706" s="171">
        <v>69.12</v>
      </c>
      <c r="R1706" s="171">
        <v>61</v>
      </c>
      <c r="S1706" s="171">
        <v>59.94</v>
      </c>
      <c r="T1706" s="171">
        <v>55.45</v>
      </c>
      <c r="U1706" s="171">
        <v>80</v>
      </c>
      <c r="V1706" s="171">
        <v>90</v>
      </c>
      <c r="W1706" s="171">
        <v>70</v>
      </c>
      <c r="X1706" s="171">
        <v>65.460000000000008</v>
      </c>
      <c r="Y1706" s="171">
        <v>63.15</v>
      </c>
      <c r="Z1706" s="171">
        <v>58.38</v>
      </c>
      <c r="AA1706" s="171">
        <v>56.74</v>
      </c>
      <c r="AB1706" s="171">
        <v>90</v>
      </c>
      <c r="AC1706" s="171">
        <v>39.5</v>
      </c>
      <c r="AD1706" s="171">
        <v>42.76</v>
      </c>
      <c r="AF1706" s="171">
        <f t="shared" si="80"/>
        <v>2012</v>
      </c>
      <c r="AG1706" s="171">
        <f t="shared" si="81"/>
        <v>8</v>
      </c>
      <c r="AH1706" s="700">
        <f>SUMIF(D$3:$AA1706,"&lt;="&amp;$AH$1)/COUNTIF(D$3:$AA1706,"&lt;="&amp;$AH$1)</f>
        <v>30.977971688147161</v>
      </c>
    </row>
    <row r="1707" spans="2:34" x14ac:dyDescent="0.25">
      <c r="B1707" s="910">
        <v>41215</v>
      </c>
      <c r="C1707" s="581">
        <f t="shared" si="79"/>
        <v>11</v>
      </c>
      <c r="D1707" s="171">
        <v>32.33</v>
      </c>
      <c r="E1707" s="171">
        <v>29.13</v>
      </c>
      <c r="F1707" s="171">
        <v>30.18</v>
      </c>
      <c r="G1707" s="171">
        <v>29.13</v>
      </c>
      <c r="H1707" s="171">
        <v>29.34</v>
      </c>
      <c r="I1707" s="171">
        <v>31.12</v>
      </c>
      <c r="J1707" s="171">
        <v>34.630000000000003</v>
      </c>
      <c r="K1707" s="171">
        <v>47.43</v>
      </c>
      <c r="L1707" s="171">
        <v>49.09</v>
      </c>
      <c r="M1707" s="171">
        <v>66.010000000000005</v>
      </c>
      <c r="N1707" s="171">
        <v>67.09</v>
      </c>
      <c r="O1707" s="171">
        <v>55.1</v>
      </c>
      <c r="P1707" s="171">
        <v>55</v>
      </c>
      <c r="Q1707" s="171">
        <v>50.5</v>
      </c>
      <c r="R1707" s="171">
        <v>54.96</v>
      </c>
      <c r="S1707" s="171">
        <v>50.5</v>
      </c>
      <c r="T1707" s="171">
        <v>54.93</v>
      </c>
      <c r="U1707" s="171">
        <v>70.33</v>
      </c>
      <c r="V1707" s="171">
        <v>120</v>
      </c>
      <c r="W1707" s="171">
        <v>70.2</v>
      </c>
      <c r="X1707" s="171">
        <v>60.01</v>
      </c>
      <c r="Y1707" s="171">
        <v>59.96</v>
      </c>
      <c r="Z1707" s="171">
        <v>59.96</v>
      </c>
      <c r="AA1707" s="171">
        <v>50.47</v>
      </c>
      <c r="AB1707" s="171">
        <v>120</v>
      </c>
      <c r="AC1707" s="171">
        <v>47.43</v>
      </c>
      <c r="AD1707" s="171">
        <v>41.14</v>
      </c>
      <c r="AF1707" s="171">
        <f t="shared" si="80"/>
        <v>2012</v>
      </c>
      <c r="AG1707" s="171">
        <f t="shared" si="81"/>
        <v>7</v>
      </c>
      <c r="AH1707" s="700">
        <f>SUMIF(D$3:$AA1707,"&lt;="&amp;$AH$1)/COUNTIF(D$3:$AA1707,"&lt;="&amp;$AH$1)</f>
        <v>30.977902294805123</v>
      </c>
    </row>
    <row r="1708" spans="2:34" x14ac:dyDescent="0.25">
      <c r="B1708" s="910">
        <v>41218</v>
      </c>
      <c r="C1708" s="581">
        <f t="shared" si="79"/>
        <v>11</v>
      </c>
      <c r="D1708" s="171">
        <v>31.17</v>
      </c>
      <c r="E1708" s="171">
        <v>30.61</v>
      </c>
      <c r="F1708" s="171">
        <v>30.22</v>
      </c>
      <c r="G1708" s="171">
        <v>30.13</v>
      </c>
      <c r="H1708" s="171">
        <v>31.21</v>
      </c>
      <c r="I1708" s="171">
        <v>29.34</v>
      </c>
      <c r="J1708" s="171">
        <v>40.480000000000004</v>
      </c>
      <c r="K1708" s="171">
        <v>69.94</v>
      </c>
      <c r="L1708" s="171">
        <v>69.94</v>
      </c>
      <c r="M1708" s="171">
        <v>61.21</v>
      </c>
      <c r="N1708" s="171">
        <v>65</v>
      </c>
      <c r="O1708" s="171">
        <v>81.600000000000009</v>
      </c>
      <c r="P1708" s="171">
        <v>64.94</v>
      </c>
      <c r="Q1708" s="171">
        <v>69.94</v>
      </c>
      <c r="R1708" s="171">
        <v>64.94</v>
      </c>
      <c r="S1708" s="171">
        <v>63.6</v>
      </c>
      <c r="T1708" s="171">
        <v>58.44</v>
      </c>
      <c r="U1708" s="171">
        <v>69.600000000000009</v>
      </c>
      <c r="V1708" s="171">
        <v>70</v>
      </c>
      <c r="W1708" s="171">
        <v>65.83</v>
      </c>
      <c r="X1708" s="171">
        <v>59.43</v>
      </c>
      <c r="Y1708" s="171">
        <v>55</v>
      </c>
      <c r="Z1708" s="171">
        <v>50.76</v>
      </c>
      <c r="AA1708" s="171">
        <v>48.89</v>
      </c>
      <c r="AB1708" s="171">
        <v>81.600000000000009</v>
      </c>
      <c r="AC1708" s="171">
        <v>50.76</v>
      </c>
      <c r="AD1708" s="171">
        <v>42.26</v>
      </c>
      <c r="AF1708" s="171">
        <f t="shared" si="80"/>
        <v>2012</v>
      </c>
      <c r="AG1708" s="171">
        <f t="shared" si="81"/>
        <v>7</v>
      </c>
      <c r="AH1708" s="700">
        <f>SUMIF(D$3:$AA1708,"&lt;="&amp;$AH$1)/COUNTIF(D$3:$AA1708,"&lt;="&amp;$AH$1)</f>
        <v>30.978346584113247</v>
      </c>
    </row>
    <row r="1709" spans="2:34" x14ac:dyDescent="0.25">
      <c r="B1709" s="910">
        <v>41219</v>
      </c>
      <c r="C1709" s="581">
        <f t="shared" si="79"/>
        <v>11</v>
      </c>
      <c r="D1709" s="171">
        <v>43.79</v>
      </c>
      <c r="E1709" s="171">
        <v>38.49</v>
      </c>
      <c r="F1709" s="171">
        <v>34.43</v>
      </c>
      <c r="G1709" s="171">
        <v>31.89</v>
      </c>
      <c r="H1709" s="171">
        <v>32.549999999999997</v>
      </c>
      <c r="I1709" s="171">
        <v>37.28</v>
      </c>
      <c r="J1709" s="171">
        <v>49.39</v>
      </c>
      <c r="K1709" s="171">
        <v>61.15</v>
      </c>
      <c r="L1709" s="171">
        <v>63.190000000000005</v>
      </c>
      <c r="M1709" s="171">
        <v>65.89</v>
      </c>
      <c r="N1709" s="171">
        <v>61.870000000000005</v>
      </c>
      <c r="O1709" s="171">
        <v>65</v>
      </c>
      <c r="P1709" s="171">
        <v>62.01</v>
      </c>
      <c r="Q1709" s="171">
        <v>57.1</v>
      </c>
      <c r="R1709" s="171">
        <v>53.2</v>
      </c>
      <c r="S1709" s="171">
        <v>48.56</v>
      </c>
      <c r="T1709" s="171">
        <v>53.25</v>
      </c>
      <c r="U1709" s="171">
        <v>61.28</v>
      </c>
      <c r="V1709" s="171">
        <v>80</v>
      </c>
      <c r="W1709" s="171">
        <v>70</v>
      </c>
      <c r="X1709" s="171">
        <v>59.96</v>
      </c>
      <c r="Y1709" s="171">
        <v>53.33</v>
      </c>
      <c r="Z1709" s="171">
        <v>56.1</v>
      </c>
      <c r="AA1709" s="171">
        <v>52.64</v>
      </c>
      <c r="AB1709" s="171">
        <v>80</v>
      </c>
      <c r="AC1709" s="171">
        <v>48.56</v>
      </c>
      <c r="AD1709" s="171">
        <v>45.92</v>
      </c>
      <c r="AF1709" s="171">
        <f t="shared" si="80"/>
        <v>2012</v>
      </c>
      <c r="AG1709" s="171">
        <f t="shared" si="81"/>
        <v>5</v>
      </c>
      <c r="AH1709" s="700">
        <f>SUMIF(D$3:$AA1709,"&lt;="&amp;$AH$1)/COUNTIF(D$3:$AA1709,"&lt;="&amp;$AH$1)</f>
        <v>30.979735546490474</v>
      </c>
    </row>
    <row r="1710" spans="2:34" x14ac:dyDescent="0.25">
      <c r="B1710" s="910">
        <v>41220</v>
      </c>
      <c r="C1710" s="581">
        <f t="shared" si="79"/>
        <v>11</v>
      </c>
      <c r="D1710" s="171">
        <v>44.82</v>
      </c>
      <c r="E1710" s="171">
        <v>37.770000000000003</v>
      </c>
      <c r="F1710" s="171">
        <v>38.49</v>
      </c>
      <c r="G1710" s="171">
        <v>32.36</v>
      </c>
      <c r="H1710" s="171">
        <v>32.5</v>
      </c>
      <c r="I1710" s="171">
        <v>34.44</v>
      </c>
      <c r="J1710" s="171">
        <v>49.660000000000004</v>
      </c>
      <c r="K1710" s="171">
        <v>57.19</v>
      </c>
      <c r="L1710" s="171">
        <v>61.18</v>
      </c>
      <c r="M1710" s="171">
        <v>61.19</v>
      </c>
      <c r="N1710" s="171">
        <v>63.75</v>
      </c>
      <c r="O1710" s="171">
        <v>61.18</v>
      </c>
      <c r="P1710" s="171">
        <v>61.19</v>
      </c>
      <c r="Q1710" s="171">
        <v>60.08</v>
      </c>
      <c r="R1710" s="171">
        <v>59.94</v>
      </c>
      <c r="S1710" s="171">
        <v>57.43</v>
      </c>
      <c r="T1710" s="171">
        <v>52.06</v>
      </c>
      <c r="U1710" s="171">
        <v>79.930000000000007</v>
      </c>
      <c r="V1710" s="171">
        <v>81.7</v>
      </c>
      <c r="W1710" s="171">
        <v>65.91</v>
      </c>
      <c r="X1710" s="171">
        <v>57.71</v>
      </c>
      <c r="Y1710" s="171">
        <v>56</v>
      </c>
      <c r="Z1710" s="171">
        <v>57.19</v>
      </c>
      <c r="AA1710" s="171">
        <v>50.49</v>
      </c>
      <c r="AB1710" s="171">
        <v>81.7</v>
      </c>
      <c r="AC1710" s="171">
        <v>52.06</v>
      </c>
      <c r="AD1710" s="171">
        <v>45.72</v>
      </c>
      <c r="AF1710" s="171">
        <f t="shared" si="80"/>
        <v>2012</v>
      </c>
      <c r="AG1710" s="171">
        <f t="shared" si="81"/>
        <v>5</v>
      </c>
      <c r="AH1710" s="700">
        <f>SUMIF(D$3:$AA1710,"&lt;="&amp;$AH$1)/COUNTIF(D$3:$AA1710,"&lt;="&amp;$AH$1)</f>
        <v>30.981188216269533</v>
      </c>
    </row>
    <row r="1711" spans="2:34" x14ac:dyDescent="0.25">
      <c r="B1711" s="910">
        <v>41221</v>
      </c>
      <c r="C1711" s="581">
        <f t="shared" si="79"/>
        <v>11</v>
      </c>
      <c r="D1711" s="171">
        <v>40</v>
      </c>
      <c r="E1711" s="171">
        <v>32.69</v>
      </c>
      <c r="F1711" s="171">
        <v>32.43</v>
      </c>
      <c r="G1711" s="171">
        <v>30.37</v>
      </c>
      <c r="H1711" s="171">
        <v>30.37</v>
      </c>
      <c r="I1711" s="171">
        <v>33.22</v>
      </c>
      <c r="J1711" s="171">
        <v>45.38</v>
      </c>
      <c r="K1711" s="171">
        <v>57.050000000000004</v>
      </c>
      <c r="L1711" s="171">
        <v>61.27</v>
      </c>
      <c r="M1711" s="171">
        <v>65.570000000000007</v>
      </c>
      <c r="N1711" s="171">
        <v>64.960000000000008</v>
      </c>
      <c r="O1711" s="171">
        <v>62.96</v>
      </c>
      <c r="P1711" s="171">
        <v>61.2</v>
      </c>
      <c r="Q1711" s="171">
        <v>58.43</v>
      </c>
      <c r="R1711" s="171">
        <v>57</v>
      </c>
      <c r="S1711" s="171">
        <v>54</v>
      </c>
      <c r="T1711" s="171">
        <v>55</v>
      </c>
      <c r="U1711" s="171">
        <v>71.88</v>
      </c>
      <c r="V1711" s="171">
        <v>77</v>
      </c>
      <c r="W1711" s="171">
        <v>67.98</v>
      </c>
      <c r="X1711" s="171">
        <v>61.75</v>
      </c>
      <c r="Y1711" s="171">
        <v>57.5</v>
      </c>
      <c r="Z1711" s="171">
        <v>56.1</v>
      </c>
      <c r="AA1711" s="171">
        <v>52.61</v>
      </c>
      <c r="AB1711" s="171">
        <v>77</v>
      </c>
      <c r="AC1711" s="171">
        <v>54</v>
      </c>
      <c r="AD1711" s="171">
        <v>44.12</v>
      </c>
      <c r="AF1711" s="171">
        <f t="shared" si="80"/>
        <v>2012</v>
      </c>
      <c r="AG1711" s="171">
        <f t="shared" si="81"/>
        <v>6</v>
      </c>
      <c r="AH1711" s="700">
        <f>SUMIF(D$3:$AA1711,"&lt;="&amp;$AH$1)/COUNTIF(D$3:$AA1711,"&lt;="&amp;$AH$1)</f>
        <v>30.982115398130688</v>
      </c>
    </row>
    <row r="1712" spans="2:34" x14ac:dyDescent="0.25">
      <c r="B1712" s="910">
        <v>41222</v>
      </c>
      <c r="C1712" s="581">
        <f t="shared" si="79"/>
        <v>11</v>
      </c>
      <c r="D1712" s="171">
        <v>53.84</v>
      </c>
      <c r="E1712" s="171">
        <v>48.72</v>
      </c>
      <c r="F1712" s="171">
        <v>44.96</v>
      </c>
      <c r="G1712" s="171">
        <v>34.85</v>
      </c>
      <c r="H1712" s="171">
        <v>34.230000000000004</v>
      </c>
      <c r="I1712" s="171">
        <v>39.97</v>
      </c>
      <c r="J1712" s="171">
        <v>51.21</v>
      </c>
      <c r="K1712" s="171">
        <v>60.29</v>
      </c>
      <c r="L1712" s="171">
        <v>62.45</v>
      </c>
      <c r="M1712" s="171">
        <v>64.260000000000005</v>
      </c>
      <c r="N1712" s="171">
        <v>60.99</v>
      </c>
      <c r="O1712" s="171">
        <v>59.93</v>
      </c>
      <c r="P1712" s="171">
        <v>57.410000000000004</v>
      </c>
      <c r="Q1712" s="171">
        <v>55.06</v>
      </c>
      <c r="R1712" s="171">
        <v>55.01</v>
      </c>
      <c r="S1712" s="171">
        <v>55.9</v>
      </c>
      <c r="T1712" s="171">
        <v>59.07</v>
      </c>
      <c r="U1712" s="171">
        <v>69.930000000000007</v>
      </c>
      <c r="V1712" s="171">
        <v>70</v>
      </c>
      <c r="W1712" s="171">
        <v>58.870000000000005</v>
      </c>
      <c r="X1712" s="171">
        <v>53.99</v>
      </c>
      <c r="Y1712" s="171">
        <v>49.32</v>
      </c>
      <c r="Z1712" s="171">
        <v>50.49</v>
      </c>
      <c r="AA1712" s="171">
        <v>51.11</v>
      </c>
      <c r="AB1712" s="171">
        <v>70</v>
      </c>
      <c r="AC1712" s="171">
        <v>49.32</v>
      </c>
      <c r="AD1712" s="171">
        <v>47.75</v>
      </c>
      <c r="AF1712" s="171">
        <f t="shared" si="80"/>
        <v>2012</v>
      </c>
      <c r="AG1712" s="171">
        <f t="shared" si="81"/>
        <v>3</v>
      </c>
      <c r="AH1712" s="700">
        <f>SUMIF(D$3:$AA1712,"&lt;="&amp;$AH$1)/COUNTIF(D$3:$AA1712,"&lt;="&amp;$AH$1)</f>
        <v>30.983246908375595</v>
      </c>
    </row>
    <row r="1713" spans="2:34" x14ac:dyDescent="0.25">
      <c r="B1713" s="910">
        <v>41225</v>
      </c>
      <c r="C1713" s="581">
        <f t="shared" si="79"/>
        <v>11</v>
      </c>
      <c r="D1713" s="171">
        <v>30.62</v>
      </c>
      <c r="E1713" s="171">
        <v>28.7</v>
      </c>
      <c r="F1713" s="171">
        <v>35</v>
      </c>
      <c r="G1713" s="171">
        <v>29.93</v>
      </c>
      <c r="H1713" s="171">
        <v>30.07</v>
      </c>
      <c r="I1713" s="171">
        <v>32.24</v>
      </c>
      <c r="J1713" s="171">
        <v>45.54</v>
      </c>
      <c r="K1713" s="171">
        <v>61.2</v>
      </c>
      <c r="L1713" s="171">
        <v>62.910000000000004</v>
      </c>
      <c r="M1713" s="171">
        <v>59.93</v>
      </c>
      <c r="N1713" s="171">
        <v>59.980000000000004</v>
      </c>
      <c r="O1713" s="171">
        <v>61.2</v>
      </c>
      <c r="P1713" s="171">
        <v>61.72</v>
      </c>
      <c r="Q1713" s="171">
        <v>60.51</v>
      </c>
      <c r="R1713" s="171">
        <v>60.51</v>
      </c>
      <c r="S1713" s="171">
        <v>59.980000000000004</v>
      </c>
      <c r="T1713" s="171">
        <v>57.06</v>
      </c>
      <c r="U1713" s="171">
        <v>67.55</v>
      </c>
      <c r="V1713" s="171">
        <v>93</v>
      </c>
      <c r="W1713" s="171">
        <v>68.350000000000009</v>
      </c>
      <c r="X1713" s="171">
        <v>60.6</v>
      </c>
      <c r="Y1713" s="171">
        <v>55.21</v>
      </c>
      <c r="Z1713" s="171">
        <v>52.63</v>
      </c>
      <c r="AA1713" s="171">
        <v>51.29</v>
      </c>
      <c r="AB1713" s="171">
        <v>93</v>
      </c>
      <c r="AC1713" s="171">
        <v>52.63</v>
      </c>
      <c r="AD1713" s="171">
        <v>42.75</v>
      </c>
      <c r="AF1713" s="171">
        <f t="shared" si="80"/>
        <v>2012</v>
      </c>
      <c r="AG1713" s="171">
        <f t="shared" si="81"/>
        <v>6</v>
      </c>
      <c r="AH1713" s="700">
        <f>SUMIF(D$3:$AA1713,"&lt;="&amp;$AH$1)/COUNTIF(D$3:$AA1713,"&lt;="&amp;$AH$1)</f>
        <v>30.983293299620836</v>
      </c>
    </row>
    <row r="1714" spans="2:34" x14ac:dyDescent="0.25">
      <c r="B1714" s="910">
        <v>41226</v>
      </c>
      <c r="C1714" s="581">
        <f t="shared" si="79"/>
        <v>11</v>
      </c>
      <c r="D1714" s="171">
        <v>46.38</v>
      </c>
      <c r="E1714" s="171">
        <v>35.06</v>
      </c>
      <c r="F1714" s="171">
        <v>34.340000000000003</v>
      </c>
      <c r="G1714" s="171">
        <v>33.22</v>
      </c>
      <c r="H1714" s="171">
        <v>32.880000000000003</v>
      </c>
      <c r="I1714" s="171">
        <v>35.1</v>
      </c>
      <c r="J1714" s="171">
        <v>46.27</v>
      </c>
      <c r="K1714" s="171">
        <v>61.97</v>
      </c>
      <c r="L1714" s="171">
        <v>63.43</v>
      </c>
      <c r="M1714" s="171">
        <v>65.239999999999995</v>
      </c>
      <c r="N1714" s="171">
        <v>61.24</v>
      </c>
      <c r="O1714" s="171">
        <v>62</v>
      </c>
      <c r="P1714" s="171">
        <v>54.89</v>
      </c>
      <c r="Q1714" s="171">
        <v>55.59</v>
      </c>
      <c r="R1714" s="171">
        <v>59.28</v>
      </c>
      <c r="S1714" s="171">
        <v>60.480000000000004</v>
      </c>
      <c r="T1714" s="171">
        <v>61.18</v>
      </c>
      <c r="U1714" s="171">
        <v>76.989999999999995</v>
      </c>
      <c r="V1714" s="171">
        <v>84.94</v>
      </c>
      <c r="W1714" s="171">
        <v>65.53</v>
      </c>
      <c r="X1714" s="171">
        <v>59.52</v>
      </c>
      <c r="Y1714" s="171">
        <v>56.57</v>
      </c>
      <c r="Z1714" s="171">
        <v>55.07</v>
      </c>
      <c r="AA1714" s="171">
        <v>53.39</v>
      </c>
      <c r="AB1714" s="171">
        <v>84.94</v>
      </c>
      <c r="AC1714" s="171">
        <v>54.89</v>
      </c>
      <c r="AD1714" s="171">
        <v>45.81</v>
      </c>
      <c r="AF1714" s="171">
        <f t="shared" si="80"/>
        <v>2012</v>
      </c>
      <c r="AG1714" s="171">
        <f t="shared" si="81"/>
        <v>5</v>
      </c>
      <c r="AH1714" s="700">
        <f>SUMIF(D$3:$AA1714,"&lt;="&amp;$AH$1)/COUNTIF(D$3:$AA1714,"&lt;="&amp;$AH$1)</f>
        <v>30.98439443937383</v>
      </c>
    </row>
    <row r="1715" spans="2:34" x14ac:dyDescent="0.25">
      <c r="B1715" s="910">
        <v>41227</v>
      </c>
      <c r="C1715" s="581">
        <f t="shared" si="79"/>
        <v>11</v>
      </c>
      <c r="D1715" s="171">
        <v>48.04</v>
      </c>
      <c r="E1715" s="171">
        <v>44</v>
      </c>
      <c r="F1715" s="171">
        <v>34.03</v>
      </c>
      <c r="G1715" s="171">
        <v>30.970000000000002</v>
      </c>
      <c r="H1715" s="171">
        <v>30.92</v>
      </c>
      <c r="I1715" s="171">
        <v>33.410000000000004</v>
      </c>
      <c r="J1715" s="171">
        <v>47.77</v>
      </c>
      <c r="K1715" s="171">
        <v>62.24</v>
      </c>
      <c r="L1715" s="171">
        <v>65.05</v>
      </c>
      <c r="M1715" s="171">
        <v>60.9</v>
      </c>
      <c r="N1715" s="171">
        <v>59.28</v>
      </c>
      <c r="O1715" s="171">
        <v>60.22</v>
      </c>
      <c r="P1715" s="171">
        <v>57</v>
      </c>
      <c r="Q1715" s="171">
        <v>59.24</v>
      </c>
      <c r="R1715" s="171">
        <v>55</v>
      </c>
      <c r="S1715" s="171">
        <v>55.980000000000004</v>
      </c>
      <c r="T1715" s="171">
        <v>61.09</v>
      </c>
      <c r="U1715" s="171">
        <v>72.95</v>
      </c>
      <c r="V1715" s="171">
        <v>89.960000000000008</v>
      </c>
      <c r="W1715" s="171">
        <v>70.850000000000009</v>
      </c>
      <c r="X1715" s="171">
        <v>63.11</v>
      </c>
      <c r="Y1715" s="171">
        <v>51.4</v>
      </c>
      <c r="Z1715" s="171">
        <v>58.1</v>
      </c>
      <c r="AA1715" s="171">
        <v>55.1</v>
      </c>
      <c r="AB1715" s="171">
        <v>89.960000000000008</v>
      </c>
      <c r="AC1715" s="171">
        <v>51.4</v>
      </c>
      <c r="AD1715" s="171">
        <v>46.59</v>
      </c>
      <c r="AF1715" s="171">
        <f t="shared" si="80"/>
        <v>2012</v>
      </c>
      <c r="AG1715" s="171">
        <f t="shared" si="81"/>
        <v>4</v>
      </c>
      <c r="AH1715" s="700">
        <f>SUMIF(D$3:$AA1715,"&lt;="&amp;$AH$1)/COUNTIF(D$3:$AA1715,"&lt;="&amp;$AH$1)</f>
        <v>30.984772934653009</v>
      </c>
    </row>
    <row r="1716" spans="2:34" x14ac:dyDescent="0.25">
      <c r="B1716" s="910">
        <v>41228</v>
      </c>
      <c r="C1716" s="581">
        <f t="shared" si="79"/>
        <v>11</v>
      </c>
      <c r="D1716" s="171">
        <v>48.97</v>
      </c>
      <c r="E1716" s="171">
        <v>39.58</v>
      </c>
      <c r="F1716" s="171">
        <v>38.14</v>
      </c>
      <c r="G1716" s="171">
        <v>35.67</v>
      </c>
      <c r="H1716" s="171">
        <v>35.230000000000004</v>
      </c>
      <c r="I1716" s="171">
        <v>41.01</v>
      </c>
      <c r="J1716" s="171">
        <v>57.67</v>
      </c>
      <c r="K1716" s="171">
        <v>65.98</v>
      </c>
      <c r="L1716" s="171">
        <v>70.8</v>
      </c>
      <c r="M1716" s="171">
        <v>64.97</v>
      </c>
      <c r="N1716" s="171">
        <v>59.93</v>
      </c>
      <c r="O1716" s="171">
        <v>57.94</v>
      </c>
      <c r="P1716" s="171">
        <v>51.27</v>
      </c>
      <c r="Q1716" s="171">
        <v>52.980000000000004</v>
      </c>
      <c r="R1716" s="171">
        <v>54.33</v>
      </c>
      <c r="S1716" s="171">
        <v>56.93</v>
      </c>
      <c r="T1716" s="171">
        <v>57.03</v>
      </c>
      <c r="U1716" s="171">
        <v>75.989999999999995</v>
      </c>
      <c r="V1716" s="171">
        <v>99.710000000000008</v>
      </c>
      <c r="W1716" s="171">
        <v>72</v>
      </c>
      <c r="X1716" s="171">
        <v>60.1</v>
      </c>
      <c r="Y1716" s="171">
        <v>54.120000000000005</v>
      </c>
      <c r="Z1716" s="171">
        <v>58.06</v>
      </c>
      <c r="AA1716" s="171">
        <v>59.78</v>
      </c>
      <c r="AB1716" s="171">
        <v>99.710000000000008</v>
      </c>
      <c r="AC1716" s="171">
        <v>51.27</v>
      </c>
      <c r="AD1716" s="171">
        <v>49.53</v>
      </c>
      <c r="AF1716" s="171">
        <f t="shared" si="80"/>
        <v>2012</v>
      </c>
      <c r="AG1716" s="171">
        <f t="shared" si="81"/>
        <v>5</v>
      </c>
      <c r="AH1716" s="700">
        <f>SUMIF(D$3:$AA1716,"&lt;="&amp;$AH$1)/COUNTIF(D$3:$AA1716,"&lt;="&amp;$AH$1)</f>
        <v>30.987208111142394</v>
      </c>
    </row>
    <row r="1717" spans="2:34" x14ac:dyDescent="0.25">
      <c r="B1717" s="910">
        <v>41229</v>
      </c>
      <c r="C1717" s="581">
        <f t="shared" si="79"/>
        <v>11</v>
      </c>
      <c r="D1717" s="171">
        <v>54.93</v>
      </c>
      <c r="E1717" s="171">
        <v>35.06</v>
      </c>
      <c r="F1717" s="171">
        <v>30.43</v>
      </c>
      <c r="G1717" s="171">
        <v>30.05</v>
      </c>
      <c r="H1717" s="171">
        <v>30.64</v>
      </c>
      <c r="I1717" s="171">
        <v>30.39</v>
      </c>
      <c r="J1717" s="171">
        <v>30.740000000000002</v>
      </c>
      <c r="K1717" s="171">
        <v>31.580000000000002</v>
      </c>
      <c r="L1717" s="171">
        <v>35.5</v>
      </c>
      <c r="M1717" s="171">
        <v>45.74</v>
      </c>
      <c r="N1717" s="171">
        <v>52.44</v>
      </c>
      <c r="O1717" s="171">
        <v>55</v>
      </c>
      <c r="P1717" s="171">
        <v>65.03</v>
      </c>
      <c r="Q1717" s="171">
        <v>51</v>
      </c>
      <c r="R1717" s="171">
        <v>48.93</v>
      </c>
      <c r="S1717" s="171">
        <v>48.97</v>
      </c>
      <c r="T1717" s="171">
        <v>51.52</v>
      </c>
      <c r="U1717" s="171">
        <v>74.94</v>
      </c>
      <c r="V1717" s="171">
        <v>80</v>
      </c>
      <c r="W1717" s="171">
        <v>72.98</v>
      </c>
      <c r="X1717" s="171">
        <v>60.5</v>
      </c>
      <c r="Y1717" s="171">
        <v>52</v>
      </c>
      <c r="Z1717" s="171">
        <v>52.730000000000004</v>
      </c>
      <c r="AA1717" s="171">
        <v>53.92</v>
      </c>
      <c r="AB1717" s="171">
        <v>80</v>
      </c>
      <c r="AC1717" s="171">
        <v>31.580000000000002</v>
      </c>
      <c r="AD1717" s="171">
        <v>47.17</v>
      </c>
      <c r="AF1717" s="171">
        <f t="shared" si="80"/>
        <v>2012</v>
      </c>
      <c r="AG1717" s="171">
        <f t="shared" si="81"/>
        <v>8</v>
      </c>
      <c r="AH1717" s="700">
        <f>SUMIF(D$3:$AA1717,"&lt;="&amp;$AH$1)/COUNTIF(D$3:$AA1717,"&lt;="&amp;$AH$1)</f>
        <v>30.987663394109497</v>
      </c>
    </row>
    <row r="1718" spans="2:34" x14ac:dyDescent="0.25">
      <c r="B1718" s="910">
        <v>41232</v>
      </c>
      <c r="C1718" s="581">
        <f t="shared" si="79"/>
        <v>11</v>
      </c>
      <c r="D1718" s="171">
        <v>43.75</v>
      </c>
      <c r="E1718" s="171">
        <v>36.020000000000003</v>
      </c>
      <c r="F1718" s="171">
        <v>34.520000000000003</v>
      </c>
      <c r="G1718" s="171">
        <v>32.96</v>
      </c>
      <c r="H1718" s="171">
        <v>33.71</v>
      </c>
      <c r="I1718" s="171">
        <v>36.020000000000003</v>
      </c>
      <c r="J1718" s="171">
        <v>52</v>
      </c>
      <c r="K1718" s="171">
        <v>62.97</v>
      </c>
      <c r="L1718" s="171">
        <v>62.95</v>
      </c>
      <c r="M1718" s="171">
        <v>62.64</v>
      </c>
      <c r="N1718" s="171">
        <v>65</v>
      </c>
      <c r="O1718" s="171">
        <v>65.900000000000006</v>
      </c>
      <c r="P1718" s="171">
        <v>67.67</v>
      </c>
      <c r="Q1718" s="171">
        <v>65.900000000000006</v>
      </c>
      <c r="R1718" s="171">
        <v>61.1</v>
      </c>
      <c r="S1718" s="171">
        <v>61.19</v>
      </c>
      <c r="T1718" s="171">
        <v>61.19</v>
      </c>
      <c r="U1718" s="171">
        <v>71.03</v>
      </c>
      <c r="V1718" s="171">
        <v>72.989999999999995</v>
      </c>
      <c r="W1718" s="171">
        <v>64.69</v>
      </c>
      <c r="X1718" s="171">
        <v>57.02</v>
      </c>
      <c r="Y1718" s="171">
        <v>54.99</v>
      </c>
      <c r="Z1718" s="171">
        <v>57.77</v>
      </c>
      <c r="AA1718" s="171">
        <v>53.19</v>
      </c>
      <c r="AB1718" s="171">
        <v>72.989999999999995</v>
      </c>
      <c r="AC1718" s="171">
        <v>54.99</v>
      </c>
      <c r="AD1718" s="171">
        <v>46.24</v>
      </c>
      <c r="AF1718" s="171">
        <f t="shared" si="80"/>
        <v>2012</v>
      </c>
      <c r="AG1718" s="171">
        <f t="shared" si="81"/>
        <v>5</v>
      </c>
      <c r="AH1718" s="700">
        <f>SUMIF(D$3:$AA1718,"&lt;="&amp;$AH$1)/COUNTIF(D$3:$AA1718,"&lt;="&amp;$AH$1)</f>
        <v>30.98894567122338</v>
      </c>
    </row>
    <row r="1719" spans="2:34" x14ac:dyDescent="0.25">
      <c r="B1719" s="910">
        <v>41233</v>
      </c>
      <c r="C1719" s="581">
        <f t="shared" si="79"/>
        <v>11</v>
      </c>
      <c r="D1719" s="171">
        <v>42.5</v>
      </c>
      <c r="E1719" s="171">
        <v>36.9</v>
      </c>
      <c r="F1719" s="171">
        <v>34.369999999999997</v>
      </c>
      <c r="G1719" s="171">
        <v>31.85</v>
      </c>
      <c r="H1719" s="171">
        <v>33.97</v>
      </c>
      <c r="I1719" s="171">
        <v>34.730000000000004</v>
      </c>
      <c r="J1719" s="171">
        <v>47.300000000000004</v>
      </c>
      <c r="K1719" s="171">
        <v>60.2</v>
      </c>
      <c r="L1719" s="171">
        <v>62.92</v>
      </c>
      <c r="M1719" s="171">
        <v>62.9</v>
      </c>
      <c r="N1719" s="171">
        <v>62</v>
      </c>
      <c r="O1719" s="171">
        <v>62.24</v>
      </c>
      <c r="P1719" s="171">
        <v>56.980000000000004</v>
      </c>
      <c r="Q1719" s="171">
        <v>56.980000000000004</v>
      </c>
      <c r="R1719" s="171">
        <v>57.58</v>
      </c>
      <c r="S1719" s="171">
        <v>56.230000000000004</v>
      </c>
      <c r="T1719" s="171">
        <v>62.28</v>
      </c>
      <c r="U1719" s="171">
        <v>68.320000000000007</v>
      </c>
      <c r="V1719" s="171">
        <v>65.86</v>
      </c>
      <c r="W1719" s="171">
        <v>61.2</v>
      </c>
      <c r="X1719" s="171">
        <v>58.97</v>
      </c>
      <c r="Y1719" s="171">
        <v>52.44</v>
      </c>
      <c r="Z1719" s="171">
        <v>49</v>
      </c>
      <c r="AA1719" s="171">
        <v>44.35</v>
      </c>
      <c r="AB1719" s="171">
        <v>68.320000000000007</v>
      </c>
      <c r="AC1719" s="171">
        <v>49</v>
      </c>
      <c r="AD1719" s="171">
        <v>43.88</v>
      </c>
      <c r="AF1719" s="171">
        <f t="shared" si="80"/>
        <v>2012</v>
      </c>
      <c r="AG1719" s="171">
        <f t="shared" si="81"/>
        <v>6</v>
      </c>
      <c r="AH1719" s="700">
        <f>SUMIF(D$3:$AA1719,"&lt;="&amp;$AH$1)/COUNTIF(D$3:$AA1719,"&lt;="&amp;$AH$1)</f>
        <v>30.990934762805793</v>
      </c>
    </row>
    <row r="1720" spans="2:34" x14ac:dyDescent="0.25">
      <c r="B1720" s="910">
        <v>41234</v>
      </c>
      <c r="C1720" s="581">
        <f t="shared" si="79"/>
        <v>11</v>
      </c>
      <c r="D1720" s="171">
        <v>40.200000000000003</v>
      </c>
      <c r="E1720" s="171">
        <v>37.03</v>
      </c>
      <c r="F1720" s="171">
        <v>35.160000000000004</v>
      </c>
      <c r="G1720" s="171">
        <v>33.24</v>
      </c>
      <c r="H1720" s="171">
        <v>33.020000000000003</v>
      </c>
      <c r="I1720" s="171">
        <v>36.72</v>
      </c>
      <c r="J1720" s="171">
        <v>48.660000000000004</v>
      </c>
      <c r="K1720" s="171">
        <v>59.410000000000004</v>
      </c>
      <c r="L1720" s="171">
        <v>61.19</v>
      </c>
      <c r="M1720" s="171">
        <v>58.99</v>
      </c>
      <c r="N1720" s="171">
        <v>59.94</v>
      </c>
      <c r="O1720" s="171">
        <v>59.550000000000004</v>
      </c>
      <c r="P1720" s="171">
        <v>58.31</v>
      </c>
      <c r="Q1720" s="171">
        <v>57.07</v>
      </c>
      <c r="R1720" s="171">
        <v>57.06</v>
      </c>
      <c r="S1720" s="171">
        <v>57</v>
      </c>
      <c r="T1720" s="171">
        <v>58.26</v>
      </c>
      <c r="U1720" s="171">
        <v>71.680000000000007</v>
      </c>
      <c r="V1720" s="171">
        <v>65</v>
      </c>
      <c r="W1720" s="171">
        <v>59.08</v>
      </c>
      <c r="X1720" s="171">
        <v>55.51</v>
      </c>
      <c r="Y1720" s="171">
        <v>53.120000000000005</v>
      </c>
      <c r="Z1720" s="171">
        <v>53.1</v>
      </c>
      <c r="AA1720" s="171">
        <v>49.22</v>
      </c>
      <c r="AB1720" s="171">
        <v>71.680000000000007</v>
      </c>
      <c r="AC1720" s="171">
        <v>53.1</v>
      </c>
      <c r="AD1720" s="171">
        <v>44.53</v>
      </c>
      <c r="AF1720" s="171">
        <f t="shared" si="80"/>
        <v>2012</v>
      </c>
      <c r="AG1720" s="171">
        <f t="shared" si="81"/>
        <v>6</v>
      </c>
      <c r="AH1720" s="700">
        <f>SUMIF(D$3:$AA1720,"&lt;="&amp;$AH$1)/COUNTIF(D$3:$AA1720,"&lt;="&amp;$AH$1)</f>
        <v>30.992995727393811</v>
      </c>
    </row>
    <row r="1721" spans="2:34" x14ac:dyDescent="0.25">
      <c r="B1721" s="910">
        <v>41235</v>
      </c>
      <c r="C1721" s="581">
        <f t="shared" si="79"/>
        <v>11</v>
      </c>
      <c r="D1721" s="171">
        <v>41.300000000000004</v>
      </c>
      <c r="E1721" s="171">
        <v>32.480000000000004</v>
      </c>
      <c r="F1721" s="171">
        <v>29.66</v>
      </c>
      <c r="G1721" s="171">
        <v>26.78</v>
      </c>
      <c r="H1721" s="171">
        <v>28.82</v>
      </c>
      <c r="I1721" s="171">
        <v>31.12</v>
      </c>
      <c r="J1721" s="171">
        <v>39.840000000000003</v>
      </c>
      <c r="K1721" s="171">
        <v>53.97</v>
      </c>
      <c r="L1721" s="171">
        <v>57.1</v>
      </c>
      <c r="M1721" s="171">
        <v>57.96</v>
      </c>
      <c r="N1721" s="171">
        <v>61.1</v>
      </c>
      <c r="O1721" s="171">
        <v>61.18</v>
      </c>
      <c r="P1721" s="171">
        <v>60.660000000000004</v>
      </c>
      <c r="Q1721" s="171">
        <v>61.18</v>
      </c>
      <c r="R1721" s="171">
        <v>59.94</v>
      </c>
      <c r="S1721" s="171">
        <v>57.97</v>
      </c>
      <c r="T1721" s="171">
        <v>57.800000000000004</v>
      </c>
      <c r="U1721" s="171">
        <v>74.930000000000007</v>
      </c>
      <c r="V1721" s="171">
        <v>70</v>
      </c>
      <c r="W1721" s="171">
        <v>62.92</v>
      </c>
      <c r="X1721" s="171">
        <v>61.19</v>
      </c>
      <c r="Y1721" s="171">
        <v>53.5</v>
      </c>
      <c r="Z1721" s="171">
        <v>52.64</v>
      </c>
      <c r="AA1721" s="171">
        <v>45.53</v>
      </c>
      <c r="AB1721" s="171">
        <v>74.930000000000007</v>
      </c>
      <c r="AC1721" s="171">
        <v>52.64</v>
      </c>
      <c r="AD1721" s="171">
        <v>41.4</v>
      </c>
      <c r="AF1721" s="171">
        <f t="shared" si="80"/>
        <v>2012</v>
      </c>
      <c r="AG1721" s="171">
        <f t="shared" si="81"/>
        <v>7</v>
      </c>
      <c r="AH1721" s="700">
        <f>SUMIF(D$3:$AA1721,"&lt;="&amp;$AH$1)/COUNTIF(D$3:$AA1721,"&lt;="&amp;$AH$1)</f>
        <v>30.993909269112397</v>
      </c>
    </row>
    <row r="1722" spans="2:34" x14ac:dyDescent="0.25">
      <c r="B1722" s="910">
        <v>41236</v>
      </c>
      <c r="C1722" s="581">
        <f t="shared" si="79"/>
        <v>11</v>
      </c>
      <c r="D1722" s="171">
        <v>39.35</v>
      </c>
      <c r="E1722" s="171">
        <v>33.130000000000003</v>
      </c>
      <c r="F1722" s="171">
        <v>31.62</v>
      </c>
      <c r="G1722" s="171">
        <v>28.84</v>
      </c>
      <c r="H1722" s="171">
        <v>26.02</v>
      </c>
      <c r="I1722" s="171">
        <v>29.5</v>
      </c>
      <c r="J1722" s="171">
        <v>41.04</v>
      </c>
      <c r="K1722" s="171">
        <v>57.35</v>
      </c>
      <c r="L1722" s="171">
        <v>59.58</v>
      </c>
      <c r="M1722" s="171">
        <v>61.18</v>
      </c>
      <c r="N1722" s="171">
        <v>61.26</v>
      </c>
      <c r="O1722" s="171">
        <v>62.57</v>
      </c>
      <c r="P1722" s="171">
        <v>65</v>
      </c>
      <c r="Q1722" s="171">
        <v>70.39</v>
      </c>
      <c r="R1722" s="171">
        <v>65.02</v>
      </c>
      <c r="S1722" s="171">
        <v>55.02</v>
      </c>
      <c r="T1722" s="171">
        <v>60.63</v>
      </c>
      <c r="U1722" s="171">
        <v>88</v>
      </c>
      <c r="V1722" s="171">
        <v>66.22</v>
      </c>
      <c r="W1722" s="171">
        <v>61.92</v>
      </c>
      <c r="X1722" s="171">
        <v>55.32</v>
      </c>
      <c r="Y1722" s="171">
        <v>50.28</v>
      </c>
      <c r="Z1722" s="171">
        <v>55</v>
      </c>
      <c r="AA1722" s="171">
        <v>59.6</v>
      </c>
      <c r="AB1722" s="171">
        <v>88</v>
      </c>
      <c r="AC1722" s="171">
        <v>50.28</v>
      </c>
      <c r="AD1722" s="171">
        <v>42.25</v>
      </c>
      <c r="AF1722" s="171">
        <f t="shared" si="80"/>
        <v>2012</v>
      </c>
      <c r="AG1722" s="171">
        <f t="shared" si="81"/>
        <v>7</v>
      </c>
      <c r="AH1722" s="700">
        <f>SUMIF(D$3:$AA1722,"&lt;="&amp;$AH$1)/COUNTIF(D$3:$AA1722,"&lt;="&amp;$AH$1)</f>
        <v>30.994786928836433</v>
      </c>
    </row>
    <row r="1723" spans="2:34" x14ac:dyDescent="0.25">
      <c r="B1723" s="910">
        <v>41239</v>
      </c>
      <c r="C1723" s="581">
        <f t="shared" si="79"/>
        <v>11</v>
      </c>
      <c r="D1723" s="171">
        <v>26.57</v>
      </c>
      <c r="E1723" s="171">
        <v>26.48</v>
      </c>
      <c r="F1723" s="171">
        <v>26.55</v>
      </c>
      <c r="G1723" s="171">
        <v>26.27</v>
      </c>
      <c r="H1723" s="171">
        <v>28.01</v>
      </c>
      <c r="I1723" s="171">
        <v>30.27</v>
      </c>
      <c r="J1723" s="171">
        <v>39.840000000000003</v>
      </c>
      <c r="K1723" s="171">
        <v>54</v>
      </c>
      <c r="L1723" s="171">
        <v>59.47</v>
      </c>
      <c r="M1723" s="171">
        <v>60.56</v>
      </c>
      <c r="N1723" s="171">
        <v>55.02</v>
      </c>
      <c r="O1723" s="171">
        <v>57.230000000000004</v>
      </c>
      <c r="P1723" s="171">
        <v>57</v>
      </c>
      <c r="Q1723" s="171">
        <v>60.14</v>
      </c>
      <c r="R1723" s="171">
        <v>59.44</v>
      </c>
      <c r="S1723" s="171">
        <v>60.92</v>
      </c>
      <c r="T1723" s="171">
        <v>60</v>
      </c>
      <c r="U1723" s="171">
        <v>69.960000000000008</v>
      </c>
      <c r="V1723" s="171">
        <v>64.5</v>
      </c>
      <c r="W1723" s="171">
        <v>61.660000000000004</v>
      </c>
      <c r="X1723" s="171">
        <v>56.800000000000004</v>
      </c>
      <c r="Y1723" s="171">
        <v>50.79</v>
      </c>
      <c r="Z1723" s="171">
        <v>48.1</v>
      </c>
      <c r="AA1723" s="171">
        <v>39.910000000000004</v>
      </c>
      <c r="AB1723" s="171">
        <v>69.960000000000008</v>
      </c>
      <c r="AC1723" s="171">
        <v>48.1</v>
      </c>
      <c r="AD1723" s="171">
        <v>37.800000000000004</v>
      </c>
      <c r="AF1723" s="171">
        <f t="shared" si="80"/>
        <v>2012</v>
      </c>
      <c r="AG1723" s="171">
        <f t="shared" si="81"/>
        <v>8</v>
      </c>
      <c r="AH1723" s="700">
        <f>SUMIF(D$3:$AA1723,"&lt;="&amp;$AH$1)/COUNTIF(D$3:$AA1723,"&lt;="&amp;$AH$1)</f>
        <v>30.994503112105846</v>
      </c>
    </row>
    <row r="1724" spans="2:34" x14ac:dyDescent="0.25">
      <c r="B1724" s="910">
        <v>41240</v>
      </c>
      <c r="C1724" s="581">
        <f t="shared" si="79"/>
        <v>11</v>
      </c>
      <c r="D1724" s="171">
        <v>43.17</v>
      </c>
      <c r="E1724" s="171">
        <v>38.94</v>
      </c>
      <c r="F1724" s="171">
        <v>35</v>
      </c>
      <c r="G1724" s="171">
        <v>31.39</v>
      </c>
      <c r="H1724" s="171">
        <v>32.18</v>
      </c>
      <c r="I1724" s="171">
        <v>35.21</v>
      </c>
      <c r="J1724" s="171">
        <v>45.02</v>
      </c>
      <c r="K1724" s="171">
        <v>65</v>
      </c>
      <c r="L1724" s="171">
        <v>64.23</v>
      </c>
      <c r="M1724" s="171">
        <v>66.33</v>
      </c>
      <c r="N1724" s="171">
        <v>67.92</v>
      </c>
      <c r="O1724" s="171">
        <v>66.760000000000005</v>
      </c>
      <c r="P1724" s="171">
        <v>63.980000000000004</v>
      </c>
      <c r="Q1724" s="171">
        <v>64.41</v>
      </c>
      <c r="R1724" s="171">
        <v>61.28</v>
      </c>
      <c r="S1724" s="171">
        <v>59.92</v>
      </c>
      <c r="T1724" s="171">
        <v>60.32</v>
      </c>
      <c r="U1724" s="171">
        <v>73</v>
      </c>
      <c r="V1724" s="171">
        <v>75.239999999999995</v>
      </c>
      <c r="W1724" s="171">
        <v>67.63</v>
      </c>
      <c r="X1724" s="171">
        <v>63.190000000000005</v>
      </c>
      <c r="Y1724" s="171">
        <v>58.870000000000005</v>
      </c>
      <c r="Z1724" s="171">
        <v>56.78</v>
      </c>
      <c r="AA1724" s="171">
        <v>51.93</v>
      </c>
      <c r="AB1724" s="171">
        <v>75.239999999999995</v>
      </c>
      <c r="AC1724" s="171">
        <v>56.78</v>
      </c>
      <c r="AD1724" s="171">
        <v>46.39</v>
      </c>
      <c r="AF1724" s="171">
        <f t="shared" si="80"/>
        <v>2012</v>
      </c>
      <c r="AG1724" s="171">
        <f t="shared" si="81"/>
        <v>5</v>
      </c>
      <c r="AH1724" s="700">
        <f>SUMIF(D$3:$AA1724,"&lt;="&amp;$AH$1)/COUNTIF(D$3:$AA1724,"&lt;="&amp;$AH$1)</f>
        <v>30.995743847874827</v>
      </c>
    </row>
    <row r="1725" spans="2:34" x14ac:dyDescent="0.25">
      <c r="B1725" s="910">
        <v>41241</v>
      </c>
      <c r="C1725" s="581">
        <f t="shared" si="79"/>
        <v>11</v>
      </c>
      <c r="D1725" s="171">
        <v>43.7</v>
      </c>
      <c r="E1725" s="171">
        <v>39.19</v>
      </c>
      <c r="F1725" s="171">
        <v>38</v>
      </c>
      <c r="G1725" s="171">
        <v>38</v>
      </c>
      <c r="H1725" s="171">
        <v>38</v>
      </c>
      <c r="I1725" s="171">
        <v>41.13</v>
      </c>
      <c r="J1725" s="171">
        <v>48.1</v>
      </c>
      <c r="K1725" s="171">
        <v>61.79</v>
      </c>
      <c r="L1725" s="171">
        <v>67.09</v>
      </c>
      <c r="M1725" s="171">
        <v>64.13</v>
      </c>
      <c r="N1725" s="171">
        <v>62.9</v>
      </c>
      <c r="O1725" s="171">
        <v>65.320000000000007</v>
      </c>
      <c r="P1725" s="171">
        <v>62.92</v>
      </c>
      <c r="Q1725" s="171">
        <v>60.56</v>
      </c>
      <c r="R1725" s="171">
        <v>59.99</v>
      </c>
      <c r="S1725" s="171">
        <v>58.63</v>
      </c>
      <c r="T1725" s="171">
        <v>61.79</v>
      </c>
      <c r="U1725" s="171">
        <v>71.88</v>
      </c>
      <c r="V1725" s="171">
        <v>68</v>
      </c>
      <c r="W1725" s="171">
        <v>63.89</v>
      </c>
      <c r="X1725" s="171">
        <v>56.92</v>
      </c>
      <c r="Y1725" s="171">
        <v>50.54</v>
      </c>
      <c r="Z1725" s="171">
        <v>50</v>
      </c>
      <c r="AA1725" s="171">
        <v>47.51</v>
      </c>
      <c r="AB1725" s="171">
        <v>71.88</v>
      </c>
      <c r="AC1725" s="171">
        <v>50</v>
      </c>
      <c r="AD1725" s="171">
        <v>46.07</v>
      </c>
      <c r="AF1725" s="171">
        <f t="shared" si="80"/>
        <v>2012</v>
      </c>
      <c r="AG1725" s="171">
        <f t="shared" si="81"/>
        <v>5</v>
      </c>
      <c r="AH1725" s="700">
        <f>SUMIF(D$3:$AA1725,"&lt;="&amp;$AH$1)/COUNTIF(D$3:$AA1725,"&lt;="&amp;$AH$1)</f>
        <v>30.998493255992837</v>
      </c>
    </row>
    <row r="1726" spans="2:34" x14ac:dyDescent="0.25">
      <c r="B1726" s="910">
        <v>41242</v>
      </c>
      <c r="C1726" s="581">
        <f t="shared" si="79"/>
        <v>11</v>
      </c>
      <c r="D1726" s="171">
        <v>43.72</v>
      </c>
      <c r="E1726" s="171">
        <v>44.94</v>
      </c>
      <c r="F1726" s="171">
        <v>35</v>
      </c>
      <c r="G1726" s="171">
        <v>32.07</v>
      </c>
      <c r="H1726" s="171">
        <v>32.730000000000004</v>
      </c>
      <c r="I1726" s="171">
        <v>33.79</v>
      </c>
      <c r="J1726" s="171">
        <v>48.04</v>
      </c>
      <c r="K1726" s="171">
        <v>61.54</v>
      </c>
      <c r="L1726" s="171">
        <v>60.730000000000004</v>
      </c>
      <c r="M1726" s="171">
        <v>61.57</v>
      </c>
      <c r="N1726" s="171">
        <v>62.45</v>
      </c>
      <c r="O1726" s="171">
        <v>62.980000000000004</v>
      </c>
      <c r="P1726" s="171">
        <v>61.99</v>
      </c>
      <c r="Q1726" s="171">
        <v>61.53</v>
      </c>
      <c r="R1726" s="171">
        <v>58.33</v>
      </c>
      <c r="S1726" s="171">
        <v>57.9</v>
      </c>
      <c r="T1726" s="171">
        <v>60.01</v>
      </c>
      <c r="U1726" s="171">
        <v>68.790000000000006</v>
      </c>
      <c r="V1726" s="171">
        <v>73.489999999999995</v>
      </c>
      <c r="W1726" s="171">
        <v>68.05</v>
      </c>
      <c r="X1726" s="171">
        <v>62.75</v>
      </c>
      <c r="Y1726" s="171">
        <v>56</v>
      </c>
      <c r="Z1726" s="171">
        <v>61.11</v>
      </c>
      <c r="AA1726" s="171">
        <v>55</v>
      </c>
      <c r="AB1726" s="171">
        <v>73.489999999999995</v>
      </c>
      <c r="AC1726" s="171">
        <v>56</v>
      </c>
      <c r="AD1726" s="171">
        <v>47.22</v>
      </c>
      <c r="AF1726" s="171">
        <f t="shared" si="80"/>
        <v>2012</v>
      </c>
      <c r="AG1726" s="171">
        <f t="shared" si="81"/>
        <v>4</v>
      </c>
      <c r="AH1726" s="700">
        <f>SUMIF(D$3:$AA1726,"&lt;="&amp;$AH$1)/COUNTIF(D$3:$AA1726,"&lt;="&amp;$AH$1)</f>
        <v>30.999163697338187</v>
      </c>
    </row>
    <row r="1727" spans="2:34" x14ac:dyDescent="0.25">
      <c r="B1727" s="910">
        <v>41243</v>
      </c>
      <c r="C1727" s="581">
        <f t="shared" si="79"/>
        <v>11</v>
      </c>
      <c r="D1727" s="171">
        <v>48.65</v>
      </c>
      <c r="E1727" s="171">
        <v>37.51</v>
      </c>
      <c r="F1727" s="171">
        <v>44.47</v>
      </c>
      <c r="G1727" s="171">
        <v>36.74</v>
      </c>
      <c r="H1727" s="171">
        <v>41</v>
      </c>
      <c r="I1727" s="171">
        <v>43.910000000000004</v>
      </c>
      <c r="J1727" s="171">
        <v>58.92</v>
      </c>
      <c r="K1727" s="171">
        <v>69.38</v>
      </c>
      <c r="L1727" s="171">
        <v>70.95</v>
      </c>
      <c r="M1727" s="171">
        <v>70.680000000000007</v>
      </c>
      <c r="N1727" s="171">
        <v>72.38</v>
      </c>
      <c r="O1727" s="171">
        <v>71.92</v>
      </c>
      <c r="P1727" s="171">
        <v>68.37</v>
      </c>
      <c r="Q1727" s="171">
        <v>65.56</v>
      </c>
      <c r="R1727" s="171">
        <v>62.89</v>
      </c>
      <c r="S1727" s="171">
        <v>61.93</v>
      </c>
      <c r="T1727" s="171">
        <v>66.77</v>
      </c>
      <c r="U1727" s="171">
        <v>77.25</v>
      </c>
      <c r="V1727" s="171">
        <v>81.12</v>
      </c>
      <c r="W1727" s="171">
        <v>68.63</v>
      </c>
      <c r="X1727" s="171">
        <v>59.68</v>
      </c>
      <c r="Y1727" s="171">
        <v>55.5</v>
      </c>
      <c r="Z1727" s="171">
        <v>54</v>
      </c>
      <c r="AA1727" s="171">
        <v>57</v>
      </c>
      <c r="AB1727" s="171">
        <v>81.12</v>
      </c>
      <c r="AC1727" s="171">
        <v>54</v>
      </c>
      <c r="AD1727" s="171">
        <v>50.56</v>
      </c>
      <c r="AF1727" s="171">
        <f t="shared" si="80"/>
        <v>2012</v>
      </c>
      <c r="AG1727" s="171">
        <f t="shared" si="81"/>
        <v>3</v>
      </c>
      <c r="AH1727" s="700">
        <f>SUMIF(D$3:$AA1727,"&lt;="&amp;$AH$1)/COUNTIF(D$3:$AA1727,"&lt;="&amp;$AH$1)</f>
        <v>31.000718077675433</v>
      </c>
    </row>
    <row r="1728" spans="2:34" x14ac:dyDescent="0.25">
      <c r="B1728" s="910">
        <v>41246</v>
      </c>
      <c r="C1728" s="581">
        <f t="shared" si="79"/>
        <v>12</v>
      </c>
      <c r="D1728" s="171">
        <v>47.38</v>
      </c>
      <c r="E1728" s="171">
        <v>50.120000000000005</v>
      </c>
      <c r="F1728" s="171">
        <v>41.6</v>
      </c>
      <c r="G1728" s="171">
        <v>35.4</v>
      </c>
      <c r="H1728" s="171">
        <v>35.21</v>
      </c>
      <c r="I1728" s="171">
        <v>34.99</v>
      </c>
      <c r="J1728" s="171">
        <v>44.44</v>
      </c>
      <c r="K1728" s="171">
        <v>60.31</v>
      </c>
      <c r="L1728" s="171">
        <v>66.260000000000005</v>
      </c>
      <c r="M1728" s="171">
        <v>65.27</v>
      </c>
      <c r="N1728" s="171">
        <v>61.63</v>
      </c>
      <c r="O1728" s="171">
        <v>61.410000000000004</v>
      </c>
      <c r="P1728" s="171">
        <v>61.99</v>
      </c>
      <c r="Q1728" s="171">
        <v>61.43</v>
      </c>
      <c r="R1728" s="171">
        <v>61.18</v>
      </c>
      <c r="S1728" s="171">
        <v>58.97</v>
      </c>
      <c r="T1728" s="171">
        <v>61.45</v>
      </c>
      <c r="U1728" s="171">
        <v>70.69</v>
      </c>
      <c r="V1728" s="171">
        <v>66.64</v>
      </c>
      <c r="W1728" s="171">
        <v>64.510000000000005</v>
      </c>
      <c r="X1728" s="171">
        <v>54.620000000000005</v>
      </c>
      <c r="Y1728" s="171">
        <v>49.92</v>
      </c>
      <c r="Z1728" s="171">
        <v>51.5</v>
      </c>
      <c r="AA1728" s="171">
        <v>50.19</v>
      </c>
      <c r="AB1728" s="171">
        <v>70.69</v>
      </c>
      <c r="AC1728" s="171">
        <v>49.92</v>
      </c>
      <c r="AD1728" s="171">
        <v>46.31</v>
      </c>
      <c r="AF1728" s="171">
        <f t="shared" si="80"/>
        <v>2012</v>
      </c>
      <c r="AG1728" s="171">
        <f t="shared" si="81"/>
        <v>4</v>
      </c>
      <c r="AH1728" s="700">
        <f>SUMIF(D$3:$AA1728,"&lt;="&amp;$AH$1)/COUNTIF(D$3:$AA1728,"&lt;="&amp;$AH$1)</f>
        <v>31.00233798882692</v>
      </c>
    </row>
    <row r="1729" spans="2:34" x14ac:dyDescent="0.25">
      <c r="B1729" s="910">
        <v>41247</v>
      </c>
      <c r="C1729" s="581">
        <f t="shared" si="79"/>
        <v>12</v>
      </c>
      <c r="D1729" s="171">
        <v>43.58</v>
      </c>
      <c r="E1729" s="171">
        <v>35.200000000000003</v>
      </c>
      <c r="F1729" s="171">
        <v>34.58</v>
      </c>
      <c r="G1729" s="171">
        <v>34.770000000000003</v>
      </c>
      <c r="H1729" s="171">
        <v>34.71</v>
      </c>
      <c r="I1729" s="171">
        <v>33.380000000000003</v>
      </c>
      <c r="J1729" s="171">
        <v>41.2</v>
      </c>
      <c r="K1729" s="171">
        <v>57.03</v>
      </c>
      <c r="L1729" s="171">
        <v>57.43</v>
      </c>
      <c r="M1729" s="171">
        <v>56.38</v>
      </c>
      <c r="N1729" s="171">
        <v>59.17</v>
      </c>
      <c r="O1729" s="171">
        <v>60</v>
      </c>
      <c r="P1729" s="171">
        <v>54.44</v>
      </c>
      <c r="Q1729" s="171">
        <v>54.410000000000004</v>
      </c>
      <c r="R1729" s="171">
        <v>53.25</v>
      </c>
      <c r="S1729" s="171">
        <v>55.6</v>
      </c>
      <c r="T1729" s="171">
        <v>65</v>
      </c>
      <c r="U1729" s="171">
        <v>79.94</v>
      </c>
      <c r="V1729" s="171">
        <v>79.94</v>
      </c>
      <c r="W1729" s="171">
        <v>71.010000000000005</v>
      </c>
      <c r="X1729" s="171">
        <v>65.14</v>
      </c>
      <c r="Y1729" s="171">
        <v>60</v>
      </c>
      <c r="Z1729" s="171">
        <v>59.94</v>
      </c>
      <c r="AA1729" s="171">
        <v>53.25</v>
      </c>
      <c r="AB1729" s="171">
        <v>79.94</v>
      </c>
      <c r="AC1729" s="171">
        <v>53.25</v>
      </c>
      <c r="AD1729" s="171">
        <v>46.06</v>
      </c>
      <c r="AF1729" s="171">
        <f t="shared" si="80"/>
        <v>2012</v>
      </c>
      <c r="AG1729" s="171">
        <f t="shared" si="81"/>
        <v>6</v>
      </c>
      <c r="AH1729" s="700">
        <f>SUMIF(D$3:$AA1729,"&lt;="&amp;$AH$1)/COUNTIF(D$3:$AA1729,"&lt;="&amp;$AH$1)</f>
        <v>31.004280329471001</v>
      </c>
    </row>
    <row r="1730" spans="2:34" x14ac:dyDescent="0.25">
      <c r="B1730" s="910">
        <v>41248</v>
      </c>
      <c r="C1730" s="581">
        <f t="shared" si="79"/>
        <v>12</v>
      </c>
      <c r="D1730" s="171">
        <v>46.57</v>
      </c>
      <c r="E1730" s="171">
        <v>45</v>
      </c>
      <c r="F1730" s="171">
        <v>37.17</v>
      </c>
      <c r="G1730" s="171">
        <v>34.770000000000003</v>
      </c>
      <c r="H1730" s="171">
        <v>34.96</v>
      </c>
      <c r="I1730" s="171">
        <v>39.130000000000003</v>
      </c>
      <c r="J1730" s="171">
        <v>52.9</v>
      </c>
      <c r="K1730" s="171">
        <v>68.38</v>
      </c>
      <c r="L1730" s="171">
        <v>68.67</v>
      </c>
      <c r="M1730" s="171">
        <v>66.930000000000007</v>
      </c>
      <c r="N1730" s="171">
        <v>66.47</v>
      </c>
      <c r="O1730" s="171">
        <v>67.09</v>
      </c>
      <c r="P1730" s="171">
        <v>65.960000000000008</v>
      </c>
      <c r="Q1730" s="171">
        <v>64.61</v>
      </c>
      <c r="R1730" s="171">
        <v>65.239999999999995</v>
      </c>
      <c r="S1730" s="171">
        <v>64</v>
      </c>
      <c r="T1730" s="171">
        <v>65.540000000000006</v>
      </c>
      <c r="U1730" s="171">
        <v>72</v>
      </c>
      <c r="V1730" s="171">
        <v>66.98</v>
      </c>
      <c r="W1730" s="171">
        <v>61.940000000000005</v>
      </c>
      <c r="X1730" s="171">
        <v>57.910000000000004</v>
      </c>
      <c r="Y1730" s="171">
        <v>52.04</v>
      </c>
      <c r="Z1730" s="171">
        <v>56</v>
      </c>
      <c r="AA1730" s="171">
        <v>50</v>
      </c>
      <c r="AB1730" s="171">
        <v>72</v>
      </c>
      <c r="AC1730" s="171">
        <v>52.04</v>
      </c>
      <c r="AD1730" s="171">
        <v>47.9</v>
      </c>
      <c r="AF1730" s="171">
        <f t="shared" si="80"/>
        <v>2012</v>
      </c>
      <c r="AG1730" s="171">
        <f t="shared" si="81"/>
        <v>4</v>
      </c>
      <c r="AH1730" s="700">
        <f>SUMIF(D$3:$AA1730,"&lt;="&amp;$AH$1)/COUNTIF(D$3:$AA1730,"&lt;="&amp;$AH$1)</f>
        <v>31.005816468946378</v>
      </c>
    </row>
    <row r="1731" spans="2:34" x14ac:dyDescent="0.25">
      <c r="B1731" s="910">
        <v>41249</v>
      </c>
      <c r="C1731" s="581">
        <f t="shared" si="79"/>
        <v>12</v>
      </c>
      <c r="D1731" s="171">
        <v>39.46</v>
      </c>
      <c r="E1731" s="171">
        <v>37.85</v>
      </c>
      <c r="F1731" s="171">
        <v>34.97</v>
      </c>
      <c r="G1731" s="171">
        <v>34.99</v>
      </c>
      <c r="H1731" s="171">
        <v>34.200000000000003</v>
      </c>
      <c r="I1731" s="171">
        <v>37.85</v>
      </c>
      <c r="J1731" s="171">
        <v>40.08</v>
      </c>
      <c r="K1731" s="171">
        <v>54.15</v>
      </c>
      <c r="L1731" s="171">
        <v>60.06</v>
      </c>
      <c r="M1731" s="171">
        <v>57.99</v>
      </c>
      <c r="N1731" s="171">
        <v>57.1</v>
      </c>
      <c r="O1731" s="171">
        <v>59.84</v>
      </c>
      <c r="P1731" s="171">
        <v>57.870000000000005</v>
      </c>
      <c r="Q1731" s="171">
        <v>59.93</v>
      </c>
      <c r="R1731" s="171">
        <v>61.84</v>
      </c>
      <c r="S1731" s="171">
        <v>63.52</v>
      </c>
      <c r="T1731" s="171">
        <v>69.11</v>
      </c>
      <c r="U1731" s="171">
        <v>92.15</v>
      </c>
      <c r="V1731" s="171">
        <v>74.900000000000006</v>
      </c>
      <c r="W1731" s="171">
        <v>65.710000000000008</v>
      </c>
      <c r="X1731" s="171">
        <v>61.95</v>
      </c>
      <c r="Y1731" s="171">
        <v>57.43</v>
      </c>
      <c r="Z1731" s="171">
        <v>52.04</v>
      </c>
      <c r="AA1731" s="171">
        <v>43</v>
      </c>
      <c r="AB1731" s="171">
        <v>92.15</v>
      </c>
      <c r="AC1731" s="171">
        <v>52.04</v>
      </c>
      <c r="AD1731" s="171">
        <v>44</v>
      </c>
      <c r="AF1731" s="171">
        <f t="shared" si="80"/>
        <v>2012</v>
      </c>
      <c r="AG1731" s="171">
        <f t="shared" si="81"/>
        <v>7</v>
      </c>
      <c r="AH1731" s="700">
        <f>SUMIF(D$3:$AA1731,"&lt;="&amp;$AH$1)/COUNTIF(D$3:$AA1731,"&lt;="&amp;$AH$1)</f>
        <v>31.008771012066791</v>
      </c>
    </row>
    <row r="1732" spans="2:34" x14ac:dyDescent="0.25">
      <c r="B1732" s="910">
        <v>41250</v>
      </c>
      <c r="C1732" s="581">
        <f t="shared" ref="C1732:C1795" si="82">MONTH(B1732)</f>
        <v>12</v>
      </c>
      <c r="D1732" s="171">
        <v>41.43</v>
      </c>
      <c r="E1732" s="171">
        <v>35.96</v>
      </c>
      <c r="F1732" s="171">
        <v>35.880000000000003</v>
      </c>
      <c r="G1732" s="171">
        <v>35.97</v>
      </c>
      <c r="H1732" s="171">
        <v>36.07</v>
      </c>
      <c r="I1732" s="171">
        <v>37.03</v>
      </c>
      <c r="J1732" s="171">
        <v>43.800000000000004</v>
      </c>
      <c r="K1732" s="171">
        <v>61.7</v>
      </c>
      <c r="L1732" s="171">
        <v>67.33</v>
      </c>
      <c r="M1732" s="171">
        <v>65.17</v>
      </c>
      <c r="N1732" s="171">
        <v>65.17</v>
      </c>
      <c r="O1732" s="171">
        <v>66.260000000000005</v>
      </c>
      <c r="P1732" s="171">
        <v>62.800000000000004</v>
      </c>
      <c r="Q1732" s="171">
        <v>64.010000000000005</v>
      </c>
      <c r="R1732" s="171">
        <v>59.5</v>
      </c>
      <c r="S1732" s="171">
        <v>56.94</v>
      </c>
      <c r="T1732" s="171">
        <v>59.97</v>
      </c>
      <c r="U1732" s="171">
        <v>71.27</v>
      </c>
      <c r="V1732" s="171">
        <v>68.78</v>
      </c>
      <c r="W1732" s="171">
        <v>61.2</v>
      </c>
      <c r="X1732" s="171">
        <v>60</v>
      </c>
      <c r="Y1732" s="171">
        <v>54.54</v>
      </c>
      <c r="Z1732" s="171">
        <v>62.15</v>
      </c>
      <c r="AA1732" s="171">
        <v>59.2</v>
      </c>
      <c r="AB1732" s="171">
        <v>71.27</v>
      </c>
      <c r="AC1732" s="171">
        <v>54.54</v>
      </c>
      <c r="AD1732" s="171">
        <v>46.980000000000004</v>
      </c>
      <c r="AF1732" s="171">
        <f t="shared" ref="AF1732:AF1795" si="83">YEAR(B1732)</f>
        <v>2012</v>
      </c>
      <c r="AG1732" s="171">
        <f t="shared" ref="AG1732:AG1795" si="84">COUNTIF(D1732:AA1732,"&lt;="&amp;$AH$1)</f>
        <v>6</v>
      </c>
      <c r="AH1732" s="700">
        <f>SUMIF(D$3:$AA1732,"&lt;="&amp;$AH$1)/COUNTIF(D$3:$AA1732,"&lt;="&amp;$AH$1)</f>
        <v>31.011300983058049</v>
      </c>
    </row>
    <row r="1733" spans="2:34" x14ac:dyDescent="0.25">
      <c r="B1733" s="910">
        <v>41253</v>
      </c>
      <c r="C1733" s="581">
        <f t="shared" si="82"/>
        <v>12</v>
      </c>
      <c r="D1733" s="171">
        <v>39.369999999999997</v>
      </c>
      <c r="E1733" s="171">
        <v>42.95</v>
      </c>
      <c r="F1733" s="171">
        <v>35.65</v>
      </c>
      <c r="G1733" s="171">
        <v>30.12</v>
      </c>
      <c r="H1733" s="171">
        <v>32.74</v>
      </c>
      <c r="I1733" s="171">
        <v>37.590000000000003</v>
      </c>
      <c r="J1733" s="171">
        <v>48.51</v>
      </c>
      <c r="K1733" s="171">
        <v>59.97</v>
      </c>
      <c r="L1733" s="171">
        <v>64.94</v>
      </c>
      <c r="M1733" s="171">
        <v>65.44</v>
      </c>
      <c r="N1733" s="171">
        <v>64.44</v>
      </c>
      <c r="O1733" s="171">
        <v>62.03</v>
      </c>
      <c r="P1733" s="171">
        <v>62.15</v>
      </c>
      <c r="Q1733" s="171">
        <v>63.230000000000004</v>
      </c>
      <c r="R1733" s="171">
        <v>63.230000000000004</v>
      </c>
      <c r="S1733" s="171">
        <v>63.2</v>
      </c>
      <c r="T1733" s="171">
        <v>63.59</v>
      </c>
      <c r="U1733" s="171">
        <v>76.100000000000009</v>
      </c>
      <c r="V1733" s="171">
        <v>82.84</v>
      </c>
      <c r="W1733" s="171">
        <v>74.77</v>
      </c>
      <c r="X1733" s="171">
        <v>68.08</v>
      </c>
      <c r="Y1733" s="171">
        <v>61.99</v>
      </c>
      <c r="Z1733" s="171">
        <v>57.44</v>
      </c>
      <c r="AA1733" s="171">
        <v>56.51</v>
      </c>
      <c r="AB1733" s="171">
        <v>82.84</v>
      </c>
      <c r="AC1733" s="171">
        <v>57.44</v>
      </c>
      <c r="AD1733" s="171">
        <v>47.58</v>
      </c>
      <c r="AF1733" s="171">
        <f t="shared" si="83"/>
        <v>2012</v>
      </c>
      <c r="AG1733" s="171">
        <f t="shared" si="84"/>
        <v>5</v>
      </c>
      <c r="AH1733" s="700">
        <f>SUMIF(D$3:$AA1733,"&lt;="&amp;$AH$1)/COUNTIF(D$3:$AA1733,"&lt;="&amp;$AH$1)</f>
        <v>31.012723724561027</v>
      </c>
    </row>
    <row r="1734" spans="2:34" x14ac:dyDescent="0.25">
      <c r="B1734" s="910">
        <v>41254</v>
      </c>
      <c r="C1734" s="581">
        <f t="shared" si="82"/>
        <v>12</v>
      </c>
      <c r="D1734" s="171">
        <v>51.93</v>
      </c>
      <c r="E1734" s="171">
        <v>49.370000000000005</v>
      </c>
      <c r="F1734" s="171">
        <v>45.37</v>
      </c>
      <c r="G1734" s="171">
        <v>46.96</v>
      </c>
      <c r="H1734" s="171">
        <v>43.58</v>
      </c>
      <c r="I1734" s="171">
        <v>44.94</v>
      </c>
      <c r="J1734" s="171">
        <v>50.96</v>
      </c>
      <c r="K1734" s="171">
        <v>68.67</v>
      </c>
      <c r="L1734" s="171">
        <v>74.94</v>
      </c>
      <c r="M1734" s="171">
        <v>69.900000000000006</v>
      </c>
      <c r="N1734" s="171">
        <v>67.37</v>
      </c>
      <c r="O1734" s="171">
        <v>69.320000000000007</v>
      </c>
      <c r="P1734" s="171">
        <v>66.92</v>
      </c>
      <c r="Q1734" s="171">
        <v>65.73</v>
      </c>
      <c r="R1734" s="171">
        <v>64.930000000000007</v>
      </c>
      <c r="S1734" s="171">
        <v>68.45</v>
      </c>
      <c r="T1734" s="171">
        <v>78.900000000000006</v>
      </c>
      <c r="U1734" s="171">
        <v>104.74000000000001</v>
      </c>
      <c r="V1734" s="171">
        <v>85.03</v>
      </c>
      <c r="W1734" s="171">
        <v>69.03</v>
      </c>
      <c r="X1734" s="171">
        <v>63.56</v>
      </c>
      <c r="Y1734" s="171">
        <v>59.69</v>
      </c>
      <c r="Z1734" s="171">
        <v>60.89</v>
      </c>
      <c r="AA1734" s="171">
        <v>59.69</v>
      </c>
      <c r="AB1734" s="171">
        <v>104.74000000000001</v>
      </c>
      <c r="AC1734" s="171">
        <v>59.69</v>
      </c>
      <c r="AD1734" s="171">
        <v>53.800000000000004</v>
      </c>
      <c r="AF1734" s="171">
        <f t="shared" si="83"/>
        <v>2012</v>
      </c>
      <c r="AG1734" s="171">
        <f t="shared" si="84"/>
        <v>0</v>
      </c>
      <c r="AH1734" s="700">
        <f>SUMIF(D$3:$AA1734,"&lt;="&amp;$AH$1)/COUNTIF(D$3:$AA1734,"&lt;="&amp;$AH$1)</f>
        <v>31.012723724561027</v>
      </c>
    </row>
    <row r="1735" spans="2:34" x14ac:dyDescent="0.25">
      <c r="B1735" s="910">
        <v>41255</v>
      </c>
      <c r="C1735" s="581">
        <f t="shared" si="82"/>
        <v>12</v>
      </c>
      <c r="D1735" s="171">
        <v>56.43</v>
      </c>
      <c r="E1735" s="171">
        <v>54.32</v>
      </c>
      <c r="F1735" s="171">
        <v>49.99</v>
      </c>
      <c r="G1735" s="171">
        <v>45.480000000000004</v>
      </c>
      <c r="H1735" s="171">
        <v>43.67</v>
      </c>
      <c r="I1735" s="171">
        <v>42.13</v>
      </c>
      <c r="J1735" s="171">
        <v>55.01</v>
      </c>
      <c r="K1735" s="171">
        <v>80.03</v>
      </c>
      <c r="L1735" s="171">
        <v>102</v>
      </c>
      <c r="M1735" s="171">
        <v>90.01</v>
      </c>
      <c r="N1735" s="171">
        <v>85.67</v>
      </c>
      <c r="O1735" s="171">
        <v>84.92</v>
      </c>
      <c r="P1735" s="171">
        <v>78.58</v>
      </c>
      <c r="Q1735" s="171">
        <v>75.11</v>
      </c>
      <c r="R1735" s="171">
        <v>73.570000000000007</v>
      </c>
      <c r="S1735" s="171">
        <v>75.94</v>
      </c>
      <c r="T1735" s="171">
        <v>77.710000000000008</v>
      </c>
      <c r="U1735" s="171">
        <v>135.01</v>
      </c>
      <c r="V1735" s="171">
        <v>139.67000000000002</v>
      </c>
      <c r="W1735" s="171">
        <v>100.12</v>
      </c>
      <c r="X1735" s="171">
        <v>72.989999999999995</v>
      </c>
      <c r="Y1735" s="171">
        <v>60.52</v>
      </c>
      <c r="Z1735" s="171">
        <v>61.01</v>
      </c>
      <c r="AA1735" s="171">
        <v>52.59</v>
      </c>
      <c r="AB1735" s="171">
        <v>139.67000000000002</v>
      </c>
      <c r="AC1735" s="171">
        <v>60.52</v>
      </c>
      <c r="AD1735" s="171">
        <v>56.18</v>
      </c>
      <c r="AF1735" s="171">
        <f t="shared" si="83"/>
        <v>2012</v>
      </c>
      <c r="AG1735" s="171">
        <f t="shared" si="84"/>
        <v>1</v>
      </c>
      <c r="AH1735" s="700">
        <f>SUMIF(D$3:$AA1735,"&lt;="&amp;$AH$1)/COUNTIF(D$3:$AA1735,"&lt;="&amp;$AH$1)</f>
        <v>31.013498501637859</v>
      </c>
    </row>
    <row r="1736" spans="2:34" x14ac:dyDescent="0.25">
      <c r="B1736" s="910">
        <v>41256</v>
      </c>
      <c r="C1736" s="581">
        <f t="shared" si="82"/>
        <v>12</v>
      </c>
      <c r="D1736" s="171">
        <v>49.96</v>
      </c>
      <c r="E1736" s="171">
        <v>50</v>
      </c>
      <c r="F1736" s="171">
        <v>47.99</v>
      </c>
      <c r="G1736" s="171">
        <v>47.99</v>
      </c>
      <c r="H1736" s="171">
        <v>46.36</v>
      </c>
      <c r="I1736" s="171">
        <v>44.03</v>
      </c>
      <c r="J1736" s="171">
        <v>59.97</v>
      </c>
      <c r="K1736" s="171">
        <v>81.010000000000005</v>
      </c>
      <c r="L1736" s="171">
        <v>94.88</v>
      </c>
      <c r="M1736" s="171">
        <v>85.070000000000007</v>
      </c>
      <c r="N1736" s="171">
        <v>78.34</v>
      </c>
      <c r="O1736" s="171">
        <v>74.100000000000009</v>
      </c>
      <c r="P1736" s="171">
        <v>69.989999999999995</v>
      </c>
      <c r="Q1736" s="171">
        <v>71.05</v>
      </c>
      <c r="R1736" s="171">
        <v>69.760000000000005</v>
      </c>
      <c r="S1736" s="171">
        <v>69.460000000000008</v>
      </c>
      <c r="T1736" s="171">
        <v>82.460000000000008</v>
      </c>
      <c r="U1736" s="171">
        <v>115.38</v>
      </c>
      <c r="V1736" s="171">
        <v>89.93</v>
      </c>
      <c r="W1736" s="171">
        <v>74.2</v>
      </c>
      <c r="X1736" s="171">
        <v>63.17</v>
      </c>
      <c r="Y1736" s="171">
        <v>57.160000000000004</v>
      </c>
      <c r="Z1736" s="171">
        <v>57.1</v>
      </c>
      <c r="AA1736" s="171">
        <v>59.54</v>
      </c>
      <c r="AB1736" s="171">
        <v>115.38</v>
      </c>
      <c r="AC1736" s="171">
        <v>57.1</v>
      </c>
      <c r="AD1736" s="171">
        <v>55.36</v>
      </c>
      <c r="AF1736" s="171">
        <f t="shared" si="83"/>
        <v>2012</v>
      </c>
      <c r="AG1736" s="171">
        <f t="shared" si="84"/>
        <v>0</v>
      </c>
      <c r="AH1736" s="700">
        <f>SUMIF(D$3:$AA1736,"&lt;="&amp;$AH$1)/COUNTIF(D$3:$AA1736,"&lt;="&amp;$AH$1)</f>
        <v>31.013498501637859</v>
      </c>
    </row>
    <row r="1737" spans="2:34" x14ac:dyDescent="0.25">
      <c r="B1737" s="910">
        <v>41257</v>
      </c>
      <c r="C1737" s="581">
        <f t="shared" si="82"/>
        <v>12</v>
      </c>
      <c r="D1737" s="171">
        <v>60.01</v>
      </c>
      <c r="E1737" s="171">
        <v>58.65</v>
      </c>
      <c r="F1737" s="171">
        <v>50.97</v>
      </c>
      <c r="G1737" s="171">
        <v>45</v>
      </c>
      <c r="H1737" s="171">
        <v>38.04</v>
      </c>
      <c r="I1737" s="171">
        <v>43.28</v>
      </c>
      <c r="J1737" s="171">
        <v>58.38</v>
      </c>
      <c r="K1737" s="171">
        <v>68.12</v>
      </c>
      <c r="L1737" s="171">
        <v>68.5</v>
      </c>
      <c r="M1737" s="171">
        <v>67.2</v>
      </c>
      <c r="N1737" s="171">
        <v>67.400000000000006</v>
      </c>
      <c r="O1737" s="171">
        <v>66.7</v>
      </c>
      <c r="P1737" s="171">
        <v>63.95</v>
      </c>
      <c r="Q1737" s="171">
        <v>59.96</v>
      </c>
      <c r="R1737" s="171">
        <v>55</v>
      </c>
      <c r="S1737" s="171">
        <v>54</v>
      </c>
      <c r="T1737" s="171">
        <v>52.56</v>
      </c>
      <c r="U1737" s="171">
        <v>69.94</v>
      </c>
      <c r="V1737" s="171">
        <v>75.12</v>
      </c>
      <c r="W1737" s="171">
        <v>64.930000000000007</v>
      </c>
      <c r="X1737" s="171">
        <v>56.870000000000005</v>
      </c>
      <c r="Y1737" s="171">
        <v>54.99</v>
      </c>
      <c r="Z1737" s="171">
        <v>59.24</v>
      </c>
      <c r="AA1737" s="171">
        <v>64.510000000000005</v>
      </c>
      <c r="AB1737" s="171">
        <v>75.12</v>
      </c>
      <c r="AC1737" s="171">
        <v>52.56</v>
      </c>
      <c r="AD1737" s="171">
        <v>54.84</v>
      </c>
      <c r="AF1737" s="171">
        <f t="shared" si="83"/>
        <v>2012</v>
      </c>
      <c r="AG1737" s="171">
        <f t="shared" si="84"/>
        <v>1</v>
      </c>
      <c r="AH1737" s="700">
        <f>SUMIF(D$3:$AA1737,"&lt;="&amp;$AH$1)/COUNTIF(D$3:$AA1737,"&lt;="&amp;$AH$1)</f>
        <v>31.013988153310216</v>
      </c>
    </row>
    <row r="1738" spans="2:34" x14ac:dyDescent="0.25">
      <c r="B1738" s="910">
        <v>41260</v>
      </c>
      <c r="C1738" s="581">
        <f t="shared" si="82"/>
        <v>12</v>
      </c>
      <c r="D1738" s="171">
        <v>35.54</v>
      </c>
      <c r="E1738" s="171">
        <v>33.4</v>
      </c>
      <c r="F1738" s="171">
        <v>33.35</v>
      </c>
      <c r="G1738" s="171">
        <v>33.96</v>
      </c>
      <c r="H1738" s="171">
        <v>34.730000000000004</v>
      </c>
      <c r="I1738" s="171">
        <v>33.22</v>
      </c>
      <c r="J1738" s="171">
        <v>40.630000000000003</v>
      </c>
      <c r="K1738" s="171">
        <v>57.96</v>
      </c>
      <c r="L1738" s="171">
        <v>64.34</v>
      </c>
      <c r="M1738" s="171">
        <v>61.42</v>
      </c>
      <c r="N1738" s="171">
        <v>63.81</v>
      </c>
      <c r="O1738" s="171">
        <v>64.34</v>
      </c>
      <c r="P1738" s="171">
        <v>62.26</v>
      </c>
      <c r="Q1738" s="171">
        <v>62.050000000000004</v>
      </c>
      <c r="R1738" s="171">
        <v>62.050000000000004</v>
      </c>
      <c r="S1738" s="171">
        <v>64.349999999999994</v>
      </c>
      <c r="T1738" s="171">
        <v>69.94</v>
      </c>
      <c r="U1738" s="171">
        <v>79.94</v>
      </c>
      <c r="V1738" s="171">
        <v>69.11</v>
      </c>
      <c r="W1738" s="171">
        <v>66.92</v>
      </c>
      <c r="X1738" s="171">
        <v>58.92</v>
      </c>
      <c r="Y1738" s="171">
        <v>52.800000000000004</v>
      </c>
      <c r="Z1738" s="171">
        <v>53.33</v>
      </c>
      <c r="AA1738" s="171">
        <v>47.33</v>
      </c>
      <c r="AB1738" s="171">
        <v>79.94</v>
      </c>
      <c r="AC1738" s="171">
        <v>52.800000000000004</v>
      </c>
      <c r="AD1738" s="171">
        <v>42.93</v>
      </c>
      <c r="AF1738" s="171">
        <f t="shared" si="83"/>
        <v>2012</v>
      </c>
      <c r="AG1738" s="171">
        <f t="shared" si="84"/>
        <v>7</v>
      </c>
      <c r="AH1738" s="700">
        <f>SUMIF(D$3:$AA1738,"&lt;="&amp;$AH$1)/COUNTIF(D$3:$AA1738,"&lt;="&amp;$AH$1)</f>
        <v>31.015919760395736</v>
      </c>
    </row>
    <row r="1739" spans="2:34" x14ac:dyDescent="0.25">
      <c r="B1739" s="910">
        <v>41261</v>
      </c>
      <c r="C1739" s="581">
        <f t="shared" si="82"/>
        <v>12</v>
      </c>
      <c r="D1739" s="171">
        <v>43.65</v>
      </c>
      <c r="E1739" s="171">
        <v>35.56</v>
      </c>
      <c r="F1739" s="171">
        <v>43.84</v>
      </c>
      <c r="G1739" s="171">
        <v>37.44</v>
      </c>
      <c r="H1739" s="171">
        <v>40.22</v>
      </c>
      <c r="I1739" s="171">
        <v>39.06</v>
      </c>
      <c r="J1739" s="171">
        <v>49.94</v>
      </c>
      <c r="K1739" s="171">
        <v>64.66</v>
      </c>
      <c r="L1739" s="171">
        <v>62</v>
      </c>
      <c r="M1739" s="171">
        <v>61.19</v>
      </c>
      <c r="N1739" s="171">
        <v>62.480000000000004</v>
      </c>
      <c r="O1739" s="171">
        <v>62.64</v>
      </c>
      <c r="P1739" s="171">
        <v>62.46</v>
      </c>
      <c r="Q1739" s="171">
        <v>62</v>
      </c>
      <c r="R1739" s="171">
        <v>62.42</v>
      </c>
      <c r="S1739" s="171">
        <v>64.03</v>
      </c>
      <c r="T1739" s="171">
        <v>65.02</v>
      </c>
      <c r="U1739" s="171">
        <v>84.94</v>
      </c>
      <c r="V1739" s="171">
        <v>73.91</v>
      </c>
      <c r="W1739" s="171">
        <v>66.91</v>
      </c>
      <c r="X1739" s="171">
        <v>64.77</v>
      </c>
      <c r="Y1739" s="171">
        <v>59.94</v>
      </c>
      <c r="Z1739" s="171">
        <v>59.51</v>
      </c>
      <c r="AA1739" s="171">
        <v>56.82</v>
      </c>
      <c r="AB1739" s="171">
        <v>84.94</v>
      </c>
      <c r="AC1739" s="171">
        <v>59.51</v>
      </c>
      <c r="AD1739" s="171">
        <v>49.620000000000005</v>
      </c>
      <c r="AF1739" s="171">
        <f t="shared" si="83"/>
        <v>2012</v>
      </c>
      <c r="AG1739" s="171">
        <f t="shared" si="84"/>
        <v>4</v>
      </c>
      <c r="AH1739" s="700">
        <f>SUMIF(D$3:$AA1739,"&lt;="&amp;$AH$1)/COUNTIF(D$3:$AA1739,"&lt;="&amp;$AH$1)</f>
        <v>31.017884548429883</v>
      </c>
    </row>
    <row r="1740" spans="2:34" x14ac:dyDescent="0.25">
      <c r="B1740" s="910">
        <v>41262</v>
      </c>
      <c r="C1740" s="581">
        <f t="shared" si="82"/>
        <v>12</v>
      </c>
      <c r="D1740" s="171">
        <v>50.620000000000005</v>
      </c>
      <c r="E1740" s="171">
        <v>49.38</v>
      </c>
      <c r="F1740" s="171">
        <v>35.21</v>
      </c>
      <c r="G1740" s="171">
        <v>37.29</v>
      </c>
      <c r="H1740" s="171">
        <v>37.29</v>
      </c>
      <c r="I1740" s="171">
        <v>37.31</v>
      </c>
      <c r="J1740" s="171">
        <v>44.28</v>
      </c>
      <c r="K1740" s="171">
        <v>60.45</v>
      </c>
      <c r="L1740" s="171">
        <v>66.349999999999994</v>
      </c>
      <c r="M1740" s="171">
        <v>66.22</v>
      </c>
      <c r="N1740" s="171">
        <v>65.099999999999994</v>
      </c>
      <c r="O1740" s="171">
        <v>63.910000000000004</v>
      </c>
      <c r="P1740" s="171">
        <v>60.02</v>
      </c>
      <c r="Q1740" s="171">
        <v>59.9</v>
      </c>
      <c r="R1740" s="171">
        <v>58.27</v>
      </c>
      <c r="S1740" s="171">
        <v>57.95</v>
      </c>
      <c r="T1740" s="171">
        <v>63.92</v>
      </c>
      <c r="U1740" s="171">
        <v>77.400000000000006</v>
      </c>
      <c r="V1740" s="171">
        <v>69.94</v>
      </c>
      <c r="W1740" s="171">
        <v>62.160000000000004</v>
      </c>
      <c r="X1740" s="171">
        <v>55.08</v>
      </c>
      <c r="Y1740" s="171">
        <v>48.480000000000004</v>
      </c>
      <c r="Z1740" s="171">
        <v>50.300000000000004</v>
      </c>
      <c r="AA1740" s="171">
        <v>50.47</v>
      </c>
      <c r="AB1740" s="171">
        <v>77.400000000000006</v>
      </c>
      <c r="AC1740" s="171">
        <v>48.480000000000004</v>
      </c>
      <c r="AD1740" s="171">
        <v>46.35</v>
      </c>
      <c r="AF1740" s="171">
        <f t="shared" si="83"/>
        <v>2012</v>
      </c>
      <c r="AG1740" s="171">
        <f t="shared" si="84"/>
        <v>4</v>
      </c>
      <c r="AH1740" s="700">
        <f>SUMIF(D$3:$AA1740,"&lt;="&amp;$AH$1)/COUNTIF(D$3:$AA1740,"&lt;="&amp;$AH$1)</f>
        <v>31.019487643578248</v>
      </c>
    </row>
    <row r="1741" spans="2:34" x14ac:dyDescent="0.25">
      <c r="B1741" s="910">
        <v>41263</v>
      </c>
      <c r="C1741" s="581">
        <f t="shared" si="82"/>
        <v>12</v>
      </c>
      <c r="D1741" s="171">
        <v>36.800000000000004</v>
      </c>
      <c r="E1741" s="171">
        <v>35.590000000000003</v>
      </c>
      <c r="F1741" s="171">
        <v>34.81</v>
      </c>
      <c r="G1741" s="171">
        <v>34.35</v>
      </c>
      <c r="H1741" s="171">
        <v>33.35</v>
      </c>
      <c r="I1741" s="171">
        <v>33.35</v>
      </c>
      <c r="J1741" s="171">
        <v>40.480000000000004</v>
      </c>
      <c r="K1741" s="171">
        <v>56.84</v>
      </c>
      <c r="L1741" s="171">
        <v>58.94</v>
      </c>
      <c r="M1741" s="171">
        <v>56.09</v>
      </c>
      <c r="N1741" s="171">
        <v>56.800000000000004</v>
      </c>
      <c r="O1741" s="171">
        <v>61.28</v>
      </c>
      <c r="P1741" s="171">
        <v>60.25</v>
      </c>
      <c r="Q1741" s="171">
        <v>61.19</v>
      </c>
      <c r="R1741" s="171">
        <v>54.94</v>
      </c>
      <c r="S1741" s="171">
        <v>54.64</v>
      </c>
      <c r="T1741" s="171">
        <v>57.44</v>
      </c>
      <c r="U1741" s="171">
        <v>88</v>
      </c>
      <c r="V1741" s="171">
        <v>89.94</v>
      </c>
      <c r="W1741" s="171">
        <v>65.03</v>
      </c>
      <c r="X1741" s="171">
        <v>57.99</v>
      </c>
      <c r="Y1741" s="171">
        <v>61.480000000000004</v>
      </c>
      <c r="Z1741" s="171">
        <v>55.5</v>
      </c>
      <c r="AA1741" s="171">
        <v>50.5</v>
      </c>
      <c r="AB1741" s="171">
        <v>89.94</v>
      </c>
      <c r="AC1741" s="171">
        <v>54.64</v>
      </c>
      <c r="AD1741" s="171">
        <v>44.25</v>
      </c>
      <c r="AF1741" s="171">
        <f t="shared" si="83"/>
        <v>2012</v>
      </c>
      <c r="AG1741" s="171">
        <f t="shared" si="84"/>
        <v>7</v>
      </c>
      <c r="AH1741" s="700">
        <f>SUMIF(D$3:$AA1741,"&lt;="&amp;$AH$1)/COUNTIF(D$3:$AA1741,"&lt;="&amp;$AH$1)</f>
        <v>31.021685917061053</v>
      </c>
    </row>
    <row r="1742" spans="2:34" x14ac:dyDescent="0.25">
      <c r="B1742" s="910">
        <v>41264</v>
      </c>
      <c r="C1742" s="581">
        <f t="shared" si="82"/>
        <v>12</v>
      </c>
      <c r="D1742" s="171">
        <v>37.43</v>
      </c>
      <c r="E1742" s="171">
        <v>35.42</v>
      </c>
      <c r="F1742" s="171">
        <v>35.130000000000003</v>
      </c>
      <c r="G1742" s="171">
        <v>35.130000000000003</v>
      </c>
      <c r="H1742" s="171">
        <v>35.47</v>
      </c>
      <c r="I1742" s="171">
        <v>36.230000000000004</v>
      </c>
      <c r="J1742" s="171">
        <v>43.08</v>
      </c>
      <c r="K1742" s="171">
        <v>57.43</v>
      </c>
      <c r="L1742" s="171">
        <v>69.989999999999995</v>
      </c>
      <c r="M1742" s="171">
        <v>76.739999999999995</v>
      </c>
      <c r="N1742" s="171">
        <v>74.94</v>
      </c>
      <c r="O1742" s="171">
        <v>60</v>
      </c>
      <c r="P1742" s="171">
        <v>64.41</v>
      </c>
      <c r="Q1742" s="171">
        <v>57.43</v>
      </c>
      <c r="R1742" s="171">
        <v>55.96</v>
      </c>
      <c r="S1742" s="171">
        <v>54.370000000000005</v>
      </c>
      <c r="T1742" s="171">
        <v>57.44</v>
      </c>
      <c r="U1742" s="171">
        <v>88.42</v>
      </c>
      <c r="V1742" s="171">
        <v>69.94</v>
      </c>
      <c r="W1742" s="171">
        <v>51.39</v>
      </c>
      <c r="X1742" s="171">
        <v>65.540000000000006</v>
      </c>
      <c r="Y1742" s="171">
        <v>51</v>
      </c>
      <c r="Z1742" s="171">
        <v>51.43</v>
      </c>
      <c r="AA1742" s="171">
        <v>52.63</v>
      </c>
      <c r="AB1742" s="171">
        <v>88.42</v>
      </c>
      <c r="AC1742" s="171">
        <v>51</v>
      </c>
      <c r="AD1742" s="171">
        <v>44.660000000000004</v>
      </c>
      <c r="AF1742" s="171">
        <f t="shared" si="83"/>
        <v>2012</v>
      </c>
      <c r="AG1742" s="171">
        <f t="shared" si="84"/>
        <v>6</v>
      </c>
      <c r="AH1742" s="700">
        <f>SUMIF(D$3:$AA1742,"&lt;="&amp;$AH$1)/COUNTIF(D$3:$AA1742,"&lt;="&amp;$AH$1)</f>
        <v>31.023680623174389</v>
      </c>
    </row>
    <row r="1743" spans="2:34" x14ac:dyDescent="0.25">
      <c r="B1743" s="910">
        <v>41267</v>
      </c>
      <c r="C1743" s="581">
        <f t="shared" si="82"/>
        <v>12</v>
      </c>
      <c r="D1743" s="171">
        <v>38.869999999999997</v>
      </c>
      <c r="E1743" s="171">
        <v>32</v>
      </c>
      <c r="F1743" s="171">
        <v>34.480000000000004</v>
      </c>
      <c r="G1743" s="171">
        <v>29.89</v>
      </c>
      <c r="H1743" s="171">
        <v>30.51</v>
      </c>
      <c r="I1743" s="171">
        <v>34</v>
      </c>
      <c r="J1743" s="171">
        <v>33.85</v>
      </c>
      <c r="K1743" s="171">
        <v>34</v>
      </c>
      <c r="L1743" s="171">
        <v>35.71</v>
      </c>
      <c r="M1743" s="171">
        <v>43</v>
      </c>
      <c r="N1743" s="171">
        <v>55</v>
      </c>
      <c r="O1743" s="171">
        <v>59.94</v>
      </c>
      <c r="P1743" s="171">
        <v>55</v>
      </c>
      <c r="Q1743" s="171">
        <v>50.74</v>
      </c>
      <c r="R1743" s="171">
        <v>45.49</v>
      </c>
      <c r="S1743" s="171">
        <v>48.92</v>
      </c>
      <c r="T1743" s="171">
        <v>49.51</v>
      </c>
      <c r="U1743" s="171">
        <v>75</v>
      </c>
      <c r="V1743" s="171">
        <v>64.930000000000007</v>
      </c>
      <c r="W1743" s="171">
        <v>75</v>
      </c>
      <c r="X1743" s="171">
        <v>67.19</v>
      </c>
      <c r="Y1743" s="171">
        <v>61.300000000000004</v>
      </c>
      <c r="Z1743" s="171">
        <v>51.870000000000005</v>
      </c>
      <c r="AA1743" s="171">
        <v>45.33</v>
      </c>
      <c r="AB1743" s="171">
        <v>75</v>
      </c>
      <c r="AC1743" s="171">
        <v>34</v>
      </c>
      <c r="AD1743" s="171">
        <v>41.11</v>
      </c>
      <c r="AF1743" s="171">
        <f t="shared" si="83"/>
        <v>2012</v>
      </c>
      <c r="AG1743" s="171">
        <f t="shared" si="84"/>
        <v>9</v>
      </c>
      <c r="AH1743" s="700">
        <f>SUMIF(D$3:$AA1743,"&lt;="&amp;$AH$1)/COUNTIF(D$3:$AA1743,"&lt;="&amp;$AH$1)</f>
        <v>31.025355529297379</v>
      </c>
    </row>
    <row r="1744" spans="2:34" x14ac:dyDescent="0.25">
      <c r="B1744" s="910">
        <v>41268</v>
      </c>
      <c r="C1744" s="581">
        <f t="shared" si="82"/>
        <v>12</v>
      </c>
      <c r="D1744" s="171">
        <v>25.98</v>
      </c>
      <c r="E1744" s="171">
        <v>25.98</v>
      </c>
      <c r="F1744" s="171">
        <v>25.32</v>
      </c>
      <c r="G1744" s="171">
        <v>17.260000000000002</v>
      </c>
      <c r="H1744" s="171">
        <v>1</v>
      </c>
      <c r="I1744" s="171">
        <v>18.23</v>
      </c>
      <c r="J1744" s="171">
        <v>25.92</v>
      </c>
      <c r="K1744" s="171">
        <v>30.830000000000002</v>
      </c>
      <c r="L1744" s="171">
        <v>29.46</v>
      </c>
      <c r="M1744" s="171">
        <v>38</v>
      </c>
      <c r="N1744" s="171">
        <v>38</v>
      </c>
      <c r="O1744" s="171">
        <v>42.44</v>
      </c>
      <c r="P1744" s="171">
        <v>42.44</v>
      </c>
      <c r="Q1744" s="171">
        <v>38</v>
      </c>
      <c r="R1744" s="171">
        <v>36.44</v>
      </c>
      <c r="S1744" s="171">
        <v>36.5</v>
      </c>
      <c r="T1744" s="171">
        <v>36.92</v>
      </c>
      <c r="U1744" s="171">
        <v>44.94</v>
      </c>
      <c r="V1744" s="171">
        <v>44.94</v>
      </c>
      <c r="W1744" s="171">
        <v>40</v>
      </c>
      <c r="X1744" s="171">
        <v>36.42</v>
      </c>
      <c r="Y1744" s="171">
        <v>36.49</v>
      </c>
      <c r="Z1744" s="171">
        <v>35.72</v>
      </c>
      <c r="AA1744" s="171">
        <v>34.22</v>
      </c>
      <c r="AB1744" s="171">
        <v>44.94</v>
      </c>
      <c r="AC1744" s="171">
        <v>29.46</v>
      </c>
      <c r="AD1744" s="171">
        <v>41.11</v>
      </c>
      <c r="AF1744" s="171">
        <f t="shared" si="83"/>
        <v>2012</v>
      </c>
      <c r="AG1744" s="171">
        <f t="shared" si="84"/>
        <v>22</v>
      </c>
      <c r="AH1744" s="700">
        <f>SUMIF(D$3:$AA1744,"&lt;="&amp;$AH$1)/COUNTIF(D$3:$AA1744,"&lt;="&amp;$AH$1)</f>
        <v>31.025980984107242</v>
      </c>
    </row>
    <row r="1745" spans="2:34" x14ac:dyDescent="0.25">
      <c r="B1745" s="910">
        <v>41269</v>
      </c>
      <c r="C1745" s="581">
        <f t="shared" si="82"/>
        <v>12</v>
      </c>
      <c r="D1745" s="171">
        <v>25.98</v>
      </c>
      <c r="E1745" s="171">
        <v>25.98</v>
      </c>
      <c r="F1745" s="171">
        <v>25.32</v>
      </c>
      <c r="G1745" s="171">
        <v>17.260000000000002</v>
      </c>
      <c r="H1745" s="171">
        <v>1</v>
      </c>
      <c r="I1745" s="171">
        <v>18.23</v>
      </c>
      <c r="J1745" s="171">
        <v>25.92</v>
      </c>
      <c r="K1745" s="171">
        <v>30.830000000000002</v>
      </c>
      <c r="L1745" s="171">
        <v>29.46</v>
      </c>
      <c r="M1745" s="171">
        <v>38</v>
      </c>
      <c r="N1745" s="171">
        <v>38</v>
      </c>
      <c r="O1745" s="171">
        <v>42.44</v>
      </c>
      <c r="P1745" s="171">
        <v>42.44</v>
      </c>
      <c r="Q1745" s="171">
        <v>38</v>
      </c>
      <c r="R1745" s="171">
        <v>36.44</v>
      </c>
      <c r="S1745" s="171">
        <v>36.5</v>
      </c>
      <c r="T1745" s="171">
        <v>36.92</v>
      </c>
      <c r="U1745" s="171">
        <v>44.94</v>
      </c>
      <c r="V1745" s="171">
        <v>44.94</v>
      </c>
      <c r="W1745" s="171">
        <v>40</v>
      </c>
      <c r="X1745" s="171">
        <v>36.42</v>
      </c>
      <c r="Y1745" s="171">
        <v>36.49</v>
      </c>
      <c r="Z1745" s="171">
        <v>35.72</v>
      </c>
      <c r="AA1745" s="171">
        <v>34.22</v>
      </c>
      <c r="AB1745" s="171">
        <v>44.94</v>
      </c>
      <c r="AC1745" s="171">
        <v>29.46</v>
      </c>
      <c r="AD1745" s="171">
        <v>41.11</v>
      </c>
      <c r="AF1745" s="171">
        <f t="shared" si="83"/>
        <v>2012</v>
      </c>
      <c r="AG1745" s="171">
        <f t="shared" si="84"/>
        <v>22</v>
      </c>
      <c r="AH1745" s="700">
        <f>SUMIF(D$3:$AA1745,"&lt;="&amp;$AH$1)/COUNTIF(D$3:$AA1745,"&lt;="&amp;$AH$1)</f>
        <v>31.02660453191055</v>
      </c>
    </row>
    <row r="1746" spans="2:34" x14ac:dyDescent="0.25">
      <c r="B1746" s="910">
        <v>41270</v>
      </c>
      <c r="C1746" s="581">
        <f t="shared" si="82"/>
        <v>12</v>
      </c>
      <c r="D1746" s="171">
        <v>35.06</v>
      </c>
      <c r="E1746" s="171">
        <v>34.56</v>
      </c>
      <c r="F1746" s="171">
        <v>33.74</v>
      </c>
      <c r="G1746" s="171">
        <v>25</v>
      </c>
      <c r="H1746" s="171">
        <v>14.4</v>
      </c>
      <c r="I1746" s="171">
        <v>29.740000000000002</v>
      </c>
      <c r="J1746" s="171">
        <v>29.68</v>
      </c>
      <c r="K1746" s="171">
        <v>36.44</v>
      </c>
      <c r="L1746" s="171">
        <v>44.52</v>
      </c>
      <c r="M1746" s="171">
        <v>57.43</v>
      </c>
      <c r="N1746" s="171">
        <v>65.53</v>
      </c>
      <c r="O1746" s="171">
        <v>100</v>
      </c>
      <c r="P1746" s="171">
        <v>86.87</v>
      </c>
      <c r="Q1746" s="171">
        <v>86.99</v>
      </c>
      <c r="R1746" s="171">
        <v>70</v>
      </c>
      <c r="S1746" s="171">
        <v>59.94</v>
      </c>
      <c r="T1746" s="171">
        <v>61.120000000000005</v>
      </c>
      <c r="U1746" s="171">
        <v>99.9</v>
      </c>
      <c r="V1746" s="171">
        <v>73</v>
      </c>
      <c r="W1746" s="171">
        <v>59.93</v>
      </c>
      <c r="X1746" s="171">
        <v>45</v>
      </c>
      <c r="Y1746" s="171">
        <v>41</v>
      </c>
      <c r="Z1746" s="171">
        <v>40</v>
      </c>
      <c r="AA1746" s="171">
        <v>37</v>
      </c>
      <c r="AB1746" s="171">
        <v>100</v>
      </c>
      <c r="AC1746" s="171">
        <v>36.44</v>
      </c>
      <c r="AD1746" s="171">
        <v>33.47</v>
      </c>
      <c r="AF1746" s="171">
        <f t="shared" si="83"/>
        <v>2012</v>
      </c>
      <c r="AG1746" s="171">
        <f t="shared" si="84"/>
        <v>11</v>
      </c>
      <c r="AH1746" s="700">
        <f>SUMIF(D$3:$AA1746,"&lt;="&amp;$AH$1)/COUNTIF(D$3:$AA1746,"&lt;="&amp;$AH$1)</f>
        <v>31.027665835756899</v>
      </c>
    </row>
    <row r="1747" spans="2:34" x14ac:dyDescent="0.25">
      <c r="B1747" s="910">
        <v>41271</v>
      </c>
      <c r="C1747" s="581">
        <f t="shared" si="82"/>
        <v>12</v>
      </c>
      <c r="D1747" s="171">
        <v>34.4</v>
      </c>
      <c r="E1747" s="171">
        <v>33</v>
      </c>
      <c r="F1747" s="171">
        <v>32.9</v>
      </c>
      <c r="G1747" s="171">
        <v>33.520000000000003</v>
      </c>
      <c r="H1747" s="171">
        <v>33.86</v>
      </c>
      <c r="I1747" s="171">
        <v>34.79</v>
      </c>
      <c r="J1747" s="171">
        <v>37.46</v>
      </c>
      <c r="K1747" s="171">
        <v>44.59</v>
      </c>
      <c r="L1747" s="171">
        <v>54</v>
      </c>
      <c r="M1747" s="171">
        <v>57</v>
      </c>
      <c r="N1747" s="171">
        <v>72.210000000000008</v>
      </c>
      <c r="O1747" s="171">
        <v>54.93</v>
      </c>
      <c r="P1747" s="171">
        <v>54</v>
      </c>
      <c r="Q1747" s="171">
        <v>49.19</v>
      </c>
      <c r="R1747" s="171">
        <v>49.14</v>
      </c>
      <c r="S1747" s="171">
        <v>49.29</v>
      </c>
      <c r="T1747" s="171">
        <v>55</v>
      </c>
      <c r="U1747" s="171">
        <v>65</v>
      </c>
      <c r="V1747" s="171">
        <v>59.96</v>
      </c>
      <c r="W1747" s="171">
        <v>50</v>
      </c>
      <c r="X1747" s="171">
        <v>49.94</v>
      </c>
      <c r="Y1747" s="171">
        <v>45</v>
      </c>
      <c r="Z1747" s="171">
        <v>45</v>
      </c>
      <c r="AA1747" s="171">
        <v>43.38</v>
      </c>
      <c r="AB1747" s="171">
        <v>72.210000000000008</v>
      </c>
      <c r="AC1747" s="171">
        <v>44.59</v>
      </c>
      <c r="AD1747" s="171">
        <v>38.99</v>
      </c>
      <c r="AF1747" s="171">
        <f t="shared" si="83"/>
        <v>2012</v>
      </c>
      <c r="AG1747" s="171">
        <f t="shared" si="84"/>
        <v>7</v>
      </c>
      <c r="AH1747" s="700">
        <f>SUMIF(D$3:$AA1747,"&lt;="&amp;$AH$1)/COUNTIF(D$3:$AA1747,"&lt;="&amp;$AH$1)</f>
        <v>31.029239393729753</v>
      </c>
    </row>
    <row r="1748" spans="2:34" x14ac:dyDescent="0.25">
      <c r="B1748" s="910">
        <v>41274</v>
      </c>
      <c r="C1748" s="581">
        <f t="shared" si="82"/>
        <v>12</v>
      </c>
      <c r="D1748" s="171">
        <v>31.740000000000002</v>
      </c>
      <c r="E1748" s="171">
        <v>25.93</v>
      </c>
      <c r="F1748" s="171">
        <v>14.42</v>
      </c>
      <c r="G1748" s="171">
        <v>9.5</v>
      </c>
      <c r="H1748" s="171">
        <v>10.1</v>
      </c>
      <c r="I1748" s="171">
        <v>15.27</v>
      </c>
      <c r="J1748" s="171">
        <v>24.67</v>
      </c>
      <c r="K1748" s="171">
        <v>34.94</v>
      </c>
      <c r="L1748" s="171">
        <v>39.94</v>
      </c>
      <c r="M1748" s="171">
        <v>55</v>
      </c>
      <c r="N1748" s="171">
        <v>57.21</v>
      </c>
      <c r="O1748" s="171">
        <v>63.57</v>
      </c>
      <c r="P1748" s="171">
        <v>59.94</v>
      </c>
      <c r="Q1748" s="171">
        <v>60</v>
      </c>
      <c r="R1748" s="171">
        <v>59.120000000000005</v>
      </c>
      <c r="S1748" s="171">
        <v>55.22</v>
      </c>
      <c r="T1748" s="171">
        <v>55.22</v>
      </c>
      <c r="U1748" s="171">
        <v>70.25</v>
      </c>
      <c r="V1748" s="171">
        <v>67.430000000000007</v>
      </c>
      <c r="W1748" s="171">
        <v>49.93</v>
      </c>
      <c r="X1748" s="171">
        <v>43.94</v>
      </c>
      <c r="Y1748" s="171">
        <v>32.96</v>
      </c>
      <c r="Z1748" s="171">
        <v>30.25</v>
      </c>
      <c r="AA1748" s="171">
        <v>35</v>
      </c>
      <c r="AB1748" s="171">
        <v>70.25</v>
      </c>
      <c r="AC1748" s="171">
        <v>30.25</v>
      </c>
      <c r="AD1748" s="171">
        <v>25.73</v>
      </c>
      <c r="AF1748" s="171">
        <f t="shared" si="83"/>
        <v>2012</v>
      </c>
      <c r="AG1748" s="171">
        <f t="shared" si="84"/>
        <v>12</v>
      </c>
      <c r="AH1748" s="700">
        <f>SUMIF(D$3:$AA1748,"&lt;="&amp;$AH$1)/COUNTIF(D$3:$AA1748,"&lt;="&amp;$AH$1)</f>
        <v>31.024562616693256</v>
      </c>
    </row>
    <row r="1749" spans="2:34" x14ac:dyDescent="0.25">
      <c r="B1749" s="910">
        <v>41275</v>
      </c>
      <c r="C1749" s="581">
        <f t="shared" si="82"/>
        <v>1</v>
      </c>
      <c r="D1749" s="171">
        <v>32.97</v>
      </c>
      <c r="E1749" s="171">
        <v>32.96</v>
      </c>
      <c r="F1749" s="171">
        <v>32.6</v>
      </c>
      <c r="G1749" s="171">
        <v>31.53</v>
      </c>
      <c r="H1749" s="171">
        <v>30.55</v>
      </c>
      <c r="I1749" s="171">
        <v>29.32</v>
      </c>
      <c r="J1749" s="171">
        <v>26.93</v>
      </c>
      <c r="K1749" s="171">
        <v>27.09</v>
      </c>
      <c r="L1749" s="171">
        <v>29.18</v>
      </c>
      <c r="M1749" s="171">
        <v>28.27</v>
      </c>
      <c r="N1749" s="171">
        <v>32.130000000000003</v>
      </c>
      <c r="O1749" s="171">
        <v>32.31</v>
      </c>
      <c r="P1749" s="171">
        <v>32.86</v>
      </c>
      <c r="Q1749" s="171">
        <v>32.950000000000003</v>
      </c>
      <c r="R1749" s="171">
        <v>32.75</v>
      </c>
      <c r="S1749" s="171">
        <v>33.64</v>
      </c>
      <c r="T1749" s="171">
        <v>34.94</v>
      </c>
      <c r="U1749" s="171">
        <v>39.93</v>
      </c>
      <c r="V1749" s="171">
        <v>44.94</v>
      </c>
      <c r="W1749" s="171">
        <v>43.38</v>
      </c>
      <c r="X1749" s="171">
        <v>43.35</v>
      </c>
      <c r="Y1749" s="171">
        <v>37</v>
      </c>
      <c r="Z1749" s="171">
        <v>39.96</v>
      </c>
      <c r="AA1749" s="171">
        <v>33</v>
      </c>
      <c r="AB1749" s="171">
        <v>44.94</v>
      </c>
      <c r="AC1749" s="171">
        <v>27.09</v>
      </c>
      <c r="AD1749" s="171">
        <v>33.1</v>
      </c>
      <c r="AF1749" s="171">
        <f t="shared" si="83"/>
        <v>2013</v>
      </c>
      <c r="AG1749" s="171">
        <f t="shared" si="84"/>
        <v>21</v>
      </c>
      <c r="AH1749" s="700">
        <f>SUMIF(D$3:$AA1749,"&lt;="&amp;$AH$1)/COUNTIF(D$3:$AA1749,"&lt;="&amp;$AH$1)</f>
        <v>31.026727661925232</v>
      </c>
    </row>
    <row r="1750" spans="2:34" x14ac:dyDescent="0.25">
      <c r="B1750" s="910">
        <v>41276</v>
      </c>
      <c r="C1750" s="581">
        <f t="shared" si="82"/>
        <v>1</v>
      </c>
      <c r="D1750" s="171">
        <v>32.97</v>
      </c>
      <c r="E1750" s="171">
        <v>32.96</v>
      </c>
      <c r="F1750" s="171">
        <v>32.6</v>
      </c>
      <c r="G1750" s="171">
        <v>31.53</v>
      </c>
      <c r="H1750" s="171">
        <v>30.55</v>
      </c>
      <c r="I1750" s="171">
        <v>29.32</v>
      </c>
      <c r="J1750" s="171">
        <v>26.93</v>
      </c>
      <c r="K1750" s="171">
        <v>27.09</v>
      </c>
      <c r="L1750" s="171">
        <v>29.18</v>
      </c>
      <c r="M1750" s="171">
        <v>28.27</v>
      </c>
      <c r="N1750" s="171">
        <v>32.130000000000003</v>
      </c>
      <c r="O1750" s="171">
        <v>32.31</v>
      </c>
      <c r="P1750" s="171">
        <v>32.86</v>
      </c>
      <c r="Q1750" s="171">
        <v>32.950000000000003</v>
      </c>
      <c r="R1750" s="171">
        <v>32.75</v>
      </c>
      <c r="S1750" s="171">
        <v>33.64</v>
      </c>
      <c r="T1750" s="171">
        <v>34.94</v>
      </c>
      <c r="U1750" s="171">
        <v>39.93</v>
      </c>
      <c r="V1750" s="171">
        <v>44.94</v>
      </c>
      <c r="W1750" s="171">
        <v>43.38</v>
      </c>
      <c r="X1750" s="171">
        <v>43.35</v>
      </c>
      <c r="Y1750" s="171">
        <v>37</v>
      </c>
      <c r="Z1750" s="171">
        <v>39.96</v>
      </c>
      <c r="AA1750" s="171">
        <v>33</v>
      </c>
      <c r="AB1750" s="171">
        <v>44.94</v>
      </c>
      <c r="AC1750" s="171">
        <v>27.09</v>
      </c>
      <c r="AD1750" s="171">
        <v>33.1</v>
      </c>
      <c r="AF1750" s="171">
        <f t="shared" si="83"/>
        <v>2013</v>
      </c>
      <c r="AG1750" s="171">
        <f t="shared" si="84"/>
        <v>21</v>
      </c>
      <c r="AH1750" s="700">
        <f>SUMIF(D$3:$AA1750,"&lt;="&amp;$AH$1)/COUNTIF(D$3:$AA1750,"&lt;="&amp;$AH$1)</f>
        <v>31.028886437288925</v>
      </c>
    </row>
    <row r="1751" spans="2:34" x14ac:dyDescent="0.25">
      <c r="B1751" s="910">
        <v>41277</v>
      </c>
      <c r="C1751" s="581">
        <f t="shared" si="82"/>
        <v>1</v>
      </c>
      <c r="D1751" s="171">
        <v>38.24</v>
      </c>
      <c r="E1751" s="171">
        <v>34.4</v>
      </c>
      <c r="F1751" s="171">
        <v>33.22</v>
      </c>
      <c r="G1751" s="171">
        <v>33.39</v>
      </c>
      <c r="H1751" s="171">
        <v>32.730000000000004</v>
      </c>
      <c r="I1751" s="171">
        <v>34.270000000000003</v>
      </c>
      <c r="J1751" s="171">
        <v>34.380000000000003</v>
      </c>
      <c r="K1751" s="171">
        <v>42.660000000000004</v>
      </c>
      <c r="L1751" s="171">
        <v>56.01</v>
      </c>
      <c r="M1751" s="171">
        <v>56.01</v>
      </c>
      <c r="N1751" s="171">
        <v>55</v>
      </c>
      <c r="O1751" s="171">
        <v>56.72</v>
      </c>
      <c r="P1751" s="171">
        <v>59.08</v>
      </c>
      <c r="Q1751" s="171">
        <v>61.44</v>
      </c>
      <c r="R1751" s="171">
        <v>61.44</v>
      </c>
      <c r="S1751" s="171">
        <v>59.94</v>
      </c>
      <c r="T1751" s="171">
        <v>54.35</v>
      </c>
      <c r="U1751" s="171">
        <v>84.4</v>
      </c>
      <c r="V1751" s="171">
        <v>84.94</v>
      </c>
      <c r="W1751" s="171">
        <v>76.8</v>
      </c>
      <c r="X1751" s="171">
        <v>56.01</v>
      </c>
      <c r="Y1751" s="171">
        <v>56.01</v>
      </c>
      <c r="Z1751" s="171">
        <v>49.96</v>
      </c>
      <c r="AA1751" s="171">
        <v>53.22</v>
      </c>
      <c r="AB1751" s="171">
        <v>84.94</v>
      </c>
      <c r="AC1751" s="171">
        <v>42.660000000000004</v>
      </c>
      <c r="AD1751" s="171">
        <v>41.54</v>
      </c>
      <c r="AF1751" s="171">
        <f t="shared" si="83"/>
        <v>2013</v>
      </c>
      <c r="AG1751" s="171">
        <f t="shared" si="84"/>
        <v>7</v>
      </c>
      <c r="AH1751" s="700">
        <f>SUMIF(D$3:$AA1751,"&lt;="&amp;$AH$1)/COUNTIF(D$3:$AA1751,"&lt;="&amp;$AH$1)</f>
        <v>31.030501033769902</v>
      </c>
    </row>
    <row r="1752" spans="2:34" x14ac:dyDescent="0.25">
      <c r="B1752" s="910">
        <v>41278</v>
      </c>
      <c r="C1752" s="581">
        <f t="shared" si="82"/>
        <v>1</v>
      </c>
      <c r="D1752" s="171">
        <v>54.96</v>
      </c>
      <c r="E1752" s="171">
        <v>49.94</v>
      </c>
      <c r="F1752" s="171">
        <v>41.44</v>
      </c>
      <c r="G1752" s="171">
        <v>35.200000000000003</v>
      </c>
      <c r="H1752" s="171">
        <v>34.770000000000003</v>
      </c>
      <c r="I1752" s="171">
        <v>33.15</v>
      </c>
      <c r="J1752" s="171">
        <v>35.200000000000003</v>
      </c>
      <c r="K1752" s="171">
        <v>50</v>
      </c>
      <c r="L1752" s="171">
        <v>53.4</v>
      </c>
      <c r="M1752" s="171">
        <v>55.77</v>
      </c>
      <c r="N1752" s="171">
        <v>59.25</v>
      </c>
      <c r="O1752" s="171">
        <v>62.89</v>
      </c>
      <c r="P1752" s="171">
        <v>61.71</v>
      </c>
      <c r="Q1752" s="171">
        <v>60</v>
      </c>
      <c r="R1752" s="171">
        <v>55.96</v>
      </c>
      <c r="S1752" s="171">
        <v>50</v>
      </c>
      <c r="T1752" s="171">
        <v>50</v>
      </c>
      <c r="U1752" s="171">
        <v>73.989999999999995</v>
      </c>
      <c r="V1752" s="171">
        <v>56.96</v>
      </c>
      <c r="W1752" s="171">
        <v>54.52</v>
      </c>
      <c r="X1752" s="171">
        <v>49.28</v>
      </c>
      <c r="Y1752" s="171">
        <v>53</v>
      </c>
      <c r="Z1752" s="171">
        <v>49.93</v>
      </c>
      <c r="AA1752" s="171">
        <v>51.03</v>
      </c>
      <c r="AB1752" s="171">
        <v>73.989999999999995</v>
      </c>
      <c r="AC1752" s="171">
        <v>49.28</v>
      </c>
      <c r="AD1752" s="171">
        <v>44.83</v>
      </c>
      <c r="AF1752" s="171">
        <f t="shared" si="83"/>
        <v>2013</v>
      </c>
      <c r="AG1752" s="171">
        <f t="shared" si="84"/>
        <v>5</v>
      </c>
      <c r="AH1752" s="700">
        <f>SUMIF(D$3:$AA1752,"&lt;="&amp;$AH$1)/COUNTIF(D$3:$AA1752,"&lt;="&amp;$AH$1)</f>
        <v>31.032196348604984</v>
      </c>
    </row>
    <row r="1753" spans="2:34" x14ac:dyDescent="0.25">
      <c r="B1753" s="910">
        <v>41281</v>
      </c>
      <c r="C1753" s="581">
        <f t="shared" si="82"/>
        <v>1</v>
      </c>
      <c r="D1753" s="171">
        <v>42.550000000000004</v>
      </c>
      <c r="E1753" s="171">
        <v>33.950000000000003</v>
      </c>
      <c r="F1753" s="171">
        <v>33.119999999999997</v>
      </c>
      <c r="G1753" s="171">
        <v>33.26</v>
      </c>
      <c r="H1753" s="171">
        <v>34.18</v>
      </c>
      <c r="I1753" s="171">
        <v>35.880000000000003</v>
      </c>
      <c r="J1753" s="171">
        <v>46.550000000000004</v>
      </c>
      <c r="K1753" s="171">
        <v>61.99</v>
      </c>
      <c r="L1753" s="171">
        <v>66.400000000000006</v>
      </c>
      <c r="M1753" s="171">
        <v>68.53</v>
      </c>
      <c r="N1753" s="171">
        <v>64.19</v>
      </c>
      <c r="O1753" s="171">
        <v>64</v>
      </c>
      <c r="P1753" s="171">
        <v>63.52</v>
      </c>
      <c r="Q1753" s="171">
        <v>62.65</v>
      </c>
      <c r="R1753" s="171">
        <v>62.63</v>
      </c>
      <c r="S1753" s="171">
        <v>60.96</v>
      </c>
      <c r="T1753" s="171">
        <v>60.84</v>
      </c>
      <c r="U1753" s="171">
        <v>71.47</v>
      </c>
      <c r="V1753" s="171">
        <v>71.510000000000005</v>
      </c>
      <c r="W1753" s="171">
        <v>64.97</v>
      </c>
      <c r="X1753" s="171">
        <v>59.94</v>
      </c>
      <c r="Y1753" s="171">
        <v>53.07</v>
      </c>
      <c r="Z1753" s="171">
        <v>52.19</v>
      </c>
      <c r="AA1753" s="171">
        <v>50.83</v>
      </c>
      <c r="AB1753" s="171">
        <v>71.510000000000005</v>
      </c>
      <c r="AC1753" s="171">
        <v>52.19</v>
      </c>
      <c r="AD1753" s="171">
        <v>44.79</v>
      </c>
      <c r="AF1753" s="171">
        <f t="shared" si="83"/>
        <v>2013</v>
      </c>
      <c r="AG1753" s="171">
        <f t="shared" si="84"/>
        <v>6</v>
      </c>
      <c r="AH1753" s="700">
        <f>SUMIF(D$3:$AA1753,"&lt;="&amp;$AH$1)/COUNTIF(D$3:$AA1753,"&lt;="&amp;$AH$1)</f>
        <v>31.034038289374102</v>
      </c>
    </row>
    <row r="1754" spans="2:34" x14ac:dyDescent="0.25">
      <c r="B1754" s="910">
        <v>41282</v>
      </c>
      <c r="C1754" s="581">
        <f t="shared" si="82"/>
        <v>1</v>
      </c>
      <c r="D1754" s="171">
        <v>50</v>
      </c>
      <c r="E1754" s="171">
        <v>51.01</v>
      </c>
      <c r="F1754" s="171">
        <v>38.520000000000003</v>
      </c>
      <c r="G1754" s="171">
        <v>37.300000000000004</v>
      </c>
      <c r="H1754" s="171">
        <v>35.21</v>
      </c>
      <c r="I1754" s="171">
        <v>36.35</v>
      </c>
      <c r="J1754" s="171">
        <v>44.21</v>
      </c>
      <c r="K1754" s="171">
        <v>62.800000000000004</v>
      </c>
      <c r="L1754" s="171">
        <v>61.26</v>
      </c>
      <c r="M1754" s="171">
        <v>60.4</v>
      </c>
      <c r="N1754" s="171">
        <v>59.67</v>
      </c>
      <c r="O1754" s="171">
        <v>63.57</v>
      </c>
      <c r="P1754" s="171">
        <v>60.800000000000004</v>
      </c>
      <c r="Q1754" s="171">
        <v>59.9</v>
      </c>
      <c r="R1754" s="171">
        <v>59.86</v>
      </c>
      <c r="S1754" s="171">
        <v>59.35</v>
      </c>
      <c r="T1754" s="171">
        <v>59.72</v>
      </c>
      <c r="U1754" s="171">
        <v>68.92</v>
      </c>
      <c r="V1754" s="171">
        <v>79.75</v>
      </c>
      <c r="W1754" s="171">
        <v>66.14</v>
      </c>
      <c r="X1754" s="171">
        <v>60.57</v>
      </c>
      <c r="Y1754" s="171">
        <v>56.49</v>
      </c>
      <c r="Z1754" s="171">
        <v>56.96</v>
      </c>
      <c r="AA1754" s="171">
        <v>53.52</v>
      </c>
      <c r="AB1754" s="171">
        <v>79.75</v>
      </c>
      <c r="AC1754" s="171">
        <v>56.49</v>
      </c>
      <c r="AD1754" s="171">
        <v>48.58</v>
      </c>
      <c r="AF1754" s="171">
        <f t="shared" si="83"/>
        <v>2013</v>
      </c>
      <c r="AG1754" s="171">
        <f t="shared" si="84"/>
        <v>4</v>
      </c>
      <c r="AH1754" s="700">
        <f>SUMIF(D$3:$AA1754,"&lt;="&amp;$AH$1)/COUNTIF(D$3:$AA1754,"&lt;="&amp;$AH$1)</f>
        <v>31.035638554216963</v>
      </c>
    </row>
    <row r="1755" spans="2:34" x14ac:dyDescent="0.25">
      <c r="B1755" s="910">
        <v>41283</v>
      </c>
      <c r="C1755" s="581">
        <f t="shared" si="82"/>
        <v>1</v>
      </c>
      <c r="D1755" s="171">
        <v>44.230000000000004</v>
      </c>
      <c r="E1755" s="171">
        <v>43.56</v>
      </c>
      <c r="F1755" s="171">
        <v>41.75</v>
      </c>
      <c r="G1755" s="171">
        <v>36</v>
      </c>
      <c r="H1755" s="171">
        <v>35.910000000000004</v>
      </c>
      <c r="I1755" s="171">
        <v>40.47</v>
      </c>
      <c r="J1755" s="171">
        <v>47.78</v>
      </c>
      <c r="K1755" s="171">
        <v>62.29</v>
      </c>
      <c r="L1755" s="171">
        <v>65.09</v>
      </c>
      <c r="M1755" s="171">
        <v>64.900000000000006</v>
      </c>
      <c r="N1755" s="171">
        <v>64.09</v>
      </c>
      <c r="O1755" s="171">
        <v>64.260000000000005</v>
      </c>
      <c r="P1755" s="171">
        <v>62.58</v>
      </c>
      <c r="Q1755" s="171">
        <v>62.03</v>
      </c>
      <c r="R1755" s="171">
        <v>61.940000000000005</v>
      </c>
      <c r="S1755" s="171">
        <v>61.35</v>
      </c>
      <c r="T1755" s="171">
        <v>61.88</v>
      </c>
      <c r="U1755" s="171">
        <v>66.11</v>
      </c>
      <c r="V1755" s="171">
        <v>73.97</v>
      </c>
      <c r="W1755" s="171">
        <v>66.7</v>
      </c>
      <c r="X1755" s="171">
        <v>64.94</v>
      </c>
      <c r="Y1755" s="171">
        <v>57.69</v>
      </c>
      <c r="Z1755" s="171">
        <v>57</v>
      </c>
      <c r="AA1755" s="171">
        <v>56.22</v>
      </c>
      <c r="AB1755" s="171">
        <v>73.97</v>
      </c>
      <c r="AC1755" s="171">
        <v>57</v>
      </c>
      <c r="AD1755" s="171">
        <v>48.99</v>
      </c>
      <c r="AF1755" s="171">
        <f t="shared" si="83"/>
        <v>2013</v>
      </c>
      <c r="AG1755" s="171">
        <f t="shared" si="84"/>
        <v>4</v>
      </c>
      <c r="AH1755" s="700">
        <f>SUMIF(D$3:$AA1755,"&lt;="&amp;$AH$1)/COUNTIF(D$3:$AA1755,"&lt;="&amp;$AH$1)</f>
        <v>31.037702525982606</v>
      </c>
    </row>
    <row r="1756" spans="2:34" x14ac:dyDescent="0.25">
      <c r="B1756" s="910">
        <v>41284</v>
      </c>
      <c r="C1756" s="581">
        <f t="shared" si="82"/>
        <v>1</v>
      </c>
      <c r="D1756" s="171">
        <v>52.050000000000004</v>
      </c>
      <c r="E1756" s="171">
        <v>52.050000000000004</v>
      </c>
      <c r="F1756" s="171">
        <v>45.12</v>
      </c>
      <c r="G1756" s="171">
        <v>44.79</v>
      </c>
      <c r="H1756" s="171">
        <v>36.75</v>
      </c>
      <c r="I1756" s="171">
        <v>43.4</v>
      </c>
      <c r="J1756" s="171">
        <v>53.78</v>
      </c>
      <c r="K1756" s="171">
        <v>64.540000000000006</v>
      </c>
      <c r="L1756" s="171">
        <v>64.25</v>
      </c>
      <c r="M1756" s="171">
        <v>65.63</v>
      </c>
      <c r="N1756" s="171">
        <v>65.570000000000007</v>
      </c>
      <c r="O1756" s="171">
        <v>67.320000000000007</v>
      </c>
      <c r="P1756" s="171">
        <v>64.31</v>
      </c>
      <c r="Q1756" s="171">
        <v>63.46</v>
      </c>
      <c r="R1756" s="171">
        <v>61.43</v>
      </c>
      <c r="S1756" s="171">
        <v>59.06</v>
      </c>
      <c r="T1756" s="171">
        <v>57.95</v>
      </c>
      <c r="U1756" s="171">
        <v>66.42</v>
      </c>
      <c r="V1756" s="171">
        <v>69.39</v>
      </c>
      <c r="W1756" s="171">
        <v>65.37</v>
      </c>
      <c r="X1756" s="171">
        <v>61.99</v>
      </c>
      <c r="Y1756" s="171">
        <v>54.25</v>
      </c>
      <c r="Z1756" s="171">
        <v>55.58</v>
      </c>
      <c r="AA1756" s="171">
        <v>54.75</v>
      </c>
      <c r="AB1756" s="171">
        <v>69.39</v>
      </c>
      <c r="AC1756" s="171">
        <v>54.25</v>
      </c>
      <c r="AD1756" s="171">
        <v>51.59</v>
      </c>
      <c r="AF1756" s="171">
        <f t="shared" si="83"/>
        <v>2013</v>
      </c>
      <c r="AG1756" s="171">
        <f t="shared" si="84"/>
        <v>1</v>
      </c>
      <c r="AH1756" s="700">
        <f>SUMIF(D$3:$AA1756,"&lt;="&amp;$AH$1)/COUNTIF(D$3:$AA1756,"&lt;="&amp;$AH$1)</f>
        <v>31.038095664143242</v>
      </c>
    </row>
    <row r="1757" spans="2:34" x14ac:dyDescent="0.25">
      <c r="B1757" s="910">
        <v>41285</v>
      </c>
      <c r="C1757" s="581">
        <f t="shared" si="82"/>
        <v>1</v>
      </c>
      <c r="D1757" s="171">
        <v>50.870000000000005</v>
      </c>
      <c r="E1757" s="171">
        <v>44.07</v>
      </c>
      <c r="F1757" s="171">
        <v>42.31</v>
      </c>
      <c r="G1757" s="171">
        <v>36.03</v>
      </c>
      <c r="H1757" s="171">
        <v>37.11</v>
      </c>
      <c r="I1757" s="171">
        <v>38.1</v>
      </c>
      <c r="J1757" s="171">
        <v>49.33</v>
      </c>
      <c r="K1757" s="171">
        <v>63.42</v>
      </c>
      <c r="L1757" s="171">
        <v>66.58</v>
      </c>
      <c r="M1757" s="171">
        <v>66.510000000000005</v>
      </c>
      <c r="N1757" s="171">
        <v>64.210000000000008</v>
      </c>
      <c r="O1757" s="171">
        <v>62.26</v>
      </c>
      <c r="P1757" s="171">
        <v>60.7</v>
      </c>
      <c r="Q1757" s="171">
        <v>57.08</v>
      </c>
      <c r="R1757" s="171">
        <v>54.94</v>
      </c>
      <c r="S1757" s="171">
        <v>54.57</v>
      </c>
      <c r="T1757" s="171">
        <v>56.29</v>
      </c>
      <c r="U1757" s="171">
        <v>64.97</v>
      </c>
      <c r="V1757" s="171">
        <v>69.070000000000007</v>
      </c>
      <c r="W1757" s="171">
        <v>63.2</v>
      </c>
      <c r="X1757" s="171">
        <v>59.46</v>
      </c>
      <c r="Y1757" s="171">
        <v>54.94</v>
      </c>
      <c r="Z1757" s="171">
        <v>58.04</v>
      </c>
      <c r="AA1757" s="171">
        <v>52.99</v>
      </c>
      <c r="AB1757" s="171">
        <v>69.070000000000007</v>
      </c>
      <c r="AC1757" s="171">
        <v>54.57</v>
      </c>
      <c r="AD1757" s="171">
        <v>48.89</v>
      </c>
      <c r="AF1757" s="171">
        <f t="shared" si="83"/>
        <v>2013</v>
      </c>
      <c r="AG1757" s="171">
        <f t="shared" si="84"/>
        <v>4</v>
      </c>
      <c r="AH1757" s="700">
        <f>SUMIF(D$3:$AA1757,"&lt;="&amp;$AH$1)/COUNTIF(D$3:$AA1757,"&lt;="&amp;$AH$1)</f>
        <v>31.040118343195356</v>
      </c>
    </row>
    <row r="1758" spans="2:34" x14ac:dyDescent="0.25">
      <c r="B1758" s="910">
        <v>41288</v>
      </c>
      <c r="C1758" s="581">
        <f t="shared" si="82"/>
        <v>1</v>
      </c>
      <c r="D1758" s="171">
        <v>39.910000000000004</v>
      </c>
      <c r="E1758" s="171">
        <v>37.76</v>
      </c>
      <c r="F1758" s="171">
        <v>46.910000000000004</v>
      </c>
      <c r="G1758" s="171">
        <v>44.96</v>
      </c>
      <c r="H1758" s="171">
        <v>39.76</v>
      </c>
      <c r="I1758" s="171">
        <v>39.36</v>
      </c>
      <c r="J1758" s="171">
        <v>44.21</v>
      </c>
      <c r="K1758" s="171">
        <v>60.61</v>
      </c>
      <c r="L1758" s="171">
        <v>62.08</v>
      </c>
      <c r="M1758" s="171">
        <v>62.6</v>
      </c>
      <c r="N1758" s="171">
        <v>63.39</v>
      </c>
      <c r="O1758" s="171">
        <v>63.480000000000004</v>
      </c>
      <c r="P1758" s="171">
        <v>61.71</v>
      </c>
      <c r="Q1758" s="171">
        <v>60.06</v>
      </c>
      <c r="R1758" s="171">
        <v>57.61</v>
      </c>
      <c r="S1758" s="171">
        <v>56.72</v>
      </c>
      <c r="T1758" s="171">
        <v>57.89</v>
      </c>
      <c r="U1758" s="171">
        <v>71.92</v>
      </c>
      <c r="V1758" s="171">
        <v>73.25</v>
      </c>
      <c r="W1758" s="171">
        <v>64.69</v>
      </c>
      <c r="X1758" s="171">
        <v>57.07</v>
      </c>
      <c r="Y1758" s="171">
        <v>48.45</v>
      </c>
      <c r="Z1758" s="171">
        <v>47.43</v>
      </c>
      <c r="AA1758" s="171">
        <v>47.410000000000004</v>
      </c>
      <c r="AB1758" s="171">
        <v>73.25</v>
      </c>
      <c r="AC1758" s="171">
        <v>47.43</v>
      </c>
      <c r="AD1758" s="171">
        <v>46.15</v>
      </c>
      <c r="AF1758" s="171">
        <f t="shared" si="83"/>
        <v>2013</v>
      </c>
      <c r="AG1758" s="171">
        <f t="shared" si="84"/>
        <v>4</v>
      </c>
      <c r="AH1758" s="700">
        <f>SUMIF(D$3:$AA1758,"&lt;="&amp;$AH$1)/COUNTIF(D$3:$AA1758,"&lt;="&amp;$AH$1)</f>
        <v>31.042362773421466</v>
      </c>
    </row>
    <row r="1759" spans="2:34" x14ac:dyDescent="0.25">
      <c r="B1759" s="910">
        <v>41289</v>
      </c>
      <c r="C1759" s="581">
        <f t="shared" si="82"/>
        <v>1</v>
      </c>
      <c r="D1759" s="171">
        <v>48.14</v>
      </c>
      <c r="E1759" s="171">
        <v>45.660000000000004</v>
      </c>
      <c r="F1759" s="171">
        <v>43.33</v>
      </c>
      <c r="G1759" s="171">
        <v>39.81</v>
      </c>
      <c r="H1759" s="171">
        <v>41</v>
      </c>
      <c r="I1759" s="171">
        <v>42.4</v>
      </c>
      <c r="J1759" s="171">
        <v>49.06</v>
      </c>
      <c r="K1759" s="171">
        <v>63.730000000000004</v>
      </c>
      <c r="L1759" s="171">
        <v>64.400000000000006</v>
      </c>
      <c r="M1759" s="171">
        <v>64.66</v>
      </c>
      <c r="N1759" s="171">
        <v>64.05</v>
      </c>
      <c r="O1759" s="171">
        <v>65.53</v>
      </c>
      <c r="P1759" s="171">
        <v>65.070000000000007</v>
      </c>
      <c r="Q1759" s="171">
        <v>64.94</v>
      </c>
      <c r="R1759" s="171">
        <v>65.13</v>
      </c>
      <c r="S1759" s="171">
        <v>63.120000000000005</v>
      </c>
      <c r="T1759" s="171">
        <v>64.489999999999995</v>
      </c>
      <c r="U1759" s="171">
        <v>70.92</v>
      </c>
      <c r="V1759" s="171">
        <v>72.100000000000009</v>
      </c>
      <c r="W1759" s="171">
        <v>69.03</v>
      </c>
      <c r="X1759" s="171">
        <v>64.19</v>
      </c>
      <c r="Y1759" s="171">
        <v>57.94</v>
      </c>
      <c r="Z1759" s="171">
        <v>60</v>
      </c>
      <c r="AA1759" s="171">
        <v>49.94</v>
      </c>
      <c r="AB1759" s="171">
        <v>72.100000000000009</v>
      </c>
      <c r="AC1759" s="171">
        <v>57.94</v>
      </c>
      <c r="AD1759" s="171">
        <v>50.43</v>
      </c>
      <c r="AF1759" s="171">
        <f t="shared" si="83"/>
        <v>2013</v>
      </c>
      <c r="AG1759" s="171">
        <f t="shared" si="84"/>
        <v>3</v>
      </c>
      <c r="AH1759" s="700">
        <f>SUMIF(D$3:$AA1759,"&lt;="&amp;$AH$1)/COUNTIF(D$3:$AA1759,"&lt;="&amp;$AH$1)</f>
        <v>31.044431607179789</v>
      </c>
    </row>
    <row r="1760" spans="2:34" x14ac:dyDescent="0.25">
      <c r="B1760" s="910">
        <v>41290</v>
      </c>
      <c r="C1760" s="581">
        <f t="shared" si="82"/>
        <v>1</v>
      </c>
      <c r="D1760" s="171">
        <v>50.01</v>
      </c>
      <c r="E1760" s="171">
        <v>50.38</v>
      </c>
      <c r="F1760" s="171">
        <v>48.77</v>
      </c>
      <c r="G1760" s="171">
        <v>44.34</v>
      </c>
      <c r="H1760" s="171">
        <v>42</v>
      </c>
      <c r="I1760" s="171">
        <v>41.82</v>
      </c>
      <c r="J1760" s="171">
        <v>51.9</v>
      </c>
      <c r="K1760" s="171">
        <v>62.85</v>
      </c>
      <c r="L1760" s="171">
        <v>68.2</v>
      </c>
      <c r="M1760" s="171">
        <v>76.98</v>
      </c>
      <c r="N1760" s="171">
        <v>74.070000000000007</v>
      </c>
      <c r="O1760" s="171">
        <v>70.680000000000007</v>
      </c>
      <c r="P1760" s="171">
        <v>67.739999999999995</v>
      </c>
      <c r="Q1760" s="171">
        <v>64.98</v>
      </c>
      <c r="R1760" s="171">
        <v>60.04</v>
      </c>
      <c r="S1760" s="171">
        <v>57.980000000000004</v>
      </c>
      <c r="T1760" s="171">
        <v>58.92</v>
      </c>
      <c r="U1760" s="171">
        <v>69.930000000000007</v>
      </c>
      <c r="V1760" s="171">
        <v>61.52</v>
      </c>
      <c r="W1760" s="171">
        <v>57.93</v>
      </c>
      <c r="X1760" s="171">
        <v>55.63</v>
      </c>
      <c r="Y1760" s="171">
        <v>52.38</v>
      </c>
      <c r="Z1760" s="171">
        <v>49.93</v>
      </c>
      <c r="AA1760" s="171">
        <v>50.38</v>
      </c>
      <c r="AB1760" s="171">
        <v>76.98</v>
      </c>
      <c r="AC1760" s="171">
        <v>49.93</v>
      </c>
      <c r="AD1760" s="171">
        <v>50.03</v>
      </c>
      <c r="AF1760" s="171">
        <f t="shared" si="83"/>
        <v>2013</v>
      </c>
      <c r="AG1760" s="171">
        <f t="shared" si="84"/>
        <v>2</v>
      </c>
      <c r="AH1760" s="700">
        <f>SUMIF(D$3:$AA1760,"&lt;="&amp;$AH$1)/COUNTIF(D$3:$AA1760,"&lt;="&amp;$AH$1)</f>
        <v>31.045925874991493</v>
      </c>
    </row>
    <row r="1761" spans="2:34" x14ac:dyDescent="0.25">
      <c r="B1761" s="910">
        <v>41291</v>
      </c>
      <c r="C1761" s="581">
        <f t="shared" si="82"/>
        <v>1</v>
      </c>
      <c r="D1761" s="171">
        <v>50</v>
      </c>
      <c r="E1761" s="171">
        <v>50</v>
      </c>
      <c r="F1761" s="171">
        <v>49.01</v>
      </c>
      <c r="G1761" s="171">
        <v>46.84</v>
      </c>
      <c r="H1761" s="171">
        <v>45.03</v>
      </c>
      <c r="I1761" s="171">
        <v>44.1</v>
      </c>
      <c r="J1761" s="171">
        <v>49.06</v>
      </c>
      <c r="K1761" s="171">
        <v>61.58</v>
      </c>
      <c r="L1761" s="171">
        <v>62.42</v>
      </c>
      <c r="M1761" s="171">
        <v>59.92</v>
      </c>
      <c r="N1761" s="171">
        <v>58.14</v>
      </c>
      <c r="O1761" s="171">
        <v>60</v>
      </c>
      <c r="P1761" s="171">
        <v>58.52</v>
      </c>
      <c r="Q1761" s="171">
        <v>62.620000000000005</v>
      </c>
      <c r="R1761" s="171">
        <v>61.910000000000004</v>
      </c>
      <c r="S1761" s="171">
        <v>61.95</v>
      </c>
      <c r="T1761" s="171">
        <v>62.300000000000004</v>
      </c>
      <c r="U1761" s="171">
        <v>72.83</v>
      </c>
      <c r="V1761" s="171">
        <v>86.070000000000007</v>
      </c>
      <c r="W1761" s="171">
        <v>62.77</v>
      </c>
      <c r="X1761" s="171">
        <v>57.97</v>
      </c>
      <c r="Y1761" s="171">
        <v>59.93</v>
      </c>
      <c r="Z1761" s="171">
        <v>60.28</v>
      </c>
      <c r="AA1761" s="171">
        <v>50.35</v>
      </c>
      <c r="AB1761" s="171">
        <v>86.070000000000007</v>
      </c>
      <c r="AC1761" s="171">
        <v>57.97</v>
      </c>
      <c r="AD1761" s="171">
        <v>52.01</v>
      </c>
      <c r="AF1761" s="171">
        <f t="shared" si="83"/>
        <v>2013</v>
      </c>
      <c r="AG1761" s="171">
        <f t="shared" si="84"/>
        <v>0</v>
      </c>
      <c r="AH1761" s="700">
        <f>SUMIF(D$3:$AA1761,"&lt;="&amp;$AH$1)/COUNTIF(D$3:$AA1761,"&lt;="&amp;$AH$1)</f>
        <v>31.045925874991493</v>
      </c>
    </row>
    <row r="1762" spans="2:34" x14ac:dyDescent="0.25">
      <c r="B1762" s="910">
        <v>41292</v>
      </c>
      <c r="C1762" s="581">
        <f t="shared" si="82"/>
        <v>1</v>
      </c>
      <c r="D1762" s="171">
        <v>51.67</v>
      </c>
      <c r="E1762" s="171">
        <v>50.84</v>
      </c>
      <c r="F1762" s="171">
        <v>49.39</v>
      </c>
      <c r="G1762" s="171">
        <v>46.11</v>
      </c>
      <c r="H1762" s="171">
        <v>40.39</v>
      </c>
      <c r="I1762" s="171">
        <v>40.47</v>
      </c>
      <c r="J1762" s="171">
        <v>47.25</v>
      </c>
      <c r="K1762" s="171">
        <v>62.440000000000005</v>
      </c>
      <c r="L1762" s="171">
        <v>66.56</v>
      </c>
      <c r="M1762" s="171">
        <v>71.900000000000006</v>
      </c>
      <c r="N1762" s="171">
        <v>69.320000000000007</v>
      </c>
      <c r="O1762" s="171">
        <v>67.72</v>
      </c>
      <c r="P1762" s="171">
        <v>66.12</v>
      </c>
      <c r="Q1762" s="171">
        <v>60.81</v>
      </c>
      <c r="R1762" s="171">
        <v>61.2</v>
      </c>
      <c r="S1762" s="171">
        <v>53.95</v>
      </c>
      <c r="T1762" s="171">
        <v>55.92</v>
      </c>
      <c r="U1762" s="171">
        <v>65.400000000000006</v>
      </c>
      <c r="V1762" s="171">
        <v>56.9</v>
      </c>
      <c r="W1762" s="171">
        <v>55.050000000000004</v>
      </c>
      <c r="X1762" s="171">
        <v>61.92</v>
      </c>
      <c r="Y1762" s="171">
        <v>60.74</v>
      </c>
      <c r="Z1762" s="171">
        <v>54.39</v>
      </c>
      <c r="AA1762" s="171">
        <v>52.49</v>
      </c>
      <c r="AB1762" s="171">
        <v>71.900000000000006</v>
      </c>
      <c r="AC1762" s="171">
        <v>53.95</v>
      </c>
      <c r="AD1762" s="171">
        <v>51.51</v>
      </c>
      <c r="AF1762" s="171">
        <f t="shared" si="83"/>
        <v>2013</v>
      </c>
      <c r="AG1762" s="171">
        <f t="shared" si="84"/>
        <v>2</v>
      </c>
      <c r="AH1762" s="700">
        <f>SUMIF(D$3:$AA1762,"&lt;="&amp;$AH$1)/COUNTIF(D$3:$AA1762,"&lt;="&amp;$AH$1)</f>
        <v>31.047216225507135</v>
      </c>
    </row>
    <row r="1763" spans="2:34" x14ac:dyDescent="0.25">
      <c r="B1763" s="910">
        <v>41295</v>
      </c>
      <c r="C1763" s="581">
        <f t="shared" si="82"/>
        <v>1</v>
      </c>
      <c r="D1763" s="171">
        <v>38.31</v>
      </c>
      <c r="E1763" s="171">
        <v>38.33</v>
      </c>
      <c r="F1763" s="171">
        <v>37.85</v>
      </c>
      <c r="G1763" s="171">
        <v>37.83</v>
      </c>
      <c r="H1763" s="171">
        <v>37.08</v>
      </c>
      <c r="I1763" s="171">
        <v>37.230000000000004</v>
      </c>
      <c r="J1763" s="171">
        <v>40.450000000000003</v>
      </c>
      <c r="K1763" s="171">
        <v>56.04</v>
      </c>
      <c r="L1763" s="171">
        <v>56.08</v>
      </c>
      <c r="M1763" s="171">
        <v>60.56</v>
      </c>
      <c r="N1763" s="171">
        <v>64.72</v>
      </c>
      <c r="O1763" s="171">
        <v>64.72</v>
      </c>
      <c r="P1763" s="171">
        <v>64.72</v>
      </c>
      <c r="Q1763" s="171">
        <v>64.72</v>
      </c>
      <c r="R1763" s="171">
        <v>61.910000000000004</v>
      </c>
      <c r="S1763" s="171">
        <v>55.99</v>
      </c>
      <c r="T1763" s="171">
        <v>55.67</v>
      </c>
      <c r="U1763" s="171">
        <v>61.480000000000004</v>
      </c>
      <c r="V1763" s="171">
        <v>61.34</v>
      </c>
      <c r="W1763" s="171">
        <v>61.35</v>
      </c>
      <c r="X1763" s="171">
        <v>55.96</v>
      </c>
      <c r="Y1763" s="171">
        <v>50.93</v>
      </c>
      <c r="Z1763" s="171">
        <v>49.870000000000005</v>
      </c>
      <c r="AA1763" s="171">
        <v>45.74</v>
      </c>
      <c r="AB1763" s="171">
        <v>64.72</v>
      </c>
      <c r="AC1763" s="171">
        <v>49.870000000000005</v>
      </c>
      <c r="AD1763" s="171">
        <v>43.800000000000004</v>
      </c>
      <c r="AF1763" s="171">
        <f t="shared" si="83"/>
        <v>2013</v>
      </c>
      <c r="AG1763" s="171">
        <f t="shared" si="84"/>
        <v>7</v>
      </c>
      <c r="AH1763" s="700">
        <f>SUMIF(D$3:$AA1763,"&lt;="&amp;$AH$1)/COUNTIF(D$3:$AA1763,"&lt;="&amp;$AH$1)</f>
        <v>31.05063496426617</v>
      </c>
    </row>
    <row r="1764" spans="2:34" x14ac:dyDescent="0.25">
      <c r="B1764" s="910">
        <v>41296</v>
      </c>
      <c r="C1764" s="581">
        <f t="shared" si="82"/>
        <v>1</v>
      </c>
      <c r="D1764" s="171">
        <v>50.34</v>
      </c>
      <c r="E1764" s="171">
        <v>50.13</v>
      </c>
      <c r="F1764" s="171">
        <v>46.21</v>
      </c>
      <c r="G1764" s="171">
        <v>37.300000000000004</v>
      </c>
      <c r="H1764" s="171">
        <v>37.520000000000003</v>
      </c>
      <c r="I1764" s="171">
        <v>39.619999999999997</v>
      </c>
      <c r="J1764" s="171">
        <v>47.9</v>
      </c>
      <c r="K1764" s="171">
        <v>58.2</v>
      </c>
      <c r="L1764" s="171">
        <v>64.820000000000007</v>
      </c>
      <c r="M1764" s="171">
        <v>63.1</v>
      </c>
      <c r="N1764" s="171">
        <v>64.37</v>
      </c>
      <c r="O1764" s="171">
        <v>65.5</v>
      </c>
      <c r="P1764" s="171">
        <v>63.9</v>
      </c>
      <c r="Q1764" s="171">
        <v>62.56</v>
      </c>
      <c r="R1764" s="171">
        <v>60.76</v>
      </c>
      <c r="S1764" s="171">
        <v>59.69</v>
      </c>
      <c r="T1764" s="171">
        <v>60.730000000000004</v>
      </c>
      <c r="U1764" s="171">
        <v>75.070000000000007</v>
      </c>
      <c r="V1764" s="171">
        <v>81.33</v>
      </c>
      <c r="W1764" s="171">
        <v>67.040000000000006</v>
      </c>
      <c r="X1764" s="171">
        <v>57.33</v>
      </c>
      <c r="Y1764" s="171">
        <v>55.46</v>
      </c>
      <c r="Z1764" s="171">
        <v>55.2</v>
      </c>
      <c r="AA1764" s="171">
        <v>49.07</v>
      </c>
      <c r="AB1764" s="171">
        <v>81.33</v>
      </c>
      <c r="AC1764" s="171">
        <v>55.2</v>
      </c>
      <c r="AD1764" s="171">
        <v>48.69</v>
      </c>
      <c r="AF1764" s="171">
        <f t="shared" si="83"/>
        <v>2013</v>
      </c>
      <c r="AG1764" s="171">
        <f t="shared" si="84"/>
        <v>3</v>
      </c>
      <c r="AH1764" s="700">
        <f>SUMIF(D$3:$AA1764,"&lt;="&amp;$AH$1)/COUNTIF(D$3:$AA1764,"&lt;="&amp;$AH$1)</f>
        <v>31.0520975609757</v>
      </c>
    </row>
    <row r="1765" spans="2:34" x14ac:dyDescent="0.25">
      <c r="B1765" s="910">
        <v>41297</v>
      </c>
      <c r="C1765" s="581">
        <f t="shared" si="82"/>
        <v>1</v>
      </c>
      <c r="D1765" s="171">
        <v>48.25</v>
      </c>
      <c r="E1765" s="171">
        <v>44</v>
      </c>
      <c r="F1765" s="171">
        <v>44</v>
      </c>
      <c r="G1765" s="171">
        <v>40.56</v>
      </c>
      <c r="H1765" s="171">
        <v>38.81</v>
      </c>
      <c r="I1765" s="171">
        <v>42.54</v>
      </c>
      <c r="J1765" s="171">
        <v>52.050000000000004</v>
      </c>
      <c r="K1765" s="171">
        <v>68.099999999999994</v>
      </c>
      <c r="L1765" s="171">
        <v>74.900000000000006</v>
      </c>
      <c r="M1765" s="171">
        <v>74.98</v>
      </c>
      <c r="N1765" s="171">
        <v>75.790000000000006</v>
      </c>
      <c r="O1765" s="171">
        <v>74.25</v>
      </c>
      <c r="P1765" s="171">
        <v>67.48</v>
      </c>
      <c r="Q1765" s="171">
        <v>66</v>
      </c>
      <c r="R1765" s="171">
        <v>63.03</v>
      </c>
      <c r="S1765" s="171">
        <v>59.75</v>
      </c>
      <c r="T1765" s="171">
        <v>60.120000000000005</v>
      </c>
      <c r="U1765" s="171">
        <v>74.900000000000006</v>
      </c>
      <c r="V1765" s="171">
        <v>98.51</v>
      </c>
      <c r="W1765" s="171">
        <v>75.489999999999995</v>
      </c>
      <c r="X1765" s="171">
        <v>63.31</v>
      </c>
      <c r="Y1765" s="171">
        <v>55.06</v>
      </c>
      <c r="Z1765" s="171">
        <v>51.93</v>
      </c>
      <c r="AA1765" s="171">
        <v>45.08</v>
      </c>
      <c r="AB1765" s="171">
        <v>98.51</v>
      </c>
      <c r="AC1765" s="171">
        <v>51.93</v>
      </c>
      <c r="AD1765" s="171">
        <v>49.47</v>
      </c>
      <c r="AF1765" s="171">
        <f t="shared" si="83"/>
        <v>2013</v>
      </c>
      <c r="AG1765" s="171">
        <f t="shared" si="84"/>
        <v>3</v>
      </c>
      <c r="AH1765" s="700">
        <f>SUMIF(D$3:$AA1765,"&lt;="&amp;$AH$1)/COUNTIF(D$3:$AA1765,"&lt;="&amp;$AH$1)</f>
        <v>31.054072674818059</v>
      </c>
    </row>
    <row r="1766" spans="2:34" x14ac:dyDescent="0.25">
      <c r="B1766" s="910">
        <v>41298</v>
      </c>
      <c r="C1766" s="581">
        <f t="shared" si="82"/>
        <v>1</v>
      </c>
      <c r="D1766" s="171">
        <v>47.43</v>
      </c>
      <c r="E1766" s="171">
        <v>44.62</v>
      </c>
      <c r="F1766" s="171">
        <v>44.93</v>
      </c>
      <c r="G1766" s="171">
        <v>40.19</v>
      </c>
      <c r="H1766" s="171">
        <v>39.380000000000003</v>
      </c>
      <c r="I1766" s="171">
        <v>41.21</v>
      </c>
      <c r="J1766" s="171">
        <v>50.5</v>
      </c>
      <c r="K1766" s="171">
        <v>68.430000000000007</v>
      </c>
      <c r="L1766" s="171">
        <v>70.91</v>
      </c>
      <c r="M1766" s="171">
        <v>73.89</v>
      </c>
      <c r="N1766" s="171">
        <v>73.39</v>
      </c>
      <c r="O1766" s="171">
        <v>72.62</v>
      </c>
      <c r="P1766" s="171">
        <v>69.260000000000005</v>
      </c>
      <c r="Q1766" s="171">
        <v>64.16</v>
      </c>
      <c r="R1766" s="171">
        <v>63.49</v>
      </c>
      <c r="S1766" s="171">
        <v>60.22</v>
      </c>
      <c r="T1766" s="171">
        <v>65.7</v>
      </c>
      <c r="U1766" s="171">
        <v>77.14</v>
      </c>
      <c r="V1766" s="171">
        <v>79.94</v>
      </c>
      <c r="W1766" s="171">
        <v>74.97</v>
      </c>
      <c r="X1766" s="171">
        <v>60.32</v>
      </c>
      <c r="Y1766" s="171">
        <v>55.02</v>
      </c>
      <c r="Z1766" s="171">
        <v>54.93</v>
      </c>
      <c r="AA1766" s="171">
        <v>47.44</v>
      </c>
      <c r="AB1766" s="171">
        <v>79.94</v>
      </c>
      <c r="AC1766" s="171">
        <v>54.93</v>
      </c>
      <c r="AD1766" s="171">
        <v>49.53</v>
      </c>
      <c r="AF1766" s="171">
        <f t="shared" si="83"/>
        <v>2013</v>
      </c>
      <c r="AG1766" s="171">
        <f t="shared" si="84"/>
        <v>3</v>
      </c>
      <c r="AH1766" s="700">
        <f>SUMIF(D$3:$AA1766,"&lt;="&amp;$AH$1)/COUNTIF(D$3:$AA1766,"&lt;="&amp;$AH$1)</f>
        <v>31.055969370235651</v>
      </c>
    </row>
    <row r="1767" spans="2:34" x14ac:dyDescent="0.25">
      <c r="B1767" s="910">
        <v>41299</v>
      </c>
      <c r="C1767" s="581">
        <f t="shared" si="82"/>
        <v>1</v>
      </c>
      <c r="D1767" s="171">
        <v>48.33</v>
      </c>
      <c r="E1767" s="171">
        <v>49.230000000000004</v>
      </c>
      <c r="F1767" s="171">
        <v>46.17</v>
      </c>
      <c r="G1767" s="171">
        <v>42.75</v>
      </c>
      <c r="H1767" s="171">
        <v>39.78</v>
      </c>
      <c r="I1767" s="171">
        <v>41.04</v>
      </c>
      <c r="J1767" s="171">
        <v>52.54</v>
      </c>
      <c r="K1767" s="171">
        <v>61.300000000000004</v>
      </c>
      <c r="L1767" s="171">
        <v>68.06</v>
      </c>
      <c r="M1767" s="171">
        <v>69.900000000000006</v>
      </c>
      <c r="N1767" s="171">
        <v>67.97</v>
      </c>
      <c r="O1767" s="171">
        <v>66.790000000000006</v>
      </c>
      <c r="P1767" s="171">
        <v>62</v>
      </c>
      <c r="Q1767" s="171">
        <v>57.980000000000004</v>
      </c>
      <c r="R1767" s="171">
        <v>53.910000000000004</v>
      </c>
      <c r="S1767" s="171">
        <v>51.92</v>
      </c>
      <c r="T1767" s="171">
        <v>55.15</v>
      </c>
      <c r="U1767" s="171">
        <v>62.28</v>
      </c>
      <c r="V1767" s="171">
        <v>59.050000000000004</v>
      </c>
      <c r="W1767" s="171">
        <v>55.39</v>
      </c>
      <c r="X1767" s="171">
        <v>54.85</v>
      </c>
      <c r="Y1767" s="171">
        <v>54.2</v>
      </c>
      <c r="Z1767" s="171">
        <v>49.94</v>
      </c>
      <c r="AA1767" s="171">
        <v>47.44</v>
      </c>
      <c r="AB1767" s="171">
        <v>69.900000000000006</v>
      </c>
      <c r="AC1767" s="171">
        <v>49.94</v>
      </c>
      <c r="AD1767" s="171">
        <v>48.96</v>
      </c>
      <c r="AF1767" s="171">
        <f t="shared" si="83"/>
        <v>2013</v>
      </c>
      <c r="AG1767" s="171">
        <f t="shared" si="84"/>
        <v>2</v>
      </c>
      <c r="AH1767" s="700">
        <f>SUMIF(D$3:$AA1767,"&lt;="&amp;$AH$1)/COUNTIF(D$3:$AA1767,"&lt;="&amp;$AH$1)</f>
        <v>31.057253999862755</v>
      </c>
    </row>
    <row r="1768" spans="2:34" x14ac:dyDescent="0.25">
      <c r="B1768" s="910">
        <v>41302</v>
      </c>
      <c r="C1768" s="581">
        <f t="shared" si="82"/>
        <v>1</v>
      </c>
      <c r="D1768" s="171">
        <v>37.270000000000003</v>
      </c>
      <c r="E1768" s="171">
        <v>37.46</v>
      </c>
      <c r="F1768" s="171">
        <v>32</v>
      </c>
      <c r="G1768" s="171">
        <v>33.520000000000003</v>
      </c>
      <c r="H1768" s="171">
        <v>31.88</v>
      </c>
      <c r="I1768" s="171">
        <v>36.57</v>
      </c>
      <c r="J1768" s="171">
        <v>42.44</v>
      </c>
      <c r="K1768" s="171">
        <v>59.74</v>
      </c>
      <c r="L1768" s="171">
        <v>57.95</v>
      </c>
      <c r="M1768" s="171">
        <v>58.69</v>
      </c>
      <c r="N1768" s="171">
        <v>58.32</v>
      </c>
      <c r="O1768" s="171">
        <v>56.17</v>
      </c>
      <c r="P1768" s="171">
        <v>61.39</v>
      </c>
      <c r="Q1768" s="171">
        <v>60</v>
      </c>
      <c r="R1768" s="171">
        <v>54.09</v>
      </c>
      <c r="S1768" s="171">
        <v>51.33</v>
      </c>
      <c r="T1768" s="171">
        <v>51.79</v>
      </c>
      <c r="U1768" s="171">
        <v>58.15</v>
      </c>
      <c r="V1768" s="171">
        <v>69.930000000000007</v>
      </c>
      <c r="W1768" s="171">
        <v>63.02</v>
      </c>
      <c r="X1768" s="171">
        <v>58.45</v>
      </c>
      <c r="Y1768" s="171">
        <v>50.7</v>
      </c>
      <c r="Z1768" s="171">
        <v>49.94</v>
      </c>
      <c r="AA1768" s="171">
        <v>42.44</v>
      </c>
      <c r="AB1768" s="171">
        <v>69.930000000000007</v>
      </c>
      <c r="AC1768" s="171">
        <v>49.94</v>
      </c>
      <c r="AD1768" s="171">
        <v>42.7</v>
      </c>
      <c r="AF1768" s="171">
        <f t="shared" si="83"/>
        <v>2013</v>
      </c>
      <c r="AG1768" s="171">
        <f t="shared" si="84"/>
        <v>8</v>
      </c>
      <c r="AH1768" s="700">
        <f>SUMIF(D$3:$AA1768,"&lt;="&amp;$AH$1)/COUNTIF(D$3:$AA1768,"&lt;="&amp;$AH$1)</f>
        <v>31.060350696589211</v>
      </c>
    </row>
    <row r="1769" spans="2:34" x14ac:dyDescent="0.25">
      <c r="B1769" s="910">
        <v>41303</v>
      </c>
      <c r="C1769" s="581">
        <f t="shared" si="82"/>
        <v>1</v>
      </c>
      <c r="D1769" s="171">
        <v>39.22</v>
      </c>
      <c r="E1769" s="171">
        <v>37.380000000000003</v>
      </c>
      <c r="F1769" s="171">
        <v>32.410000000000004</v>
      </c>
      <c r="G1769" s="171">
        <v>32.15</v>
      </c>
      <c r="H1769" s="171">
        <v>33.18</v>
      </c>
      <c r="I1769" s="171">
        <v>31.330000000000002</v>
      </c>
      <c r="J1769" s="171">
        <v>39.42</v>
      </c>
      <c r="K1769" s="171">
        <v>50.86</v>
      </c>
      <c r="L1769" s="171">
        <v>59.49</v>
      </c>
      <c r="M1769" s="171">
        <v>59.980000000000004</v>
      </c>
      <c r="N1769" s="171">
        <v>62.480000000000004</v>
      </c>
      <c r="O1769" s="171">
        <v>64</v>
      </c>
      <c r="P1769" s="171">
        <v>56.36</v>
      </c>
      <c r="Q1769" s="171">
        <v>54.120000000000005</v>
      </c>
      <c r="R1769" s="171">
        <v>54.53</v>
      </c>
      <c r="S1769" s="171">
        <v>60</v>
      </c>
      <c r="T1769" s="171">
        <v>49.99</v>
      </c>
      <c r="U1769" s="171">
        <v>66.599999999999994</v>
      </c>
      <c r="V1769" s="171">
        <v>94.93</v>
      </c>
      <c r="W1769" s="171">
        <v>59.94</v>
      </c>
      <c r="X1769" s="171">
        <v>47.34</v>
      </c>
      <c r="Y1769" s="171">
        <v>47.870000000000005</v>
      </c>
      <c r="Z1769" s="171">
        <v>46.03</v>
      </c>
      <c r="AA1769" s="171">
        <v>42.44</v>
      </c>
      <c r="AB1769" s="171">
        <v>94.93</v>
      </c>
      <c r="AC1769" s="171">
        <v>46.03</v>
      </c>
      <c r="AD1769" s="171">
        <v>39.97</v>
      </c>
      <c r="AF1769" s="171">
        <f t="shared" si="83"/>
        <v>2013</v>
      </c>
      <c r="AG1769" s="171">
        <f t="shared" si="84"/>
        <v>8</v>
      </c>
      <c r="AH1769" s="700">
        <f>SUMIF(D$3:$AA1769,"&lt;="&amp;$AH$1)/COUNTIF(D$3:$AA1769,"&lt;="&amp;$AH$1)</f>
        <v>31.063029014335783</v>
      </c>
    </row>
    <row r="1770" spans="2:34" x14ac:dyDescent="0.25">
      <c r="B1770" s="910">
        <v>41304</v>
      </c>
      <c r="C1770" s="581">
        <f t="shared" si="82"/>
        <v>1</v>
      </c>
      <c r="D1770" s="171">
        <v>32.76</v>
      </c>
      <c r="E1770" s="171">
        <v>31.67</v>
      </c>
      <c r="F1770" s="171">
        <v>32.93</v>
      </c>
      <c r="G1770" s="171">
        <v>31.830000000000002</v>
      </c>
      <c r="H1770" s="171">
        <v>30.61</v>
      </c>
      <c r="I1770" s="171">
        <v>33.57</v>
      </c>
      <c r="J1770" s="171">
        <v>33.660000000000004</v>
      </c>
      <c r="K1770" s="171">
        <v>45.910000000000004</v>
      </c>
      <c r="L1770" s="171">
        <v>49.94</v>
      </c>
      <c r="M1770" s="171">
        <v>59.78</v>
      </c>
      <c r="N1770" s="171">
        <v>52.43</v>
      </c>
      <c r="O1770" s="171">
        <v>50.32</v>
      </c>
      <c r="P1770" s="171">
        <v>56.25</v>
      </c>
      <c r="Q1770" s="171">
        <v>55.6</v>
      </c>
      <c r="R1770" s="171">
        <v>50</v>
      </c>
      <c r="S1770" s="171">
        <v>47.160000000000004</v>
      </c>
      <c r="T1770" s="171">
        <v>49.94</v>
      </c>
      <c r="U1770" s="171">
        <v>57.42</v>
      </c>
      <c r="V1770" s="171">
        <v>65.599999999999994</v>
      </c>
      <c r="W1770" s="171">
        <v>59.480000000000004</v>
      </c>
      <c r="X1770" s="171">
        <v>61.21</v>
      </c>
      <c r="Y1770" s="171">
        <v>52.65</v>
      </c>
      <c r="Z1770" s="171">
        <v>47.44</v>
      </c>
      <c r="AA1770" s="171">
        <v>42.44</v>
      </c>
      <c r="AB1770" s="171">
        <v>65.599999999999994</v>
      </c>
      <c r="AC1770" s="171">
        <v>45.910000000000004</v>
      </c>
      <c r="AD1770" s="171">
        <v>39.72</v>
      </c>
      <c r="AF1770" s="171">
        <f t="shared" si="83"/>
        <v>2013</v>
      </c>
      <c r="AG1770" s="171">
        <f t="shared" si="84"/>
        <v>8</v>
      </c>
      <c r="AH1770" s="700">
        <f>SUMIF(D$3:$AA1770,"&lt;="&amp;$AH$1)/COUNTIF(D$3:$AA1770,"&lt;="&amp;$AH$1)</f>
        <v>31.06446630561468</v>
      </c>
    </row>
    <row r="1771" spans="2:34" x14ac:dyDescent="0.25">
      <c r="B1771" s="910">
        <v>41305</v>
      </c>
      <c r="C1771" s="581">
        <f t="shared" si="82"/>
        <v>1</v>
      </c>
      <c r="D1771" s="171">
        <v>41.86</v>
      </c>
      <c r="E1771" s="171">
        <v>38.47</v>
      </c>
      <c r="F1771" s="171">
        <v>34.369999999999997</v>
      </c>
      <c r="G1771" s="171">
        <v>33.94</v>
      </c>
      <c r="H1771" s="171">
        <v>34.1</v>
      </c>
      <c r="I1771" s="171">
        <v>31.68</v>
      </c>
      <c r="J1771" s="171">
        <v>39.68</v>
      </c>
      <c r="K1771" s="171">
        <v>58.92</v>
      </c>
      <c r="L1771" s="171">
        <v>70</v>
      </c>
      <c r="M1771" s="171">
        <v>60</v>
      </c>
      <c r="N1771" s="171">
        <v>60.120000000000005</v>
      </c>
      <c r="O1771" s="171">
        <v>57.7</v>
      </c>
      <c r="P1771" s="171">
        <v>52.17</v>
      </c>
      <c r="Q1771" s="171">
        <v>50.120000000000005</v>
      </c>
      <c r="R1771" s="171">
        <v>49.94</v>
      </c>
      <c r="S1771" s="171">
        <v>49.93</v>
      </c>
      <c r="T1771" s="171">
        <v>46.59</v>
      </c>
      <c r="U1771" s="171">
        <v>49.96</v>
      </c>
      <c r="V1771" s="171">
        <v>59.96</v>
      </c>
      <c r="W1771" s="171">
        <v>57.04</v>
      </c>
      <c r="X1771" s="171">
        <v>48.49</v>
      </c>
      <c r="Y1771" s="171">
        <v>49.18</v>
      </c>
      <c r="Z1771" s="171">
        <v>52.410000000000004</v>
      </c>
      <c r="AA1771" s="171">
        <v>45.12</v>
      </c>
      <c r="AB1771" s="171">
        <v>70</v>
      </c>
      <c r="AC1771" s="171">
        <v>46.59</v>
      </c>
      <c r="AD1771" s="171">
        <v>42.35</v>
      </c>
      <c r="AF1771" s="171">
        <f t="shared" si="83"/>
        <v>2013</v>
      </c>
      <c r="AG1771" s="171">
        <f t="shared" si="84"/>
        <v>7</v>
      </c>
      <c r="AH1771" s="700">
        <f>SUMIF(D$3:$AA1771,"&lt;="&amp;$AH$1)/COUNTIF(D$3:$AA1771,"&lt;="&amp;$AH$1)</f>
        <v>31.066977525010365</v>
      </c>
    </row>
    <row r="1772" spans="2:34" x14ac:dyDescent="0.25">
      <c r="B1772" s="910">
        <v>41306</v>
      </c>
      <c r="C1772" s="581">
        <f t="shared" si="82"/>
        <v>2</v>
      </c>
      <c r="D1772" s="171">
        <v>41.480000000000004</v>
      </c>
      <c r="E1772" s="171">
        <v>38.69</v>
      </c>
      <c r="F1772" s="171">
        <v>35.39</v>
      </c>
      <c r="G1772" s="171">
        <v>34.770000000000003</v>
      </c>
      <c r="H1772" s="171">
        <v>34.94</v>
      </c>
      <c r="I1772" s="171">
        <v>35.869999999999997</v>
      </c>
      <c r="J1772" s="171">
        <v>39.21</v>
      </c>
      <c r="K1772" s="171">
        <v>56.7</v>
      </c>
      <c r="L1772" s="171">
        <v>57.160000000000004</v>
      </c>
      <c r="M1772" s="171">
        <v>62.25</v>
      </c>
      <c r="N1772" s="171">
        <v>60.550000000000004</v>
      </c>
      <c r="O1772" s="171">
        <v>70.11</v>
      </c>
      <c r="P1772" s="171">
        <v>61.120000000000005</v>
      </c>
      <c r="Q1772" s="171">
        <v>58.85</v>
      </c>
      <c r="R1772" s="171">
        <v>54.33</v>
      </c>
      <c r="S1772" s="171">
        <v>50</v>
      </c>
      <c r="T1772" s="171">
        <v>47.54</v>
      </c>
      <c r="U1772" s="171">
        <v>59.99</v>
      </c>
      <c r="V1772" s="171">
        <v>77.600000000000009</v>
      </c>
      <c r="W1772" s="171">
        <v>73.570000000000007</v>
      </c>
      <c r="X1772" s="171">
        <v>59.38</v>
      </c>
      <c r="Y1772" s="171">
        <v>55</v>
      </c>
      <c r="Z1772" s="171">
        <v>54.94</v>
      </c>
      <c r="AA1772" s="171">
        <v>54.370000000000005</v>
      </c>
      <c r="AB1772" s="171">
        <v>77.600000000000009</v>
      </c>
      <c r="AC1772" s="171">
        <v>47.54</v>
      </c>
      <c r="AD1772" s="171">
        <v>45.06</v>
      </c>
      <c r="AF1772" s="171">
        <f t="shared" si="83"/>
        <v>2013</v>
      </c>
      <c r="AG1772" s="171">
        <f t="shared" si="84"/>
        <v>7</v>
      </c>
      <c r="AH1772" s="700">
        <f>SUMIF(D$3:$AA1772,"&lt;="&amp;$AH$1)/COUNTIF(D$3:$AA1772,"&lt;="&amp;$AH$1)</f>
        <v>31.06991438942547</v>
      </c>
    </row>
    <row r="1773" spans="2:34" x14ac:dyDescent="0.25">
      <c r="B1773" s="910">
        <v>41309</v>
      </c>
      <c r="C1773" s="581">
        <f t="shared" si="82"/>
        <v>2</v>
      </c>
      <c r="D1773" s="171">
        <v>48.85</v>
      </c>
      <c r="E1773" s="171">
        <v>40.85</v>
      </c>
      <c r="F1773" s="171">
        <v>36.49</v>
      </c>
      <c r="G1773" s="171">
        <v>33.480000000000004</v>
      </c>
      <c r="H1773" s="171">
        <v>31.25</v>
      </c>
      <c r="I1773" s="171">
        <v>34.200000000000003</v>
      </c>
      <c r="J1773" s="171">
        <v>48.69</v>
      </c>
      <c r="K1773" s="171">
        <v>60.5</v>
      </c>
      <c r="L1773" s="171">
        <v>66.430000000000007</v>
      </c>
      <c r="M1773" s="171">
        <v>66.430000000000007</v>
      </c>
      <c r="N1773" s="171">
        <v>61.6</v>
      </c>
      <c r="O1773" s="171">
        <v>60.97</v>
      </c>
      <c r="P1773" s="171">
        <v>58.800000000000004</v>
      </c>
      <c r="Q1773" s="171">
        <v>57.2</v>
      </c>
      <c r="R1773" s="171">
        <v>55.800000000000004</v>
      </c>
      <c r="S1773" s="171">
        <v>49.94</v>
      </c>
      <c r="T1773" s="171">
        <v>49.93</v>
      </c>
      <c r="U1773" s="171">
        <v>51.28</v>
      </c>
      <c r="V1773" s="171">
        <v>73.88</v>
      </c>
      <c r="W1773" s="171">
        <v>72.87</v>
      </c>
      <c r="X1773" s="171">
        <v>53.93</v>
      </c>
      <c r="Y1773" s="171">
        <v>49.02</v>
      </c>
      <c r="Z1773" s="171">
        <v>50.870000000000005</v>
      </c>
      <c r="AA1773" s="171">
        <v>49.120000000000005</v>
      </c>
      <c r="AB1773" s="171">
        <v>73.88</v>
      </c>
      <c r="AC1773" s="171">
        <v>49.02</v>
      </c>
      <c r="AD1773" s="171">
        <v>44.77</v>
      </c>
      <c r="AF1773" s="171">
        <f t="shared" si="83"/>
        <v>2013</v>
      </c>
      <c r="AG1773" s="171">
        <f t="shared" si="84"/>
        <v>5</v>
      </c>
      <c r="AH1773" s="700">
        <f>SUMIF(D$3:$AA1773,"&lt;="&amp;$AH$1)/COUNTIF(D$3:$AA1773,"&lt;="&amp;$AH$1)</f>
        <v>31.071346706832895</v>
      </c>
    </row>
    <row r="1774" spans="2:34" x14ac:dyDescent="0.25">
      <c r="B1774" s="910">
        <v>41310</v>
      </c>
      <c r="C1774" s="581">
        <f t="shared" si="82"/>
        <v>2</v>
      </c>
      <c r="D1774" s="171">
        <v>42.44</v>
      </c>
      <c r="E1774" s="171">
        <v>40.35</v>
      </c>
      <c r="F1774" s="171">
        <v>36.410000000000004</v>
      </c>
      <c r="G1774" s="171">
        <v>32.49</v>
      </c>
      <c r="H1774" s="171">
        <v>32.53</v>
      </c>
      <c r="I1774" s="171">
        <v>32.49</v>
      </c>
      <c r="J1774" s="171">
        <v>38.96</v>
      </c>
      <c r="K1774" s="171">
        <v>58.15</v>
      </c>
      <c r="L1774" s="171">
        <v>57.81</v>
      </c>
      <c r="M1774" s="171">
        <v>58.26</v>
      </c>
      <c r="N1774" s="171">
        <v>61.63</v>
      </c>
      <c r="O1774" s="171">
        <v>62.82</v>
      </c>
      <c r="P1774" s="171">
        <v>59.370000000000005</v>
      </c>
      <c r="Q1774" s="171">
        <v>59.33</v>
      </c>
      <c r="R1774" s="171">
        <v>56.57</v>
      </c>
      <c r="S1774" s="171">
        <v>47.44</v>
      </c>
      <c r="T1774" s="171">
        <v>47.61</v>
      </c>
      <c r="U1774" s="171">
        <v>58.26</v>
      </c>
      <c r="V1774" s="171">
        <v>65.92</v>
      </c>
      <c r="W1774" s="171">
        <v>59.25</v>
      </c>
      <c r="X1774" s="171">
        <v>53.120000000000005</v>
      </c>
      <c r="Y1774" s="171">
        <v>50</v>
      </c>
      <c r="Z1774" s="171">
        <v>49.83</v>
      </c>
      <c r="AA1774" s="171">
        <v>48.2</v>
      </c>
      <c r="AB1774" s="171">
        <v>65.92</v>
      </c>
      <c r="AC1774" s="171">
        <v>47.44</v>
      </c>
      <c r="AD1774" s="171">
        <v>42.910000000000004</v>
      </c>
      <c r="AF1774" s="171">
        <f t="shared" si="83"/>
        <v>2013</v>
      </c>
      <c r="AG1774" s="171">
        <f t="shared" si="84"/>
        <v>7</v>
      </c>
      <c r="AH1774" s="700">
        <f>SUMIF(D$3:$AA1774,"&lt;="&amp;$AH$1)/COUNTIF(D$3:$AA1774,"&lt;="&amp;$AH$1)</f>
        <v>31.073958803804917</v>
      </c>
    </row>
    <row r="1775" spans="2:34" x14ac:dyDescent="0.25">
      <c r="B1775" s="910">
        <v>41311</v>
      </c>
      <c r="C1775" s="581">
        <f t="shared" si="82"/>
        <v>2</v>
      </c>
      <c r="D1775" s="171">
        <v>44.94</v>
      </c>
      <c r="E1775" s="171">
        <v>39.94</v>
      </c>
      <c r="F1775" s="171">
        <v>40.71</v>
      </c>
      <c r="G1775" s="171">
        <v>36</v>
      </c>
      <c r="H1775" s="171">
        <v>36.450000000000003</v>
      </c>
      <c r="I1775" s="171">
        <v>40</v>
      </c>
      <c r="J1775" s="171">
        <v>44.96</v>
      </c>
      <c r="K1775" s="171">
        <v>60</v>
      </c>
      <c r="L1775" s="171">
        <v>61.050000000000004</v>
      </c>
      <c r="M1775" s="171">
        <v>59.92</v>
      </c>
      <c r="N1775" s="171">
        <v>58.410000000000004</v>
      </c>
      <c r="O1775" s="171">
        <v>59.09</v>
      </c>
      <c r="P1775" s="171">
        <v>55.97</v>
      </c>
      <c r="Q1775" s="171">
        <v>53.52</v>
      </c>
      <c r="R1775" s="171">
        <v>49.94</v>
      </c>
      <c r="S1775" s="171">
        <v>47.29</v>
      </c>
      <c r="T1775" s="171">
        <v>47.57</v>
      </c>
      <c r="U1775" s="171">
        <v>55.9</v>
      </c>
      <c r="V1775" s="171">
        <v>59.94</v>
      </c>
      <c r="W1775" s="171">
        <v>59.24</v>
      </c>
      <c r="X1775" s="171">
        <v>52.94</v>
      </c>
      <c r="Y1775" s="171">
        <v>44.96</v>
      </c>
      <c r="Z1775" s="171">
        <v>53.18</v>
      </c>
      <c r="AA1775" s="171">
        <v>48.730000000000004</v>
      </c>
      <c r="AB1775" s="171">
        <v>61.050000000000004</v>
      </c>
      <c r="AC1775" s="171">
        <v>44.96</v>
      </c>
      <c r="AD1775" s="171">
        <v>45.230000000000004</v>
      </c>
      <c r="AF1775" s="171">
        <f t="shared" si="83"/>
        <v>2013</v>
      </c>
      <c r="AG1775" s="171">
        <f t="shared" si="84"/>
        <v>5</v>
      </c>
      <c r="AH1775" s="700">
        <f>SUMIF(D$3:$AA1775,"&lt;="&amp;$AH$1)/COUNTIF(D$3:$AA1775,"&lt;="&amp;$AH$1)</f>
        <v>31.076539882336931</v>
      </c>
    </row>
    <row r="1776" spans="2:34" x14ac:dyDescent="0.25">
      <c r="B1776" s="910">
        <v>41312</v>
      </c>
      <c r="C1776" s="581">
        <f t="shared" si="82"/>
        <v>2</v>
      </c>
      <c r="D1776" s="171">
        <v>52.67</v>
      </c>
      <c r="E1776" s="171">
        <v>46.09</v>
      </c>
      <c r="F1776" s="171">
        <v>39.79</v>
      </c>
      <c r="G1776" s="171">
        <v>32.590000000000003</v>
      </c>
      <c r="H1776" s="171">
        <v>33.26</v>
      </c>
      <c r="I1776" s="171">
        <v>35.869999999999997</v>
      </c>
      <c r="J1776" s="171">
        <v>44.94</v>
      </c>
      <c r="K1776" s="171">
        <v>59.43</v>
      </c>
      <c r="L1776" s="171">
        <v>58.27</v>
      </c>
      <c r="M1776" s="171">
        <v>58.27</v>
      </c>
      <c r="N1776" s="171">
        <v>58.27</v>
      </c>
      <c r="O1776" s="171">
        <v>58.08</v>
      </c>
      <c r="P1776" s="171">
        <v>56.04</v>
      </c>
      <c r="Q1776" s="171">
        <v>55.43</v>
      </c>
      <c r="R1776" s="171">
        <v>53.95</v>
      </c>
      <c r="S1776" s="171">
        <v>53.44</v>
      </c>
      <c r="T1776" s="171">
        <v>51.97</v>
      </c>
      <c r="U1776" s="171">
        <v>58.88</v>
      </c>
      <c r="V1776" s="171">
        <v>82.3</v>
      </c>
      <c r="W1776" s="171">
        <v>70.11</v>
      </c>
      <c r="X1776" s="171">
        <v>62.31</v>
      </c>
      <c r="Y1776" s="171">
        <v>60.75</v>
      </c>
      <c r="Z1776" s="171">
        <v>50.120000000000005</v>
      </c>
      <c r="AA1776" s="171">
        <v>50</v>
      </c>
      <c r="AB1776" s="171">
        <v>82.3</v>
      </c>
      <c r="AC1776" s="171">
        <v>50.120000000000005</v>
      </c>
      <c r="AD1776" s="171">
        <v>47.32</v>
      </c>
      <c r="AF1776" s="171">
        <f t="shared" si="83"/>
        <v>2013</v>
      </c>
      <c r="AG1776" s="171">
        <f t="shared" si="84"/>
        <v>4</v>
      </c>
      <c r="AH1776" s="700">
        <f>SUMIF(D$3:$AA1776,"&lt;="&amp;$AH$1)/COUNTIF(D$3:$AA1776,"&lt;="&amp;$AH$1)</f>
        <v>31.077716454657452</v>
      </c>
    </row>
    <row r="1777" spans="2:34" x14ac:dyDescent="0.25">
      <c r="B1777" s="910">
        <v>41313</v>
      </c>
      <c r="C1777" s="581">
        <f t="shared" si="82"/>
        <v>2</v>
      </c>
      <c r="D1777" s="171">
        <v>49.04</v>
      </c>
      <c r="E1777" s="171">
        <v>47.06</v>
      </c>
      <c r="F1777" s="171">
        <v>43.94</v>
      </c>
      <c r="G1777" s="171">
        <v>41.11</v>
      </c>
      <c r="H1777" s="171">
        <v>39.340000000000003</v>
      </c>
      <c r="I1777" s="171">
        <v>38.950000000000003</v>
      </c>
      <c r="J1777" s="171">
        <v>45.84</v>
      </c>
      <c r="K1777" s="171">
        <v>58.82</v>
      </c>
      <c r="L1777" s="171">
        <v>61.940000000000005</v>
      </c>
      <c r="M1777" s="171">
        <v>64.92</v>
      </c>
      <c r="N1777" s="171">
        <v>70.23</v>
      </c>
      <c r="O1777" s="171">
        <v>64.92</v>
      </c>
      <c r="P1777" s="171">
        <v>61.27</v>
      </c>
      <c r="Q1777" s="171">
        <v>54.36</v>
      </c>
      <c r="R1777" s="171">
        <v>51.97</v>
      </c>
      <c r="S1777" s="171">
        <v>46.980000000000004</v>
      </c>
      <c r="T1777" s="171">
        <v>46.95</v>
      </c>
      <c r="U1777" s="171">
        <v>57.15</v>
      </c>
      <c r="V1777" s="171">
        <v>69.66</v>
      </c>
      <c r="W1777" s="171">
        <v>58.75</v>
      </c>
      <c r="X1777" s="171">
        <v>54.36</v>
      </c>
      <c r="Y1777" s="171">
        <v>49.33</v>
      </c>
      <c r="Z1777" s="171">
        <v>54.93</v>
      </c>
      <c r="AA1777" s="171">
        <v>53.800000000000004</v>
      </c>
      <c r="AB1777" s="171">
        <v>70.23</v>
      </c>
      <c r="AC1777" s="171">
        <v>46.95</v>
      </c>
      <c r="AD1777" s="171">
        <v>48.04</v>
      </c>
      <c r="AF1777" s="171">
        <f t="shared" si="83"/>
        <v>2013</v>
      </c>
      <c r="AG1777" s="171">
        <f t="shared" si="84"/>
        <v>3</v>
      </c>
      <c r="AH1777" s="700">
        <f>SUMIF(D$3:$AA1777,"&lt;="&amp;$AH$1)/COUNTIF(D$3:$AA1777,"&lt;="&amp;$AH$1)</f>
        <v>31.07950564102573</v>
      </c>
    </row>
    <row r="1778" spans="2:34" x14ac:dyDescent="0.25">
      <c r="B1778" s="910">
        <v>41316</v>
      </c>
      <c r="C1778" s="581">
        <f t="shared" si="82"/>
        <v>2</v>
      </c>
      <c r="D1778" s="171">
        <v>37.44</v>
      </c>
      <c r="E1778" s="171">
        <v>36.700000000000003</v>
      </c>
      <c r="F1778" s="171">
        <v>37.910000000000004</v>
      </c>
      <c r="G1778" s="171">
        <v>32.65</v>
      </c>
      <c r="H1778" s="171">
        <v>29.740000000000002</v>
      </c>
      <c r="I1778" s="171">
        <v>36.26</v>
      </c>
      <c r="J1778" s="171">
        <v>40.730000000000004</v>
      </c>
      <c r="K1778" s="171">
        <v>47.44</v>
      </c>
      <c r="L1778" s="171">
        <v>52.54</v>
      </c>
      <c r="M1778" s="171">
        <v>55.59</v>
      </c>
      <c r="N1778" s="171">
        <v>59.050000000000004</v>
      </c>
      <c r="O1778" s="171">
        <v>59.050000000000004</v>
      </c>
      <c r="P1778" s="171">
        <v>55.35</v>
      </c>
      <c r="Q1778" s="171">
        <v>55.35</v>
      </c>
      <c r="R1778" s="171">
        <v>53.47</v>
      </c>
      <c r="S1778" s="171">
        <v>50.910000000000004</v>
      </c>
      <c r="T1778" s="171">
        <v>50</v>
      </c>
      <c r="U1778" s="171">
        <v>51.14</v>
      </c>
      <c r="V1778" s="171">
        <v>59.050000000000004</v>
      </c>
      <c r="W1778" s="171">
        <v>52.43</v>
      </c>
      <c r="X1778" s="171">
        <v>54.94</v>
      </c>
      <c r="Y1778" s="171">
        <v>57.93</v>
      </c>
      <c r="Z1778" s="171">
        <v>49.5</v>
      </c>
      <c r="AA1778" s="171">
        <v>45.02</v>
      </c>
      <c r="AB1778" s="171">
        <v>59.050000000000004</v>
      </c>
      <c r="AC1778" s="171">
        <v>47.44</v>
      </c>
      <c r="AD1778" s="171">
        <v>42.19</v>
      </c>
      <c r="AF1778" s="171">
        <f t="shared" si="83"/>
        <v>2013</v>
      </c>
      <c r="AG1778" s="171">
        <f t="shared" si="84"/>
        <v>7</v>
      </c>
      <c r="AH1778" s="700">
        <f>SUMIF(D$3:$AA1778,"&lt;="&amp;$AH$1)/COUNTIF(D$3:$AA1778,"&lt;="&amp;$AH$1)</f>
        <v>31.081820667031252</v>
      </c>
    </row>
    <row r="1779" spans="2:34" x14ac:dyDescent="0.25">
      <c r="B1779" s="910">
        <v>41317</v>
      </c>
      <c r="C1779" s="581">
        <f t="shared" si="82"/>
        <v>2</v>
      </c>
      <c r="D1779" s="171">
        <v>44.94</v>
      </c>
      <c r="E1779" s="171">
        <v>39.96</v>
      </c>
      <c r="F1779" s="171">
        <v>38.83</v>
      </c>
      <c r="G1779" s="171">
        <v>41.84</v>
      </c>
      <c r="H1779" s="171">
        <v>40</v>
      </c>
      <c r="I1779" s="171">
        <v>40.020000000000003</v>
      </c>
      <c r="J1779" s="171">
        <v>48.03</v>
      </c>
      <c r="K1779" s="171">
        <v>64.010000000000005</v>
      </c>
      <c r="L1779" s="171">
        <v>61.730000000000004</v>
      </c>
      <c r="M1779" s="171">
        <v>62.93</v>
      </c>
      <c r="N1779" s="171">
        <v>61.75</v>
      </c>
      <c r="O1779" s="171">
        <v>61.28</v>
      </c>
      <c r="P1779" s="171">
        <v>56</v>
      </c>
      <c r="Q1779" s="171">
        <v>53</v>
      </c>
      <c r="R1779" s="171">
        <v>50</v>
      </c>
      <c r="S1779" s="171">
        <v>49.94</v>
      </c>
      <c r="T1779" s="171">
        <v>51.83</v>
      </c>
      <c r="U1779" s="171">
        <v>56.08</v>
      </c>
      <c r="V1779" s="171">
        <v>79.08</v>
      </c>
      <c r="W1779" s="171">
        <v>67.91</v>
      </c>
      <c r="X1779" s="171">
        <v>56.96</v>
      </c>
      <c r="Y1779" s="171">
        <v>54.51</v>
      </c>
      <c r="Z1779" s="171">
        <v>54.94</v>
      </c>
      <c r="AA1779" s="171">
        <v>53.6</v>
      </c>
      <c r="AB1779" s="171">
        <v>79.08</v>
      </c>
      <c r="AC1779" s="171">
        <v>49.94</v>
      </c>
      <c r="AD1779" s="171">
        <v>48.14</v>
      </c>
      <c r="AF1779" s="171">
        <f t="shared" si="83"/>
        <v>2013</v>
      </c>
      <c r="AG1779" s="171">
        <f t="shared" si="84"/>
        <v>5</v>
      </c>
      <c r="AH1779" s="700">
        <f>SUMIF(D$3:$AA1779,"&lt;="&amp;$AH$1)/COUNTIF(D$3:$AA1779,"&lt;="&amp;$AH$1)</f>
        <v>31.084911525585937</v>
      </c>
    </row>
    <row r="1780" spans="2:34" x14ac:dyDescent="0.25">
      <c r="B1780" s="910">
        <v>41318</v>
      </c>
      <c r="C1780" s="581">
        <f t="shared" si="82"/>
        <v>2</v>
      </c>
      <c r="D1780" s="171">
        <v>48.410000000000004</v>
      </c>
      <c r="E1780" s="171">
        <v>46.300000000000004</v>
      </c>
      <c r="F1780" s="171">
        <v>45.04</v>
      </c>
      <c r="G1780" s="171">
        <v>43.81</v>
      </c>
      <c r="H1780" s="171">
        <v>40.78</v>
      </c>
      <c r="I1780" s="171">
        <v>41.84</v>
      </c>
      <c r="J1780" s="171">
        <v>46.57</v>
      </c>
      <c r="K1780" s="171">
        <v>63.07</v>
      </c>
      <c r="L1780" s="171">
        <v>64.349999999999994</v>
      </c>
      <c r="M1780" s="171">
        <v>63.63</v>
      </c>
      <c r="N1780" s="171">
        <v>65.77</v>
      </c>
      <c r="O1780" s="171">
        <v>62.410000000000004</v>
      </c>
      <c r="P1780" s="171">
        <v>59</v>
      </c>
      <c r="Q1780" s="171">
        <v>57.74</v>
      </c>
      <c r="R1780" s="171">
        <v>56.74</v>
      </c>
      <c r="S1780" s="171">
        <v>56.44</v>
      </c>
      <c r="T1780" s="171">
        <v>51.56</v>
      </c>
      <c r="U1780" s="171">
        <v>63.2</v>
      </c>
      <c r="V1780" s="171">
        <v>87.94</v>
      </c>
      <c r="W1780" s="171">
        <v>69.94</v>
      </c>
      <c r="X1780" s="171">
        <v>57.75</v>
      </c>
      <c r="Y1780" s="171">
        <v>53.54</v>
      </c>
      <c r="Z1780" s="171">
        <v>50</v>
      </c>
      <c r="AA1780" s="171">
        <v>50</v>
      </c>
      <c r="AB1780" s="171">
        <v>87.94</v>
      </c>
      <c r="AC1780" s="171">
        <v>50</v>
      </c>
      <c r="AD1780" s="171">
        <v>48.93</v>
      </c>
      <c r="AF1780" s="171">
        <f t="shared" si="83"/>
        <v>2013</v>
      </c>
      <c r="AG1780" s="171">
        <f t="shared" si="84"/>
        <v>2</v>
      </c>
      <c r="AH1780" s="700">
        <f>SUMIF(D$3:$AA1780,"&lt;="&amp;$AH$1)/COUNTIF(D$3:$AA1780,"&lt;="&amp;$AH$1)</f>
        <v>31.086308491017242</v>
      </c>
    </row>
    <row r="1781" spans="2:34" x14ac:dyDescent="0.25">
      <c r="B1781" s="910">
        <v>41319</v>
      </c>
      <c r="C1781" s="581">
        <f t="shared" si="82"/>
        <v>2</v>
      </c>
      <c r="D1781" s="171">
        <v>44.82</v>
      </c>
      <c r="E1781" s="171">
        <v>37.340000000000003</v>
      </c>
      <c r="F1781" s="171">
        <v>37.020000000000003</v>
      </c>
      <c r="G1781" s="171">
        <v>37.11</v>
      </c>
      <c r="H1781" s="171">
        <v>36.22</v>
      </c>
      <c r="I1781" s="171">
        <v>37.78</v>
      </c>
      <c r="J1781" s="171">
        <v>41.800000000000004</v>
      </c>
      <c r="K1781" s="171">
        <v>54.68</v>
      </c>
      <c r="L1781" s="171">
        <v>56.1</v>
      </c>
      <c r="M1781" s="171">
        <v>59.82</v>
      </c>
      <c r="N1781" s="171">
        <v>60.4</v>
      </c>
      <c r="O1781" s="171">
        <v>58.01</v>
      </c>
      <c r="P1781" s="171">
        <v>54.480000000000004</v>
      </c>
      <c r="Q1781" s="171">
        <v>54.480000000000004</v>
      </c>
      <c r="R1781" s="171">
        <v>49.94</v>
      </c>
      <c r="S1781" s="171">
        <v>49.94</v>
      </c>
      <c r="T1781" s="171">
        <v>50.99</v>
      </c>
      <c r="U1781" s="171">
        <v>56.06</v>
      </c>
      <c r="V1781" s="171">
        <v>64.94</v>
      </c>
      <c r="W1781" s="171">
        <v>64.34</v>
      </c>
      <c r="X1781" s="171">
        <v>61.940000000000005</v>
      </c>
      <c r="Y1781" s="171">
        <v>51.36</v>
      </c>
      <c r="Z1781" s="171">
        <v>56.43</v>
      </c>
      <c r="AA1781" s="171">
        <v>50</v>
      </c>
      <c r="AB1781" s="171">
        <v>64.94</v>
      </c>
      <c r="AC1781" s="171">
        <v>49.94</v>
      </c>
      <c r="AD1781" s="171">
        <v>45.54</v>
      </c>
      <c r="AF1781" s="171">
        <f t="shared" si="83"/>
        <v>2013</v>
      </c>
      <c r="AG1781" s="171">
        <f t="shared" si="84"/>
        <v>6</v>
      </c>
      <c r="AH1781" s="700">
        <f>SUMIF(D$3:$AA1781,"&lt;="&amp;$AH$1)/COUNTIF(D$3:$AA1781,"&lt;="&amp;$AH$1)</f>
        <v>31.089091157391699</v>
      </c>
    </row>
    <row r="1782" spans="2:34" x14ac:dyDescent="0.25">
      <c r="B1782" s="910">
        <v>41320</v>
      </c>
      <c r="C1782" s="581">
        <f t="shared" si="82"/>
        <v>2</v>
      </c>
      <c r="D1782" s="171">
        <v>46.13</v>
      </c>
      <c r="E1782" s="171">
        <v>44.87</v>
      </c>
      <c r="F1782" s="171">
        <v>40.86</v>
      </c>
      <c r="G1782" s="171">
        <v>38.700000000000003</v>
      </c>
      <c r="H1782" s="171">
        <v>37.700000000000003</v>
      </c>
      <c r="I1782" s="171">
        <v>39.56</v>
      </c>
      <c r="J1782" s="171">
        <v>44.6</v>
      </c>
      <c r="K1782" s="171">
        <v>60.480000000000004</v>
      </c>
      <c r="L1782" s="171">
        <v>62.56</v>
      </c>
      <c r="M1782" s="171">
        <v>64.98</v>
      </c>
      <c r="N1782" s="171">
        <v>64.010000000000005</v>
      </c>
      <c r="O1782" s="171">
        <v>61.64</v>
      </c>
      <c r="P1782" s="171">
        <v>62.61</v>
      </c>
      <c r="Q1782" s="171">
        <v>59.24</v>
      </c>
      <c r="R1782" s="171">
        <v>56.050000000000004</v>
      </c>
      <c r="S1782" s="171">
        <v>53.09</v>
      </c>
      <c r="T1782" s="171">
        <v>50.910000000000004</v>
      </c>
      <c r="U1782" s="171">
        <v>55.09</v>
      </c>
      <c r="V1782" s="171">
        <v>64.930000000000007</v>
      </c>
      <c r="W1782" s="171">
        <v>59.410000000000004</v>
      </c>
      <c r="X1782" s="171">
        <v>59.17</v>
      </c>
      <c r="Y1782" s="171">
        <v>51.31</v>
      </c>
      <c r="Z1782" s="171">
        <v>54.28</v>
      </c>
      <c r="AA1782" s="171">
        <v>53.1</v>
      </c>
      <c r="AB1782" s="171">
        <v>64.98</v>
      </c>
      <c r="AC1782" s="171">
        <v>50.910000000000004</v>
      </c>
      <c r="AD1782" s="171">
        <v>47.56</v>
      </c>
      <c r="AF1782" s="171">
        <f t="shared" si="83"/>
        <v>2013</v>
      </c>
      <c r="AG1782" s="171">
        <f t="shared" si="84"/>
        <v>4</v>
      </c>
      <c r="AH1782" s="700">
        <f>SUMIF(D$3:$AA1782,"&lt;="&amp;$AH$1)/COUNTIF(D$3:$AA1782,"&lt;="&amp;$AH$1)</f>
        <v>31.091307256468117</v>
      </c>
    </row>
    <row r="1783" spans="2:34" x14ac:dyDescent="0.25">
      <c r="B1783" s="910">
        <v>41323</v>
      </c>
      <c r="C1783" s="581">
        <f t="shared" si="82"/>
        <v>2</v>
      </c>
      <c r="D1783" s="171">
        <v>46.32</v>
      </c>
      <c r="E1783" s="171">
        <v>40.840000000000003</v>
      </c>
      <c r="F1783" s="171">
        <v>37.020000000000003</v>
      </c>
      <c r="G1783" s="171">
        <v>36.19</v>
      </c>
      <c r="H1783" s="171">
        <v>37.44</v>
      </c>
      <c r="I1783" s="171">
        <v>42.85</v>
      </c>
      <c r="J1783" s="171">
        <v>57.61</v>
      </c>
      <c r="K1783" s="171">
        <v>84.36</v>
      </c>
      <c r="L1783" s="171">
        <v>67.8</v>
      </c>
      <c r="M1783" s="171">
        <v>63.190000000000005</v>
      </c>
      <c r="N1783" s="171">
        <v>61.99</v>
      </c>
      <c r="O1783" s="171">
        <v>57.980000000000004</v>
      </c>
      <c r="P1783" s="171">
        <v>55.92</v>
      </c>
      <c r="Q1783" s="171">
        <v>55.29</v>
      </c>
      <c r="R1783" s="171">
        <v>53.18</v>
      </c>
      <c r="S1783" s="171">
        <v>53.6</v>
      </c>
      <c r="T1783" s="171">
        <v>51.19</v>
      </c>
      <c r="U1783" s="171">
        <v>57.67</v>
      </c>
      <c r="V1783" s="171">
        <v>76.13</v>
      </c>
      <c r="W1783" s="171">
        <v>74.210000000000008</v>
      </c>
      <c r="X1783" s="171">
        <v>56.68</v>
      </c>
      <c r="Y1783" s="171">
        <v>52.43</v>
      </c>
      <c r="Z1783" s="171">
        <v>56.9</v>
      </c>
      <c r="AA1783" s="171">
        <v>53.6</v>
      </c>
      <c r="AB1783" s="171">
        <v>84.36</v>
      </c>
      <c r="AC1783" s="171">
        <v>51.19</v>
      </c>
      <c r="AD1783" s="171">
        <v>50.19</v>
      </c>
      <c r="AF1783" s="171">
        <f t="shared" si="83"/>
        <v>2013</v>
      </c>
      <c r="AG1783" s="171">
        <f t="shared" si="84"/>
        <v>4</v>
      </c>
      <c r="AH1783" s="700">
        <f>SUMIF(D$3:$AA1783,"&lt;="&amp;$AH$1)/COUNTIF(D$3:$AA1783,"&lt;="&amp;$AH$1)</f>
        <v>31.093158397597865</v>
      </c>
    </row>
    <row r="1784" spans="2:34" x14ac:dyDescent="0.25">
      <c r="B1784" s="910">
        <v>41324</v>
      </c>
      <c r="C1784" s="581">
        <f t="shared" si="82"/>
        <v>2</v>
      </c>
      <c r="D1784" s="171">
        <v>51.78</v>
      </c>
      <c r="E1784" s="171">
        <v>47.77</v>
      </c>
      <c r="F1784" s="171">
        <v>45</v>
      </c>
      <c r="G1784" s="171">
        <v>44.57</v>
      </c>
      <c r="H1784" s="171">
        <v>40.46</v>
      </c>
      <c r="I1784" s="171">
        <v>40</v>
      </c>
      <c r="J1784" s="171">
        <v>47.21</v>
      </c>
      <c r="K1784" s="171">
        <v>56.2</v>
      </c>
      <c r="L1784" s="171">
        <v>57.06</v>
      </c>
      <c r="M1784" s="171">
        <v>64.94</v>
      </c>
      <c r="N1784" s="171">
        <v>67.48</v>
      </c>
      <c r="O1784" s="171">
        <v>65.27</v>
      </c>
      <c r="P1784" s="171">
        <v>59.89</v>
      </c>
      <c r="Q1784" s="171">
        <v>59.160000000000004</v>
      </c>
      <c r="R1784" s="171">
        <v>57.51</v>
      </c>
      <c r="S1784" s="171">
        <v>55.27</v>
      </c>
      <c r="T1784" s="171">
        <v>52.49</v>
      </c>
      <c r="U1784" s="171">
        <v>57.03</v>
      </c>
      <c r="V1784" s="171">
        <v>68</v>
      </c>
      <c r="W1784" s="171">
        <v>58.11</v>
      </c>
      <c r="X1784" s="171">
        <v>58.89</v>
      </c>
      <c r="Y1784" s="171">
        <v>56.2</v>
      </c>
      <c r="Z1784" s="171">
        <v>50.58</v>
      </c>
      <c r="AA1784" s="171">
        <v>51.15</v>
      </c>
      <c r="AB1784" s="171">
        <v>68</v>
      </c>
      <c r="AC1784" s="171">
        <v>50.58</v>
      </c>
      <c r="AD1784" s="171">
        <v>49.15</v>
      </c>
      <c r="AF1784" s="171">
        <f t="shared" si="83"/>
        <v>2013</v>
      </c>
      <c r="AG1784" s="171">
        <f t="shared" si="84"/>
        <v>2</v>
      </c>
      <c r="AH1784" s="700">
        <f>SUMIF(D$3:$AA1784,"&lt;="&amp;$AH$1)/COUNTIF(D$3:$AA1784,"&lt;="&amp;$AH$1)</f>
        <v>31.09440532241566</v>
      </c>
    </row>
    <row r="1785" spans="2:34" x14ac:dyDescent="0.25">
      <c r="B1785" s="910">
        <v>41325</v>
      </c>
      <c r="C1785" s="581">
        <f t="shared" si="82"/>
        <v>2</v>
      </c>
      <c r="D1785" s="171">
        <v>49.81</v>
      </c>
      <c r="E1785" s="171">
        <v>44.68</v>
      </c>
      <c r="F1785" s="171">
        <v>43.18</v>
      </c>
      <c r="G1785" s="171">
        <v>40.410000000000004</v>
      </c>
      <c r="H1785" s="171">
        <v>40.200000000000003</v>
      </c>
      <c r="I1785" s="171">
        <v>39.93</v>
      </c>
      <c r="J1785" s="171">
        <v>47</v>
      </c>
      <c r="K1785" s="171">
        <v>57.410000000000004</v>
      </c>
      <c r="L1785" s="171">
        <v>55.79</v>
      </c>
      <c r="M1785" s="171">
        <v>65.2</v>
      </c>
      <c r="N1785" s="171">
        <v>67.489999999999995</v>
      </c>
      <c r="O1785" s="171">
        <v>62.300000000000004</v>
      </c>
      <c r="P1785" s="171">
        <v>56.06</v>
      </c>
      <c r="Q1785" s="171">
        <v>53.85</v>
      </c>
      <c r="R1785" s="171">
        <v>51.84</v>
      </c>
      <c r="S1785" s="171">
        <v>48.660000000000004</v>
      </c>
      <c r="T1785" s="171">
        <v>47.29</v>
      </c>
      <c r="U1785" s="171">
        <v>53.38</v>
      </c>
      <c r="V1785" s="171">
        <v>67.510000000000005</v>
      </c>
      <c r="W1785" s="171">
        <v>67.930000000000007</v>
      </c>
      <c r="X1785" s="171">
        <v>59.160000000000004</v>
      </c>
      <c r="Y1785" s="171">
        <v>50.910000000000004</v>
      </c>
      <c r="Z1785" s="171">
        <v>50</v>
      </c>
      <c r="AA1785" s="171">
        <v>50.13</v>
      </c>
      <c r="AB1785" s="171">
        <v>67.930000000000007</v>
      </c>
      <c r="AC1785" s="171">
        <v>47.29</v>
      </c>
      <c r="AD1785" s="171">
        <v>47.74</v>
      </c>
      <c r="AF1785" s="171">
        <f t="shared" si="83"/>
        <v>2013</v>
      </c>
      <c r="AG1785" s="171">
        <f t="shared" si="84"/>
        <v>3</v>
      </c>
      <c r="AH1785" s="700">
        <f>SUMIF(D$3:$AA1785,"&lt;="&amp;$AH$1)/COUNTIF(D$3:$AA1785,"&lt;="&amp;$AH$1)</f>
        <v>31.096264838313651</v>
      </c>
    </row>
    <row r="1786" spans="2:34" x14ac:dyDescent="0.25">
      <c r="B1786" s="910">
        <v>41326</v>
      </c>
      <c r="C1786" s="581">
        <f t="shared" si="82"/>
        <v>2</v>
      </c>
      <c r="D1786" s="171">
        <v>48.57</v>
      </c>
      <c r="E1786" s="171">
        <v>45.76</v>
      </c>
      <c r="F1786" s="171">
        <v>43.74</v>
      </c>
      <c r="G1786" s="171">
        <v>41.62</v>
      </c>
      <c r="H1786" s="171">
        <v>39.6</v>
      </c>
      <c r="I1786" s="171">
        <v>42.39</v>
      </c>
      <c r="J1786" s="171">
        <v>50.01</v>
      </c>
      <c r="K1786" s="171">
        <v>62.690000000000005</v>
      </c>
      <c r="L1786" s="171">
        <v>67.040000000000006</v>
      </c>
      <c r="M1786" s="171">
        <v>63.53</v>
      </c>
      <c r="N1786" s="171">
        <v>63.300000000000004</v>
      </c>
      <c r="O1786" s="171">
        <v>61.18</v>
      </c>
      <c r="P1786" s="171">
        <v>57.27</v>
      </c>
      <c r="Q1786" s="171">
        <v>56.9</v>
      </c>
      <c r="R1786" s="171">
        <v>53.370000000000005</v>
      </c>
      <c r="S1786" s="171">
        <v>49.94</v>
      </c>
      <c r="T1786" s="171">
        <v>48.44</v>
      </c>
      <c r="U1786" s="171">
        <v>56.730000000000004</v>
      </c>
      <c r="V1786" s="171">
        <v>83.67</v>
      </c>
      <c r="W1786" s="171">
        <v>69.180000000000007</v>
      </c>
      <c r="X1786" s="171">
        <v>59.63</v>
      </c>
      <c r="Y1786" s="171">
        <v>55.300000000000004</v>
      </c>
      <c r="Z1786" s="171">
        <v>53.85</v>
      </c>
      <c r="AA1786" s="171">
        <v>51.53</v>
      </c>
      <c r="AB1786" s="171">
        <v>83.67</v>
      </c>
      <c r="AC1786" s="171">
        <v>48.44</v>
      </c>
      <c r="AD1786" s="171">
        <v>49.56</v>
      </c>
      <c r="AF1786" s="171">
        <f t="shared" si="83"/>
        <v>2013</v>
      </c>
      <c r="AG1786" s="171">
        <f t="shared" si="84"/>
        <v>3</v>
      </c>
      <c r="AH1786" s="700">
        <f>SUMIF(D$3:$AA1786,"&lt;="&amp;$AH$1)/COUNTIF(D$3:$AA1786,"&lt;="&amp;$AH$1)</f>
        <v>31.09833299229258</v>
      </c>
    </row>
    <row r="1787" spans="2:34" x14ac:dyDescent="0.25">
      <c r="B1787" s="910">
        <v>41327</v>
      </c>
      <c r="C1787" s="581">
        <f t="shared" si="82"/>
        <v>2</v>
      </c>
      <c r="D1787" s="171">
        <v>48.410000000000004</v>
      </c>
      <c r="E1787" s="171">
        <v>47.37</v>
      </c>
      <c r="F1787" s="171">
        <v>45.12</v>
      </c>
      <c r="G1787" s="171">
        <v>44.21</v>
      </c>
      <c r="H1787" s="171">
        <v>40.800000000000004</v>
      </c>
      <c r="I1787" s="171">
        <v>40.380000000000003</v>
      </c>
      <c r="J1787" s="171">
        <v>47.31</v>
      </c>
      <c r="K1787" s="171">
        <v>59.4</v>
      </c>
      <c r="L1787" s="171">
        <v>59.85</v>
      </c>
      <c r="M1787" s="171">
        <v>63.43</v>
      </c>
      <c r="N1787" s="171">
        <v>62.53</v>
      </c>
      <c r="O1787" s="171">
        <v>59.7</v>
      </c>
      <c r="P1787" s="171">
        <v>54.38</v>
      </c>
      <c r="Q1787" s="171">
        <v>51.69</v>
      </c>
      <c r="R1787" s="171">
        <v>54.53</v>
      </c>
      <c r="S1787" s="171">
        <v>48.38</v>
      </c>
      <c r="T1787" s="171">
        <v>49.480000000000004</v>
      </c>
      <c r="U1787" s="171">
        <v>56.92</v>
      </c>
      <c r="V1787" s="171">
        <v>64.3</v>
      </c>
      <c r="W1787" s="171">
        <v>56.9</v>
      </c>
      <c r="X1787" s="171">
        <v>61.26</v>
      </c>
      <c r="Y1787" s="171">
        <v>55.6</v>
      </c>
      <c r="Z1787" s="171">
        <v>52.44</v>
      </c>
      <c r="AA1787" s="171">
        <v>49.94</v>
      </c>
      <c r="AB1787" s="171">
        <v>64.3</v>
      </c>
      <c r="AC1787" s="171">
        <v>48.38</v>
      </c>
      <c r="AD1787" s="171">
        <v>49.35</v>
      </c>
      <c r="AF1787" s="171">
        <f t="shared" si="83"/>
        <v>2013</v>
      </c>
      <c r="AG1787" s="171">
        <f t="shared" si="84"/>
        <v>2</v>
      </c>
      <c r="AH1787" s="700">
        <f>SUMIF(D$3:$AA1787,"&lt;="&amp;$AH$1)/COUNTIF(D$3:$AA1787,"&lt;="&amp;$AH$1)</f>
        <v>31.099627634181374</v>
      </c>
    </row>
    <row r="1788" spans="2:34" x14ac:dyDescent="0.25">
      <c r="B1788" s="910">
        <v>41330</v>
      </c>
      <c r="C1788" s="581">
        <f t="shared" si="82"/>
        <v>2</v>
      </c>
      <c r="D1788" s="171">
        <v>46.25</v>
      </c>
      <c r="E1788" s="171">
        <v>45.7</v>
      </c>
      <c r="F1788" s="171">
        <v>44.96</v>
      </c>
      <c r="G1788" s="171">
        <v>44.93</v>
      </c>
      <c r="H1788" s="171">
        <v>44.04</v>
      </c>
      <c r="I1788" s="171">
        <v>42.37</v>
      </c>
      <c r="J1788" s="171">
        <v>51.660000000000004</v>
      </c>
      <c r="K1788" s="171">
        <v>63.03</v>
      </c>
      <c r="L1788" s="171">
        <v>68.7</v>
      </c>
      <c r="M1788" s="171">
        <v>68.67</v>
      </c>
      <c r="N1788" s="171">
        <v>69.23</v>
      </c>
      <c r="O1788" s="171">
        <v>71.100000000000009</v>
      </c>
      <c r="P1788" s="171">
        <v>66.489999999999995</v>
      </c>
      <c r="Q1788" s="171">
        <v>63.78</v>
      </c>
      <c r="R1788" s="171">
        <v>56.94</v>
      </c>
      <c r="S1788" s="171">
        <v>55.65</v>
      </c>
      <c r="T1788" s="171">
        <v>52.29</v>
      </c>
      <c r="U1788" s="171">
        <v>59.53</v>
      </c>
      <c r="V1788" s="171">
        <v>69</v>
      </c>
      <c r="W1788" s="171">
        <v>58.81</v>
      </c>
      <c r="X1788" s="171">
        <v>55.97</v>
      </c>
      <c r="Y1788" s="171">
        <v>58.64</v>
      </c>
      <c r="Z1788" s="171">
        <v>53.300000000000004</v>
      </c>
      <c r="AA1788" s="171">
        <v>50</v>
      </c>
      <c r="AB1788" s="171">
        <v>71.100000000000009</v>
      </c>
      <c r="AC1788" s="171">
        <v>52.29</v>
      </c>
      <c r="AD1788" s="171">
        <v>50.07</v>
      </c>
      <c r="AF1788" s="171">
        <f t="shared" si="83"/>
        <v>2013</v>
      </c>
      <c r="AG1788" s="171">
        <f t="shared" si="84"/>
        <v>1</v>
      </c>
      <c r="AH1788" s="700">
        <f>SUMIF(D$3:$AA1788,"&lt;="&amp;$AH$1)/COUNTIF(D$3:$AA1788,"&lt;="&amp;$AH$1)</f>
        <v>31.100396208401627</v>
      </c>
    </row>
    <row r="1789" spans="2:34" x14ac:dyDescent="0.25">
      <c r="B1789" s="910">
        <v>41331</v>
      </c>
      <c r="C1789" s="581">
        <f t="shared" si="82"/>
        <v>2</v>
      </c>
      <c r="D1789" s="171">
        <v>42</v>
      </c>
      <c r="E1789" s="171">
        <v>39.96</v>
      </c>
      <c r="F1789" s="171">
        <v>38.68</v>
      </c>
      <c r="G1789" s="171">
        <v>38.54</v>
      </c>
      <c r="H1789" s="171">
        <v>38.800000000000004</v>
      </c>
      <c r="I1789" s="171">
        <v>41.19</v>
      </c>
      <c r="J1789" s="171">
        <v>52.1</v>
      </c>
      <c r="K1789" s="171">
        <v>62.84</v>
      </c>
      <c r="L1789" s="171">
        <v>63.81</v>
      </c>
      <c r="M1789" s="171">
        <v>67.36</v>
      </c>
      <c r="N1789" s="171">
        <v>69.91</v>
      </c>
      <c r="O1789" s="171">
        <v>71.010000000000005</v>
      </c>
      <c r="P1789" s="171">
        <v>65</v>
      </c>
      <c r="Q1789" s="171">
        <v>64.099999999999994</v>
      </c>
      <c r="R1789" s="171">
        <v>60.17</v>
      </c>
      <c r="S1789" s="171">
        <v>57.42</v>
      </c>
      <c r="T1789" s="171">
        <v>53.800000000000004</v>
      </c>
      <c r="U1789" s="171">
        <v>60.02</v>
      </c>
      <c r="V1789" s="171">
        <v>84.77</v>
      </c>
      <c r="W1789" s="171">
        <v>67.91</v>
      </c>
      <c r="X1789" s="171">
        <v>64.12</v>
      </c>
      <c r="Y1789" s="171">
        <v>53.92</v>
      </c>
      <c r="Z1789" s="171">
        <v>51.56</v>
      </c>
      <c r="AA1789" s="171">
        <v>44.94</v>
      </c>
      <c r="AB1789" s="171">
        <v>84.77</v>
      </c>
      <c r="AC1789" s="171">
        <v>51.56</v>
      </c>
      <c r="AD1789" s="171">
        <v>47.39</v>
      </c>
      <c r="AF1789" s="171">
        <f t="shared" si="83"/>
        <v>2013</v>
      </c>
      <c r="AG1789" s="171">
        <f t="shared" si="84"/>
        <v>6</v>
      </c>
      <c r="AH1789" s="700">
        <f>SUMIF(D$3:$AA1789,"&lt;="&amp;$AH$1)/COUNTIF(D$3:$AA1789,"&lt;="&amp;$AH$1)</f>
        <v>31.103979550102348</v>
      </c>
    </row>
    <row r="1790" spans="2:34" x14ac:dyDescent="0.25">
      <c r="B1790" s="910">
        <v>41332</v>
      </c>
      <c r="C1790" s="581">
        <f t="shared" si="82"/>
        <v>2</v>
      </c>
      <c r="D1790" s="171">
        <v>43.36</v>
      </c>
      <c r="E1790" s="171">
        <v>44.21</v>
      </c>
      <c r="F1790" s="171">
        <v>43.36</v>
      </c>
      <c r="G1790" s="171">
        <v>42.44</v>
      </c>
      <c r="H1790" s="171">
        <v>41.59</v>
      </c>
      <c r="I1790" s="171">
        <v>42.160000000000004</v>
      </c>
      <c r="J1790" s="171">
        <v>55.550000000000004</v>
      </c>
      <c r="K1790" s="171">
        <v>66.34</v>
      </c>
      <c r="L1790" s="171">
        <v>71.960000000000008</v>
      </c>
      <c r="M1790" s="171">
        <v>71.820000000000007</v>
      </c>
      <c r="N1790" s="171">
        <v>72.12</v>
      </c>
      <c r="O1790" s="171">
        <v>68.05</v>
      </c>
      <c r="P1790" s="171">
        <v>62.050000000000004</v>
      </c>
      <c r="Q1790" s="171">
        <v>63</v>
      </c>
      <c r="R1790" s="171">
        <v>62.13</v>
      </c>
      <c r="S1790" s="171">
        <v>59.72</v>
      </c>
      <c r="T1790" s="171">
        <v>56.28</v>
      </c>
      <c r="U1790" s="171">
        <v>62.02</v>
      </c>
      <c r="V1790" s="171">
        <v>99.9</v>
      </c>
      <c r="W1790" s="171">
        <v>98.11</v>
      </c>
      <c r="X1790" s="171">
        <v>66.48</v>
      </c>
      <c r="Y1790" s="171">
        <v>56.27</v>
      </c>
      <c r="Z1790" s="171">
        <v>58.43</v>
      </c>
      <c r="AA1790" s="171">
        <v>52.15</v>
      </c>
      <c r="AB1790" s="171">
        <v>99.9</v>
      </c>
      <c r="AC1790" s="171">
        <v>56.27</v>
      </c>
      <c r="AD1790" s="171">
        <v>51.03</v>
      </c>
      <c r="AF1790" s="171">
        <f t="shared" si="83"/>
        <v>2013</v>
      </c>
      <c r="AG1790" s="171">
        <f t="shared" si="84"/>
        <v>3</v>
      </c>
      <c r="AH1790" s="700">
        <f>SUMIF(D$3:$AA1790,"&lt;="&amp;$AH$1)/COUNTIF(D$3:$AA1790,"&lt;="&amp;$AH$1)</f>
        <v>31.106220268520513</v>
      </c>
    </row>
    <row r="1791" spans="2:34" x14ac:dyDescent="0.25">
      <c r="B1791" s="910">
        <v>41333</v>
      </c>
      <c r="C1791" s="581">
        <f t="shared" si="82"/>
        <v>2</v>
      </c>
      <c r="D1791" s="171">
        <v>50</v>
      </c>
      <c r="E1791" s="171">
        <v>47.44</v>
      </c>
      <c r="F1791" s="171">
        <v>45.95</v>
      </c>
      <c r="G1791" s="171">
        <v>41.64</v>
      </c>
      <c r="H1791" s="171">
        <v>40.25</v>
      </c>
      <c r="I1791" s="171">
        <v>41.09</v>
      </c>
      <c r="J1791" s="171">
        <v>57.94</v>
      </c>
      <c r="K1791" s="171">
        <v>58.1</v>
      </c>
      <c r="L1791" s="171">
        <v>69.989999999999995</v>
      </c>
      <c r="M1791" s="171">
        <v>68</v>
      </c>
      <c r="N1791" s="171">
        <v>65.84</v>
      </c>
      <c r="O1791" s="171">
        <v>60.36</v>
      </c>
      <c r="P1791" s="171">
        <v>57.97</v>
      </c>
      <c r="Q1791" s="171">
        <v>57.92</v>
      </c>
      <c r="R1791" s="171">
        <v>55.15</v>
      </c>
      <c r="S1791" s="171">
        <v>53.36</v>
      </c>
      <c r="T1791" s="171">
        <v>55</v>
      </c>
      <c r="U1791" s="171">
        <v>57.94</v>
      </c>
      <c r="V1791" s="171">
        <v>72.83</v>
      </c>
      <c r="W1791" s="171">
        <v>71.710000000000008</v>
      </c>
      <c r="X1791" s="171">
        <v>61.620000000000005</v>
      </c>
      <c r="Y1791" s="171">
        <v>55.97</v>
      </c>
      <c r="Z1791" s="171">
        <v>57.99</v>
      </c>
      <c r="AA1791" s="171">
        <v>54</v>
      </c>
      <c r="AB1791" s="171">
        <v>72.83</v>
      </c>
      <c r="AC1791" s="171">
        <v>53.36</v>
      </c>
      <c r="AD1791" s="171">
        <v>51</v>
      </c>
      <c r="AF1791" s="171">
        <f t="shared" si="83"/>
        <v>2013</v>
      </c>
      <c r="AG1791" s="171">
        <f t="shared" si="84"/>
        <v>3</v>
      </c>
      <c r="AH1791" s="700">
        <f>SUMIF(D$3:$AA1791,"&lt;="&amp;$AH$1)/COUNTIF(D$3:$AA1791,"&lt;="&amp;$AH$1)</f>
        <v>31.108241346416019</v>
      </c>
    </row>
    <row r="1792" spans="2:34" x14ac:dyDescent="0.25">
      <c r="B1792" s="910">
        <v>41334</v>
      </c>
      <c r="C1792" s="581">
        <f t="shared" si="82"/>
        <v>3</v>
      </c>
      <c r="D1792" s="171">
        <v>52.44</v>
      </c>
      <c r="E1792" s="171">
        <v>51.550000000000004</v>
      </c>
      <c r="F1792" s="171">
        <v>50</v>
      </c>
      <c r="G1792" s="171">
        <v>44.75</v>
      </c>
      <c r="H1792" s="171">
        <v>42.43</v>
      </c>
      <c r="I1792" s="171">
        <v>41.230000000000004</v>
      </c>
      <c r="J1792" s="171">
        <v>49.93</v>
      </c>
      <c r="K1792" s="171">
        <v>61.940000000000005</v>
      </c>
      <c r="L1792" s="171">
        <v>61.64</v>
      </c>
      <c r="M1792" s="171">
        <v>71.69</v>
      </c>
      <c r="N1792" s="171">
        <v>67.09</v>
      </c>
      <c r="O1792" s="171">
        <v>64.94</v>
      </c>
      <c r="P1792" s="171">
        <v>61.120000000000005</v>
      </c>
      <c r="Q1792" s="171">
        <v>57.58</v>
      </c>
      <c r="R1792" s="171">
        <v>56.050000000000004</v>
      </c>
      <c r="S1792" s="171">
        <v>48.39</v>
      </c>
      <c r="T1792" s="171">
        <v>49.980000000000004</v>
      </c>
      <c r="U1792" s="171">
        <v>57.93</v>
      </c>
      <c r="V1792" s="171">
        <v>71.91</v>
      </c>
      <c r="W1792" s="171">
        <v>77.850000000000009</v>
      </c>
      <c r="X1792" s="171">
        <v>62.65</v>
      </c>
      <c r="Y1792" s="171">
        <v>52.44</v>
      </c>
      <c r="Z1792" s="171">
        <v>51</v>
      </c>
      <c r="AA1792" s="171">
        <v>50.120000000000005</v>
      </c>
      <c r="AB1792" s="171">
        <v>77.850000000000009</v>
      </c>
      <c r="AC1792" s="171">
        <v>48.39</v>
      </c>
      <c r="AD1792" s="171">
        <v>50.870000000000005</v>
      </c>
      <c r="AF1792" s="171">
        <f t="shared" si="83"/>
        <v>2013</v>
      </c>
      <c r="AG1792" s="171">
        <f t="shared" si="84"/>
        <v>2</v>
      </c>
      <c r="AH1792" s="700">
        <f>SUMIF(D$3:$AA1792,"&lt;="&amp;$AH$1)/COUNTIF(D$3:$AA1792,"&lt;="&amp;$AH$1)</f>
        <v>31.109702275514476</v>
      </c>
    </row>
    <row r="1793" spans="2:34" x14ac:dyDescent="0.25">
      <c r="B1793" s="910">
        <v>41337</v>
      </c>
      <c r="C1793" s="581">
        <f t="shared" si="82"/>
        <v>3</v>
      </c>
      <c r="D1793" s="171">
        <v>42.18</v>
      </c>
      <c r="E1793" s="171">
        <v>50</v>
      </c>
      <c r="F1793" s="171">
        <v>46.68</v>
      </c>
      <c r="G1793" s="171">
        <v>39.980000000000004</v>
      </c>
      <c r="H1793" s="171">
        <v>40</v>
      </c>
      <c r="I1793" s="171">
        <v>40.67</v>
      </c>
      <c r="J1793" s="171">
        <v>59.550000000000004</v>
      </c>
      <c r="K1793" s="171">
        <v>73.55</v>
      </c>
      <c r="L1793" s="171">
        <v>84.210000000000008</v>
      </c>
      <c r="M1793" s="171">
        <v>69.960000000000008</v>
      </c>
      <c r="N1793" s="171">
        <v>63.18</v>
      </c>
      <c r="O1793" s="171">
        <v>63.92</v>
      </c>
      <c r="P1793" s="171">
        <v>61.95</v>
      </c>
      <c r="Q1793" s="171">
        <v>53.57</v>
      </c>
      <c r="R1793" s="171">
        <v>51.14</v>
      </c>
      <c r="S1793" s="171">
        <v>46.17</v>
      </c>
      <c r="T1793" s="171">
        <v>47.63</v>
      </c>
      <c r="U1793" s="171">
        <v>54.25</v>
      </c>
      <c r="V1793" s="171">
        <v>77.41</v>
      </c>
      <c r="W1793" s="171">
        <v>65.349999999999994</v>
      </c>
      <c r="X1793" s="171">
        <v>51.44</v>
      </c>
      <c r="Y1793" s="171">
        <v>49.58</v>
      </c>
      <c r="Z1793" s="171">
        <v>51</v>
      </c>
      <c r="AA1793" s="171">
        <v>52.46</v>
      </c>
      <c r="AB1793" s="171">
        <v>84.210000000000008</v>
      </c>
      <c r="AC1793" s="171">
        <v>46.17</v>
      </c>
      <c r="AD1793" s="171">
        <v>49.76</v>
      </c>
      <c r="AF1793" s="171">
        <f t="shared" si="83"/>
        <v>2013</v>
      </c>
      <c r="AG1793" s="171">
        <f t="shared" si="84"/>
        <v>4</v>
      </c>
      <c r="AH1793" s="700">
        <f>SUMIF(D$3:$AA1793,"&lt;="&amp;$AH$1)/COUNTIF(D$3:$AA1793,"&lt;="&amp;$AH$1)</f>
        <v>31.112317123007863</v>
      </c>
    </row>
    <row r="1794" spans="2:34" x14ac:dyDescent="0.25">
      <c r="B1794" s="910">
        <v>41338</v>
      </c>
      <c r="C1794" s="581">
        <f t="shared" si="82"/>
        <v>3</v>
      </c>
      <c r="D1794" s="171">
        <v>66.599999999999994</v>
      </c>
      <c r="E1794" s="171">
        <v>55.27</v>
      </c>
      <c r="F1794" s="171">
        <v>49.94</v>
      </c>
      <c r="G1794" s="171">
        <v>49.93</v>
      </c>
      <c r="H1794" s="171">
        <v>40</v>
      </c>
      <c r="I1794" s="171">
        <v>47.44</v>
      </c>
      <c r="J1794" s="171">
        <v>60.78</v>
      </c>
      <c r="K1794" s="171">
        <v>60.86</v>
      </c>
      <c r="L1794" s="171">
        <v>70.960000000000008</v>
      </c>
      <c r="M1794" s="171">
        <v>77.33</v>
      </c>
      <c r="N1794" s="171">
        <v>67.960000000000008</v>
      </c>
      <c r="O1794" s="171">
        <v>67.349999999999994</v>
      </c>
      <c r="P1794" s="171">
        <v>60.53</v>
      </c>
      <c r="Q1794" s="171">
        <v>57.44</v>
      </c>
      <c r="R1794" s="171">
        <v>57.730000000000004</v>
      </c>
      <c r="S1794" s="171">
        <v>57.17</v>
      </c>
      <c r="T1794" s="171">
        <v>57.14</v>
      </c>
      <c r="U1794" s="171">
        <v>52.44</v>
      </c>
      <c r="V1794" s="171">
        <v>70.73</v>
      </c>
      <c r="W1794" s="171">
        <v>83.97</v>
      </c>
      <c r="X1794" s="171">
        <v>67.98</v>
      </c>
      <c r="Y1794" s="171">
        <v>57.11</v>
      </c>
      <c r="Z1794" s="171">
        <v>58.96</v>
      </c>
      <c r="AA1794" s="171">
        <v>53.59</v>
      </c>
      <c r="AB1794" s="171">
        <v>83.97</v>
      </c>
      <c r="AC1794" s="171">
        <v>52.44</v>
      </c>
      <c r="AD1794" s="171">
        <v>55.71</v>
      </c>
      <c r="AF1794" s="171">
        <f t="shared" si="83"/>
        <v>2013</v>
      </c>
      <c r="AG1794" s="171">
        <f t="shared" si="84"/>
        <v>1</v>
      </c>
      <c r="AH1794" s="700">
        <f>SUMIF(D$3:$AA1794,"&lt;="&amp;$AH$1)/COUNTIF(D$3:$AA1794,"&lt;="&amp;$AH$1)</f>
        <v>31.112922427296972</v>
      </c>
    </row>
    <row r="1795" spans="2:34" x14ac:dyDescent="0.25">
      <c r="B1795" s="910">
        <v>41339</v>
      </c>
      <c r="C1795" s="581">
        <f t="shared" si="82"/>
        <v>3</v>
      </c>
      <c r="D1795" s="171">
        <v>50.120000000000005</v>
      </c>
      <c r="E1795" s="171">
        <v>42.31</v>
      </c>
      <c r="F1795" s="171">
        <v>39.050000000000004</v>
      </c>
      <c r="G1795" s="171">
        <v>38.25</v>
      </c>
      <c r="H1795" s="171">
        <v>38.89</v>
      </c>
      <c r="I1795" s="171">
        <v>39.64</v>
      </c>
      <c r="J1795" s="171">
        <v>50.02</v>
      </c>
      <c r="K1795" s="171">
        <v>64.62</v>
      </c>
      <c r="L1795" s="171">
        <v>72.88</v>
      </c>
      <c r="M1795" s="171">
        <v>68.78</v>
      </c>
      <c r="N1795" s="171">
        <v>69.8</v>
      </c>
      <c r="O1795" s="171">
        <v>68.36</v>
      </c>
      <c r="P1795" s="171">
        <v>55.4</v>
      </c>
      <c r="Q1795" s="171">
        <v>54.09</v>
      </c>
      <c r="R1795" s="171">
        <v>49.99</v>
      </c>
      <c r="S1795" s="171">
        <v>48.39</v>
      </c>
      <c r="T1795" s="171">
        <v>47.160000000000004</v>
      </c>
      <c r="U1795" s="171">
        <v>60.26</v>
      </c>
      <c r="V1795" s="171">
        <v>87.05</v>
      </c>
      <c r="W1795" s="171">
        <v>95.08</v>
      </c>
      <c r="X1795" s="171">
        <v>54.94</v>
      </c>
      <c r="Y1795" s="171">
        <v>45</v>
      </c>
      <c r="Z1795" s="171">
        <v>44.94</v>
      </c>
      <c r="AA1795" s="171">
        <v>50.660000000000004</v>
      </c>
      <c r="AB1795" s="171">
        <v>95.08</v>
      </c>
      <c r="AC1795" s="171">
        <v>44.94</v>
      </c>
      <c r="AD1795" s="171">
        <v>46.54</v>
      </c>
      <c r="AF1795" s="171">
        <f t="shared" si="83"/>
        <v>2013</v>
      </c>
      <c r="AG1795" s="171">
        <f t="shared" si="84"/>
        <v>5</v>
      </c>
      <c r="AH1795" s="700">
        <f>SUMIF(D$3:$AA1795,"&lt;="&amp;$AH$1)/COUNTIF(D$3:$AA1795,"&lt;="&amp;$AH$1)</f>
        <v>31.11582107843147</v>
      </c>
    </row>
    <row r="1796" spans="2:34" x14ac:dyDescent="0.25">
      <c r="B1796" s="910">
        <v>41340</v>
      </c>
      <c r="C1796" s="581">
        <f t="shared" ref="C1796:C1859" si="85">MONTH(B1796)</f>
        <v>3</v>
      </c>
      <c r="D1796" s="171">
        <v>44.99</v>
      </c>
      <c r="E1796" s="171">
        <v>44.96</v>
      </c>
      <c r="F1796" s="171">
        <v>40</v>
      </c>
      <c r="G1796" s="171">
        <v>39.72</v>
      </c>
      <c r="H1796" s="171">
        <v>39.44</v>
      </c>
      <c r="I1796" s="171">
        <v>39.410000000000004</v>
      </c>
      <c r="J1796" s="171">
        <v>45</v>
      </c>
      <c r="K1796" s="171">
        <v>53.56</v>
      </c>
      <c r="L1796" s="171">
        <v>53.19</v>
      </c>
      <c r="M1796" s="171">
        <v>63.21</v>
      </c>
      <c r="N1796" s="171">
        <v>60.910000000000004</v>
      </c>
      <c r="O1796" s="171">
        <v>64.19</v>
      </c>
      <c r="P1796" s="171">
        <v>63.95</v>
      </c>
      <c r="Q1796" s="171">
        <v>60.97</v>
      </c>
      <c r="R1796" s="171">
        <v>50.31</v>
      </c>
      <c r="S1796" s="171">
        <v>52.06</v>
      </c>
      <c r="T1796" s="171">
        <v>50.29</v>
      </c>
      <c r="U1796" s="171">
        <v>50.29</v>
      </c>
      <c r="V1796" s="171">
        <v>57.29</v>
      </c>
      <c r="W1796" s="171">
        <v>61.31</v>
      </c>
      <c r="X1796" s="171">
        <v>57.660000000000004</v>
      </c>
      <c r="Y1796" s="171">
        <v>52.29</v>
      </c>
      <c r="Z1796" s="171">
        <v>52.29</v>
      </c>
      <c r="AA1796" s="171">
        <v>47.44</v>
      </c>
      <c r="AB1796" s="171">
        <v>64.19</v>
      </c>
      <c r="AC1796" s="171">
        <v>50.29</v>
      </c>
      <c r="AD1796" s="171">
        <v>46.4</v>
      </c>
      <c r="AF1796" s="171">
        <f t="shared" ref="AF1796:AF1859" si="86">YEAR(B1796)</f>
        <v>2013</v>
      </c>
      <c r="AG1796" s="171">
        <f t="shared" ref="AG1796:AG1859" si="87">COUNTIF(D1796:AA1796,"&lt;="&amp;$AH$1)</f>
        <v>4</v>
      </c>
      <c r="AH1796" s="700">
        <f>SUMIF(D$3:$AA1796,"&lt;="&amp;$AH$1)/COUNTIF(D$3:$AA1796,"&lt;="&amp;$AH$1)</f>
        <v>31.118142526545153</v>
      </c>
    </row>
    <row r="1797" spans="2:34" x14ac:dyDescent="0.25">
      <c r="B1797" s="910">
        <v>41341</v>
      </c>
      <c r="C1797" s="581">
        <f t="shared" si="85"/>
        <v>3</v>
      </c>
      <c r="D1797" s="171">
        <v>47.76</v>
      </c>
      <c r="E1797" s="171">
        <v>40.76</v>
      </c>
      <c r="F1797" s="171">
        <v>40.61</v>
      </c>
      <c r="G1797" s="171">
        <v>40.369999999999997</v>
      </c>
      <c r="H1797" s="171">
        <v>40.56</v>
      </c>
      <c r="I1797" s="171">
        <v>41.14</v>
      </c>
      <c r="J1797" s="171">
        <v>47.47</v>
      </c>
      <c r="K1797" s="171">
        <v>55.120000000000005</v>
      </c>
      <c r="L1797" s="171">
        <v>64.77</v>
      </c>
      <c r="M1797" s="171">
        <v>69.930000000000007</v>
      </c>
      <c r="N1797" s="171">
        <v>69.23</v>
      </c>
      <c r="O1797" s="171">
        <v>70</v>
      </c>
      <c r="P1797" s="171">
        <v>56.81</v>
      </c>
      <c r="Q1797" s="171">
        <v>55</v>
      </c>
      <c r="R1797" s="171">
        <v>55</v>
      </c>
      <c r="S1797" s="171">
        <v>52</v>
      </c>
      <c r="T1797" s="171">
        <v>48.21</v>
      </c>
      <c r="U1797" s="171">
        <v>52.43</v>
      </c>
      <c r="V1797" s="171">
        <v>52</v>
      </c>
      <c r="W1797" s="171">
        <v>55</v>
      </c>
      <c r="X1797" s="171">
        <v>50.17</v>
      </c>
      <c r="Y1797" s="171">
        <v>50</v>
      </c>
      <c r="Z1797" s="171">
        <v>50</v>
      </c>
      <c r="AA1797" s="171">
        <v>43.78</v>
      </c>
      <c r="AB1797" s="171">
        <v>70</v>
      </c>
      <c r="AC1797" s="171">
        <v>48.21</v>
      </c>
      <c r="AD1797" s="171">
        <v>45.65</v>
      </c>
      <c r="AF1797" s="171">
        <f t="shared" si="86"/>
        <v>2013</v>
      </c>
      <c r="AG1797" s="171">
        <f t="shared" si="87"/>
        <v>5</v>
      </c>
      <c r="AH1797" s="700">
        <f>SUMIF(D$3:$AA1797,"&lt;="&amp;$AH$1)/COUNTIF(D$3:$AA1797,"&lt;="&amp;$AH$1)</f>
        <v>31.121398244539797</v>
      </c>
    </row>
    <row r="1798" spans="2:34" x14ac:dyDescent="0.25">
      <c r="B1798" s="910">
        <v>41344</v>
      </c>
      <c r="C1798" s="581">
        <f t="shared" si="85"/>
        <v>3</v>
      </c>
      <c r="D1798" s="171">
        <v>31</v>
      </c>
      <c r="E1798" s="171">
        <v>31</v>
      </c>
      <c r="F1798" s="171">
        <v>31</v>
      </c>
      <c r="G1798" s="171">
        <v>18.45</v>
      </c>
      <c r="H1798" s="171">
        <v>15.49</v>
      </c>
      <c r="I1798" s="171">
        <v>19.2</v>
      </c>
      <c r="J1798" s="171">
        <v>39.4</v>
      </c>
      <c r="K1798" s="171">
        <v>51.26</v>
      </c>
      <c r="L1798" s="171">
        <v>49.93</v>
      </c>
      <c r="M1798" s="171">
        <v>58.64</v>
      </c>
      <c r="N1798" s="171">
        <v>60.26</v>
      </c>
      <c r="O1798" s="171">
        <v>60.26</v>
      </c>
      <c r="P1798" s="171">
        <v>61.980000000000004</v>
      </c>
      <c r="Q1798" s="171">
        <v>61.120000000000005</v>
      </c>
      <c r="R1798" s="171">
        <v>62.980000000000004</v>
      </c>
      <c r="S1798" s="171">
        <v>55</v>
      </c>
      <c r="T1798" s="171">
        <v>56.19</v>
      </c>
      <c r="U1798" s="171">
        <v>56.86</v>
      </c>
      <c r="V1798" s="171">
        <v>55.46</v>
      </c>
      <c r="W1798" s="171">
        <v>70.600000000000009</v>
      </c>
      <c r="X1798" s="171">
        <v>69.040000000000006</v>
      </c>
      <c r="Y1798" s="171">
        <v>52.44</v>
      </c>
      <c r="Z1798" s="171">
        <v>49.94</v>
      </c>
      <c r="AA1798" s="171">
        <v>45</v>
      </c>
      <c r="AB1798" s="171">
        <v>70.600000000000009</v>
      </c>
      <c r="AC1798" s="171">
        <v>49.93</v>
      </c>
      <c r="AD1798" s="171">
        <v>37.770000000000003</v>
      </c>
      <c r="AF1798" s="171">
        <f t="shared" si="86"/>
        <v>2013</v>
      </c>
      <c r="AG1798" s="171">
        <f t="shared" si="87"/>
        <v>7</v>
      </c>
      <c r="AH1798" s="700">
        <f>SUMIF(D$3:$AA1798,"&lt;="&amp;$AH$1)/COUNTIF(D$3:$AA1798,"&lt;="&amp;$AH$1)</f>
        <v>31.119200897715004</v>
      </c>
    </row>
    <row r="1799" spans="2:34" x14ac:dyDescent="0.25">
      <c r="B1799" s="910">
        <v>41345</v>
      </c>
      <c r="C1799" s="581">
        <f t="shared" si="85"/>
        <v>3</v>
      </c>
      <c r="D1799" s="171">
        <v>44.93</v>
      </c>
      <c r="E1799" s="171">
        <v>40.230000000000004</v>
      </c>
      <c r="F1799" s="171">
        <v>39.200000000000003</v>
      </c>
      <c r="G1799" s="171">
        <v>35</v>
      </c>
      <c r="H1799" s="171">
        <v>35.78</v>
      </c>
      <c r="I1799" s="171">
        <v>37.85</v>
      </c>
      <c r="J1799" s="171">
        <v>45</v>
      </c>
      <c r="K1799" s="171">
        <v>56.910000000000004</v>
      </c>
      <c r="L1799" s="171">
        <v>58.81</v>
      </c>
      <c r="M1799" s="171">
        <v>64.63</v>
      </c>
      <c r="N1799" s="171">
        <v>68.52</v>
      </c>
      <c r="O1799" s="171">
        <v>67.37</v>
      </c>
      <c r="P1799" s="171">
        <v>57.96</v>
      </c>
      <c r="Q1799" s="171">
        <v>60.26</v>
      </c>
      <c r="R1799" s="171">
        <v>60.26</v>
      </c>
      <c r="S1799" s="171">
        <v>55</v>
      </c>
      <c r="T1799" s="171">
        <v>55</v>
      </c>
      <c r="U1799" s="171">
        <v>55.120000000000005</v>
      </c>
      <c r="V1799" s="171">
        <v>68.09</v>
      </c>
      <c r="W1799" s="171">
        <v>73</v>
      </c>
      <c r="X1799" s="171">
        <v>70.52</v>
      </c>
      <c r="Y1799" s="171">
        <v>65.12</v>
      </c>
      <c r="Z1799" s="171">
        <v>59.96</v>
      </c>
      <c r="AA1799" s="171">
        <v>57.13</v>
      </c>
      <c r="AB1799" s="171">
        <v>73</v>
      </c>
      <c r="AC1799" s="171">
        <v>55</v>
      </c>
      <c r="AD1799" s="171">
        <v>48.97</v>
      </c>
      <c r="AF1799" s="171">
        <f t="shared" si="86"/>
        <v>2013</v>
      </c>
      <c r="AG1799" s="171">
        <f t="shared" si="87"/>
        <v>5</v>
      </c>
      <c r="AH1799" s="700">
        <f>SUMIF(D$3:$AA1799,"&lt;="&amp;$AH$1)/COUNTIF(D$3:$AA1799,"&lt;="&amp;$AH$1)</f>
        <v>31.121407981508018</v>
      </c>
    </row>
    <row r="1800" spans="2:34" x14ac:dyDescent="0.25">
      <c r="B1800" s="910">
        <v>41346</v>
      </c>
      <c r="C1800" s="581">
        <f t="shared" si="85"/>
        <v>3</v>
      </c>
      <c r="D1800" s="171">
        <v>66.97</v>
      </c>
      <c r="E1800" s="171">
        <v>60.46</v>
      </c>
      <c r="F1800" s="171">
        <v>54.93</v>
      </c>
      <c r="G1800" s="171">
        <v>46.660000000000004</v>
      </c>
      <c r="H1800" s="171">
        <v>41.51</v>
      </c>
      <c r="I1800" s="171">
        <v>50</v>
      </c>
      <c r="J1800" s="171">
        <v>59.94</v>
      </c>
      <c r="K1800" s="171">
        <v>63.38</v>
      </c>
      <c r="L1800" s="171">
        <v>81.73</v>
      </c>
      <c r="M1800" s="171">
        <v>88.960000000000008</v>
      </c>
      <c r="N1800" s="171">
        <v>86.38</v>
      </c>
      <c r="O1800" s="171">
        <v>77.33</v>
      </c>
      <c r="P1800" s="171">
        <v>72.010000000000005</v>
      </c>
      <c r="Q1800" s="171">
        <v>71.540000000000006</v>
      </c>
      <c r="R1800" s="171">
        <v>69.94</v>
      </c>
      <c r="S1800" s="171">
        <v>55.53</v>
      </c>
      <c r="T1800" s="171">
        <v>57.44</v>
      </c>
      <c r="U1800" s="171">
        <v>55.97</v>
      </c>
      <c r="V1800" s="171">
        <v>84.92</v>
      </c>
      <c r="W1800" s="171">
        <v>89.61</v>
      </c>
      <c r="X1800" s="171">
        <v>58.04</v>
      </c>
      <c r="Y1800" s="171">
        <v>54.61</v>
      </c>
      <c r="Z1800" s="171">
        <v>66.72</v>
      </c>
      <c r="AA1800" s="171">
        <v>61.160000000000004</v>
      </c>
      <c r="AB1800" s="171">
        <v>89.61</v>
      </c>
      <c r="AC1800" s="171">
        <v>54.61</v>
      </c>
      <c r="AD1800" s="171">
        <v>57.03</v>
      </c>
      <c r="AF1800" s="171">
        <f t="shared" si="86"/>
        <v>2013</v>
      </c>
      <c r="AG1800" s="171">
        <f t="shared" si="87"/>
        <v>1</v>
      </c>
      <c r="AH1800" s="700">
        <f>SUMIF(D$3:$AA1800,"&lt;="&amp;$AH$1)/COUNTIF(D$3:$AA1800,"&lt;="&amp;$AH$1)</f>
        <v>31.122114208021852</v>
      </c>
    </row>
    <row r="1801" spans="2:34" x14ac:dyDescent="0.25">
      <c r="B1801" s="910">
        <v>41347</v>
      </c>
      <c r="C1801" s="581">
        <f t="shared" si="85"/>
        <v>3</v>
      </c>
      <c r="D1801" s="171">
        <v>72.2</v>
      </c>
      <c r="E1801" s="171">
        <v>57.43</v>
      </c>
      <c r="F1801" s="171">
        <v>52.44</v>
      </c>
      <c r="G1801" s="171">
        <v>50</v>
      </c>
      <c r="H1801" s="171">
        <v>49.99</v>
      </c>
      <c r="I1801" s="171">
        <v>53.13</v>
      </c>
      <c r="J1801" s="171">
        <v>68.87</v>
      </c>
      <c r="K1801" s="171">
        <v>83.92</v>
      </c>
      <c r="L1801" s="171">
        <v>87.960000000000008</v>
      </c>
      <c r="M1801" s="171">
        <v>89.73</v>
      </c>
      <c r="N1801" s="171">
        <v>93.070000000000007</v>
      </c>
      <c r="O1801" s="171">
        <v>74.13</v>
      </c>
      <c r="P1801" s="171">
        <v>73.08</v>
      </c>
      <c r="Q1801" s="171">
        <v>70</v>
      </c>
      <c r="R1801" s="171">
        <v>69.94</v>
      </c>
      <c r="S1801" s="171">
        <v>67.66</v>
      </c>
      <c r="T1801" s="171">
        <v>63.77</v>
      </c>
      <c r="U1801" s="171">
        <v>62.730000000000004</v>
      </c>
      <c r="V1801" s="171">
        <v>74.59</v>
      </c>
      <c r="W1801" s="171">
        <v>124.91</v>
      </c>
      <c r="X1801" s="171">
        <v>83.98</v>
      </c>
      <c r="Y1801" s="171">
        <v>68.87</v>
      </c>
      <c r="Z1801" s="171">
        <v>66.650000000000006</v>
      </c>
      <c r="AA1801" s="171">
        <v>66.650000000000006</v>
      </c>
      <c r="AB1801" s="171">
        <v>124.91</v>
      </c>
      <c r="AC1801" s="171">
        <v>62.730000000000004</v>
      </c>
      <c r="AD1801" s="171">
        <v>64.510000000000005</v>
      </c>
      <c r="AF1801" s="171">
        <f t="shared" si="86"/>
        <v>2013</v>
      </c>
      <c r="AG1801" s="171">
        <f t="shared" si="87"/>
        <v>0</v>
      </c>
      <c r="AH1801" s="700">
        <f>SUMIF(D$3:$AA1801,"&lt;="&amp;$AH$1)/COUNTIF(D$3:$AA1801,"&lt;="&amp;$AH$1)</f>
        <v>31.122114208021852</v>
      </c>
    </row>
    <row r="1802" spans="2:34" x14ac:dyDescent="0.25">
      <c r="B1802" s="910">
        <v>41348</v>
      </c>
      <c r="C1802" s="581">
        <f t="shared" si="85"/>
        <v>3</v>
      </c>
      <c r="D1802" s="171">
        <v>54.94</v>
      </c>
      <c r="E1802" s="171">
        <v>52.36</v>
      </c>
      <c r="F1802" s="171">
        <v>49.980000000000004</v>
      </c>
      <c r="G1802" s="171">
        <v>44.94</v>
      </c>
      <c r="H1802" s="171">
        <v>43.92</v>
      </c>
      <c r="I1802" s="171">
        <v>44.39</v>
      </c>
      <c r="J1802" s="171">
        <v>47.56</v>
      </c>
      <c r="K1802" s="171">
        <v>66.58</v>
      </c>
      <c r="L1802" s="171">
        <v>70.290000000000006</v>
      </c>
      <c r="M1802" s="171">
        <v>70.97</v>
      </c>
      <c r="N1802" s="171">
        <v>72.45</v>
      </c>
      <c r="O1802" s="171">
        <v>70.52</v>
      </c>
      <c r="P1802" s="171">
        <v>66.680000000000007</v>
      </c>
      <c r="Q1802" s="171">
        <v>60.370000000000005</v>
      </c>
      <c r="R1802" s="171">
        <v>55.94</v>
      </c>
      <c r="S1802" s="171">
        <v>51.72</v>
      </c>
      <c r="T1802" s="171">
        <v>51.160000000000004</v>
      </c>
      <c r="U1802" s="171">
        <v>54.56</v>
      </c>
      <c r="V1802" s="171">
        <v>59.94</v>
      </c>
      <c r="W1802" s="171">
        <v>69.94</v>
      </c>
      <c r="X1802" s="171">
        <v>59</v>
      </c>
      <c r="Y1802" s="171">
        <v>60.45</v>
      </c>
      <c r="Z1802" s="171">
        <v>56.910000000000004</v>
      </c>
      <c r="AA1802" s="171">
        <v>53.7</v>
      </c>
      <c r="AB1802" s="171">
        <v>72.45</v>
      </c>
      <c r="AC1802" s="171">
        <v>51.160000000000004</v>
      </c>
      <c r="AD1802" s="171">
        <v>52.89</v>
      </c>
      <c r="AF1802" s="171">
        <f t="shared" si="86"/>
        <v>2013</v>
      </c>
      <c r="AG1802" s="171">
        <f t="shared" si="87"/>
        <v>0</v>
      </c>
      <c r="AH1802" s="700">
        <f>SUMIF(D$3:$AA1802,"&lt;="&amp;$AH$1)/COUNTIF(D$3:$AA1802,"&lt;="&amp;$AH$1)</f>
        <v>31.122114208021852</v>
      </c>
    </row>
    <row r="1803" spans="2:34" x14ac:dyDescent="0.25">
      <c r="B1803" s="910">
        <v>41351</v>
      </c>
      <c r="C1803" s="581">
        <f t="shared" si="85"/>
        <v>3</v>
      </c>
      <c r="D1803" s="171">
        <v>43.71</v>
      </c>
      <c r="E1803" s="171">
        <v>43.15</v>
      </c>
      <c r="F1803" s="171">
        <v>39.78</v>
      </c>
      <c r="G1803" s="171">
        <v>34</v>
      </c>
      <c r="H1803" s="171">
        <v>34</v>
      </c>
      <c r="I1803" s="171">
        <v>44.62</v>
      </c>
      <c r="J1803" s="171">
        <v>55</v>
      </c>
      <c r="K1803" s="171">
        <v>65.210000000000008</v>
      </c>
      <c r="L1803" s="171">
        <v>65.03</v>
      </c>
      <c r="M1803" s="171">
        <v>69</v>
      </c>
      <c r="N1803" s="171">
        <v>62.870000000000005</v>
      </c>
      <c r="O1803" s="171">
        <v>61.31</v>
      </c>
      <c r="P1803" s="171">
        <v>59.38</v>
      </c>
      <c r="Q1803" s="171">
        <v>69.960000000000008</v>
      </c>
      <c r="R1803" s="171">
        <v>67.960000000000008</v>
      </c>
      <c r="S1803" s="171">
        <v>63.25</v>
      </c>
      <c r="T1803" s="171">
        <v>57.800000000000004</v>
      </c>
      <c r="U1803" s="171">
        <v>58.300000000000004</v>
      </c>
      <c r="V1803" s="171">
        <v>56.06</v>
      </c>
      <c r="W1803" s="171">
        <v>80.100000000000009</v>
      </c>
      <c r="X1803" s="171">
        <v>66.92</v>
      </c>
      <c r="Y1803" s="171">
        <v>61.13</v>
      </c>
      <c r="Z1803" s="171">
        <v>60</v>
      </c>
      <c r="AA1803" s="171">
        <v>54.93</v>
      </c>
      <c r="AB1803" s="171">
        <v>80.100000000000009</v>
      </c>
      <c r="AC1803" s="171">
        <v>56.06</v>
      </c>
      <c r="AD1803" s="171">
        <v>50.2</v>
      </c>
      <c r="AF1803" s="171">
        <f t="shared" si="86"/>
        <v>2013</v>
      </c>
      <c r="AG1803" s="171">
        <f t="shared" si="87"/>
        <v>3</v>
      </c>
      <c r="AH1803" s="700">
        <f>SUMIF(D$3:$AA1803,"&lt;="&amp;$AH$1)/COUNTIF(D$3:$AA1803,"&lt;="&amp;$AH$1)</f>
        <v>31.123093862570617</v>
      </c>
    </row>
    <row r="1804" spans="2:34" x14ac:dyDescent="0.25">
      <c r="B1804" s="910">
        <v>41352</v>
      </c>
      <c r="C1804" s="581">
        <f t="shared" si="85"/>
        <v>3</v>
      </c>
      <c r="D1804" s="171">
        <v>52.160000000000004</v>
      </c>
      <c r="E1804" s="171">
        <v>47.44</v>
      </c>
      <c r="F1804" s="171">
        <v>44.79</v>
      </c>
      <c r="G1804" s="171">
        <v>40.4</v>
      </c>
      <c r="H1804" s="171">
        <v>41.08</v>
      </c>
      <c r="I1804" s="171">
        <v>45.28</v>
      </c>
      <c r="J1804" s="171">
        <v>52.44</v>
      </c>
      <c r="K1804" s="171">
        <v>63.39</v>
      </c>
      <c r="L1804" s="171">
        <v>70</v>
      </c>
      <c r="M1804" s="171">
        <v>71.31</v>
      </c>
      <c r="N1804" s="171">
        <v>69.05</v>
      </c>
      <c r="O1804" s="171">
        <v>71</v>
      </c>
      <c r="P1804" s="171">
        <v>64.94</v>
      </c>
      <c r="Q1804" s="171">
        <v>63.59</v>
      </c>
      <c r="R1804" s="171">
        <v>59.54</v>
      </c>
      <c r="S1804" s="171">
        <v>62.25</v>
      </c>
      <c r="T1804" s="171">
        <v>57.730000000000004</v>
      </c>
      <c r="U1804" s="171">
        <v>54.94</v>
      </c>
      <c r="V1804" s="171">
        <v>59.54</v>
      </c>
      <c r="W1804" s="171">
        <v>76.78</v>
      </c>
      <c r="X1804" s="171">
        <v>52.95</v>
      </c>
      <c r="Y1804" s="171">
        <v>60</v>
      </c>
      <c r="Z1804" s="171">
        <v>55.69</v>
      </c>
      <c r="AA1804" s="171">
        <v>53.39</v>
      </c>
      <c r="AB1804" s="171">
        <v>76.78</v>
      </c>
      <c r="AC1804" s="171">
        <v>52.95</v>
      </c>
      <c r="AD1804" s="171">
        <v>50.75</v>
      </c>
      <c r="AF1804" s="171">
        <f t="shared" si="86"/>
        <v>2013</v>
      </c>
      <c r="AG1804" s="171">
        <f t="shared" si="87"/>
        <v>2</v>
      </c>
      <c r="AH1804" s="700">
        <f>SUMIF(D$3:$AA1804,"&lt;="&amp;$AH$1)/COUNTIF(D$3:$AA1804,"&lt;="&amp;$AH$1)</f>
        <v>31.124400951410227</v>
      </c>
    </row>
    <row r="1805" spans="2:34" x14ac:dyDescent="0.25">
      <c r="B1805" s="910">
        <v>41353</v>
      </c>
      <c r="C1805" s="581">
        <f t="shared" si="85"/>
        <v>3</v>
      </c>
      <c r="D1805" s="171">
        <v>54.94</v>
      </c>
      <c r="E1805" s="171">
        <v>45.12</v>
      </c>
      <c r="F1805" s="171">
        <v>43.67</v>
      </c>
      <c r="G1805" s="171">
        <v>43.17</v>
      </c>
      <c r="H1805" s="171">
        <v>41.07</v>
      </c>
      <c r="I1805" s="171">
        <v>46.4</v>
      </c>
      <c r="J1805" s="171">
        <v>51.29</v>
      </c>
      <c r="K1805" s="171">
        <v>59.17</v>
      </c>
      <c r="L1805" s="171">
        <v>67.5</v>
      </c>
      <c r="M1805" s="171">
        <v>76.55</v>
      </c>
      <c r="N1805" s="171">
        <v>75.260000000000005</v>
      </c>
      <c r="O1805" s="171">
        <v>75.210000000000008</v>
      </c>
      <c r="P1805" s="171">
        <v>66.760000000000005</v>
      </c>
      <c r="Q1805" s="171">
        <v>63.11</v>
      </c>
      <c r="R1805" s="171">
        <v>67.739999999999995</v>
      </c>
      <c r="S1805" s="171">
        <v>61.04</v>
      </c>
      <c r="T1805" s="171">
        <v>58.08</v>
      </c>
      <c r="U1805" s="171">
        <v>59.94</v>
      </c>
      <c r="V1805" s="171">
        <v>72.5</v>
      </c>
      <c r="W1805" s="171">
        <v>100.51</v>
      </c>
      <c r="X1805" s="171">
        <v>74.59</v>
      </c>
      <c r="Y1805" s="171">
        <v>71.31</v>
      </c>
      <c r="Z1805" s="171">
        <v>65</v>
      </c>
      <c r="AA1805" s="171">
        <v>57.04</v>
      </c>
      <c r="AB1805" s="171">
        <v>100.51</v>
      </c>
      <c r="AC1805" s="171">
        <v>58.08</v>
      </c>
      <c r="AD1805" s="171">
        <v>54.4</v>
      </c>
      <c r="AF1805" s="171">
        <f t="shared" si="86"/>
        <v>2013</v>
      </c>
      <c r="AG1805" s="171">
        <f t="shared" si="87"/>
        <v>1</v>
      </c>
      <c r="AH1805" s="700">
        <f>SUMIF(D$3:$AA1805,"&lt;="&amp;$AH$1)/COUNTIF(D$3:$AA1805,"&lt;="&amp;$AH$1)</f>
        <v>31.125076787170531</v>
      </c>
    </row>
    <row r="1806" spans="2:34" x14ac:dyDescent="0.25">
      <c r="B1806" s="910">
        <v>41354</v>
      </c>
      <c r="C1806" s="581">
        <f t="shared" si="85"/>
        <v>3</v>
      </c>
      <c r="D1806" s="171">
        <v>55</v>
      </c>
      <c r="E1806" s="171">
        <v>54.75</v>
      </c>
      <c r="F1806" s="171">
        <v>49</v>
      </c>
      <c r="G1806" s="171">
        <v>48.02</v>
      </c>
      <c r="H1806" s="171">
        <v>48.07</v>
      </c>
      <c r="I1806" s="171">
        <v>52.94</v>
      </c>
      <c r="J1806" s="171">
        <v>66.960000000000008</v>
      </c>
      <c r="K1806" s="171">
        <v>83.09</v>
      </c>
      <c r="L1806" s="171">
        <v>90.33</v>
      </c>
      <c r="M1806" s="171">
        <v>84.99</v>
      </c>
      <c r="N1806" s="171">
        <v>75.930000000000007</v>
      </c>
      <c r="O1806" s="171">
        <v>72</v>
      </c>
      <c r="P1806" s="171">
        <v>63.27</v>
      </c>
      <c r="Q1806" s="171">
        <v>63.18</v>
      </c>
      <c r="R1806" s="171">
        <v>62.38</v>
      </c>
      <c r="S1806" s="171">
        <v>65</v>
      </c>
      <c r="T1806" s="171">
        <v>61.29</v>
      </c>
      <c r="U1806" s="171">
        <v>61.29</v>
      </c>
      <c r="V1806" s="171">
        <v>78.97</v>
      </c>
      <c r="W1806" s="171">
        <v>108.64</v>
      </c>
      <c r="X1806" s="171">
        <v>77</v>
      </c>
      <c r="Y1806" s="171">
        <v>69.960000000000008</v>
      </c>
      <c r="Z1806" s="171">
        <v>67</v>
      </c>
      <c r="AA1806" s="171">
        <v>63.46</v>
      </c>
      <c r="AB1806" s="171">
        <v>108.64</v>
      </c>
      <c r="AC1806" s="171">
        <v>61.29</v>
      </c>
      <c r="AD1806" s="171">
        <v>61.27</v>
      </c>
      <c r="AF1806" s="171">
        <f t="shared" si="86"/>
        <v>2013</v>
      </c>
      <c r="AG1806" s="171">
        <f t="shared" si="87"/>
        <v>0</v>
      </c>
      <c r="AH1806" s="700">
        <f>SUMIF(D$3:$AA1806,"&lt;="&amp;$AH$1)/COUNTIF(D$3:$AA1806,"&lt;="&amp;$AH$1)</f>
        <v>31.125076787170531</v>
      </c>
    </row>
    <row r="1807" spans="2:34" x14ac:dyDescent="0.25">
      <c r="B1807" s="910">
        <v>41355</v>
      </c>
      <c r="C1807" s="581">
        <f t="shared" si="85"/>
        <v>3</v>
      </c>
      <c r="D1807" s="171">
        <v>56.89</v>
      </c>
      <c r="E1807" s="171">
        <v>52.43</v>
      </c>
      <c r="F1807" s="171">
        <v>50</v>
      </c>
      <c r="G1807" s="171">
        <v>42</v>
      </c>
      <c r="H1807" s="171">
        <v>40</v>
      </c>
      <c r="I1807" s="171">
        <v>44.03</v>
      </c>
      <c r="J1807" s="171">
        <v>50</v>
      </c>
      <c r="K1807" s="171">
        <v>82.92</v>
      </c>
      <c r="L1807" s="171">
        <v>87.19</v>
      </c>
      <c r="M1807" s="171">
        <v>83.350000000000009</v>
      </c>
      <c r="N1807" s="171">
        <v>73.19</v>
      </c>
      <c r="O1807" s="171">
        <v>74.23</v>
      </c>
      <c r="P1807" s="171">
        <v>62.45</v>
      </c>
      <c r="Q1807" s="171">
        <v>61.36</v>
      </c>
      <c r="R1807" s="171">
        <v>58.86</v>
      </c>
      <c r="S1807" s="171">
        <v>57.44</v>
      </c>
      <c r="T1807" s="171">
        <v>54.99</v>
      </c>
      <c r="U1807" s="171">
        <v>57.44</v>
      </c>
      <c r="V1807" s="171">
        <v>68.45</v>
      </c>
      <c r="W1807" s="171">
        <v>98.210000000000008</v>
      </c>
      <c r="X1807" s="171">
        <v>73.150000000000006</v>
      </c>
      <c r="Y1807" s="171">
        <v>52.44</v>
      </c>
      <c r="Z1807" s="171">
        <v>59</v>
      </c>
      <c r="AA1807" s="171">
        <v>50.78</v>
      </c>
      <c r="AB1807" s="171">
        <v>98.210000000000008</v>
      </c>
      <c r="AC1807" s="171">
        <v>52.44</v>
      </c>
      <c r="AD1807" s="171">
        <v>54.47</v>
      </c>
      <c r="AF1807" s="171">
        <f t="shared" si="86"/>
        <v>2013</v>
      </c>
      <c r="AG1807" s="171">
        <f t="shared" si="87"/>
        <v>2</v>
      </c>
      <c r="AH1807" s="700">
        <f>SUMIF(D$3:$AA1807,"&lt;="&amp;$AH$1)/COUNTIF(D$3:$AA1807,"&lt;="&amp;$AH$1)</f>
        <v>31.126418671015188</v>
      </c>
    </row>
    <row r="1808" spans="2:34" x14ac:dyDescent="0.25">
      <c r="B1808" s="910">
        <v>41358</v>
      </c>
      <c r="C1808" s="581">
        <f t="shared" si="85"/>
        <v>3</v>
      </c>
      <c r="D1808" s="171">
        <v>56.97</v>
      </c>
      <c r="E1808" s="171">
        <v>45.28</v>
      </c>
      <c r="F1808" s="171">
        <v>46.12</v>
      </c>
      <c r="G1808" s="171">
        <v>43.22</v>
      </c>
      <c r="H1808" s="171">
        <v>39.67</v>
      </c>
      <c r="I1808" s="171">
        <v>43.22</v>
      </c>
      <c r="J1808" s="171">
        <v>55</v>
      </c>
      <c r="K1808" s="171">
        <v>73.930000000000007</v>
      </c>
      <c r="L1808" s="171">
        <v>89.960000000000008</v>
      </c>
      <c r="M1808" s="171">
        <v>86.19</v>
      </c>
      <c r="N1808" s="171">
        <v>84.16</v>
      </c>
      <c r="O1808" s="171">
        <v>79.61</v>
      </c>
      <c r="P1808" s="171">
        <v>78.48</v>
      </c>
      <c r="Q1808" s="171">
        <v>72.010000000000005</v>
      </c>
      <c r="R1808" s="171">
        <v>68.22</v>
      </c>
      <c r="S1808" s="171">
        <v>63.160000000000004</v>
      </c>
      <c r="T1808" s="171">
        <v>60</v>
      </c>
      <c r="U1808" s="171">
        <v>61.690000000000005</v>
      </c>
      <c r="V1808" s="171">
        <v>59.93</v>
      </c>
      <c r="W1808" s="171">
        <v>120</v>
      </c>
      <c r="X1808" s="171">
        <v>83.63</v>
      </c>
      <c r="Y1808" s="171">
        <v>73.69</v>
      </c>
      <c r="Z1808" s="171">
        <v>75.989999999999995</v>
      </c>
      <c r="AA1808" s="171">
        <v>59.96</v>
      </c>
      <c r="AB1808" s="171">
        <v>120</v>
      </c>
      <c r="AC1808" s="171">
        <v>59.93</v>
      </c>
      <c r="AD1808" s="171">
        <v>58.06</v>
      </c>
      <c r="AF1808" s="171">
        <f t="shared" si="86"/>
        <v>2013</v>
      </c>
      <c r="AG1808" s="171">
        <f t="shared" si="87"/>
        <v>1</v>
      </c>
      <c r="AH1808" s="700">
        <f>SUMIF(D$3:$AA1808,"&lt;="&amp;$AH$1)/COUNTIF(D$3:$AA1808,"&lt;="&amp;$AH$1)</f>
        <v>31.126999116787928</v>
      </c>
    </row>
    <row r="1809" spans="2:34" x14ac:dyDescent="0.25">
      <c r="B1809" s="910">
        <v>41359</v>
      </c>
      <c r="C1809" s="581">
        <f t="shared" si="85"/>
        <v>3</v>
      </c>
      <c r="D1809" s="171">
        <v>66.790000000000006</v>
      </c>
      <c r="E1809" s="171">
        <v>63.6</v>
      </c>
      <c r="F1809" s="171">
        <v>59.35</v>
      </c>
      <c r="G1809" s="171">
        <v>50.13</v>
      </c>
      <c r="H1809" s="171">
        <v>50.01</v>
      </c>
      <c r="I1809" s="171">
        <v>56.08</v>
      </c>
      <c r="J1809" s="171">
        <v>70</v>
      </c>
      <c r="K1809" s="171">
        <v>78</v>
      </c>
      <c r="L1809" s="171">
        <v>78</v>
      </c>
      <c r="M1809" s="171">
        <v>82.95</v>
      </c>
      <c r="N1809" s="171">
        <v>81.290000000000006</v>
      </c>
      <c r="O1809" s="171">
        <v>79.540000000000006</v>
      </c>
      <c r="P1809" s="171">
        <v>64.94</v>
      </c>
      <c r="Q1809" s="171">
        <v>64.87</v>
      </c>
      <c r="R1809" s="171">
        <v>64.930000000000007</v>
      </c>
      <c r="S1809" s="171">
        <v>64.930000000000007</v>
      </c>
      <c r="T1809" s="171">
        <v>66.45</v>
      </c>
      <c r="U1809" s="171">
        <v>64.930000000000007</v>
      </c>
      <c r="V1809" s="171">
        <v>64.760000000000005</v>
      </c>
      <c r="W1809" s="171">
        <v>109.22</v>
      </c>
      <c r="X1809" s="171">
        <v>84.070000000000007</v>
      </c>
      <c r="Y1809" s="171">
        <v>64.960000000000008</v>
      </c>
      <c r="Z1809" s="171">
        <v>79.540000000000006</v>
      </c>
      <c r="AA1809" s="171">
        <v>72.570000000000007</v>
      </c>
      <c r="AB1809" s="171">
        <v>109.22</v>
      </c>
      <c r="AC1809" s="171">
        <v>64.760000000000005</v>
      </c>
      <c r="AD1809" s="171">
        <v>66.260000000000005</v>
      </c>
      <c r="AF1809" s="171">
        <f t="shared" si="86"/>
        <v>2013</v>
      </c>
      <c r="AG1809" s="171">
        <f t="shared" si="87"/>
        <v>0</v>
      </c>
      <c r="AH1809" s="700">
        <f>SUMIF(D$3:$AA1809,"&lt;="&amp;$AH$1)/COUNTIF(D$3:$AA1809,"&lt;="&amp;$AH$1)</f>
        <v>31.126999116787928</v>
      </c>
    </row>
    <row r="1810" spans="2:34" x14ac:dyDescent="0.25">
      <c r="B1810" s="910">
        <v>41360</v>
      </c>
      <c r="C1810" s="581">
        <f t="shared" si="85"/>
        <v>3</v>
      </c>
      <c r="D1810" s="171">
        <v>62.800000000000004</v>
      </c>
      <c r="E1810" s="171">
        <v>63.440000000000005</v>
      </c>
      <c r="F1810" s="171">
        <v>62.800000000000004</v>
      </c>
      <c r="G1810" s="171">
        <v>59.03</v>
      </c>
      <c r="H1810" s="171">
        <v>53.38</v>
      </c>
      <c r="I1810" s="171">
        <v>58.43</v>
      </c>
      <c r="J1810" s="171">
        <v>69.94</v>
      </c>
      <c r="K1810" s="171">
        <v>88.22</v>
      </c>
      <c r="L1810" s="171">
        <v>80.09</v>
      </c>
      <c r="M1810" s="171">
        <v>85.59</v>
      </c>
      <c r="N1810" s="171">
        <v>83.74</v>
      </c>
      <c r="O1810" s="171">
        <v>87</v>
      </c>
      <c r="P1810" s="171">
        <v>68.72</v>
      </c>
      <c r="Q1810" s="171">
        <v>71.11</v>
      </c>
      <c r="R1810" s="171">
        <v>72.97</v>
      </c>
      <c r="S1810" s="171">
        <v>85.93</v>
      </c>
      <c r="T1810" s="171">
        <v>82.820000000000007</v>
      </c>
      <c r="U1810" s="171">
        <v>93.5</v>
      </c>
      <c r="V1810" s="171">
        <v>99.08</v>
      </c>
      <c r="W1810" s="171">
        <v>125.99000000000001</v>
      </c>
      <c r="X1810" s="171">
        <v>101.87</v>
      </c>
      <c r="Y1810" s="171">
        <v>85.100000000000009</v>
      </c>
      <c r="Z1810" s="171">
        <v>71.930000000000007</v>
      </c>
      <c r="AA1810" s="171">
        <v>72.070000000000007</v>
      </c>
      <c r="AB1810" s="171">
        <v>125.99000000000001</v>
      </c>
      <c r="AC1810" s="171">
        <v>68.72</v>
      </c>
      <c r="AD1810" s="171">
        <v>70.75</v>
      </c>
      <c r="AF1810" s="171">
        <f t="shared" si="86"/>
        <v>2013</v>
      </c>
      <c r="AG1810" s="171">
        <f t="shared" si="87"/>
        <v>0</v>
      </c>
      <c r="AH1810" s="700">
        <f>SUMIF(D$3:$AA1810,"&lt;="&amp;$AH$1)/COUNTIF(D$3:$AA1810,"&lt;="&amp;$AH$1)</f>
        <v>31.126999116787928</v>
      </c>
    </row>
    <row r="1811" spans="2:34" x14ac:dyDescent="0.25">
      <c r="B1811" s="910">
        <v>41361</v>
      </c>
      <c r="C1811" s="581">
        <f t="shared" si="85"/>
        <v>3</v>
      </c>
      <c r="D1811" s="171">
        <v>69.94</v>
      </c>
      <c r="E1811" s="171">
        <v>53.11</v>
      </c>
      <c r="F1811" s="171">
        <v>46.06</v>
      </c>
      <c r="G1811" s="171">
        <v>47.49</v>
      </c>
      <c r="H1811" s="171">
        <v>49.94</v>
      </c>
      <c r="I1811" s="171">
        <v>59.96</v>
      </c>
      <c r="J1811" s="171">
        <v>65.95</v>
      </c>
      <c r="K1811" s="171">
        <v>73.460000000000008</v>
      </c>
      <c r="L1811" s="171">
        <v>95.11</v>
      </c>
      <c r="M1811" s="171">
        <v>97.04</v>
      </c>
      <c r="N1811" s="171">
        <v>94.12</v>
      </c>
      <c r="O1811" s="171">
        <v>94.05</v>
      </c>
      <c r="P1811" s="171">
        <v>91.75</v>
      </c>
      <c r="Q1811" s="171">
        <v>92.9</v>
      </c>
      <c r="R1811" s="171">
        <v>79.930000000000007</v>
      </c>
      <c r="S1811" s="171">
        <v>76.12</v>
      </c>
      <c r="T1811" s="171">
        <v>74.97</v>
      </c>
      <c r="U1811" s="171">
        <v>80.09</v>
      </c>
      <c r="V1811" s="171">
        <v>86.03</v>
      </c>
      <c r="W1811" s="171">
        <v>120.16</v>
      </c>
      <c r="X1811" s="171">
        <v>81</v>
      </c>
      <c r="Y1811" s="171">
        <v>74.94</v>
      </c>
      <c r="Z1811" s="171">
        <v>74.94</v>
      </c>
      <c r="AA1811" s="171">
        <v>84.11</v>
      </c>
      <c r="AB1811" s="171">
        <v>120.16</v>
      </c>
      <c r="AC1811" s="171">
        <v>73.460000000000008</v>
      </c>
      <c r="AD1811" s="171">
        <v>65.070000000000007</v>
      </c>
      <c r="AF1811" s="171">
        <f t="shared" si="86"/>
        <v>2013</v>
      </c>
      <c r="AG1811" s="171">
        <f t="shared" si="87"/>
        <v>0</v>
      </c>
      <c r="AH1811" s="700">
        <f>SUMIF(D$3:$AA1811,"&lt;="&amp;$AH$1)/COUNTIF(D$3:$AA1811,"&lt;="&amp;$AH$1)</f>
        <v>31.126999116787928</v>
      </c>
    </row>
    <row r="1812" spans="2:34" x14ac:dyDescent="0.25">
      <c r="B1812" s="910">
        <v>41362</v>
      </c>
      <c r="C1812" s="581">
        <f t="shared" si="85"/>
        <v>3</v>
      </c>
      <c r="D1812" s="171">
        <v>67.55</v>
      </c>
      <c r="E1812" s="171">
        <v>74.710000000000008</v>
      </c>
      <c r="F1812" s="171">
        <v>60.15</v>
      </c>
      <c r="G1812" s="171">
        <v>59.82</v>
      </c>
      <c r="H1812" s="171">
        <v>58.120000000000005</v>
      </c>
      <c r="I1812" s="171">
        <v>54.6</v>
      </c>
      <c r="J1812" s="171">
        <v>64.94</v>
      </c>
      <c r="K1812" s="171">
        <v>69.59</v>
      </c>
      <c r="L1812" s="171">
        <v>69.94</v>
      </c>
      <c r="M1812" s="171">
        <v>74.930000000000007</v>
      </c>
      <c r="N1812" s="171">
        <v>78.16</v>
      </c>
      <c r="O1812" s="171">
        <v>85.03</v>
      </c>
      <c r="P1812" s="171">
        <v>86.25</v>
      </c>
      <c r="Q1812" s="171">
        <v>74.92</v>
      </c>
      <c r="R1812" s="171">
        <v>71.27</v>
      </c>
      <c r="S1812" s="171">
        <v>64.73</v>
      </c>
      <c r="T1812" s="171">
        <v>61.14</v>
      </c>
      <c r="U1812" s="171">
        <v>62.31</v>
      </c>
      <c r="V1812" s="171">
        <v>66.97</v>
      </c>
      <c r="W1812" s="171">
        <v>87.9</v>
      </c>
      <c r="X1812" s="171">
        <v>69</v>
      </c>
      <c r="Y1812" s="171">
        <v>80</v>
      </c>
      <c r="Z1812" s="171">
        <v>66</v>
      </c>
      <c r="AA1812" s="171">
        <v>68.97</v>
      </c>
      <c r="AB1812" s="171">
        <v>87.9</v>
      </c>
      <c r="AC1812" s="171">
        <v>61.14</v>
      </c>
      <c r="AD1812" s="171">
        <v>66.12</v>
      </c>
      <c r="AF1812" s="171">
        <f t="shared" si="86"/>
        <v>2013</v>
      </c>
      <c r="AG1812" s="171">
        <f t="shared" si="87"/>
        <v>0</v>
      </c>
      <c r="AH1812" s="700">
        <f>SUMIF(D$3:$AA1812,"&lt;="&amp;$AH$1)/COUNTIF(D$3:$AA1812,"&lt;="&amp;$AH$1)</f>
        <v>31.126999116787928</v>
      </c>
    </row>
    <row r="1813" spans="2:34" x14ac:dyDescent="0.25">
      <c r="B1813" s="910">
        <v>41365</v>
      </c>
      <c r="C1813" s="581">
        <f t="shared" si="85"/>
        <v>4</v>
      </c>
      <c r="D1813" s="171">
        <v>54.93</v>
      </c>
      <c r="E1813" s="171">
        <v>54.94</v>
      </c>
      <c r="F1813" s="171">
        <v>47.53</v>
      </c>
      <c r="G1813" s="171">
        <v>47.22</v>
      </c>
      <c r="H1813" s="171">
        <v>46.97</v>
      </c>
      <c r="I1813" s="171">
        <v>47.27</v>
      </c>
      <c r="J1813" s="171">
        <v>47.61</v>
      </c>
      <c r="K1813" s="171">
        <v>48.02</v>
      </c>
      <c r="L1813" s="171">
        <v>48.39</v>
      </c>
      <c r="M1813" s="171">
        <v>54.26</v>
      </c>
      <c r="N1813" s="171">
        <v>54.870000000000005</v>
      </c>
      <c r="O1813" s="171">
        <v>54.92</v>
      </c>
      <c r="P1813" s="171">
        <v>64.960000000000008</v>
      </c>
      <c r="Q1813" s="171">
        <v>54.71</v>
      </c>
      <c r="R1813" s="171">
        <v>47.07</v>
      </c>
      <c r="S1813" s="171">
        <v>46.77</v>
      </c>
      <c r="T1813" s="171">
        <v>46.67</v>
      </c>
      <c r="U1813" s="171">
        <v>47.44</v>
      </c>
      <c r="V1813" s="171">
        <v>49.94</v>
      </c>
      <c r="W1813" s="171">
        <v>54.29</v>
      </c>
      <c r="X1813" s="171">
        <v>64.19</v>
      </c>
      <c r="Y1813" s="171">
        <v>60</v>
      </c>
      <c r="Z1813" s="171">
        <v>57.5</v>
      </c>
      <c r="AA1813" s="171">
        <v>55</v>
      </c>
      <c r="AB1813" s="171">
        <v>64.960000000000008</v>
      </c>
      <c r="AC1813" s="171">
        <v>46.67</v>
      </c>
      <c r="AD1813" s="171">
        <v>66.12</v>
      </c>
      <c r="AF1813" s="171">
        <f t="shared" si="86"/>
        <v>2013</v>
      </c>
      <c r="AG1813" s="171">
        <f t="shared" si="87"/>
        <v>0</v>
      </c>
      <c r="AH1813" s="700">
        <f>SUMIF(D$3:$AA1813,"&lt;="&amp;$AH$1)/COUNTIF(D$3:$AA1813,"&lt;="&amp;$AH$1)</f>
        <v>31.126999116787928</v>
      </c>
    </row>
    <row r="1814" spans="2:34" x14ac:dyDescent="0.25">
      <c r="B1814" s="910">
        <v>41366</v>
      </c>
      <c r="C1814" s="581">
        <f t="shared" si="85"/>
        <v>4</v>
      </c>
      <c r="D1814" s="171">
        <v>54.93</v>
      </c>
      <c r="E1814" s="171">
        <v>54.94</v>
      </c>
      <c r="F1814" s="171">
        <v>47.53</v>
      </c>
      <c r="G1814" s="171">
        <v>47.22</v>
      </c>
      <c r="H1814" s="171">
        <v>46.97</v>
      </c>
      <c r="I1814" s="171">
        <v>47.27</v>
      </c>
      <c r="J1814" s="171">
        <v>47.61</v>
      </c>
      <c r="K1814" s="171">
        <v>48.02</v>
      </c>
      <c r="L1814" s="171">
        <v>48.39</v>
      </c>
      <c r="M1814" s="171">
        <v>54.26</v>
      </c>
      <c r="N1814" s="171">
        <v>54.870000000000005</v>
      </c>
      <c r="O1814" s="171">
        <v>54.92</v>
      </c>
      <c r="P1814" s="171">
        <v>64.960000000000008</v>
      </c>
      <c r="Q1814" s="171">
        <v>54.71</v>
      </c>
      <c r="R1814" s="171">
        <v>47.07</v>
      </c>
      <c r="S1814" s="171">
        <v>46.77</v>
      </c>
      <c r="T1814" s="171">
        <v>46.67</v>
      </c>
      <c r="U1814" s="171">
        <v>47.44</v>
      </c>
      <c r="V1814" s="171">
        <v>49.94</v>
      </c>
      <c r="W1814" s="171">
        <v>54.29</v>
      </c>
      <c r="X1814" s="171">
        <v>64.19</v>
      </c>
      <c r="Y1814" s="171">
        <v>60</v>
      </c>
      <c r="Z1814" s="171">
        <v>57.5</v>
      </c>
      <c r="AA1814" s="171">
        <v>55</v>
      </c>
      <c r="AB1814" s="171">
        <v>64.960000000000008</v>
      </c>
      <c r="AC1814" s="171">
        <v>46.67</v>
      </c>
      <c r="AD1814" s="171">
        <v>66.12</v>
      </c>
      <c r="AF1814" s="171">
        <f t="shared" si="86"/>
        <v>2013</v>
      </c>
      <c r="AG1814" s="171">
        <f t="shared" si="87"/>
        <v>0</v>
      </c>
      <c r="AH1814" s="700">
        <f>SUMIF(D$3:$AA1814,"&lt;="&amp;$AH$1)/COUNTIF(D$3:$AA1814,"&lt;="&amp;$AH$1)</f>
        <v>31.126999116787928</v>
      </c>
    </row>
    <row r="1815" spans="2:34" x14ac:dyDescent="0.25">
      <c r="B1815" s="910">
        <v>41367</v>
      </c>
      <c r="C1815" s="581">
        <f t="shared" si="85"/>
        <v>4</v>
      </c>
      <c r="D1815" s="171">
        <v>52.44</v>
      </c>
      <c r="E1815" s="171">
        <v>45</v>
      </c>
      <c r="F1815" s="171">
        <v>47.32</v>
      </c>
      <c r="G1815" s="171">
        <v>47.38</v>
      </c>
      <c r="H1815" s="171">
        <v>47.44</v>
      </c>
      <c r="I1815" s="171">
        <v>47.910000000000004</v>
      </c>
      <c r="J1815" s="171">
        <v>51</v>
      </c>
      <c r="K1815" s="171">
        <v>59.09</v>
      </c>
      <c r="L1815" s="171">
        <v>61.940000000000005</v>
      </c>
      <c r="M1815" s="171">
        <v>81.23</v>
      </c>
      <c r="N1815" s="171">
        <v>82</v>
      </c>
      <c r="O1815" s="171">
        <v>82.17</v>
      </c>
      <c r="P1815" s="171">
        <v>68.8</v>
      </c>
      <c r="Q1815" s="171">
        <v>67.010000000000005</v>
      </c>
      <c r="R1815" s="171">
        <v>62.38</v>
      </c>
      <c r="S1815" s="171">
        <v>58.58</v>
      </c>
      <c r="T1815" s="171">
        <v>58.370000000000005</v>
      </c>
      <c r="U1815" s="171">
        <v>57.35</v>
      </c>
      <c r="V1815" s="171">
        <v>57.43</v>
      </c>
      <c r="W1815" s="171">
        <v>56.230000000000004</v>
      </c>
      <c r="X1815" s="171">
        <v>74.66</v>
      </c>
      <c r="Y1815" s="171">
        <v>66.3</v>
      </c>
      <c r="Z1815" s="171">
        <v>62.38</v>
      </c>
      <c r="AA1815" s="171">
        <v>55</v>
      </c>
      <c r="AB1815" s="171">
        <v>82.17</v>
      </c>
      <c r="AC1815" s="171">
        <v>56.230000000000004</v>
      </c>
      <c r="AD1815" s="171">
        <v>54.660000000000004</v>
      </c>
      <c r="AF1815" s="171">
        <f t="shared" si="86"/>
        <v>2013</v>
      </c>
      <c r="AG1815" s="171">
        <f t="shared" si="87"/>
        <v>0</v>
      </c>
      <c r="AH1815" s="700">
        <f>SUMIF(D$3:$AA1815,"&lt;="&amp;$AH$1)/COUNTIF(D$3:$AA1815,"&lt;="&amp;$AH$1)</f>
        <v>31.126999116787928</v>
      </c>
    </row>
    <row r="1816" spans="2:34" x14ac:dyDescent="0.25">
      <c r="B1816" s="910">
        <v>41368</v>
      </c>
      <c r="C1816" s="581">
        <f t="shared" si="85"/>
        <v>4</v>
      </c>
      <c r="D1816" s="171">
        <v>51.160000000000004</v>
      </c>
      <c r="E1816" s="171">
        <v>43.69</v>
      </c>
      <c r="F1816" s="171">
        <v>41</v>
      </c>
      <c r="G1816" s="171">
        <v>37.46</v>
      </c>
      <c r="H1816" s="171">
        <v>36.35</v>
      </c>
      <c r="I1816" s="171">
        <v>40.81</v>
      </c>
      <c r="J1816" s="171">
        <v>54.94</v>
      </c>
      <c r="K1816" s="171">
        <v>61.28</v>
      </c>
      <c r="L1816" s="171">
        <v>70.760000000000005</v>
      </c>
      <c r="M1816" s="171">
        <v>78</v>
      </c>
      <c r="N1816" s="171">
        <v>78</v>
      </c>
      <c r="O1816" s="171">
        <v>78</v>
      </c>
      <c r="P1816" s="171">
        <v>67.570000000000007</v>
      </c>
      <c r="Q1816" s="171">
        <v>68.680000000000007</v>
      </c>
      <c r="R1816" s="171">
        <v>68.680000000000007</v>
      </c>
      <c r="S1816" s="171">
        <v>63.56</v>
      </c>
      <c r="T1816" s="171">
        <v>68.290000000000006</v>
      </c>
      <c r="U1816" s="171">
        <v>65</v>
      </c>
      <c r="V1816" s="171">
        <v>65</v>
      </c>
      <c r="W1816" s="171">
        <v>64.66</v>
      </c>
      <c r="X1816" s="171">
        <v>78</v>
      </c>
      <c r="Y1816" s="171">
        <v>58.45</v>
      </c>
      <c r="Z1816" s="171">
        <v>59.96</v>
      </c>
      <c r="AA1816" s="171">
        <v>60.160000000000004</v>
      </c>
      <c r="AB1816" s="171">
        <v>78</v>
      </c>
      <c r="AC1816" s="171">
        <v>58.45</v>
      </c>
      <c r="AD1816" s="171">
        <v>51.94</v>
      </c>
      <c r="AF1816" s="171">
        <f t="shared" si="86"/>
        <v>2013</v>
      </c>
      <c r="AG1816" s="171">
        <f t="shared" si="87"/>
        <v>4</v>
      </c>
      <c r="AH1816" s="700">
        <f>SUMIF(D$3:$AA1816,"&lt;="&amp;$AH$1)/COUNTIF(D$3:$AA1816,"&lt;="&amp;$AH$1)</f>
        <v>31.129112273313964</v>
      </c>
    </row>
    <row r="1817" spans="2:34" x14ac:dyDescent="0.25">
      <c r="B1817" s="910">
        <v>41369</v>
      </c>
      <c r="C1817" s="581">
        <f t="shared" si="85"/>
        <v>4</v>
      </c>
      <c r="D1817" s="171">
        <v>51.160000000000004</v>
      </c>
      <c r="E1817" s="171">
        <v>43.69</v>
      </c>
      <c r="F1817" s="171">
        <v>41</v>
      </c>
      <c r="G1817" s="171">
        <v>37.46</v>
      </c>
      <c r="H1817" s="171">
        <v>36.35</v>
      </c>
      <c r="I1817" s="171">
        <v>40.81</v>
      </c>
      <c r="J1817" s="171">
        <v>54.94</v>
      </c>
      <c r="K1817" s="171">
        <v>61.28</v>
      </c>
      <c r="L1817" s="171">
        <v>70.760000000000005</v>
      </c>
      <c r="M1817" s="171">
        <v>78</v>
      </c>
      <c r="N1817" s="171">
        <v>78</v>
      </c>
      <c r="O1817" s="171">
        <v>78</v>
      </c>
      <c r="P1817" s="171">
        <v>67.570000000000007</v>
      </c>
      <c r="Q1817" s="171">
        <v>68.680000000000007</v>
      </c>
      <c r="R1817" s="171">
        <v>68.680000000000007</v>
      </c>
      <c r="S1817" s="171">
        <v>63.56</v>
      </c>
      <c r="T1817" s="171">
        <v>68.290000000000006</v>
      </c>
      <c r="U1817" s="171">
        <v>65</v>
      </c>
      <c r="V1817" s="171">
        <v>65</v>
      </c>
      <c r="W1817" s="171">
        <v>64.66</v>
      </c>
      <c r="X1817" s="171">
        <v>78</v>
      </c>
      <c r="Y1817" s="171">
        <v>58.45</v>
      </c>
      <c r="Z1817" s="171">
        <v>59.96</v>
      </c>
      <c r="AA1817" s="171">
        <v>60.160000000000004</v>
      </c>
      <c r="AB1817" s="171">
        <v>78</v>
      </c>
      <c r="AC1817" s="171">
        <v>58.45</v>
      </c>
      <c r="AD1817" s="171">
        <v>51.94</v>
      </c>
      <c r="AF1817" s="171">
        <f t="shared" si="86"/>
        <v>2013</v>
      </c>
      <c r="AG1817" s="171">
        <f t="shared" si="87"/>
        <v>4</v>
      </c>
      <c r="AH1817" s="700">
        <f>SUMIF(D$3:$AA1817,"&lt;="&amp;$AH$1)/COUNTIF(D$3:$AA1817,"&lt;="&amp;$AH$1)</f>
        <v>31.131224281931249</v>
      </c>
    </row>
    <row r="1818" spans="2:34" x14ac:dyDescent="0.25">
      <c r="B1818" s="910">
        <v>41372</v>
      </c>
      <c r="C1818" s="581">
        <f t="shared" si="85"/>
        <v>4</v>
      </c>
      <c r="D1818" s="171">
        <v>59.77</v>
      </c>
      <c r="E1818" s="171">
        <v>51.11</v>
      </c>
      <c r="F1818" s="171">
        <v>54.94</v>
      </c>
      <c r="G1818" s="171">
        <v>51.13</v>
      </c>
      <c r="H1818" s="171">
        <v>51.050000000000004</v>
      </c>
      <c r="I1818" s="171">
        <v>53.54</v>
      </c>
      <c r="J1818" s="171">
        <v>61.51</v>
      </c>
      <c r="K1818" s="171">
        <v>90.55</v>
      </c>
      <c r="L1818" s="171">
        <v>89.2</v>
      </c>
      <c r="M1818" s="171">
        <v>82.63</v>
      </c>
      <c r="N1818" s="171">
        <v>68.760000000000005</v>
      </c>
      <c r="O1818" s="171">
        <v>74.930000000000007</v>
      </c>
      <c r="P1818" s="171">
        <v>65</v>
      </c>
      <c r="Q1818" s="171">
        <v>69.64</v>
      </c>
      <c r="R1818" s="171">
        <v>63.86</v>
      </c>
      <c r="S1818" s="171">
        <v>62.28</v>
      </c>
      <c r="T1818" s="171">
        <v>61.35</v>
      </c>
      <c r="U1818" s="171">
        <v>61.82</v>
      </c>
      <c r="V1818" s="171">
        <v>64.67</v>
      </c>
      <c r="W1818" s="171">
        <v>88.93</v>
      </c>
      <c r="X1818" s="171">
        <v>88.81</v>
      </c>
      <c r="Y1818" s="171">
        <v>76.09</v>
      </c>
      <c r="Z1818" s="171">
        <v>56.11</v>
      </c>
      <c r="AA1818" s="171">
        <v>54.94</v>
      </c>
      <c r="AB1818" s="171">
        <v>90.55</v>
      </c>
      <c r="AC1818" s="171">
        <v>56.11</v>
      </c>
      <c r="AD1818" s="171">
        <v>62.46</v>
      </c>
      <c r="AF1818" s="171">
        <f t="shared" si="86"/>
        <v>2013</v>
      </c>
      <c r="AG1818" s="171">
        <f t="shared" si="87"/>
        <v>0</v>
      </c>
      <c r="AH1818" s="700">
        <f>SUMIF(D$3:$AA1818,"&lt;="&amp;$AH$1)/COUNTIF(D$3:$AA1818,"&lt;="&amp;$AH$1)</f>
        <v>31.131224281931249</v>
      </c>
    </row>
    <row r="1819" spans="2:34" x14ac:dyDescent="0.25">
      <c r="B1819" s="910">
        <v>41373</v>
      </c>
      <c r="C1819" s="581">
        <f t="shared" si="85"/>
        <v>4</v>
      </c>
      <c r="D1819" s="171">
        <v>57.44</v>
      </c>
      <c r="E1819" s="171">
        <v>46.81</v>
      </c>
      <c r="F1819" s="171">
        <v>50.28</v>
      </c>
      <c r="G1819" s="171">
        <v>50.1</v>
      </c>
      <c r="H1819" s="171">
        <v>48.370000000000005</v>
      </c>
      <c r="I1819" s="171">
        <v>54.71</v>
      </c>
      <c r="J1819" s="171">
        <v>54.46</v>
      </c>
      <c r="K1819" s="171">
        <v>66.599999999999994</v>
      </c>
      <c r="L1819" s="171">
        <v>77.81</v>
      </c>
      <c r="M1819" s="171">
        <v>82.51</v>
      </c>
      <c r="N1819" s="171">
        <v>82.36</v>
      </c>
      <c r="O1819" s="171">
        <v>79.23</v>
      </c>
      <c r="P1819" s="171">
        <v>75.5</v>
      </c>
      <c r="Q1819" s="171">
        <v>74.350000000000009</v>
      </c>
      <c r="R1819" s="171">
        <v>69.78</v>
      </c>
      <c r="S1819" s="171">
        <v>62.92</v>
      </c>
      <c r="T1819" s="171">
        <v>57.2</v>
      </c>
      <c r="U1819" s="171">
        <v>59.050000000000004</v>
      </c>
      <c r="V1819" s="171">
        <v>61.77</v>
      </c>
      <c r="W1819" s="171">
        <v>65.650000000000006</v>
      </c>
      <c r="X1819" s="171">
        <v>71.77</v>
      </c>
      <c r="Y1819" s="171">
        <v>64.94</v>
      </c>
      <c r="Z1819" s="171">
        <v>68.64</v>
      </c>
      <c r="AA1819" s="171">
        <v>59.94</v>
      </c>
      <c r="AB1819" s="171">
        <v>82.51</v>
      </c>
      <c r="AC1819" s="171">
        <v>57.2</v>
      </c>
      <c r="AD1819" s="171">
        <v>57.84</v>
      </c>
      <c r="AF1819" s="171">
        <f t="shared" si="86"/>
        <v>2013</v>
      </c>
      <c r="AG1819" s="171">
        <f t="shared" si="87"/>
        <v>0</v>
      </c>
      <c r="AH1819" s="700">
        <f>SUMIF(D$3:$AA1819,"&lt;="&amp;$AH$1)/COUNTIF(D$3:$AA1819,"&lt;="&amp;$AH$1)</f>
        <v>31.131224281931249</v>
      </c>
    </row>
    <row r="1820" spans="2:34" x14ac:dyDescent="0.25">
      <c r="B1820" s="910">
        <v>41374</v>
      </c>
      <c r="C1820" s="581">
        <f t="shared" si="85"/>
        <v>4</v>
      </c>
      <c r="D1820" s="171">
        <v>57.44</v>
      </c>
      <c r="E1820" s="171">
        <v>51.75</v>
      </c>
      <c r="F1820" s="171">
        <v>50.410000000000004</v>
      </c>
      <c r="G1820" s="171">
        <v>50</v>
      </c>
      <c r="H1820" s="171">
        <v>50.04</v>
      </c>
      <c r="I1820" s="171">
        <v>47.44</v>
      </c>
      <c r="J1820" s="171">
        <v>56.7</v>
      </c>
      <c r="K1820" s="171">
        <v>69.66</v>
      </c>
      <c r="L1820" s="171">
        <v>75</v>
      </c>
      <c r="M1820" s="171">
        <v>88.960000000000008</v>
      </c>
      <c r="N1820" s="171">
        <v>85.070000000000007</v>
      </c>
      <c r="O1820" s="171">
        <v>75.239999999999995</v>
      </c>
      <c r="P1820" s="171">
        <v>66.099999999999994</v>
      </c>
      <c r="Q1820" s="171">
        <v>61.27</v>
      </c>
      <c r="R1820" s="171">
        <v>58.15</v>
      </c>
      <c r="S1820" s="171">
        <v>59.94</v>
      </c>
      <c r="T1820" s="171">
        <v>54.93</v>
      </c>
      <c r="U1820" s="171">
        <v>55</v>
      </c>
      <c r="V1820" s="171">
        <v>63.43</v>
      </c>
      <c r="W1820" s="171">
        <v>70.36</v>
      </c>
      <c r="X1820" s="171">
        <v>75.72</v>
      </c>
      <c r="Y1820" s="171">
        <v>68.040000000000006</v>
      </c>
      <c r="Z1820" s="171">
        <v>55</v>
      </c>
      <c r="AA1820" s="171">
        <v>59.93</v>
      </c>
      <c r="AB1820" s="171">
        <v>88.960000000000008</v>
      </c>
      <c r="AC1820" s="171">
        <v>54.93</v>
      </c>
      <c r="AD1820" s="171">
        <v>57.68</v>
      </c>
      <c r="AF1820" s="171">
        <f t="shared" si="86"/>
        <v>2013</v>
      </c>
      <c r="AG1820" s="171">
        <f t="shared" si="87"/>
        <v>0</v>
      </c>
      <c r="AH1820" s="700">
        <f>SUMIF(D$3:$AA1820,"&lt;="&amp;$AH$1)/COUNTIF(D$3:$AA1820,"&lt;="&amp;$AH$1)</f>
        <v>31.131224281931249</v>
      </c>
    </row>
    <row r="1821" spans="2:34" x14ac:dyDescent="0.25">
      <c r="B1821" s="910">
        <v>41375</v>
      </c>
      <c r="C1821" s="581">
        <f t="shared" si="85"/>
        <v>4</v>
      </c>
      <c r="D1821" s="171">
        <v>55</v>
      </c>
      <c r="E1821" s="171">
        <v>47.980000000000004</v>
      </c>
      <c r="F1821" s="171">
        <v>49.76</v>
      </c>
      <c r="G1821" s="171">
        <v>46.61</v>
      </c>
      <c r="H1821" s="171">
        <v>44.94</v>
      </c>
      <c r="I1821" s="171">
        <v>43.84</v>
      </c>
      <c r="J1821" s="171">
        <v>59.910000000000004</v>
      </c>
      <c r="K1821" s="171">
        <v>73.28</v>
      </c>
      <c r="L1821" s="171">
        <v>79.63</v>
      </c>
      <c r="M1821" s="171">
        <v>79.86</v>
      </c>
      <c r="N1821" s="171">
        <v>71.09</v>
      </c>
      <c r="O1821" s="171">
        <v>72.650000000000006</v>
      </c>
      <c r="P1821" s="171">
        <v>62.36</v>
      </c>
      <c r="Q1821" s="171">
        <v>60</v>
      </c>
      <c r="R1821" s="171">
        <v>59.94</v>
      </c>
      <c r="S1821" s="171">
        <v>54.59</v>
      </c>
      <c r="T1821" s="171">
        <v>53.910000000000004</v>
      </c>
      <c r="U1821" s="171">
        <v>54.49</v>
      </c>
      <c r="V1821" s="171">
        <v>59.1</v>
      </c>
      <c r="W1821" s="171">
        <v>70.56</v>
      </c>
      <c r="X1821" s="171">
        <v>74.92</v>
      </c>
      <c r="Y1821" s="171">
        <v>68</v>
      </c>
      <c r="Z1821" s="171">
        <v>69.94</v>
      </c>
      <c r="AA1821" s="171">
        <v>55</v>
      </c>
      <c r="AB1821" s="171">
        <v>79.86</v>
      </c>
      <c r="AC1821" s="171">
        <v>53.910000000000004</v>
      </c>
      <c r="AD1821" s="171">
        <v>57.43</v>
      </c>
      <c r="AF1821" s="171">
        <f t="shared" si="86"/>
        <v>2013</v>
      </c>
      <c r="AG1821" s="171">
        <f t="shared" si="87"/>
        <v>0</v>
      </c>
      <c r="AH1821" s="700">
        <f>SUMIF(D$3:$AA1821,"&lt;="&amp;$AH$1)/COUNTIF(D$3:$AA1821,"&lt;="&amp;$AH$1)</f>
        <v>31.131224281931249</v>
      </c>
    </row>
    <row r="1822" spans="2:34" x14ac:dyDescent="0.25">
      <c r="B1822" s="910">
        <v>41376</v>
      </c>
      <c r="C1822" s="581">
        <f t="shared" si="85"/>
        <v>4</v>
      </c>
      <c r="D1822" s="171">
        <v>54.5</v>
      </c>
      <c r="E1822" s="171">
        <v>48.660000000000004</v>
      </c>
      <c r="F1822" s="171">
        <v>47.85</v>
      </c>
      <c r="G1822" s="171">
        <v>45.910000000000004</v>
      </c>
      <c r="H1822" s="171">
        <v>45.49</v>
      </c>
      <c r="I1822" s="171">
        <v>49.14</v>
      </c>
      <c r="J1822" s="171">
        <v>48</v>
      </c>
      <c r="K1822" s="171">
        <v>61.11</v>
      </c>
      <c r="L1822" s="171">
        <v>71.070000000000007</v>
      </c>
      <c r="M1822" s="171">
        <v>68.930000000000007</v>
      </c>
      <c r="N1822" s="171">
        <v>64.94</v>
      </c>
      <c r="O1822" s="171">
        <v>59.94</v>
      </c>
      <c r="P1822" s="171">
        <v>60</v>
      </c>
      <c r="Q1822" s="171">
        <v>57.44</v>
      </c>
      <c r="R1822" s="171">
        <v>55.5</v>
      </c>
      <c r="S1822" s="171">
        <v>56.86</v>
      </c>
      <c r="T1822" s="171">
        <v>55</v>
      </c>
      <c r="U1822" s="171">
        <v>55.72</v>
      </c>
      <c r="V1822" s="171">
        <v>57.03</v>
      </c>
      <c r="W1822" s="171">
        <v>54.93</v>
      </c>
      <c r="X1822" s="171">
        <v>57.44</v>
      </c>
      <c r="Y1822" s="171">
        <v>56.2</v>
      </c>
      <c r="Z1822" s="171">
        <v>63.410000000000004</v>
      </c>
      <c r="AA1822" s="171">
        <v>61.38</v>
      </c>
      <c r="AB1822" s="171">
        <v>71.070000000000007</v>
      </c>
      <c r="AC1822" s="171">
        <v>54.93</v>
      </c>
      <c r="AD1822" s="171">
        <v>53.26</v>
      </c>
      <c r="AF1822" s="171">
        <f t="shared" si="86"/>
        <v>2013</v>
      </c>
      <c r="AG1822" s="171">
        <f t="shared" si="87"/>
        <v>0</v>
      </c>
      <c r="AH1822" s="700">
        <f>SUMIF(D$3:$AA1822,"&lt;="&amp;$AH$1)/COUNTIF(D$3:$AA1822,"&lt;="&amp;$AH$1)</f>
        <v>31.131224281931249</v>
      </c>
    </row>
    <row r="1823" spans="2:34" x14ac:dyDescent="0.25">
      <c r="B1823" s="910">
        <v>41379</v>
      </c>
      <c r="C1823" s="581">
        <f t="shared" si="85"/>
        <v>4</v>
      </c>
      <c r="D1823" s="171">
        <v>39.49</v>
      </c>
      <c r="E1823" s="171">
        <v>42.21</v>
      </c>
      <c r="F1823" s="171">
        <v>42.21</v>
      </c>
      <c r="G1823" s="171">
        <v>42.45</v>
      </c>
      <c r="H1823" s="171">
        <v>42.82</v>
      </c>
      <c r="I1823" s="171">
        <v>42.82</v>
      </c>
      <c r="J1823" s="171">
        <v>50</v>
      </c>
      <c r="K1823" s="171">
        <v>55</v>
      </c>
      <c r="L1823" s="171">
        <v>57.97</v>
      </c>
      <c r="M1823" s="171">
        <v>64.680000000000007</v>
      </c>
      <c r="N1823" s="171">
        <v>70</v>
      </c>
      <c r="O1823" s="171">
        <v>72.63</v>
      </c>
      <c r="P1823" s="171">
        <v>71.08</v>
      </c>
      <c r="Q1823" s="171">
        <v>70.36</v>
      </c>
      <c r="R1823" s="171">
        <v>63.550000000000004</v>
      </c>
      <c r="S1823" s="171">
        <v>57.44</v>
      </c>
      <c r="T1823" s="171">
        <v>54.47</v>
      </c>
      <c r="U1823" s="171">
        <v>59.58</v>
      </c>
      <c r="V1823" s="171">
        <v>57.97</v>
      </c>
      <c r="W1823" s="171">
        <v>57.980000000000004</v>
      </c>
      <c r="X1823" s="171">
        <v>67.52</v>
      </c>
      <c r="Y1823" s="171">
        <v>69.87</v>
      </c>
      <c r="Z1823" s="171">
        <v>61.17</v>
      </c>
      <c r="AA1823" s="171">
        <v>53.07</v>
      </c>
      <c r="AB1823" s="171">
        <v>72.63</v>
      </c>
      <c r="AC1823" s="171">
        <v>54.47</v>
      </c>
      <c r="AD1823" s="171">
        <v>50.72</v>
      </c>
      <c r="AF1823" s="171">
        <f t="shared" si="86"/>
        <v>2013</v>
      </c>
      <c r="AG1823" s="171">
        <f t="shared" si="87"/>
        <v>4</v>
      </c>
      <c r="AH1823" s="700">
        <f>SUMIF(D$3:$AA1823,"&lt;="&amp;$AH$1)/COUNTIF(D$3:$AA1823,"&lt;="&amp;$AH$1)</f>
        <v>31.134064218315221</v>
      </c>
    </row>
    <row r="1824" spans="2:34" x14ac:dyDescent="0.25">
      <c r="B1824" s="910">
        <v>41380</v>
      </c>
      <c r="C1824" s="581">
        <f t="shared" si="85"/>
        <v>4</v>
      </c>
      <c r="D1824" s="171">
        <v>47.88</v>
      </c>
      <c r="E1824" s="171">
        <v>47.47</v>
      </c>
      <c r="F1824" s="171">
        <v>47.09</v>
      </c>
      <c r="G1824" s="171">
        <v>44.94</v>
      </c>
      <c r="H1824" s="171">
        <v>45</v>
      </c>
      <c r="I1824" s="171">
        <v>48.85</v>
      </c>
      <c r="J1824" s="171">
        <v>50</v>
      </c>
      <c r="K1824" s="171">
        <v>59.44</v>
      </c>
      <c r="L1824" s="171">
        <v>70.680000000000007</v>
      </c>
      <c r="M1824" s="171">
        <v>72.650000000000006</v>
      </c>
      <c r="N1824" s="171">
        <v>65.680000000000007</v>
      </c>
      <c r="O1824" s="171">
        <v>63.61</v>
      </c>
      <c r="P1824" s="171">
        <v>58.39</v>
      </c>
      <c r="Q1824" s="171">
        <v>55.800000000000004</v>
      </c>
      <c r="R1824" s="171">
        <v>56.550000000000004</v>
      </c>
      <c r="S1824" s="171">
        <v>55.58</v>
      </c>
      <c r="T1824" s="171">
        <v>51.730000000000004</v>
      </c>
      <c r="U1824" s="171">
        <v>55</v>
      </c>
      <c r="V1824" s="171">
        <v>56.84</v>
      </c>
      <c r="W1824" s="171">
        <v>52.45</v>
      </c>
      <c r="X1824" s="171">
        <v>59.93</v>
      </c>
      <c r="Y1824" s="171">
        <v>60.4</v>
      </c>
      <c r="Z1824" s="171">
        <v>59.94</v>
      </c>
      <c r="AA1824" s="171">
        <v>54.96</v>
      </c>
      <c r="AB1824" s="171">
        <v>72.650000000000006</v>
      </c>
      <c r="AC1824" s="171">
        <v>51.730000000000004</v>
      </c>
      <c r="AD1824" s="171">
        <v>52.160000000000004</v>
      </c>
      <c r="AF1824" s="171">
        <f t="shared" si="86"/>
        <v>2013</v>
      </c>
      <c r="AG1824" s="171">
        <f t="shared" si="87"/>
        <v>0</v>
      </c>
      <c r="AH1824" s="700">
        <f>SUMIF(D$3:$AA1824,"&lt;="&amp;$AH$1)/COUNTIF(D$3:$AA1824,"&lt;="&amp;$AH$1)</f>
        <v>31.134064218315221</v>
      </c>
    </row>
    <row r="1825" spans="2:34" x14ac:dyDescent="0.25">
      <c r="B1825" s="910">
        <v>41381</v>
      </c>
      <c r="C1825" s="581">
        <f t="shared" si="85"/>
        <v>4</v>
      </c>
      <c r="D1825" s="171">
        <v>42.86</v>
      </c>
      <c r="E1825" s="171">
        <v>41.65</v>
      </c>
      <c r="F1825" s="171">
        <v>45.39</v>
      </c>
      <c r="G1825" s="171">
        <v>45.44</v>
      </c>
      <c r="H1825" s="171">
        <v>45.88</v>
      </c>
      <c r="I1825" s="171">
        <v>43.46</v>
      </c>
      <c r="J1825" s="171">
        <v>48.29</v>
      </c>
      <c r="K1825" s="171">
        <v>57.43</v>
      </c>
      <c r="L1825" s="171">
        <v>67.239999999999995</v>
      </c>
      <c r="M1825" s="171">
        <v>78.88</v>
      </c>
      <c r="N1825" s="171">
        <v>77.81</v>
      </c>
      <c r="O1825" s="171">
        <v>73.600000000000009</v>
      </c>
      <c r="P1825" s="171">
        <v>63.550000000000004</v>
      </c>
      <c r="Q1825" s="171">
        <v>60</v>
      </c>
      <c r="R1825" s="171">
        <v>57.76</v>
      </c>
      <c r="S1825" s="171">
        <v>52.44</v>
      </c>
      <c r="T1825" s="171">
        <v>53.65</v>
      </c>
      <c r="U1825" s="171">
        <v>59.96</v>
      </c>
      <c r="V1825" s="171">
        <v>50.74</v>
      </c>
      <c r="W1825" s="171">
        <v>48.32</v>
      </c>
      <c r="X1825" s="171">
        <v>51.08</v>
      </c>
      <c r="Y1825" s="171">
        <v>60</v>
      </c>
      <c r="Z1825" s="171">
        <v>50.06</v>
      </c>
      <c r="AA1825" s="171">
        <v>46.33</v>
      </c>
      <c r="AB1825" s="171">
        <v>78.88</v>
      </c>
      <c r="AC1825" s="171">
        <v>48.32</v>
      </c>
      <c r="AD1825" s="171">
        <v>48.160000000000004</v>
      </c>
      <c r="AF1825" s="171">
        <f t="shared" si="86"/>
        <v>2013</v>
      </c>
      <c r="AG1825" s="171">
        <f t="shared" si="87"/>
        <v>1</v>
      </c>
      <c r="AH1825" s="700">
        <f>SUMIF(D$3:$AA1825,"&lt;="&amp;$AH$1)/COUNTIF(D$3:$AA1825,"&lt;="&amp;$AH$1)</f>
        <v>31.134778034211347</v>
      </c>
    </row>
    <row r="1826" spans="2:34" x14ac:dyDescent="0.25">
      <c r="B1826" s="910">
        <v>41382</v>
      </c>
      <c r="C1826" s="581">
        <f t="shared" si="85"/>
        <v>4</v>
      </c>
      <c r="D1826" s="171">
        <v>42.01</v>
      </c>
      <c r="E1826" s="171">
        <v>39.92</v>
      </c>
      <c r="F1826" s="171">
        <v>37.28</v>
      </c>
      <c r="G1826" s="171">
        <v>34.56</v>
      </c>
      <c r="H1826" s="171">
        <v>34</v>
      </c>
      <c r="I1826" s="171">
        <v>35</v>
      </c>
      <c r="J1826" s="171">
        <v>41.43</v>
      </c>
      <c r="K1826" s="171">
        <v>48.02</v>
      </c>
      <c r="L1826" s="171">
        <v>55.45</v>
      </c>
      <c r="M1826" s="171">
        <v>56</v>
      </c>
      <c r="N1826" s="171">
        <v>56</v>
      </c>
      <c r="O1826" s="171">
        <v>56</v>
      </c>
      <c r="P1826" s="171">
        <v>54.83</v>
      </c>
      <c r="Q1826" s="171">
        <v>52.08</v>
      </c>
      <c r="R1826" s="171">
        <v>51.27</v>
      </c>
      <c r="S1826" s="171">
        <v>50.29</v>
      </c>
      <c r="T1826" s="171">
        <v>54.93</v>
      </c>
      <c r="U1826" s="171">
        <v>59.93</v>
      </c>
      <c r="V1826" s="171">
        <v>55</v>
      </c>
      <c r="W1826" s="171">
        <v>54.22</v>
      </c>
      <c r="X1826" s="171">
        <v>56.480000000000004</v>
      </c>
      <c r="Y1826" s="171">
        <v>60</v>
      </c>
      <c r="Z1826" s="171">
        <v>52.44</v>
      </c>
      <c r="AA1826" s="171">
        <v>45.62</v>
      </c>
      <c r="AB1826" s="171">
        <v>60</v>
      </c>
      <c r="AC1826" s="171">
        <v>48.02</v>
      </c>
      <c r="AD1826" s="171">
        <v>43.9</v>
      </c>
      <c r="AF1826" s="171">
        <f t="shared" si="86"/>
        <v>2013</v>
      </c>
      <c r="AG1826" s="171">
        <f t="shared" si="87"/>
        <v>7</v>
      </c>
      <c r="AH1826" s="700">
        <f>SUMIF(D$3:$AA1826,"&lt;="&amp;$AH$1)/COUNTIF(D$3:$AA1826,"&lt;="&amp;$AH$1)</f>
        <v>31.137916412239743</v>
      </c>
    </row>
    <row r="1827" spans="2:34" x14ac:dyDescent="0.25">
      <c r="B1827" s="910">
        <v>41383</v>
      </c>
      <c r="C1827" s="581">
        <f t="shared" si="85"/>
        <v>4</v>
      </c>
      <c r="D1827" s="171">
        <v>41.95</v>
      </c>
      <c r="E1827" s="171">
        <v>40.119999999999997</v>
      </c>
      <c r="F1827" s="171">
        <v>39.56</v>
      </c>
      <c r="G1827" s="171">
        <v>39.6</v>
      </c>
      <c r="H1827" s="171">
        <v>39.82</v>
      </c>
      <c r="I1827" s="171">
        <v>40.97</v>
      </c>
      <c r="J1827" s="171">
        <v>42.18</v>
      </c>
      <c r="K1827" s="171">
        <v>50</v>
      </c>
      <c r="L1827" s="171">
        <v>52.25</v>
      </c>
      <c r="M1827" s="171">
        <v>58.730000000000004</v>
      </c>
      <c r="N1827" s="171">
        <v>74.290000000000006</v>
      </c>
      <c r="O1827" s="171">
        <v>78.010000000000005</v>
      </c>
      <c r="P1827" s="171">
        <v>76.47</v>
      </c>
      <c r="Q1827" s="171">
        <v>74.39</v>
      </c>
      <c r="R1827" s="171">
        <v>57.01</v>
      </c>
      <c r="S1827" s="171">
        <v>51.33</v>
      </c>
      <c r="T1827" s="171">
        <v>52.44</v>
      </c>
      <c r="U1827" s="171">
        <v>52.5</v>
      </c>
      <c r="V1827" s="171">
        <v>49.94</v>
      </c>
      <c r="W1827" s="171">
        <v>47.13</v>
      </c>
      <c r="X1827" s="171">
        <v>48.85</v>
      </c>
      <c r="Y1827" s="171">
        <v>50</v>
      </c>
      <c r="Z1827" s="171">
        <v>57.43</v>
      </c>
      <c r="AA1827" s="171">
        <v>51.59</v>
      </c>
      <c r="AB1827" s="171">
        <v>78.010000000000005</v>
      </c>
      <c r="AC1827" s="171">
        <v>47.13</v>
      </c>
      <c r="AD1827" s="171">
        <v>45.17</v>
      </c>
      <c r="AF1827" s="171">
        <f t="shared" si="86"/>
        <v>2013</v>
      </c>
      <c r="AG1827" s="171">
        <f t="shared" si="87"/>
        <v>7</v>
      </c>
      <c r="AH1827" s="700">
        <f>SUMIF(D$3:$AA1827,"&lt;="&amp;$AH$1)/COUNTIF(D$3:$AA1827,"&lt;="&amp;$AH$1)</f>
        <v>31.142408110674186</v>
      </c>
    </row>
    <row r="1828" spans="2:34" x14ac:dyDescent="0.25">
      <c r="B1828" s="910">
        <v>41386</v>
      </c>
      <c r="C1828" s="581">
        <f t="shared" si="85"/>
        <v>4</v>
      </c>
      <c r="D1828" s="171">
        <v>43.07</v>
      </c>
      <c r="E1828" s="171">
        <v>42.83</v>
      </c>
      <c r="F1828" s="171">
        <v>41.88</v>
      </c>
      <c r="G1828" s="171">
        <v>41.27</v>
      </c>
      <c r="H1828" s="171">
        <v>41.13</v>
      </c>
      <c r="I1828" s="171">
        <v>43.45</v>
      </c>
      <c r="J1828" s="171">
        <v>50.47</v>
      </c>
      <c r="K1828" s="171">
        <v>60.15</v>
      </c>
      <c r="L1828" s="171">
        <v>94.94</v>
      </c>
      <c r="M1828" s="171">
        <v>80.8</v>
      </c>
      <c r="N1828" s="171">
        <v>84.11</v>
      </c>
      <c r="O1828" s="171">
        <v>70.239999999999995</v>
      </c>
      <c r="P1828" s="171">
        <v>55.29</v>
      </c>
      <c r="Q1828" s="171">
        <v>52.5</v>
      </c>
      <c r="R1828" s="171">
        <v>51.54</v>
      </c>
      <c r="S1828" s="171">
        <v>47.86</v>
      </c>
      <c r="T1828" s="171">
        <v>47.88</v>
      </c>
      <c r="U1828" s="171">
        <v>49.94</v>
      </c>
      <c r="V1828" s="171">
        <v>48.47</v>
      </c>
      <c r="W1828" s="171">
        <v>52.5</v>
      </c>
      <c r="X1828" s="171">
        <v>52.95</v>
      </c>
      <c r="Y1828" s="171">
        <v>54.94</v>
      </c>
      <c r="Z1828" s="171">
        <v>52.5</v>
      </c>
      <c r="AA1828" s="171">
        <v>47.44</v>
      </c>
      <c r="AB1828" s="171">
        <v>94.94</v>
      </c>
      <c r="AC1828" s="171">
        <v>47.86</v>
      </c>
      <c r="AD1828" s="171">
        <v>47.67</v>
      </c>
      <c r="AF1828" s="171">
        <f t="shared" si="86"/>
        <v>2013</v>
      </c>
      <c r="AG1828" s="171">
        <f t="shared" si="87"/>
        <v>3</v>
      </c>
      <c r="AH1828" s="700">
        <f>SUMIF(D$3:$AA1828,"&lt;="&amp;$AH$1)/COUNTIF(D$3:$AA1828,"&lt;="&amp;$AH$1)</f>
        <v>31.144499966099502</v>
      </c>
    </row>
    <row r="1829" spans="2:34" x14ac:dyDescent="0.25">
      <c r="B1829" s="910">
        <v>41387</v>
      </c>
      <c r="C1829" s="581">
        <f t="shared" si="85"/>
        <v>4</v>
      </c>
      <c r="D1829" s="171">
        <v>45.38</v>
      </c>
      <c r="E1829" s="171">
        <v>39.67</v>
      </c>
      <c r="F1829" s="171">
        <v>42.08</v>
      </c>
      <c r="G1829" s="171">
        <v>41.72</v>
      </c>
      <c r="H1829" s="171">
        <v>40.880000000000003</v>
      </c>
      <c r="I1829" s="171">
        <v>40.880000000000003</v>
      </c>
      <c r="J1829" s="171">
        <v>42.08</v>
      </c>
      <c r="K1829" s="171">
        <v>50.9</v>
      </c>
      <c r="L1829" s="171">
        <v>54.980000000000004</v>
      </c>
      <c r="M1829" s="171">
        <v>64.94</v>
      </c>
      <c r="N1829" s="171">
        <v>64.75</v>
      </c>
      <c r="O1829" s="171">
        <v>65.61</v>
      </c>
      <c r="P1829" s="171">
        <v>69.650000000000006</v>
      </c>
      <c r="Q1829" s="171">
        <v>67.12</v>
      </c>
      <c r="R1829" s="171">
        <v>64.960000000000008</v>
      </c>
      <c r="S1829" s="171">
        <v>58</v>
      </c>
      <c r="T1829" s="171">
        <v>57.44</v>
      </c>
      <c r="U1829" s="171">
        <v>62.22</v>
      </c>
      <c r="V1829" s="171">
        <v>60</v>
      </c>
      <c r="W1829" s="171">
        <v>51.07</v>
      </c>
      <c r="X1829" s="171">
        <v>55</v>
      </c>
      <c r="Y1829" s="171">
        <v>69.930000000000007</v>
      </c>
      <c r="Z1829" s="171">
        <v>60</v>
      </c>
      <c r="AA1829" s="171">
        <v>51.7</v>
      </c>
      <c r="AB1829" s="171">
        <v>69.930000000000007</v>
      </c>
      <c r="AC1829" s="171">
        <v>50.9</v>
      </c>
      <c r="AD1829" s="171">
        <v>48.35</v>
      </c>
      <c r="AF1829" s="171">
        <f t="shared" si="86"/>
        <v>2013</v>
      </c>
      <c r="AG1829" s="171">
        <f t="shared" si="87"/>
        <v>6</v>
      </c>
      <c r="AH1829" s="700">
        <f>SUMIF(D$3:$AA1829,"&lt;="&amp;$AH$1)/COUNTIF(D$3:$AA1829,"&lt;="&amp;$AH$1)</f>
        <v>31.148596407997395</v>
      </c>
    </row>
    <row r="1830" spans="2:34" x14ac:dyDescent="0.25">
      <c r="B1830" s="910">
        <v>41388</v>
      </c>
      <c r="C1830" s="581">
        <f t="shared" si="85"/>
        <v>4</v>
      </c>
      <c r="D1830" s="171">
        <v>47.44</v>
      </c>
      <c r="E1830" s="171">
        <v>43.15</v>
      </c>
      <c r="F1830" s="171">
        <v>42.76</v>
      </c>
      <c r="G1830" s="171">
        <v>42.24</v>
      </c>
      <c r="H1830" s="171">
        <v>41.94</v>
      </c>
      <c r="I1830" s="171">
        <v>43.18</v>
      </c>
      <c r="J1830" s="171">
        <v>44.04</v>
      </c>
      <c r="K1830" s="171">
        <v>60</v>
      </c>
      <c r="L1830" s="171">
        <v>71.23</v>
      </c>
      <c r="M1830" s="171">
        <v>65.12</v>
      </c>
      <c r="N1830" s="171">
        <v>72.44</v>
      </c>
      <c r="O1830" s="171">
        <v>63.59</v>
      </c>
      <c r="P1830" s="171">
        <v>55</v>
      </c>
      <c r="Q1830" s="171">
        <v>52.44</v>
      </c>
      <c r="R1830" s="171">
        <v>48.78</v>
      </c>
      <c r="S1830" s="171">
        <v>46.1</v>
      </c>
      <c r="T1830" s="171">
        <v>47.44</v>
      </c>
      <c r="U1830" s="171">
        <v>50.120000000000005</v>
      </c>
      <c r="V1830" s="171">
        <v>51.44</v>
      </c>
      <c r="W1830" s="171">
        <v>48.54</v>
      </c>
      <c r="X1830" s="171">
        <v>55</v>
      </c>
      <c r="Y1830" s="171">
        <v>65.760000000000005</v>
      </c>
      <c r="Z1830" s="171">
        <v>63.84</v>
      </c>
      <c r="AA1830" s="171">
        <v>55</v>
      </c>
      <c r="AB1830" s="171">
        <v>72.44</v>
      </c>
      <c r="AC1830" s="171">
        <v>46.1</v>
      </c>
      <c r="AD1830" s="171">
        <v>50.36</v>
      </c>
      <c r="AF1830" s="171">
        <f t="shared" si="86"/>
        <v>2013</v>
      </c>
      <c r="AG1830" s="171">
        <f t="shared" si="87"/>
        <v>2</v>
      </c>
      <c r="AH1830" s="700">
        <f>SUMIF(D$3:$AA1830,"&lt;="&amp;$AH$1)/COUNTIF(D$3:$AA1830,"&lt;="&amp;$AH$1)</f>
        <v>31.150079284407504</v>
      </c>
    </row>
    <row r="1831" spans="2:34" x14ac:dyDescent="0.25">
      <c r="B1831" s="910">
        <v>41389</v>
      </c>
      <c r="C1831" s="581">
        <f t="shared" si="85"/>
        <v>4</v>
      </c>
      <c r="D1831" s="171">
        <v>49.24</v>
      </c>
      <c r="E1831" s="171">
        <v>45.5</v>
      </c>
      <c r="F1831" s="171">
        <v>45.5</v>
      </c>
      <c r="G1831" s="171">
        <v>43.06</v>
      </c>
      <c r="H1831" s="171">
        <v>43.09</v>
      </c>
      <c r="I1831" s="171">
        <v>45.52</v>
      </c>
      <c r="J1831" s="171">
        <v>50.050000000000004</v>
      </c>
      <c r="K1831" s="171">
        <v>57</v>
      </c>
      <c r="L1831" s="171">
        <v>60.7</v>
      </c>
      <c r="M1831" s="171">
        <v>70</v>
      </c>
      <c r="N1831" s="171">
        <v>59.94</v>
      </c>
      <c r="O1831" s="171">
        <v>65</v>
      </c>
      <c r="P1831" s="171">
        <v>57</v>
      </c>
      <c r="Q1831" s="171">
        <v>57</v>
      </c>
      <c r="R1831" s="171">
        <v>57</v>
      </c>
      <c r="S1831" s="171">
        <v>51.54</v>
      </c>
      <c r="T1831" s="171">
        <v>52</v>
      </c>
      <c r="U1831" s="171">
        <v>54.94</v>
      </c>
      <c r="V1831" s="171">
        <v>51.54</v>
      </c>
      <c r="W1831" s="171">
        <v>49.96</v>
      </c>
      <c r="X1831" s="171">
        <v>52.44</v>
      </c>
      <c r="Y1831" s="171">
        <v>64.94</v>
      </c>
      <c r="Z1831" s="171">
        <v>57</v>
      </c>
      <c r="AA1831" s="171">
        <v>55</v>
      </c>
      <c r="AB1831" s="171">
        <v>70</v>
      </c>
      <c r="AC1831" s="171">
        <v>49.96</v>
      </c>
      <c r="AD1831" s="171">
        <v>50.69</v>
      </c>
      <c r="AF1831" s="171">
        <f t="shared" si="86"/>
        <v>2013</v>
      </c>
      <c r="AG1831" s="171">
        <f t="shared" si="87"/>
        <v>0</v>
      </c>
      <c r="AH1831" s="700">
        <f>SUMIF(D$3:$AA1831,"&lt;="&amp;$AH$1)/COUNTIF(D$3:$AA1831,"&lt;="&amp;$AH$1)</f>
        <v>31.150079284407504</v>
      </c>
    </row>
    <row r="1832" spans="2:34" x14ac:dyDescent="0.25">
      <c r="B1832" s="910">
        <v>41390</v>
      </c>
      <c r="C1832" s="581">
        <f t="shared" si="85"/>
        <v>4</v>
      </c>
      <c r="D1832" s="171">
        <v>54.94</v>
      </c>
      <c r="E1832" s="171">
        <v>45.94</v>
      </c>
      <c r="F1832" s="171">
        <v>44.94</v>
      </c>
      <c r="G1832" s="171">
        <v>43.52</v>
      </c>
      <c r="H1832" s="171">
        <v>42.31</v>
      </c>
      <c r="I1832" s="171">
        <v>42.31</v>
      </c>
      <c r="J1832" s="171">
        <v>45.12</v>
      </c>
      <c r="K1832" s="171">
        <v>59.93</v>
      </c>
      <c r="L1832" s="171">
        <v>59.93</v>
      </c>
      <c r="M1832" s="171">
        <v>71.33</v>
      </c>
      <c r="N1832" s="171">
        <v>76.210000000000008</v>
      </c>
      <c r="O1832" s="171">
        <v>82.95</v>
      </c>
      <c r="P1832" s="171">
        <v>78.33</v>
      </c>
      <c r="Q1832" s="171">
        <v>70.010000000000005</v>
      </c>
      <c r="R1832" s="171">
        <v>68.86</v>
      </c>
      <c r="S1832" s="171">
        <v>65.47</v>
      </c>
      <c r="T1832" s="171">
        <v>59.24</v>
      </c>
      <c r="U1832" s="171">
        <v>73.760000000000005</v>
      </c>
      <c r="V1832" s="171">
        <v>68.23</v>
      </c>
      <c r="W1832" s="171">
        <v>55.17</v>
      </c>
      <c r="X1832" s="171">
        <v>57.43</v>
      </c>
      <c r="Y1832" s="171">
        <v>68.25</v>
      </c>
      <c r="Z1832" s="171">
        <v>60.29</v>
      </c>
      <c r="AA1832" s="171">
        <v>52.44</v>
      </c>
      <c r="AB1832" s="171">
        <v>82.95</v>
      </c>
      <c r="AC1832" s="171">
        <v>55.17</v>
      </c>
      <c r="AD1832" s="171">
        <v>51.45</v>
      </c>
      <c r="AF1832" s="171">
        <f t="shared" si="86"/>
        <v>2013</v>
      </c>
      <c r="AG1832" s="171">
        <f t="shared" si="87"/>
        <v>2</v>
      </c>
      <c r="AH1832" s="700">
        <f>SUMIF(D$3:$AA1832,"&lt;="&amp;$AH$1)/COUNTIF(D$3:$AA1832,"&lt;="&amp;$AH$1)</f>
        <v>31.151591571244769</v>
      </c>
    </row>
    <row r="1833" spans="2:34" x14ac:dyDescent="0.25">
      <c r="B1833" s="910">
        <v>41393</v>
      </c>
      <c r="C1833" s="581">
        <f t="shared" si="85"/>
        <v>4</v>
      </c>
      <c r="D1833" s="171">
        <v>40.33</v>
      </c>
      <c r="E1833" s="171">
        <v>38.840000000000003</v>
      </c>
      <c r="F1833" s="171">
        <v>38.340000000000003</v>
      </c>
      <c r="G1833" s="171">
        <v>37.81</v>
      </c>
      <c r="H1833" s="171">
        <v>37.54</v>
      </c>
      <c r="I1833" s="171">
        <v>38.020000000000003</v>
      </c>
      <c r="J1833" s="171">
        <v>41.58</v>
      </c>
      <c r="K1833" s="171">
        <v>46.730000000000004</v>
      </c>
      <c r="L1833" s="171">
        <v>52.11</v>
      </c>
      <c r="M1833" s="171">
        <v>59</v>
      </c>
      <c r="N1833" s="171">
        <v>63.5</v>
      </c>
      <c r="O1833" s="171">
        <v>59</v>
      </c>
      <c r="P1833" s="171">
        <v>59</v>
      </c>
      <c r="Q1833" s="171">
        <v>54.800000000000004</v>
      </c>
      <c r="R1833" s="171">
        <v>54.94</v>
      </c>
      <c r="S1833" s="171">
        <v>46.68</v>
      </c>
      <c r="T1833" s="171">
        <v>49.11</v>
      </c>
      <c r="U1833" s="171">
        <v>57.44</v>
      </c>
      <c r="V1833" s="171">
        <v>54.93</v>
      </c>
      <c r="W1833" s="171">
        <v>49.82</v>
      </c>
      <c r="X1833" s="171">
        <v>55</v>
      </c>
      <c r="Y1833" s="171">
        <v>72.59</v>
      </c>
      <c r="Z1833" s="171">
        <v>70.430000000000007</v>
      </c>
      <c r="AA1833" s="171">
        <v>55.31</v>
      </c>
      <c r="AB1833" s="171">
        <v>72.59</v>
      </c>
      <c r="AC1833" s="171">
        <v>46.68</v>
      </c>
      <c r="AD1833" s="171">
        <v>47.71</v>
      </c>
      <c r="AF1833" s="171">
        <f t="shared" si="86"/>
        <v>2013</v>
      </c>
      <c r="AG1833" s="171">
        <f t="shared" si="87"/>
        <v>7</v>
      </c>
      <c r="AH1833" s="700">
        <f>SUMIF(D$3:$AA1833,"&lt;="&amp;$AH$1)/COUNTIF(D$3:$AA1833,"&lt;="&amp;$AH$1)</f>
        <v>31.155275633211541</v>
      </c>
    </row>
    <row r="1834" spans="2:34" x14ac:dyDescent="0.25">
      <c r="B1834" s="910">
        <v>41394</v>
      </c>
      <c r="C1834" s="581">
        <f t="shared" si="85"/>
        <v>4</v>
      </c>
      <c r="D1834" s="171">
        <v>58.6</v>
      </c>
      <c r="E1834" s="171">
        <v>48.95</v>
      </c>
      <c r="F1834" s="171">
        <v>47.44</v>
      </c>
      <c r="G1834" s="171">
        <v>45</v>
      </c>
      <c r="H1834" s="171">
        <v>45.53</v>
      </c>
      <c r="I1834" s="171">
        <v>49.22</v>
      </c>
      <c r="J1834" s="171">
        <v>55</v>
      </c>
      <c r="K1834" s="171">
        <v>60.45</v>
      </c>
      <c r="L1834" s="171">
        <v>50.35</v>
      </c>
      <c r="M1834" s="171">
        <v>56.15</v>
      </c>
      <c r="N1834" s="171">
        <v>60</v>
      </c>
      <c r="O1834" s="171">
        <v>50</v>
      </c>
      <c r="P1834" s="171">
        <v>49.94</v>
      </c>
      <c r="Q1834" s="171">
        <v>48.230000000000004</v>
      </c>
      <c r="R1834" s="171">
        <v>47</v>
      </c>
      <c r="S1834" s="171">
        <v>47.43</v>
      </c>
      <c r="T1834" s="171">
        <v>48.82</v>
      </c>
      <c r="U1834" s="171">
        <v>54.94</v>
      </c>
      <c r="V1834" s="171">
        <v>54.93</v>
      </c>
      <c r="W1834" s="171">
        <v>50</v>
      </c>
      <c r="X1834" s="171">
        <v>55.92</v>
      </c>
      <c r="Y1834" s="171">
        <v>67.36</v>
      </c>
      <c r="Z1834" s="171">
        <v>63</v>
      </c>
      <c r="AA1834" s="171">
        <v>57.43</v>
      </c>
      <c r="AB1834" s="171">
        <v>67.36</v>
      </c>
      <c r="AC1834" s="171">
        <v>47</v>
      </c>
      <c r="AD1834" s="171">
        <v>54.49</v>
      </c>
      <c r="AF1834" s="171">
        <f t="shared" si="86"/>
        <v>2013</v>
      </c>
      <c r="AG1834" s="171">
        <f t="shared" si="87"/>
        <v>0</v>
      </c>
      <c r="AH1834" s="700">
        <f>SUMIF(D$3:$AA1834,"&lt;="&amp;$AH$1)/COUNTIF(D$3:$AA1834,"&lt;="&amp;$AH$1)</f>
        <v>31.155275633211541</v>
      </c>
    </row>
    <row r="1835" spans="2:34" x14ac:dyDescent="0.25">
      <c r="B1835" s="910">
        <v>41395</v>
      </c>
      <c r="C1835" s="581">
        <f t="shared" si="85"/>
        <v>5</v>
      </c>
      <c r="D1835" s="171">
        <v>46</v>
      </c>
      <c r="E1835" s="171">
        <v>41.53</v>
      </c>
      <c r="F1835" s="171">
        <v>39.65</v>
      </c>
      <c r="G1835" s="171">
        <v>40</v>
      </c>
      <c r="H1835" s="171">
        <v>37.93</v>
      </c>
      <c r="I1835" s="171">
        <v>40.200000000000003</v>
      </c>
      <c r="J1835" s="171">
        <v>40</v>
      </c>
      <c r="K1835" s="171">
        <v>49.42</v>
      </c>
      <c r="L1835" s="171">
        <v>47.7</v>
      </c>
      <c r="M1835" s="171">
        <v>58.63</v>
      </c>
      <c r="N1835" s="171">
        <v>73.290000000000006</v>
      </c>
      <c r="O1835" s="171">
        <v>74.930000000000007</v>
      </c>
      <c r="P1835" s="171">
        <v>69.94</v>
      </c>
      <c r="Q1835" s="171">
        <v>64.930000000000007</v>
      </c>
      <c r="R1835" s="171">
        <v>56.32</v>
      </c>
      <c r="S1835" s="171">
        <v>52.44</v>
      </c>
      <c r="T1835" s="171">
        <v>49.36</v>
      </c>
      <c r="U1835" s="171">
        <v>49.96</v>
      </c>
      <c r="V1835" s="171">
        <v>47</v>
      </c>
      <c r="W1835" s="171">
        <v>47</v>
      </c>
      <c r="X1835" s="171">
        <v>46.4</v>
      </c>
      <c r="Y1835" s="171">
        <v>47.7</v>
      </c>
      <c r="Z1835" s="171">
        <v>49.94</v>
      </c>
      <c r="AA1835" s="171">
        <v>45</v>
      </c>
      <c r="AB1835" s="171">
        <v>74.930000000000007</v>
      </c>
      <c r="AC1835" s="171">
        <v>46.4</v>
      </c>
      <c r="AD1835" s="171">
        <v>43.65</v>
      </c>
      <c r="AF1835" s="171">
        <f t="shared" si="86"/>
        <v>2013</v>
      </c>
      <c r="AG1835" s="171">
        <f t="shared" si="87"/>
        <v>6</v>
      </c>
      <c r="AH1835" s="700">
        <f>SUMIF(D$3:$AA1835,"&lt;="&amp;$AH$1)/COUNTIF(D$3:$AA1835,"&lt;="&amp;$AH$1)</f>
        <v>31.158821418900736</v>
      </c>
    </row>
    <row r="1836" spans="2:34" x14ac:dyDescent="0.25">
      <c r="B1836" s="910">
        <v>41396</v>
      </c>
      <c r="C1836" s="581">
        <f t="shared" si="85"/>
        <v>5</v>
      </c>
      <c r="D1836" s="171">
        <v>44.99</v>
      </c>
      <c r="E1836" s="171">
        <v>41.99</v>
      </c>
      <c r="F1836" s="171">
        <v>43.25</v>
      </c>
      <c r="G1836" s="171">
        <v>42.77</v>
      </c>
      <c r="H1836" s="171">
        <v>42.45</v>
      </c>
      <c r="I1836" s="171">
        <v>40.44</v>
      </c>
      <c r="J1836" s="171">
        <v>44.93</v>
      </c>
      <c r="K1836" s="171">
        <v>52</v>
      </c>
      <c r="L1836" s="171">
        <v>57.1</v>
      </c>
      <c r="M1836" s="171">
        <v>67.59</v>
      </c>
      <c r="N1836" s="171">
        <v>78.45</v>
      </c>
      <c r="O1836" s="171">
        <v>74</v>
      </c>
      <c r="P1836" s="171">
        <v>67.59</v>
      </c>
      <c r="Q1836" s="171">
        <v>60</v>
      </c>
      <c r="R1836" s="171">
        <v>53.11</v>
      </c>
      <c r="S1836" s="171">
        <v>50.53</v>
      </c>
      <c r="T1836" s="171">
        <v>51.85</v>
      </c>
      <c r="U1836" s="171">
        <v>57.44</v>
      </c>
      <c r="V1836" s="171">
        <v>50</v>
      </c>
      <c r="W1836" s="171">
        <v>48.24</v>
      </c>
      <c r="X1836" s="171">
        <v>50</v>
      </c>
      <c r="Y1836" s="171">
        <v>60</v>
      </c>
      <c r="Z1836" s="171">
        <v>57.43</v>
      </c>
      <c r="AA1836" s="171">
        <v>51.49</v>
      </c>
      <c r="AB1836" s="171">
        <v>78.45</v>
      </c>
      <c r="AC1836" s="171">
        <v>48.24</v>
      </c>
      <c r="AD1836" s="171">
        <v>47.65</v>
      </c>
      <c r="AF1836" s="171">
        <f t="shared" si="86"/>
        <v>2013</v>
      </c>
      <c r="AG1836" s="171">
        <f t="shared" si="87"/>
        <v>3</v>
      </c>
      <c r="AH1836" s="700">
        <f>SUMIF(D$3:$AA1836,"&lt;="&amp;$AH$1)/COUNTIF(D$3:$AA1836,"&lt;="&amp;$AH$1)</f>
        <v>31.160946869712465</v>
      </c>
    </row>
    <row r="1837" spans="2:34" x14ac:dyDescent="0.25">
      <c r="B1837" s="910">
        <v>41397</v>
      </c>
      <c r="C1837" s="581">
        <f t="shared" si="85"/>
        <v>5</v>
      </c>
      <c r="D1837" s="171">
        <v>52.4</v>
      </c>
      <c r="E1837" s="171">
        <v>45.09</v>
      </c>
      <c r="F1837" s="171">
        <v>43</v>
      </c>
      <c r="G1837" s="171">
        <v>42.83</v>
      </c>
      <c r="H1837" s="171">
        <v>42.65</v>
      </c>
      <c r="I1837" s="171">
        <v>43.17</v>
      </c>
      <c r="J1837" s="171">
        <v>46.31</v>
      </c>
      <c r="K1837" s="171">
        <v>52.43</v>
      </c>
      <c r="L1837" s="171">
        <v>59.89</v>
      </c>
      <c r="M1837" s="171">
        <v>66.37</v>
      </c>
      <c r="N1837" s="171">
        <v>75.460000000000008</v>
      </c>
      <c r="O1837" s="171">
        <v>77.350000000000009</v>
      </c>
      <c r="P1837" s="171">
        <v>66</v>
      </c>
      <c r="Q1837" s="171">
        <v>58.5</v>
      </c>
      <c r="R1837" s="171">
        <v>59.56</v>
      </c>
      <c r="S1837" s="171">
        <v>52.07</v>
      </c>
      <c r="T1837" s="171">
        <v>51.6</v>
      </c>
      <c r="U1837" s="171">
        <v>62.49</v>
      </c>
      <c r="V1837" s="171">
        <v>52.44</v>
      </c>
      <c r="W1837" s="171">
        <v>50</v>
      </c>
      <c r="X1837" s="171">
        <v>50</v>
      </c>
      <c r="Y1837" s="171">
        <v>59.63</v>
      </c>
      <c r="Z1837" s="171">
        <v>59.94</v>
      </c>
      <c r="AA1837" s="171">
        <v>52.43</v>
      </c>
      <c r="AB1837" s="171">
        <v>77.350000000000009</v>
      </c>
      <c r="AC1837" s="171">
        <v>50</v>
      </c>
      <c r="AD1837" s="171">
        <v>49.160000000000004</v>
      </c>
      <c r="AF1837" s="171">
        <f t="shared" si="86"/>
        <v>2013</v>
      </c>
      <c r="AG1837" s="171">
        <f t="shared" si="87"/>
        <v>0</v>
      </c>
      <c r="AH1837" s="700">
        <f>SUMIF(D$3:$AA1837,"&lt;="&amp;$AH$1)/COUNTIF(D$3:$AA1837,"&lt;="&amp;$AH$1)</f>
        <v>31.160946869712465</v>
      </c>
    </row>
    <row r="1838" spans="2:34" x14ac:dyDescent="0.25">
      <c r="B1838" s="910">
        <v>41400</v>
      </c>
      <c r="C1838" s="581">
        <f t="shared" si="85"/>
        <v>5</v>
      </c>
      <c r="D1838" s="171">
        <v>47.69</v>
      </c>
      <c r="E1838" s="171">
        <v>40.840000000000003</v>
      </c>
      <c r="F1838" s="171">
        <v>40.32</v>
      </c>
      <c r="G1838" s="171">
        <v>40.18</v>
      </c>
      <c r="H1838" s="171">
        <v>39.630000000000003</v>
      </c>
      <c r="I1838" s="171">
        <v>42.85</v>
      </c>
      <c r="J1838" s="171">
        <v>45.300000000000004</v>
      </c>
      <c r="K1838" s="171">
        <v>54.93</v>
      </c>
      <c r="L1838" s="171">
        <v>56.32</v>
      </c>
      <c r="M1838" s="171">
        <v>59.99</v>
      </c>
      <c r="N1838" s="171">
        <v>53.64</v>
      </c>
      <c r="O1838" s="171">
        <v>69.94</v>
      </c>
      <c r="P1838" s="171">
        <v>65.66</v>
      </c>
      <c r="Q1838" s="171">
        <v>61.68</v>
      </c>
      <c r="R1838" s="171">
        <v>54.45</v>
      </c>
      <c r="S1838" s="171">
        <v>55</v>
      </c>
      <c r="T1838" s="171">
        <v>55</v>
      </c>
      <c r="U1838" s="171">
        <v>54.94</v>
      </c>
      <c r="V1838" s="171">
        <v>58.75</v>
      </c>
      <c r="W1838" s="171">
        <v>59.9</v>
      </c>
      <c r="X1838" s="171">
        <v>59.9</v>
      </c>
      <c r="Y1838" s="171">
        <v>69.94</v>
      </c>
      <c r="Z1838" s="171">
        <v>84.93</v>
      </c>
      <c r="AA1838" s="171">
        <v>57.6</v>
      </c>
      <c r="AB1838" s="171">
        <v>84.93</v>
      </c>
      <c r="AC1838" s="171">
        <v>53.64</v>
      </c>
      <c r="AD1838" s="171">
        <v>52.01</v>
      </c>
      <c r="AF1838" s="171">
        <f t="shared" si="86"/>
        <v>2013</v>
      </c>
      <c r="AG1838" s="171">
        <f t="shared" si="87"/>
        <v>4</v>
      </c>
      <c r="AH1838" s="700">
        <f>SUMIF(D$3:$AA1838,"&lt;="&amp;$AH$1)/COUNTIF(D$3:$AA1838,"&lt;="&amp;$AH$1)</f>
        <v>31.163404831179491</v>
      </c>
    </row>
    <row r="1839" spans="2:34" x14ac:dyDescent="0.25">
      <c r="B1839" s="910">
        <v>41401</v>
      </c>
      <c r="C1839" s="581">
        <f t="shared" si="85"/>
        <v>5</v>
      </c>
      <c r="D1839" s="171">
        <v>53</v>
      </c>
      <c r="E1839" s="171">
        <v>47.75</v>
      </c>
      <c r="F1839" s="171">
        <v>45.61</v>
      </c>
      <c r="G1839" s="171">
        <v>44.69</v>
      </c>
      <c r="H1839" s="171">
        <v>44.69</v>
      </c>
      <c r="I1839" s="171">
        <v>44.08</v>
      </c>
      <c r="J1839" s="171">
        <v>48.97</v>
      </c>
      <c r="K1839" s="171">
        <v>57.54</v>
      </c>
      <c r="L1839" s="171">
        <v>62.78</v>
      </c>
      <c r="M1839" s="171">
        <v>62.63</v>
      </c>
      <c r="N1839" s="171">
        <v>82.12</v>
      </c>
      <c r="O1839" s="171">
        <v>62.63</v>
      </c>
      <c r="P1839" s="171">
        <v>62.63</v>
      </c>
      <c r="Q1839" s="171">
        <v>65.66</v>
      </c>
      <c r="R1839" s="171">
        <v>57.230000000000004</v>
      </c>
      <c r="S1839" s="171">
        <v>52.44</v>
      </c>
      <c r="T1839" s="171">
        <v>53.13</v>
      </c>
      <c r="U1839" s="171">
        <v>60.480000000000004</v>
      </c>
      <c r="V1839" s="171">
        <v>61.63</v>
      </c>
      <c r="W1839" s="171">
        <v>54.94</v>
      </c>
      <c r="X1839" s="171">
        <v>56.45</v>
      </c>
      <c r="Y1839" s="171">
        <v>63.36</v>
      </c>
      <c r="Z1839" s="171">
        <v>62.63</v>
      </c>
      <c r="AA1839" s="171">
        <v>58.75</v>
      </c>
      <c r="AB1839" s="171">
        <v>82.12</v>
      </c>
      <c r="AC1839" s="171">
        <v>52.44</v>
      </c>
      <c r="AD1839" s="171">
        <v>52.29</v>
      </c>
      <c r="AF1839" s="171">
        <f t="shared" si="86"/>
        <v>2013</v>
      </c>
      <c r="AG1839" s="171">
        <f t="shared" si="87"/>
        <v>0</v>
      </c>
      <c r="AH1839" s="700">
        <f>SUMIF(D$3:$AA1839,"&lt;="&amp;$AH$1)/COUNTIF(D$3:$AA1839,"&lt;="&amp;$AH$1)</f>
        <v>31.163404831179491</v>
      </c>
    </row>
    <row r="1840" spans="2:34" x14ac:dyDescent="0.25">
      <c r="B1840" s="910">
        <v>41402</v>
      </c>
      <c r="C1840" s="581">
        <f t="shared" si="85"/>
        <v>5</v>
      </c>
      <c r="D1840" s="171">
        <v>45.43</v>
      </c>
      <c r="E1840" s="171">
        <v>41.08</v>
      </c>
      <c r="F1840" s="171">
        <v>44.06</v>
      </c>
      <c r="G1840" s="171">
        <v>43</v>
      </c>
      <c r="H1840" s="171">
        <v>44.06</v>
      </c>
      <c r="I1840" s="171">
        <v>45.9</v>
      </c>
      <c r="J1840" s="171">
        <v>47.6</v>
      </c>
      <c r="K1840" s="171">
        <v>53.85</v>
      </c>
      <c r="L1840" s="171">
        <v>59.88</v>
      </c>
      <c r="M1840" s="171">
        <v>61.72</v>
      </c>
      <c r="N1840" s="171">
        <v>74.94</v>
      </c>
      <c r="O1840" s="171">
        <v>70.010000000000005</v>
      </c>
      <c r="P1840" s="171">
        <v>63.68</v>
      </c>
      <c r="Q1840" s="171">
        <v>59.45</v>
      </c>
      <c r="R1840" s="171">
        <v>64.94</v>
      </c>
      <c r="S1840" s="171">
        <v>59.94</v>
      </c>
      <c r="T1840" s="171">
        <v>57.58</v>
      </c>
      <c r="U1840" s="171">
        <v>72.55</v>
      </c>
      <c r="V1840" s="171">
        <v>60.120000000000005</v>
      </c>
      <c r="W1840" s="171">
        <v>52.43</v>
      </c>
      <c r="X1840" s="171">
        <v>54.82</v>
      </c>
      <c r="Y1840" s="171">
        <v>57.58</v>
      </c>
      <c r="Z1840" s="171">
        <v>56.43</v>
      </c>
      <c r="AA1840" s="171">
        <v>49.5</v>
      </c>
      <c r="AB1840" s="171">
        <v>74.94</v>
      </c>
      <c r="AC1840" s="171">
        <v>52.43</v>
      </c>
      <c r="AD1840" s="171">
        <v>48.61</v>
      </c>
      <c r="AF1840" s="171">
        <f t="shared" si="86"/>
        <v>2013</v>
      </c>
      <c r="AG1840" s="171">
        <f t="shared" si="87"/>
        <v>1</v>
      </c>
      <c r="AH1840" s="700">
        <f>SUMIF(D$3:$AA1840,"&lt;="&amp;$AH$1)/COUNTIF(D$3:$AA1840,"&lt;="&amp;$AH$1)</f>
        <v>31.164075778078601</v>
      </c>
    </row>
    <row r="1841" spans="2:34" x14ac:dyDescent="0.25">
      <c r="B1841" s="910">
        <v>41403</v>
      </c>
      <c r="C1841" s="581">
        <f t="shared" si="85"/>
        <v>5</v>
      </c>
      <c r="D1841" s="171">
        <v>38.950000000000003</v>
      </c>
      <c r="E1841" s="171">
        <v>37.230000000000004</v>
      </c>
      <c r="F1841" s="171">
        <v>36.660000000000004</v>
      </c>
      <c r="G1841" s="171">
        <v>33.54</v>
      </c>
      <c r="H1841" s="171">
        <v>33.520000000000003</v>
      </c>
      <c r="I1841" s="171">
        <v>30.28</v>
      </c>
      <c r="J1841" s="171">
        <v>32.520000000000003</v>
      </c>
      <c r="K1841" s="171">
        <v>34.75</v>
      </c>
      <c r="L1841" s="171">
        <v>34.99</v>
      </c>
      <c r="M1841" s="171">
        <v>36.22</v>
      </c>
      <c r="N1841" s="171">
        <v>40</v>
      </c>
      <c r="O1841" s="171">
        <v>41.17</v>
      </c>
      <c r="P1841" s="171">
        <v>40.39</v>
      </c>
      <c r="Q1841" s="171">
        <v>39.94</v>
      </c>
      <c r="R1841" s="171">
        <v>35.32</v>
      </c>
      <c r="S1841" s="171">
        <v>34.910000000000004</v>
      </c>
      <c r="T1841" s="171">
        <v>35</v>
      </c>
      <c r="U1841" s="171">
        <v>42.44</v>
      </c>
      <c r="V1841" s="171">
        <v>44.94</v>
      </c>
      <c r="W1841" s="171">
        <v>45</v>
      </c>
      <c r="X1841" s="171">
        <v>47.44</v>
      </c>
      <c r="Y1841" s="171">
        <v>50</v>
      </c>
      <c r="Z1841" s="171">
        <v>59.96</v>
      </c>
      <c r="AA1841" s="171">
        <v>48.120000000000005</v>
      </c>
      <c r="AB1841" s="171">
        <v>59.96</v>
      </c>
      <c r="AC1841" s="171">
        <v>34.75</v>
      </c>
      <c r="AD1841" s="171">
        <v>40.25</v>
      </c>
      <c r="AF1841" s="171">
        <f t="shared" si="86"/>
        <v>2013</v>
      </c>
      <c r="AG1841" s="171">
        <f t="shared" si="87"/>
        <v>18</v>
      </c>
      <c r="AH1841" s="700">
        <f>SUMIF(D$3:$AA1841,"&lt;="&amp;$AH$1)/COUNTIF(D$3:$AA1841,"&lt;="&amp;$AH$1)</f>
        <v>31.170622381403007</v>
      </c>
    </row>
    <row r="1842" spans="2:34" x14ac:dyDescent="0.25">
      <c r="B1842" s="910">
        <v>41404</v>
      </c>
      <c r="C1842" s="581">
        <f t="shared" si="85"/>
        <v>5</v>
      </c>
      <c r="D1842" s="171">
        <v>34.450000000000003</v>
      </c>
      <c r="E1842" s="171">
        <v>31.62</v>
      </c>
      <c r="F1842" s="171">
        <v>30.38</v>
      </c>
      <c r="G1842" s="171">
        <v>29.03</v>
      </c>
      <c r="H1842" s="171">
        <v>27.02</v>
      </c>
      <c r="I1842" s="171">
        <v>29.92</v>
      </c>
      <c r="J1842" s="171">
        <v>35.01</v>
      </c>
      <c r="K1842" s="171">
        <v>39.89</v>
      </c>
      <c r="L1842" s="171">
        <v>42.97</v>
      </c>
      <c r="M1842" s="171">
        <v>50</v>
      </c>
      <c r="N1842" s="171">
        <v>51.5</v>
      </c>
      <c r="O1842" s="171">
        <v>51.76</v>
      </c>
      <c r="P1842" s="171">
        <v>49.81</v>
      </c>
      <c r="Q1842" s="171">
        <v>46.21</v>
      </c>
      <c r="R1842" s="171">
        <v>45</v>
      </c>
      <c r="S1842" s="171">
        <v>45.69</v>
      </c>
      <c r="T1842" s="171">
        <v>47.92</v>
      </c>
      <c r="U1842" s="171">
        <v>57.86</v>
      </c>
      <c r="V1842" s="171">
        <v>57.86</v>
      </c>
      <c r="W1842" s="171">
        <v>52.75</v>
      </c>
      <c r="X1842" s="171">
        <v>54.94</v>
      </c>
      <c r="Y1842" s="171">
        <v>55</v>
      </c>
      <c r="Z1842" s="171">
        <v>57.86</v>
      </c>
      <c r="AA1842" s="171">
        <v>49.95</v>
      </c>
      <c r="AB1842" s="171">
        <v>57.86</v>
      </c>
      <c r="AC1842" s="171">
        <v>39.89</v>
      </c>
      <c r="AD1842" s="171">
        <v>39.590000000000003</v>
      </c>
      <c r="AF1842" s="171">
        <f t="shared" si="86"/>
        <v>2013</v>
      </c>
      <c r="AG1842" s="171">
        <f t="shared" si="87"/>
        <v>8</v>
      </c>
      <c r="AH1842" s="700">
        <f>SUMIF(D$3:$AA1842,"&lt;="&amp;$AH$1)/COUNTIF(D$3:$AA1842,"&lt;="&amp;$AH$1)</f>
        <v>31.171159665000793</v>
      </c>
    </row>
    <row r="1843" spans="2:34" x14ac:dyDescent="0.25">
      <c r="B1843" s="910">
        <v>41407</v>
      </c>
      <c r="C1843" s="581">
        <f t="shared" si="85"/>
        <v>5</v>
      </c>
      <c r="D1843" s="171">
        <v>36.07</v>
      </c>
      <c r="E1843" s="171">
        <v>32.85</v>
      </c>
      <c r="F1843" s="171">
        <v>32.24</v>
      </c>
      <c r="G1843" s="171">
        <v>31.57</v>
      </c>
      <c r="H1843" s="171">
        <v>31.3</v>
      </c>
      <c r="I1843" s="171">
        <v>33.76</v>
      </c>
      <c r="J1843" s="171">
        <v>37.950000000000003</v>
      </c>
      <c r="K1843" s="171">
        <v>50.52</v>
      </c>
      <c r="L1843" s="171">
        <v>50.120000000000005</v>
      </c>
      <c r="M1843" s="171">
        <v>65</v>
      </c>
      <c r="N1843" s="171">
        <v>73.570000000000007</v>
      </c>
      <c r="O1843" s="171">
        <v>82.48</v>
      </c>
      <c r="P1843" s="171">
        <v>75</v>
      </c>
      <c r="Q1843" s="171">
        <v>78.11</v>
      </c>
      <c r="R1843" s="171">
        <v>65.900000000000006</v>
      </c>
      <c r="S1843" s="171">
        <v>57.6</v>
      </c>
      <c r="T1843" s="171">
        <v>60</v>
      </c>
      <c r="U1843" s="171">
        <v>59.53</v>
      </c>
      <c r="V1843" s="171">
        <v>52.43</v>
      </c>
      <c r="W1843" s="171">
        <v>49.76</v>
      </c>
      <c r="X1843" s="171">
        <v>44</v>
      </c>
      <c r="Y1843" s="171">
        <v>44.96</v>
      </c>
      <c r="Z1843" s="171">
        <v>44.96</v>
      </c>
      <c r="AA1843" s="171">
        <v>44</v>
      </c>
      <c r="AB1843" s="171">
        <v>82.48</v>
      </c>
      <c r="AC1843" s="171">
        <v>44</v>
      </c>
      <c r="AD1843" s="171">
        <v>38.68</v>
      </c>
      <c r="AF1843" s="171">
        <f t="shared" si="86"/>
        <v>2013</v>
      </c>
      <c r="AG1843" s="171">
        <f t="shared" si="87"/>
        <v>7</v>
      </c>
      <c r="AH1843" s="700">
        <f>SUMIF(D$3:$AA1843,"&lt;="&amp;$AH$1)/COUNTIF(D$3:$AA1843,"&lt;="&amp;$AH$1)</f>
        <v>31.172343887126292</v>
      </c>
    </row>
    <row r="1844" spans="2:34" x14ac:dyDescent="0.25">
      <c r="B1844" s="910">
        <v>41408</v>
      </c>
      <c r="C1844" s="581">
        <f t="shared" si="85"/>
        <v>5</v>
      </c>
      <c r="D1844" s="171">
        <v>41.21</v>
      </c>
      <c r="E1844" s="171">
        <v>32.160000000000004</v>
      </c>
      <c r="F1844" s="171">
        <v>31.580000000000002</v>
      </c>
      <c r="G1844" s="171">
        <v>31.5</v>
      </c>
      <c r="H1844" s="171">
        <v>32.14</v>
      </c>
      <c r="I1844" s="171">
        <v>34.619999999999997</v>
      </c>
      <c r="J1844" s="171">
        <v>40.24</v>
      </c>
      <c r="K1844" s="171">
        <v>46.230000000000004</v>
      </c>
      <c r="L1844" s="171">
        <v>59.94</v>
      </c>
      <c r="M1844" s="171">
        <v>62.95</v>
      </c>
      <c r="N1844" s="171">
        <v>62.160000000000004</v>
      </c>
      <c r="O1844" s="171">
        <v>70</v>
      </c>
      <c r="P1844" s="171">
        <v>70.010000000000005</v>
      </c>
      <c r="Q1844" s="171">
        <v>68.12</v>
      </c>
      <c r="R1844" s="171">
        <v>60</v>
      </c>
      <c r="S1844" s="171">
        <v>56.15</v>
      </c>
      <c r="T1844" s="171">
        <v>59.19</v>
      </c>
      <c r="U1844" s="171">
        <v>77.16</v>
      </c>
      <c r="V1844" s="171">
        <v>69.930000000000007</v>
      </c>
      <c r="W1844" s="171">
        <v>55</v>
      </c>
      <c r="X1844" s="171">
        <v>50.36</v>
      </c>
      <c r="Y1844" s="171">
        <v>55.01</v>
      </c>
      <c r="Z1844" s="171">
        <v>55.93</v>
      </c>
      <c r="AA1844" s="171">
        <v>51.34</v>
      </c>
      <c r="AB1844" s="171">
        <v>77.16</v>
      </c>
      <c r="AC1844" s="171">
        <v>46.230000000000004</v>
      </c>
      <c r="AD1844" s="171">
        <v>41.86</v>
      </c>
      <c r="AF1844" s="171">
        <f t="shared" si="86"/>
        <v>2013</v>
      </c>
      <c r="AG1844" s="171">
        <f t="shared" si="87"/>
        <v>7</v>
      </c>
      <c r="AH1844" s="700">
        <f>SUMIF(D$3:$AA1844,"&lt;="&amp;$AH$1)/COUNTIF(D$3:$AA1844,"&lt;="&amp;$AH$1)</f>
        <v>31.174047233468404</v>
      </c>
    </row>
    <row r="1845" spans="2:34" x14ac:dyDescent="0.25">
      <c r="B1845" s="910">
        <v>41409</v>
      </c>
      <c r="C1845" s="581">
        <f t="shared" si="85"/>
        <v>5</v>
      </c>
      <c r="D1845" s="171">
        <v>54.94</v>
      </c>
      <c r="E1845" s="171">
        <v>47.35</v>
      </c>
      <c r="F1845" s="171">
        <v>41.980000000000004</v>
      </c>
      <c r="G1845" s="171">
        <v>39.99</v>
      </c>
      <c r="H1845" s="171">
        <v>35.85</v>
      </c>
      <c r="I1845" s="171">
        <v>37.700000000000003</v>
      </c>
      <c r="J1845" s="171">
        <v>40.67</v>
      </c>
      <c r="K1845" s="171">
        <v>50.14</v>
      </c>
      <c r="L1845" s="171">
        <v>55.86</v>
      </c>
      <c r="M1845" s="171">
        <v>66.180000000000007</v>
      </c>
      <c r="N1845" s="171">
        <v>69.790000000000006</v>
      </c>
      <c r="O1845" s="171">
        <v>67.97</v>
      </c>
      <c r="P1845" s="171">
        <v>64.930000000000007</v>
      </c>
      <c r="Q1845" s="171">
        <v>55</v>
      </c>
      <c r="R1845" s="171">
        <v>57.44</v>
      </c>
      <c r="S1845" s="171">
        <v>53.21</v>
      </c>
      <c r="T1845" s="171">
        <v>51.910000000000004</v>
      </c>
      <c r="U1845" s="171">
        <v>52.44</v>
      </c>
      <c r="V1845" s="171">
        <v>49.94</v>
      </c>
      <c r="W1845" s="171">
        <v>50</v>
      </c>
      <c r="X1845" s="171">
        <v>54.94</v>
      </c>
      <c r="Y1845" s="171">
        <v>65</v>
      </c>
      <c r="Z1845" s="171">
        <v>69.900000000000006</v>
      </c>
      <c r="AA1845" s="171">
        <v>61.28</v>
      </c>
      <c r="AB1845" s="171">
        <v>69.900000000000006</v>
      </c>
      <c r="AC1845" s="171">
        <v>49.94</v>
      </c>
      <c r="AD1845" s="171">
        <v>49.980000000000004</v>
      </c>
      <c r="AF1845" s="171">
        <f t="shared" si="86"/>
        <v>2013</v>
      </c>
      <c r="AG1845" s="171">
        <f t="shared" si="87"/>
        <v>5</v>
      </c>
      <c r="AH1845" s="700">
        <f>SUMIF(D$3:$AA1845,"&lt;="&amp;$AH$1)/COUNTIF(D$3:$AA1845,"&lt;="&amp;$AH$1)</f>
        <v>31.176766947723554</v>
      </c>
    </row>
    <row r="1846" spans="2:34" x14ac:dyDescent="0.25">
      <c r="B1846" s="910">
        <v>41410</v>
      </c>
      <c r="C1846" s="581">
        <f t="shared" si="85"/>
        <v>5</v>
      </c>
      <c r="D1846" s="171">
        <v>59.480000000000004</v>
      </c>
      <c r="E1846" s="171">
        <v>53.82</v>
      </c>
      <c r="F1846" s="171">
        <v>50.06</v>
      </c>
      <c r="G1846" s="171">
        <v>49.93</v>
      </c>
      <c r="H1846" s="171">
        <v>49.730000000000004</v>
      </c>
      <c r="I1846" s="171">
        <v>52.44</v>
      </c>
      <c r="J1846" s="171">
        <v>49.96</v>
      </c>
      <c r="K1846" s="171">
        <v>57.44</v>
      </c>
      <c r="L1846" s="171">
        <v>61.4</v>
      </c>
      <c r="M1846" s="171">
        <v>62.92</v>
      </c>
      <c r="N1846" s="171">
        <v>70.350000000000009</v>
      </c>
      <c r="O1846" s="171">
        <v>77.98</v>
      </c>
      <c r="P1846" s="171">
        <v>74.930000000000007</v>
      </c>
      <c r="Q1846" s="171">
        <v>76</v>
      </c>
      <c r="R1846" s="171">
        <v>67.960000000000008</v>
      </c>
      <c r="S1846" s="171">
        <v>64.06</v>
      </c>
      <c r="T1846" s="171">
        <v>60.63</v>
      </c>
      <c r="U1846" s="171">
        <v>74.350000000000009</v>
      </c>
      <c r="V1846" s="171">
        <v>59.94</v>
      </c>
      <c r="W1846" s="171">
        <v>49.96</v>
      </c>
      <c r="X1846" s="171">
        <v>50</v>
      </c>
      <c r="Y1846" s="171">
        <v>59.94</v>
      </c>
      <c r="Z1846" s="171">
        <v>65</v>
      </c>
      <c r="AA1846" s="171">
        <v>57.2</v>
      </c>
      <c r="AB1846" s="171">
        <v>77.98</v>
      </c>
      <c r="AC1846" s="171">
        <v>49.96</v>
      </c>
      <c r="AD1846" s="171">
        <v>54.58</v>
      </c>
      <c r="AF1846" s="171">
        <f t="shared" si="86"/>
        <v>2013</v>
      </c>
      <c r="AG1846" s="171">
        <f t="shared" si="87"/>
        <v>0</v>
      </c>
      <c r="AH1846" s="700">
        <f>SUMIF(D$3:$AA1846,"&lt;="&amp;$AH$1)/COUNTIF(D$3:$AA1846,"&lt;="&amp;$AH$1)</f>
        <v>31.176766947723554</v>
      </c>
    </row>
    <row r="1847" spans="2:34" x14ac:dyDescent="0.25">
      <c r="B1847" s="910">
        <v>41411</v>
      </c>
      <c r="C1847" s="581">
        <f t="shared" si="85"/>
        <v>5</v>
      </c>
      <c r="D1847" s="171">
        <v>54.94</v>
      </c>
      <c r="E1847" s="171">
        <v>49.33</v>
      </c>
      <c r="F1847" s="171">
        <v>45</v>
      </c>
      <c r="G1847" s="171">
        <v>43.230000000000004</v>
      </c>
      <c r="H1847" s="171">
        <v>43.59</v>
      </c>
      <c r="I1847" s="171">
        <v>43.71</v>
      </c>
      <c r="J1847" s="171">
        <v>46.65</v>
      </c>
      <c r="K1847" s="171">
        <v>60.79</v>
      </c>
      <c r="L1847" s="171">
        <v>65.5</v>
      </c>
      <c r="M1847" s="171">
        <v>78</v>
      </c>
      <c r="N1847" s="171">
        <v>78.290000000000006</v>
      </c>
      <c r="O1847" s="171">
        <v>83.74</v>
      </c>
      <c r="P1847" s="171">
        <v>74.960000000000008</v>
      </c>
      <c r="Q1847" s="171">
        <v>69.960000000000008</v>
      </c>
      <c r="R1847" s="171">
        <v>62.06</v>
      </c>
      <c r="S1847" s="171">
        <v>55.06</v>
      </c>
      <c r="T1847" s="171">
        <v>54.94</v>
      </c>
      <c r="U1847" s="171">
        <v>60</v>
      </c>
      <c r="V1847" s="171">
        <v>50</v>
      </c>
      <c r="W1847" s="171">
        <v>49.94</v>
      </c>
      <c r="X1847" s="171">
        <v>50</v>
      </c>
      <c r="Y1847" s="171">
        <v>55.39</v>
      </c>
      <c r="Z1847" s="171">
        <v>59.08</v>
      </c>
      <c r="AA1847" s="171">
        <v>55.120000000000005</v>
      </c>
      <c r="AB1847" s="171">
        <v>83.74</v>
      </c>
      <c r="AC1847" s="171">
        <v>49.94</v>
      </c>
      <c r="AD1847" s="171">
        <v>50.57</v>
      </c>
      <c r="AF1847" s="171">
        <f t="shared" si="86"/>
        <v>2013</v>
      </c>
      <c r="AG1847" s="171">
        <f t="shared" si="87"/>
        <v>0</v>
      </c>
      <c r="AH1847" s="700">
        <f>SUMIF(D$3:$AA1847,"&lt;="&amp;$AH$1)/COUNTIF(D$3:$AA1847,"&lt;="&amp;$AH$1)</f>
        <v>31.176766947723554</v>
      </c>
    </row>
    <row r="1848" spans="2:34" x14ac:dyDescent="0.25">
      <c r="B1848" s="910">
        <v>41414</v>
      </c>
      <c r="C1848" s="581">
        <f t="shared" si="85"/>
        <v>5</v>
      </c>
      <c r="D1848" s="171">
        <v>63.03</v>
      </c>
      <c r="E1848" s="171">
        <v>51.57</v>
      </c>
      <c r="F1848" s="171">
        <v>38.57</v>
      </c>
      <c r="G1848" s="171">
        <v>30.79</v>
      </c>
      <c r="H1848" s="171">
        <v>30.29</v>
      </c>
      <c r="I1848" s="171">
        <v>30.54</v>
      </c>
      <c r="J1848" s="171">
        <v>30.54</v>
      </c>
      <c r="K1848" s="171">
        <v>30.54</v>
      </c>
      <c r="L1848" s="171">
        <v>29.990000000000002</v>
      </c>
      <c r="M1848" s="171">
        <v>42.44</v>
      </c>
      <c r="N1848" s="171">
        <v>52.44</v>
      </c>
      <c r="O1848" s="171">
        <v>69.930000000000007</v>
      </c>
      <c r="P1848" s="171">
        <v>73.94</v>
      </c>
      <c r="Q1848" s="171">
        <v>52.43</v>
      </c>
      <c r="R1848" s="171">
        <v>46.12</v>
      </c>
      <c r="S1848" s="171">
        <v>44.94</v>
      </c>
      <c r="T1848" s="171">
        <v>45</v>
      </c>
      <c r="U1848" s="171">
        <v>56.01</v>
      </c>
      <c r="V1848" s="171">
        <v>70</v>
      </c>
      <c r="W1848" s="171">
        <v>60.74</v>
      </c>
      <c r="X1848" s="171">
        <v>59.94</v>
      </c>
      <c r="Y1848" s="171">
        <v>59.59</v>
      </c>
      <c r="Z1848" s="171">
        <v>66.989999999999995</v>
      </c>
      <c r="AA1848" s="171">
        <v>52.43</v>
      </c>
      <c r="AB1848" s="171">
        <v>73.94</v>
      </c>
      <c r="AC1848" s="171">
        <v>29.990000000000002</v>
      </c>
      <c r="AD1848" s="171">
        <v>45.4</v>
      </c>
      <c r="AF1848" s="171">
        <f t="shared" si="86"/>
        <v>2013</v>
      </c>
      <c r="AG1848" s="171">
        <f t="shared" si="87"/>
        <v>8</v>
      </c>
      <c r="AH1848" s="700">
        <f>SUMIF(D$3:$AA1848,"&lt;="&amp;$AH$1)/COUNTIF(D$3:$AA1848,"&lt;="&amp;$AH$1)</f>
        <v>31.177730061349802</v>
      </c>
    </row>
    <row r="1849" spans="2:34" x14ac:dyDescent="0.25">
      <c r="B1849" s="910">
        <v>41415</v>
      </c>
      <c r="C1849" s="581">
        <f t="shared" si="85"/>
        <v>5</v>
      </c>
      <c r="D1849" s="171">
        <v>52</v>
      </c>
      <c r="E1849" s="171">
        <v>48.18</v>
      </c>
      <c r="F1849" s="171">
        <v>45.36</v>
      </c>
      <c r="G1849" s="171">
        <v>43</v>
      </c>
      <c r="H1849" s="171">
        <v>44.14</v>
      </c>
      <c r="I1849" s="171">
        <v>46.37</v>
      </c>
      <c r="J1849" s="171">
        <v>45.79</v>
      </c>
      <c r="K1849" s="171">
        <v>59.82</v>
      </c>
      <c r="L1849" s="171">
        <v>62.14</v>
      </c>
      <c r="M1849" s="171">
        <v>62.5</v>
      </c>
      <c r="N1849" s="171">
        <v>73.39</v>
      </c>
      <c r="O1849" s="171">
        <v>74.94</v>
      </c>
      <c r="P1849" s="171">
        <v>71.239999999999995</v>
      </c>
      <c r="Q1849" s="171">
        <v>65.75</v>
      </c>
      <c r="R1849" s="171">
        <v>58</v>
      </c>
      <c r="S1849" s="171">
        <v>64.94</v>
      </c>
      <c r="T1849" s="171">
        <v>66.38</v>
      </c>
      <c r="U1849" s="171">
        <v>72.83</v>
      </c>
      <c r="V1849" s="171">
        <v>55</v>
      </c>
      <c r="W1849" s="171">
        <v>53.22</v>
      </c>
      <c r="X1849" s="171">
        <v>55.34</v>
      </c>
      <c r="Y1849" s="171">
        <v>58.480000000000004</v>
      </c>
      <c r="Z1849" s="171">
        <v>61.08</v>
      </c>
      <c r="AA1849" s="171">
        <v>54.94</v>
      </c>
      <c r="AB1849" s="171">
        <v>74.94</v>
      </c>
      <c r="AC1849" s="171">
        <v>53.22</v>
      </c>
      <c r="AD1849" s="171">
        <v>51.21</v>
      </c>
      <c r="AF1849" s="171">
        <f t="shared" si="86"/>
        <v>2013</v>
      </c>
      <c r="AG1849" s="171">
        <f t="shared" si="87"/>
        <v>0</v>
      </c>
      <c r="AH1849" s="700">
        <f>SUMIF(D$3:$AA1849,"&lt;="&amp;$AH$1)/COUNTIF(D$3:$AA1849,"&lt;="&amp;$AH$1)</f>
        <v>31.177730061349802</v>
      </c>
    </row>
    <row r="1850" spans="2:34" x14ac:dyDescent="0.25">
      <c r="B1850" s="910">
        <v>41416</v>
      </c>
      <c r="C1850" s="581">
        <f t="shared" si="85"/>
        <v>5</v>
      </c>
      <c r="D1850" s="171">
        <v>31.76</v>
      </c>
      <c r="E1850" s="171">
        <v>29.09</v>
      </c>
      <c r="F1850" s="171">
        <v>24.78</v>
      </c>
      <c r="G1850" s="171">
        <v>24.34</v>
      </c>
      <c r="H1850" s="171">
        <v>20.260000000000002</v>
      </c>
      <c r="I1850" s="171">
        <v>29.96</v>
      </c>
      <c r="J1850" s="171">
        <v>40.14</v>
      </c>
      <c r="K1850" s="171">
        <v>49.94</v>
      </c>
      <c r="L1850" s="171">
        <v>57</v>
      </c>
      <c r="M1850" s="171">
        <v>68.820000000000007</v>
      </c>
      <c r="N1850" s="171">
        <v>67.78</v>
      </c>
      <c r="O1850" s="171">
        <v>66.66</v>
      </c>
      <c r="P1850" s="171">
        <v>59.94</v>
      </c>
      <c r="Q1850" s="171">
        <v>57.46</v>
      </c>
      <c r="R1850" s="171">
        <v>61.33</v>
      </c>
      <c r="S1850" s="171">
        <v>55.72</v>
      </c>
      <c r="T1850" s="171">
        <v>56.31</v>
      </c>
      <c r="U1850" s="171">
        <v>64.94</v>
      </c>
      <c r="V1850" s="171">
        <v>60.120000000000005</v>
      </c>
      <c r="W1850" s="171">
        <v>57.32</v>
      </c>
      <c r="X1850" s="171">
        <v>62.050000000000004</v>
      </c>
      <c r="Y1850" s="171">
        <v>64.570000000000007</v>
      </c>
      <c r="Z1850" s="171">
        <v>70.7</v>
      </c>
      <c r="AA1850" s="171">
        <v>57</v>
      </c>
      <c r="AB1850" s="171">
        <v>70.7</v>
      </c>
      <c r="AC1850" s="171">
        <v>49.94</v>
      </c>
      <c r="AD1850" s="171">
        <v>42.050000000000004</v>
      </c>
      <c r="AF1850" s="171">
        <f t="shared" si="86"/>
        <v>2013</v>
      </c>
      <c r="AG1850" s="171">
        <f t="shared" si="87"/>
        <v>7</v>
      </c>
      <c r="AH1850" s="700">
        <f>SUMIF(D$3:$AA1850,"&lt;="&amp;$AH$1)/COUNTIF(D$3:$AA1850,"&lt;="&amp;$AH$1)</f>
        <v>31.176522911051329</v>
      </c>
    </row>
    <row r="1851" spans="2:34" x14ac:dyDescent="0.25">
      <c r="B1851" s="910">
        <v>41417</v>
      </c>
      <c r="C1851" s="581">
        <f t="shared" si="85"/>
        <v>5</v>
      </c>
      <c r="D1851" s="171">
        <v>56.83</v>
      </c>
      <c r="E1851" s="171">
        <v>49.95</v>
      </c>
      <c r="F1851" s="171">
        <v>44.730000000000004</v>
      </c>
      <c r="G1851" s="171">
        <v>42.17</v>
      </c>
      <c r="H1851" s="171">
        <v>41.03</v>
      </c>
      <c r="I1851" s="171">
        <v>39.17</v>
      </c>
      <c r="J1851" s="171">
        <v>44.81</v>
      </c>
      <c r="K1851" s="171">
        <v>58.59</v>
      </c>
      <c r="L1851" s="171">
        <v>62.21</v>
      </c>
      <c r="M1851" s="171">
        <v>68.09</v>
      </c>
      <c r="N1851" s="171">
        <v>70</v>
      </c>
      <c r="O1851" s="171">
        <v>73</v>
      </c>
      <c r="P1851" s="171">
        <v>76</v>
      </c>
      <c r="Q1851" s="171">
        <v>65</v>
      </c>
      <c r="R1851" s="171">
        <v>63.08</v>
      </c>
      <c r="S1851" s="171">
        <v>62.11</v>
      </c>
      <c r="T1851" s="171">
        <v>60.93</v>
      </c>
      <c r="U1851" s="171">
        <v>71.03</v>
      </c>
      <c r="V1851" s="171">
        <v>64.349999999999994</v>
      </c>
      <c r="W1851" s="171">
        <v>67.349999999999994</v>
      </c>
      <c r="X1851" s="171">
        <v>60.4</v>
      </c>
      <c r="Y1851" s="171">
        <v>54.96</v>
      </c>
      <c r="Z1851" s="171">
        <v>55</v>
      </c>
      <c r="AA1851" s="171">
        <v>57.4</v>
      </c>
      <c r="AB1851" s="171">
        <v>76</v>
      </c>
      <c r="AC1851" s="171">
        <v>54.96</v>
      </c>
      <c r="AD1851" s="171">
        <v>50.42</v>
      </c>
      <c r="AF1851" s="171">
        <f t="shared" si="86"/>
        <v>2013</v>
      </c>
      <c r="AG1851" s="171">
        <f t="shared" si="87"/>
        <v>3</v>
      </c>
      <c r="AH1851" s="700">
        <f>SUMIF(D$3:$AA1851,"&lt;="&amp;$AH$1)/COUNTIF(D$3:$AA1851,"&lt;="&amp;$AH$1)</f>
        <v>31.178465943542527</v>
      </c>
    </row>
    <row r="1852" spans="2:34" x14ac:dyDescent="0.25">
      <c r="B1852" s="910">
        <v>41418</v>
      </c>
      <c r="C1852" s="581">
        <f t="shared" si="85"/>
        <v>5</v>
      </c>
      <c r="D1852" s="171">
        <v>54.43</v>
      </c>
      <c r="E1852" s="171">
        <v>50</v>
      </c>
      <c r="F1852" s="171">
        <v>49.94</v>
      </c>
      <c r="G1852" s="171">
        <v>47.12</v>
      </c>
      <c r="H1852" s="171">
        <v>47.44</v>
      </c>
      <c r="I1852" s="171">
        <v>49.47</v>
      </c>
      <c r="J1852" s="171">
        <v>51.64</v>
      </c>
      <c r="K1852" s="171">
        <v>59.54</v>
      </c>
      <c r="L1852" s="171">
        <v>65.69</v>
      </c>
      <c r="M1852" s="171">
        <v>70</v>
      </c>
      <c r="N1852" s="171">
        <v>67.81</v>
      </c>
      <c r="O1852" s="171">
        <v>69.290000000000006</v>
      </c>
      <c r="P1852" s="171">
        <v>71.25</v>
      </c>
      <c r="Q1852" s="171">
        <v>69.13</v>
      </c>
      <c r="R1852" s="171">
        <v>65.77</v>
      </c>
      <c r="S1852" s="171">
        <v>58.63</v>
      </c>
      <c r="T1852" s="171">
        <v>56.21</v>
      </c>
      <c r="U1852" s="171">
        <v>61.43</v>
      </c>
      <c r="V1852" s="171">
        <v>57</v>
      </c>
      <c r="W1852" s="171">
        <v>52.44</v>
      </c>
      <c r="X1852" s="171">
        <v>52.44</v>
      </c>
      <c r="Y1852" s="171">
        <v>61.370000000000005</v>
      </c>
      <c r="Z1852" s="171">
        <v>74.62</v>
      </c>
      <c r="AA1852" s="171">
        <v>65</v>
      </c>
      <c r="AB1852" s="171">
        <v>74.62</v>
      </c>
      <c r="AC1852" s="171">
        <v>52.44</v>
      </c>
      <c r="AD1852" s="171">
        <v>55.25</v>
      </c>
      <c r="AF1852" s="171">
        <f t="shared" si="86"/>
        <v>2013</v>
      </c>
      <c r="AG1852" s="171">
        <f t="shared" si="87"/>
        <v>0</v>
      </c>
      <c r="AH1852" s="700">
        <f>SUMIF(D$3:$AA1852,"&lt;="&amp;$AH$1)/COUNTIF(D$3:$AA1852,"&lt;="&amp;$AH$1)</f>
        <v>31.178465943542527</v>
      </c>
    </row>
    <row r="1853" spans="2:34" x14ac:dyDescent="0.25">
      <c r="B1853" s="910">
        <v>41421</v>
      </c>
      <c r="C1853" s="581">
        <f t="shared" si="85"/>
        <v>5</v>
      </c>
      <c r="D1853" s="171">
        <v>50</v>
      </c>
      <c r="E1853" s="171">
        <v>35</v>
      </c>
      <c r="F1853" s="171">
        <v>30.86</v>
      </c>
      <c r="G1853" s="171">
        <v>30.13</v>
      </c>
      <c r="H1853" s="171">
        <v>37.160000000000004</v>
      </c>
      <c r="I1853" s="171">
        <v>44.62</v>
      </c>
      <c r="J1853" s="171">
        <v>45.82</v>
      </c>
      <c r="K1853" s="171">
        <v>76.06</v>
      </c>
      <c r="L1853" s="171">
        <v>67</v>
      </c>
      <c r="M1853" s="171">
        <v>73.56</v>
      </c>
      <c r="N1853" s="171">
        <v>67</v>
      </c>
      <c r="O1853" s="171">
        <v>71.11</v>
      </c>
      <c r="P1853" s="171">
        <v>63.730000000000004</v>
      </c>
      <c r="Q1853" s="171">
        <v>62.71</v>
      </c>
      <c r="R1853" s="171">
        <v>55</v>
      </c>
      <c r="S1853" s="171">
        <v>53.4</v>
      </c>
      <c r="T1853" s="171">
        <v>52.58</v>
      </c>
      <c r="U1853" s="171">
        <v>52.44</v>
      </c>
      <c r="V1853" s="171">
        <v>60.38</v>
      </c>
      <c r="W1853" s="171">
        <v>55</v>
      </c>
      <c r="X1853" s="171">
        <v>55</v>
      </c>
      <c r="Y1853" s="171">
        <v>62.410000000000004</v>
      </c>
      <c r="Z1853" s="171">
        <v>63.870000000000005</v>
      </c>
      <c r="AA1853" s="171">
        <v>60</v>
      </c>
      <c r="AB1853" s="171">
        <v>76.06</v>
      </c>
      <c r="AC1853" s="171">
        <v>52.44</v>
      </c>
      <c r="AD1853" s="171">
        <v>49.24</v>
      </c>
      <c r="AF1853" s="171">
        <f t="shared" si="86"/>
        <v>2013</v>
      </c>
      <c r="AG1853" s="171">
        <f t="shared" si="87"/>
        <v>4</v>
      </c>
      <c r="AH1853" s="700">
        <f>SUMIF(D$3:$AA1853,"&lt;="&amp;$AH$1)/COUNTIF(D$3:$AA1853,"&lt;="&amp;$AH$1)</f>
        <v>31.179034148312905</v>
      </c>
    </row>
    <row r="1854" spans="2:34" x14ac:dyDescent="0.25">
      <c r="B1854" s="910">
        <v>41422</v>
      </c>
      <c r="C1854" s="581">
        <f t="shared" si="85"/>
        <v>5</v>
      </c>
      <c r="D1854" s="171">
        <v>54.45</v>
      </c>
      <c r="E1854" s="171">
        <v>46.04</v>
      </c>
      <c r="F1854" s="171">
        <v>43.4</v>
      </c>
      <c r="G1854" s="171">
        <v>39.700000000000003</v>
      </c>
      <c r="H1854" s="171">
        <v>36.300000000000004</v>
      </c>
      <c r="I1854" s="171">
        <v>34.81</v>
      </c>
      <c r="J1854" s="171">
        <v>42.2</v>
      </c>
      <c r="K1854" s="171">
        <v>56.61</v>
      </c>
      <c r="L1854" s="171">
        <v>55</v>
      </c>
      <c r="M1854" s="171">
        <v>56.95</v>
      </c>
      <c r="N1854" s="171">
        <v>59.93</v>
      </c>
      <c r="O1854" s="171">
        <v>68.13</v>
      </c>
      <c r="P1854" s="171">
        <v>67.69</v>
      </c>
      <c r="Q1854" s="171">
        <v>63.550000000000004</v>
      </c>
      <c r="R1854" s="171">
        <v>68</v>
      </c>
      <c r="S1854" s="171">
        <v>65.11</v>
      </c>
      <c r="T1854" s="171">
        <v>62.690000000000005</v>
      </c>
      <c r="U1854" s="171">
        <v>72.34</v>
      </c>
      <c r="V1854" s="171">
        <v>64.94</v>
      </c>
      <c r="W1854" s="171">
        <v>55.54</v>
      </c>
      <c r="X1854" s="171">
        <v>57.44</v>
      </c>
      <c r="Y1854" s="171">
        <v>56.72</v>
      </c>
      <c r="Z1854" s="171">
        <v>59.96</v>
      </c>
      <c r="AA1854" s="171">
        <v>59.08</v>
      </c>
      <c r="AB1854" s="171">
        <v>72.34</v>
      </c>
      <c r="AC1854" s="171">
        <v>55</v>
      </c>
      <c r="AD1854" s="171">
        <v>48.89</v>
      </c>
      <c r="AF1854" s="171">
        <f t="shared" si="86"/>
        <v>2013</v>
      </c>
      <c r="AG1854" s="171">
        <f t="shared" si="87"/>
        <v>4</v>
      </c>
      <c r="AH1854" s="700">
        <f>SUMIF(D$3:$AA1854,"&lt;="&amp;$AH$1)/COUNTIF(D$3:$AA1854,"&lt;="&amp;$AH$1)</f>
        <v>31.180939330684918</v>
      </c>
    </row>
    <row r="1855" spans="2:34" x14ac:dyDescent="0.25">
      <c r="B1855" s="910">
        <v>41423</v>
      </c>
      <c r="C1855" s="581">
        <f t="shared" si="85"/>
        <v>5</v>
      </c>
      <c r="D1855" s="171">
        <v>54.480000000000004</v>
      </c>
      <c r="E1855" s="171">
        <v>46.54</v>
      </c>
      <c r="F1855" s="171">
        <v>45.4</v>
      </c>
      <c r="G1855" s="171">
        <v>43.7</v>
      </c>
      <c r="H1855" s="171">
        <v>44.38</v>
      </c>
      <c r="I1855" s="171">
        <v>48.26</v>
      </c>
      <c r="J1855" s="171">
        <v>56.76</v>
      </c>
      <c r="K1855" s="171">
        <v>68.81</v>
      </c>
      <c r="L1855" s="171">
        <v>70.73</v>
      </c>
      <c r="M1855" s="171">
        <v>75.69</v>
      </c>
      <c r="N1855" s="171">
        <v>78.66</v>
      </c>
      <c r="O1855" s="171">
        <v>78.66</v>
      </c>
      <c r="P1855" s="171">
        <v>70.94</v>
      </c>
      <c r="Q1855" s="171">
        <v>69.81</v>
      </c>
      <c r="R1855" s="171">
        <v>66.03</v>
      </c>
      <c r="S1855" s="171">
        <v>56.79</v>
      </c>
      <c r="T1855" s="171">
        <v>57.19</v>
      </c>
      <c r="U1855" s="171">
        <v>70.38</v>
      </c>
      <c r="V1855" s="171">
        <v>68</v>
      </c>
      <c r="W1855" s="171">
        <v>60</v>
      </c>
      <c r="X1855" s="171">
        <v>61.300000000000004</v>
      </c>
      <c r="Y1855" s="171">
        <v>56.75</v>
      </c>
      <c r="Z1855" s="171">
        <v>61.77</v>
      </c>
      <c r="AA1855" s="171">
        <v>54.93</v>
      </c>
      <c r="AB1855" s="171">
        <v>78.66</v>
      </c>
      <c r="AC1855" s="171">
        <v>56.75</v>
      </c>
      <c r="AD1855" s="171">
        <v>53.59</v>
      </c>
      <c r="AF1855" s="171">
        <f t="shared" si="86"/>
        <v>2013</v>
      </c>
      <c r="AG1855" s="171">
        <f t="shared" si="87"/>
        <v>0</v>
      </c>
      <c r="AH1855" s="700">
        <f>SUMIF(D$3:$AA1855,"&lt;="&amp;$AH$1)/COUNTIF(D$3:$AA1855,"&lt;="&amp;$AH$1)</f>
        <v>31.180939330684918</v>
      </c>
    </row>
    <row r="1856" spans="2:34" x14ac:dyDescent="0.25">
      <c r="B1856" s="910">
        <v>41424</v>
      </c>
      <c r="C1856" s="581">
        <f t="shared" si="85"/>
        <v>5</v>
      </c>
      <c r="D1856" s="171">
        <v>57.32</v>
      </c>
      <c r="E1856" s="171">
        <v>59.17</v>
      </c>
      <c r="F1856" s="171">
        <v>49.96</v>
      </c>
      <c r="G1856" s="171">
        <v>44.26</v>
      </c>
      <c r="H1856" s="171">
        <v>44.99</v>
      </c>
      <c r="I1856" s="171">
        <v>43.7</v>
      </c>
      <c r="J1856" s="171">
        <v>46.44</v>
      </c>
      <c r="K1856" s="171">
        <v>56.67</v>
      </c>
      <c r="L1856" s="171">
        <v>59.71</v>
      </c>
      <c r="M1856" s="171">
        <v>66.95</v>
      </c>
      <c r="N1856" s="171">
        <v>77.2</v>
      </c>
      <c r="O1856" s="171">
        <v>83.23</v>
      </c>
      <c r="P1856" s="171">
        <v>72.58</v>
      </c>
      <c r="Q1856" s="171">
        <v>69.94</v>
      </c>
      <c r="R1856" s="171">
        <v>68.099999999999994</v>
      </c>
      <c r="S1856" s="171">
        <v>61.940000000000005</v>
      </c>
      <c r="T1856" s="171">
        <v>56.28</v>
      </c>
      <c r="U1856" s="171">
        <v>74.23</v>
      </c>
      <c r="V1856" s="171">
        <v>64.94</v>
      </c>
      <c r="W1856" s="171">
        <v>66.45</v>
      </c>
      <c r="X1856" s="171">
        <v>60.11</v>
      </c>
      <c r="Y1856" s="171">
        <v>57.43</v>
      </c>
      <c r="Z1856" s="171">
        <v>64.930000000000007</v>
      </c>
      <c r="AA1856" s="171">
        <v>59.96</v>
      </c>
      <c r="AB1856" s="171">
        <v>83.23</v>
      </c>
      <c r="AC1856" s="171">
        <v>56.28</v>
      </c>
      <c r="AD1856" s="171">
        <v>53.74</v>
      </c>
      <c r="AF1856" s="171">
        <f t="shared" si="86"/>
        <v>2013</v>
      </c>
      <c r="AG1856" s="171">
        <f t="shared" si="87"/>
        <v>0</v>
      </c>
      <c r="AH1856" s="700">
        <f>SUMIF(D$3:$AA1856,"&lt;="&amp;$AH$1)/COUNTIF(D$3:$AA1856,"&lt;="&amp;$AH$1)</f>
        <v>31.180939330684918</v>
      </c>
    </row>
    <row r="1857" spans="2:34" x14ac:dyDescent="0.25">
      <c r="B1857" s="910">
        <v>41425</v>
      </c>
      <c r="C1857" s="581">
        <f t="shared" si="85"/>
        <v>5</v>
      </c>
      <c r="D1857" s="171">
        <v>53.13</v>
      </c>
      <c r="E1857" s="171">
        <v>48.120000000000005</v>
      </c>
      <c r="F1857" s="171">
        <v>54.93</v>
      </c>
      <c r="G1857" s="171">
        <v>59.94</v>
      </c>
      <c r="H1857" s="171">
        <v>55</v>
      </c>
      <c r="I1857" s="171">
        <v>50</v>
      </c>
      <c r="J1857" s="171">
        <v>47.44</v>
      </c>
      <c r="K1857" s="171">
        <v>57.74</v>
      </c>
      <c r="L1857" s="171">
        <v>50</v>
      </c>
      <c r="M1857" s="171">
        <v>56.61</v>
      </c>
      <c r="N1857" s="171">
        <v>67.930000000000007</v>
      </c>
      <c r="O1857" s="171">
        <v>61.59</v>
      </c>
      <c r="P1857" s="171">
        <v>59.94</v>
      </c>
      <c r="Q1857" s="171">
        <v>50.44</v>
      </c>
      <c r="R1857" s="171">
        <v>49.96</v>
      </c>
      <c r="S1857" s="171">
        <v>45.12</v>
      </c>
      <c r="T1857" s="171">
        <v>47.43</v>
      </c>
      <c r="U1857" s="171">
        <v>57.68</v>
      </c>
      <c r="V1857" s="171">
        <v>60</v>
      </c>
      <c r="W1857" s="171">
        <v>59.93</v>
      </c>
      <c r="X1857" s="171">
        <v>58</v>
      </c>
      <c r="Y1857" s="171">
        <v>55.120000000000005</v>
      </c>
      <c r="Z1857" s="171">
        <v>69.960000000000008</v>
      </c>
      <c r="AA1857" s="171">
        <v>64.930000000000007</v>
      </c>
      <c r="AB1857" s="171">
        <v>69.960000000000008</v>
      </c>
      <c r="AC1857" s="171">
        <v>45.12</v>
      </c>
      <c r="AD1857" s="171">
        <v>52.74</v>
      </c>
      <c r="AF1857" s="171">
        <f t="shared" si="86"/>
        <v>2013</v>
      </c>
      <c r="AG1857" s="171">
        <f t="shared" si="87"/>
        <v>0</v>
      </c>
      <c r="AH1857" s="700">
        <f>SUMIF(D$3:$AA1857,"&lt;="&amp;$AH$1)/COUNTIF(D$3:$AA1857,"&lt;="&amp;$AH$1)</f>
        <v>31.180939330684918</v>
      </c>
    </row>
    <row r="1858" spans="2:34" x14ac:dyDescent="0.25">
      <c r="B1858" s="910">
        <v>41428</v>
      </c>
      <c r="C1858" s="581">
        <f t="shared" si="85"/>
        <v>6</v>
      </c>
      <c r="D1858" s="171">
        <v>70.12</v>
      </c>
      <c r="E1858" s="171">
        <v>60.6</v>
      </c>
      <c r="F1858" s="171">
        <v>59.93</v>
      </c>
      <c r="G1858" s="171">
        <v>52.44</v>
      </c>
      <c r="H1858" s="171">
        <v>52.44</v>
      </c>
      <c r="I1858" s="171">
        <v>52.43</v>
      </c>
      <c r="J1858" s="171">
        <v>54.25</v>
      </c>
      <c r="K1858" s="171">
        <v>59.01</v>
      </c>
      <c r="L1858" s="171">
        <v>59.01</v>
      </c>
      <c r="M1858" s="171">
        <v>63.52</v>
      </c>
      <c r="N1858" s="171">
        <v>69.75</v>
      </c>
      <c r="O1858" s="171">
        <v>74.14</v>
      </c>
      <c r="P1858" s="171">
        <v>68</v>
      </c>
      <c r="Q1858" s="171">
        <v>65</v>
      </c>
      <c r="R1858" s="171">
        <v>60.11</v>
      </c>
      <c r="S1858" s="171">
        <v>55</v>
      </c>
      <c r="T1858" s="171">
        <v>54.96</v>
      </c>
      <c r="U1858" s="171">
        <v>72.36</v>
      </c>
      <c r="V1858" s="171">
        <v>69.94</v>
      </c>
      <c r="W1858" s="171">
        <v>58.980000000000004</v>
      </c>
      <c r="X1858" s="171">
        <v>63.52</v>
      </c>
      <c r="Y1858" s="171">
        <v>59.01</v>
      </c>
      <c r="Z1858" s="171">
        <v>70</v>
      </c>
      <c r="AA1858" s="171">
        <v>69.930000000000007</v>
      </c>
      <c r="AB1858" s="171">
        <v>74.14</v>
      </c>
      <c r="AC1858" s="171">
        <v>54.96</v>
      </c>
      <c r="AD1858" s="171">
        <v>60.31</v>
      </c>
      <c r="AF1858" s="171">
        <f t="shared" si="86"/>
        <v>2013</v>
      </c>
      <c r="AG1858" s="171">
        <f t="shared" si="87"/>
        <v>0</v>
      </c>
      <c r="AH1858" s="700">
        <f>SUMIF(D$3:$AA1858,"&lt;="&amp;$AH$1)/COUNTIF(D$3:$AA1858,"&lt;="&amp;$AH$1)</f>
        <v>31.180939330684918</v>
      </c>
    </row>
    <row r="1859" spans="2:34" x14ac:dyDescent="0.25">
      <c r="B1859" s="910">
        <v>41429</v>
      </c>
      <c r="C1859" s="581">
        <f t="shared" si="85"/>
        <v>6</v>
      </c>
      <c r="D1859" s="171">
        <v>55.69</v>
      </c>
      <c r="E1859" s="171">
        <v>52.13</v>
      </c>
      <c r="F1859" s="171">
        <v>44.160000000000004</v>
      </c>
      <c r="G1859" s="171">
        <v>43.050000000000004</v>
      </c>
      <c r="H1859" s="171">
        <v>40.880000000000003</v>
      </c>
      <c r="I1859" s="171">
        <v>45.95</v>
      </c>
      <c r="J1859" s="171">
        <v>55.08</v>
      </c>
      <c r="K1859" s="171">
        <v>70.22</v>
      </c>
      <c r="L1859" s="171">
        <v>72.47</v>
      </c>
      <c r="M1859" s="171">
        <v>84.62</v>
      </c>
      <c r="N1859" s="171">
        <v>77.81</v>
      </c>
      <c r="O1859" s="171">
        <v>74.570000000000007</v>
      </c>
      <c r="P1859" s="171">
        <v>76.44</v>
      </c>
      <c r="Q1859" s="171">
        <v>74.94</v>
      </c>
      <c r="R1859" s="171">
        <v>65</v>
      </c>
      <c r="S1859" s="171">
        <v>57.47</v>
      </c>
      <c r="T1859" s="171">
        <v>54.93</v>
      </c>
      <c r="U1859" s="171">
        <v>65.599999999999994</v>
      </c>
      <c r="V1859" s="171">
        <v>64.960000000000008</v>
      </c>
      <c r="W1859" s="171">
        <v>50.72</v>
      </c>
      <c r="X1859" s="171">
        <v>59.65</v>
      </c>
      <c r="Y1859" s="171">
        <v>55.11</v>
      </c>
      <c r="Z1859" s="171">
        <v>60.71</v>
      </c>
      <c r="AA1859" s="171">
        <v>58.07</v>
      </c>
      <c r="AB1859" s="171">
        <v>84.62</v>
      </c>
      <c r="AC1859" s="171">
        <v>50.72</v>
      </c>
      <c r="AD1859" s="171">
        <v>53.39</v>
      </c>
      <c r="AF1859" s="171">
        <f t="shared" si="86"/>
        <v>2013</v>
      </c>
      <c r="AG1859" s="171">
        <f t="shared" si="87"/>
        <v>1</v>
      </c>
      <c r="AH1859" s="700">
        <f>SUMIF(D$3:$AA1859,"&lt;="&amp;$AH$1)/COUNTIF(D$3:$AA1859,"&lt;="&amp;$AH$1)</f>
        <v>31.181592378131004</v>
      </c>
    </row>
    <row r="1860" spans="2:34" x14ac:dyDescent="0.25">
      <c r="B1860" s="910">
        <v>41430</v>
      </c>
      <c r="C1860" s="581">
        <f t="shared" ref="C1860:C1923" si="88">MONTH(B1860)</f>
        <v>6</v>
      </c>
      <c r="D1860" s="171">
        <v>47.34</v>
      </c>
      <c r="E1860" s="171">
        <v>47.32</v>
      </c>
      <c r="F1860" s="171">
        <v>44.92</v>
      </c>
      <c r="G1860" s="171">
        <v>44.92</v>
      </c>
      <c r="H1860" s="171">
        <v>41.03</v>
      </c>
      <c r="I1860" s="171">
        <v>42</v>
      </c>
      <c r="J1860" s="171">
        <v>45.95</v>
      </c>
      <c r="K1860" s="171">
        <v>56.9</v>
      </c>
      <c r="L1860" s="171">
        <v>61.52</v>
      </c>
      <c r="M1860" s="171">
        <v>66</v>
      </c>
      <c r="N1860" s="171">
        <v>67</v>
      </c>
      <c r="O1860" s="171">
        <v>69.930000000000007</v>
      </c>
      <c r="P1860" s="171">
        <v>66.75</v>
      </c>
      <c r="Q1860" s="171">
        <v>63.01</v>
      </c>
      <c r="R1860" s="171">
        <v>61.31</v>
      </c>
      <c r="S1860" s="171">
        <v>55.06</v>
      </c>
      <c r="T1860" s="171">
        <v>55.63</v>
      </c>
      <c r="U1860" s="171">
        <v>72.790000000000006</v>
      </c>
      <c r="V1860" s="171">
        <v>59.94</v>
      </c>
      <c r="W1860" s="171">
        <v>50.050000000000004</v>
      </c>
      <c r="X1860" s="171">
        <v>57.44</v>
      </c>
      <c r="Y1860" s="171">
        <v>52.79</v>
      </c>
      <c r="Z1860" s="171">
        <v>59.03</v>
      </c>
      <c r="AA1860" s="171">
        <v>48.82</v>
      </c>
      <c r="AB1860" s="171">
        <v>72.790000000000006</v>
      </c>
      <c r="AC1860" s="171">
        <v>50.050000000000004</v>
      </c>
      <c r="AD1860" s="171">
        <v>49.04</v>
      </c>
      <c r="AF1860" s="171">
        <f t="shared" ref="AF1860:AF1923" si="89">YEAR(B1860)</f>
        <v>2013</v>
      </c>
      <c r="AG1860" s="171">
        <f t="shared" ref="AG1860:AG1923" si="90">COUNTIF(D1860:AA1860,"&lt;="&amp;$AH$1)</f>
        <v>2</v>
      </c>
      <c r="AH1860" s="700">
        <f>SUMIF(D$3:$AA1860,"&lt;="&amp;$AH$1)/COUNTIF(D$3:$AA1860,"&lt;="&amp;$AH$1)</f>
        <v>31.182983708092213</v>
      </c>
    </row>
    <row r="1861" spans="2:34" x14ac:dyDescent="0.25">
      <c r="B1861" s="910">
        <v>41431</v>
      </c>
      <c r="C1861" s="581">
        <f t="shared" si="88"/>
        <v>6</v>
      </c>
      <c r="D1861" s="171">
        <v>49.99</v>
      </c>
      <c r="E1861" s="171">
        <v>36.92</v>
      </c>
      <c r="F1861" s="171">
        <v>35.700000000000003</v>
      </c>
      <c r="G1861" s="171">
        <v>35.47</v>
      </c>
      <c r="H1861" s="171">
        <v>35.92</v>
      </c>
      <c r="I1861" s="171">
        <v>39.76</v>
      </c>
      <c r="J1861" s="171">
        <v>46.07</v>
      </c>
      <c r="K1861" s="171">
        <v>57.34</v>
      </c>
      <c r="L1861" s="171">
        <v>55.53</v>
      </c>
      <c r="M1861" s="171">
        <v>60.25</v>
      </c>
      <c r="N1861" s="171">
        <v>62.47</v>
      </c>
      <c r="O1861" s="171">
        <v>62.47</v>
      </c>
      <c r="P1861" s="171">
        <v>60.25</v>
      </c>
      <c r="Q1861" s="171">
        <v>63.61</v>
      </c>
      <c r="R1861" s="171">
        <v>57.36</v>
      </c>
      <c r="S1861" s="171">
        <v>51.92</v>
      </c>
      <c r="T1861" s="171">
        <v>54.94</v>
      </c>
      <c r="U1861" s="171">
        <v>64.94</v>
      </c>
      <c r="V1861" s="171">
        <v>64.930000000000007</v>
      </c>
      <c r="W1861" s="171">
        <v>52.44</v>
      </c>
      <c r="X1861" s="171">
        <v>53.92</v>
      </c>
      <c r="Y1861" s="171">
        <v>52.44</v>
      </c>
      <c r="Z1861" s="171">
        <v>60.2</v>
      </c>
      <c r="AA1861" s="171">
        <v>52</v>
      </c>
      <c r="AB1861" s="171">
        <v>64.94</v>
      </c>
      <c r="AC1861" s="171">
        <v>51.92</v>
      </c>
      <c r="AD1861" s="171">
        <v>46.31</v>
      </c>
      <c r="AF1861" s="171">
        <f t="shared" si="89"/>
        <v>2013</v>
      </c>
      <c r="AG1861" s="171">
        <f t="shared" si="90"/>
        <v>5</v>
      </c>
      <c r="AH1861" s="700">
        <f>SUMIF(D$3:$AA1861,"&lt;="&amp;$AH$1)/COUNTIF(D$3:$AA1861,"&lt;="&amp;$AH$1)</f>
        <v>31.184858335015928</v>
      </c>
    </row>
    <row r="1862" spans="2:34" x14ac:dyDescent="0.25">
      <c r="B1862" s="910">
        <v>41432</v>
      </c>
      <c r="C1862" s="581">
        <f t="shared" si="88"/>
        <v>6</v>
      </c>
      <c r="D1862" s="171">
        <v>40.119999999999997</v>
      </c>
      <c r="E1862" s="171">
        <v>37.79</v>
      </c>
      <c r="F1862" s="171">
        <v>37.1</v>
      </c>
      <c r="G1862" s="171">
        <v>36.42</v>
      </c>
      <c r="H1862" s="171">
        <v>37.24</v>
      </c>
      <c r="I1862" s="171">
        <v>40.119999999999997</v>
      </c>
      <c r="J1862" s="171">
        <v>48.51</v>
      </c>
      <c r="K1862" s="171">
        <v>55.79</v>
      </c>
      <c r="L1862" s="171">
        <v>60.25</v>
      </c>
      <c r="M1862" s="171">
        <v>62.76</v>
      </c>
      <c r="N1862" s="171">
        <v>67.900000000000006</v>
      </c>
      <c r="O1862" s="171">
        <v>68.47</v>
      </c>
      <c r="P1862" s="171">
        <v>69.61</v>
      </c>
      <c r="Q1862" s="171">
        <v>69.5</v>
      </c>
      <c r="R1862" s="171">
        <v>64.400000000000006</v>
      </c>
      <c r="S1862" s="171">
        <v>55</v>
      </c>
      <c r="T1862" s="171">
        <v>54.77</v>
      </c>
      <c r="U1862" s="171">
        <v>58.2</v>
      </c>
      <c r="V1862" s="171">
        <v>61.620000000000005</v>
      </c>
      <c r="W1862" s="171">
        <v>53</v>
      </c>
      <c r="X1862" s="171">
        <v>59.34</v>
      </c>
      <c r="Y1862" s="171">
        <v>52</v>
      </c>
      <c r="Z1862" s="171">
        <v>58.82</v>
      </c>
      <c r="AA1862" s="171">
        <v>58.2</v>
      </c>
      <c r="AB1862" s="171">
        <v>69.61</v>
      </c>
      <c r="AC1862" s="171">
        <v>52</v>
      </c>
      <c r="AD1862" s="171">
        <v>46.79</v>
      </c>
      <c r="AF1862" s="171">
        <f t="shared" si="89"/>
        <v>2013</v>
      </c>
      <c r="AG1862" s="171">
        <f t="shared" si="90"/>
        <v>6</v>
      </c>
      <c r="AH1862" s="700">
        <f>SUMIF(D$3:$AA1862,"&lt;="&amp;$AH$1)/COUNTIF(D$3:$AA1862,"&lt;="&amp;$AH$1)</f>
        <v>31.187662293979255</v>
      </c>
    </row>
    <row r="1863" spans="2:34" x14ac:dyDescent="0.25">
      <c r="B1863" s="910">
        <v>41435</v>
      </c>
      <c r="C1863" s="581">
        <f t="shared" si="88"/>
        <v>6</v>
      </c>
      <c r="D1863" s="171">
        <v>33.92</v>
      </c>
      <c r="E1863" s="171">
        <v>33.450000000000003</v>
      </c>
      <c r="F1863" s="171">
        <v>32.160000000000004</v>
      </c>
      <c r="G1863" s="171">
        <v>32.020000000000003</v>
      </c>
      <c r="H1863" s="171">
        <v>32.08</v>
      </c>
      <c r="I1863" s="171">
        <v>32.03</v>
      </c>
      <c r="J1863" s="171">
        <v>39.950000000000003</v>
      </c>
      <c r="K1863" s="171">
        <v>45.410000000000004</v>
      </c>
      <c r="L1863" s="171">
        <v>54</v>
      </c>
      <c r="M1863" s="171">
        <v>51.38</v>
      </c>
      <c r="N1863" s="171">
        <v>50</v>
      </c>
      <c r="O1863" s="171">
        <v>54.57</v>
      </c>
      <c r="P1863" s="171">
        <v>52.44</v>
      </c>
      <c r="Q1863" s="171">
        <v>54.800000000000004</v>
      </c>
      <c r="R1863" s="171">
        <v>52.44</v>
      </c>
      <c r="S1863" s="171">
        <v>51.38</v>
      </c>
      <c r="T1863" s="171">
        <v>50.230000000000004</v>
      </c>
      <c r="U1863" s="171">
        <v>63.67</v>
      </c>
      <c r="V1863" s="171">
        <v>49.96</v>
      </c>
      <c r="W1863" s="171">
        <v>48.07</v>
      </c>
      <c r="X1863" s="171">
        <v>62.92</v>
      </c>
      <c r="Y1863" s="171">
        <v>54.93</v>
      </c>
      <c r="Z1863" s="171">
        <v>57.08</v>
      </c>
      <c r="AA1863" s="171">
        <v>51.4</v>
      </c>
      <c r="AB1863" s="171">
        <v>63.67</v>
      </c>
      <c r="AC1863" s="171">
        <v>45.410000000000004</v>
      </c>
      <c r="AD1863" s="171">
        <v>42.28</v>
      </c>
      <c r="AF1863" s="171">
        <f t="shared" si="89"/>
        <v>2013</v>
      </c>
      <c r="AG1863" s="171">
        <f t="shared" si="90"/>
        <v>7</v>
      </c>
      <c r="AH1863" s="700">
        <f>SUMIF(D$3:$AA1863,"&lt;="&amp;$AH$1)/COUNTIF(D$3:$AA1863,"&lt;="&amp;$AH$1)</f>
        <v>31.188825309306189</v>
      </c>
    </row>
    <row r="1864" spans="2:34" x14ac:dyDescent="0.25">
      <c r="B1864" s="910">
        <v>41436</v>
      </c>
      <c r="C1864" s="581">
        <f t="shared" si="88"/>
        <v>6</v>
      </c>
      <c r="D1864" s="171">
        <v>39</v>
      </c>
      <c r="E1864" s="171">
        <v>37.200000000000003</v>
      </c>
      <c r="F1864" s="171">
        <v>35.43</v>
      </c>
      <c r="G1864" s="171">
        <v>34.54</v>
      </c>
      <c r="H1864" s="171">
        <v>34.97</v>
      </c>
      <c r="I1864" s="171">
        <v>38.39</v>
      </c>
      <c r="J1864" s="171">
        <v>43.9</v>
      </c>
      <c r="K1864" s="171">
        <v>55</v>
      </c>
      <c r="L1864" s="171">
        <v>50.300000000000004</v>
      </c>
      <c r="M1864" s="171">
        <v>59.08</v>
      </c>
      <c r="N1864" s="171">
        <v>66.650000000000006</v>
      </c>
      <c r="O1864" s="171">
        <v>70.290000000000006</v>
      </c>
      <c r="P1864" s="171">
        <v>65.44</v>
      </c>
      <c r="Q1864" s="171">
        <v>63.02</v>
      </c>
      <c r="R1864" s="171">
        <v>63.02</v>
      </c>
      <c r="S1864" s="171">
        <v>55</v>
      </c>
      <c r="T1864" s="171">
        <v>55.75</v>
      </c>
      <c r="U1864" s="171">
        <v>69.08</v>
      </c>
      <c r="V1864" s="171">
        <v>62.71</v>
      </c>
      <c r="W1864" s="171">
        <v>51.31</v>
      </c>
      <c r="X1864" s="171">
        <v>50.42</v>
      </c>
      <c r="Y1864" s="171">
        <v>48.88</v>
      </c>
      <c r="Z1864" s="171">
        <v>52.96</v>
      </c>
      <c r="AA1864" s="171">
        <v>53.59</v>
      </c>
      <c r="AB1864" s="171">
        <v>70.290000000000006</v>
      </c>
      <c r="AC1864" s="171">
        <v>48.88</v>
      </c>
      <c r="AD1864" s="171">
        <v>43.69</v>
      </c>
      <c r="AF1864" s="171">
        <f t="shared" si="89"/>
        <v>2013</v>
      </c>
      <c r="AG1864" s="171">
        <f t="shared" si="90"/>
        <v>6</v>
      </c>
      <c r="AH1864" s="700">
        <f>SUMIF(D$3:$AA1864,"&lt;="&amp;$AH$1)/COUNTIF(D$3:$AA1864,"&lt;="&amp;$AH$1)</f>
        <v>31.191002822960183</v>
      </c>
    </row>
    <row r="1865" spans="2:34" x14ac:dyDescent="0.25">
      <c r="B1865" s="910">
        <v>41437</v>
      </c>
      <c r="C1865" s="581">
        <f t="shared" si="88"/>
        <v>6</v>
      </c>
      <c r="D1865" s="171">
        <v>46.99</v>
      </c>
      <c r="E1865" s="171">
        <v>39</v>
      </c>
      <c r="F1865" s="171">
        <v>35.67</v>
      </c>
      <c r="G1865" s="171">
        <v>35.050000000000004</v>
      </c>
      <c r="H1865" s="171">
        <v>35.83</v>
      </c>
      <c r="I1865" s="171">
        <v>37.450000000000003</v>
      </c>
      <c r="J1865" s="171">
        <v>42.35</v>
      </c>
      <c r="K1865" s="171">
        <v>48.4</v>
      </c>
      <c r="L1865" s="171">
        <v>60</v>
      </c>
      <c r="M1865" s="171">
        <v>72.600000000000009</v>
      </c>
      <c r="N1865" s="171">
        <v>67.010000000000005</v>
      </c>
      <c r="O1865" s="171">
        <v>72.600000000000009</v>
      </c>
      <c r="P1865" s="171">
        <v>62.64</v>
      </c>
      <c r="Q1865" s="171">
        <v>64.930000000000007</v>
      </c>
      <c r="R1865" s="171">
        <v>56.95</v>
      </c>
      <c r="S1865" s="171">
        <v>55</v>
      </c>
      <c r="T1865" s="171">
        <v>54.94</v>
      </c>
      <c r="U1865" s="171">
        <v>64.930000000000007</v>
      </c>
      <c r="V1865" s="171">
        <v>49.94</v>
      </c>
      <c r="W1865" s="171">
        <v>46.85</v>
      </c>
      <c r="X1865" s="171">
        <v>52.43</v>
      </c>
      <c r="Y1865" s="171">
        <v>50.89</v>
      </c>
      <c r="Z1865" s="171">
        <v>53.51</v>
      </c>
      <c r="AA1865" s="171">
        <v>48.96</v>
      </c>
      <c r="AB1865" s="171">
        <v>72.600000000000009</v>
      </c>
      <c r="AC1865" s="171">
        <v>46.85</v>
      </c>
      <c r="AD1865" s="171">
        <v>43.88</v>
      </c>
      <c r="AF1865" s="171">
        <f t="shared" si="89"/>
        <v>2013</v>
      </c>
      <c r="AG1865" s="171">
        <f t="shared" si="90"/>
        <v>6</v>
      </c>
      <c r="AH1865" s="700">
        <f>SUMIF(D$3:$AA1865,"&lt;="&amp;$AH$1)/COUNTIF(D$3:$AA1865,"&lt;="&amp;$AH$1)</f>
        <v>31.193569604945015</v>
      </c>
    </row>
    <row r="1866" spans="2:34" x14ac:dyDescent="0.25">
      <c r="B1866" s="910">
        <v>41438</v>
      </c>
      <c r="C1866" s="581">
        <f t="shared" si="88"/>
        <v>6</v>
      </c>
      <c r="D1866" s="171">
        <v>44.92</v>
      </c>
      <c r="E1866" s="171">
        <v>32.6</v>
      </c>
      <c r="F1866" s="171">
        <v>31.240000000000002</v>
      </c>
      <c r="G1866" s="171">
        <v>30.490000000000002</v>
      </c>
      <c r="H1866" s="171">
        <v>31.19</v>
      </c>
      <c r="I1866" s="171">
        <v>29.93</v>
      </c>
      <c r="J1866" s="171">
        <v>40.5</v>
      </c>
      <c r="K1866" s="171">
        <v>47.34</v>
      </c>
      <c r="L1866" s="171">
        <v>50.2</v>
      </c>
      <c r="M1866" s="171">
        <v>59.32</v>
      </c>
      <c r="N1866" s="171">
        <v>64.94</v>
      </c>
      <c r="O1866" s="171">
        <v>66.17</v>
      </c>
      <c r="P1866" s="171">
        <v>61.6</v>
      </c>
      <c r="Q1866" s="171">
        <v>59.94</v>
      </c>
      <c r="R1866" s="171">
        <v>58.120000000000005</v>
      </c>
      <c r="S1866" s="171">
        <v>52.44</v>
      </c>
      <c r="T1866" s="171">
        <v>52.68</v>
      </c>
      <c r="U1866" s="171">
        <v>62.65</v>
      </c>
      <c r="V1866" s="171">
        <v>47.03</v>
      </c>
      <c r="W1866" s="171">
        <v>46.51</v>
      </c>
      <c r="X1866" s="171">
        <v>46.58</v>
      </c>
      <c r="Y1866" s="171">
        <v>43.38</v>
      </c>
      <c r="Z1866" s="171">
        <v>43.5</v>
      </c>
      <c r="AA1866" s="171">
        <v>40.65</v>
      </c>
      <c r="AB1866" s="171">
        <v>66.17</v>
      </c>
      <c r="AC1866" s="171">
        <v>43.38</v>
      </c>
      <c r="AD1866" s="171">
        <v>38.53</v>
      </c>
      <c r="AF1866" s="171">
        <f t="shared" si="89"/>
        <v>2013</v>
      </c>
      <c r="AG1866" s="171">
        <f t="shared" si="90"/>
        <v>7</v>
      </c>
      <c r="AH1866" s="700">
        <f>SUMIF(D$3:$AA1866,"&lt;="&amp;$AH$1)/COUNTIF(D$3:$AA1866,"&lt;="&amp;$AH$1)</f>
        <v>31.194794842522434</v>
      </c>
    </row>
    <row r="1867" spans="2:34" x14ac:dyDescent="0.25">
      <c r="B1867" s="910">
        <v>41439</v>
      </c>
      <c r="C1867" s="581">
        <f t="shared" si="88"/>
        <v>6</v>
      </c>
      <c r="D1867" s="171">
        <v>39</v>
      </c>
      <c r="E1867" s="171">
        <v>28.3</v>
      </c>
      <c r="F1867" s="171">
        <v>27</v>
      </c>
      <c r="G1867" s="171">
        <v>24.76</v>
      </c>
      <c r="H1867" s="171">
        <v>27</v>
      </c>
      <c r="I1867" s="171">
        <v>26.67</v>
      </c>
      <c r="J1867" s="171">
        <v>34.93</v>
      </c>
      <c r="K1867" s="171">
        <v>49.24</v>
      </c>
      <c r="L1867" s="171">
        <v>50.06</v>
      </c>
      <c r="M1867" s="171">
        <v>53</v>
      </c>
      <c r="N1867" s="171">
        <v>57.45</v>
      </c>
      <c r="O1867" s="171">
        <v>60</v>
      </c>
      <c r="P1867" s="171">
        <v>54.94</v>
      </c>
      <c r="Q1867" s="171">
        <v>54.94</v>
      </c>
      <c r="R1867" s="171">
        <v>54.94</v>
      </c>
      <c r="S1867" s="171">
        <v>50</v>
      </c>
      <c r="T1867" s="171">
        <v>48.89</v>
      </c>
      <c r="U1867" s="171">
        <v>56.65</v>
      </c>
      <c r="V1867" s="171">
        <v>52.44</v>
      </c>
      <c r="W1867" s="171">
        <v>53.2</v>
      </c>
      <c r="X1867" s="171">
        <v>58.88</v>
      </c>
      <c r="Y1867" s="171">
        <v>54.61</v>
      </c>
      <c r="Z1867" s="171">
        <v>54.61</v>
      </c>
      <c r="AA1867" s="171">
        <v>51.2</v>
      </c>
      <c r="AB1867" s="171">
        <v>60</v>
      </c>
      <c r="AC1867" s="171">
        <v>48.89</v>
      </c>
      <c r="AD1867" s="171">
        <v>39.68</v>
      </c>
      <c r="AF1867" s="171">
        <f t="shared" si="89"/>
        <v>2013</v>
      </c>
      <c r="AG1867" s="171">
        <f t="shared" si="90"/>
        <v>7</v>
      </c>
      <c r="AH1867" s="700">
        <f>SUMIF(D$3:$AA1867,"&lt;="&amp;$AH$1)/COUNTIF(D$3:$AA1867,"&lt;="&amp;$AH$1)</f>
        <v>31.194076386092195</v>
      </c>
    </row>
    <row r="1868" spans="2:34" x14ac:dyDescent="0.25">
      <c r="B1868" s="910">
        <v>41442</v>
      </c>
      <c r="C1868" s="581">
        <f t="shared" si="88"/>
        <v>6</v>
      </c>
      <c r="D1868" s="171">
        <v>33.99</v>
      </c>
      <c r="E1868" s="171">
        <v>30.240000000000002</v>
      </c>
      <c r="F1868" s="171">
        <v>29.41</v>
      </c>
      <c r="G1868" s="171">
        <v>28.91</v>
      </c>
      <c r="H1868" s="171">
        <v>29.740000000000002</v>
      </c>
      <c r="I1868" s="171">
        <v>33</v>
      </c>
      <c r="J1868" s="171">
        <v>37.67</v>
      </c>
      <c r="K1868" s="171">
        <v>54.93</v>
      </c>
      <c r="L1868" s="171">
        <v>57.02</v>
      </c>
      <c r="M1868" s="171">
        <v>61.870000000000005</v>
      </c>
      <c r="N1868" s="171">
        <v>66.73</v>
      </c>
      <c r="O1868" s="171">
        <v>79.960000000000008</v>
      </c>
      <c r="P1868" s="171">
        <v>81.210000000000008</v>
      </c>
      <c r="Q1868" s="171">
        <v>83.710000000000008</v>
      </c>
      <c r="R1868" s="171">
        <v>66.63</v>
      </c>
      <c r="S1868" s="171">
        <v>57.44</v>
      </c>
      <c r="T1868" s="171">
        <v>55.410000000000004</v>
      </c>
      <c r="U1868" s="171">
        <v>59.36</v>
      </c>
      <c r="V1868" s="171">
        <v>50.11</v>
      </c>
      <c r="W1868" s="171">
        <v>49.96</v>
      </c>
      <c r="X1868" s="171">
        <v>45.97</v>
      </c>
      <c r="Y1868" s="171">
        <v>54.79</v>
      </c>
      <c r="Z1868" s="171">
        <v>54.22</v>
      </c>
      <c r="AA1868" s="171">
        <v>49.99</v>
      </c>
      <c r="AB1868" s="171">
        <v>83.710000000000008</v>
      </c>
      <c r="AC1868" s="171">
        <v>45.97</v>
      </c>
      <c r="AD1868" s="171">
        <v>40.24</v>
      </c>
      <c r="AF1868" s="171">
        <f t="shared" si="89"/>
        <v>2013</v>
      </c>
      <c r="AG1868" s="171">
        <f t="shared" si="90"/>
        <v>7</v>
      </c>
      <c r="AH1868" s="700">
        <f>SUMIF(D$3:$AA1868,"&lt;="&amp;$AH$1)/COUNTIF(D$3:$AA1868,"&lt;="&amp;$AH$1)</f>
        <v>31.194385105669337</v>
      </c>
    </row>
    <row r="1869" spans="2:34" x14ac:dyDescent="0.25">
      <c r="B1869" s="910">
        <v>41443</v>
      </c>
      <c r="C1869" s="581">
        <f t="shared" si="88"/>
        <v>6</v>
      </c>
      <c r="D1869" s="171">
        <v>52.480000000000004</v>
      </c>
      <c r="E1869" s="171">
        <v>39</v>
      </c>
      <c r="F1869" s="171">
        <v>30.18</v>
      </c>
      <c r="G1869" s="171">
        <v>30.310000000000002</v>
      </c>
      <c r="H1869" s="171">
        <v>30.27</v>
      </c>
      <c r="I1869" s="171">
        <v>31.990000000000002</v>
      </c>
      <c r="J1869" s="171">
        <v>42.83</v>
      </c>
      <c r="K1869" s="171">
        <v>59.93</v>
      </c>
      <c r="L1869" s="171">
        <v>49.77</v>
      </c>
      <c r="M1869" s="171">
        <v>60</v>
      </c>
      <c r="N1869" s="171">
        <v>63.96</v>
      </c>
      <c r="O1869" s="171">
        <v>77.650000000000006</v>
      </c>
      <c r="P1869" s="171">
        <v>78.19</v>
      </c>
      <c r="Q1869" s="171">
        <v>79.930000000000007</v>
      </c>
      <c r="R1869" s="171">
        <v>69.95</v>
      </c>
      <c r="S1869" s="171">
        <v>69.19</v>
      </c>
      <c r="T1869" s="171">
        <v>69.05</v>
      </c>
      <c r="U1869" s="171">
        <v>84.56</v>
      </c>
      <c r="V1869" s="171">
        <v>65.680000000000007</v>
      </c>
      <c r="W1869" s="171">
        <v>55.97</v>
      </c>
      <c r="X1869" s="171">
        <v>67.960000000000008</v>
      </c>
      <c r="Y1869" s="171">
        <v>67.37</v>
      </c>
      <c r="Z1869" s="171">
        <v>70</v>
      </c>
      <c r="AA1869" s="171">
        <v>69.8</v>
      </c>
      <c r="AB1869" s="171">
        <v>84.56</v>
      </c>
      <c r="AC1869" s="171">
        <v>49.77</v>
      </c>
      <c r="AD1869" s="171">
        <v>49.34</v>
      </c>
      <c r="AF1869" s="171">
        <f t="shared" si="89"/>
        <v>2013</v>
      </c>
      <c r="AG1869" s="171">
        <f t="shared" si="90"/>
        <v>5</v>
      </c>
      <c r="AH1869" s="700">
        <f>SUMIF(D$3:$AA1869,"&lt;="&amp;$AH$1)/COUNTIF(D$3:$AA1869,"&lt;="&amp;$AH$1)</f>
        <v>31.194772635814985</v>
      </c>
    </row>
    <row r="1870" spans="2:34" x14ac:dyDescent="0.25">
      <c r="B1870" s="910">
        <v>41444</v>
      </c>
      <c r="C1870" s="581">
        <f t="shared" si="88"/>
        <v>6</v>
      </c>
      <c r="D1870" s="171">
        <v>53.59</v>
      </c>
      <c r="E1870" s="171">
        <v>43.45</v>
      </c>
      <c r="F1870" s="171">
        <v>39</v>
      </c>
      <c r="G1870" s="171">
        <v>33</v>
      </c>
      <c r="H1870" s="171">
        <v>33</v>
      </c>
      <c r="I1870" s="171">
        <v>38.770000000000003</v>
      </c>
      <c r="J1870" s="171">
        <v>40.19</v>
      </c>
      <c r="K1870" s="171">
        <v>59.38</v>
      </c>
      <c r="L1870" s="171">
        <v>58.17</v>
      </c>
      <c r="M1870" s="171">
        <v>77.760000000000005</v>
      </c>
      <c r="N1870" s="171">
        <v>95.08</v>
      </c>
      <c r="O1870" s="171">
        <v>103.15</v>
      </c>
      <c r="P1870" s="171">
        <v>100.23</v>
      </c>
      <c r="Q1870" s="171">
        <v>99.94</v>
      </c>
      <c r="R1870" s="171">
        <v>99.94</v>
      </c>
      <c r="S1870" s="171">
        <v>75</v>
      </c>
      <c r="T1870" s="171">
        <v>74.94</v>
      </c>
      <c r="U1870" s="171">
        <v>69.16</v>
      </c>
      <c r="V1870" s="171">
        <v>57.01</v>
      </c>
      <c r="W1870" s="171">
        <v>43.33</v>
      </c>
      <c r="X1870" s="171">
        <v>44.94</v>
      </c>
      <c r="Y1870" s="171">
        <v>44.47</v>
      </c>
      <c r="Z1870" s="171">
        <v>51.31</v>
      </c>
      <c r="AA1870" s="171">
        <v>48.800000000000004</v>
      </c>
      <c r="AB1870" s="171">
        <v>103.15</v>
      </c>
      <c r="AC1870" s="171">
        <v>43.33</v>
      </c>
      <c r="AD1870" s="171">
        <v>44.160000000000004</v>
      </c>
      <c r="AF1870" s="171">
        <f t="shared" si="89"/>
        <v>2013</v>
      </c>
      <c r="AG1870" s="171">
        <f t="shared" si="90"/>
        <v>5</v>
      </c>
      <c r="AH1870" s="700">
        <f>SUMIF(D$3:$AA1870,"&lt;="&amp;$AH$1)/COUNTIF(D$3:$AA1870,"&lt;="&amp;$AH$1)</f>
        <v>31.196649011062789</v>
      </c>
    </row>
    <row r="1871" spans="2:34" x14ac:dyDescent="0.25">
      <c r="B1871" s="910">
        <v>41445</v>
      </c>
      <c r="C1871" s="581">
        <f t="shared" si="88"/>
        <v>6</v>
      </c>
      <c r="D1871" s="171">
        <v>35.68</v>
      </c>
      <c r="E1871" s="171">
        <v>42.72</v>
      </c>
      <c r="F1871" s="171">
        <v>33.5</v>
      </c>
      <c r="G1871" s="171">
        <v>30.38</v>
      </c>
      <c r="H1871" s="171">
        <v>29.63</v>
      </c>
      <c r="I1871" s="171">
        <v>33.5</v>
      </c>
      <c r="J1871" s="171">
        <v>40</v>
      </c>
      <c r="K1871" s="171">
        <v>50.27</v>
      </c>
      <c r="L1871" s="171">
        <v>53.17</v>
      </c>
      <c r="M1871" s="171">
        <v>55.07</v>
      </c>
      <c r="N1871" s="171">
        <v>58.72</v>
      </c>
      <c r="O1871" s="171">
        <v>64.930000000000007</v>
      </c>
      <c r="P1871" s="171">
        <v>65.03</v>
      </c>
      <c r="Q1871" s="171">
        <v>80</v>
      </c>
      <c r="R1871" s="171">
        <v>78.290000000000006</v>
      </c>
      <c r="S1871" s="171">
        <v>64.94</v>
      </c>
      <c r="T1871" s="171">
        <v>60.120000000000005</v>
      </c>
      <c r="U1871" s="171">
        <v>68.650000000000006</v>
      </c>
      <c r="V1871" s="171">
        <v>62.03</v>
      </c>
      <c r="W1871" s="171">
        <v>54.68</v>
      </c>
      <c r="X1871" s="171">
        <v>62.65</v>
      </c>
      <c r="Y1871" s="171">
        <v>62.33</v>
      </c>
      <c r="Z1871" s="171">
        <v>65</v>
      </c>
      <c r="AA1871" s="171">
        <v>54.94</v>
      </c>
      <c r="AB1871" s="171">
        <v>80</v>
      </c>
      <c r="AC1871" s="171">
        <v>50.27</v>
      </c>
      <c r="AD1871" s="171">
        <v>45.050000000000004</v>
      </c>
      <c r="AF1871" s="171">
        <f t="shared" si="89"/>
        <v>2013</v>
      </c>
      <c r="AG1871" s="171">
        <f t="shared" si="90"/>
        <v>6</v>
      </c>
      <c r="AH1871" s="700">
        <f>SUMIF(D$3:$AA1871,"&lt;="&amp;$AH$1)/COUNTIF(D$3:$AA1871,"&lt;="&amp;$AH$1)</f>
        <v>31.197688492728467</v>
      </c>
    </row>
    <row r="1872" spans="2:34" x14ac:dyDescent="0.25">
      <c r="B1872" s="910">
        <v>41446</v>
      </c>
      <c r="C1872" s="581">
        <f t="shared" si="88"/>
        <v>6</v>
      </c>
      <c r="D1872" s="171">
        <v>47.26</v>
      </c>
      <c r="E1872" s="171">
        <v>47.800000000000004</v>
      </c>
      <c r="F1872" s="171">
        <v>43.7</v>
      </c>
      <c r="G1872" s="171">
        <v>33.61</v>
      </c>
      <c r="H1872" s="171">
        <v>33.61</v>
      </c>
      <c r="I1872" s="171">
        <v>40</v>
      </c>
      <c r="J1872" s="171">
        <v>41.76</v>
      </c>
      <c r="K1872" s="171">
        <v>51.69</v>
      </c>
      <c r="L1872" s="171">
        <v>59.43</v>
      </c>
      <c r="M1872" s="171">
        <v>72.12</v>
      </c>
      <c r="N1872" s="171">
        <v>70.8</v>
      </c>
      <c r="O1872" s="171">
        <v>71.5</v>
      </c>
      <c r="P1872" s="171">
        <v>71.25</v>
      </c>
      <c r="Q1872" s="171">
        <v>69.66</v>
      </c>
      <c r="R1872" s="171">
        <v>61.08</v>
      </c>
      <c r="S1872" s="171">
        <v>55</v>
      </c>
      <c r="T1872" s="171">
        <v>46.04</v>
      </c>
      <c r="U1872" s="171">
        <v>46.07</v>
      </c>
      <c r="V1872" s="171">
        <v>49.96</v>
      </c>
      <c r="W1872" s="171">
        <v>45.24</v>
      </c>
      <c r="X1872" s="171">
        <v>53.160000000000004</v>
      </c>
      <c r="Y1872" s="171">
        <v>45.24</v>
      </c>
      <c r="Z1872" s="171">
        <v>42.980000000000004</v>
      </c>
      <c r="AA1872" s="171">
        <v>50.9</v>
      </c>
      <c r="AB1872" s="171">
        <v>72.12</v>
      </c>
      <c r="AC1872" s="171">
        <v>42.980000000000004</v>
      </c>
      <c r="AD1872" s="171">
        <v>44.31</v>
      </c>
      <c r="AF1872" s="171">
        <f t="shared" si="89"/>
        <v>2013</v>
      </c>
      <c r="AG1872" s="171">
        <f t="shared" si="90"/>
        <v>4</v>
      </c>
      <c r="AH1872" s="700">
        <f>SUMIF(D$3:$AA1872,"&lt;="&amp;$AH$1)/COUNTIF(D$3:$AA1872,"&lt;="&amp;$AH$1)</f>
        <v>31.199309212730416</v>
      </c>
    </row>
    <row r="1873" spans="2:34" x14ac:dyDescent="0.25">
      <c r="B1873" s="910">
        <v>41449</v>
      </c>
      <c r="C1873" s="581">
        <f t="shared" si="88"/>
        <v>6</v>
      </c>
      <c r="D1873" s="171">
        <v>30.45</v>
      </c>
      <c r="E1873" s="171">
        <v>18.63</v>
      </c>
      <c r="F1873" s="171">
        <v>14.99</v>
      </c>
      <c r="G1873" s="171">
        <v>16.990000000000002</v>
      </c>
      <c r="H1873" s="171">
        <v>16.55</v>
      </c>
      <c r="I1873" s="171">
        <v>26.28</v>
      </c>
      <c r="J1873" s="171">
        <v>30.77</v>
      </c>
      <c r="K1873" s="171">
        <v>43.14</v>
      </c>
      <c r="L1873" s="171">
        <v>49.660000000000004</v>
      </c>
      <c r="M1873" s="171">
        <v>49.93</v>
      </c>
      <c r="N1873" s="171">
        <v>50</v>
      </c>
      <c r="O1873" s="171">
        <v>64.2</v>
      </c>
      <c r="P1873" s="171">
        <v>56.980000000000004</v>
      </c>
      <c r="Q1873" s="171">
        <v>52.050000000000004</v>
      </c>
      <c r="R1873" s="171">
        <v>55</v>
      </c>
      <c r="S1873" s="171">
        <v>49.94</v>
      </c>
      <c r="T1873" s="171">
        <v>49.94</v>
      </c>
      <c r="U1873" s="171">
        <v>54.94</v>
      </c>
      <c r="V1873" s="171">
        <v>59.26</v>
      </c>
      <c r="W1873" s="171">
        <v>46.85</v>
      </c>
      <c r="X1873" s="171">
        <v>55.84</v>
      </c>
      <c r="Y1873" s="171">
        <v>52.42</v>
      </c>
      <c r="Z1873" s="171">
        <v>47.870000000000005</v>
      </c>
      <c r="AA1873" s="171">
        <v>45.59</v>
      </c>
      <c r="AB1873" s="171">
        <v>64.2</v>
      </c>
      <c r="AC1873" s="171">
        <v>43.14</v>
      </c>
      <c r="AD1873" s="171">
        <v>33.29</v>
      </c>
      <c r="AF1873" s="171">
        <f t="shared" si="89"/>
        <v>2013</v>
      </c>
      <c r="AG1873" s="171">
        <f t="shared" si="90"/>
        <v>7</v>
      </c>
      <c r="AH1873" s="700">
        <f>SUMIF(D$3:$AA1873,"&lt;="&amp;$AH$1)/COUNTIF(D$3:$AA1873,"&lt;="&amp;$AH$1)</f>
        <v>31.195040851861872</v>
      </c>
    </row>
    <row r="1874" spans="2:34" x14ac:dyDescent="0.25">
      <c r="B1874" s="910">
        <v>41450</v>
      </c>
      <c r="C1874" s="581">
        <f t="shared" si="88"/>
        <v>6</v>
      </c>
      <c r="D1874" s="171">
        <v>46.62</v>
      </c>
      <c r="E1874" s="171">
        <v>38.660000000000004</v>
      </c>
      <c r="F1874" s="171">
        <v>30.38</v>
      </c>
      <c r="G1874" s="171">
        <v>26.38</v>
      </c>
      <c r="H1874" s="171">
        <v>26.42</v>
      </c>
      <c r="I1874" s="171">
        <v>28.830000000000002</v>
      </c>
      <c r="J1874" s="171">
        <v>39.880000000000003</v>
      </c>
      <c r="K1874" s="171">
        <v>48.36</v>
      </c>
      <c r="L1874" s="171">
        <v>90</v>
      </c>
      <c r="M1874" s="171">
        <v>124.96000000000001</v>
      </c>
      <c r="N1874" s="171">
        <v>99.94</v>
      </c>
      <c r="O1874" s="171">
        <v>62.64</v>
      </c>
      <c r="P1874" s="171">
        <v>52.44</v>
      </c>
      <c r="Q1874" s="171">
        <v>52.44</v>
      </c>
      <c r="R1874" s="171">
        <v>50.47</v>
      </c>
      <c r="S1874" s="171">
        <v>49.96</v>
      </c>
      <c r="T1874" s="171">
        <v>51.120000000000005</v>
      </c>
      <c r="U1874" s="171">
        <v>50</v>
      </c>
      <c r="V1874" s="171">
        <v>44.94</v>
      </c>
      <c r="W1874" s="171">
        <v>42.4</v>
      </c>
      <c r="X1874" s="171">
        <v>54.58</v>
      </c>
      <c r="Y1874" s="171">
        <v>54.94</v>
      </c>
      <c r="Z1874" s="171">
        <v>54.38</v>
      </c>
      <c r="AA1874" s="171">
        <v>55.47</v>
      </c>
      <c r="AB1874" s="171">
        <v>124.96000000000001</v>
      </c>
      <c r="AC1874" s="171">
        <v>42.4</v>
      </c>
      <c r="AD1874" s="171">
        <v>42.08</v>
      </c>
      <c r="AF1874" s="171">
        <f t="shared" si="89"/>
        <v>2013</v>
      </c>
      <c r="AG1874" s="171">
        <f t="shared" si="90"/>
        <v>7</v>
      </c>
      <c r="AH1874" s="700">
        <f>SUMIF(D$3:$AA1874,"&lt;="&amp;$AH$1)/COUNTIF(D$3:$AA1874,"&lt;="&amp;$AH$1)</f>
        <v>31.196017136354609</v>
      </c>
    </row>
    <row r="1875" spans="2:34" x14ac:dyDescent="0.25">
      <c r="B1875" s="910">
        <v>41451</v>
      </c>
      <c r="C1875" s="581">
        <f t="shared" si="88"/>
        <v>6</v>
      </c>
      <c r="D1875" s="171">
        <v>66.2</v>
      </c>
      <c r="E1875" s="171">
        <v>52.5</v>
      </c>
      <c r="F1875" s="171">
        <v>45.62</v>
      </c>
      <c r="G1875" s="171">
        <v>42.44</v>
      </c>
      <c r="H1875" s="171">
        <v>39</v>
      </c>
      <c r="I1875" s="171">
        <v>39.96</v>
      </c>
      <c r="J1875" s="171">
        <v>43.76</v>
      </c>
      <c r="K1875" s="171">
        <v>54.550000000000004</v>
      </c>
      <c r="L1875" s="171">
        <v>48.5</v>
      </c>
      <c r="M1875" s="171">
        <v>57.03</v>
      </c>
      <c r="N1875" s="171">
        <v>57.44</v>
      </c>
      <c r="O1875" s="171">
        <v>60</v>
      </c>
      <c r="P1875" s="171">
        <v>65</v>
      </c>
      <c r="Q1875" s="171">
        <v>62.730000000000004</v>
      </c>
      <c r="R1875" s="171">
        <v>55</v>
      </c>
      <c r="S1875" s="171">
        <v>50.410000000000004</v>
      </c>
      <c r="T1875" s="171">
        <v>50.410000000000004</v>
      </c>
      <c r="U1875" s="171">
        <v>63.85</v>
      </c>
      <c r="V1875" s="171">
        <v>54.94</v>
      </c>
      <c r="W1875" s="171">
        <v>51.33</v>
      </c>
      <c r="X1875" s="171">
        <v>60</v>
      </c>
      <c r="Y1875" s="171">
        <v>54.75</v>
      </c>
      <c r="Z1875" s="171">
        <v>51.800000000000004</v>
      </c>
      <c r="AA1875" s="171">
        <v>51.33</v>
      </c>
      <c r="AB1875" s="171">
        <v>65</v>
      </c>
      <c r="AC1875" s="171">
        <v>48.5</v>
      </c>
      <c r="AD1875" s="171">
        <v>50.160000000000004</v>
      </c>
      <c r="AF1875" s="171">
        <f t="shared" si="89"/>
        <v>2013</v>
      </c>
      <c r="AG1875" s="171">
        <f t="shared" si="90"/>
        <v>3</v>
      </c>
      <c r="AH1875" s="700">
        <f>SUMIF(D$3:$AA1875,"&lt;="&amp;$AH$1)/COUNTIF(D$3:$AA1875,"&lt;="&amp;$AH$1)</f>
        <v>31.197878463391884</v>
      </c>
    </row>
    <row r="1876" spans="2:34" x14ac:dyDescent="0.25">
      <c r="B1876" s="910">
        <v>41452</v>
      </c>
      <c r="C1876" s="581">
        <f t="shared" si="88"/>
        <v>6</v>
      </c>
      <c r="D1876" s="171">
        <v>58.45</v>
      </c>
      <c r="E1876" s="171">
        <v>47.42</v>
      </c>
      <c r="F1876" s="171">
        <v>38.33</v>
      </c>
      <c r="G1876" s="171">
        <v>36.61</v>
      </c>
      <c r="H1876" s="171">
        <v>34.32</v>
      </c>
      <c r="I1876" s="171">
        <v>34.32</v>
      </c>
      <c r="J1876" s="171">
        <v>40.74</v>
      </c>
      <c r="K1876" s="171">
        <v>52.44</v>
      </c>
      <c r="L1876" s="171">
        <v>52</v>
      </c>
      <c r="M1876" s="171">
        <v>63.5</v>
      </c>
      <c r="N1876" s="171">
        <v>59.94</v>
      </c>
      <c r="O1876" s="171">
        <v>69.010000000000005</v>
      </c>
      <c r="P1876" s="171">
        <v>75</v>
      </c>
      <c r="Q1876" s="171">
        <v>70</v>
      </c>
      <c r="R1876" s="171">
        <v>60</v>
      </c>
      <c r="S1876" s="171">
        <v>54.94</v>
      </c>
      <c r="T1876" s="171">
        <v>54.94</v>
      </c>
      <c r="U1876" s="171">
        <v>54.94</v>
      </c>
      <c r="V1876" s="171">
        <v>49.93</v>
      </c>
      <c r="W1876" s="171">
        <v>52.43</v>
      </c>
      <c r="X1876" s="171">
        <v>64.94</v>
      </c>
      <c r="Y1876" s="171">
        <v>55</v>
      </c>
      <c r="Z1876" s="171">
        <v>51.52</v>
      </c>
      <c r="AA1876" s="171">
        <v>50.46</v>
      </c>
      <c r="AB1876" s="171">
        <v>75</v>
      </c>
      <c r="AC1876" s="171">
        <v>49.93</v>
      </c>
      <c r="AD1876" s="171">
        <v>47.050000000000004</v>
      </c>
      <c r="AF1876" s="171">
        <f t="shared" si="89"/>
        <v>2013</v>
      </c>
      <c r="AG1876" s="171">
        <f t="shared" si="90"/>
        <v>5</v>
      </c>
      <c r="AH1876" s="700">
        <f>SUMIF(D$3:$AA1876,"&lt;="&amp;$AH$1)/COUNTIF(D$3:$AA1876,"&lt;="&amp;$AH$1)</f>
        <v>31.199773867665854</v>
      </c>
    </row>
    <row r="1877" spans="2:34" x14ac:dyDescent="0.25">
      <c r="B1877" s="910">
        <v>41453</v>
      </c>
      <c r="C1877" s="581">
        <f t="shared" si="88"/>
        <v>6</v>
      </c>
      <c r="D1877" s="171">
        <v>46.77</v>
      </c>
      <c r="E1877" s="171">
        <v>42.21</v>
      </c>
      <c r="F1877" s="171">
        <v>40.5</v>
      </c>
      <c r="G1877" s="171">
        <v>38.78</v>
      </c>
      <c r="H1877" s="171">
        <v>38.5</v>
      </c>
      <c r="I1877" s="171">
        <v>38.21</v>
      </c>
      <c r="J1877" s="171">
        <v>41.22</v>
      </c>
      <c r="K1877" s="171">
        <v>50.120000000000005</v>
      </c>
      <c r="L1877" s="171">
        <v>52.47</v>
      </c>
      <c r="M1877" s="171">
        <v>67.3</v>
      </c>
      <c r="N1877" s="171">
        <v>69.88</v>
      </c>
      <c r="O1877" s="171">
        <v>80.989999999999995</v>
      </c>
      <c r="P1877" s="171">
        <v>77.570000000000007</v>
      </c>
      <c r="Q1877" s="171">
        <v>70.72</v>
      </c>
      <c r="R1877" s="171">
        <v>65.02</v>
      </c>
      <c r="S1877" s="171">
        <v>50.45</v>
      </c>
      <c r="T1877" s="171">
        <v>58.15</v>
      </c>
      <c r="U1877" s="171">
        <v>73.010000000000005</v>
      </c>
      <c r="V1877" s="171">
        <v>59.94</v>
      </c>
      <c r="W1877" s="171">
        <v>46.06</v>
      </c>
      <c r="X1877" s="171">
        <v>49.93</v>
      </c>
      <c r="Y1877" s="171">
        <v>46.92</v>
      </c>
      <c r="Z1877" s="171">
        <v>54.75</v>
      </c>
      <c r="AA1877" s="171">
        <v>54.75</v>
      </c>
      <c r="AB1877" s="171">
        <v>80.989999999999995</v>
      </c>
      <c r="AC1877" s="171">
        <v>46.06</v>
      </c>
      <c r="AD1877" s="171">
        <v>45.22</v>
      </c>
      <c r="AF1877" s="171">
        <f t="shared" si="89"/>
        <v>2013</v>
      </c>
      <c r="AG1877" s="171">
        <f t="shared" si="90"/>
        <v>6</v>
      </c>
      <c r="AH1877" s="700">
        <f>SUMIF(D$3:$AA1877,"&lt;="&amp;$AH$1)/COUNTIF(D$3:$AA1877,"&lt;="&amp;$AH$1)</f>
        <v>31.203266234200601</v>
      </c>
    </row>
    <row r="1878" spans="2:34" x14ac:dyDescent="0.25">
      <c r="B1878" s="910">
        <v>41456</v>
      </c>
      <c r="C1878" s="581">
        <f t="shared" si="88"/>
        <v>7</v>
      </c>
      <c r="D1878" s="171">
        <v>44.94</v>
      </c>
      <c r="E1878" s="171">
        <v>26.92</v>
      </c>
      <c r="F1878" s="171">
        <v>26.38</v>
      </c>
      <c r="G1878" s="171">
        <v>25.92</v>
      </c>
      <c r="H1878" s="171">
        <v>27</v>
      </c>
      <c r="I1878" s="171">
        <v>27.240000000000002</v>
      </c>
      <c r="J1878" s="171">
        <v>31.76</v>
      </c>
      <c r="K1878" s="171">
        <v>45.37</v>
      </c>
      <c r="L1878" s="171">
        <v>49.96</v>
      </c>
      <c r="M1878" s="171">
        <v>51</v>
      </c>
      <c r="N1878" s="171">
        <v>52.43</v>
      </c>
      <c r="O1878" s="171">
        <v>52.85</v>
      </c>
      <c r="P1878" s="171">
        <v>56.71</v>
      </c>
      <c r="Q1878" s="171">
        <v>59.94</v>
      </c>
      <c r="R1878" s="171">
        <v>56.71</v>
      </c>
      <c r="S1878" s="171">
        <v>51</v>
      </c>
      <c r="T1878" s="171">
        <v>50</v>
      </c>
      <c r="U1878" s="171">
        <v>64.94</v>
      </c>
      <c r="V1878" s="171">
        <v>55</v>
      </c>
      <c r="W1878" s="171">
        <v>50.120000000000005</v>
      </c>
      <c r="X1878" s="171">
        <v>55.11</v>
      </c>
      <c r="Y1878" s="171">
        <v>50</v>
      </c>
      <c r="Z1878" s="171">
        <v>55</v>
      </c>
      <c r="AA1878" s="171">
        <v>57.85</v>
      </c>
      <c r="AB1878" s="171">
        <v>64.94</v>
      </c>
      <c r="AC1878" s="171">
        <v>45.37</v>
      </c>
      <c r="AD1878" s="171">
        <v>39.46</v>
      </c>
      <c r="AF1878" s="171">
        <f t="shared" si="89"/>
        <v>2013</v>
      </c>
      <c r="AG1878" s="171">
        <f t="shared" si="90"/>
        <v>6</v>
      </c>
      <c r="AH1878" s="700">
        <f>SUMIF(D$3:$AA1878,"&lt;="&amp;$AH$1)/COUNTIF(D$3:$AA1878,"&lt;="&amp;$AH$1)</f>
        <v>31.201795574570596</v>
      </c>
    </row>
    <row r="1879" spans="2:34" x14ac:dyDescent="0.25">
      <c r="B1879" s="910">
        <v>41457</v>
      </c>
      <c r="C1879" s="581">
        <f t="shared" si="88"/>
        <v>7</v>
      </c>
      <c r="D1879" s="171">
        <v>50</v>
      </c>
      <c r="E1879" s="171">
        <v>39.380000000000003</v>
      </c>
      <c r="F1879" s="171">
        <v>31.26</v>
      </c>
      <c r="G1879" s="171">
        <v>25.85</v>
      </c>
      <c r="H1879" s="171">
        <v>26.73</v>
      </c>
      <c r="I1879" s="171">
        <v>29.43</v>
      </c>
      <c r="J1879" s="171">
        <v>38.47</v>
      </c>
      <c r="K1879" s="171">
        <v>47.5</v>
      </c>
      <c r="L1879" s="171">
        <v>50.92</v>
      </c>
      <c r="M1879" s="171">
        <v>64.94</v>
      </c>
      <c r="N1879" s="171">
        <v>73.55</v>
      </c>
      <c r="O1879" s="171">
        <v>74.5</v>
      </c>
      <c r="P1879" s="171">
        <v>71.28</v>
      </c>
      <c r="Q1879" s="171">
        <v>66.760000000000005</v>
      </c>
      <c r="R1879" s="171">
        <v>56.58</v>
      </c>
      <c r="S1879" s="171">
        <v>52.050000000000004</v>
      </c>
      <c r="T1879" s="171">
        <v>50</v>
      </c>
      <c r="U1879" s="171">
        <v>50.72</v>
      </c>
      <c r="V1879" s="171">
        <v>46.45</v>
      </c>
      <c r="W1879" s="171">
        <v>47.45</v>
      </c>
      <c r="X1879" s="171">
        <v>54.31</v>
      </c>
      <c r="Y1879" s="171">
        <v>50.72</v>
      </c>
      <c r="Z1879" s="171">
        <v>53.46</v>
      </c>
      <c r="AA1879" s="171">
        <v>49</v>
      </c>
      <c r="AB1879" s="171">
        <v>74.5</v>
      </c>
      <c r="AC1879" s="171">
        <v>46.45</v>
      </c>
      <c r="AD1879" s="171">
        <v>41.34</v>
      </c>
      <c r="AF1879" s="171">
        <f t="shared" si="89"/>
        <v>2013</v>
      </c>
      <c r="AG1879" s="171">
        <f t="shared" si="90"/>
        <v>6</v>
      </c>
      <c r="AH1879" s="700">
        <f>SUMIF(D$3:$AA1879,"&lt;="&amp;$AH$1)/COUNTIF(D$3:$AA1879,"&lt;="&amp;$AH$1)</f>
        <v>31.202056799198228</v>
      </c>
    </row>
    <row r="1880" spans="2:34" x14ac:dyDescent="0.25">
      <c r="B1880" s="910">
        <v>41458</v>
      </c>
      <c r="C1880" s="581">
        <f t="shared" si="88"/>
        <v>7</v>
      </c>
      <c r="D1880" s="171">
        <v>44.12</v>
      </c>
      <c r="E1880" s="171">
        <v>39.71</v>
      </c>
      <c r="F1880" s="171">
        <v>37.33</v>
      </c>
      <c r="G1880" s="171">
        <v>33.64</v>
      </c>
      <c r="H1880" s="171">
        <v>35.07</v>
      </c>
      <c r="I1880" s="171">
        <v>36.200000000000003</v>
      </c>
      <c r="J1880" s="171">
        <v>41.480000000000004</v>
      </c>
      <c r="K1880" s="171">
        <v>50</v>
      </c>
      <c r="L1880" s="171">
        <v>54.96</v>
      </c>
      <c r="M1880" s="171">
        <v>61.09</v>
      </c>
      <c r="N1880" s="171">
        <v>59.95</v>
      </c>
      <c r="O1880" s="171">
        <v>67.87</v>
      </c>
      <c r="P1880" s="171">
        <v>69.540000000000006</v>
      </c>
      <c r="Q1880" s="171">
        <v>67.87</v>
      </c>
      <c r="R1880" s="171">
        <v>67.87</v>
      </c>
      <c r="S1880" s="171">
        <v>64.48</v>
      </c>
      <c r="T1880" s="171">
        <v>63.870000000000005</v>
      </c>
      <c r="U1880" s="171">
        <v>71.320000000000007</v>
      </c>
      <c r="V1880" s="171">
        <v>50</v>
      </c>
      <c r="W1880" s="171">
        <v>46.550000000000004</v>
      </c>
      <c r="X1880" s="171">
        <v>63.440000000000005</v>
      </c>
      <c r="Y1880" s="171">
        <v>50</v>
      </c>
      <c r="Z1880" s="171">
        <v>54.96</v>
      </c>
      <c r="AA1880" s="171">
        <v>55.43</v>
      </c>
      <c r="AB1880" s="171">
        <v>71.320000000000007</v>
      </c>
      <c r="AC1880" s="171">
        <v>46.550000000000004</v>
      </c>
      <c r="AD1880" s="171">
        <v>45.12</v>
      </c>
      <c r="AF1880" s="171">
        <f t="shared" si="89"/>
        <v>2013</v>
      </c>
      <c r="AG1880" s="171">
        <f t="shared" si="90"/>
        <v>6</v>
      </c>
      <c r="AH1880" s="700">
        <f>SUMIF(D$3:$AA1880,"&lt;="&amp;$AH$1)/COUNTIF(D$3:$AA1880,"&lt;="&amp;$AH$1)</f>
        <v>31.204475986908125</v>
      </c>
    </row>
    <row r="1881" spans="2:34" x14ac:dyDescent="0.25">
      <c r="B1881" s="910">
        <v>41459</v>
      </c>
      <c r="C1881" s="581">
        <f t="shared" si="88"/>
        <v>7</v>
      </c>
      <c r="D1881" s="171">
        <v>51.35</v>
      </c>
      <c r="E1881" s="171">
        <v>41.95</v>
      </c>
      <c r="F1881" s="171">
        <v>36.28</v>
      </c>
      <c r="G1881" s="171">
        <v>33.36</v>
      </c>
      <c r="H1881" s="171">
        <v>36.28</v>
      </c>
      <c r="I1881" s="171">
        <v>35.72</v>
      </c>
      <c r="J1881" s="171">
        <v>36.28</v>
      </c>
      <c r="K1881" s="171">
        <v>49.43</v>
      </c>
      <c r="L1881" s="171">
        <v>53.29</v>
      </c>
      <c r="M1881" s="171">
        <v>56.69</v>
      </c>
      <c r="N1881" s="171">
        <v>65.760000000000005</v>
      </c>
      <c r="O1881" s="171">
        <v>71.430000000000007</v>
      </c>
      <c r="P1881" s="171">
        <v>71.430000000000007</v>
      </c>
      <c r="Q1881" s="171">
        <v>68.180000000000007</v>
      </c>
      <c r="R1881" s="171">
        <v>65.760000000000005</v>
      </c>
      <c r="S1881" s="171">
        <v>57.44</v>
      </c>
      <c r="T1881" s="171">
        <v>54.42</v>
      </c>
      <c r="U1881" s="171">
        <v>64.67</v>
      </c>
      <c r="V1881" s="171">
        <v>56.69</v>
      </c>
      <c r="W1881" s="171">
        <v>49.89</v>
      </c>
      <c r="X1881" s="171">
        <v>56.9</v>
      </c>
      <c r="Y1881" s="171">
        <v>53.29</v>
      </c>
      <c r="Z1881" s="171">
        <v>55</v>
      </c>
      <c r="AA1881" s="171">
        <v>48.64</v>
      </c>
      <c r="AB1881" s="171">
        <v>71.430000000000007</v>
      </c>
      <c r="AC1881" s="171">
        <v>49.43</v>
      </c>
      <c r="AD1881" s="171">
        <v>44.54</v>
      </c>
      <c r="AF1881" s="171">
        <f t="shared" si="89"/>
        <v>2013</v>
      </c>
      <c r="AG1881" s="171">
        <f t="shared" si="90"/>
        <v>6</v>
      </c>
      <c r="AH1881" s="700">
        <f>SUMIF(D$3:$AA1881,"&lt;="&amp;$AH$1)/COUNTIF(D$3:$AA1881,"&lt;="&amp;$AH$1)</f>
        <v>31.206655538492463</v>
      </c>
    </row>
    <row r="1882" spans="2:34" x14ac:dyDescent="0.25">
      <c r="B1882" s="910">
        <v>41460</v>
      </c>
      <c r="C1882" s="581">
        <f t="shared" si="88"/>
        <v>7</v>
      </c>
      <c r="D1882" s="171">
        <v>47.88</v>
      </c>
      <c r="E1882" s="171">
        <v>42.730000000000004</v>
      </c>
      <c r="F1882" s="171">
        <v>36.47</v>
      </c>
      <c r="G1882" s="171">
        <v>33.619999999999997</v>
      </c>
      <c r="H1882" s="171">
        <v>33.619999999999997</v>
      </c>
      <c r="I1882" s="171">
        <v>33.619999999999997</v>
      </c>
      <c r="J1882" s="171">
        <v>37.04</v>
      </c>
      <c r="K1882" s="171">
        <v>49.660000000000004</v>
      </c>
      <c r="L1882" s="171">
        <v>53.9</v>
      </c>
      <c r="M1882" s="171">
        <v>60.97</v>
      </c>
      <c r="N1882" s="171">
        <v>60.120000000000005</v>
      </c>
      <c r="O1882" s="171">
        <v>68.37</v>
      </c>
      <c r="P1882" s="171">
        <v>66.03</v>
      </c>
      <c r="Q1882" s="171">
        <v>65</v>
      </c>
      <c r="R1882" s="171">
        <v>56.160000000000004</v>
      </c>
      <c r="S1882" s="171">
        <v>51.28</v>
      </c>
      <c r="T1882" s="171">
        <v>47.86</v>
      </c>
      <c r="U1882" s="171">
        <v>56.980000000000004</v>
      </c>
      <c r="V1882" s="171">
        <v>53.56</v>
      </c>
      <c r="W1882" s="171">
        <v>49.57</v>
      </c>
      <c r="X1882" s="171">
        <v>60.97</v>
      </c>
      <c r="Y1882" s="171">
        <v>55.03</v>
      </c>
      <c r="Z1882" s="171">
        <v>57.550000000000004</v>
      </c>
      <c r="AA1882" s="171">
        <v>58.69</v>
      </c>
      <c r="AB1882" s="171">
        <v>68.37</v>
      </c>
      <c r="AC1882" s="171">
        <v>47.86</v>
      </c>
      <c r="AD1882" s="171">
        <v>45.57</v>
      </c>
      <c r="AF1882" s="171">
        <f t="shared" si="89"/>
        <v>2013</v>
      </c>
      <c r="AG1882" s="171">
        <f t="shared" si="90"/>
        <v>5</v>
      </c>
      <c r="AH1882" s="700">
        <f>SUMIF(D$3:$AA1882,"&lt;="&amp;$AH$1)/COUNTIF(D$3:$AA1882,"&lt;="&amp;$AH$1)</f>
        <v>31.207879455346518</v>
      </c>
    </row>
    <row r="1883" spans="2:34" x14ac:dyDescent="0.25">
      <c r="B1883" s="910">
        <v>41463</v>
      </c>
      <c r="C1883" s="581">
        <f t="shared" si="88"/>
        <v>7</v>
      </c>
      <c r="D1883" s="171">
        <v>29.35</v>
      </c>
      <c r="E1883" s="171">
        <v>27.51</v>
      </c>
      <c r="F1883" s="171">
        <v>26.490000000000002</v>
      </c>
      <c r="G1883" s="171">
        <v>26.38</v>
      </c>
      <c r="H1883" s="171">
        <v>27</v>
      </c>
      <c r="I1883" s="171">
        <v>29.19</v>
      </c>
      <c r="J1883" s="171">
        <v>37</v>
      </c>
      <c r="K1883" s="171">
        <v>50.65</v>
      </c>
      <c r="L1883" s="171">
        <v>56.28</v>
      </c>
      <c r="M1883" s="171">
        <v>61.7</v>
      </c>
      <c r="N1883" s="171">
        <v>60.78</v>
      </c>
      <c r="O1883" s="171">
        <v>70.91</v>
      </c>
      <c r="P1883" s="171">
        <v>69.930000000000007</v>
      </c>
      <c r="Q1883" s="171">
        <v>69.930000000000007</v>
      </c>
      <c r="R1883" s="171">
        <v>65.12</v>
      </c>
      <c r="S1883" s="171">
        <v>56.28</v>
      </c>
      <c r="T1883" s="171">
        <v>52.44</v>
      </c>
      <c r="U1883" s="171">
        <v>49.980000000000004</v>
      </c>
      <c r="V1883" s="171">
        <v>44.93</v>
      </c>
      <c r="W1883" s="171">
        <v>45.53</v>
      </c>
      <c r="X1883" s="171">
        <v>58.53</v>
      </c>
      <c r="Y1883" s="171">
        <v>45.980000000000004</v>
      </c>
      <c r="Z1883" s="171">
        <v>49.31</v>
      </c>
      <c r="AA1883" s="171">
        <v>57.4</v>
      </c>
      <c r="AB1883" s="171">
        <v>70.91</v>
      </c>
      <c r="AC1883" s="171">
        <v>44.93</v>
      </c>
      <c r="AD1883" s="171">
        <v>38.730000000000004</v>
      </c>
      <c r="AF1883" s="171">
        <f t="shared" si="89"/>
        <v>2013</v>
      </c>
      <c r="AG1883" s="171">
        <f t="shared" si="90"/>
        <v>7</v>
      </c>
      <c r="AH1883" s="700">
        <f>SUMIF(D$3:$AA1883,"&lt;="&amp;$AH$1)/COUNTIF(D$3:$AA1883,"&lt;="&amp;$AH$1)</f>
        <v>31.206843018213458</v>
      </c>
    </row>
    <row r="1884" spans="2:34" x14ac:dyDescent="0.25">
      <c r="B1884" s="910">
        <v>41464</v>
      </c>
      <c r="C1884" s="581">
        <f t="shared" si="88"/>
        <v>7</v>
      </c>
      <c r="D1884" s="171">
        <v>31</v>
      </c>
      <c r="E1884" s="171">
        <v>25</v>
      </c>
      <c r="F1884" s="171">
        <v>22.84</v>
      </c>
      <c r="G1884" s="171">
        <v>21.5</v>
      </c>
      <c r="H1884" s="171">
        <v>21.07</v>
      </c>
      <c r="I1884" s="171">
        <v>21.84</v>
      </c>
      <c r="J1884" s="171">
        <v>33.51</v>
      </c>
      <c r="K1884" s="171">
        <v>44.75</v>
      </c>
      <c r="L1884" s="171">
        <v>47.99</v>
      </c>
      <c r="M1884" s="171">
        <v>46.79</v>
      </c>
      <c r="N1884" s="171">
        <v>54</v>
      </c>
      <c r="O1884" s="171">
        <v>54.94</v>
      </c>
      <c r="P1884" s="171">
        <v>50</v>
      </c>
      <c r="Q1884" s="171">
        <v>50</v>
      </c>
      <c r="R1884" s="171">
        <v>50</v>
      </c>
      <c r="S1884" s="171">
        <v>63.45</v>
      </c>
      <c r="T1884" s="171">
        <v>62.06</v>
      </c>
      <c r="U1884" s="171">
        <v>60.120000000000005</v>
      </c>
      <c r="V1884" s="171">
        <v>54.94</v>
      </c>
      <c r="W1884" s="171">
        <v>50</v>
      </c>
      <c r="X1884" s="171">
        <v>63.6</v>
      </c>
      <c r="Y1884" s="171">
        <v>50.660000000000004</v>
      </c>
      <c r="Z1884" s="171">
        <v>45.99</v>
      </c>
      <c r="AA1884" s="171">
        <v>45.9</v>
      </c>
      <c r="AB1884" s="171">
        <v>63.6</v>
      </c>
      <c r="AC1884" s="171">
        <v>44.75</v>
      </c>
      <c r="AD1884" s="171">
        <v>35.64</v>
      </c>
      <c r="AF1884" s="171">
        <f t="shared" si="89"/>
        <v>2013</v>
      </c>
      <c r="AG1884" s="171">
        <f t="shared" si="90"/>
        <v>7</v>
      </c>
      <c r="AH1884" s="700">
        <f>SUMIF(D$3:$AA1884,"&lt;="&amp;$AH$1)/COUNTIF(D$3:$AA1884,"&lt;="&amp;$AH$1)</f>
        <v>31.204063083489036</v>
      </c>
    </row>
    <row r="1885" spans="2:34" x14ac:dyDescent="0.25">
      <c r="B1885" s="910">
        <v>41465</v>
      </c>
      <c r="C1885" s="581">
        <f t="shared" si="88"/>
        <v>7</v>
      </c>
      <c r="D1885" s="171">
        <v>53.53</v>
      </c>
      <c r="E1885" s="171">
        <v>27.990000000000002</v>
      </c>
      <c r="F1885" s="171">
        <v>24.67</v>
      </c>
      <c r="G1885" s="171">
        <v>23.490000000000002</v>
      </c>
      <c r="H1885" s="171">
        <v>29.5</v>
      </c>
      <c r="I1885" s="171">
        <v>26.63</v>
      </c>
      <c r="J1885" s="171">
        <v>45.15</v>
      </c>
      <c r="K1885" s="171">
        <v>54.07</v>
      </c>
      <c r="L1885" s="171">
        <v>53.410000000000004</v>
      </c>
      <c r="M1885" s="171">
        <v>61.08</v>
      </c>
      <c r="N1885" s="171">
        <v>69.94</v>
      </c>
      <c r="O1885" s="171">
        <v>69.02</v>
      </c>
      <c r="P1885" s="171">
        <v>65</v>
      </c>
      <c r="Q1885" s="171">
        <v>64.94</v>
      </c>
      <c r="R1885" s="171">
        <v>65.12</v>
      </c>
      <c r="S1885" s="171">
        <v>52.44</v>
      </c>
      <c r="T1885" s="171">
        <v>49.96</v>
      </c>
      <c r="U1885" s="171">
        <v>49.96</v>
      </c>
      <c r="V1885" s="171">
        <v>44.99</v>
      </c>
      <c r="W1885" s="171">
        <v>45.74</v>
      </c>
      <c r="X1885" s="171">
        <v>59.94</v>
      </c>
      <c r="Y1885" s="171">
        <v>54.99</v>
      </c>
      <c r="Z1885" s="171">
        <v>56.35</v>
      </c>
      <c r="AA1885" s="171">
        <v>49.99</v>
      </c>
      <c r="AB1885" s="171">
        <v>69.94</v>
      </c>
      <c r="AC1885" s="171">
        <v>44.99</v>
      </c>
      <c r="AD1885" s="171">
        <v>42.19</v>
      </c>
      <c r="AF1885" s="171">
        <f t="shared" si="89"/>
        <v>2013</v>
      </c>
      <c r="AG1885" s="171">
        <f t="shared" si="90"/>
        <v>5</v>
      </c>
      <c r="AH1885" s="700">
        <f>SUMIF(D$3:$AA1885,"&lt;="&amp;$AH$1)/COUNTIF(D$3:$AA1885,"&lt;="&amp;$AH$1)</f>
        <v>31.202480501300016</v>
      </c>
    </row>
    <row r="1886" spans="2:34" x14ac:dyDescent="0.25">
      <c r="B1886" s="910">
        <v>41466</v>
      </c>
      <c r="C1886" s="581">
        <f t="shared" si="88"/>
        <v>7</v>
      </c>
      <c r="D1886" s="171">
        <v>31.12</v>
      </c>
      <c r="E1886" s="171">
        <v>27.46</v>
      </c>
      <c r="F1886" s="171">
        <v>27.95</v>
      </c>
      <c r="G1886" s="171">
        <v>27.86</v>
      </c>
      <c r="H1886" s="171">
        <v>28.73</v>
      </c>
      <c r="I1886" s="171">
        <v>30.080000000000002</v>
      </c>
      <c r="J1886" s="171">
        <v>35.53</v>
      </c>
      <c r="K1886" s="171">
        <v>42.93</v>
      </c>
      <c r="L1886" s="171">
        <v>52.44</v>
      </c>
      <c r="M1886" s="171">
        <v>55</v>
      </c>
      <c r="N1886" s="171">
        <v>60</v>
      </c>
      <c r="O1886" s="171">
        <v>69.010000000000005</v>
      </c>
      <c r="P1886" s="171">
        <v>67.540000000000006</v>
      </c>
      <c r="Q1886" s="171">
        <v>67.540000000000006</v>
      </c>
      <c r="R1886" s="171">
        <v>65</v>
      </c>
      <c r="S1886" s="171">
        <v>64.3</v>
      </c>
      <c r="T1886" s="171">
        <v>64.3</v>
      </c>
      <c r="U1886" s="171">
        <v>74.94</v>
      </c>
      <c r="V1886" s="171">
        <v>55</v>
      </c>
      <c r="W1886" s="171">
        <v>47.95</v>
      </c>
      <c r="X1886" s="171">
        <v>54.94</v>
      </c>
      <c r="Y1886" s="171">
        <v>46.13</v>
      </c>
      <c r="Z1886" s="171">
        <v>46.15</v>
      </c>
      <c r="AA1886" s="171">
        <v>45.67</v>
      </c>
      <c r="AB1886" s="171">
        <v>74.94</v>
      </c>
      <c r="AC1886" s="171">
        <v>42.93</v>
      </c>
      <c r="AD1886" s="171">
        <v>37.050000000000004</v>
      </c>
      <c r="AF1886" s="171">
        <f t="shared" si="89"/>
        <v>2013</v>
      </c>
      <c r="AG1886" s="171">
        <f t="shared" si="90"/>
        <v>7</v>
      </c>
      <c r="AH1886" s="700">
        <f>SUMIF(D$3:$AA1886,"&lt;="&amp;$AH$1)/COUNTIF(D$3:$AA1886,"&lt;="&amp;$AH$1)</f>
        <v>31.201835021322069</v>
      </c>
    </row>
    <row r="1887" spans="2:34" x14ac:dyDescent="0.25">
      <c r="B1887" s="910">
        <v>41467</v>
      </c>
      <c r="C1887" s="581">
        <f t="shared" si="88"/>
        <v>7</v>
      </c>
      <c r="D1887" s="171">
        <v>33.11</v>
      </c>
      <c r="E1887" s="171">
        <v>30.8</v>
      </c>
      <c r="F1887" s="171">
        <v>28.98</v>
      </c>
      <c r="G1887" s="171">
        <v>28.63</v>
      </c>
      <c r="H1887" s="171">
        <v>28.63</v>
      </c>
      <c r="I1887" s="171">
        <v>28.63</v>
      </c>
      <c r="J1887" s="171">
        <v>45.4</v>
      </c>
      <c r="K1887" s="171">
        <v>49</v>
      </c>
      <c r="L1887" s="171">
        <v>56.050000000000004</v>
      </c>
      <c r="M1887" s="171">
        <v>69.010000000000005</v>
      </c>
      <c r="N1887" s="171">
        <v>74.94</v>
      </c>
      <c r="O1887" s="171">
        <v>65</v>
      </c>
      <c r="P1887" s="171">
        <v>65</v>
      </c>
      <c r="Q1887" s="171">
        <v>59.93</v>
      </c>
      <c r="R1887" s="171">
        <v>50</v>
      </c>
      <c r="S1887" s="171">
        <v>46.5</v>
      </c>
      <c r="T1887" s="171">
        <v>46.12</v>
      </c>
      <c r="U1887" s="171">
        <v>46.18</v>
      </c>
      <c r="V1887" s="171">
        <v>44.57</v>
      </c>
      <c r="W1887" s="171">
        <v>42.99</v>
      </c>
      <c r="X1887" s="171">
        <v>44.96</v>
      </c>
      <c r="Y1887" s="171">
        <v>43</v>
      </c>
      <c r="Z1887" s="171">
        <v>41.800000000000004</v>
      </c>
      <c r="AA1887" s="171">
        <v>37.050000000000004</v>
      </c>
      <c r="AB1887" s="171">
        <v>74.94</v>
      </c>
      <c r="AC1887" s="171">
        <v>41.800000000000004</v>
      </c>
      <c r="AD1887" s="171">
        <v>36.67</v>
      </c>
      <c r="AF1887" s="171">
        <f t="shared" si="89"/>
        <v>2013</v>
      </c>
      <c r="AG1887" s="171">
        <f t="shared" si="90"/>
        <v>8</v>
      </c>
      <c r="AH1887" s="700">
        <f>SUMIF(D$3:$AA1887,"&lt;="&amp;$AH$1)/COUNTIF(D$3:$AA1887,"&lt;="&amp;$AH$1)</f>
        <v>31.202368806606387</v>
      </c>
    </row>
    <row r="1888" spans="2:34" x14ac:dyDescent="0.25">
      <c r="B1888" s="910">
        <v>41470</v>
      </c>
      <c r="C1888" s="581">
        <f t="shared" si="88"/>
        <v>7</v>
      </c>
      <c r="D1888" s="171">
        <v>31.84</v>
      </c>
      <c r="E1888" s="171">
        <v>29.13</v>
      </c>
      <c r="F1888" s="171">
        <v>28.560000000000002</v>
      </c>
      <c r="G1888" s="171">
        <v>28.68</v>
      </c>
      <c r="H1888" s="171">
        <v>29.810000000000002</v>
      </c>
      <c r="I1888" s="171">
        <v>29.25</v>
      </c>
      <c r="J1888" s="171">
        <v>38.61</v>
      </c>
      <c r="K1888" s="171">
        <v>44.93</v>
      </c>
      <c r="L1888" s="171">
        <v>42.77</v>
      </c>
      <c r="M1888" s="171">
        <v>45.94</v>
      </c>
      <c r="N1888" s="171">
        <v>54.04</v>
      </c>
      <c r="O1888" s="171">
        <v>59.94</v>
      </c>
      <c r="P1888" s="171">
        <v>55.1</v>
      </c>
      <c r="Q1888" s="171">
        <v>60</v>
      </c>
      <c r="R1888" s="171">
        <v>59.99</v>
      </c>
      <c r="S1888" s="171">
        <v>52.44</v>
      </c>
      <c r="T1888" s="171">
        <v>52.44</v>
      </c>
      <c r="U1888" s="171">
        <v>69.92</v>
      </c>
      <c r="V1888" s="171">
        <v>59.5</v>
      </c>
      <c r="W1888" s="171">
        <v>51.09</v>
      </c>
      <c r="X1888" s="171">
        <v>56.07</v>
      </c>
      <c r="Y1888" s="171">
        <v>49.17</v>
      </c>
      <c r="Z1888" s="171">
        <v>49.370000000000005</v>
      </c>
      <c r="AA1888" s="171">
        <v>44.19</v>
      </c>
      <c r="AB1888" s="171">
        <v>69.92</v>
      </c>
      <c r="AC1888" s="171">
        <v>42.77</v>
      </c>
      <c r="AD1888" s="171">
        <v>38.300000000000004</v>
      </c>
      <c r="AF1888" s="171">
        <f t="shared" si="89"/>
        <v>2013</v>
      </c>
      <c r="AG1888" s="171">
        <f t="shared" si="90"/>
        <v>7</v>
      </c>
      <c r="AH1888" s="700">
        <f>SUMIF(D$3:$AA1888,"&lt;="&amp;$AH$1)/COUNTIF(D$3:$AA1888,"&lt;="&amp;$AH$1)</f>
        <v>31.202199960061343</v>
      </c>
    </row>
    <row r="1889" spans="2:34" x14ac:dyDescent="0.25">
      <c r="B1889" s="910">
        <v>41471</v>
      </c>
      <c r="C1889" s="581">
        <f t="shared" si="88"/>
        <v>7</v>
      </c>
      <c r="D1889" s="171">
        <v>33.19</v>
      </c>
      <c r="E1889" s="171">
        <v>31.150000000000002</v>
      </c>
      <c r="F1889" s="171">
        <v>30.13</v>
      </c>
      <c r="G1889" s="171">
        <v>30.85</v>
      </c>
      <c r="H1889" s="171">
        <v>30.85</v>
      </c>
      <c r="I1889" s="171">
        <v>31.93</v>
      </c>
      <c r="J1889" s="171">
        <v>34.910000000000004</v>
      </c>
      <c r="K1889" s="171">
        <v>47.94</v>
      </c>
      <c r="L1889" s="171">
        <v>57.230000000000004</v>
      </c>
      <c r="M1889" s="171">
        <v>52.44</v>
      </c>
      <c r="N1889" s="171">
        <v>57.44</v>
      </c>
      <c r="O1889" s="171">
        <v>55.120000000000005</v>
      </c>
      <c r="P1889" s="171">
        <v>52.44</v>
      </c>
      <c r="Q1889" s="171">
        <v>54.99</v>
      </c>
      <c r="R1889" s="171">
        <v>55</v>
      </c>
      <c r="S1889" s="171">
        <v>52.44</v>
      </c>
      <c r="T1889" s="171">
        <v>52.44</v>
      </c>
      <c r="U1889" s="171">
        <v>50</v>
      </c>
      <c r="V1889" s="171">
        <v>51.78</v>
      </c>
      <c r="W1889" s="171">
        <v>54.83</v>
      </c>
      <c r="X1889" s="171">
        <v>53.08</v>
      </c>
      <c r="Y1889" s="171">
        <v>49.370000000000005</v>
      </c>
      <c r="Z1889" s="171">
        <v>47.93</v>
      </c>
      <c r="AA1889" s="171">
        <v>56.67</v>
      </c>
      <c r="AB1889" s="171">
        <v>57.44</v>
      </c>
      <c r="AC1889" s="171">
        <v>47.93</v>
      </c>
      <c r="AD1889" s="171">
        <v>39.83</v>
      </c>
      <c r="AF1889" s="171">
        <f t="shared" si="89"/>
        <v>2013</v>
      </c>
      <c r="AG1889" s="171">
        <f t="shared" si="90"/>
        <v>7</v>
      </c>
      <c r="AH1889" s="700">
        <f>SUMIF(D$3:$AA1889,"&lt;="&amp;$AH$1)/COUNTIF(D$3:$AA1889,"&lt;="&amp;$AH$1)</f>
        <v>31.202505655356052</v>
      </c>
    </row>
    <row r="1890" spans="2:34" x14ac:dyDescent="0.25">
      <c r="B1890" s="910">
        <v>41472</v>
      </c>
      <c r="C1890" s="581">
        <f t="shared" si="88"/>
        <v>7</v>
      </c>
      <c r="D1890" s="171">
        <v>39.96</v>
      </c>
      <c r="E1890" s="171">
        <v>33.130000000000003</v>
      </c>
      <c r="F1890" s="171">
        <v>31.53</v>
      </c>
      <c r="G1890" s="171">
        <v>31.11</v>
      </c>
      <c r="H1890" s="171">
        <v>31.830000000000002</v>
      </c>
      <c r="I1890" s="171">
        <v>32.89</v>
      </c>
      <c r="J1890" s="171">
        <v>42.28</v>
      </c>
      <c r="K1890" s="171">
        <v>59.49</v>
      </c>
      <c r="L1890" s="171">
        <v>56.57</v>
      </c>
      <c r="M1890" s="171">
        <v>58.18</v>
      </c>
      <c r="N1890" s="171">
        <v>57.44</v>
      </c>
      <c r="O1890" s="171">
        <v>61.6</v>
      </c>
      <c r="P1890" s="171">
        <v>65.040000000000006</v>
      </c>
      <c r="Q1890" s="171">
        <v>69.010000000000005</v>
      </c>
      <c r="R1890" s="171">
        <v>63.800000000000004</v>
      </c>
      <c r="S1890" s="171">
        <v>59.96</v>
      </c>
      <c r="T1890" s="171">
        <v>60</v>
      </c>
      <c r="U1890" s="171">
        <v>69.92</v>
      </c>
      <c r="V1890" s="171">
        <v>57.94</v>
      </c>
      <c r="W1890" s="171">
        <v>58.03</v>
      </c>
      <c r="X1890" s="171">
        <v>57.410000000000004</v>
      </c>
      <c r="Y1890" s="171">
        <v>50.74</v>
      </c>
      <c r="Z1890" s="171">
        <v>54.88</v>
      </c>
      <c r="AA1890" s="171">
        <v>39.96</v>
      </c>
      <c r="AB1890" s="171">
        <v>69.92</v>
      </c>
      <c r="AC1890" s="171">
        <v>50.74</v>
      </c>
      <c r="AD1890" s="171">
        <v>42.1</v>
      </c>
      <c r="AF1890" s="171">
        <f t="shared" si="89"/>
        <v>2013</v>
      </c>
      <c r="AG1890" s="171">
        <f t="shared" si="90"/>
        <v>8</v>
      </c>
      <c r="AH1890" s="700">
        <f>SUMIF(D$3:$AA1890,"&lt;="&amp;$AH$1)/COUNTIF(D$3:$AA1890,"&lt;="&amp;$AH$1)</f>
        <v>31.204704747971913</v>
      </c>
    </row>
    <row r="1891" spans="2:34" x14ac:dyDescent="0.25">
      <c r="B1891" s="910">
        <v>41473</v>
      </c>
      <c r="C1891" s="581">
        <f t="shared" si="88"/>
        <v>7</v>
      </c>
      <c r="D1891" s="171">
        <v>41.54</v>
      </c>
      <c r="E1891" s="171">
        <v>33</v>
      </c>
      <c r="F1891" s="171">
        <v>31.77</v>
      </c>
      <c r="G1891" s="171">
        <v>31.060000000000002</v>
      </c>
      <c r="H1891" s="171">
        <v>31.650000000000002</v>
      </c>
      <c r="I1891" s="171">
        <v>32.96</v>
      </c>
      <c r="J1891" s="171">
        <v>37.44</v>
      </c>
      <c r="K1891" s="171">
        <v>55.43</v>
      </c>
      <c r="L1891" s="171">
        <v>56.71</v>
      </c>
      <c r="M1891" s="171">
        <v>53.99</v>
      </c>
      <c r="N1891" s="171">
        <v>54.94</v>
      </c>
      <c r="O1891" s="171">
        <v>59.94</v>
      </c>
      <c r="P1891" s="171">
        <v>55</v>
      </c>
      <c r="Q1891" s="171">
        <v>55</v>
      </c>
      <c r="R1891" s="171">
        <v>54.94</v>
      </c>
      <c r="S1891" s="171">
        <v>52.44</v>
      </c>
      <c r="T1891" s="171">
        <v>49.96</v>
      </c>
      <c r="U1891" s="171">
        <v>54.870000000000005</v>
      </c>
      <c r="V1891" s="171">
        <v>48.53</v>
      </c>
      <c r="W1891" s="171">
        <v>55.45</v>
      </c>
      <c r="X1891" s="171">
        <v>57.24</v>
      </c>
      <c r="Y1891" s="171">
        <v>52.96</v>
      </c>
      <c r="Z1891" s="171">
        <v>51.51</v>
      </c>
      <c r="AA1891" s="171">
        <v>43.61</v>
      </c>
      <c r="AB1891" s="171">
        <v>59.94</v>
      </c>
      <c r="AC1891" s="171">
        <v>48.53</v>
      </c>
      <c r="AD1891" s="171">
        <v>41.68</v>
      </c>
      <c r="AF1891" s="171">
        <f t="shared" si="89"/>
        <v>2013</v>
      </c>
      <c r="AG1891" s="171">
        <f t="shared" si="90"/>
        <v>7</v>
      </c>
      <c r="AH1891" s="700">
        <f>SUMIF(D$3:$AA1891,"&lt;="&amp;$AH$1)/COUNTIF(D$3:$AA1891,"&lt;="&amp;$AH$1)</f>
        <v>31.206099700897418</v>
      </c>
    </row>
    <row r="1892" spans="2:34" x14ac:dyDescent="0.25">
      <c r="B1892" s="910">
        <v>41474</v>
      </c>
      <c r="C1892" s="581">
        <f t="shared" si="88"/>
        <v>7</v>
      </c>
      <c r="D1892" s="171">
        <v>51</v>
      </c>
      <c r="E1892" s="171">
        <v>35</v>
      </c>
      <c r="F1892" s="171">
        <v>30.7</v>
      </c>
      <c r="G1892" s="171">
        <v>29.41</v>
      </c>
      <c r="H1892" s="171">
        <v>29.53</v>
      </c>
      <c r="I1892" s="171">
        <v>31.85</v>
      </c>
      <c r="J1892" s="171">
        <v>37</v>
      </c>
      <c r="K1892" s="171">
        <v>50.51</v>
      </c>
      <c r="L1892" s="171">
        <v>55</v>
      </c>
      <c r="M1892" s="171">
        <v>56.120000000000005</v>
      </c>
      <c r="N1892" s="171">
        <v>65.099999999999994</v>
      </c>
      <c r="O1892" s="171">
        <v>67.11</v>
      </c>
      <c r="P1892" s="171">
        <v>66.47</v>
      </c>
      <c r="Q1892" s="171">
        <v>64.94</v>
      </c>
      <c r="R1892" s="171">
        <v>57.44</v>
      </c>
      <c r="S1892" s="171">
        <v>47.42</v>
      </c>
      <c r="T1892" s="171">
        <v>47.5</v>
      </c>
      <c r="U1892" s="171">
        <v>50</v>
      </c>
      <c r="V1892" s="171">
        <v>45.75</v>
      </c>
      <c r="W1892" s="171">
        <v>43.24</v>
      </c>
      <c r="X1892" s="171">
        <v>52.72</v>
      </c>
      <c r="Y1892" s="171">
        <v>43.24</v>
      </c>
      <c r="Z1892" s="171">
        <v>57.24</v>
      </c>
      <c r="AA1892" s="171">
        <v>58.36</v>
      </c>
      <c r="AB1892" s="171">
        <v>67.11</v>
      </c>
      <c r="AC1892" s="171">
        <v>43.24</v>
      </c>
      <c r="AD1892" s="171">
        <v>42.21</v>
      </c>
      <c r="AF1892" s="171">
        <f t="shared" si="89"/>
        <v>2013</v>
      </c>
      <c r="AG1892" s="171">
        <f t="shared" si="90"/>
        <v>6</v>
      </c>
      <c r="AH1892" s="700">
        <f>SUMIF(D$3:$AA1892,"&lt;="&amp;$AH$1)/COUNTIF(D$3:$AA1892,"&lt;="&amp;$AH$1)</f>
        <v>31.206515181715609</v>
      </c>
    </row>
    <row r="1893" spans="2:34" x14ac:dyDescent="0.25">
      <c r="B1893" s="910">
        <v>41477</v>
      </c>
      <c r="C1893" s="581">
        <f t="shared" si="88"/>
        <v>7</v>
      </c>
      <c r="D1893" s="171">
        <v>43.92</v>
      </c>
      <c r="E1893" s="171">
        <v>33.03</v>
      </c>
      <c r="F1893" s="171">
        <v>32.56</v>
      </c>
      <c r="G1893" s="171">
        <v>31.91</v>
      </c>
      <c r="H1893" s="171">
        <v>31.810000000000002</v>
      </c>
      <c r="I1893" s="171">
        <v>31.46</v>
      </c>
      <c r="J1893" s="171">
        <v>39.44</v>
      </c>
      <c r="K1893" s="171">
        <v>47.15</v>
      </c>
      <c r="L1893" s="171">
        <v>54.08</v>
      </c>
      <c r="M1893" s="171">
        <v>47.32</v>
      </c>
      <c r="N1893" s="171">
        <v>45.56</v>
      </c>
      <c r="O1893" s="171">
        <v>57.44</v>
      </c>
      <c r="P1893" s="171">
        <v>64.94</v>
      </c>
      <c r="Q1893" s="171">
        <v>65.489999999999995</v>
      </c>
      <c r="R1893" s="171">
        <v>68.17</v>
      </c>
      <c r="S1893" s="171">
        <v>59.72</v>
      </c>
      <c r="T1893" s="171">
        <v>60.84</v>
      </c>
      <c r="U1893" s="171">
        <v>66.489999999999995</v>
      </c>
      <c r="V1893" s="171">
        <v>55.52</v>
      </c>
      <c r="W1893" s="171">
        <v>54.99</v>
      </c>
      <c r="X1893" s="171">
        <v>53.24</v>
      </c>
      <c r="Y1893" s="171">
        <v>53.6</v>
      </c>
      <c r="Z1893" s="171">
        <v>53.18</v>
      </c>
      <c r="AA1893" s="171">
        <v>39.72</v>
      </c>
      <c r="AB1893" s="171">
        <v>68.17</v>
      </c>
      <c r="AC1893" s="171">
        <v>45.56</v>
      </c>
      <c r="AD1893" s="171">
        <v>40.92</v>
      </c>
      <c r="AF1893" s="171">
        <f t="shared" si="89"/>
        <v>2013</v>
      </c>
      <c r="AG1893" s="171">
        <f t="shared" si="90"/>
        <v>7</v>
      </c>
      <c r="AH1893" s="700">
        <f>SUMIF(D$3:$AA1893,"&lt;="&amp;$AH$1)/COUNTIF(D$3:$AA1893,"&lt;="&amp;$AH$1)</f>
        <v>31.207941957763424</v>
      </c>
    </row>
    <row r="1894" spans="2:34" x14ac:dyDescent="0.25">
      <c r="B1894" s="910">
        <v>41478</v>
      </c>
      <c r="C1894" s="581">
        <f t="shared" si="88"/>
        <v>7</v>
      </c>
      <c r="D1894" s="171">
        <v>34.700000000000003</v>
      </c>
      <c r="E1894" s="171">
        <v>33.22</v>
      </c>
      <c r="F1894" s="171">
        <v>32.049999999999997</v>
      </c>
      <c r="G1894" s="171">
        <v>31.01</v>
      </c>
      <c r="H1894" s="171">
        <v>30.92</v>
      </c>
      <c r="I1894" s="171">
        <v>33.730000000000004</v>
      </c>
      <c r="J1894" s="171">
        <v>40.97</v>
      </c>
      <c r="K1894" s="171">
        <v>54.26</v>
      </c>
      <c r="L1894" s="171">
        <v>54.69</v>
      </c>
      <c r="M1894" s="171">
        <v>59.63</v>
      </c>
      <c r="N1894" s="171">
        <v>65.83</v>
      </c>
      <c r="O1894" s="171">
        <v>69.91</v>
      </c>
      <c r="P1894" s="171">
        <v>69.94</v>
      </c>
      <c r="Q1894" s="171">
        <v>69.02</v>
      </c>
      <c r="R1894" s="171">
        <v>67.650000000000006</v>
      </c>
      <c r="S1894" s="171">
        <v>59.94</v>
      </c>
      <c r="T1894" s="171">
        <v>58.63</v>
      </c>
      <c r="U1894" s="171">
        <v>64.92</v>
      </c>
      <c r="V1894" s="171">
        <v>55.14</v>
      </c>
      <c r="W1894" s="171">
        <v>55.56</v>
      </c>
      <c r="X1894" s="171">
        <v>54.99</v>
      </c>
      <c r="Y1894" s="171">
        <v>50.230000000000004</v>
      </c>
      <c r="Z1894" s="171">
        <v>60.89</v>
      </c>
      <c r="AA1894" s="171">
        <v>54.980000000000004</v>
      </c>
      <c r="AB1894" s="171">
        <v>69.94</v>
      </c>
      <c r="AC1894" s="171">
        <v>50.230000000000004</v>
      </c>
      <c r="AD1894" s="171">
        <v>42.660000000000004</v>
      </c>
      <c r="AF1894" s="171">
        <f t="shared" si="89"/>
        <v>2013</v>
      </c>
      <c r="AG1894" s="171">
        <f t="shared" si="90"/>
        <v>7</v>
      </c>
      <c r="AH1894" s="700">
        <f>SUMIF(D$3:$AA1894,"&lt;="&amp;$AH$1)/COUNTIF(D$3:$AA1894,"&lt;="&amp;$AH$1)</f>
        <v>31.209146365748527</v>
      </c>
    </row>
    <row r="1895" spans="2:34" x14ac:dyDescent="0.25">
      <c r="B1895" s="910">
        <v>41479</v>
      </c>
      <c r="C1895" s="581">
        <f t="shared" si="88"/>
        <v>7</v>
      </c>
      <c r="D1895" s="171">
        <v>58.1</v>
      </c>
      <c r="E1895" s="171">
        <v>49</v>
      </c>
      <c r="F1895" s="171">
        <v>33.22</v>
      </c>
      <c r="G1895" s="171">
        <v>32.53</v>
      </c>
      <c r="H1895" s="171">
        <v>32.72</v>
      </c>
      <c r="I1895" s="171">
        <v>34.090000000000003</v>
      </c>
      <c r="J1895" s="171">
        <v>36.230000000000004</v>
      </c>
      <c r="K1895" s="171">
        <v>52.72</v>
      </c>
      <c r="L1895" s="171">
        <v>50.83</v>
      </c>
      <c r="M1895" s="171">
        <v>58.730000000000004</v>
      </c>
      <c r="N1895" s="171">
        <v>59.92</v>
      </c>
      <c r="O1895" s="171">
        <v>64.94</v>
      </c>
      <c r="P1895" s="171">
        <v>58.870000000000005</v>
      </c>
      <c r="Q1895" s="171">
        <v>65.349999999999994</v>
      </c>
      <c r="R1895" s="171">
        <v>60</v>
      </c>
      <c r="S1895" s="171">
        <v>59.7</v>
      </c>
      <c r="T1895" s="171">
        <v>57.28</v>
      </c>
      <c r="U1895" s="171">
        <v>61.230000000000004</v>
      </c>
      <c r="V1895" s="171">
        <v>60.99</v>
      </c>
      <c r="W1895" s="171">
        <v>57.77</v>
      </c>
      <c r="X1895" s="171">
        <v>63.160000000000004</v>
      </c>
      <c r="Y1895" s="171">
        <v>55.09</v>
      </c>
      <c r="Z1895" s="171">
        <v>58.730000000000004</v>
      </c>
      <c r="AA1895" s="171">
        <v>52.04</v>
      </c>
      <c r="AB1895" s="171">
        <v>65.349999999999994</v>
      </c>
      <c r="AC1895" s="171">
        <v>50.83</v>
      </c>
      <c r="AD1895" s="171">
        <v>46.47</v>
      </c>
      <c r="AF1895" s="171">
        <f t="shared" si="89"/>
        <v>2013</v>
      </c>
      <c r="AG1895" s="171">
        <f t="shared" si="90"/>
        <v>5</v>
      </c>
      <c r="AH1895" s="700">
        <f>SUMIF(D$3:$AA1895,"&lt;="&amp;$AH$1)/COUNTIF(D$3:$AA1895,"&lt;="&amp;$AH$1)</f>
        <v>31.209992037160021</v>
      </c>
    </row>
    <row r="1896" spans="2:34" x14ac:dyDescent="0.25">
      <c r="B1896" s="910">
        <v>41480</v>
      </c>
      <c r="C1896" s="581">
        <f t="shared" si="88"/>
        <v>7</v>
      </c>
      <c r="D1896" s="171">
        <v>35.39</v>
      </c>
      <c r="E1896" s="171">
        <v>34</v>
      </c>
      <c r="F1896" s="171">
        <v>32.99</v>
      </c>
      <c r="G1896" s="171">
        <v>32.700000000000003</v>
      </c>
      <c r="H1896" s="171">
        <v>32.89</v>
      </c>
      <c r="I1896" s="171">
        <v>34.21</v>
      </c>
      <c r="J1896" s="171">
        <v>39.1</v>
      </c>
      <c r="K1896" s="171">
        <v>58.92</v>
      </c>
      <c r="L1896" s="171">
        <v>63.46</v>
      </c>
      <c r="M1896" s="171">
        <v>64.34</v>
      </c>
      <c r="N1896" s="171">
        <v>64.28</v>
      </c>
      <c r="O1896" s="171">
        <v>65.06</v>
      </c>
      <c r="P1896" s="171">
        <v>55.910000000000004</v>
      </c>
      <c r="Q1896" s="171">
        <v>49.94</v>
      </c>
      <c r="R1896" s="171">
        <v>64.930000000000007</v>
      </c>
      <c r="S1896" s="171">
        <v>59.74</v>
      </c>
      <c r="T1896" s="171">
        <v>48.95</v>
      </c>
      <c r="U1896" s="171">
        <v>53.620000000000005</v>
      </c>
      <c r="V1896" s="171">
        <v>58.78</v>
      </c>
      <c r="W1896" s="171">
        <v>58.95</v>
      </c>
      <c r="X1896" s="171">
        <v>48.96</v>
      </c>
      <c r="Y1896" s="171">
        <v>59.17</v>
      </c>
      <c r="Z1896" s="171">
        <v>58.230000000000004</v>
      </c>
      <c r="AA1896" s="171">
        <v>43.04</v>
      </c>
      <c r="AB1896" s="171">
        <v>65.06</v>
      </c>
      <c r="AC1896" s="171">
        <v>48.95</v>
      </c>
      <c r="AD1896" s="171">
        <v>42.47</v>
      </c>
      <c r="AF1896" s="171">
        <f t="shared" si="89"/>
        <v>2013</v>
      </c>
      <c r="AG1896" s="171">
        <f t="shared" si="90"/>
        <v>7</v>
      </c>
      <c r="AH1896" s="700">
        <f>SUMIF(D$3:$AA1896,"&lt;="&amp;$AH$1)/COUNTIF(D$3:$AA1896,"&lt;="&amp;$AH$1)</f>
        <v>31.211504941301424</v>
      </c>
    </row>
    <row r="1897" spans="2:34" x14ac:dyDescent="0.25">
      <c r="B1897" s="910">
        <v>41481</v>
      </c>
      <c r="C1897" s="581">
        <f t="shared" si="88"/>
        <v>7</v>
      </c>
      <c r="D1897" s="171">
        <v>35.770000000000003</v>
      </c>
      <c r="E1897" s="171">
        <v>34.28</v>
      </c>
      <c r="F1897" s="171">
        <v>33.340000000000003</v>
      </c>
      <c r="G1897" s="171">
        <v>32.99</v>
      </c>
      <c r="H1897" s="171">
        <v>32.97</v>
      </c>
      <c r="I1897" s="171">
        <v>33.15</v>
      </c>
      <c r="J1897" s="171">
        <v>38.94</v>
      </c>
      <c r="K1897" s="171">
        <v>50.1</v>
      </c>
      <c r="L1897" s="171">
        <v>51.67</v>
      </c>
      <c r="M1897" s="171">
        <v>49.01</v>
      </c>
      <c r="N1897" s="171">
        <v>49.72</v>
      </c>
      <c r="O1897" s="171">
        <v>58.050000000000004</v>
      </c>
      <c r="P1897" s="171">
        <v>64.94</v>
      </c>
      <c r="Q1897" s="171">
        <v>65.37</v>
      </c>
      <c r="R1897" s="171">
        <v>64.489999999999995</v>
      </c>
      <c r="S1897" s="171">
        <v>64.14</v>
      </c>
      <c r="T1897" s="171">
        <v>62.050000000000004</v>
      </c>
      <c r="U1897" s="171">
        <v>63.4</v>
      </c>
      <c r="V1897" s="171">
        <v>57.99</v>
      </c>
      <c r="W1897" s="171">
        <v>54</v>
      </c>
      <c r="X1897" s="171">
        <v>58.63</v>
      </c>
      <c r="Y1897" s="171">
        <v>49.230000000000004</v>
      </c>
      <c r="Z1897" s="171">
        <v>57.53</v>
      </c>
      <c r="AA1897" s="171">
        <v>46.7</v>
      </c>
      <c r="AB1897" s="171">
        <v>65.37</v>
      </c>
      <c r="AC1897" s="171">
        <v>49.01</v>
      </c>
      <c r="AD1897" s="171">
        <v>41.97</v>
      </c>
      <c r="AF1897" s="171">
        <f t="shared" si="89"/>
        <v>2013</v>
      </c>
      <c r="AG1897" s="171">
        <f t="shared" si="90"/>
        <v>7</v>
      </c>
      <c r="AH1897" s="700">
        <f>SUMIF(D$3:$AA1897,"&lt;="&amp;$AH$1)/COUNTIF(D$3:$AA1897,"&lt;="&amp;$AH$1)</f>
        <v>31.21302704852835</v>
      </c>
    </row>
    <row r="1898" spans="2:34" x14ac:dyDescent="0.25">
      <c r="B1898" s="910">
        <v>41484</v>
      </c>
      <c r="C1898" s="581">
        <f t="shared" si="88"/>
        <v>7</v>
      </c>
      <c r="D1898" s="171">
        <v>34.07</v>
      </c>
      <c r="E1898" s="171">
        <v>32.950000000000003</v>
      </c>
      <c r="F1898" s="171">
        <v>31.76</v>
      </c>
      <c r="G1898" s="171">
        <v>31.240000000000002</v>
      </c>
      <c r="H1898" s="171">
        <v>31.53</v>
      </c>
      <c r="I1898" s="171">
        <v>30.05</v>
      </c>
      <c r="J1898" s="171">
        <v>38.86</v>
      </c>
      <c r="K1898" s="171">
        <v>48.67</v>
      </c>
      <c r="L1898" s="171">
        <v>50.94</v>
      </c>
      <c r="M1898" s="171">
        <v>54.52</v>
      </c>
      <c r="N1898" s="171">
        <v>57.300000000000004</v>
      </c>
      <c r="O1898" s="171">
        <v>60.74</v>
      </c>
      <c r="P1898" s="171">
        <v>55.02</v>
      </c>
      <c r="Q1898" s="171">
        <v>57.63</v>
      </c>
      <c r="R1898" s="171">
        <v>58.980000000000004</v>
      </c>
      <c r="S1898" s="171">
        <v>55.86</v>
      </c>
      <c r="T1898" s="171">
        <v>50.980000000000004</v>
      </c>
      <c r="U1898" s="171">
        <v>52.44</v>
      </c>
      <c r="V1898" s="171">
        <v>49.94</v>
      </c>
      <c r="W1898" s="171">
        <v>49.22</v>
      </c>
      <c r="X1898" s="171">
        <v>46.11</v>
      </c>
      <c r="Y1898" s="171">
        <v>45.99</v>
      </c>
      <c r="Z1898" s="171">
        <v>45.910000000000004</v>
      </c>
      <c r="AA1898" s="171">
        <v>36.21</v>
      </c>
      <c r="AB1898" s="171">
        <v>60.74</v>
      </c>
      <c r="AC1898" s="171">
        <v>45.910000000000004</v>
      </c>
      <c r="AD1898" s="171">
        <v>37.78</v>
      </c>
      <c r="AF1898" s="171">
        <f t="shared" si="89"/>
        <v>2013</v>
      </c>
      <c r="AG1898" s="171">
        <f t="shared" si="90"/>
        <v>8</v>
      </c>
      <c r="AH1898" s="700">
        <f>SUMIF(D$3:$AA1898,"&lt;="&amp;$AH$1)/COUNTIF(D$3:$AA1898,"&lt;="&amp;$AH$1)</f>
        <v>31.214151205937029</v>
      </c>
    </row>
    <row r="1899" spans="2:34" x14ac:dyDescent="0.25">
      <c r="B1899" s="910">
        <v>41485</v>
      </c>
      <c r="C1899" s="581">
        <f t="shared" si="88"/>
        <v>7</v>
      </c>
      <c r="D1899" s="171">
        <v>33.35</v>
      </c>
      <c r="E1899" s="171">
        <v>31.240000000000002</v>
      </c>
      <c r="F1899" s="171">
        <v>29.71</v>
      </c>
      <c r="G1899" s="171">
        <v>28.23</v>
      </c>
      <c r="H1899" s="171">
        <v>28.48</v>
      </c>
      <c r="I1899" s="171">
        <v>28.78</v>
      </c>
      <c r="J1899" s="171">
        <v>33.71</v>
      </c>
      <c r="K1899" s="171">
        <v>40.6</v>
      </c>
      <c r="L1899" s="171">
        <v>47.14</v>
      </c>
      <c r="M1899" s="171">
        <v>50</v>
      </c>
      <c r="N1899" s="171">
        <v>45.61</v>
      </c>
      <c r="O1899" s="171">
        <v>44.61</v>
      </c>
      <c r="P1899" s="171">
        <v>47.44</v>
      </c>
      <c r="Q1899" s="171">
        <v>49.92</v>
      </c>
      <c r="R1899" s="171">
        <v>52.44</v>
      </c>
      <c r="S1899" s="171">
        <v>54.92</v>
      </c>
      <c r="T1899" s="171">
        <v>58.43</v>
      </c>
      <c r="U1899" s="171">
        <v>73.040000000000006</v>
      </c>
      <c r="V1899" s="171">
        <v>66.19</v>
      </c>
      <c r="W1899" s="171">
        <v>51.69</v>
      </c>
      <c r="X1899" s="171">
        <v>60.6</v>
      </c>
      <c r="Y1899" s="171">
        <v>44.230000000000004</v>
      </c>
      <c r="Z1899" s="171">
        <v>45.94</v>
      </c>
      <c r="AA1899" s="171">
        <v>35.550000000000004</v>
      </c>
      <c r="AB1899" s="171">
        <v>73.040000000000006</v>
      </c>
      <c r="AC1899" s="171">
        <v>40.6</v>
      </c>
      <c r="AD1899" s="171">
        <v>36.700000000000003</v>
      </c>
      <c r="AF1899" s="171">
        <f t="shared" si="89"/>
        <v>2013</v>
      </c>
      <c r="AG1899" s="171">
        <f t="shared" si="90"/>
        <v>9</v>
      </c>
      <c r="AH1899" s="700">
        <f>SUMIF(D$3:$AA1899,"&lt;="&amp;$AH$1)/COUNTIF(D$3:$AA1899,"&lt;="&amp;$AH$1)</f>
        <v>31.214728825905677</v>
      </c>
    </row>
    <row r="1900" spans="2:34" x14ac:dyDescent="0.25">
      <c r="B1900" s="910">
        <v>41486</v>
      </c>
      <c r="C1900" s="581">
        <f t="shared" si="88"/>
        <v>7</v>
      </c>
      <c r="D1900" s="171">
        <v>28.71</v>
      </c>
      <c r="E1900" s="171">
        <v>28.04</v>
      </c>
      <c r="F1900" s="171">
        <v>31.330000000000002</v>
      </c>
      <c r="G1900" s="171">
        <v>31.580000000000002</v>
      </c>
      <c r="H1900" s="171">
        <v>31.91</v>
      </c>
      <c r="I1900" s="171">
        <v>32.5</v>
      </c>
      <c r="J1900" s="171">
        <v>34.450000000000003</v>
      </c>
      <c r="K1900" s="171">
        <v>41.45</v>
      </c>
      <c r="L1900" s="171">
        <v>51.4</v>
      </c>
      <c r="M1900" s="171">
        <v>51.4</v>
      </c>
      <c r="N1900" s="171">
        <v>52</v>
      </c>
      <c r="O1900" s="171">
        <v>51.4</v>
      </c>
      <c r="P1900" s="171">
        <v>52.42</v>
      </c>
      <c r="Q1900" s="171">
        <v>52.42</v>
      </c>
      <c r="R1900" s="171">
        <v>51.52</v>
      </c>
      <c r="S1900" s="171">
        <v>51.52</v>
      </c>
      <c r="T1900" s="171">
        <v>52.44</v>
      </c>
      <c r="U1900" s="171">
        <v>59.96</v>
      </c>
      <c r="V1900" s="171">
        <v>50</v>
      </c>
      <c r="W1900" s="171">
        <v>46.35</v>
      </c>
      <c r="X1900" s="171">
        <v>51.65</v>
      </c>
      <c r="Y1900" s="171">
        <v>46.92</v>
      </c>
      <c r="Z1900" s="171">
        <v>46.87</v>
      </c>
      <c r="AA1900" s="171">
        <v>35.83</v>
      </c>
      <c r="AB1900" s="171">
        <v>59.96</v>
      </c>
      <c r="AC1900" s="171">
        <v>41.45</v>
      </c>
      <c r="AD1900" s="171">
        <v>36.770000000000003</v>
      </c>
      <c r="AF1900" s="171">
        <f t="shared" si="89"/>
        <v>2013</v>
      </c>
      <c r="AG1900" s="171">
        <f t="shared" si="90"/>
        <v>9</v>
      </c>
      <c r="AH1900" s="700">
        <f>SUMIF(D$3:$AA1900,"&lt;="&amp;$AH$1)/COUNTIF(D$3:$AA1900,"&lt;="&amp;$AH$1)</f>
        <v>31.215712772998124</v>
      </c>
    </row>
    <row r="1901" spans="2:34" x14ac:dyDescent="0.25">
      <c r="B1901" s="910">
        <v>41487</v>
      </c>
      <c r="C1901" s="581">
        <f t="shared" si="88"/>
        <v>8</v>
      </c>
      <c r="D1901" s="171">
        <v>34.21</v>
      </c>
      <c r="E1901" s="171">
        <v>32.29</v>
      </c>
      <c r="F1901" s="171">
        <v>31.55</v>
      </c>
      <c r="G1901" s="171">
        <v>31.98</v>
      </c>
      <c r="H1901" s="171">
        <v>32.81</v>
      </c>
      <c r="I1901" s="171">
        <v>33.47</v>
      </c>
      <c r="J1901" s="171">
        <v>37.82</v>
      </c>
      <c r="K1901" s="171">
        <v>47.29</v>
      </c>
      <c r="L1901" s="171">
        <v>56.47</v>
      </c>
      <c r="M1901" s="171">
        <v>54.94</v>
      </c>
      <c r="N1901" s="171">
        <v>52.15</v>
      </c>
      <c r="O1901" s="171">
        <v>57.44</v>
      </c>
      <c r="P1901" s="171">
        <v>59.94</v>
      </c>
      <c r="Q1901" s="171">
        <v>57.44</v>
      </c>
      <c r="R1901" s="171">
        <v>59.94</v>
      </c>
      <c r="S1901" s="171">
        <v>60.29</v>
      </c>
      <c r="T1901" s="171">
        <v>57.02</v>
      </c>
      <c r="U1901" s="171">
        <v>65.989999999999995</v>
      </c>
      <c r="V1901" s="171">
        <v>60</v>
      </c>
      <c r="W1901" s="171">
        <v>52.28</v>
      </c>
      <c r="X1901" s="171">
        <v>61.120000000000005</v>
      </c>
      <c r="Y1901" s="171">
        <v>51.79</v>
      </c>
      <c r="Z1901" s="171">
        <v>49.99</v>
      </c>
      <c r="AA1901" s="171">
        <v>60.06</v>
      </c>
      <c r="AB1901" s="171">
        <v>65.989999999999995</v>
      </c>
      <c r="AC1901" s="171">
        <v>47.29</v>
      </c>
      <c r="AD1901" s="171">
        <v>42.03</v>
      </c>
      <c r="AF1901" s="171">
        <f t="shared" si="89"/>
        <v>2013</v>
      </c>
      <c r="AG1901" s="171">
        <f t="shared" si="90"/>
        <v>7</v>
      </c>
      <c r="AH1901" s="700">
        <f>SUMIF(D$3:$AA1901,"&lt;="&amp;$AH$1)/COUNTIF(D$3:$AA1901,"&lt;="&amp;$AH$1)</f>
        <v>31.216746047496304</v>
      </c>
    </row>
    <row r="1902" spans="2:34" x14ac:dyDescent="0.25">
      <c r="B1902" s="910">
        <v>41488</v>
      </c>
      <c r="C1902" s="581">
        <f t="shared" si="88"/>
        <v>8</v>
      </c>
      <c r="D1902" s="171">
        <v>52.17</v>
      </c>
      <c r="E1902" s="171">
        <v>32.880000000000003</v>
      </c>
      <c r="F1902" s="171">
        <v>32.21</v>
      </c>
      <c r="G1902" s="171">
        <v>32.06</v>
      </c>
      <c r="H1902" s="171">
        <v>32.090000000000003</v>
      </c>
      <c r="I1902" s="171">
        <v>30.25</v>
      </c>
      <c r="J1902" s="171">
        <v>38</v>
      </c>
      <c r="K1902" s="171">
        <v>42.97</v>
      </c>
      <c r="L1902" s="171">
        <v>53.28</v>
      </c>
      <c r="M1902" s="171">
        <v>59.38</v>
      </c>
      <c r="N1902" s="171">
        <v>66.900000000000006</v>
      </c>
      <c r="O1902" s="171">
        <v>65</v>
      </c>
      <c r="P1902" s="171">
        <v>67.3</v>
      </c>
      <c r="Q1902" s="171">
        <v>66.900000000000006</v>
      </c>
      <c r="R1902" s="171">
        <v>62.160000000000004</v>
      </c>
      <c r="S1902" s="171">
        <v>56.96</v>
      </c>
      <c r="T1902" s="171">
        <v>61.33</v>
      </c>
      <c r="U1902" s="171">
        <v>62.160000000000004</v>
      </c>
      <c r="V1902" s="171">
        <v>51.24</v>
      </c>
      <c r="W1902" s="171">
        <v>47.94</v>
      </c>
      <c r="X1902" s="171">
        <v>47.5</v>
      </c>
      <c r="Y1902" s="171">
        <v>51.24</v>
      </c>
      <c r="Z1902" s="171">
        <v>56.28</v>
      </c>
      <c r="AA1902" s="171">
        <v>51.24</v>
      </c>
      <c r="AB1902" s="171">
        <v>67.3</v>
      </c>
      <c r="AC1902" s="171">
        <v>42.97</v>
      </c>
      <c r="AD1902" s="171">
        <v>41.57</v>
      </c>
      <c r="AF1902" s="171">
        <f t="shared" si="89"/>
        <v>2013</v>
      </c>
      <c r="AG1902" s="171">
        <f t="shared" si="90"/>
        <v>6</v>
      </c>
      <c r="AH1902" s="700">
        <f>SUMIF(D$3:$AA1902,"&lt;="&amp;$AH$1)/COUNTIF(D$3:$AA1902,"&lt;="&amp;$AH$1)</f>
        <v>31.217419824109083</v>
      </c>
    </row>
    <row r="1903" spans="2:34" x14ac:dyDescent="0.25">
      <c r="B1903" s="910">
        <v>41491</v>
      </c>
      <c r="C1903" s="581">
        <f t="shared" si="88"/>
        <v>8</v>
      </c>
      <c r="D1903" s="171">
        <v>35.53</v>
      </c>
      <c r="E1903" s="171">
        <v>33.67</v>
      </c>
      <c r="F1903" s="171">
        <v>32.1</v>
      </c>
      <c r="G1903" s="171">
        <v>31.990000000000002</v>
      </c>
      <c r="H1903" s="171">
        <v>32.1</v>
      </c>
      <c r="I1903" s="171">
        <v>30.990000000000002</v>
      </c>
      <c r="J1903" s="171">
        <v>38.090000000000003</v>
      </c>
      <c r="K1903" s="171">
        <v>50.96</v>
      </c>
      <c r="L1903" s="171">
        <v>52.480000000000004</v>
      </c>
      <c r="M1903" s="171">
        <v>54.120000000000005</v>
      </c>
      <c r="N1903" s="171">
        <v>52.230000000000004</v>
      </c>
      <c r="O1903" s="171">
        <v>52.06</v>
      </c>
      <c r="P1903" s="171">
        <v>51.9</v>
      </c>
      <c r="Q1903" s="171">
        <v>52.42</v>
      </c>
      <c r="R1903" s="171">
        <v>51.67</v>
      </c>
      <c r="S1903" s="171">
        <v>49.99</v>
      </c>
      <c r="T1903" s="171">
        <v>48.99</v>
      </c>
      <c r="U1903" s="171">
        <v>51.78</v>
      </c>
      <c r="V1903" s="171">
        <v>51.85</v>
      </c>
      <c r="W1903" s="171">
        <v>54.74</v>
      </c>
      <c r="X1903" s="171">
        <v>52.050000000000004</v>
      </c>
      <c r="Y1903" s="171">
        <v>50.910000000000004</v>
      </c>
      <c r="Z1903" s="171">
        <v>50.43</v>
      </c>
      <c r="AA1903" s="171">
        <v>51.5</v>
      </c>
      <c r="AB1903" s="171">
        <v>54.74</v>
      </c>
      <c r="AC1903" s="171">
        <v>48.99</v>
      </c>
      <c r="AD1903" s="171">
        <v>40.86</v>
      </c>
      <c r="AF1903" s="171">
        <f t="shared" si="89"/>
        <v>2013</v>
      </c>
      <c r="AG1903" s="171">
        <f t="shared" si="90"/>
        <v>7</v>
      </c>
      <c r="AH1903" s="700">
        <f>SUMIF(D$3:$AA1903,"&lt;="&amp;$AH$1)/COUNTIF(D$3:$AA1903,"&lt;="&amp;$AH$1)</f>
        <v>31.218473892928067</v>
      </c>
    </row>
    <row r="1904" spans="2:34" x14ac:dyDescent="0.25">
      <c r="B1904" s="910">
        <v>41492</v>
      </c>
      <c r="C1904" s="581">
        <f t="shared" si="88"/>
        <v>8</v>
      </c>
      <c r="D1904" s="171">
        <v>33.06</v>
      </c>
      <c r="E1904" s="171">
        <v>31.6</v>
      </c>
      <c r="F1904" s="171">
        <v>30.3</v>
      </c>
      <c r="G1904" s="171">
        <v>30.13</v>
      </c>
      <c r="H1904" s="171">
        <v>30.42</v>
      </c>
      <c r="I1904" s="171">
        <v>31.740000000000002</v>
      </c>
      <c r="J1904" s="171">
        <v>32.71</v>
      </c>
      <c r="K1904" s="171">
        <v>42.76</v>
      </c>
      <c r="L1904" s="171">
        <v>46.04</v>
      </c>
      <c r="M1904" s="171">
        <v>53.910000000000004</v>
      </c>
      <c r="N1904" s="171">
        <v>61.47</v>
      </c>
      <c r="O1904" s="171">
        <v>68.73</v>
      </c>
      <c r="P1904" s="171">
        <v>64.94</v>
      </c>
      <c r="Q1904" s="171">
        <v>57.42</v>
      </c>
      <c r="R1904" s="171">
        <v>60</v>
      </c>
      <c r="S1904" s="171">
        <v>52.44</v>
      </c>
      <c r="T1904" s="171">
        <v>52</v>
      </c>
      <c r="U1904" s="171">
        <v>50.28</v>
      </c>
      <c r="V1904" s="171">
        <v>46.050000000000004</v>
      </c>
      <c r="W1904" s="171">
        <v>46.06</v>
      </c>
      <c r="X1904" s="171">
        <v>45.45</v>
      </c>
      <c r="Y1904" s="171">
        <v>44.86</v>
      </c>
      <c r="Z1904" s="171">
        <v>44.86</v>
      </c>
      <c r="AA1904" s="171">
        <v>49.99</v>
      </c>
      <c r="AB1904" s="171">
        <v>68.73</v>
      </c>
      <c r="AC1904" s="171">
        <v>42.76</v>
      </c>
      <c r="AD1904" s="171">
        <v>37.32</v>
      </c>
      <c r="AF1904" s="171">
        <f t="shared" si="89"/>
        <v>2013</v>
      </c>
      <c r="AG1904" s="171">
        <f t="shared" si="90"/>
        <v>7</v>
      </c>
      <c r="AH1904" s="700">
        <f>SUMIF(D$3:$AA1904,"&lt;="&amp;$AH$1)/COUNTIF(D$3:$AA1904,"&lt;="&amp;$AH$1)</f>
        <v>31.218568408535482</v>
      </c>
    </row>
    <row r="1905" spans="2:34" x14ac:dyDescent="0.25">
      <c r="B1905" s="910">
        <v>41493</v>
      </c>
      <c r="C1905" s="581">
        <f t="shared" si="88"/>
        <v>8</v>
      </c>
      <c r="D1905" s="171">
        <v>45.15</v>
      </c>
      <c r="E1905" s="171">
        <v>32.26</v>
      </c>
      <c r="F1905" s="171">
        <v>31.490000000000002</v>
      </c>
      <c r="G1905" s="171">
        <v>31.28</v>
      </c>
      <c r="H1905" s="171">
        <v>31.93</v>
      </c>
      <c r="I1905" s="171">
        <v>32.75</v>
      </c>
      <c r="J1905" s="171">
        <v>39.79</v>
      </c>
      <c r="K1905" s="171">
        <v>47.96</v>
      </c>
      <c r="L1905" s="171">
        <v>54.910000000000004</v>
      </c>
      <c r="M1905" s="171">
        <v>58.11</v>
      </c>
      <c r="N1905" s="171">
        <v>55</v>
      </c>
      <c r="O1905" s="171">
        <v>50.4</v>
      </c>
      <c r="P1905" s="171">
        <v>50</v>
      </c>
      <c r="Q1905" s="171">
        <v>49.94</v>
      </c>
      <c r="R1905" s="171">
        <v>50.370000000000005</v>
      </c>
      <c r="S1905" s="171">
        <v>51.370000000000005</v>
      </c>
      <c r="T1905" s="171">
        <v>54.94</v>
      </c>
      <c r="U1905" s="171">
        <v>54.94</v>
      </c>
      <c r="V1905" s="171">
        <v>60</v>
      </c>
      <c r="W1905" s="171">
        <v>50.61</v>
      </c>
      <c r="X1905" s="171">
        <v>54.94</v>
      </c>
      <c r="Y1905" s="171">
        <v>58.38</v>
      </c>
      <c r="Z1905" s="171">
        <v>54.99</v>
      </c>
      <c r="AA1905" s="171">
        <v>49.99</v>
      </c>
      <c r="AB1905" s="171">
        <v>60</v>
      </c>
      <c r="AC1905" s="171">
        <v>47.96</v>
      </c>
      <c r="AD1905" s="171">
        <v>42.58</v>
      </c>
      <c r="AF1905" s="171">
        <f t="shared" si="89"/>
        <v>2013</v>
      </c>
      <c r="AG1905" s="171">
        <f t="shared" si="90"/>
        <v>6</v>
      </c>
      <c r="AH1905" s="700">
        <f>SUMIF(D$3:$AA1905,"&lt;="&amp;$AH$1)/COUNTIF(D$3:$AA1905,"&lt;="&amp;$AH$1)</f>
        <v>31.219373307799088</v>
      </c>
    </row>
    <row r="1906" spans="2:34" x14ac:dyDescent="0.25">
      <c r="B1906" s="910">
        <v>41494</v>
      </c>
      <c r="C1906" s="581">
        <f t="shared" si="88"/>
        <v>8</v>
      </c>
      <c r="D1906" s="171">
        <v>31.02</v>
      </c>
      <c r="E1906" s="171">
        <v>28.91</v>
      </c>
      <c r="F1906" s="171">
        <v>30.13</v>
      </c>
      <c r="G1906" s="171">
        <v>30.080000000000002</v>
      </c>
      <c r="H1906" s="171">
        <v>30.6</v>
      </c>
      <c r="I1906" s="171">
        <v>28.91</v>
      </c>
      <c r="J1906" s="171">
        <v>36.74</v>
      </c>
      <c r="K1906" s="171">
        <v>42.44</v>
      </c>
      <c r="L1906" s="171">
        <v>47.18</v>
      </c>
      <c r="M1906" s="171">
        <v>45.72</v>
      </c>
      <c r="N1906" s="171">
        <v>45.57</v>
      </c>
      <c r="O1906" s="171">
        <v>47.910000000000004</v>
      </c>
      <c r="P1906" s="171">
        <v>46.76</v>
      </c>
      <c r="Q1906" s="171">
        <v>45.38</v>
      </c>
      <c r="R1906" s="171">
        <v>45.35</v>
      </c>
      <c r="S1906" s="171">
        <v>45.34</v>
      </c>
      <c r="T1906" s="171">
        <v>45.36</v>
      </c>
      <c r="U1906" s="171">
        <v>46.300000000000004</v>
      </c>
      <c r="V1906" s="171">
        <v>45</v>
      </c>
      <c r="W1906" s="171">
        <v>45.34</v>
      </c>
      <c r="X1906" s="171">
        <v>46.300000000000004</v>
      </c>
      <c r="Y1906" s="171">
        <v>57.03</v>
      </c>
      <c r="Z1906" s="171">
        <v>58.71</v>
      </c>
      <c r="AA1906" s="171">
        <v>55.92</v>
      </c>
      <c r="AB1906" s="171">
        <v>58.71</v>
      </c>
      <c r="AC1906" s="171">
        <v>42.44</v>
      </c>
      <c r="AD1906" s="171">
        <v>39.730000000000004</v>
      </c>
      <c r="AF1906" s="171">
        <f t="shared" si="89"/>
        <v>2013</v>
      </c>
      <c r="AG1906" s="171">
        <f t="shared" si="90"/>
        <v>8</v>
      </c>
      <c r="AH1906" s="700">
        <f>SUMIF(D$3:$AA1906,"&lt;="&amp;$AH$1)/COUNTIF(D$3:$AA1906,"&lt;="&amp;$AH$1)</f>
        <v>31.21997227905759</v>
      </c>
    </row>
    <row r="1907" spans="2:34" x14ac:dyDescent="0.25">
      <c r="B1907" s="910">
        <v>41495</v>
      </c>
      <c r="C1907" s="581">
        <f t="shared" si="88"/>
        <v>8</v>
      </c>
      <c r="D1907" s="171">
        <v>49.45</v>
      </c>
      <c r="E1907" s="171">
        <v>32.25</v>
      </c>
      <c r="F1907" s="171">
        <v>31.57</v>
      </c>
      <c r="G1907" s="171">
        <v>31.17</v>
      </c>
      <c r="H1907" s="171">
        <v>31.59</v>
      </c>
      <c r="I1907" s="171">
        <v>33.049999999999997</v>
      </c>
      <c r="J1907" s="171">
        <v>39.46</v>
      </c>
      <c r="K1907" s="171">
        <v>45.96</v>
      </c>
      <c r="L1907" s="171">
        <v>52.77</v>
      </c>
      <c r="M1907" s="171">
        <v>55.93</v>
      </c>
      <c r="N1907" s="171">
        <v>59.94</v>
      </c>
      <c r="O1907" s="171">
        <v>66.39</v>
      </c>
      <c r="P1907" s="171">
        <v>59.94</v>
      </c>
      <c r="Q1907" s="171">
        <v>55</v>
      </c>
      <c r="R1907" s="171">
        <v>50.59</v>
      </c>
      <c r="S1907" s="171">
        <v>50</v>
      </c>
      <c r="T1907" s="171">
        <v>50</v>
      </c>
      <c r="U1907" s="171">
        <v>50.59</v>
      </c>
      <c r="V1907" s="171">
        <v>50.59</v>
      </c>
      <c r="W1907" s="171">
        <v>51.03</v>
      </c>
      <c r="X1907" s="171">
        <v>50.59</v>
      </c>
      <c r="Y1907" s="171">
        <v>50.59</v>
      </c>
      <c r="Z1907" s="171">
        <v>55.9</v>
      </c>
      <c r="AA1907" s="171">
        <v>49.94</v>
      </c>
      <c r="AB1907" s="171">
        <v>66.39</v>
      </c>
      <c r="AC1907" s="171">
        <v>45.96</v>
      </c>
      <c r="AD1907" s="171">
        <v>41.79</v>
      </c>
      <c r="AF1907" s="171">
        <f t="shared" si="89"/>
        <v>2013</v>
      </c>
      <c r="AG1907" s="171">
        <f t="shared" si="90"/>
        <v>6</v>
      </c>
      <c r="AH1907" s="700">
        <f>SUMIF(D$3:$AA1907,"&lt;="&amp;$AH$1)/COUNTIF(D$3:$AA1907,"&lt;="&amp;$AH$1)</f>
        <v>31.220748828924034</v>
      </c>
    </row>
    <row r="1908" spans="2:34" x14ac:dyDescent="0.25">
      <c r="B1908" s="910">
        <v>41498</v>
      </c>
      <c r="C1908" s="581">
        <f t="shared" si="88"/>
        <v>8</v>
      </c>
      <c r="D1908" s="171">
        <v>32.78</v>
      </c>
      <c r="E1908" s="171">
        <v>31.580000000000002</v>
      </c>
      <c r="F1908" s="171">
        <v>31.09</v>
      </c>
      <c r="G1908" s="171">
        <v>29.46</v>
      </c>
      <c r="H1908" s="171">
        <v>27.89</v>
      </c>
      <c r="I1908" s="171">
        <v>28.560000000000002</v>
      </c>
      <c r="J1908" s="171">
        <v>37.730000000000004</v>
      </c>
      <c r="K1908" s="171">
        <v>42.910000000000004</v>
      </c>
      <c r="L1908" s="171">
        <v>48.31</v>
      </c>
      <c r="M1908" s="171">
        <v>55.230000000000004</v>
      </c>
      <c r="N1908" s="171">
        <v>57.44</v>
      </c>
      <c r="O1908" s="171">
        <v>60</v>
      </c>
      <c r="P1908" s="171">
        <v>53</v>
      </c>
      <c r="Q1908" s="171">
        <v>50</v>
      </c>
      <c r="R1908" s="171">
        <v>49.660000000000004</v>
      </c>
      <c r="S1908" s="171">
        <v>48.31</v>
      </c>
      <c r="T1908" s="171">
        <v>48.31</v>
      </c>
      <c r="U1908" s="171">
        <v>51.160000000000004</v>
      </c>
      <c r="V1908" s="171">
        <v>48.31</v>
      </c>
      <c r="W1908" s="171">
        <v>55</v>
      </c>
      <c r="X1908" s="171">
        <v>57.59</v>
      </c>
      <c r="Y1908" s="171">
        <v>57.480000000000004</v>
      </c>
      <c r="Z1908" s="171">
        <v>52.44</v>
      </c>
      <c r="AA1908" s="171">
        <v>48.46</v>
      </c>
      <c r="AB1908" s="171">
        <v>60</v>
      </c>
      <c r="AC1908" s="171">
        <v>42.910000000000004</v>
      </c>
      <c r="AD1908" s="171">
        <v>39.83</v>
      </c>
      <c r="AF1908" s="171">
        <f t="shared" si="89"/>
        <v>2013</v>
      </c>
      <c r="AG1908" s="171">
        <f t="shared" si="90"/>
        <v>7</v>
      </c>
      <c r="AH1908" s="700">
        <f>SUMIF(D$3:$AA1908,"&lt;="&amp;$AH$1)/COUNTIF(D$3:$AA1908,"&lt;="&amp;$AH$1)</f>
        <v>31.22078475336334</v>
      </c>
    </row>
    <row r="1909" spans="2:34" x14ac:dyDescent="0.25">
      <c r="B1909" s="910">
        <v>41499</v>
      </c>
      <c r="C1909" s="581">
        <f t="shared" si="88"/>
        <v>8</v>
      </c>
      <c r="D1909" s="171">
        <v>33.22</v>
      </c>
      <c r="E1909" s="171">
        <v>31.650000000000002</v>
      </c>
      <c r="F1909" s="171">
        <v>31.11</v>
      </c>
      <c r="G1909" s="171">
        <v>30.990000000000002</v>
      </c>
      <c r="H1909" s="171">
        <v>30.95</v>
      </c>
      <c r="I1909" s="171">
        <v>31.6</v>
      </c>
      <c r="J1909" s="171">
        <v>38.35</v>
      </c>
      <c r="K1909" s="171">
        <v>45.85</v>
      </c>
      <c r="L1909" s="171">
        <v>52.86</v>
      </c>
      <c r="M1909" s="171">
        <v>54.94</v>
      </c>
      <c r="N1909" s="171">
        <v>54.92</v>
      </c>
      <c r="O1909" s="171">
        <v>52.44</v>
      </c>
      <c r="P1909" s="171">
        <v>54.94</v>
      </c>
      <c r="Q1909" s="171">
        <v>52.42</v>
      </c>
      <c r="R1909" s="171">
        <v>50.31</v>
      </c>
      <c r="S1909" s="171">
        <v>52.44</v>
      </c>
      <c r="T1909" s="171">
        <v>52.44</v>
      </c>
      <c r="U1909" s="171">
        <v>54.94</v>
      </c>
      <c r="V1909" s="171">
        <v>50.31</v>
      </c>
      <c r="W1909" s="171">
        <v>49.94</v>
      </c>
      <c r="X1909" s="171">
        <v>50.31</v>
      </c>
      <c r="Y1909" s="171">
        <v>50.31</v>
      </c>
      <c r="Z1909" s="171">
        <v>55</v>
      </c>
      <c r="AA1909" s="171">
        <v>54.13</v>
      </c>
      <c r="AB1909" s="171">
        <v>55</v>
      </c>
      <c r="AC1909" s="171">
        <v>45.85</v>
      </c>
      <c r="AD1909" s="171">
        <v>40.29</v>
      </c>
      <c r="AF1909" s="171">
        <f t="shared" si="89"/>
        <v>2013</v>
      </c>
      <c r="AG1909" s="171">
        <f t="shared" si="90"/>
        <v>7</v>
      </c>
      <c r="AH1909" s="700">
        <f>SUMIF(D$3:$AA1909,"&lt;="&amp;$AH$1)/COUNTIF(D$3:$AA1909,"&lt;="&amp;$AH$1)</f>
        <v>31.221399380396914</v>
      </c>
    </row>
    <row r="1910" spans="2:34" x14ac:dyDescent="0.25">
      <c r="B1910" s="910">
        <v>41500</v>
      </c>
      <c r="C1910" s="581">
        <f t="shared" si="88"/>
        <v>8</v>
      </c>
      <c r="D1910" s="171">
        <v>45.14</v>
      </c>
      <c r="E1910" s="171">
        <v>32.590000000000003</v>
      </c>
      <c r="F1910" s="171">
        <v>30.86</v>
      </c>
      <c r="G1910" s="171">
        <v>28.79</v>
      </c>
      <c r="H1910" s="171">
        <v>29.51</v>
      </c>
      <c r="I1910" s="171">
        <v>31.580000000000002</v>
      </c>
      <c r="J1910" s="171">
        <v>32.99</v>
      </c>
      <c r="K1910" s="171">
        <v>42.32</v>
      </c>
      <c r="L1910" s="171">
        <v>48.95</v>
      </c>
      <c r="M1910" s="171">
        <v>50.1</v>
      </c>
      <c r="N1910" s="171">
        <v>59.99</v>
      </c>
      <c r="O1910" s="171">
        <v>64.63</v>
      </c>
      <c r="P1910" s="171">
        <v>52.44</v>
      </c>
      <c r="Q1910" s="171">
        <v>52.44</v>
      </c>
      <c r="R1910" s="171">
        <v>52.44</v>
      </c>
      <c r="S1910" s="171">
        <v>49.94</v>
      </c>
      <c r="T1910" s="171">
        <v>49.94</v>
      </c>
      <c r="U1910" s="171">
        <v>50</v>
      </c>
      <c r="V1910" s="171">
        <v>49.94</v>
      </c>
      <c r="W1910" s="171">
        <v>49.94</v>
      </c>
      <c r="X1910" s="171">
        <v>49.95</v>
      </c>
      <c r="Y1910" s="171">
        <v>55</v>
      </c>
      <c r="Z1910" s="171">
        <v>59.81</v>
      </c>
      <c r="AA1910" s="171">
        <v>41.33</v>
      </c>
      <c r="AB1910" s="171">
        <v>64.63</v>
      </c>
      <c r="AC1910" s="171">
        <v>42.32</v>
      </c>
      <c r="AD1910" s="171">
        <v>39.99</v>
      </c>
      <c r="AF1910" s="171">
        <f t="shared" si="89"/>
        <v>2013</v>
      </c>
      <c r="AG1910" s="171">
        <f t="shared" si="90"/>
        <v>8</v>
      </c>
      <c r="AH1910" s="700">
        <f>SUMIF(D$3:$AA1910,"&lt;="&amp;$AH$1)/COUNTIF(D$3:$AA1910,"&lt;="&amp;$AH$1)</f>
        <v>31.222730087621162</v>
      </c>
    </row>
    <row r="1911" spans="2:34" x14ac:dyDescent="0.25">
      <c r="B1911" s="910">
        <v>41501</v>
      </c>
      <c r="C1911" s="581">
        <f t="shared" si="88"/>
        <v>8</v>
      </c>
      <c r="D1911" s="171">
        <v>45.18</v>
      </c>
      <c r="E1911" s="171">
        <v>31.11</v>
      </c>
      <c r="F1911" s="171">
        <v>30.88</v>
      </c>
      <c r="G1911" s="171">
        <v>30.91</v>
      </c>
      <c r="H1911" s="171">
        <v>31.150000000000002</v>
      </c>
      <c r="I1911" s="171">
        <v>31.720000000000002</v>
      </c>
      <c r="J1911" s="171">
        <v>37.880000000000003</v>
      </c>
      <c r="K1911" s="171">
        <v>45.9</v>
      </c>
      <c r="L1911" s="171">
        <v>50.800000000000004</v>
      </c>
      <c r="M1911" s="171">
        <v>52.44</v>
      </c>
      <c r="N1911" s="171">
        <v>54.99</v>
      </c>
      <c r="O1911" s="171">
        <v>62.09</v>
      </c>
      <c r="P1911" s="171">
        <v>59.94</v>
      </c>
      <c r="Q1911" s="171">
        <v>57.44</v>
      </c>
      <c r="R1911" s="171">
        <v>55</v>
      </c>
      <c r="S1911" s="171">
        <v>49.92</v>
      </c>
      <c r="T1911" s="171">
        <v>51.14</v>
      </c>
      <c r="U1911" s="171">
        <v>54.92</v>
      </c>
      <c r="V1911" s="171">
        <v>48.59</v>
      </c>
      <c r="W1911" s="171">
        <v>47.44</v>
      </c>
      <c r="X1911" s="171">
        <v>48.59</v>
      </c>
      <c r="Y1911" s="171">
        <v>57.58</v>
      </c>
      <c r="Z1911" s="171">
        <v>57.58</v>
      </c>
      <c r="AA1911" s="171">
        <v>56.980000000000004</v>
      </c>
      <c r="AB1911" s="171">
        <v>62.09</v>
      </c>
      <c r="AC1911" s="171">
        <v>45.9</v>
      </c>
      <c r="AD1911" s="171">
        <v>42.12</v>
      </c>
      <c r="AF1911" s="171">
        <f t="shared" si="89"/>
        <v>2013</v>
      </c>
      <c r="AG1911" s="171">
        <f t="shared" si="90"/>
        <v>6</v>
      </c>
      <c r="AH1911" s="700">
        <f>SUMIF(D$3:$AA1911,"&lt;="&amp;$AH$1)/COUNTIF(D$3:$AA1911,"&lt;="&amp;$AH$1)</f>
        <v>31.223145867632638</v>
      </c>
    </row>
    <row r="1912" spans="2:34" x14ac:dyDescent="0.25">
      <c r="B1912" s="910">
        <v>41502</v>
      </c>
      <c r="C1912" s="581">
        <f t="shared" si="88"/>
        <v>8</v>
      </c>
      <c r="D1912" s="171">
        <v>40.82</v>
      </c>
      <c r="E1912" s="171">
        <v>29.94</v>
      </c>
      <c r="F1912" s="171">
        <v>28.12</v>
      </c>
      <c r="G1912" s="171">
        <v>28.12</v>
      </c>
      <c r="H1912" s="171">
        <v>29.2</v>
      </c>
      <c r="I1912" s="171">
        <v>30.62</v>
      </c>
      <c r="J1912" s="171">
        <v>35.44</v>
      </c>
      <c r="K1912" s="171">
        <v>41.47</v>
      </c>
      <c r="L1912" s="171">
        <v>46.89</v>
      </c>
      <c r="M1912" s="171">
        <v>49.96</v>
      </c>
      <c r="N1912" s="171">
        <v>52.42</v>
      </c>
      <c r="O1912" s="171">
        <v>54.96</v>
      </c>
      <c r="P1912" s="171">
        <v>55</v>
      </c>
      <c r="Q1912" s="171">
        <v>58.5</v>
      </c>
      <c r="R1912" s="171">
        <v>59.94</v>
      </c>
      <c r="S1912" s="171">
        <v>50.27</v>
      </c>
      <c r="T1912" s="171">
        <v>52.06</v>
      </c>
      <c r="U1912" s="171">
        <v>55.120000000000005</v>
      </c>
      <c r="V1912" s="171">
        <v>49.99</v>
      </c>
      <c r="W1912" s="171">
        <v>49.94</v>
      </c>
      <c r="X1912" s="171">
        <v>55</v>
      </c>
      <c r="Y1912" s="171">
        <v>60.67</v>
      </c>
      <c r="Z1912" s="171">
        <v>62.370000000000005</v>
      </c>
      <c r="AA1912" s="171">
        <v>49.27</v>
      </c>
      <c r="AB1912" s="171">
        <v>62.370000000000005</v>
      </c>
      <c r="AC1912" s="171">
        <v>41.47</v>
      </c>
      <c r="AD1912" s="171">
        <v>40.92</v>
      </c>
      <c r="AF1912" s="171">
        <f t="shared" si="89"/>
        <v>2013</v>
      </c>
      <c r="AG1912" s="171">
        <f t="shared" si="90"/>
        <v>8</v>
      </c>
      <c r="AH1912" s="700">
        <f>SUMIF(D$3:$AA1912,"&lt;="&amp;$AH$1)/COUNTIF(D$3:$AA1912,"&lt;="&amp;$AH$1)</f>
        <v>31.224063713552397</v>
      </c>
    </row>
    <row r="1913" spans="2:34" x14ac:dyDescent="0.25">
      <c r="B1913" s="910">
        <v>41505</v>
      </c>
      <c r="C1913" s="581">
        <f t="shared" si="88"/>
        <v>8</v>
      </c>
      <c r="D1913" s="171">
        <v>47</v>
      </c>
      <c r="E1913" s="171">
        <v>38.160000000000004</v>
      </c>
      <c r="F1913" s="171">
        <v>30.63</v>
      </c>
      <c r="G1913" s="171">
        <v>30.3</v>
      </c>
      <c r="H1913" s="171">
        <v>30.73</v>
      </c>
      <c r="I1913" s="171">
        <v>32.9</v>
      </c>
      <c r="J1913" s="171">
        <v>47.11</v>
      </c>
      <c r="K1913" s="171">
        <v>60</v>
      </c>
      <c r="L1913" s="171">
        <v>60</v>
      </c>
      <c r="M1913" s="171">
        <v>65.960000000000008</v>
      </c>
      <c r="N1913" s="171">
        <v>74.17</v>
      </c>
      <c r="O1913" s="171">
        <v>130.27000000000001</v>
      </c>
      <c r="P1913" s="171">
        <v>99.83</v>
      </c>
      <c r="Q1913" s="171">
        <v>82.44</v>
      </c>
      <c r="R1913" s="171">
        <v>64.33</v>
      </c>
      <c r="S1913" s="171">
        <v>56.49</v>
      </c>
      <c r="T1913" s="171">
        <v>55.67</v>
      </c>
      <c r="U1913" s="171">
        <v>60.370000000000005</v>
      </c>
      <c r="V1913" s="171">
        <v>59.620000000000005</v>
      </c>
      <c r="W1913" s="171">
        <v>52.89</v>
      </c>
      <c r="X1913" s="171">
        <v>55.45</v>
      </c>
      <c r="Y1913" s="171">
        <v>52.94</v>
      </c>
      <c r="Z1913" s="171">
        <v>44.94</v>
      </c>
      <c r="AA1913" s="171">
        <v>36.660000000000004</v>
      </c>
      <c r="AB1913" s="171">
        <v>130.27000000000001</v>
      </c>
      <c r="AC1913" s="171">
        <v>44.94</v>
      </c>
      <c r="AD1913" s="171">
        <v>42.24</v>
      </c>
      <c r="AF1913" s="171">
        <f t="shared" si="89"/>
        <v>2013</v>
      </c>
      <c r="AG1913" s="171">
        <f t="shared" si="90"/>
        <v>6</v>
      </c>
      <c r="AH1913" s="700">
        <f>SUMIF(D$3:$AA1913,"&lt;="&amp;$AH$1)/COUNTIF(D$3:$AA1913,"&lt;="&amp;$AH$1)</f>
        <v>31.224855582604221</v>
      </c>
    </row>
    <row r="1914" spans="2:34" x14ac:dyDescent="0.25">
      <c r="B1914" s="910">
        <v>41506</v>
      </c>
      <c r="C1914" s="581">
        <f t="shared" si="88"/>
        <v>8</v>
      </c>
      <c r="D1914" s="171">
        <v>42.44</v>
      </c>
      <c r="E1914" s="171">
        <v>37.65</v>
      </c>
      <c r="F1914" s="171">
        <v>36.4</v>
      </c>
      <c r="G1914" s="171">
        <v>32.840000000000003</v>
      </c>
      <c r="H1914" s="171">
        <v>32.39</v>
      </c>
      <c r="I1914" s="171">
        <v>34.130000000000003</v>
      </c>
      <c r="J1914" s="171">
        <v>39.43</v>
      </c>
      <c r="K1914" s="171">
        <v>47.11</v>
      </c>
      <c r="L1914" s="171">
        <v>55.06</v>
      </c>
      <c r="M1914" s="171">
        <v>54.96</v>
      </c>
      <c r="N1914" s="171">
        <v>54.550000000000004</v>
      </c>
      <c r="O1914" s="171">
        <v>59.92</v>
      </c>
      <c r="P1914" s="171">
        <v>55</v>
      </c>
      <c r="Q1914" s="171">
        <v>60</v>
      </c>
      <c r="R1914" s="171">
        <v>59.660000000000004</v>
      </c>
      <c r="S1914" s="171">
        <v>54.18</v>
      </c>
      <c r="T1914" s="171">
        <v>52.94</v>
      </c>
      <c r="U1914" s="171">
        <v>58</v>
      </c>
      <c r="V1914" s="171">
        <v>49.35</v>
      </c>
      <c r="W1914" s="171">
        <v>53.97</v>
      </c>
      <c r="X1914" s="171">
        <v>61.43</v>
      </c>
      <c r="Y1914" s="171">
        <v>64</v>
      </c>
      <c r="Z1914" s="171">
        <v>61.99</v>
      </c>
      <c r="AA1914" s="171">
        <v>58.58</v>
      </c>
      <c r="AB1914" s="171">
        <v>64</v>
      </c>
      <c r="AC1914" s="171">
        <v>47.11</v>
      </c>
      <c r="AD1914" s="171">
        <v>45.7</v>
      </c>
      <c r="AF1914" s="171">
        <f t="shared" si="89"/>
        <v>2013</v>
      </c>
      <c r="AG1914" s="171">
        <f t="shared" si="90"/>
        <v>7</v>
      </c>
      <c r="AH1914" s="700">
        <f>SUMIF(D$3:$AA1914,"&lt;="&amp;$AH$1)/COUNTIF(D$3:$AA1914,"&lt;="&amp;$AH$1)</f>
        <v>31.227269498882126</v>
      </c>
    </row>
    <row r="1915" spans="2:34" x14ac:dyDescent="0.25">
      <c r="B1915" s="910">
        <v>41507</v>
      </c>
      <c r="C1915" s="581">
        <f t="shared" si="88"/>
        <v>8</v>
      </c>
      <c r="D1915" s="171">
        <v>46.92</v>
      </c>
      <c r="E1915" s="171">
        <v>42.21</v>
      </c>
      <c r="F1915" s="171">
        <v>36.42</v>
      </c>
      <c r="G1915" s="171">
        <v>35.85</v>
      </c>
      <c r="H1915" s="171">
        <v>32.44</v>
      </c>
      <c r="I1915" s="171">
        <v>35.28</v>
      </c>
      <c r="J1915" s="171">
        <v>50</v>
      </c>
      <c r="K1915" s="171">
        <v>60.550000000000004</v>
      </c>
      <c r="L1915" s="171">
        <v>57.59</v>
      </c>
      <c r="M1915" s="171">
        <v>59.76</v>
      </c>
      <c r="N1915" s="171">
        <v>52.67</v>
      </c>
      <c r="O1915" s="171">
        <v>57.44</v>
      </c>
      <c r="P1915" s="171">
        <v>55</v>
      </c>
      <c r="Q1915" s="171">
        <v>59.94</v>
      </c>
      <c r="R1915" s="171">
        <v>57.980000000000004</v>
      </c>
      <c r="S1915" s="171">
        <v>55</v>
      </c>
      <c r="T1915" s="171">
        <v>52.93</v>
      </c>
      <c r="U1915" s="171">
        <v>62.03</v>
      </c>
      <c r="V1915" s="171">
        <v>50.02</v>
      </c>
      <c r="W1915" s="171">
        <v>53.19</v>
      </c>
      <c r="X1915" s="171">
        <v>57.02</v>
      </c>
      <c r="Y1915" s="171">
        <v>54.870000000000005</v>
      </c>
      <c r="Z1915" s="171">
        <v>47.13</v>
      </c>
      <c r="AA1915" s="171">
        <v>48.11</v>
      </c>
      <c r="AB1915" s="171">
        <v>62.03</v>
      </c>
      <c r="AC1915" s="171">
        <v>47.13</v>
      </c>
      <c r="AD1915" s="171">
        <v>45.57</v>
      </c>
      <c r="AF1915" s="171">
        <f t="shared" si="89"/>
        <v>2013</v>
      </c>
      <c r="AG1915" s="171">
        <f t="shared" si="90"/>
        <v>5</v>
      </c>
      <c r="AH1915" s="700">
        <f>SUMIF(D$3:$AA1915,"&lt;="&amp;$AH$1)/COUNTIF(D$3:$AA1915,"&lt;="&amp;$AH$1)</f>
        <v>31.228982972848705</v>
      </c>
    </row>
    <row r="1916" spans="2:34" x14ac:dyDescent="0.25">
      <c r="B1916" s="910">
        <v>41508</v>
      </c>
      <c r="C1916" s="581">
        <f t="shared" si="88"/>
        <v>8</v>
      </c>
      <c r="D1916" s="171">
        <v>46.72</v>
      </c>
      <c r="E1916" s="171">
        <v>38.54</v>
      </c>
      <c r="F1916" s="171">
        <v>36.29</v>
      </c>
      <c r="G1916" s="171">
        <v>35.950000000000003</v>
      </c>
      <c r="H1916" s="171">
        <v>34.49</v>
      </c>
      <c r="I1916" s="171">
        <v>35.72</v>
      </c>
      <c r="J1916" s="171">
        <v>44.51</v>
      </c>
      <c r="K1916" s="171">
        <v>52.75</v>
      </c>
      <c r="L1916" s="171">
        <v>54.95</v>
      </c>
      <c r="M1916" s="171">
        <v>53.980000000000004</v>
      </c>
      <c r="N1916" s="171">
        <v>55.36</v>
      </c>
      <c r="O1916" s="171">
        <v>57.44</v>
      </c>
      <c r="P1916" s="171">
        <v>55</v>
      </c>
      <c r="Q1916" s="171">
        <v>59.94</v>
      </c>
      <c r="R1916" s="171">
        <v>59.94</v>
      </c>
      <c r="S1916" s="171">
        <v>57.13</v>
      </c>
      <c r="T1916" s="171">
        <v>54.44</v>
      </c>
      <c r="U1916" s="171">
        <v>57.53</v>
      </c>
      <c r="V1916" s="171">
        <v>57.63</v>
      </c>
      <c r="W1916" s="171">
        <v>56.14</v>
      </c>
      <c r="X1916" s="171">
        <v>54.44</v>
      </c>
      <c r="Y1916" s="171">
        <v>52.75</v>
      </c>
      <c r="Z1916" s="171">
        <v>62.38</v>
      </c>
      <c r="AA1916" s="171">
        <v>46.72</v>
      </c>
      <c r="AB1916" s="171">
        <v>62.38</v>
      </c>
      <c r="AC1916" s="171">
        <v>52.75</v>
      </c>
      <c r="AD1916" s="171">
        <v>45.1</v>
      </c>
      <c r="AF1916" s="171">
        <f t="shared" si="89"/>
        <v>2013</v>
      </c>
      <c r="AG1916" s="171">
        <f t="shared" si="90"/>
        <v>5</v>
      </c>
      <c r="AH1916" s="700">
        <f>SUMIF(D$3:$AA1916,"&lt;="&amp;$AH$1)/COUNTIF(D$3:$AA1916,"&lt;="&amp;$AH$1)</f>
        <v>31.230615799158883</v>
      </c>
    </row>
    <row r="1917" spans="2:34" x14ac:dyDescent="0.25">
      <c r="B1917" s="910">
        <v>41509</v>
      </c>
      <c r="C1917" s="581">
        <f t="shared" si="88"/>
        <v>8</v>
      </c>
      <c r="D1917" s="171">
        <v>51.01</v>
      </c>
      <c r="E1917" s="171">
        <v>42.14</v>
      </c>
      <c r="F1917" s="171">
        <v>38</v>
      </c>
      <c r="G1917" s="171">
        <v>30.67</v>
      </c>
      <c r="H1917" s="171">
        <v>31.01</v>
      </c>
      <c r="I1917" s="171">
        <v>34.07</v>
      </c>
      <c r="J1917" s="171">
        <v>46.9</v>
      </c>
      <c r="K1917" s="171">
        <v>55.88</v>
      </c>
      <c r="L1917" s="171">
        <v>60.24</v>
      </c>
      <c r="M1917" s="171">
        <v>61.620000000000005</v>
      </c>
      <c r="N1917" s="171">
        <v>60.480000000000004</v>
      </c>
      <c r="O1917" s="171">
        <v>57.4</v>
      </c>
      <c r="P1917" s="171">
        <v>70.28</v>
      </c>
      <c r="Q1917" s="171">
        <v>69.010000000000005</v>
      </c>
      <c r="R1917" s="171">
        <v>67.150000000000006</v>
      </c>
      <c r="S1917" s="171">
        <v>48.15</v>
      </c>
      <c r="T1917" s="171">
        <v>47.08</v>
      </c>
      <c r="U1917" s="171">
        <v>54.94</v>
      </c>
      <c r="V1917" s="171">
        <v>51.99</v>
      </c>
      <c r="W1917" s="171">
        <v>49.99</v>
      </c>
      <c r="X1917" s="171">
        <v>57</v>
      </c>
      <c r="Y1917" s="171">
        <v>57.81</v>
      </c>
      <c r="Z1917" s="171">
        <v>49.99</v>
      </c>
      <c r="AA1917" s="171">
        <v>52.63</v>
      </c>
      <c r="AB1917" s="171">
        <v>70.28</v>
      </c>
      <c r="AC1917" s="171">
        <v>47.08</v>
      </c>
      <c r="AD1917" s="171">
        <v>45.59</v>
      </c>
      <c r="AF1917" s="171">
        <f t="shared" si="89"/>
        <v>2013</v>
      </c>
      <c r="AG1917" s="171">
        <f t="shared" si="90"/>
        <v>5</v>
      </c>
      <c r="AH1917" s="700">
        <f>SUMIF(D$3:$AA1917,"&lt;="&amp;$AH$1)/COUNTIF(D$3:$AA1917,"&lt;="&amp;$AH$1)</f>
        <v>31.231912489324063</v>
      </c>
    </row>
    <row r="1918" spans="2:34" x14ac:dyDescent="0.25">
      <c r="B1918" s="910">
        <v>41512</v>
      </c>
      <c r="C1918" s="581">
        <f t="shared" si="88"/>
        <v>8</v>
      </c>
      <c r="D1918" s="171">
        <v>32</v>
      </c>
      <c r="E1918" s="171">
        <v>35.54</v>
      </c>
      <c r="F1918" s="171">
        <v>31.5</v>
      </c>
      <c r="G1918" s="171">
        <v>31.1</v>
      </c>
      <c r="H1918" s="171">
        <v>30.580000000000002</v>
      </c>
      <c r="I1918" s="171">
        <v>31.76</v>
      </c>
      <c r="J1918" s="171">
        <v>37.93</v>
      </c>
      <c r="K1918" s="171">
        <v>49.29</v>
      </c>
      <c r="L1918" s="171">
        <v>50.78</v>
      </c>
      <c r="M1918" s="171">
        <v>54.42</v>
      </c>
      <c r="N1918" s="171">
        <v>52.44</v>
      </c>
      <c r="O1918" s="171">
        <v>57.660000000000004</v>
      </c>
      <c r="P1918" s="171">
        <v>55</v>
      </c>
      <c r="Q1918" s="171">
        <v>59.94</v>
      </c>
      <c r="R1918" s="171">
        <v>59.94</v>
      </c>
      <c r="S1918" s="171">
        <v>50.77</v>
      </c>
      <c r="T1918" s="171">
        <v>52</v>
      </c>
      <c r="U1918" s="171">
        <v>59.92</v>
      </c>
      <c r="V1918" s="171">
        <v>54.96</v>
      </c>
      <c r="W1918" s="171">
        <v>55.93</v>
      </c>
      <c r="X1918" s="171">
        <v>59.34</v>
      </c>
      <c r="Y1918" s="171">
        <v>64.94</v>
      </c>
      <c r="Z1918" s="171">
        <v>60</v>
      </c>
      <c r="AA1918" s="171">
        <v>50.47</v>
      </c>
      <c r="AB1918" s="171">
        <v>64.94</v>
      </c>
      <c r="AC1918" s="171">
        <v>49.29</v>
      </c>
      <c r="AD1918" s="171">
        <v>42.87</v>
      </c>
      <c r="AF1918" s="171">
        <f t="shared" si="89"/>
        <v>2013</v>
      </c>
      <c r="AG1918" s="171">
        <f t="shared" si="90"/>
        <v>7</v>
      </c>
      <c r="AH1918" s="700">
        <f>SUMIF(D$3:$AA1918,"&lt;="&amp;$AH$1)/COUNTIF(D$3:$AA1918,"&lt;="&amp;$AH$1)</f>
        <v>31.232686498555395</v>
      </c>
    </row>
    <row r="1919" spans="2:34" x14ac:dyDescent="0.25">
      <c r="B1919" s="910">
        <v>41513</v>
      </c>
      <c r="C1919" s="581">
        <f t="shared" si="88"/>
        <v>8</v>
      </c>
      <c r="D1919" s="171">
        <v>56.47</v>
      </c>
      <c r="E1919" s="171">
        <v>42.78</v>
      </c>
      <c r="F1919" s="171">
        <v>45.17</v>
      </c>
      <c r="G1919" s="171">
        <v>38.29</v>
      </c>
      <c r="H1919" s="171">
        <v>42.27</v>
      </c>
      <c r="I1919" s="171">
        <v>51.49</v>
      </c>
      <c r="J1919" s="171">
        <v>46.19</v>
      </c>
      <c r="K1919" s="171">
        <v>59.93</v>
      </c>
      <c r="L1919" s="171">
        <v>63.09</v>
      </c>
      <c r="M1919" s="171">
        <v>59.910000000000004</v>
      </c>
      <c r="N1919" s="171">
        <v>60.08</v>
      </c>
      <c r="O1919" s="171">
        <v>60.28</v>
      </c>
      <c r="P1919" s="171">
        <v>58.800000000000004</v>
      </c>
      <c r="Q1919" s="171">
        <v>58.2</v>
      </c>
      <c r="R1919" s="171">
        <v>54.870000000000005</v>
      </c>
      <c r="S1919" s="171">
        <v>55.97</v>
      </c>
      <c r="T1919" s="171">
        <v>55.11</v>
      </c>
      <c r="U1919" s="171">
        <v>56.29</v>
      </c>
      <c r="V1919" s="171">
        <v>56.22</v>
      </c>
      <c r="W1919" s="171">
        <v>58.92</v>
      </c>
      <c r="X1919" s="171">
        <v>56.38</v>
      </c>
      <c r="Y1919" s="171">
        <v>53.02</v>
      </c>
      <c r="Z1919" s="171">
        <v>49.96</v>
      </c>
      <c r="AA1919" s="171">
        <v>52.52</v>
      </c>
      <c r="AB1919" s="171">
        <v>63.09</v>
      </c>
      <c r="AC1919" s="171">
        <v>49.96</v>
      </c>
      <c r="AD1919" s="171">
        <v>49.54</v>
      </c>
      <c r="AF1919" s="171">
        <f t="shared" si="89"/>
        <v>2013</v>
      </c>
      <c r="AG1919" s="171">
        <f t="shared" si="90"/>
        <v>2</v>
      </c>
      <c r="AH1919" s="700">
        <f>SUMIF(D$3:$AA1919,"&lt;="&amp;$AH$1)/COUNTIF(D$3:$AA1919,"&lt;="&amp;$AH$1)</f>
        <v>31.233874589625842</v>
      </c>
    </row>
    <row r="1920" spans="2:34" x14ac:dyDescent="0.25">
      <c r="B1920" s="910">
        <v>41514</v>
      </c>
      <c r="C1920" s="581">
        <f t="shared" si="88"/>
        <v>8</v>
      </c>
      <c r="D1920" s="171">
        <v>59.92</v>
      </c>
      <c r="E1920" s="171">
        <v>44.99</v>
      </c>
      <c r="F1920" s="171">
        <v>42.87</v>
      </c>
      <c r="G1920" s="171">
        <v>41.660000000000004</v>
      </c>
      <c r="H1920" s="171">
        <v>40</v>
      </c>
      <c r="I1920" s="171">
        <v>40.54</v>
      </c>
      <c r="J1920" s="171">
        <v>50.67</v>
      </c>
      <c r="K1920" s="171">
        <v>60</v>
      </c>
      <c r="L1920" s="171">
        <v>63.72</v>
      </c>
      <c r="M1920" s="171">
        <v>65</v>
      </c>
      <c r="N1920" s="171">
        <v>64.27</v>
      </c>
      <c r="O1920" s="171">
        <v>66.66</v>
      </c>
      <c r="P1920" s="171">
        <v>57.980000000000004</v>
      </c>
      <c r="Q1920" s="171">
        <v>60.65</v>
      </c>
      <c r="R1920" s="171">
        <v>57.07</v>
      </c>
      <c r="S1920" s="171">
        <v>55.18</v>
      </c>
      <c r="T1920" s="171">
        <v>55.51</v>
      </c>
      <c r="U1920" s="171">
        <v>59.14</v>
      </c>
      <c r="V1920" s="171">
        <v>61.33</v>
      </c>
      <c r="W1920" s="171">
        <v>62.02</v>
      </c>
      <c r="X1920" s="171">
        <v>66.349999999999994</v>
      </c>
      <c r="Y1920" s="171">
        <v>60.13</v>
      </c>
      <c r="Z1920" s="171">
        <v>51.620000000000005</v>
      </c>
      <c r="AA1920" s="171">
        <v>48.42</v>
      </c>
      <c r="AB1920" s="171">
        <v>66.66</v>
      </c>
      <c r="AC1920" s="171">
        <v>51.620000000000005</v>
      </c>
      <c r="AD1920" s="171">
        <v>50.6</v>
      </c>
      <c r="AF1920" s="171">
        <f t="shared" si="89"/>
        <v>2013</v>
      </c>
      <c r="AG1920" s="171">
        <f t="shared" si="90"/>
        <v>3</v>
      </c>
      <c r="AH1920" s="700">
        <f>SUMIF(D$3:$AA1920,"&lt;="&amp;$AH$1)/COUNTIF(D$3:$AA1920,"&lt;="&amp;$AH$1)</f>
        <v>31.235745421125287</v>
      </c>
    </row>
    <row r="1921" spans="2:34" x14ac:dyDescent="0.25">
      <c r="B1921" s="910">
        <v>41515</v>
      </c>
      <c r="C1921" s="581">
        <f t="shared" si="88"/>
        <v>8</v>
      </c>
      <c r="D1921" s="171">
        <v>43.99</v>
      </c>
      <c r="E1921" s="171">
        <v>44.96</v>
      </c>
      <c r="F1921" s="171">
        <v>38</v>
      </c>
      <c r="G1921" s="171">
        <v>34.880000000000003</v>
      </c>
      <c r="H1921" s="171">
        <v>33.75</v>
      </c>
      <c r="I1921" s="171">
        <v>38.19</v>
      </c>
      <c r="J1921" s="171">
        <v>50.57</v>
      </c>
      <c r="K1921" s="171">
        <v>62.78</v>
      </c>
      <c r="L1921" s="171">
        <v>63.25</v>
      </c>
      <c r="M1921" s="171">
        <v>60.61</v>
      </c>
      <c r="N1921" s="171">
        <v>58.6</v>
      </c>
      <c r="O1921" s="171">
        <v>58.95</v>
      </c>
      <c r="P1921" s="171">
        <v>55.4</v>
      </c>
      <c r="Q1921" s="171">
        <v>55.42</v>
      </c>
      <c r="R1921" s="171">
        <v>56.88</v>
      </c>
      <c r="S1921" s="171">
        <v>57.76</v>
      </c>
      <c r="T1921" s="171">
        <v>59.120000000000005</v>
      </c>
      <c r="U1921" s="171">
        <v>63.21</v>
      </c>
      <c r="V1921" s="171">
        <v>65.34</v>
      </c>
      <c r="W1921" s="171">
        <v>65</v>
      </c>
      <c r="X1921" s="171">
        <v>70</v>
      </c>
      <c r="Y1921" s="171">
        <v>64.570000000000007</v>
      </c>
      <c r="Z1921" s="171">
        <v>55.34</v>
      </c>
      <c r="AA1921" s="171">
        <v>46.1</v>
      </c>
      <c r="AB1921" s="171">
        <v>70</v>
      </c>
      <c r="AC1921" s="171">
        <v>55.34</v>
      </c>
      <c r="AD1921" s="171">
        <v>48.59</v>
      </c>
      <c r="AF1921" s="171">
        <f t="shared" si="89"/>
        <v>2013</v>
      </c>
      <c r="AG1921" s="171">
        <f t="shared" si="90"/>
        <v>4</v>
      </c>
      <c r="AH1921" s="700">
        <f>SUMIF(D$3:$AA1921,"&lt;="&amp;$AH$1)/COUNTIF(D$3:$AA1921,"&lt;="&amp;$AH$1)</f>
        <v>31.237049944214839</v>
      </c>
    </row>
    <row r="1922" spans="2:34" x14ac:dyDescent="0.25">
      <c r="B1922" s="910">
        <v>41516</v>
      </c>
      <c r="C1922" s="581">
        <f t="shared" si="88"/>
        <v>8</v>
      </c>
      <c r="D1922" s="171">
        <v>47.36</v>
      </c>
      <c r="E1922" s="171">
        <v>43.67</v>
      </c>
      <c r="F1922" s="171">
        <v>40.28</v>
      </c>
      <c r="G1922" s="171">
        <v>37.44</v>
      </c>
      <c r="H1922" s="171">
        <v>36.300000000000004</v>
      </c>
      <c r="I1922" s="171">
        <v>38.57</v>
      </c>
      <c r="J1922" s="171">
        <v>45.56</v>
      </c>
      <c r="K1922" s="171">
        <v>53.15</v>
      </c>
      <c r="L1922" s="171">
        <v>56.160000000000004</v>
      </c>
      <c r="M1922" s="171">
        <v>56.980000000000004</v>
      </c>
      <c r="N1922" s="171">
        <v>57.82</v>
      </c>
      <c r="O1922" s="171">
        <v>59.94</v>
      </c>
      <c r="P1922" s="171">
        <v>60.5</v>
      </c>
      <c r="Q1922" s="171">
        <v>54</v>
      </c>
      <c r="R1922" s="171">
        <v>54.620000000000005</v>
      </c>
      <c r="S1922" s="171">
        <v>49.660000000000004</v>
      </c>
      <c r="T1922" s="171">
        <v>45.230000000000004</v>
      </c>
      <c r="U1922" s="171">
        <v>49.42</v>
      </c>
      <c r="V1922" s="171">
        <v>53.45</v>
      </c>
      <c r="W1922" s="171">
        <v>53.7</v>
      </c>
      <c r="X1922" s="171">
        <v>55.230000000000004</v>
      </c>
      <c r="Y1922" s="171">
        <v>49.56</v>
      </c>
      <c r="Z1922" s="171">
        <v>53.32</v>
      </c>
      <c r="AA1922" s="171">
        <v>49.96</v>
      </c>
      <c r="AB1922" s="171">
        <v>60.5</v>
      </c>
      <c r="AC1922" s="171">
        <v>45.230000000000004</v>
      </c>
      <c r="AD1922" s="171">
        <v>45.87</v>
      </c>
      <c r="AF1922" s="171">
        <f t="shared" si="89"/>
        <v>2013</v>
      </c>
      <c r="AG1922" s="171">
        <f t="shared" si="90"/>
        <v>4</v>
      </c>
      <c r="AH1922" s="700">
        <f>SUMIF(D$3:$AA1922,"&lt;="&amp;$AH$1)/COUNTIF(D$3:$AA1922,"&lt;="&amp;$AH$1)</f>
        <v>31.238863591627947</v>
      </c>
    </row>
    <row r="1923" spans="2:34" x14ac:dyDescent="0.25">
      <c r="B1923" s="910">
        <v>41519</v>
      </c>
      <c r="C1923" s="581">
        <f t="shared" si="88"/>
        <v>9</v>
      </c>
      <c r="D1923" s="171">
        <v>31.45</v>
      </c>
      <c r="E1923" s="171">
        <v>28.64</v>
      </c>
      <c r="F1923" s="171">
        <v>31.09</v>
      </c>
      <c r="G1923" s="171">
        <v>31.09</v>
      </c>
      <c r="H1923" s="171">
        <v>29</v>
      </c>
      <c r="I1923" s="171">
        <v>31.21</v>
      </c>
      <c r="J1923" s="171">
        <v>37.340000000000003</v>
      </c>
      <c r="K1923" s="171">
        <v>49.96</v>
      </c>
      <c r="L1923" s="171">
        <v>49.33</v>
      </c>
      <c r="M1923" s="171">
        <v>49.92</v>
      </c>
      <c r="N1923" s="171">
        <v>52.36</v>
      </c>
      <c r="O1923" s="171">
        <v>56.120000000000005</v>
      </c>
      <c r="P1923" s="171">
        <v>56.03</v>
      </c>
      <c r="Q1923" s="171">
        <v>60</v>
      </c>
      <c r="R1923" s="171">
        <v>57.42</v>
      </c>
      <c r="S1923" s="171">
        <v>53.32</v>
      </c>
      <c r="T1923" s="171">
        <v>55.06</v>
      </c>
      <c r="U1923" s="171">
        <v>54.99</v>
      </c>
      <c r="V1923" s="171">
        <v>54.06</v>
      </c>
      <c r="W1923" s="171">
        <v>51.86</v>
      </c>
      <c r="X1923" s="171">
        <v>64.2</v>
      </c>
      <c r="Y1923" s="171">
        <v>70</v>
      </c>
      <c r="Z1923" s="171">
        <v>60</v>
      </c>
      <c r="AA1923" s="171">
        <v>45.1</v>
      </c>
      <c r="AB1923" s="171">
        <v>70</v>
      </c>
      <c r="AC1923" s="171">
        <v>49.33</v>
      </c>
      <c r="AD1923" s="171">
        <v>42.42</v>
      </c>
      <c r="AF1923" s="171">
        <f t="shared" si="89"/>
        <v>2013</v>
      </c>
      <c r="AG1923" s="171">
        <f t="shared" si="90"/>
        <v>7</v>
      </c>
      <c r="AH1923" s="700">
        <f>SUMIF(D$3:$AA1923,"&lt;="&amp;$AH$1)/COUNTIF(D$3:$AA1923,"&lt;="&amp;$AH$1)</f>
        <v>31.238938877229909</v>
      </c>
    </row>
    <row r="1924" spans="2:34" x14ac:dyDescent="0.25">
      <c r="B1924" s="910">
        <v>41520</v>
      </c>
      <c r="C1924" s="581">
        <f t="shared" ref="C1924:C1987" si="91">MONTH(B1924)</f>
        <v>9</v>
      </c>
      <c r="D1924" s="171">
        <v>47.89</v>
      </c>
      <c r="E1924" s="171">
        <v>43.87</v>
      </c>
      <c r="F1924" s="171">
        <v>42.56</v>
      </c>
      <c r="G1924" s="171">
        <v>35.25</v>
      </c>
      <c r="H1924" s="171">
        <v>37.450000000000003</v>
      </c>
      <c r="I1924" s="171">
        <v>46.07</v>
      </c>
      <c r="J1924" s="171">
        <v>47.6</v>
      </c>
      <c r="K1924" s="171">
        <v>55.97</v>
      </c>
      <c r="L1924" s="171">
        <v>61.86</v>
      </c>
      <c r="M1924" s="171">
        <v>60</v>
      </c>
      <c r="N1924" s="171">
        <v>63.050000000000004</v>
      </c>
      <c r="O1924" s="171">
        <v>60</v>
      </c>
      <c r="P1924" s="171">
        <v>57.5</v>
      </c>
      <c r="Q1924" s="171">
        <v>55.58</v>
      </c>
      <c r="R1924" s="171">
        <v>55.46</v>
      </c>
      <c r="S1924" s="171">
        <v>59.94</v>
      </c>
      <c r="T1924" s="171">
        <v>53.980000000000004</v>
      </c>
      <c r="U1924" s="171">
        <v>57.96</v>
      </c>
      <c r="V1924" s="171">
        <v>59.01</v>
      </c>
      <c r="W1924" s="171">
        <v>64.94</v>
      </c>
      <c r="X1924" s="171">
        <v>66.69</v>
      </c>
      <c r="Y1924" s="171">
        <v>61.230000000000004</v>
      </c>
      <c r="Z1924" s="171">
        <v>53.99</v>
      </c>
      <c r="AA1924" s="171">
        <v>53.480000000000004</v>
      </c>
      <c r="AB1924" s="171">
        <v>66.69</v>
      </c>
      <c r="AC1924" s="171">
        <v>53.980000000000004</v>
      </c>
      <c r="AD1924" s="171">
        <v>49.34</v>
      </c>
      <c r="AF1924" s="171">
        <f t="shared" ref="AF1924:AF1987" si="92">YEAR(B1924)</f>
        <v>2013</v>
      </c>
      <c r="AG1924" s="171">
        <f t="shared" ref="AG1924:AG1987" si="93">COUNTIF(D1924:AA1924,"&lt;="&amp;$AH$1)</f>
        <v>2</v>
      </c>
      <c r="AH1924" s="700">
        <f>SUMIF(D$3:$AA1924,"&lt;="&amp;$AH$1)/COUNTIF(D$3:$AA1924,"&lt;="&amp;$AH$1)</f>
        <v>31.239609180327978</v>
      </c>
    </row>
    <row r="1925" spans="2:34" x14ac:dyDescent="0.25">
      <c r="B1925" s="910">
        <v>41521</v>
      </c>
      <c r="C1925" s="581">
        <f t="shared" si="91"/>
        <v>9</v>
      </c>
      <c r="D1925" s="171">
        <v>47.56</v>
      </c>
      <c r="E1925" s="171">
        <v>43.58</v>
      </c>
      <c r="F1925" s="171">
        <v>37.82</v>
      </c>
      <c r="G1925" s="171">
        <v>37.33</v>
      </c>
      <c r="H1925" s="171">
        <v>35.11</v>
      </c>
      <c r="I1925" s="171">
        <v>39.82</v>
      </c>
      <c r="J1925" s="171">
        <v>53.92</v>
      </c>
      <c r="K1925" s="171">
        <v>63.58</v>
      </c>
      <c r="L1925" s="171">
        <v>71.100000000000009</v>
      </c>
      <c r="M1925" s="171">
        <v>77.680000000000007</v>
      </c>
      <c r="N1925" s="171">
        <v>64.83</v>
      </c>
      <c r="O1925" s="171">
        <v>62.45</v>
      </c>
      <c r="P1925" s="171">
        <v>58.550000000000004</v>
      </c>
      <c r="Q1925" s="171">
        <v>55.910000000000004</v>
      </c>
      <c r="R1925" s="171">
        <v>53.910000000000004</v>
      </c>
      <c r="S1925" s="171">
        <v>53.47</v>
      </c>
      <c r="T1925" s="171">
        <v>54.94</v>
      </c>
      <c r="U1925" s="171">
        <v>60</v>
      </c>
      <c r="V1925" s="171">
        <v>65.790000000000006</v>
      </c>
      <c r="W1925" s="171">
        <v>64.94</v>
      </c>
      <c r="X1925" s="171">
        <v>65.08</v>
      </c>
      <c r="Y1925" s="171">
        <v>54.94</v>
      </c>
      <c r="Z1925" s="171">
        <v>50.26</v>
      </c>
      <c r="AA1925" s="171">
        <v>45.44</v>
      </c>
      <c r="AB1925" s="171">
        <v>77.680000000000007</v>
      </c>
      <c r="AC1925" s="171">
        <v>50.26</v>
      </c>
      <c r="AD1925" s="171">
        <v>47.870000000000005</v>
      </c>
      <c r="AF1925" s="171">
        <f t="shared" si="92"/>
        <v>2013</v>
      </c>
      <c r="AG1925" s="171">
        <f t="shared" si="93"/>
        <v>4</v>
      </c>
      <c r="AH1925" s="700">
        <f>SUMIF(D$3:$AA1925,"&lt;="&amp;$AH$1)/COUNTIF(D$3:$AA1925,"&lt;="&amp;$AH$1)</f>
        <v>31.241256063983329</v>
      </c>
    </row>
    <row r="1926" spans="2:34" x14ac:dyDescent="0.25">
      <c r="B1926" s="910">
        <v>41522</v>
      </c>
      <c r="C1926" s="581">
        <f t="shared" si="91"/>
        <v>9</v>
      </c>
      <c r="D1926" s="171">
        <v>48.64</v>
      </c>
      <c r="E1926" s="171">
        <v>38.65</v>
      </c>
      <c r="F1926" s="171">
        <v>37.28</v>
      </c>
      <c r="G1926" s="171">
        <v>36.19</v>
      </c>
      <c r="H1926" s="171">
        <v>36.19</v>
      </c>
      <c r="I1926" s="171">
        <v>36.700000000000003</v>
      </c>
      <c r="J1926" s="171">
        <v>49.550000000000004</v>
      </c>
      <c r="K1926" s="171">
        <v>56.93</v>
      </c>
      <c r="L1926" s="171">
        <v>64.320000000000007</v>
      </c>
      <c r="M1926" s="171">
        <v>62.1</v>
      </c>
      <c r="N1926" s="171">
        <v>62.75</v>
      </c>
      <c r="O1926" s="171">
        <v>70.39</v>
      </c>
      <c r="P1926" s="171">
        <v>70</v>
      </c>
      <c r="Q1926" s="171">
        <v>64.23</v>
      </c>
      <c r="R1926" s="171">
        <v>64.94</v>
      </c>
      <c r="S1926" s="171">
        <v>60.910000000000004</v>
      </c>
      <c r="T1926" s="171">
        <v>57.42</v>
      </c>
      <c r="U1926" s="171">
        <v>59.94</v>
      </c>
      <c r="V1926" s="171">
        <v>59.9</v>
      </c>
      <c r="W1926" s="171">
        <v>63.02</v>
      </c>
      <c r="X1926" s="171">
        <v>64.23</v>
      </c>
      <c r="Y1926" s="171">
        <v>51.99</v>
      </c>
      <c r="Z1926" s="171">
        <v>54.550000000000004</v>
      </c>
      <c r="AA1926" s="171">
        <v>54.01</v>
      </c>
      <c r="AB1926" s="171">
        <v>70.39</v>
      </c>
      <c r="AC1926" s="171">
        <v>51.99</v>
      </c>
      <c r="AD1926" s="171">
        <v>47.08</v>
      </c>
      <c r="AF1926" s="171">
        <f t="shared" si="92"/>
        <v>2013</v>
      </c>
      <c r="AG1926" s="171">
        <f t="shared" si="93"/>
        <v>5</v>
      </c>
      <c r="AH1926" s="700">
        <f>SUMIF(D$3:$AA1926,"&lt;="&amp;$AH$1)/COUNTIF(D$3:$AA1926,"&lt;="&amp;$AH$1)</f>
        <v>31.243143718461351</v>
      </c>
    </row>
    <row r="1927" spans="2:34" x14ac:dyDescent="0.25">
      <c r="B1927" s="910">
        <v>41523</v>
      </c>
      <c r="C1927" s="581">
        <f t="shared" si="91"/>
        <v>9</v>
      </c>
      <c r="D1927" s="171">
        <v>47.12</v>
      </c>
      <c r="E1927" s="171">
        <v>39.550000000000004</v>
      </c>
      <c r="F1927" s="171">
        <v>40.99</v>
      </c>
      <c r="G1927" s="171">
        <v>39.18</v>
      </c>
      <c r="H1927" s="171">
        <v>37.619999999999997</v>
      </c>
      <c r="I1927" s="171">
        <v>40.17</v>
      </c>
      <c r="J1927" s="171">
        <v>45.7</v>
      </c>
      <c r="K1927" s="171">
        <v>55.85</v>
      </c>
      <c r="L1927" s="171">
        <v>57.46</v>
      </c>
      <c r="M1927" s="171">
        <v>65.88</v>
      </c>
      <c r="N1927" s="171">
        <v>68.960000000000008</v>
      </c>
      <c r="O1927" s="171">
        <v>74.23</v>
      </c>
      <c r="P1927" s="171">
        <v>66.77</v>
      </c>
      <c r="Q1927" s="171">
        <v>60.82</v>
      </c>
      <c r="R1927" s="171">
        <v>61.36</v>
      </c>
      <c r="S1927" s="171">
        <v>53</v>
      </c>
      <c r="T1927" s="171">
        <v>51.34</v>
      </c>
      <c r="U1927" s="171">
        <v>56.160000000000004</v>
      </c>
      <c r="V1927" s="171">
        <v>50.97</v>
      </c>
      <c r="W1927" s="171">
        <v>53.01</v>
      </c>
      <c r="X1927" s="171">
        <v>53.92</v>
      </c>
      <c r="Y1927" s="171">
        <v>65.77</v>
      </c>
      <c r="Z1927" s="171">
        <v>52.39</v>
      </c>
      <c r="AA1927" s="171">
        <v>46.89</v>
      </c>
      <c r="AB1927" s="171">
        <v>74.23</v>
      </c>
      <c r="AC1927" s="171">
        <v>50.97</v>
      </c>
      <c r="AD1927" s="171">
        <v>47.1</v>
      </c>
      <c r="AF1927" s="171">
        <f t="shared" si="92"/>
        <v>2013</v>
      </c>
      <c r="AG1927" s="171">
        <f t="shared" si="93"/>
        <v>5</v>
      </c>
      <c r="AH1927" s="700">
        <f>SUMIF(D$3:$AA1927,"&lt;="&amp;$AH$1)/COUNTIF(D$3:$AA1927,"&lt;="&amp;$AH$1)</f>
        <v>31.245849056603884</v>
      </c>
    </row>
    <row r="1928" spans="2:34" x14ac:dyDescent="0.25">
      <c r="B1928" s="910">
        <v>41526</v>
      </c>
      <c r="C1928" s="581">
        <f t="shared" si="91"/>
        <v>9</v>
      </c>
      <c r="D1928" s="171">
        <v>35.25</v>
      </c>
      <c r="E1928" s="171">
        <v>33.35</v>
      </c>
      <c r="F1928" s="171">
        <v>33.97</v>
      </c>
      <c r="G1928" s="171">
        <v>34.04</v>
      </c>
      <c r="H1928" s="171">
        <v>34.14</v>
      </c>
      <c r="I1928" s="171">
        <v>28.73</v>
      </c>
      <c r="J1928" s="171">
        <v>42.9</v>
      </c>
      <c r="K1928" s="171">
        <v>55.97</v>
      </c>
      <c r="L1928" s="171">
        <v>60</v>
      </c>
      <c r="M1928" s="171">
        <v>62.050000000000004</v>
      </c>
      <c r="N1928" s="171">
        <v>60</v>
      </c>
      <c r="O1928" s="171">
        <v>60.99</v>
      </c>
      <c r="P1928" s="171">
        <v>52.03</v>
      </c>
      <c r="Q1928" s="171">
        <v>53.32</v>
      </c>
      <c r="R1928" s="171">
        <v>52.22</v>
      </c>
      <c r="S1928" s="171">
        <v>50.45</v>
      </c>
      <c r="T1928" s="171">
        <v>48.2</v>
      </c>
      <c r="U1928" s="171">
        <v>52.67</v>
      </c>
      <c r="V1928" s="171">
        <v>55.06</v>
      </c>
      <c r="W1928" s="171">
        <v>63.230000000000004</v>
      </c>
      <c r="X1928" s="171">
        <v>67.86</v>
      </c>
      <c r="Y1928" s="171">
        <v>56.92</v>
      </c>
      <c r="Z1928" s="171">
        <v>49.07</v>
      </c>
      <c r="AA1928" s="171">
        <v>44.04</v>
      </c>
      <c r="AB1928" s="171">
        <v>67.86</v>
      </c>
      <c r="AC1928" s="171">
        <v>48.2</v>
      </c>
      <c r="AD1928" s="171">
        <v>43.02</v>
      </c>
      <c r="AF1928" s="171">
        <f t="shared" si="92"/>
        <v>2013</v>
      </c>
      <c r="AG1928" s="171">
        <f t="shared" si="93"/>
        <v>6</v>
      </c>
      <c r="AH1928" s="700">
        <f>SUMIF(D$3:$AA1928,"&lt;="&amp;$AH$1)/COUNTIF(D$3:$AA1928,"&lt;="&amp;$AH$1)</f>
        <v>31.246635232482099</v>
      </c>
    </row>
    <row r="1929" spans="2:34" x14ac:dyDescent="0.25">
      <c r="B1929" s="910">
        <v>41527</v>
      </c>
      <c r="C1929" s="581">
        <f t="shared" si="91"/>
        <v>9</v>
      </c>
      <c r="D1929" s="171">
        <v>35.550000000000004</v>
      </c>
      <c r="E1929" s="171">
        <v>35</v>
      </c>
      <c r="F1929" s="171">
        <v>33.74</v>
      </c>
      <c r="G1929" s="171">
        <v>33.24</v>
      </c>
      <c r="H1929" s="171">
        <v>34.5</v>
      </c>
      <c r="I1929" s="171">
        <v>34.119999999999997</v>
      </c>
      <c r="J1929" s="171">
        <v>45.49</v>
      </c>
      <c r="K1929" s="171">
        <v>59.96</v>
      </c>
      <c r="L1929" s="171">
        <v>59.94</v>
      </c>
      <c r="M1929" s="171">
        <v>61.31</v>
      </c>
      <c r="N1929" s="171">
        <v>59.64</v>
      </c>
      <c r="O1929" s="171">
        <v>59.02</v>
      </c>
      <c r="P1929" s="171">
        <v>57.64</v>
      </c>
      <c r="Q1929" s="171">
        <v>59.92</v>
      </c>
      <c r="R1929" s="171">
        <v>55.99</v>
      </c>
      <c r="S1929" s="171">
        <v>53.32</v>
      </c>
      <c r="T1929" s="171">
        <v>51</v>
      </c>
      <c r="U1929" s="171">
        <v>53.99</v>
      </c>
      <c r="V1929" s="171">
        <v>55.97</v>
      </c>
      <c r="W1929" s="171">
        <v>58.95</v>
      </c>
      <c r="X1929" s="171">
        <v>55.9</v>
      </c>
      <c r="Y1929" s="171">
        <v>47.17</v>
      </c>
      <c r="Z1929" s="171">
        <v>42.74</v>
      </c>
      <c r="AA1929" s="171">
        <v>33.85</v>
      </c>
      <c r="AB1929" s="171">
        <v>61.31</v>
      </c>
      <c r="AC1929" s="171">
        <v>42.74</v>
      </c>
      <c r="AD1929" s="171">
        <v>40.94</v>
      </c>
      <c r="AF1929" s="171">
        <f t="shared" si="92"/>
        <v>2013</v>
      </c>
      <c r="AG1929" s="171">
        <f t="shared" si="93"/>
        <v>7</v>
      </c>
      <c r="AH1929" s="700">
        <f>SUMIF(D$3:$AA1929,"&lt;="&amp;$AH$1)/COUNTIF(D$3:$AA1929,"&lt;="&amp;$AH$1)</f>
        <v>31.248027754140313</v>
      </c>
    </row>
    <row r="1930" spans="2:34" x14ac:dyDescent="0.25">
      <c r="B1930" s="910">
        <v>41528</v>
      </c>
      <c r="C1930" s="581">
        <f t="shared" si="91"/>
        <v>9</v>
      </c>
      <c r="D1930" s="171">
        <v>35.06</v>
      </c>
      <c r="E1930" s="171">
        <v>34.32</v>
      </c>
      <c r="F1930" s="171">
        <v>33</v>
      </c>
      <c r="G1930" s="171">
        <v>33</v>
      </c>
      <c r="H1930" s="171">
        <v>33</v>
      </c>
      <c r="I1930" s="171">
        <v>30.490000000000002</v>
      </c>
      <c r="J1930" s="171">
        <v>41.5</v>
      </c>
      <c r="K1930" s="171">
        <v>56.09</v>
      </c>
      <c r="L1930" s="171">
        <v>58.36</v>
      </c>
      <c r="M1930" s="171">
        <v>57.120000000000005</v>
      </c>
      <c r="N1930" s="171">
        <v>54.96</v>
      </c>
      <c r="O1930" s="171">
        <v>59.910000000000004</v>
      </c>
      <c r="P1930" s="171">
        <v>60.03</v>
      </c>
      <c r="Q1930" s="171">
        <v>59.94</v>
      </c>
      <c r="R1930" s="171">
        <v>57.86</v>
      </c>
      <c r="S1930" s="171">
        <v>55.99</v>
      </c>
      <c r="T1930" s="171">
        <v>55.21</v>
      </c>
      <c r="U1930" s="171">
        <v>54.94</v>
      </c>
      <c r="V1930" s="171">
        <v>55.93</v>
      </c>
      <c r="W1930" s="171">
        <v>60</v>
      </c>
      <c r="X1930" s="171">
        <v>60.49</v>
      </c>
      <c r="Y1930" s="171">
        <v>57.95</v>
      </c>
      <c r="Z1930" s="171">
        <v>55.120000000000005</v>
      </c>
      <c r="AA1930" s="171">
        <v>54</v>
      </c>
      <c r="AB1930" s="171">
        <v>60.49</v>
      </c>
      <c r="AC1930" s="171">
        <v>54.94</v>
      </c>
      <c r="AD1930" s="171">
        <v>43.67</v>
      </c>
      <c r="AF1930" s="171">
        <f t="shared" si="92"/>
        <v>2013</v>
      </c>
      <c r="AG1930" s="171">
        <f t="shared" si="93"/>
        <v>7</v>
      </c>
      <c r="AH1930" s="700">
        <f>SUMIF(D$3:$AA1930,"&lt;="&amp;$AH$1)/COUNTIF(D$3:$AA1930,"&lt;="&amp;$AH$1)</f>
        <v>31.249443208584243</v>
      </c>
    </row>
    <row r="1931" spans="2:34" x14ac:dyDescent="0.25">
      <c r="B1931" s="910">
        <v>41529</v>
      </c>
      <c r="C1931" s="581">
        <f t="shared" si="91"/>
        <v>9</v>
      </c>
      <c r="D1931" s="171">
        <v>35.770000000000003</v>
      </c>
      <c r="E1931" s="171">
        <v>34.43</v>
      </c>
      <c r="F1931" s="171">
        <v>34.869999999999997</v>
      </c>
      <c r="G1931" s="171">
        <v>34.47</v>
      </c>
      <c r="H1931" s="171">
        <v>35.08</v>
      </c>
      <c r="I1931" s="171">
        <v>34.43</v>
      </c>
      <c r="J1931" s="171">
        <v>49.980000000000004</v>
      </c>
      <c r="K1931" s="171">
        <v>59.47</v>
      </c>
      <c r="L1931" s="171">
        <v>65</v>
      </c>
      <c r="M1931" s="171">
        <v>65.94</v>
      </c>
      <c r="N1931" s="171">
        <v>63.78</v>
      </c>
      <c r="O1931" s="171">
        <v>66.180000000000007</v>
      </c>
      <c r="P1931" s="171">
        <v>57.36</v>
      </c>
      <c r="Q1931" s="171">
        <v>55</v>
      </c>
      <c r="R1931" s="171">
        <v>56.84</v>
      </c>
      <c r="S1931" s="171">
        <v>55.910000000000004</v>
      </c>
      <c r="T1931" s="171">
        <v>54.050000000000004</v>
      </c>
      <c r="U1931" s="171">
        <v>56.800000000000004</v>
      </c>
      <c r="V1931" s="171">
        <v>58.97</v>
      </c>
      <c r="W1931" s="171">
        <v>59.550000000000004</v>
      </c>
      <c r="X1931" s="171">
        <v>59.51</v>
      </c>
      <c r="Y1931" s="171">
        <v>55.01</v>
      </c>
      <c r="Z1931" s="171">
        <v>51.96</v>
      </c>
      <c r="AA1931" s="171">
        <v>43.9</v>
      </c>
      <c r="AB1931" s="171">
        <v>66.180000000000007</v>
      </c>
      <c r="AC1931" s="171">
        <v>51.96</v>
      </c>
      <c r="AD1931" s="171">
        <v>44.07</v>
      </c>
      <c r="AF1931" s="171">
        <f t="shared" si="92"/>
        <v>2013</v>
      </c>
      <c r="AG1931" s="171">
        <f t="shared" si="93"/>
        <v>6</v>
      </c>
      <c r="AH1931" s="700">
        <f>SUMIF(D$3:$AA1931,"&lt;="&amp;$AH$1)/COUNTIF(D$3:$AA1931,"&lt;="&amp;$AH$1)</f>
        <v>31.250852844996832</v>
      </c>
    </row>
    <row r="1932" spans="2:34" x14ac:dyDescent="0.25">
      <c r="B1932" s="910">
        <v>41530</v>
      </c>
      <c r="C1932" s="581">
        <f t="shared" si="91"/>
        <v>9</v>
      </c>
      <c r="D1932" s="171">
        <v>50.63</v>
      </c>
      <c r="E1932" s="171">
        <v>40.68</v>
      </c>
      <c r="F1932" s="171">
        <v>35.46</v>
      </c>
      <c r="G1932" s="171">
        <v>35.380000000000003</v>
      </c>
      <c r="H1932" s="171">
        <v>35.39</v>
      </c>
      <c r="I1932" s="171">
        <v>35.61</v>
      </c>
      <c r="J1932" s="171">
        <v>48.54</v>
      </c>
      <c r="K1932" s="171">
        <v>59.53</v>
      </c>
      <c r="L1932" s="171">
        <v>61.620000000000005</v>
      </c>
      <c r="M1932" s="171">
        <v>64.510000000000005</v>
      </c>
      <c r="N1932" s="171">
        <v>62.480000000000004</v>
      </c>
      <c r="O1932" s="171">
        <v>61.89</v>
      </c>
      <c r="P1932" s="171">
        <v>61.910000000000004</v>
      </c>
      <c r="Q1932" s="171">
        <v>57.96</v>
      </c>
      <c r="R1932" s="171">
        <v>54.44</v>
      </c>
      <c r="S1932" s="171">
        <v>51.38</v>
      </c>
      <c r="T1932" s="171">
        <v>49.99</v>
      </c>
      <c r="U1932" s="171">
        <v>54.230000000000004</v>
      </c>
      <c r="V1932" s="171">
        <v>56.08</v>
      </c>
      <c r="W1932" s="171">
        <v>59.96</v>
      </c>
      <c r="X1932" s="171">
        <v>60.410000000000004</v>
      </c>
      <c r="Y1932" s="171">
        <v>48.71</v>
      </c>
      <c r="Z1932" s="171">
        <v>59.93</v>
      </c>
      <c r="AA1932" s="171">
        <v>60</v>
      </c>
      <c r="AB1932" s="171">
        <v>64.510000000000005</v>
      </c>
      <c r="AC1932" s="171">
        <v>48.71</v>
      </c>
      <c r="AD1932" s="171">
        <v>47.52</v>
      </c>
      <c r="AF1932" s="171">
        <f t="shared" si="92"/>
        <v>2013</v>
      </c>
      <c r="AG1932" s="171">
        <f t="shared" si="93"/>
        <v>5</v>
      </c>
      <c r="AH1932" s="700">
        <f>SUMIF(D$3:$AA1932,"&lt;="&amp;$AH$1)/COUNTIF(D$3:$AA1932,"&lt;="&amp;$AH$1)</f>
        <v>31.252570120954662</v>
      </c>
    </row>
    <row r="1933" spans="2:34" x14ac:dyDescent="0.25">
      <c r="B1933" s="910">
        <v>41533</v>
      </c>
      <c r="C1933" s="581">
        <f t="shared" si="91"/>
        <v>9</v>
      </c>
      <c r="D1933" s="171">
        <v>34.090000000000003</v>
      </c>
      <c r="E1933" s="171">
        <v>32.5</v>
      </c>
      <c r="F1933" s="171">
        <v>32.17</v>
      </c>
      <c r="G1933" s="171">
        <v>32.5</v>
      </c>
      <c r="H1933" s="171">
        <v>33.47</v>
      </c>
      <c r="I1933" s="171">
        <v>34.96</v>
      </c>
      <c r="J1933" s="171">
        <v>41.81</v>
      </c>
      <c r="K1933" s="171">
        <v>50.42</v>
      </c>
      <c r="L1933" s="171">
        <v>57.42</v>
      </c>
      <c r="M1933" s="171">
        <v>65</v>
      </c>
      <c r="N1933" s="171">
        <v>56.13</v>
      </c>
      <c r="O1933" s="171">
        <v>56.9</v>
      </c>
      <c r="P1933" s="171">
        <v>53.94</v>
      </c>
      <c r="Q1933" s="171">
        <v>52.44</v>
      </c>
      <c r="R1933" s="171">
        <v>56.32</v>
      </c>
      <c r="S1933" s="171">
        <v>52.6</v>
      </c>
      <c r="T1933" s="171">
        <v>55</v>
      </c>
      <c r="U1933" s="171">
        <v>69.489999999999995</v>
      </c>
      <c r="V1933" s="171">
        <v>55.18</v>
      </c>
      <c r="W1933" s="171">
        <v>69.36</v>
      </c>
      <c r="X1933" s="171">
        <v>77.600000000000009</v>
      </c>
      <c r="Y1933" s="171">
        <v>70.12</v>
      </c>
      <c r="Z1933" s="171">
        <v>52.120000000000005</v>
      </c>
      <c r="AA1933" s="171">
        <v>51.7</v>
      </c>
      <c r="AB1933" s="171">
        <v>77.600000000000009</v>
      </c>
      <c r="AC1933" s="171">
        <v>50.42</v>
      </c>
      <c r="AD1933" s="171">
        <v>45.29</v>
      </c>
      <c r="AF1933" s="171">
        <f t="shared" si="92"/>
        <v>2013</v>
      </c>
      <c r="AG1933" s="171">
        <f t="shared" si="93"/>
        <v>7</v>
      </c>
      <c r="AH1933" s="700">
        <f>SUMIF(D$3:$AA1933,"&lt;="&amp;$AH$1)/COUNTIF(D$3:$AA1933,"&lt;="&amp;$AH$1)</f>
        <v>31.254055678996313</v>
      </c>
    </row>
    <row r="1934" spans="2:34" x14ac:dyDescent="0.25">
      <c r="B1934" s="910">
        <v>41534</v>
      </c>
      <c r="C1934" s="581">
        <f t="shared" si="91"/>
        <v>9</v>
      </c>
      <c r="D1934" s="171">
        <v>46.32</v>
      </c>
      <c r="E1934" s="171">
        <v>34.54</v>
      </c>
      <c r="F1934" s="171">
        <v>32.910000000000004</v>
      </c>
      <c r="G1934" s="171">
        <v>32.74</v>
      </c>
      <c r="H1934" s="171">
        <v>32.950000000000003</v>
      </c>
      <c r="I1934" s="171">
        <v>35.89</v>
      </c>
      <c r="J1934" s="171">
        <v>45.53</v>
      </c>
      <c r="K1934" s="171">
        <v>56.95</v>
      </c>
      <c r="L1934" s="171">
        <v>57.43</v>
      </c>
      <c r="M1934" s="171">
        <v>57.78</v>
      </c>
      <c r="N1934" s="171">
        <v>56.06</v>
      </c>
      <c r="O1934" s="171">
        <v>56.88</v>
      </c>
      <c r="P1934" s="171">
        <v>55.09</v>
      </c>
      <c r="Q1934" s="171">
        <v>56.59</v>
      </c>
      <c r="R1934" s="171">
        <v>56.980000000000004</v>
      </c>
      <c r="S1934" s="171">
        <v>57.980000000000004</v>
      </c>
      <c r="T1934" s="171">
        <v>59.94</v>
      </c>
      <c r="U1934" s="171">
        <v>75.5</v>
      </c>
      <c r="V1934" s="171">
        <v>69.010000000000005</v>
      </c>
      <c r="W1934" s="171">
        <v>54.94</v>
      </c>
      <c r="X1934" s="171">
        <v>62.15</v>
      </c>
      <c r="Y1934" s="171">
        <v>59.96</v>
      </c>
      <c r="Z1934" s="171">
        <v>57.43</v>
      </c>
      <c r="AA1934" s="171">
        <v>54.88</v>
      </c>
      <c r="AB1934" s="171">
        <v>75.5</v>
      </c>
      <c r="AC1934" s="171">
        <v>54.94</v>
      </c>
      <c r="AD1934" s="171">
        <v>46.02</v>
      </c>
      <c r="AF1934" s="171">
        <f t="shared" si="92"/>
        <v>2013</v>
      </c>
      <c r="AG1934" s="171">
        <f t="shared" si="93"/>
        <v>5</v>
      </c>
      <c r="AH1934" s="700">
        <f>SUMIF(D$3:$AA1934,"&lt;="&amp;$AH$1)/COUNTIF(D$3:$AA1934,"&lt;="&amp;$AH$1)</f>
        <v>31.25488926634883</v>
      </c>
    </row>
    <row r="1935" spans="2:34" x14ac:dyDescent="0.25">
      <c r="B1935" s="910">
        <v>41535</v>
      </c>
      <c r="C1935" s="581">
        <f t="shared" si="91"/>
        <v>9</v>
      </c>
      <c r="D1935" s="171">
        <v>55.5</v>
      </c>
      <c r="E1935" s="171">
        <v>45.14</v>
      </c>
      <c r="F1935" s="171">
        <v>41.86</v>
      </c>
      <c r="G1935" s="171">
        <v>40.93</v>
      </c>
      <c r="H1935" s="171">
        <v>40.82</v>
      </c>
      <c r="I1935" s="171">
        <v>46.5</v>
      </c>
      <c r="J1935" s="171">
        <v>46.9</v>
      </c>
      <c r="K1935" s="171">
        <v>59.94</v>
      </c>
      <c r="L1935" s="171">
        <v>60.910000000000004</v>
      </c>
      <c r="M1935" s="171">
        <v>64.98</v>
      </c>
      <c r="N1935" s="171">
        <v>65.22</v>
      </c>
      <c r="O1935" s="171">
        <v>69.91</v>
      </c>
      <c r="P1935" s="171">
        <v>59.84</v>
      </c>
      <c r="Q1935" s="171">
        <v>60.84</v>
      </c>
      <c r="R1935" s="171">
        <v>60.32</v>
      </c>
      <c r="S1935" s="171">
        <v>55.15</v>
      </c>
      <c r="T1935" s="171">
        <v>52.86</v>
      </c>
      <c r="U1935" s="171">
        <v>54.870000000000005</v>
      </c>
      <c r="V1935" s="171">
        <v>57.02</v>
      </c>
      <c r="W1935" s="171">
        <v>62.11</v>
      </c>
      <c r="X1935" s="171">
        <v>61.95</v>
      </c>
      <c r="Y1935" s="171">
        <v>49.74</v>
      </c>
      <c r="Z1935" s="171">
        <v>48.07</v>
      </c>
      <c r="AA1935" s="171">
        <v>55.6</v>
      </c>
      <c r="AB1935" s="171">
        <v>69.91</v>
      </c>
      <c r="AC1935" s="171">
        <v>48.07</v>
      </c>
      <c r="AD1935" s="171">
        <v>49.410000000000004</v>
      </c>
      <c r="AF1935" s="171">
        <f t="shared" si="92"/>
        <v>2013</v>
      </c>
      <c r="AG1935" s="171">
        <f t="shared" si="93"/>
        <v>3</v>
      </c>
      <c r="AH1935" s="700">
        <f>SUMIF(D$3:$AA1935,"&lt;="&amp;$AH$1)/COUNTIF(D$3:$AA1935,"&lt;="&amp;$AH$1)</f>
        <v>31.256838667537657</v>
      </c>
    </row>
    <row r="1936" spans="2:34" x14ac:dyDescent="0.25">
      <c r="B1936" s="910">
        <v>41536</v>
      </c>
      <c r="C1936" s="581">
        <f t="shared" si="91"/>
        <v>9</v>
      </c>
      <c r="D1936" s="171">
        <v>48.28</v>
      </c>
      <c r="E1936" s="171">
        <v>43.71</v>
      </c>
      <c r="F1936" s="171">
        <v>38</v>
      </c>
      <c r="G1936" s="171">
        <v>35.21</v>
      </c>
      <c r="H1936" s="171">
        <v>35.1</v>
      </c>
      <c r="I1936" s="171">
        <v>35.28</v>
      </c>
      <c r="J1936" s="171">
        <v>48.81</v>
      </c>
      <c r="K1936" s="171">
        <v>62.01</v>
      </c>
      <c r="L1936" s="171">
        <v>62.76</v>
      </c>
      <c r="M1936" s="171">
        <v>63.46</v>
      </c>
      <c r="N1936" s="171">
        <v>61.29</v>
      </c>
      <c r="O1936" s="171">
        <v>60</v>
      </c>
      <c r="P1936" s="171">
        <v>55.58</v>
      </c>
      <c r="Q1936" s="171">
        <v>55.1</v>
      </c>
      <c r="R1936" s="171">
        <v>48.38</v>
      </c>
      <c r="S1936" s="171">
        <v>47.53</v>
      </c>
      <c r="T1936" s="171">
        <v>47.49</v>
      </c>
      <c r="U1936" s="171">
        <v>55.33</v>
      </c>
      <c r="V1936" s="171">
        <v>62.09</v>
      </c>
      <c r="W1936" s="171">
        <v>65.39</v>
      </c>
      <c r="X1936" s="171">
        <v>62.660000000000004</v>
      </c>
      <c r="Y1936" s="171">
        <v>54.35</v>
      </c>
      <c r="Z1936" s="171">
        <v>55</v>
      </c>
      <c r="AA1936" s="171">
        <v>49.64</v>
      </c>
      <c r="AB1936" s="171">
        <v>65.39</v>
      </c>
      <c r="AC1936" s="171">
        <v>47.49</v>
      </c>
      <c r="AD1936" s="171">
        <v>47.34</v>
      </c>
      <c r="AF1936" s="171">
        <f t="shared" si="92"/>
        <v>2013</v>
      </c>
      <c r="AG1936" s="171">
        <f t="shared" si="93"/>
        <v>4</v>
      </c>
      <c r="AH1936" s="700">
        <f>SUMIF(D$3:$AA1936,"&lt;="&amp;$AH$1)/COUNTIF(D$3:$AA1936,"&lt;="&amp;$AH$1)</f>
        <v>31.258050803186727</v>
      </c>
    </row>
    <row r="1937" spans="2:34" x14ac:dyDescent="0.25">
      <c r="B1937" s="910">
        <v>41537</v>
      </c>
      <c r="C1937" s="581">
        <f t="shared" si="91"/>
        <v>9</v>
      </c>
      <c r="D1937" s="171">
        <v>50.85</v>
      </c>
      <c r="E1937" s="171">
        <v>40.119999999999997</v>
      </c>
      <c r="F1937" s="171">
        <v>34.83</v>
      </c>
      <c r="G1937" s="171">
        <v>34.840000000000003</v>
      </c>
      <c r="H1937" s="171">
        <v>34.93</v>
      </c>
      <c r="I1937" s="171">
        <v>37.56</v>
      </c>
      <c r="J1937" s="171">
        <v>52.99</v>
      </c>
      <c r="K1937" s="171">
        <v>62.230000000000004</v>
      </c>
      <c r="L1937" s="171">
        <v>61.95</v>
      </c>
      <c r="M1937" s="171">
        <v>65</v>
      </c>
      <c r="N1937" s="171">
        <v>68.010000000000005</v>
      </c>
      <c r="O1937" s="171">
        <v>68.930000000000007</v>
      </c>
      <c r="P1937" s="171">
        <v>61.79</v>
      </c>
      <c r="Q1937" s="171">
        <v>55.93</v>
      </c>
      <c r="R1937" s="171">
        <v>55.09</v>
      </c>
      <c r="S1937" s="171">
        <v>53</v>
      </c>
      <c r="T1937" s="171">
        <v>50.61</v>
      </c>
      <c r="U1937" s="171">
        <v>52.94</v>
      </c>
      <c r="V1937" s="171">
        <v>58.77</v>
      </c>
      <c r="W1937" s="171">
        <v>66.040000000000006</v>
      </c>
      <c r="X1937" s="171">
        <v>70.210000000000008</v>
      </c>
      <c r="Y1937" s="171">
        <v>70</v>
      </c>
      <c r="Z1937" s="171">
        <v>62.410000000000004</v>
      </c>
      <c r="AA1937" s="171">
        <v>58.94</v>
      </c>
      <c r="AB1937" s="171">
        <v>70.210000000000008</v>
      </c>
      <c r="AC1937" s="171">
        <v>50.61</v>
      </c>
      <c r="AD1937" s="171">
        <v>50.83</v>
      </c>
      <c r="AF1937" s="171">
        <f t="shared" si="92"/>
        <v>2013</v>
      </c>
      <c r="AG1937" s="171">
        <f t="shared" si="93"/>
        <v>5</v>
      </c>
      <c r="AH1937" s="700">
        <f>SUMIF(D$3:$AA1937,"&lt;="&amp;$AH$1)/COUNTIF(D$3:$AA1937,"&lt;="&amp;$AH$1)</f>
        <v>31.259747372544002</v>
      </c>
    </row>
    <row r="1938" spans="2:34" x14ac:dyDescent="0.25">
      <c r="B1938" s="910">
        <v>41540</v>
      </c>
      <c r="C1938" s="581">
        <f t="shared" si="91"/>
        <v>9</v>
      </c>
      <c r="D1938" s="171">
        <v>45.92</v>
      </c>
      <c r="E1938" s="171">
        <v>34.53</v>
      </c>
      <c r="F1938" s="171">
        <v>34.550000000000004</v>
      </c>
      <c r="G1938" s="171">
        <v>32.840000000000003</v>
      </c>
      <c r="H1938" s="171">
        <v>34.380000000000003</v>
      </c>
      <c r="I1938" s="171">
        <v>34.53</v>
      </c>
      <c r="J1938" s="171">
        <v>39.880000000000003</v>
      </c>
      <c r="K1938" s="171">
        <v>57.88</v>
      </c>
      <c r="L1938" s="171">
        <v>62.71</v>
      </c>
      <c r="M1938" s="171">
        <v>62.04</v>
      </c>
      <c r="N1938" s="171">
        <v>57.94</v>
      </c>
      <c r="O1938" s="171">
        <v>58.92</v>
      </c>
      <c r="P1938" s="171">
        <v>55</v>
      </c>
      <c r="Q1938" s="171">
        <v>57.08</v>
      </c>
      <c r="R1938" s="171">
        <v>55.1</v>
      </c>
      <c r="S1938" s="171">
        <v>56.15</v>
      </c>
      <c r="T1938" s="171">
        <v>50.65</v>
      </c>
      <c r="U1938" s="171">
        <v>49.93</v>
      </c>
      <c r="V1938" s="171">
        <v>59.94</v>
      </c>
      <c r="W1938" s="171">
        <v>67.45</v>
      </c>
      <c r="X1938" s="171">
        <v>61.42</v>
      </c>
      <c r="Y1938" s="171">
        <v>48.480000000000004</v>
      </c>
      <c r="Z1938" s="171">
        <v>47.33</v>
      </c>
      <c r="AA1938" s="171">
        <v>47.33</v>
      </c>
      <c r="AB1938" s="171">
        <v>67.45</v>
      </c>
      <c r="AC1938" s="171">
        <v>47.33</v>
      </c>
      <c r="AD1938" s="171">
        <v>43.26</v>
      </c>
      <c r="AF1938" s="171">
        <f t="shared" si="92"/>
        <v>2013</v>
      </c>
      <c r="AG1938" s="171">
        <f t="shared" si="93"/>
        <v>6</v>
      </c>
      <c r="AH1938" s="700">
        <f>SUMIF(D$3:$AA1938,"&lt;="&amp;$AH$1)/COUNTIF(D$3:$AA1938,"&lt;="&amp;$AH$1)</f>
        <v>31.261258075040892</v>
      </c>
    </row>
    <row r="1939" spans="2:34" x14ac:dyDescent="0.25">
      <c r="B1939" s="910">
        <v>41541</v>
      </c>
      <c r="C1939" s="581">
        <f t="shared" si="91"/>
        <v>9</v>
      </c>
      <c r="D1939" s="171">
        <v>37.450000000000003</v>
      </c>
      <c r="E1939" s="171">
        <v>34.590000000000003</v>
      </c>
      <c r="F1939" s="171">
        <v>34.42</v>
      </c>
      <c r="G1939" s="171">
        <v>34.6</v>
      </c>
      <c r="H1939" s="171">
        <v>34.94</v>
      </c>
      <c r="I1939" s="171">
        <v>39.29</v>
      </c>
      <c r="J1939" s="171">
        <v>55.17</v>
      </c>
      <c r="K1939" s="171">
        <v>64.960000000000008</v>
      </c>
      <c r="L1939" s="171">
        <v>65</v>
      </c>
      <c r="M1939" s="171">
        <v>64.94</v>
      </c>
      <c r="N1939" s="171">
        <v>64.38</v>
      </c>
      <c r="O1939" s="171">
        <v>59.300000000000004</v>
      </c>
      <c r="P1939" s="171">
        <v>54.45</v>
      </c>
      <c r="Q1939" s="171">
        <v>50.03</v>
      </c>
      <c r="R1939" s="171">
        <v>53.5</v>
      </c>
      <c r="S1939" s="171">
        <v>49.08</v>
      </c>
      <c r="T1939" s="171">
        <v>51.25</v>
      </c>
      <c r="U1939" s="171">
        <v>56.92</v>
      </c>
      <c r="V1939" s="171">
        <v>64.91</v>
      </c>
      <c r="W1939" s="171">
        <v>74.72</v>
      </c>
      <c r="X1939" s="171">
        <v>71.64</v>
      </c>
      <c r="Y1939" s="171">
        <v>61.03</v>
      </c>
      <c r="Z1939" s="171">
        <v>55.4</v>
      </c>
      <c r="AA1939" s="171">
        <v>55.75</v>
      </c>
      <c r="AB1939" s="171">
        <v>74.72</v>
      </c>
      <c r="AC1939" s="171">
        <v>49.08</v>
      </c>
      <c r="AD1939" s="171">
        <v>48.27</v>
      </c>
      <c r="AF1939" s="171">
        <f t="shared" si="92"/>
        <v>2013</v>
      </c>
      <c r="AG1939" s="171">
        <f t="shared" si="93"/>
        <v>6</v>
      </c>
      <c r="AH1939" s="700">
        <f>SUMIF(D$3:$AA1939,"&lt;="&amp;$AH$1)/COUNTIF(D$3:$AA1939,"&lt;="&amp;$AH$1)</f>
        <v>31.263066336181701</v>
      </c>
    </row>
    <row r="1940" spans="2:34" x14ac:dyDescent="0.25">
      <c r="B1940" s="910">
        <v>41542</v>
      </c>
      <c r="C1940" s="581">
        <f t="shared" si="91"/>
        <v>9</v>
      </c>
      <c r="D1940" s="171">
        <v>56</v>
      </c>
      <c r="E1940" s="171">
        <v>44.29</v>
      </c>
      <c r="F1940" s="171">
        <v>36.01</v>
      </c>
      <c r="G1940" s="171">
        <v>40</v>
      </c>
      <c r="H1940" s="171">
        <v>39.99</v>
      </c>
      <c r="I1940" s="171">
        <v>36.950000000000003</v>
      </c>
      <c r="J1940" s="171">
        <v>55</v>
      </c>
      <c r="K1940" s="171">
        <v>66.08</v>
      </c>
      <c r="L1940" s="171">
        <v>69.570000000000007</v>
      </c>
      <c r="M1940" s="171">
        <v>68.56</v>
      </c>
      <c r="N1940" s="171">
        <v>66.5</v>
      </c>
      <c r="O1940" s="171">
        <v>64.42</v>
      </c>
      <c r="P1940" s="171">
        <v>61.35</v>
      </c>
      <c r="Q1940" s="171">
        <v>59.95</v>
      </c>
      <c r="R1940" s="171">
        <v>58.53</v>
      </c>
      <c r="S1940" s="171">
        <v>59.95</v>
      </c>
      <c r="T1940" s="171">
        <v>59.84</v>
      </c>
      <c r="U1940" s="171">
        <v>62.68</v>
      </c>
      <c r="V1940" s="171">
        <v>67.099999999999994</v>
      </c>
      <c r="W1940" s="171">
        <v>76.7</v>
      </c>
      <c r="X1940" s="171">
        <v>69.010000000000005</v>
      </c>
      <c r="Y1940" s="171">
        <v>57.68</v>
      </c>
      <c r="Z1940" s="171">
        <v>55</v>
      </c>
      <c r="AA1940" s="171">
        <v>56</v>
      </c>
      <c r="AB1940" s="171">
        <v>76.7</v>
      </c>
      <c r="AC1940" s="171">
        <v>55</v>
      </c>
      <c r="AD1940" s="171">
        <v>51</v>
      </c>
      <c r="AF1940" s="171">
        <f t="shared" si="92"/>
        <v>2013</v>
      </c>
      <c r="AG1940" s="171">
        <f t="shared" si="93"/>
        <v>4</v>
      </c>
      <c r="AH1940" s="700">
        <f>SUMIF(D$3:$AA1940,"&lt;="&amp;$AH$1)/COUNTIF(D$3:$AA1940,"&lt;="&amp;$AH$1)</f>
        <v>31.264885555917942</v>
      </c>
    </row>
    <row r="1941" spans="2:34" x14ac:dyDescent="0.25">
      <c r="B1941" s="910">
        <v>41543</v>
      </c>
      <c r="C1941" s="581">
        <f t="shared" si="91"/>
        <v>9</v>
      </c>
      <c r="D1941" s="171">
        <v>48.32</v>
      </c>
      <c r="E1941" s="171">
        <v>42.59</v>
      </c>
      <c r="F1941" s="171">
        <v>36.19</v>
      </c>
      <c r="G1941" s="171">
        <v>36.24</v>
      </c>
      <c r="H1941" s="171">
        <v>36.300000000000004</v>
      </c>
      <c r="I1941" s="171">
        <v>37.25</v>
      </c>
      <c r="J1941" s="171">
        <v>54.97</v>
      </c>
      <c r="K1941" s="171">
        <v>65</v>
      </c>
      <c r="L1941" s="171">
        <v>67.7</v>
      </c>
      <c r="M1941" s="171">
        <v>68.56</v>
      </c>
      <c r="N1941" s="171">
        <v>65.67</v>
      </c>
      <c r="O1941" s="171">
        <v>66.53</v>
      </c>
      <c r="P1941" s="171">
        <v>61.97</v>
      </c>
      <c r="Q1941" s="171">
        <v>61.01</v>
      </c>
      <c r="R1941" s="171">
        <v>57.57</v>
      </c>
      <c r="S1941" s="171">
        <v>56.06</v>
      </c>
      <c r="T1941" s="171">
        <v>55.93</v>
      </c>
      <c r="U1941" s="171">
        <v>61.02</v>
      </c>
      <c r="V1941" s="171">
        <v>66.400000000000006</v>
      </c>
      <c r="W1941" s="171">
        <v>74.820000000000007</v>
      </c>
      <c r="X1941" s="171">
        <v>69.53</v>
      </c>
      <c r="Y1941" s="171">
        <v>62.77</v>
      </c>
      <c r="Z1941" s="171">
        <v>54.99</v>
      </c>
      <c r="AA1941" s="171">
        <v>53.11</v>
      </c>
      <c r="AB1941" s="171">
        <v>74.820000000000007</v>
      </c>
      <c r="AC1941" s="171">
        <v>54.99</v>
      </c>
      <c r="AD1941" s="171">
        <v>49.77</v>
      </c>
      <c r="AF1941" s="171">
        <f t="shared" si="92"/>
        <v>2013</v>
      </c>
      <c r="AG1941" s="171">
        <f t="shared" si="93"/>
        <v>4</v>
      </c>
      <c r="AH1941" s="700">
        <f>SUMIF(D$3:$AA1941,"&lt;="&amp;$AH$1)/COUNTIF(D$3:$AA1941,"&lt;="&amp;$AH$1)</f>
        <v>31.266249429558748</v>
      </c>
    </row>
    <row r="1942" spans="2:34" x14ac:dyDescent="0.25">
      <c r="B1942" s="910">
        <v>41544</v>
      </c>
      <c r="C1942" s="581">
        <f t="shared" si="91"/>
        <v>9</v>
      </c>
      <c r="D1942" s="171">
        <v>45.44</v>
      </c>
      <c r="E1942" s="171">
        <v>41.54</v>
      </c>
      <c r="F1942" s="171">
        <v>38</v>
      </c>
      <c r="G1942" s="171">
        <v>37.18</v>
      </c>
      <c r="H1942" s="171">
        <v>40.520000000000003</v>
      </c>
      <c r="I1942" s="171">
        <v>40.980000000000004</v>
      </c>
      <c r="J1942" s="171">
        <v>54.94</v>
      </c>
      <c r="K1942" s="171">
        <v>66.13</v>
      </c>
      <c r="L1942" s="171">
        <v>69.989999999999995</v>
      </c>
      <c r="M1942" s="171">
        <v>65.040000000000006</v>
      </c>
      <c r="N1942" s="171">
        <v>65.12</v>
      </c>
      <c r="O1942" s="171">
        <v>62.03</v>
      </c>
      <c r="P1942" s="171">
        <v>58.89</v>
      </c>
      <c r="Q1942" s="171">
        <v>57.94</v>
      </c>
      <c r="R1942" s="171">
        <v>52.08</v>
      </c>
      <c r="S1942" s="171">
        <v>50.02</v>
      </c>
      <c r="T1942" s="171">
        <v>51.94</v>
      </c>
      <c r="U1942" s="171">
        <v>56.980000000000004</v>
      </c>
      <c r="V1942" s="171">
        <v>61.9</v>
      </c>
      <c r="W1942" s="171">
        <v>68.62</v>
      </c>
      <c r="X1942" s="171">
        <v>64.66</v>
      </c>
      <c r="Y1942" s="171">
        <v>57.26</v>
      </c>
      <c r="Z1942" s="171">
        <v>54.9</v>
      </c>
      <c r="AA1942" s="171">
        <v>47.28</v>
      </c>
      <c r="AB1942" s="171">
        <v>69.989999999999995</v>
      </c>
      <c r="AC1942" s="171">
        <v>50.02</v>
      </c>
      <c r="AD1942" s="171">
        <v>49.07</v>
      </c>
      <c r="AF1942" s="171">
        <f t="shared" si="92"/>
        <v>2013</v>
      </c>
      <c r="AG1942" s="171">
        <f t="shared" si="93"/>
        <v>5</v>
      </c>
      <c r="AH1942" s="700">
        <f>SUMIF(D$3:$AA1942,"&lt;="&amp;$AH$1)/COUNTIF(D$3:$AA1942,"&lt;="&amp;$AH$1)</f>
        <v>31.268979405630969</v>
      </c>
    </row>
    <row r="1943" spans="2:34" x14ac:dyDescent="0.25">
      <c r="B1943" s="910">
        <v>41547</v>
      </c>
      <c r="C1943" s="581">
        <f t="shared" si="91"/>
        <v>9</v>
      </c>
      <c r="D1943" s="171">
        <v>33.700000000000003</v>
      </c>
      <c r="E1943" s="171">
        <v>36.64</v>
      </c>
      <c r="F1943" s="171">
        <v>36.42</v>
      </c>
      <c r="G1943" s="171">
        <v>35.89</v>
      </c>
      <c r="H1943" s="171">
        <v>35.89</v>
      </c>
      <c r="I1943" s="171">
        <v>33.119999999999997</v>
      </c>
      <c r="J1943" s="171">
        <v>41.4</v>
      </c>
      <c r="K1943" s="171">
        <v>56.51</v>
      </c>
      <c r="L1943" s="171">
        <v>57.36</v>
      </c>
      <c r="M1943" s="171">
        <v>58.14</v>
      </c>
      <c r="N1943" s="171">
        <v>58.93</v>
      </c>
      <c r="O1943" s="171">
        <v>60.07</v>
      </c>
      <c r="P1943" s="171">
        <v>60.86</v>
      </c>
      <c r="Q1943" s="171">
        <v>55</v>
      </c>
      <c r="R1943" s="171">
        <v>53.95</v>
      </c>
      <c r="S1943" s="171">
        <v>49.94</v>
      </c>
      <c r="T1943" s="171">
        <v>49.79</v>
      </c>
      <c r="U1943" s="171">
        <v>52.44</v>
      </c>
      <c r="V1943" s="171">
        <v>56.99</v>
      </c>
      <c r="W1943" s="171">
        <v>63.34</v>
      </c>
      <c r="X1943" s="171">
        <v>60</v>
      </c>
      <c r="Y1943" s="171">
        <v>55</v>
      </c>
      <c r="Z1943" s="171">
        <v>58.76</v>
      </c>
      <c r="AA1943" s="171">
        <v>50.550000000000004</v>
      </c>
      <c r="AB1943" s="171">
        <v>63.34</v>
      </c>
      <c r="AC1943" s="171">
        <v>49.79</v>
      </c>
      <c r="AD1943" s="171">
        <v>44.49</v>
      </c>
      <c r="AF1943" s="171">
        <f t="shared" si="92"/>
        <v>2013</v>
      </c>
      <c r="AG1943" s="171">
        <f t="shared" si="93"/>
        <v>7</v>
      </c>
      <c r="AH1943" s="700">
        <f>SUMIF(D$3:$AA1943,"&lt;="&amp;$AH$1)/COUNTIF(D$3:$AA1943,"&lt;="&amp;$AH$1)</f>
        <v>31.271205784639545</v>
      </c>
    </row>
    <row r="1944" spans="2:34" x14ac:dyDescent="0.25">
      <c r="B1944" s="910">
        <v>41548</v>
      </c>
      <c r="C1944" s="581">
        <f t="shared" si="91"/>
        <v>10</v>
      </c>
      <c r="D1944" s="171">
        <v>43.59</v>
      </c>
      <c r="E1944" s="171">
        <v>37.71</v>
      </c>
      <c r="F1944" s="171">
        <v>37.31</v>
      </c>
      <c r="G1944" s="171">
        <v>37.14</v>
      </c>
      <c r="H1944" s="171">
        <v>37</v>
      </c>
      <c r="I1944" s="171">
        <v>36.99</v>
      </c>
      <c r="J1944" s="171">
        <v>47.45</v>
      </c>
      <c r="K1944" s="171">
        <v>66.510000000000005</v>
      </c>
      <c r="L1944" s="171">
        <v>67.790000000000006</v>
      </c>
      <c r="M1944" s="171">
        <v>65.92</v>
      </c>
      <c r="N1944" s="171">
        <v>60.5</v>
      </c>
      <c r="O1944" s="171">
        <v>58.49</v>
      </c>
      <c r="P1944" s="171">
        <v>52.63</v>
      </c>
      <c r="Q1944" s="171">
        <v>57.45</v>
      </c>
      <c r="R1944" s="171">
        <v>56.28</v>
      </c>
      <c r="S1944" s="171">
        <v>53.51</v>
      </c>
      <c r="T1944" s="171">
        <v>54.660000000000004</v>
      </c>
      <c r="U1944" s="171">
        <v>57.33</v>
      </c>
      <c r="V1944" s="171">
        <v>63.31</v>
      </c>
      <c r="W1944" s="171">
        <v>76.94</v>
      </c>
      <c r="X1944" s="171">
        <v>64.58</v>
      </c>
      <c r="Y1944" s="171">
        <v>54.94</v>
      </c>
      <c r="Z1944" s="171">
        <v>50.81</v>
      </c>
      <c r="AA1944" s="171">
        <v>49.050000000000004</v>
      </c>
      <c r="AB1944" s="171">
        <v>76.94</v>
      </c>
      <c r="AC1944" s="171">
        <v>50.81</v>
      </c>
      <c r="AD1944" s="171">
        <v>46.92</v>
      </c>
      <c r="AF1944" s="171">
        <f t="shared" si="92"/>
        <v>2013</v>
      </c>
      <c r="AG1944" s="171">
        <f t="shared" si="93"/>
        <v>5</v>
      </c>
      <c r="AH1944" s="700">
        <f>SUMIF(D$3:$AA1944,"&lt;="&amp;$AH$1)/COUNTIF(D$3:$AA1944,"&lt;="&amp;$AH$1)</f>
        <v>31.273146001563017</v>
      </c>
    </row>
    <row r="1945" spans="2:34" x14ac:dyDescent="0.25">
      <c r="B1945" s="910">
        <v>41549</v>
      </c>
      <c r="C1945" s="581">
        <f t="shared" si="91"/>
        <v>10</v>
      </c>
      <c r="D1945" s="171">
        <v>43.31</v>
      </c>
      <c r="E1945" s="171">
        <v>37.14</v>
      </c>
      <c r="F1945" s="171">
        <v>37.020000000000003</v>
      </c>
      <c r="G1945" s="171">
        <v>36.25</v>
      </c>
      <c r="H1945" s="171">
        <v>33.49</v>
      </c>
      <c r="I1945" s="171">
        <v>32.910000000000004</v>
      </c>
      <c r="J1945" s="171">
        <v>42.37</v>
      </c>
      <c r="K1945" s="171">
        <v>58.06</v>
      </c>
      <c r="L1945" s="171">
        <v>60.65</v>
      </c>
      <c r="M1945" s="171">
        <v>59.42</v>
      </c>
      <c r="N1945" s="171">
        <v>56.63</v>
      </c>
      <c r="O1945" s="171">
        <v>61.2</v>
      </c>
      <c r="P1945" s="171">
        <v>58.47</v>
      </c>
      <c r="Q1945" s="171">
        <v>57.43</v>
      </c>
      <c r="R1945" s="171">
        <v>56.31</v>
      </c>
      <c r="S1945" s="171">
        <v>49.96</v>
      </c>
      <c r="T1945" s="171">
        <v>49.34</v>
      </c>
      <c r="U1945" s="171">
        <v>46.75</v>
      </c>
      <c r="V1945" s="171">
        <v>57.1</v>
      </c>
      <c r="W1945" s="171">
        <v>64.38</v>
      </c>
      <c r="X1945" s="171">
        <v>60</v>
      </c>
      <c r="Y1945" s="171">
        <v>47.15</v>
      </c>
      <c r="Z1945" s="171">
        <v>53.13</v>
      </c>
      <c r="AA1945" s="171">
        <v>46.25</v>
      </c>
      <c r="AB1945" s="171">
        <v>64.38</v>
      </c>
      <c r="AC1945" s="171">
        <v>46.75</v>
      </c>
      <c r="AD1945" s="171">
        <v>43.92</v>
      </c>
      <c r="AF1945" s="171">
        <f t="shared" si="92"/>
        <v>2013</v>
      </c>
      <c r="AG1945" s="171">
        <f t="shared" si="93"/>
        <v>6</v>
      </c>
      <c r="AH1945" s="700">
        <f>SUMIF(D$3:$AA1945,"&lt;="&amp;$AH$1)/COUNTIF(D$3:$AA1945,"&lt;="&amp;$AH$1)</f>
        <v>31.275199192813545</v>
      </c>
    </row>
    <row r="1946" spans="2:34" x14ac:dyDescent="0.25">
      <c r="B1946" s="910">
        <v>41550</v>
      </c>
      <c r="C1946" s="581">
        <f t="shared" si="91"/>
        <v>10</v>
      </c>
      <c r="D1946" s="171">
        <v>43.93</v>
      </c>
      <c r="E1946" s="171">
        <v>36.380000000000003</v>
      </c>
      <c r="F1946" s="171">
        <v>36.050000000000004</v>
      </c>
      <c r="G1946" s="171">
        <v>35.86</v>
      </c>
      <c r="H1946" s="171">
        <v>35.71</v>
      </c>
      <c r="I1946" s="171">
        <v>34.15</v>
      </c>
      <c r="J1946" s="171">
        <v>45.54</v>
      </c>
      <c r="K1946" s="171">
        <v>53.94</v>
      </c>
      <c r="L1946" s="171">
        <v>54.64</v>
      </c>
      <c r="M1946" s="171">
        <v>60.13</v>
      </c>
      <c r="N1946" s="171">
        <v>58.63</v>
      </c>
      <c r="O1946" s="171">
        <v>54.85</v>
      </c>
      <c r="P1946" s="171">
        <v>54.480000000000004</v>
      </c>
      <c r="Q1946" s="171">
        <v>52.45</v>
      </c>
      <c r="R1946" s="171">
        <v>53.45</v>
      </c>
      <c r="S1946" s="171">
        <v>52.85</v>
      </c>
      <c r="T1946" s="171">
        <v>53.94</v>
      </c>
      <c r="U1946" s="171">
        <v>58.370000000000005</v>
      </c>
      <c r="V1946" s="171">
        <v>60.01</v>
      </c>
      <c r="W1946" s="171">
        <v>63.730000000000004</v>
      </c>
      <c r="X1946" s="171">
        <v>63.2</v>
      </c>
      <c r="Y1946" s="171">
        <v>57.09</v>
      </c>
      <c r="Z1946" s="171">
        <v>57.04</v>
      </c>
      <c r="AA1946" s="171">
        <v>53.93</v>
      </c>
      <c r="AB1946" s="171">
        <v>63.730000000000004</v>
      </c>
      <c r="AC1946" s="171">
        <v>52.45</v>
      </c>
      <c r="AD1946" s="171">
        <v>46.07</v>
      </c>
      <c r="AF1946" s="171">
        <f t="shared" si="92"/>
        <v>2013</v>
      </c>
      <c r="AG1946" s="171">
        <f t="shared" si="93"/>
        <v>5</v>
      </c>
      <c r="AH1946" s="700">
        <f>SUMIF(D$3:$AA1946,"&lt;="&amp;$AH$1)/COUNTIF(D$3:$AA1946,"&lt;="&amp;$AH$1)</f>
        <v>31.276616125463768</v>
      </c>
    </row>
    <row r="1947" spans="2:34" x14ac:dyDescent="0.25">
      <c r="B1947" s="910">
        <v>41551</v>
      </c>
      <c r="C1947" s="581">
        <f t="shared" si="91"/>
        <v>10</v>
      </c>
      <c r="D1947" s="171">
        <v>47.75</v>
      </c>
      <c r="E1947" s="171">
        <v>39.1</v>
      </c>
      <c r="F1947" s="171">
        <v>39.94</v>
      </c>
      <c r="G1947" s="171">
        <v>36.82</v>
      </c>
      <c r="H1947" s="171">
        <v>36.32</v>
      </c>
      <c r="I1947" s="171">
        <v>37.28</v>
      </c>
      <c r="J1947" s="171">
        <v>42.77</v>
      </c>
      <c r="K1947" s="171">
        <v>61.24</v>
      </c>
      <c r="L1947" s="171">
        <v>60.06</v>
      </c>
      <c r="M1947" s="171">
        <v>62.21</v>
      </c>
      <c r="N1947" s="171">
        <v>62.77</v>
      </c>
      <c r="O1947" s="171">
        <v>64.040000000000006</v>
      </c>
      <c r="P1947" s="171">
        <v>62.46</v>
      </c>
      <c r="Q1947" s="171">
        <v>61.13</v>
      </c>
      <c r="R1947" s="171">
        <v>59.14</v>
      </c>
      <c r="S1947" s="171">
        <v>54.93</v>
      </c>
      <c r="T1947" s="171">
        <v>51.69</v>
      </c>
      <c r="U1947" s="171">
        <v>55.42</v>
      </c>
      <c r="V1947" s="171">
        <v>57.92</v>
      </c>
      <c r="W1947" s="171">
        <v>66.150000000000006</v>
      </c>
      <c r="X1947" s="171">
        <v>58.61</v>
      </c>
      <c r="Y1947" s="171">
        <v>52.15</v>
      </c>
      <c r="Z1947" s="171">
        <v>55</v>
      </c>
      <c r="AA1947" s="171">
        <v>51.99</v>
      </c>
      <c r="AB1947" s="171">
        <v>66.150000000000006</v>
      </c>
      <c r="AC1947" s="171">
        <v>51.69</v>
      </c>
      <c r="AD1947" s="171">
        <v>46.58</v>
      </c>
      <c r="AF1947" s="171">
        <f t="shared" si="92"/>
        <v>2013</v>
      </c>
      <c r="AG1947" s="171">
        <f t="shared" si="93"/>
        <v>5</v>
      </c>
      <c r="AH1947" s="700">
        <f>SUMIF(D$3:$AA1947,"&lt;="&amp;$AH$1)/COUNTIF(D$3:$AA1947,"&lt;="&amp;$AH$1)</f>
        <v>31.278767889669641</v>
      </c>
    </row>
    <row r="1948" spans="2:34" x14ac:dyDescent="0.25">
      <c r="B1948" s="910">
        <v>41554</v>
      </c>
      <c r="C1948" s="581">
        <f t="shared" si="91"/>
        <v>10</v>
      </c>
      <c r="D1948" s="171">
        <v>36</v>
      </c>
      <c r="E1948" s="171">
        <v>35.69</v>
      </c>
      <c r="F1948" s="171">
        <v>35.380000000000003</v>
      </c>
      <c r="G1948" s="171">
        <v>34.36</v>
      </c>
      <c r="H1948" s="171">
        <v>34.36</v>
      </c>
      <c r="I1948" s="171">
        <v>32.78</v>
      </c>
      <c r="J1948" s="171">
        <v>52.410000000000004</v>
      </c>
      <c r="K1948" s="171">
        <v>64.02</v>
      </c>
      <c r="L1948" s="171">
        <v>66.790000000000006</v>
      </c>
      <c r="M1948" s="171">
        <v>69.03</v>
      </c>
      <c r="N1948" s="171">
        <v>68.94</v>
      </c>
      <c r="O1948" s="171">
        <v>68.42</v>
      </c>
      <c r="P1948" s="171">
        <v>62.54</v>
      </c>
      <c r="Q1948" s="171">
        <v>61.910000000000004</v>
      </c>
      <c r="R1948" s="171">
        <v>58.64</v>
      </c>
      <c r="S1948" s="171">
        <v>56.980000000000004</v>
      </c>
      <c r="T1948" s="171">
        <v>56.14</v>
      </c>
      <c r="U1948" s="171">
        <v>62.04</v>
      </c>
      <c r="V1948" s="171">
        <v>67.430000000000007</v>
      </c>
      <c r="W1948" s="171">
        <v>79.13</v>
      </c>
      <c r="X1948" s="171">
        <v>72.070000000000007</v>
      </c>
      <c r="Y1948" s="171">
        <v>62.97</v>
      </c>
      <c r="Z1948" s="171">
        <v>59.18</v>
      </c>
      <c r="AA1948" s="171">
        <v>50.99</v>
      </c>
      <c r="AB1948" s="171">
        <v>79.13</v>
      </c>
      <c r="AC1948" s="171">
        <v>56.14</v>
      </c>
      <c r="AD1948" s="171">
        <v>47.52</v>
      </c>
      <c r="AF1948" s="171">
        <f t="shared" si="92"/>
        <v>2013</v>
      </c>
      <c r="AG1948" s="171">
        <f t="shared" si="93"/>
        <v>6</v>
      </c>
      <c r="AH1948" s="700">
        <f>SUMIF(D$3:$AA1948,"&lt;="&amp;$AH$1)/COUNTIF(D$3:$AA1948,"&lt;="&amp;$AH$1)</f>
        <v>31.280126804526059</v>
      </c>
    </row>
    <row r="1949" spans="2:34" x14ac:dyDescent="0.25">
      <c r="B1949" s="910">
        <v>41555</v>
      </c>
      <c r="C1949" s="581">
        <f t="shared" si="91"/>
        <v>10</v>
      </c>
      <c r="D1949" s="171">
        <v>40.9</v>
      </c>
      <c r="E1949" s="171">
        <v>38.130000000000003</v>
      </c>
      <c r="F1949" s="171">
        <v>34.619999999999997</v>
      </c>
      <c r="G1949" s="171">
        <v>34.44</v>
      </c>
      <c r="H1949" s="171">
        <v>34.880000000000003</v>
      </c>
      <c r="I1949" s="171">
        <v>36.980000000000004</v>
      </c>
      <c r="J1949" s="171">
        <v>51.97</v>
      </c>
      <c r="K1949" s="171">
        <v>62.38</v>
      </c>
      <c r="L1949" s="171">
        <v>64.98</v>
      </c>
      <c r="M1949" s="171">
        <v>65.56</v>
      </c>
      <c r="N1949" s="171">
        <v>62.17</v>
      </c>
      <c r="O1949" s="171">
        <v>61.38</v>
      </c>
      <c r="P1949" s="171">
        <v>56.94</v>
      </c>
      <c r="Q1949" s="171">
        <v>52.93</v>
      </c>
      <c r="R1949" s="171">
        <v>52.56</v>
      </c>
      <c r="S1949" s="171">
        <v>51.96</v>
      </c>
      <c r="T1949" s="171">
        <v>52.44</v>
      </c>
      <c r="U1949" s="171">
        <v>57.44</v>
      </c>
      <c r="V1949" s="171">
        <v>63.06</v>
      </c>
      <c r="W1949" s="171">
        <v>76.7</v>
      </c>
      <c r="X1949" s="171">
        <v>65.489999999999995</v>
      </c>
      <c r="Y1949" s="171">
        <v>57.910000000000004</v>
      </c>
      <c r="Z1949" s="171">
        <v>50.78</v>
      </c>
      <c r="AA1949" s="171">
        <v>53.89</v>
      </c>
      <c r="AB1949" s="171">
        <v>76.7</v>
      </c>
      <c r="AC1949" s="171">
        <v>50.78</v>
      </c>
      <c r="AD1949" s="171">
        <v>46.86</v>
      </c>
      <c r="AF1949" s="171">
        <f t="shared" si="92"/>
        <v>2013</v>
      </c>
      <c r="AG1949" s="171">
        <f t="shared" si="93"/>
        <v>6</v>
      </c>
      <c r="AH1949" s="700">
        <f>SUMIF(D$3:$AA1949,"&lt;="&amp;$AH$1)/COUNTIF(D$3:$AA1949,"&lt;="&amp;$AH$1)</f>
        <v>31.282224388975671</v>
      </c>
    </row>
    <row r="1950" spans="2:34" x14ac:dyDescent="0.25">
      <c r="B1950" s="910">
        <v>41556</v>
      </c>
      <c r="C1950" s="581">
        <f t="shared" si="91"/>
        <v>10</v>
      </c>
      <c r="D1950" s="171">
        <v>47.410000000000004</v>
      </c>
      <c r="E1950" s="171">
        <v>36.78</v>
      </c>
      <c r="F1950" s="171">
        <v>33.410000000000004</v>
      </c>
      <c r="G1950" s="171">
        <v>33.340000000000003</v>
      </c>
      <c r="H1950" s="171">
        <v>33.36</v>
      </c>
      <c r="I1950" s="171">
        <v>35.410000000000004</v>
      </c>
      <c r="J1950" s="171">
        <v>53.72</v>
      </c>
      <c r="K1950" s="171">
        <v>67.45</v>
      </c>
      <c r="L1950" s="171">
        <v>69.53</v>
      </c>
      <c r="M1950" s="171">
        <v>72.850000000000009</v>
      </c>
      <c r="N1950" s="171">
        <v>70.8</v>
      </c>
      <c r="O1950" s="171">
        <v>69.960000000000008</v>
      </c>
      <c r="P1950" s="171">
        <v>65.37</v>
      </c>
      <c r="Q1950" s="171">
        <v>63.38</v>
      </c>
      <c r="R1950" s="171">
        <v>60.57</v>
      </c>
      <c r="S1950" s="171">
        <v>58.910000000000004</v>
      </c>
      <c r="T1950" s="171">
        <v>50.67</v>
      </c>
      <c r="U1950" s="171">
        <v>52.97</v>
      </c>
      <c r="V1950" s="171">
        <v>58.34</v>
      </c>
      <c r="W1950" s="171">
        <v>63.92</v>
      </c>
      <c r="X1950" s="171">
        <v>60.730000000000004</v>
      </c>
      <c r="Y1950" s="171">
        <v>55.86</v>
      </c>
      <c r="Z1950" s="171">
        <v>57.44</v>
      </c>
      <c r="AA1950" s="171">
        <v>44.82</v>
      </c>
      <c r="AB1950" s="171">
        <v>72.850000000000009</v>
      </c>
      <c r="AC1950" s="171">
        <v>50.67</v>
      </c>
      <c r="AD1950" s="171">
        <v>46.64</v>
      </c>
      <c r="AF1950" s="171">
        <f t="shared" si="92"/>
        <v>2013</v>
      </c>
      <c r="AG1950" s="171">
        <f t="shared" si="93"/>
        <v>5</v>
      </c>
      <c r="AH1950" s="700">
        <f>SUMIF(D$3:$AA1950,"&lt;="&amp;$AH$1)/COUNTIF(D$3:$AA1950,"&lt;="&amp;$AH$1)</f>
        <v>31.28325687179165</v>
      </c>
    </row>
    <row r="1951" spans="2:34" x14ac:dyDescent="0.25">
      <c r="B1951" s="910">
        <v>41557</v>
      </c>
      <c r="C1951" s="581">
        <f t="shared" si="91"/>
        <v>10</v>
      </c>
      <c r="D1951" s="171">
        <v>43.72</v>
      </c>
      <c r="E1951" s="171">
        <v>34.83</v>
      </c>
      <c r="F1951" s="171">
        <v>34</v>
      </c>
      <c r="G1951" s="171">
        <v>33.82</v>
      </c>
      <c r="H1951" s="171">
        <v>34.53</v>
      </c>
      <c r="I1951" s="171">
        <v>34.94</v>
      </c>
      <c r="J1951" s="171">
        <v>47.730000000000004</v>
      </c>
      <c r="K1951" s="171">
        <v>62</v>
      </c>
      <c r="L1951" s="171">
        <v>65.84</v>
      </c>
      <c r="M1951" s="171">
        <v>69.47</v>
      </c>
      <c r="N1951" s="171">
        <v>68.75</v>
      </c>
      <c r="O1951" s="171">
        <v>67.27</v>
      </c>
      <c r="P1951" s="171">
        <v>60.36</v>
      </c>
      <c r="Q1951" s="171">
        <v>60.53</v>
      </c>
      <c r="R1951" s="171">
        <v>60.410000000000004</v>
      </c>
      <c r="S1951" s="171">
        <v>58.97</v>
      </c>
      <c r="T1951" s="171">
        <v>56.550000000000004</v>
      </c>
      <c r="U1951" s="171">
        <v>61.04</v>
      </c>
      <c r="V1951" s="171">
        <v>63.9</v>
      </c>
      <c r="W1951" s="171">
        <v>85.84</v>
      </c>
      <c r="X1951" s="171">
        <v>63.18</v>
      </c>
      <c r="Y1951" s="171">
        <v>55.79</v>
      </c>
      <c r="Z1951" s="171">
        <v>52.300000000000004</v>
      </c>
      <c r="AA1951" s="171">
        <v>54.93</v>
      </c>
      <c r="AB1951" s="171">
        <v>85.84</v>
      </c>
      <c r="AC1951" s="171">
        <v>52.300000000000004</v>
      </c>
      <c r="AD1951" s="171">
        <v>45.980000000000004</v>
      </c>
      <c r="AF1951" s="171">
        <f t="shared" si="92"/>
        <v>2013</v>
      </c>
      <c r="AG1951" s="171">
        <f t="shared" si="93"/>
        <v>5</v>
      </c>
      <c r="AH1951" s="700">
        <f>SUMIF(D$3:$AA1951,"&lt;="&amp;$AH$1)/COUNTIF(D$3:$AA1951,"&lt;="&amp;$AH$1)</f>
        <v>31.284276991035583</v>
      </c>
    </row>
    <row r="1952" spans="2:34" x14ac:dyDescent="0.25">
      <c r="B1952" s="910">
        <v>41558</v>
      </c>
      <c r="C1952" s="581">
        <f t="shared" si="91"/>
        <v>10</v>
      </c>
      <c r="D1952" s="171">
        <v>52.13</v>
      </c>
      <c r="E1952" s="171">
        <v>42.24</v>
      </c>
      <c r="F1952" s="171">
        <v>38.99</v>
      </c>
      <c r="G1952" s="171">
        <v>31.84</v>
      </c>
      <c r="H1952" s="171">
        <v>33.83</v>
      </c>
      <c r="I1952" s="171">
        <v>38.590000000000003</v>
      </c>
      <c r="J1952" s="171">
        <v>47.660000000000004</v>
      </c>
      <c r="K1952" s="171">
        <v>60.79</v>
      </c>
      <c r="L1952" s="171">
        <v>63.050000000000004</v>
      </c>
      <c r="M1952" s="171">
        <v>65.34</v>
      </c>
      <c r="N1952" s="171">
        <v>64.94</v>
      </c>
      <c r="O1952" s="171">
        <v>64.94</v>
      </c>
      <c r="P1952" s="171">
        <v>60.68</v>
      </c>
      <c r="Q1952" s="171">
        <v>58.980000000000004</v>
      </c>
      <c r="R1952" s="171">
        <v>52</v>
      </c>
      <c r="S1952" s="171">
        <v>52.370000000000005</v>
      </c>
      <c r="T1952" s="171">
        <v>49.17</v>
      </c>
      <c r="U1952" s="171">
        <v>52.21</v>
      </c>
      <c r="V1952" s="171">
        <v>55.47</v>
      </c>
      <c r="W1952" s="171">
        <v>72</v>
      </c>
      <c r="X1952" s="171">
        <v>62.71</v>
      </c>
      <c r="Y1952" s="171">
        <v>54.870000000000005</v>
      </c>
      <c r="Z1952" s="171">
        <v>57.56</v>
      </c>
      <c r="AA1952" s="171">
        <v>52.44</v>
      </c>
      <c r="AB1952" s="171">
        <v>72</v>
      </c>
      <c r="AC1952" s="171">
        <v>49.17</v>
      </c>
      <c r="AD1952" s="171">
        <v>47.800000000000004</v>
      </c>
      <c r="AF1952" s="171">
        <f t="shared" si="92"/>
        <v>2013</v>
      </c>
      <c r="AG1952" s="171">
        <f t="shared" si="93"/>
        <v>5</v>
      </c>
      <c r="AH1952" s="700">
        <f>SUMIF(D$3:$AA1952,"&lt;="&amp;$AH$1)/COUNTIF(D$3:$AA1952,"&lt;="&amp;$AH$1)</f>
        <v>31.28616468601869</v>
      </c>
    </row>
    <row r="1953" spans="2:34" x14ac:dyDescent="0.25">
      <c r="B1953" s="910">
        <v>41561</v>
      </c>
      <c r="C1953" s="581">
        <f t="shared" si="91"/>
        <v>10</v>
      </c>
      <c r="D1953" s="171">
        <v>26.1</v>
      </c>
      <c r="E1953" s="171">
        <v>26.990000000000002</v>
      </c>
      <c r="F1953" s="171">
        <v>29.93</v>
      </c>
      <c r="G1953" s="171">
        <v>30.48</v>
      </c>
      <c r="H1953" s="171">
        <v>29.94</v>
      </c>
      <c r="I1953" s="171">
        <v>21.490000000000002</v>
      </c>
      <c r="J1953" s="171">
        <v>38.07</v>
      </c>
      <c r="K1953" s="171">
        <v>57.03</v>
      </c>
      <c r="L1953" s="171">
        <v>57.13</v>
      </c>
      <c r="M1953" s="171">
        <v>58.08</v>
      </c>
      <c r="N1953" s="171">
        <v>54.93</v>
      </c>
      <c r="O1953" s="171">
        <v>55</v>
      </c>
      <c r="P1953" s="171">
        <v>52.44</v>
      </c>
      <c r="Q1953" s="171">
        <v>55</v>
      </c>
      <c r="R1953" s="171">
        <v>50.52</v>
      </c>
      <c r="S1953" s="171">
        <v>48.77</v>
      </c>
      <c r="T1953" s="171">
        <v>50</v>
      </c>
      <c r="U1953" s="171">
        <v>57.22</v>
      </c>
      <c r="V1953" s="171">
        <v>64.77</v>
      </c>
      <c r="W1953" s="171">
        <v>70.06</v>
      </c>
      <c r="X1953" s="171">
        <v>59.67</v>
      </c>
      <c r="Y1953" s="171">
        <v>46.84</v>
      </c>
      <c r="Z1953" s="171">
        <v>50.17</v>
      </c>
      <c r="AA1953" s="171">
        <v>50</v>
      </c>
      <c r="AB1953" s="171">
        <v>70.06</v>
      </c>
      <c r="AC1953" s="171">
        <v>46.84</v>
      </c>
      <c r="AD1953" s="171">
        <v>38.89</v>
      </c>
      <c r="AF1953" s="171">
        <f t="shared" si="92"/>
        <v>2013</v>
      </c>
      <c r="AG1953" s="171">
        <f t="shared" si="93"/>
        <v>7</v>
      </c>
      <c r="AH1953" s="700">
        <f>SUMIF(D$3:$AA1953,"&lt;="&amp;$AH$1)/COUNTIF(D$3:$AA1953,"&lt;="&amp;$AH$1)</f>
        <v>31.285125924964415</v>
      </c>
    </row>
    <row r="1954" spans="2:34" x14ac:dyDescent="0.25">
      <c r="B1954" s="910">
        <v>41562</v>
      </c>
      <c r="C1954" s="581">
        <f t="shared" si="91"/>
        <v>10</v>
      </c>
      <c r="D1954" s="171">
        <v>51.06</v>
      </c>
      <c r="E1954" s="171">
        <v>46.75</v>
      </c>
      <c r="F1954" s="171">
        <v>39.96</v>
      </c>
      <c r="G1954" s="171">
        <v>35.68</v>
      </c>
      <c r="H1954" s="171">
        <v>37.44</v>
      </c>
      <c r="I1954" s="171">
        <v>38.300000000000004</v>
      </c>
      <c r="J1954" s="171">
        <v>50.77</v>
      </c>
      <c r="K1954" s="171">
        <v>61.93</v>
      </c>
      <c r="L1954" s="171">
        <v>64.7</v>
      </c>
      <c r="M1954" s="171">
        <v>62.75</v>
      </c>
      <c r="N1954" s="171">
        <v>63.190000000000005</v>
      </c>
      <c r="O1954" s="171">
        <v>62.370000000000005</v>
      </c>
      <c r="P1954" s="171">
        <v>51.77</v>
      </c>
      <c r="Q1954" s="171">
        <v>50.57</v>
      </c>
      <c r="R1954" s="171">
        <v>49.94</v>
      </c>
      <c r="S1954" s="171">
        <v>52.26</v>
      </c>
      <c r="T1954" s="171">
        <v>52.43</v>
      </c>
      <c r="U1954" s="171">
        <v>57.160000000000004</v>
      </c>
      <c r="V1954" s="171">
        <v>65.38</v>
      </c>
      <c r="W1954" s="171">
        <v>82.22</v>
      </c>
      <c r="X1954" s="171">
        <v>60.89</v>
      </c>
      <c r="Y1954" s="171">
        <v>52.67</v>
      </c>
      <c r="Z1954" s="171">
        <v>52.480000000000004</v>
      </c>
      <c r="AA1954" s="171">
        <v>52.57</v>
      </c>
      <c r="AB1954" s="171">
        <v>82.22</v>
      </c>
      <c r="AC1954" s="171">
        <v>49.94</v>
      </c>
      <c r="AD1954" s="171">
        <v>48.38</v>
      </c>
      <c r="AF1954" s="171">
        <f t="shared" si="92"/>
        <v>2013</v>
      </c>
      <c r="AG1954" s="171">
        <f t="shared" si="93"/>
        <v>4</v>
      </c>
      <c r="AH1954" s="700">
        <f>SUMIF(D$3:$AA1954,"&lt;="&amp;$AH$1)/COUNTIF(D$3:$AA1954,"&lt;="&amp;$AH$1)</f>
        <v>31.286828682673704</v>
      </c>
    </row>
    <row r="1955" spans="2:34" x14ac:dyDescent="0.25">
      <c r="B1955" s="910">
        <v>41563</v>
      </c>
      <c r="C1955" s="581">
        <f t="shared" si="91"/>
        <v>10</v>
      </c>
      <c r="D1955" s="171">
        <v>55.93</v>
      </c>
      <c r="E1955" s="171">
        <v>43.37</v>
      </c>
      <c r="F1955" s="171">
        <v>37.69</v>
      </c>
      <c r="G1955" s="171">
        <v>37.700000000000003</v>
      </c>
      <c r="H1955" s="171">
        <v>37.880000000000003</v>
      </c>
      <c r="I1955" s="171">
        <v>38.1</v>
      </c>
      <c r="J1955" s="171">
        <v>51.550000000000004</v>
      </c>
      <c r="K1955" s="171">
        <v>67.61</v>
      </c>
      <c r="L1955" s="171">
        <v>70.180000000000007</v>
      </c>
      <c r="M1955" s="171">
        <v>70</v>
      </c>
      <c r="N1955" s="171">
        <v>67.81</v>
      </c>
      <c r="O1955" s="171">
        <v>69.010000000000005</v>
      </c>
      <c r="P1955" s="171">
        <v>62.82</v>
      </c>
      <c r="Q1955" s="171">
        <v>58.77</v>
      </c>
      <c r="R1955" s="171">
        <v>56.02</v>
      </c>
      <c r="S1955" s="171">
        <v>52.550000000000004</v>
      </c>
      <c r="T1955" s="171">
        <v>49.5</v>
      </c>
      <c r="U1955" s="171">
        <v>53.09</v>
      </c>
      <c r="V1955" s="171">
        <v>58.550000000000004</v>
      </c>
      <c r="W1955" s="171">
        <v>65.95</v>
      </c>
      <c r="X1955" s="171">
        <v>56.31</v>
      </c>
      <c r="Y1955" s="171">
        <v>51.300000000000004</v>
      </c>
      <c r="Z1955" s="171">
        <v>59</v>
      </c>
      <c r="AA1955" s="171">
        <v>49.5</v>
      </c>
      <c r="AB1955" s="171">
        <v>70.180000000000007</v>
      </c>
      <c r="AC1955" s="171">
        <v>49.5</v>
      </c>
      <c r="AD1955" s="171">
        <v>48.83</v>
      </c>
      <c r="AF1955" s="171">
        <f t="shared" si="92"/>
        <v>2013</v>
      </c>
      <c r="AG1955" s="171">
        <f t="shared" si="93"/>
        <v>4</v>
      </c>
      <c r="AH1955" s="700">
        <f>SUMIF(D$3:$AA1955,"&lt;="&amp;$AH$1)/COUNTIF(D$3:$AA1955,"&lt;="&amp;$AH$1)</f>
        <v>31.288529907876072</v>
      </c>
    </row>
    <row r="1956" spans="2:34" x14ac:dyDescent="0.25">
      <c r="B1956" s="910">
        <v>41564</v>
      </c>
      <c r="C1956" s="581">
        <f t="shared" si="91"/>
        <v>10</v>
      </c>
      <c r="D1956" s="171">
        <v>40.25</v>
      </c>
      <c r="E1956" s="171">
        <v>34.54</v>
      </c>
      <c r="F1956" s="171">
        <v>36.800000000000004</v>
      </c>
      <c r="G1956" s="171">
        <v>36.61</v>
      </c>
      <c r="H1956" s="171">
        <v>36.56</v>
      </c>
      <c r="I1956" s="171">
        <v>34</v>
      </c>
      <c r="J1956" s="171">
        <v>40.880000000000003</v>
      </c>
      <c r="K1956" s="171">
        <v>56.9</v>
      </c>
      <c r="L1956" s="171">
        <v>60.82</v>
      </c>
      <c r="M1956" s="171">
        <v>57.38</v>
      </c>
      <c r="N1956" s="171">
        <v>55</v>
      </c>
      <c r="O1956" s="171">
        <v>57.44</v>
      </c>
      <c r="P1956" s="171">
        <v>58.79</v>
      </c>
      <c r="Q1956" s="171">
        <v>57.38</v>
      </c>
      <c r="R1956" s="171">
        <v>51</v>
      </c>
      <c r="S1956" s="171">
        <v>48</v>
      </c>
      <c r="T1956" s="171">
        <v>48</v>
      </c>
      <c r="U1956" s="171">
        <v>48.74</v>
      </c>
      <c r="V1956" s="171">
        <v>58.99</v>
      </c>
      <c r="W1956" s="171">
        <v>75.05</v>
      </c>
      <c r="X1956" s="171">
        <v>60.93</v>
      </c>
      <c r="Y1956" s="171">
        <v>50.480000000000004</v>
      </c>
      <c r="Z1956" s="171">
        <v>53.47</v>
      </c>
      <c r="AA1956" s="171">
        <v>54.93</v>
      </c>
      <c r="AB1956" s="171">
        <v>75.05</v>
      </c>
      <c r="AC1956" s="171">
        <v>48</v>
      </c>
      <c r="AD1956" s="171">
        <v>44.7</v>
      </c>
      <c r="AF1956" s="171">
        <f t="shared" si="92"/>
        <v>2013</v>
      </c>
      <c r="AG1956" s="171">
        <f t="shared" si="93"/>
        <v>7</v>
      </c>
      <c r="AH1956" s="700">
        <f>SUMIF(D$3:$AA1956,"&lt;="&amp;$AH$1)/COUNTIF(D$3:$AA1956,"&lt;="&amp;$AH$1)</f>
        <v>31.29116399714686</v>
      </c>
    </row>
    <row r="1957" spans="2:34" x14ac:dyDescent="0.25">
      <c r="B1957" s="910">
        <v>41565</v>
      </c>
      <c r="C1957" s="581">
        <f t="shared" si="91"/>
        <v>10</v>
      </c>
      <c r="D1957" s="171">
        <v>44.96</v>
      </c>
      <c r="E1957" s="171">
        <v>43.53</v>
      </c>
      <c r="F1957" s="171">
        <v>40.56</v>
      </c>
      <c r="G1957" s="171">
        <v>37.43</v>
      </c>
      <c r="H1957" s="171">
        <v>37.49</v>
      </c>
      <c r="I1957" s="171">
        <v>42.81</v>
      </c>
      <c r="J1957" s="171">
        <v>50.88</v>
      </c>
      <c r="K1957" s="171">
        <v>59.4</v>
      </c>
      <c r="L1957" s="171">
        <v>65.400000000000006</v>
      </c>
      <c r="M1957" s="171">
        <v>67.16</v>
      </c>
      <c r="N1957" s="171">
        <v>67.58</v>
      </c>
      <c r="O1957" s="171">
        <v>62.34</v>
      </c>
      <c r="P1957" s="171">
        <v>59.14</v>
      </c>
      <c r="Q1957" s="171">
        <v>55.74</v>
      </c>
      <c r="R1957" s="171">
        <v>52.36</v>
      </c>
      <c r="S1957" s="171">
        <v>49.800000000000004</v>
      </c>
      <c r="T1957" s="171">
        <v>45.71</v>
      </c>
      <c r="U1957" s="171">
        <v>50.660000000000004</v>
      </c>
      <c r="V1957" s="171">
        <v>57.81</v>
      </c>
      <c r="W1957" s="171">
        <v>60.53</v>
      </c>
      <c r="X1957" s="171">
        <v>54.44</v>
      </c>
      <c r="Y1957" s="171">
        <v>45.910000000000004</v>
      </c>
      <c r="Z1957" s="171">
        <v>44.92</v>
      </c>
      <c r="AA1957" s="171">
        <v>46.53</v>
      </c>
      <c r="AB1957" s="171">
        <v>67.58</v>
      </c>
      <c r="AC1957" s="171">
        <v>44.92</v>
      </c>
      <c r="AD1957" s="171">
        <v>45.74</v>
      </c>
      <c r="AF1957" s="171">
        <f t="shared" si="92"/>
        <v>2013</v>
      </c>
      <c r="AG1957" s="171">
        <f t="shared" si="93"/>
        <v>3</v>
      </c>
      <c r="AH1957" s="700">
        <f>SUMIF(D$3:$AA1957,"&lt;="&amp;$AH$1)/COUNTIF(D$3:$AA1957,"&lt;="&amp;$AH$1)</f>
        <v>31.292564834025008</v>
      </c>
    </row>
    <row r="1958" spans="2:34" x14ac:dyDescent="0.25">
      <c r="B1958" s="910">
        <v>41568</v>
      </c>
      <c r="C1958" s="581">
        <f t="shared" si="91"/>
        <v>10</v>
      </c>
      <c r="D1958" s="171">
        <v>33.049999999999997</v>
      </c>
      <c r="E1958" s="171">
        <v>33.83</v>
      </c>
      <c r="F1958" s="171">
        <v>33.049999999999997</v>
      </c>
      <c r="G1958" s="171">
        <v>33.11</v>
      </c>
      <c r="H1958" s="171">
        <v>33.33</v>
      </c>
      <c r="I1958" s="171">
        <v>30.92</v>
      </c>
      <c r="J1958" s="171">
        <v>44.61</v>
      </c>
      <c r="K1958" s="171">
        <v>58.1</v>
      </c>
      <c r="L1958" s="171">
        <v>59.47</v>
      </c>
      <c r="M1958" s="171">
        <v>59.22</v>
      </c>
      <c r="N1958" s="171">
        <v>59.52</v>
      </c>
      <c r="O1958" s="171">
        <v>57.36</v>
      </c>
      <c r="P1958" s="171">
        <v>57.78</v>
      </c>
      <c r="Q1958" s="171">
        <v>56.120000000000005</v>
      </c>
      <c r="R1958" s="171">
        <v>52.77</v>
      </c>
      <c r="S1958" s="171">
        <v>50.480000000000004</v>
      </c>
      <c r="T1958" s="171">
        <v>49.99</v>
      </c>
      <c r="U1958" s="171">
        <v>52.71</v>
      </c>
      <c r="V1958" s="171">
        <v>61.870000000000005</v>
      </c>
      <c r="W1958" s="171">
        <v>70.489999999999995</v>
      </c>
      <c r="X1958" s="171">
        <v>56.09</v>
      </c>
      <c r="Y1958" s="171">
        <v>45.6</v>
      </c>
      <c r="Z1958" s="171">
        <v>44.85</v>
      </c>
      <c r="AA1958" s="171">
        <v>37.950000000000003</v>
      </c>
      <c r="AB1958" s="171">
        <v>70.489999999999995</v>
      </c>
      <c r="AC1958" s="171">
        <v>44.85</v>
      </c>
      <c r="AD1958" s="171">
        <v>40.369999999999997</v>
      </c>
      <c r="AF1958" s="171">
        <f t="shared" si="92"/>
        <v>2013</v>
      </c>
      <c r="AG1958" s="171">
        <f t="shared" si="93"/>
        <v>7</v>
      </c>
      <c r="AH1958" s="700">
        <f>SUMIF(D$3:$AA1958,"&lt;="&amp;$AH$1)/COUNTIF(D$3:$AA1958,"&lt;="&amp;$AH$1)</f>
        <v>31.293614153327827</v>
      </c>
    </row>
    <row r="1959" spans="2:34" x14ac:dyDescent="0.25">
      <c r="B1959" s="910">
        <v>41569</v>
      </c>
      <c r="C1959" s="581">
        <f t="shared" si="91"/>
        <v>10</v>
      </c>
      <c r="D1959" s="171">
        <v>33.82</v>
      </c>
      <c r="E1959" s="171">
        <v>35.83</v>
      </c>
      <c r="F1959" s="171">
        <v>35.5</v>
      </c>
      <c r="G1959" s="171">
        <v>35.64</v>
      </c>
      <c r="H1959" s="171">
        <v>32.92</v>
      </c>
      <c r="I1959" s="171">
        <v>29.91</v>
      </c>
      <c r="J1959" s="171">
        <v>38.17</v>
      </c>
      <c r="K1959" s="171">
        <v>54.56</v>
      </c>
      <c r="L1959" s="171">
        <v>57.910000000000004</v>
      </c>
      <c r="M1959" s="171">
        <v>54.93</v>
      </c>
      <c r="N1959" s="171">
        <v>52</v>
      </c>
      <c r="O1959" s="171">
        <v>52</v>
      </c>
      <c r="P1959" s="171">
        <v>49.94</v>
      </c>
      <c r="Q1959" s="171">
        <v>51</v>
      </c>
      <c r="R1959" s="171">
        <v>55.120000000000005</v>
      </c>
      <c r="S1959" s="171">
        <v>53.050000000000004</v>
      </c>
      <c r="T1959" s="171">
        <v>56.21</v>
      </c>
      <c r="U1959" s="171">
        <v>52.77</v>
      </c>
      <c r="V1959" s="171">
        <v>54.94</v>
      </c>
      <c r="W1959" s="171">
        <v>59.93</v>
      </c>
      <c r="X1959" s="171">
        <v>54.94</v>
      </c>
      <c r="Y1959" s="171">
        <v>54.31</v>
      </c>
      <c r="Z1959" s="171">
        <v>45.19</v>
      </c>
      <c r="AA1959" s="171">
        <v>44.230000000000004</v>
      </c>
      <c r="AB1959" s="171">
        <v>59.93</v>
      </c>
      <c r="AC1959" s="171">
        <v>45.19</v>
      </c>
      <c r="AD1959" s="171">
        <v>41.25</v>
      </c>
      <c r="AF1959" s="171">
        <f t="shared" si="92"/>
        <v>2013</v>
      </c>
      <c r="AG1959" s="171">
        <f t="shared" si="93"/>
        <v>7</v>
      </c>
      <c r="AH1959" s="700">
        <f>SUMIF(D$3:$AA1959,"&lt;="&amp;$AH$1)/COUNTIF(D$3:$AA1959,"&lt;="&amp;$AH$1)</f>
        <v>31.295086798808246</v>
      </c>
    </row>
    <row r="1960" spans="2:34" x14ac:dyDescent="0.25">
      <c r="B1960" s="910">
        <v>41570</v>
      </c>
      <c r="C1960" s="581">
        <f t="shared" si="91"/>
        <v>10</v>
      </c>
      <c r="D1960" s="171">
        <v>36.619999999999997</v>
      </c>
      <c r="E1960" s="171">
        <v>34.31</v>
      </c>
      <c r="F1960" s="171">
        <v>33.6</v>
      </c>
      <c r="G1960" s="171">
        <v>33.56</v>
      </c>
      <c r="H1960" s="171">
        <v>34.11</v>
      </c>
      <c r="I1960" s="171">
        <v>33.869999999999997</v>
      </c>
      <c r="J1960" s="171">
        <v>36.97</v>
      </c>
      <c r="K1960" s="171">
        <v>49.5</v>
      </c>
      <c r="L1960" s="171">
        <v>52.93</v>
      </c>
      <c r="M1960" s="171">
        <v>58.34</v>
      </c>
      <c r="N1960" s="171">
        <v>59.92</v>
      </c>
      <c r="O1960" s="171">
        <v>60.13</v>
      </c>
      <c r="P1960" s="171">
        <v>56.93</v>
      </c>
      <c r="Q1960" s="171">
        <v>53.33</v>
      </c>
      <c r="R1960" s="171">
        <v>52.44</v>
      </c>
      <c r="S1960" s="171">
        <v>47.44</v>
      </c>
      <c r="T1960" s="171">
        <v>45.79</v>
      </c>
      <c r="U1960" s="171">
        <v>49.76</v>
      </c>
      <c r="V1960" s="171">
        <v>56.39</v>
      </c>
      <c r="W1960" s="171">
        <v>68.010000000000005</v>
      </c>
      <c r="X1960" s="171">
        <v>55.25</v>
      </c>
      <c r="Y1960" s="171">
        <v>49.94</v>
      </c>
      <c r="Z1960" s="171">
        <v>51.67</v>
      </c>
      <c r="AA1960" s="171">
        <v>43.980000000000004</v>
      </c>
      <c r="AB1960" s="171">
        <v>68.010000000000005</v>
      </c>
      <c r="AC1960" s="171">
        <v>45.79</v>
      </c>
      <c r="AD1960" s="171">
        <v>41.12</v>
      </c>
      <c r="AF1960" s="171">
        <f t="shared" si="92"/>
        <v>2013</v>
      </c>
      <c r="AG1960" s="171">
        <f t="shared" si="93"/>
        <v>7</v>
      </c>
      <c r="AH1960" s="700">
        <f>SUMIF(D$3:$AA1960,"&lt;="&amp;$AH$1)/COUNTIF(D$3:$AA1960,"&lt;="&amp;$AH$1)</f>
        <v>31.296639041761193</v>
      </c>
    </row>
    <row r="1961" spans="2:34" x14ac:dyDescent="0.25">
      <c r="B1961" s="910">
        <v>41571</v>
      </c>
      <c r="C1961" s="581">
        <f t="shared" si="91"/>
        <v>10</v>
      </c>
      <c r="D1961" s="171">
        <v>39.96</v>
      </c>
      <c r="E1961" s="171">
        <v>32.020000000000003</v>
      </c>
      <c r="F1961" s="171">
        <v>31.98</v>
      </c>
      <c r="G1961" s="171">
        <v>31.98</v>
      </c>
      <c r="H1961" s="171">
        <v>33.24</v>
      </c>
      <c r="I1961" s="171">
        <v>37.57</v>
      </c>
      <c r="J1961" s="171">
        <v>45</v>
      </c>
      <c r="K1961" s="171">
        <v>59.96</v>
      </c>
      <c r="L1961" s="171">
        <v>60.480000000000004</v>
      </c>
      <c r="M1961" s="171">
        <v>62.6</v>
      </c>
      <c r="N1961" s="171">
        <v>66.41</v>
      </c>
      <c r="O1961" s="171">
        <v>64.960000000000008</v>
      </c>
      <c r="P1961" s="171">
        <v>50.980000000000004</v>
      </c>
      <c r="Q1961" s="171">
        <v>49.96</v>
      </c>
      <c r="R1961" s="171">
        <v>49.35</v>
      </c>
      <c r="S1961" s="171">
        <v>49</v>
      </c>
      <c r="T1961" s="171">
        <v>54.29</v>
      </c>
      <c r="U1961" s="171">
        <v>60</v>
      </c>
      <c r="V1961" s="171">
        <v>63.910000000000004</v>
      </c>
      <c r="W1961" s="171">
        <v>84.94</v>
      </c>
      <c r="X1961" s="171">
        <v>55</v>
      </c>
      <c r="Y1961" s="171">
        <v>47.45</v>
      </c>
      <c r="Z1961" s="171">
        <v>52.370000000000005</v>
      </c>
      <c r="AA1961" s="171">
        <v>46.61</v>
      </c>
      <c r="AB1961" s="171">
        <v>84.94</v>
      </c>
      <c r="AC1961" s="171">
        <v>47.45</v>
      </c>
      <c r="AD1961" s="171">
        <v>42.76</v>
      </c>
      <c r="AF1961" s="171">
        <f t="shared" si="92"/>
        <v>2013</v>
      </c>
      <c r="AG1961" s="171">
        <f t="shared" si="93"/>
        <v>6</v>
      </c>
      <c r="AH1961" s="700">
        <f>SUMIF(D$3:$AA1961,"&lt;="&amp;$AH$1)/COUNTIF(D$3:$AA1961,"&lt;="&amp;$AH$1)</f>
        <v>31.297866804737662</v>
      </c>
    </row>
    <row r="1962" spans="2:34" x14ac:dyDescent="0.25">
      <c r="B1962" s="910">
        <v>41572</v>
      </c>
      <c r="C1962" s="581">
        <f t="shared" si="91"/>
        <v>10</v>
      </c>
      <c r="D1962" s="171">
        <v>44.86</v>
      </c>
      <c r="E1962" s="171">
        <v>38.69</v>
      </c>
      <c r="F1962" s="171">
        <v>36.47</v>
      </c>
      <c r="G1962" s="171">
        <v>34.85</v>
      </c>
      <c r="H1962" s="171">
        <v>33.22</v>
      </c>
      <c r="I1962" s="171">
        <v>35.020000000000003</v>
      </c>
      <c r="J1962" s="171">
        <v>40.67</v>
      </c>
      <c r="K1962" s="171">
        <v>54.38</v>
      </c>
      <c r="L1962" s="171">
        <v>59.550000000000004</v>
      </c>
      <c r="M1962" s="171">
        <v>59.870000000000005</v>
      </c>
      <c r="N1962" s="171">
        <v>66</v>
      </c>
      <c r="O1962" s="171">
        <v>63.95</v>
      </c>
      <c r="P1962" s="171">
        <v>64.94</v>
      </c>
      <c r="Q1962" s="171">
        <v>60</v>
      </c>
      <c r="R1962" s="171">
        <v>54.980000000000004</v>
      </c>
      <c r="S1962" s="171">
        <v>53.21</v>
      </c>
      <c r="T1962" s="171">
        <v>53.21</v>
      </c>
      <c r="U1962" s="171">
        <v>53</v>
      </c>
      <c r="V1962" s="171">
        <v>52.42</v>
      </c>
      <c r="W1962" s="171">
        <v>57.52</v>
      </c>
      <c r="X1962" s="171">
        <v>59.93</v>
      </c>
      <c r="Y1962" s="171">
        <v>52.36</v>
      </c>
      <c r="Z1962" s="171">
        <v>52.34</v>
      </c>
      <c r="AA1962" s="171">
        <v>45.52</v>
      </c>
      <c r="AB1962" s="171">
        <v>66</v>
      </c>
      <c r="AC1962" s="171">
        <v>52.34</v>
      </c>
      <c r="AD1962" s="171">
        <v>44.03</v>
      </c>
      <c r="AF1962" s="171">
        <f t="shared" si="92"/>
        <v>2013</v>
      </c>
      <c r="AG1962" s="171">
        <f t="shared" si="93"/>
        <v>6</v>
      </c>
      <c r="AH1962" s="700">
        <f>SUMIF(D$3:$AA1962,"&lt;="&amp;$AH$1)/COUNTIF(D$3:$AA1962,"&lt;="&amp;$AH$1)</f>
        <v>31.299880960082909</v>
      </c>
    </row>
    <row r="1963" spans="2:34" x14ac:dyDescent="0.25">
      <c r="B1963" s="910">
        <v>41575</v>
      </c>
      <c r="C1963" s="581">
        <f t="shared" si="91"/>
        <v>10</v>
      </c>
      <c r="D1963" s="171">
        <v>29.52</v>
      </c>
      <c r="E1963" s="171">
        <v>27.53</v>
      </c>
      <c r="F1963" s="171">
        <v>27.990000000000002</v>
      </c>
      <c r="G1963" s="171">
        <v>27.94</v>
      </c>
      <c r="H1963" s="171">
        <v>30.77</v>
      </c>
      <c r="I1963" s="171">
        <v>32.25</v>
      </c>
      <c r="J1963" s="171">
        <v>33.43</v>
      </c>
      <c r="K1963" s="171">
        <v>44.230000000000004</v>
      </c>
      <c r="L1963" s="171">
        <v>49.93</v>
      </c>
      <c r="M1963" s="171">
        <v>59.07</v>
      </c>
      <c r="N1963" s="171">
        <v>56.800000000000004</v>
      </c>
      <c r="O1963" s="171">
        <v>59.94</v>
      </c>
      <c r="P1963" s="171">
        <v>55.09</v>
      </c>
      <c r="Q1963" s="171">
        <v>55.09</v>
      </c>
      <c r="R1963" s="171">
        <v>52.82</v>
      </c>
      <c r="S1963" s="171">
        <v>48.63</v>
      </c>
      <c r="T1963" s="171">
        <v>46.72</v>
      </c>
      <c r="U1963" s="171">
        <v>65.31</v>
      </c>
      <c r="V1963" s="171">
        <v>80</v>
      </c>
      <c r="W1963" s="171">
        <v>64.94</v>
      </c>
      <c r="X1963" s="171">
        <v>49.96</v>
      </c>
      <c r="Y1963" s="171">
        <v>54.94</v>
      </c>
      <c r="Z1963" s="171">
        <v>54.93</v>
      </c>
      <c r="AA1963" s="171">
        <v>44.92</v>
      </c>
      <c r="AB1963" s="171">
        <v>80</v>
      </c>
      <c r="AC1963" s="171">
        <v>44.230000000000004</v>
      </c>
      <c r="AD1963" s="171">
        <v>38.200000000000003</v>
      </c>
      <c r="AF1963" s="171">
        <f t="shared" si="92"/>
        <v>2013</v>
      </c>
      <c r="AG1963" s="171">
        <f t="shared" si="93"/>
        <v>7</v>
      </c>
      <c r="AH1963" s="700">
        <f>SUMIF(D$3:$AA1963,"&lt;="&amp;$AH$1)/COUNTIF(D$3:$AA1963,"&lt;="&amp;$AH$1)</f>
        <v>31.299255690636418</v>
      </c>
    </row>
    <row r="1964" spans="2:34" x14ac:dyDescent="0.25">
      <c r="B1964" s="910">
        <v>41576</v>
      </c>
      <c r="C1964" s="581">
        <f t="shared" si="91"/>
        <v>10</v>
      </c>
      <c r="D1964" s="171">
        <v>35.770000000000003</v>
      </c>
      <c r="E1964" s="171">
        <v>31.59</v>
      </c>
      <c r="F1964" s="171">
        <v>31.59</v>
      </c>
      <c r="G1964" s="171">
        <v>31.38</v>
      </c>
      <c r="H1964" s="171">
        <v>31.92</v>
      </c>
      <c r="I1964" s="171">
        <v>32.520000000000003</v>
      </c>
      <c r="J1964" s="171">
        <v>37.630000000000003</v>
      </c>
      <c r="K1964" s="171">
        <v>46.04</v>
      </c>
      <c r="L1964" s="171">
        <v>54.51</v>
      </c>
      <c r="M1964" s="171">
        <v>55.68</v>
      </c>
      <c r="N1964" s="171">
        <v>52.7</v>
      </c>
      <c r="O1964" s="171">
        <v>52.44</v>
      </c>
      <c r="P1964" s="171">
        <v>51</v>
      </c>
      <c r="Q1964" s="171">
        <v>51.49</v>
      </c>
      <c r="R1964" s="171">
        <v>51.4</v>
      </c>
      <c r="S1964" s="171">
        <v>51.160000000000004</v>
      </c>
      <c r="T1964" s="171">
        <v>49.94</v>
      </c>
      <c r="U1964" s="171">
        <v>58.61</v>
      </c>
      <c r="V1964" s="171">
        <v>68.36</v>
      </c>
      <c r="W1964" s="171">
        <v>61.34</v>
      </c>
      <c r="X1964" s="171">
        <v>57.2</v>
      </c>
      <c r="Y1964" s="171">
        <v>48.29</v>
      </c>
      <c r="Z1964" s="171">
        <v>49.7</v>
      </c>
      <c r="AA1964" s="171">
        <v>50.77</v>
      </c>
      <c r="AB1964" s="171">
        <v>68.36</v>
      </c>
      <c r="AC1964" s="171">
        <v>46.04</v>
      </c>
      <c r="AD1964" s="171">
        <v>40.369999999999997</v>
      </c>
      <c r="AF1964" s="171">
        <f t="shared" si="92"/>
        <v>2013</v>
      </c>
      <c r="AG1964" s="171">
        <f t="shared" si="93"/>
        <v>7</v>
      </c>
      <c r="AH1964" s="700">
        <f>SUMIF(D$3:$AA1964,"&lt;="&amp;$AH$1)/COUNTIF(D$3:$AA1964,"&lt;="&amp;$AH$1)</f>
        <v>31.300115700342683</v>
      </c>
    </row>
    <row r="1965" spans="2:34" x14ac:dyDescent="0.25">
      <c r="B1965" s="910">
        <v>41577</v>
      </c>
      <c r="C1965" s="581">
        <f t="shared" si="91"/>
        <v>10</v>
      </c>
      <c r="D1965" s="171">
        <v>39.31</v>
      </c>
      <c r="E1965" s="171">
        <v>37.410000000000004</v>
      </c>
      <c r="F1965" s="171">
        <v>32.44</v>
      </c>
      <c r="G1965" s="171">
        <v>31.95</v>
      </c>
      <c r="H1965" s="171">
        <v>32.369999999999997</v>
      </c>
      <c r="I1965" s="171">
        <v>36.07</v>
      </c>
      <c r="J1965" s="171">
        <v>43.65</v>
      </c>
      <c r="K1965" s="171">
        <v>57.800000000000004</v>
      </c>
      <c r="L1965" s="171">
        <v>54.4</v>
      </c>
      <c r="M1965" s="171">
        <v>57.800000000000004</v>
      </c>
      <c r="N1965" s="171">
        <v>56.11</v>
      </c>
      <c r="O1965" s="171">
        <v>56.31</v>
      </c>
      <c r="P1965" s="171">
        <v>52.29</v>
      </c>
      <c r="Q1965" s="171">
        <v>49.88</v>
      </c>
      <c r="R1965" s="171">
        <v>47.6</v>
      </c>
      <c r="S1965" s="171">
        <v>45.71</v>
      </c>
      <c r="T1965" s="171">
        <v>49.46</v>
      </c>
      <c r="U1965" s="171">
        <v>59.68</v>
      </c>
      <c r="V1965" s="171">
        <v>80.739999999999995</v>
      </c>
      <c r="W1965" s="171">
        <v>68.739999999999995</v>
      </c>
      <c r="X1965" s="171">
        <v>50.65</v>
      </c>
      <c r="Y1965" s="171">
        <v>45</v>
      </c>
      <c r="Z1965" s="171">
        <v>48.32</v>
      </c>
      <c r="AA1965" s="171">
        <v>43.68</v>
      </c>
      <c r="AB1965" s="171">
        <v>80.739999999999995</v>
      </c>
      <c r="AC1965" s="171">
        <v>45</v>
      </c>
      <c r="AD1965" s="171">
        <v>41.550000000000004</v>
      </c>
      <c r="AF1965" s="171">
        <f t="shared" si="92"/>
        <v>2013</v>
      </c>
      <c r="AG1965" s="171">
        <f t="shared" si="93"/>
        <v>6</v>
      </c>
      <c r="AH1965" s="700">
        <f>SUMIF(D$3:$AA1965,"&lt;="&amp;$AH$1)/COUNTIF(D$3:$AA1965,"&lt;="&amp;$AH$1)</f>
        <v>31.301520966595699</v>
      </c>
    </row>
    <row r="1966" spans="2:34" x14ac:dyDescent="0.25">
      <c r="B1966" s="910">
        <v>41578</v>
      </c>
      <c r="C1966" s="581">
        <f t="shared" si="91"/>
        <v>10</v>
      </c>
      <c r="D1966" s="171">
        <v>45.84</v>
      </c>
      <c r="E1966" s="171">
        <v>38.99</v>
      </c>
      <c r="F1966" s="171">
        <v>37.4</v>
      </c>
      <c r="G1966" s="171">
        <v>31.62</v>
      </c>
      <c r="H1966" s="171">
        <v>31.810000000000002</v>
      </c>
      <c r="I1966" s="171">
        <v>39.18</v>
      </c>
      <c r="J1966" s="171">
        <v>48.2</v>
      </c>
      <c r="K1966" s="171">
        <v>58.45</v>
      </c>
      <c r="L1966" s="171">
        <v>54.39</v>
      </c>
      <c r="M1966" s="171">
        <v>56.5</v>
      </c>
      <c r="N1966" s="171">
        <v>55.07</v>
      </c>
      <c r="O1966" s="171">
        <v>56.81</v>
      </c>
      <c r="P1966" s="171">
        <v>55.52</v>
      </c>
      <c r="Q1966" s="171">
        <v>54.46</v>
      </c>
      <c r="R1966" s="171">
        <v>53.36</v>
      </c>
      <c r="S1966" s="171">
        <v>53.06</v>
      </c>
      <c r="T1966" s="171">
        <v>51.33</v>
      </c>
      <c r="U1966" s="171">
        <v>58.76</v>
      </c>
      <c r="V1966" s="171">
        <v>62.95</v>
      </c>
      <c r="W1966" s="171">
        <v>58.96</v>
      </c>
      <c r="X1966" s="171">
        <v>59.44</v>
      </c>
      <c r="Y1966" s="171">
        <v>50.25</v>
      </c>
      <c r="Z1966" s="171">
        <v>54.910000000000004</v>
      </c>
      <c r="AA1966" s="171">
        <v>50.870000000000005</v>
      </c>
      <c r="AB1966" s="171">
        <v>62.95</v>
      </c>
      <c r="AC1966" s="171">
        <v>50.25</v>
      </c>
      <c r="AD1966" s="171">
        <v>45.58</v>
      </c>
      <c r="AF1966" s="171">
        <f t="shared" si="92"/>
        <v>2013</v>
      </c>
      <c r="AG1966" s="171">
        <f t="shared" si="93"/>
        <v>5</v>
      </c>
      <c r="AH1966" s="700">
        <f>SUMIF(D$3:$AA1966,"&lt;="&amp;$AH$1)/COUNTIF(D$3:$AA1966,"&lt;="&amp;$AH$1)</f>
        <v>31.302973775998041</v>
      </c>
    </row>
    <row r="1967" spans="2:34" x14ac:dyDescent="0.25">
      <c r="B1967" s="910">
        <v>41579</v>
      </c>
      <c r="C1967" s="581">
        <f t="shared" si="91"/>
        <v>11</v>
      </c>
      <c r="D1967" s="171">
        <v>33.660000000000004</v>
      </c>
      <c r="E1967" s="171">
        <v>30.32</v>
      </c>
      <c r="F1967" s="171">
        <v>30.64</v>
      </c>
      <c r="G1967" s="171">
        <v>28.45</v>
      </c>
      <c r="H1967" s="171">
        <v>22.94</v>
      </c>
      <c r="I1967" s="171">
        <v>24.96</v>
      </c>
      <c r="J1967" s="171">
        <v>34.01</v>
      </c>
      <c r="K1967" s="171">
        <v>49.96</v>
      </c>
      <c r="L1967" s="171">
        <v>54.94</v>
      </c>
      <c r="M1967" s="171">
        <v>59.02</v>
      </c>
      <c r="N1967" s="171">
        <v>65.09</v>
      </c>
      <c r="O1967" s="171">
        <v>66.849999999999994</v>
      </c>
      <c r="P1967" s="171">
        <v>59.94</v>
      </c>
      <c r="Q1967" s="171">
        <v>59.94</v>
      </c>
      <c r="R1967" s="171">
        <v>55</v>
      </c>
      <c r="S1967" s="171">
        <v>53</v>
      </c>
      <c r="T1967" s="171">
        <v>56.72</v>
      </c>
      <c r="U1967" s="171">
        <v>74.930000000000007</v>
      </c>
      <c r="V1967" s="171">
        <v>79.930000000000007</v>
      </c>
      <c r="W1967" s="171">
        <v>54.94</v>
      </c>
      <c r="X1967" s="171">
        <v>53</v>
      </c>
      <c r="Y1967" s="171">
        <v>57.44</v>
      </c>
      <c r="Z1967" s="171">
        <v>59.04</v>
      </c>
      <c r="AA1967" s="171">
        <v>50</v>
      </c>
      <c r="AB1967" s="171">
        <v>79.930000000000007</v>
      </c>
      <c r="AC1967" s="171">
        <v>49.96</v>
      </c>
      <c r="AD1967" s="171">
        <v>39.53</v>
      </c>
      <c r="AF1967" s="171">
        <f t="shared" si="92"/>
        <v>2013</v>
      </c>
      <c r="AG1967" s="171">
        <f t="shared" si="93"/>
        <v>7</v>
      </c>
      <c r="AH1967" s="700">
        <f>SUMIF(D$3:$AA1967,"&lt;="&amp;$AH$1)/COUNTIF(D$3:$AA1967,"&lt;="&amp;$AH$1)</f>
        <v>31.302060817354359</v>
      </c>
    </row>
    <row r="1968" spans="2:34" x14ac:dyDescent="0.25">
      <c r="B1968" s="910">
        <v>41582</v>
      </c>
      <c r="C1968" s="581">
        <f t="shared" si="91"/>
        <v>11</v>
      </c>
      <c r="D1968" s="171">
        <v>33.520000000000003</v>
      </c>
      <c r="E1968" s="171">
        <v>32.230000000000004</v>
      </c>
      <c r="F1968" s="171">
        <v>32.230000000000004</v>
      </c>
      <c r="G1968" s="171">
        <v>32.230000000000004</v>
      </c>
      <c r="H1968" s="171">
        <v>33.32</v>
      </c>
      <c r="I1968" s="171">
        <v>33.96</v>
      </c>
      <c r="J1968" s="171">
        <v>43.64</v>
      </c>
      <c r="K1968" s="171">
        <v>52.96</v>
      </c>
      <c r="L1968" s="171">
        <v>51.550000000000004</v>
      </c>
      <c r="M1968" s="171">
        <v>54.410000000000004</v>
      </c>
      <c r="N1968" s="171">
        <v>58.42</v>
      </c>
      <c r="O1968" s="171">
        <v>57.27</v>
      </c>
      <c r="P1968" s="171">
        <v>54.94</v>
      </c>
      <c r="Q1968" s="171">
        <v>55</v>
      </c>
      <c r="R1968" s="171">
        <v>55</v>
      </c>
      <c r="S1968" s="171">
        <v>50.1</v>
      </c>
      <c r="T1968" s="171">
        <v>51</v>
      </c>
      <c r="U1968" s="171">
        <v>69.87</v>
      </c>
      <c r="V1968" s="171">
        <v>86.66</v>
      </c>
      <c r="W1968" s="171">
        <v>67.03</v>
      </c>
      <c r="X1968" s="171">
        <v>58.95</v>
      </c>
      <c r="Y1968" s="171">
        <v>50</v>
      </c>
      <c r="Z1968" s="171">
        <v>52.69</v>
      </c>
      <c r="AA1968" s="171">
        <v>52.69</v>
      </c>
      <c r="AB1968" s="171">
        <v>86.66</v>
      </c>
      <c r="AC1968" s="171">
        <v>50</v>
      </c>
      <c r="AD1968" s="171">
        <v>42.37</v>
      </c>
      <c r="AF1968" s="171">
        <f t="shared" si="92"/>
        <v>2013</v>
      </c>
      <c r="AG1968" s="171">
        <f t="shared" si="93"/>
        <v>6</v>
      </c>
      <c r="AH1968" s="700">
        <f>SUMIF(D$3:$AA1968,"&lt;="&amp;$AH$1)/COUNTIF(D$3:$AA1968,"&lt;="&amp;$AH$1)</f>
        <v>31.302685382381522</v>
      </c>
    </row>
    <row r="1969" spans="2:34" x14ac:dyDescent="0.25">
      <c r="B1969" s="910">
        <v>41583</v>
      </c>
      <c r="C1969" s="581">
        <f t="shared" si="91"/>
        <v>11</v>
      </c>
      <c r="D1969" s="171">
        <v>44.33</v>
      </c>
      <c r="E1969" s="171">
        <v>32.64</v>
      </c>
      <c r="F1969" s="171">
        <v>32.64</v>
      </c>
      <c r="G1969" s="171">
        <v>32.369999999999997</v>
      </c>
      <c r="H1969" s="171">
        <v>32.369999999999997</v>
      </c>
      <c r="I1969" s="171">
        <v>33.79</v>
      </c>
      <c r="J1969" s="171">
        <v>44.65</v>
      </c>
      <c r="K1969" s="171">
        <v>57.24</v>
      </c>
      <c r="L1969" s="171">
        <v>57.44</v>
      </c>
      <c r="M1969" s="171">
        <v>56.76</v>
      </c>
      <c r="N1969" s="171">
        <v>62.97</v>
      </c>
      <c r="O1969" s="171">
        <v>59.99</v>
      </c>
      <c r="P1969" s="171">
        <v>54</v>
      </c>
      <c r="Q1969" s="171">
        <v>50.67</v>
      </c>
      <c r="R1969" s="171">
        <v>51.620000000000005</v>
      </c>
      <c r="S1969" s="171">
        <v>49.65</v>
      </c>
      <c r="T1969" s="171">
        <v>51.52</v>
      </c>
      <c r="U1969" s="171">
        <v>64.92</v>
      </c>
      <c r="V1969" s="171">
        <v>63.21</v>
      </c>
      <c r="W1969" s="171">
        <v>55.35</v>
      </c>
      <c r="X1969" s="171">
        <v>54.96</v>
      </c>
      <c r="Y1969" s="171">
        <v>59.96</v>
      </c>
      <c r="Z1969" s="171">
        <v>45</v>
      </c>
      <c r="AA1969" s="171">
        <v>40.07</v>
      </c>
      <c r="AB1969" s="171">
        <v>64.92</v>
      </c>
      <c r="AC1969" s="171">
        <v>45</v>
      </c>
      <c r="AD1969" s="171">
        <v>42.5</v>
      </c>
      <c r="AF1969" s="171">
        <f t="shared" si="92"/>
        <v>2013</v>
      </c>
      <c r="AG1969" s="171">
        <f t="shared" si="93"/>
        <v>6</v>
      </c>
      <c r="AH1969" s="700">
        <f>SUMIF(D$3:$AA1969,"&lt;="&amp;$AH$1)/COUNTIF(D$3:$AA1969,"&lt;="&amp;$AH$1)</f>
        <v>31.303721695374602</v>
      </c>
    </row>
    <row r="1970" spans="2:34" x14ac:dyDescent="0.25">
      <c r="B1970" s="910">
        <v>41584</v>
      </c>
      <c r="C1970" s="581">
        <f t="shared" si="91"/>
        <v>11</v>
      </c>
      <c r="D1970" s="171">
        <v>33.76</v>
      </c>
      <c r="E1970" s="171">
        <v>31.75</v>
      </c>
      <c r="F1970" s="171">
        <v>31.13</v>
      </c>
      <c r="G1970" s="171">
        <v>34</v>
      </c>
      <c r="H1970" s="171">
        <v>33.31</v>
      </c>
      <c r="I1970" s="171">
        <v>39.99</v>
      </c>
      <c r="J1970" s="171">
        <v>43.730000000000004</v>
      </c>
      <c r="K1970" s="171">
        <v>57.29</v>
      </c>
      <c r="L1970" s="171">
        <v>52.44</v>
      </c>
      <c r="M1970" s="171">
        <v>51.65</v>
      </c>
      <c r="N1970" s="171">
        <v>54.92</v>
      </c>
      <c r="O1970" s="171">
        <v>65.42</v>
      </c>
      <c r="P1970" s="171">
        <v>63.11</v>
      </c>
      <c r="Q1970" s="171">
        <v>63.13</v>
      </c>
      <c r="R1970" s="171">
        <v>63.13</v>
      </c>
      <c r="S1970" s="171">
        <v>55</v>
      </c>
      <c r="T1970" s="171">
        <v>56.82</v>
      </c>
      <c r="U1970" s="171">
        <v>73.460000000000008</v>
      </c>
      <c r="V1970" s="171">
        <v>66.739999999999995</v>
      </c>
      <c r="W1970" s="171">
        <v>51.74</v>
      </c>
      <c r="X1970" s="171">
        <v>57.44</v>
      </c>
      <c r="Y1970" s="171">
        <v>55.120000000000005</v>
      </c>
      <c r="Z1970" s="171">
        <v>57.52</v>
      </c>
      <c r="AA1970" s="171">
        <v>54.64</v>
      </c>
      <c r="AB1970" s="171">
        <v>73.460000000000008</v>
      </c>
      <c r="AC1970" s="171">
        <v>51.65</v>
      </c>
      <c r="AD1970" s="171">
        <v>44.14</v>
      </c>
      <c r="AF1970" s="171">
        <f t="shared" si="92"/>
        <v>2013</v>
      </c>
      <c r="AG1970" s="171">
        <f t="shared" si="93"/>
        <v>6</v>
      </c>
      <c r="AH1970" s="700">
        <f>SUMIF(D$3:$AA1970,"&lt;="&amp;$AH$1)/COUNTIF(D$3:$AA1970,"&lt;="&amp;$AH$1)</f>
        <v>31.304761075643366</v>
      </c>
    </row>
    <row r="1971" spans="2:34" x14ac:dyDescent="0.25">
      <c r="B1971" s="910">
        <v>41585</v>
      </c>
      <c r="C1971" s="581">
        <f t="shared" si="91"/>
        <v>11</v>
      </c>
      <c r="D1971" s="171">
        <v>34.020000000000003</v>
      </c>
      <c r="E1971" s="171">
        <v>29.94</v>
      </c>
      <c r="F1971" s="171">
        <v>25.990000000000002</v>
      </c>
      <c r="G1971" s="171">
        <v>32.5</v>
      </c>
      <c r="H1971" s="171">
        <v>34.020000000000003</v>
      </c>
      <c r="I1971" s="171">
        <v>40.43</v>
      </c>
      <c r="J1971" s="171">
        <v>51</v>
      </c>
      <c r="K1971" s="171">
        <v>68.39</v>
      </c>
      <c r="L1971" s="171">
        <v>58.34</v>
      </c>
      <c r="M1971" s="171">
        <v>60</v>
      </c>
      <c r="N1971" s="171">
        <v>60.79</v>
      </c>
      <c r="O1971" s="171">
        <v>59.99</v>
      </c>
      <c r="P1971" s="171">
        <v>55</v>
      </c>
      <c r="Q1971" s="171">
        <v>58</v>
      </c>
      <c r="R1971" s="171">
        <v>54.92</v>
      </c>
      <c r="S1971" s="171">
        <v>49.94</v>
      </c>
      <c r="T1971" s="171">
        <v>54.93</v>
      </c>
      <c r="U1971" s="171">
        <v>73.23</v>
      </c>
      <c r="V1971" s="171">
        <v>79.94</v>
      </c>
      <c r="W1971" s="171">
        <v>64.7</v>
      </c>
      <c r="X1971" s="171">
        <v>51.72</v>
      </c>
      <c r="Y1971" s="171">
        <v>60.120000000000005</v>
      </c>
      <c r="Z1971" s="171">
        <v>55</v>
      </c>
      <c r="AA1971" s="171">
        <v>49.94</v>
      </c>
      <c r="AB1971" s="171">
        <v>79.94</v>
      </c>
      <c r="AC1971" s="171">
        <v>49.94</v>
      </c>
      <c r="AD1971" s="171">
        <v>44.42</v>
      </c>
      <c r="AF1971" s="171">
        <f t="shared" si="92"/>
        <v>2013</v>
      </c>
      <c r="AG1971" s="171">
        <f t="shared" si="93"/>
        <v>6</v>
      </c>
      <c r="AH1971" s="700">
        <f>SUMIF(D$3:$AA1971,"&lt;="&amp;$AH$1)/COUNTIF(D$3:$AA1971,"&lt;="&amp;$AH$1)</f>
        <v>31.305345838973874</v>
      </c>
    </row>
    <row r="1972" spans="2:34" x14ac:dyDescent="0.25">
      <c r="B1972" s="910">
        <v>41586</v>
      </c>
      <c r="C1972" s="581">
        <f t="shared" si="91"/>
        <v>11</v>
      </c>
      <c r="D1972" s="171">
        <v>36</v>
      </c>
      <c r="E1972" s="171">
        <v>36</v>
      </c>
      <c r="F1972" s="171">
        <v>34.22</v>
      </c>
      <c r="G1972" s="171">
        <v>33.130000000000003</v>
      </c>
      <c r="H1972" s="171">
        <v>34.17</v>
      </c>
      <c r="I1972" s="171">
        <v>39.96</v>
      </c>
      <c r="J1972" s="171">
        <v>47</v>
      </c>
      <c r="K1972" s="171">
        <v>55.910000000000004</v>
      </c>
      <c r="L1972" s="171">
        <v>55.050000000000004</v>
      </c>
      <c r="M1972" s="171">
        <v>54.36</v>
      </c>
      <c r="N1972" s="171">
        <v>56.04</v>
      </c>
      <c r="O1972" s="171">
        <v>57.300000000000004</v>
      </c>
      <c r="P1972" s="171">
        <v>56.22</v>
      </c>
      <c r="Q1972" s="171">
        <v>57</v>
      </c>
      <c r="R1972" s="171">
        <v>53.99</v>
      </c>
      <c r="S1972" s="171">
        <v>52.63</v>
      </c>
      <c r="T1972" s="171">
        <v>51.9</v>
      </c>
      <c r="U1972" s="171">
        <v>69.25</v>
      </c>
      <c r="V1972" s="171">
        <v>73.710000000000008</v>
      </c>
      <c r="W1972" s="171">
        <v>53.980000000000004</v>
      </c>
      <c r="X1972" s="171">
        <v>45.86</v>
      </c>
      <c r="Y1972" s="171">
        <v>47.44</v>
      </c>
      <c r="Z1972" s="171">
        <v>46.27</v>
      </c>
      <c r="AA1972" s="171">
        <v>51.800000000000004</v>
      </c>
      <c r="AB1972" s="171">
        <v>73.710000000000008</v>
      </c>
      <c r="AC1972" s="171">
        <v>45.86</v>
      </c>
      <c r="AD1972" s="171">
        <v>42.31</v>
      </c>
      <c r="AF1972" s="171">
        <f t="shared" si="92"/>
        <v>2013</v>
      </c>
      <c r="AG1972" s="171">
        <f t="shared" si="93"/>
        <v>6</v>
      </c>
      <c r="AH1972" s="700">
        <f>SUMIF(D$3:$AA1972,"&lt;="&amp;$AH$1)/COUNTIF(D$3:$AA1972,"&lt;="&amp;$AH$1)</f>
        <v>31.306998517945853</v>
      </c>
    </row>
    <row r="1973" spans="2:34" x14ac:dyDescent="0.25">
      <c r="B1973" s="910">
        <v>41589</v>
      </c>
      <c r="C1973" s="581">
        <f t="shared" si="91"/>
        <v>11</v>
      </c>
      <c r="D1973" s="171">
        <v>44.92</v>
      </c>
      <c r="E1973" s="171">
        <v>32.700000000000003</v>
      </c>
      <c r="F1973" s="171">
        <v>33.08</v>
      </c>
      <c r="G1973" s="171">
        <v>32.700000000000003</v>
      </c>
      <c r="H1973" s="171">
        <v>33.08</v>
      </c>
      <c r="I1973" s="171">
        <v>33.08</v>
      </c>
      <c r="J1973" s="171">
        <v>43.99</v>
      </c>
      <c r="K1973" s="171">
        <v>52.43</v>
      </c>
      <c r="L1973" s="171">
        <v>47.32</v>
      </c>
      <c r="M1973" s="171">
        <v>51.9</v>
      </c>
      <c r="N1973" s="171">
        <v>59.33</v>
      </c>
      <c r="O1973" s="171">
        <v>63.96</v>
      </c>
      <c r="P1973" s="171">
        <v>59.92</v>
      </c>
      <c r="Q1973" s="171">
        <v>60</v>
      </c>
      <c r="R1973" s="171">
        <v>55</v>
      </c>
      <c r="S1973" s="171">
        <v>52.46</v>
      </c>
      <c r="T1973" s="171">
        <v>57.44</v>
      </c>
      <c r="U1973" s="171">
        <v>65.09</v>
      </c>
      <c r="V1973" s="171">
        <v>63.5</v>
      </c>
      <c r="W1973" s="171">
        <v>58.01</v>
      </c>
      <c r="X1973" s="171">
        <v>50.46</v>
      </c>
      <c r="Y1973" s="171">
        <v>46.06</v>
      </c>
      <c r="Z1973" s="171">
        <v>46.49</v>
      </c>
      <c r="AA1973" s="171">
        <v>45.31</v>
      </c>
      <c r="AB1973" s="171">
        <v>65.09</v>
      </c>
      <c r="AC1973" s="171">
        <v>46.06</v>
      </c>
      <c r="AD1973" s="171">
        <v>41.19</v>
      </c>
      <c r="AF1973" s="171">
        <f t="shared" si="92"/>
        <v>2013</v>
      </c>
      <c r="AG1973" s="171">
        <f t="shared" si="93"/>
        <v>5</v>
      </c>
      <c r="AH1973" s="700">
        <f>SUMIF(D$3:$AA1973,"&lt;="&amp;$AH$1)/COUNTIF(D$3:$AA1973,"&lt;="&amp;$AH$1)</f>
        <v>31.307520613244122</v>
      </c>
    </row>
    <row r="1974" spans="2:34" x14ac:dyDescent="0.25">
      <c r="B1974" s="910">
        <v>41590</v>
      </c>
      <c r="C1974" s="581">
        <f t="shared" si="91"/>
        <v>11</v>
      </c>
      <c r="D1974" s="171">
        <v>49.33</v>
      </c>
      <c r="E1974" s="171">
        <v>41.06</v>
      </c>
      <c r="F1974" s="171">
        <v>35.07</v>
      </c>
      <c r="G1974" s="171">
        <v>28.990000000000002</v>
      </c>
      <c r="H1974" s="171">
        <v>27.95</v>
      </c>
      <c r="I1974" s="171">
        <v>39.24</v>
      </c>
      <c r="J1974" s="171">
        <v>54.81</v>
      </c>
      <c r="K1974" s="171">
        <v>64.320000000000007</v>
      </c>
      <c r="L1974" s="171">
        <v>60.04</v>
      </c>
      <c r="M1974" s="171">
        <v>57.57</v>
      </c>
      <c r="N1974" s="171">
        <v>49.94</v>
      </c>
      <c r="O1974" s="171">
        <v>55</v>
      </c>
      <c r="P1974" s="171">
        <v>51.93</v>
      </c>
      <c r="Q1974" s="171">
        <v>50.34</v>
      </c>
      <c r="R1974" s="171">
        <v>52.4</v>
      </c>
      <c r="S1974" s="171">
        <v>56.59</v>
      </c>
      <c r="T1974" s="171">
        <v>58.97</v>
      </c>
      <c r="U1974" s="171">
        <v>90.03</v>
      </c>
      <c r="V1974" s="171">
        <v>105.34</v>
      </c>
      <c r="W1974" s="171">
        <v>70</v>
      </c>
      <c r="X1974" s="171">
        <v>60</v>
      </c>
      <c r="Y1974" s="171">
        <v>50.050000000000004</v>
      </c>
      <c r="Z1974" s="171">
        <v>54.99</v>
      </c>
      <c r="AA1974" s="171">
        <v>52.800000000000004</v>
      </c>
      <c r="AB1974" s="171">
        <v>105.34</v>
      </c>
      <c r="AC1974" s="171">
        <v>49.94</v>
      </c>
      <c r="AD1974" s="171">
        <v>46.550000000000004</v>
      </c>
      <c r="AF1974" s="171">
        <f t="shared" si="92"/>
        <v>2013</v>
      </c>
      <c r="AG1974" s="171">
        <f t="shared" si="93"/>
        <v>5</v>
      </c>
      <c r="AH1974" s="700">
        <f>SUMIF(D$3:$AA1974,"&lt;="&amp;$AH$1)/COUNTIF(D$3:$AA1974,"&lt;="&amp;$AH$1)</f>
        <v>31.308536286947117</v>
      </c>
    </row>
    <row r="1975" spans="2:34" x14ac:dyDescent="0.25">
      <c r="B1975" s="910">
        <v>41591</v>
      </c>
      <c r="C1975" s="581">
        <f t="shared" si="91"/>
        <v>11</v>
      </c>
      <c r="D1975" s="171">
        <v>48.19</v>
      </c>
      <c r="E1975" s="171">
        <v>41.99</v>
      </c>
      <c r="F1975" s="171">
        <v>32.83</v>
      </c>
      <c r="G1975" s="171">
        <v>29.990000000000002</v>
      </c>
      <c r="H1975" s="171">
        <v>31.220000000000002</v>
      </c>
      <c r="I1975" s="171">
        <v>42.75</v>
      </c>
      <c r="J1975" s="171">
        <v>45.88</v>
      </c>
      <c r="K1975" s="171">
        <v>54.93</v>
      </c>
      <c r="L1975" s="171">
        <v>55.910000000000004</v>
      </c>
      <c r="M1975" s="171">
        <v>60.120000000000005</v>
      </c>
      <c r="N1975" s="171">
        <v>57.08</v>
      </c>
      <c r="O1975" s="171">
        <v>55.95</v>
      </c>
      <c r="P1975" s="171">
        <v>53.410000000000004</v>
      </c>
      <c r="Q1975" s="171">
        <v>51.47</v>
      </c>
      <c r="R1975" s="171">
        <v>50</v>
      </c>
      <c r="S1975" s="171">
        <v>50.64</v>
      </c>
      <c r="T1975" s="171">
        <v>52.81</v>
      </c>
      <c r="U1975" s="171">
        <v>80</v>
      </c>
      <c r="V1975" s="171">
        <v>99.93</v>
      </c>
      <c r="W1975" s="171">
        <v>57.17</v>
      </c>
      <c r="X1975" s="171">
        <v>52.6</v>
      </c>
      <c r="Y1975" s="171">
        <v>48.160000000000004</v>
      </c>
      <c r="Z1975" s="171">
        <v>49.89</v>
      </c>
      <c r="AA1975" s="171">
        <v>50.84</v>
      </c>
      <c r="AB1975" s="171">
        <v>99.93</v>
      </c>
      <c r="AC1975" s="171">
        <v>48.160000000000004</v>
      </c>
      <c r="AD1975" s="171">
        <v>44.11</v>
      </c>
      <c r="AF1975" s="171">
        <f t="shared" si="92"/>
        <v>2013</v>
      </c>
      <c r="AG1975" s="171">
        <f t="shared" si="93"/>
        <v>4</v>
      </c>
      <c r="AH1975" s="700">
        <f>SUMIF(D$3:$AA1975,"&lt;="&amp;$AH$1)/COUNTIF(D$3:$AA1975,"&lt;="&amp;$AH$1)</f>
        <v>31.309231313976806</v>
      </c>
    </row>
    <row r="1976" spans="2:34" x14ac:dyDescent="0.25">
      <c r="B1976" s="910">
        <v>41592</v>
      </c>
      <c r="C1976" s="581">
        <f t="shared" si="91"/>
        <v>11</v>
      </c>
      <c r="D1976" s="171">
        <v>43.02</v>
      </c>
      <c r="E1976" s="171">
        <v>36.64</v>
      </c>
      <c r="F1976" s="171">
        <v>36.28</v>
      </c>
      <c r="G1976" s="171">
        <v>32.64</v>
      </c>
      <c r="H1976" s="171">
        <v>29.25</v>
      </c>
      <c r="I1976" s="171">
        <v>31.55</v>
      </c>
      <c r="J1976" s="171">
        <v>41.93</v>
      </c>
      <c r="K1976" s="171">
        <v>53.730000000000004</v>
      </c>
      <c r="L1976" s="171">
        <v>55.910000000000004</v>
      </c>
      <c r="M1976" s="171">
        <v>54.19</v>
      </c>
      <c r="N1976" s="171">
        <v>56.230000000000004</v>
      </c>
      <c r="O1976" s="171">
        <v>59.67</v>
      </c>
      <c r="P1976" s="171">
        <v>57.44</v>
      </c>
      <c r="Q1976" s="171">
        <v>57.910000000000004</v>
      </c>
      <c r="R1976" s="171">
        <v>57.43</v>
      </c>
      <c r="S1976" s="171">
        <v>56.51</v>
      </c>
      <c r="T1976" s="171">
        <v>55.910000000000004</v>
      </c>
      <c r="U1976" s="171">
        <v>75.63</v>
      </c>
      <c r="V1976" s="171">
        <v>90.45</v>
      </c>
      <c r="W1976" s="171">
        <v>61.120000000000005</v>
      </c>
      <c r="X1976" s="171">
        <v>54.63</v>
      </c>
      <c r="Y1976" s="171">
        <v>55</v>
      </c>
      <c r="Z1976" s="171">
        <v>56.2</v>
      </c>
      <c r="AA1976" s="171">
        <v>52.74</v>
      </c>
      <c r="AB1976" s="171">
        <v>90.45</v>
      </c>
      <c r="AC1976" s="171">
        <v>53.730000000000004</v>
      </c>
      <c r="AD1976" s="171">
        <v>43.63</v>
      </c>
      <c r="AF1976" s="171">
        <f t="shared" si="92"/>
        <v>2013</v>
      </c>
      <c r="AG1976" s="171">
        <f t="shared" si="93"/>
        <v>6</v>
      </c>
      <c r="AH1976" s="700">
        <f>SUMIF(D$3:$AA1976,"&lt;="&amp;$AH$1)/COUNTIF(D$3:$AA1976,"&lt;="&amp;$AH$1)</f>
        <v>31.310546367205209</v>
      </c>
    </row>
    <row r="1977" spans="2:34" x14ac:dyDescent="0.25">
      <c r="B1977" s="910">
        <v>41593</v>
      </c>
      <c r="C1977" s="581">
        <f t="shared" si="91"/>
        <v>11</v>
      </c>
      <c r="D1977" s="171">
        <v>58.34</v>
      </c>
      <c r="E1977" s="171">
        <v>50.4</v>
      </c>
      <c r="F1977" s="171">
        <v>49.800000000000004</v>
      </c>
      <c r="G1977" s="171">
        <v>43.01</v>
      </c>
      <c r="H1977" s="171">
        <v>35.21</v>
      </c>
      <c r="I1977" s="171">
        <v>38.94</v>
      </c>
      <c r="J1977" s="171">
        <v>44.96</v>
      </c>
      <c r="K1977" s="171">
        <v>52.4</v>
      </c>
      <c r="L1977" s="171">
        <v>55.94</v>
      </c>
      <c r="M1977" s="171">
        <v>58.43</v>
      </c>
      <c r="N1977" s="171">
        <v>59.94</v>
      </c>
      <c r="O1977" s="171">
        <v>57.44</v>
      </c>
      <c r="P1977" s="171">
        <v>58.33</v>
      </c>
      <c r="Q1977" s="171">
        <v>52.85</v>
      </c>
      <c r="R1977" s="171">
        <v>53.02</v>
      </c>
      <c r="S1977" s="171">
        <v>50.81</v>
      </c>
      <c r="T1977" s="171">
        <v>48.980000000000004</v>
      </c>
      <c r="U1977" s="171">
        <v>64.44</v>
      </c>
      <c r="V1977" s="171">
        <v>69.98</v>
      </c>
      <c r="W1977" s="171">
        <v>61.33</v>
      </c>
      <c r="X1977" s="171">
        <v>56.58</v>
      </c>
      <c r="Y1977" s="171">
        <v>48.65</v>
      </c>
      <c r="Z1977" s="171">
        <v>64.94</v>
      </c>
      <c r="AA1977" s="171">
        <v>56.230000000000004</v>
      </c>
      <c r="AB1977" s="171">
        <v>69.98</v>
      </c>
      <c r="AC1977" s="171">
        <v>48.65</v>
      </c>
      <c r="AD1977" s="171">
        <v>49.71</v>
      </c>
      <c r="AF1977" s="171">
        <f t="shared" si="92"/>
        <v>2013</v>
      </c>
      <c r="AG1977" s="171">
        <f t="shared" si="93"/>
        <v>2</v>
      </c>
      <c r="AH1977" s="700">
        <f>SUMIF(D$3:$AA1977,"&lt;="&amp;$AH$1)/COUNTIF(D$3:$AA1977,"&lt;="&amp;$AH$1)</f>
        <v>31.311288205392302</v>
      </c>
    </row>
    <row r="1978" spans="2:34" x14ac:dyDescent="0.25">
      <c r="B1978" s="910">
        <v>41596</v>
      </c>
      <c r="C1978" s="581">
        <f t="shared" si="91"/>
        <v>11</v>
      </c>
      <c r="D1978" s="171">
        <v>42.4</v>
      </c>
      <c r="E1978" s="171">
        <v>41.67</v>
      </c>
      <c r="F1978" s="171">
        <v>37.08</v>
      </c>
      <c r="G1978" s="171">
        <v>35.090000000000003</v>
      </c>
      <c r="H1978" s="171">
        <v>37.08</v>
      </c>
      <c r="I1978" s="171">
        <v>38.130000000000003</v>
      </c>
      <c r="J1978" s="171">
        <v>55.31</v>
      </c>
      <c r="K1978" s="171">
        <v>61.4</v>
      </c>
      <c r="L1978" s="171">
        <v>58.620000000000005</v>
      </c>
      <c r="M1978" s="171">
        <v>62.47</v>
      </c>
      <c r="N1978" s="171">
        <v>62.480000000000004</v>
      </c>
      <c r="O1978" s="171">
        <v>70.12</v>
      </c>
      <c r="P1978" s="171">
        <v>69.510000000000005</v>
      </c>
      <c r="Q1978" s="171">
        <v>66.2</v>
      </c>
      <c r="R1978" s="171">
        <v>64.239999999999995</v>
      </c>
      <c r="S1978" s="171">
        <v>57.26</v>
      </c>
      <c r="T1978" s="171">
        <v>58.04</v>
      </c>
      <c r="U1978" s="171">
        <v>80.13</v>
      </c>
      <c r="V1978" s="171">
        <v>79.94</v>
      </c>
      <c r="W1978" s="171">
        <v>55.86</v>
      </c>
      <c r="X1978" s="171">
        <v>59.74</v>
      </c>
      <c r="Y1978" s="171">
        <v>54.89</v>
      </c>
      <c r="Z1978" s="171">
        <v>54.94</v>
      </c>
      <c r="AA1978" s="171">
        <v>55.410000000000004</v>
      </c>
      <c r="AB1978" s="171">
        <v>80.13</v>
      </c>
      <c r="AC1978" s="171">
        <v>54.89</v>
      </c>
      <c r="AD1978" s="171">
        <v>47.76</v>
      </c>
      <c r="AF1978" s="171">
        <f t="shared" si="92"/>
        <v>2013</v>
      </c>
      <c r="AG1978" s="171">
        <f t="shared" si="93"/>
        <v>6</v>
      </c>
      <c r="AH1978" s="700">
        <f>SUMIF(D$3:$AA1978,"&lt;="&amp;$AH$1)/COUNTIF(D$3:$AA1978,"&lt;="&amp;$AH$1)</f>
        <v>31.31409146459136</v>
      </c>
    </row>
    <row r="1979" spans="2:34" x14ac:dyDescent="0.25">
      <c r="B1979" s="910">
        <v>41597</v>
      </c>
      <c r="C1979" s="581">
        <f t="shared" si="91"/>
        <v>11</v>
      </c>
      <c r="D1979" s="171">
        <v>53.46</v>
      </c>
      <c r="E1979" s="171">
        <v>48.19</v>
      </c>
      <c r="F1979" s="171">
        <v>46.21</v>
      </c>
      <c r="G1979" s="171">
        <v>35.590000000000003</v>
      </c>
      <c r="H1979" s="171">
        <v>32.020000000000003</v>
      </c>
      <c r="I1979" s="171">
        <v>47.52</v>
      </c>
      <c r="J1979" s="171">
        <v>55.93</v>
      </c>
      <c r="K1979" s="171">
        <v>60.03</v>
      </c>
      <c r="L1979" s="171">
        <v>67.17</v>
      </c>
      <c r="M1979" s="171">
        <v>63.06</v>
      </c>
      <c r="N1979" s="171">
        <v>60.120000000000005</v>
      </c>
      <c r="O1979" s="171">
        <v>60.300000000000004</v>
      </c>
      <c r="P1979" s="171">
        <v>57.97</v>
      </c>
      <c r="Q1979" s="171">
        <v>59.94</v>
      </c>
      <c r="R1979" s="171">
        <v>61.14</v>
      </c>
      <c r="S1979" s="171">
        <v>60.07</v>
      </c>
      <c r="T1979" s="171">
        <v>62.96</v>
      </c>
      <c r="U1979" s="171">
        <v>89.79</v>
      </c>
      <c r="V1979" s="171">
        <v>94.95</v>
      </c>
      <c r="W1979" s="171">
        <v>68.44</v>
      </c>
      <c r="X1979" s="171">
        <v>58.36</v>
      </c>
      <c r="Y1979" s="171">
        <v>54.49</v>
      </c>
      <c r="Z1979" s="171">
        <v>59.81</v>
      </c>
      <c r="AA1979" s="171">
        <v>56.18</v>
      </c>
      <c r="AB1979" s="171">
        <v>94.95</v>
      </c>
      <c r="AC1979" s="171">
        <v>54.49</v>
      </c>
      <c r="AD1979" s="171">
        <v>50.65</v>
      </c>
      <c r="AF1979" s="171">
        <f t="shared" si="92"/>
        <v>2013</v>
      </c>
      <c r="AG1979" s="171">
        <f t="shared" si="93"/>
        <v>2</v>
      </c>
      <c r="AH1979" s="700">
        <f>SUMIF(D$3:$AA1979,"&lt;="&amp;$AH$1)/COUNTIF(D$3:$AA1979,"&lt;="&amp;$AH$1)</f>
        <v>31.314411859283677</v>
      </c>
    </row>
    <row r="1980" spans="2:34" x14ac:dyDescent="0.25">
      <c r="B1980" s="910">
        <v>41598</v>
      </c>
      <c r="C1980" s="581">
        <f t="shared" si="91"/>
        <v>11</v>
      </c>
      <c r="D1980" s="171">
        <v>47.910000000000004</v>
      </c>
      <c r="E1980" s="171">
        <v>40.770000000000003</v>
      </c>
      <c r="F1980" s="171">
        <v>39.97</v>
      </c>
      <c r="G1980" s="171">
        <v>34.869999999999997</v>
      </c>
      <c r="H1980" s="171">
        <v>33.99</v>
      </c>
      <c r="I1980" s="171">
        <v>38.160000000000004</v>
      </c>
      <c r="J1980" s="171">
        <v>49.730000000000004</v>
      </c>
      <c r="K1980" s="171">
        <v>57.09</v>
      </c>
      <c r="L1980" s="171">
        <v>58.9</v>
      </c>
      <c r="M1980" s="171">
        <v>59.45</v>
      </c>
      <c r="N1980" s="171">
        <v>64.23</v>
      </c>
      <c r="O1980" s="171">
        <v>64.23</v>
      </c>
      <c r="P1980" s="171">
        <v>58.49</v>
      </c>
      <c r="Q1980" s="171">
        <v>58.5</v>
      </c>
      <c r="R1980" s="171">
        <v>57.92</v>
      </c>
      <c r="S1980" s="171">
        <v>59.01</v>
      </c>
      <c r="T1980" s="171">
        <v>63.9</v>
      </c>
      <c r="U1980" s="171">
        <v>84.960000000000008</v>
      </c>
      <c r="V1980" s="171">
        <v>69.48</v>
      </c>
      <c r="W1980" s="171">
        <v>53</v>
      </c>
      <c r="X1980" s="171">
        <v>58</v>
      </c>
      <c r="Y1980" s="171">
        <v>55.870000000000005</v>
      </c>
      <c r="Z1980" s="171">
        <v>59.93</v>
      </c>
      <c r="AA1980" s="171">
        <v>55</v>
      </c>
      <c r="AB1980" s="171">
        <v>84.960000000000008</v>
      </c>
      <c r="AC1980" s="171">
        <v>53</v>
      </c>
      <c r="AD1980" s="171">
        <v>47.61</v>
      </c>
      <c r="AF1980" s="171">
        <f t="shared" si="92"/>
        <v>2013</v>
      </c>
      <c r="AG1980" s="171">
        <f t="shared" si="93"/>
        <v>5</v>
      </c>
      <c r="AH1980" s="700">
        <f>SUMIF(D$3:$AA1980,"&lt;="&amp;$AH$1)/COUNTIF(D$3:$AA1980,"&lt;="&amp;$AH$1)</f>
        <v>31.316416998842861</v>
      </c>
    </row>
    <row r="1981" spans="2:34" x14ac:dyDescent="0.25">
      <c r="B1981" s="910">
        <v>41599</v>
      </c>
      <c r="C1981" s="581">
        <f t="shared" si="91"/>
        <v>11</v>
      </c>
      <c r="D1981" s="171">
        <v>49.96</v>
      </c>
      <c r="E1981" s="171">
        <v>49.88</v>
      </c>
      <c r="F1981" s="171">
        <v>45.53</v>
      </c>
      <c r="G1981" s="171">
        <v>38.46</v>
      </c>
      <c r="H1981" s="171">
        <v>34.39</v>
      </c>
      <c r="I1981" s="171">
        <v>47.36</v>
      </c>
      <c r="J1981" s="171">
        <v>56.65</v>
      </c>
      <c r="K1981" s="171">
        <v>65.960000000000008</v>
      </c>
      <c r="L1981" s="171">
        <v>65.02</v>
      </c>
      <c r="M1981" s="171">
        <v>64.460000000000008</v>
      </c>
      <c r="N1981" s="171">
        <v>61.22</v>
      </c>
      <c r="O1981" s="171">
        <v>64.040000000000006</v>
      </c>
      <c r="P1981" s="171">
        <v>63.93</v>
      </c>
      <c r="Q1981" s="171">
        <v>64.45</v>
      </c>
      <c r="R1981" s="171">
        <v>65.03</v>
      </c>
      <c r="S1981" s="171">
        <v>64.45</v>
      </c>
      <c r="T1981" s="171">
        <v>64.09</v>
      </c>
      <c r="U1981" s="171">
        <v>94.26</v>
      </c>
      <c r="V1981" s="171">
        <v>93.13</v>
      </c>
      <c r="W1981" s="171">
        <v>65.739999999999995</v>
      </c>
      <c r="X1981" s="171">
        <v>60.04</v>
      </c>
      <c r="Y1981" s="171">
        <v>56.38</v>
      </c>
      <c r="Z1981" s="171">
        <v>58.370000000000005</v>
      </c>
      <c r="AA1981" s="171">
        <v>58.120000000000005</v>
      </c>
      <c r="AB1981" s="171">
        <v>94.26</v>
      </c>
      <c r="AC1981" s="171">
        <v>56.38</v>
      </c>
      <c r="AD1981" s="171">
        <v>51.76</v>
      </c>
      <c r="AF1981" s="171">
        <f t="shared" si="92"/>
        <v>2013</v>
      </c>
      <c r="AG1981" s="171">
        <f t="shared" si="93"/>
        <v>2</v>
      </c>
      <c r="AH1981" s="700">
        <f>SUMIF(D$3:$AA1981,"&lt;="&amp;$AH$1)/COUNTIF(D$3:$AA1981,"&lt;="&amp;$AH$1)</f>
        <v>31.317073797891609</v>
      </c>
    </row>
    <row r="1982" spans="2:34" x14ac:dyDescent="0.25">
      <c r="B1982" s="910">
        <v>41600</v>
      </c>
      <c r="C1982" s="581">
        <f t="shared" si="91"/>
        <v>11</v>
      </c>
      <c r="D1982" s="171">
        <v>54.07</v>
      </c>
      <c r="E1982" s="171">
        <v>51.58</v>
      </c>
      <c r="F1982" s="171">
        <v>48.79</v>
      </c>
      <c r="G1982" s="171">
        <v>40.74</v>
      </c>
      <c r="H1982" s="171">
        <v>41.96</v>
      </c>
      <c r="I1982" s="171">
        <v>46.74</v>
      </c>
      <c r="J1982" s="171">
        <v>53.370000000000005</v>
      </c>
      <c r="K1982" s="171">
        <v>65.320000000000007</v>
      </c>
      <c r="L1982" s="171">
        <v>61.65</v>
      </c>
      <c r="M1982" s="171">
        <v>71.760000000000005</v>
      </c>
      <c r="N1982" s="171">
        <v>69.81</v>
      </c>
      <c r="O1982" s="171">
        <v>68.63</v>
      </c>
      <c r="P1982" s="171">
        <v>65.900000000000006</v>
      </c>
      <c r="Q1982" s="171">
        <v>62.7</v>
      </c>
      <c r="R1982" s="171">
        <v>55.83</v>
      </c>
      <c r="S1982" s="171">
        <v>55.14</v>
      </c>
      <c r="T1982" s="171">
        <v>64.78</v>
      </c>
      <c r="U1982" s="171">
        <v>73.39</v>
      </c>
      <c r="V1982" s="171">
        <v>69.72</v>
      </c>
      <c r="W1982" s="171">
        <v>52</v>
      </c>
      <c r="X1982" s="171">
        <v>57.44</v>
      </c>
      <c r="Y1982" s="171">
        <v>59.94</v>
      </c>
      <c r="Z1982" s="171">
        <v>60.59</v>
      </c>
      <c r="AA1982" s="171">
        <v>57.49</v>
      </c>
      <c r="AB1982" s="171">
        <v>73.39</v>
      </c>
      <c r="AC1982" s="171">
        <v>52</v>
      </c>
      <c r="AD1982" s="171">
        <v>53.17</v>
      </c>
      <c r="AF1982" s="171">
        <f t="shared" si="92"/>
        <v>2013</v>
      </c>
      <c r="AG1982" s="171">
        <f t="shared" si="93"/>
        <v>2</v>
      </c>
      <c r="AH1982" s="700">
        <f>SUMIF(D$3:$AA1982,"&lt;="&amp;$AH$1)/COUNTIF(D$3:$AA1982,"&lt;="&amp;$AH$1)</f>
        <v>31.318363542871957</v>
      </c>
    </row>
    <row r="1983" spans="2:34" x14ac:dyDescent="0.25">
      <c r="B1983" s="910">
        <v>41603</v>
      </c>
      <c r="C1983" s="581">
        <f t="shared" si="91"/>
        <v>11</v>
      </c>
      <c r="D1983" s="171">
        <v>55.01</v>
      </c>
      <c r="E1983" s="171">
        <v>48.480000000000004</v>
      </c>
      <c r="F1983" s="171">
        <v>38.01</v>
      </c>
      <c r="G1983" s="171">
        <v>29.48</v>
      </c>
      <c r="H1983" s="171">
        <v>29.35</v>
      </c>
      <c r="I1983" s="171">
        <v>41.800000000000004</v>
      </c>
      <c r="J1983" s="171">
        <v>57.14</v>
      </c>
      <c r="K1983" s="171">
        <v>68.17</v>
      </c>
      <c r="L1983" s="171">
        <v>61.08</v>
      </c>
      <c r="M1983" s="171">
        <v>66.760000000000005</v>
      </c>
      <c r="N1983" s="171">
        <v>67.75</v>
      </c>
      <c r="O1983" s="171">
        <v>66.83</v>
      </c>
      <c r="P1983" s="171">
        <v>59.21</v>
      </c>
      <c r="Q1983" s="171">
        <v>60.57</v>
      </c>
      <c r="R1983" s="171">
        <v>54.88</v>
      </c>
      <c r="S1983" s="171">
        <v>62.52</v>
      </c>
      <c r="T1983" s="171">
        <v>59.59</v>
      </c>
      <c r="U1983" s="171">
        <v>79.3</v>
      </c>
      <c r="V1983" s="171">
        <v>84.19</v>
      </c>
      <c r="W1983" s="171">
        <v>59</v>
      </c>
      <c r="X1983" s="171">
        <v>57.44</v>
      </c>
      <c r="Y1983" s="171">
        <v>57.56</v>
      </c>
      <c r="Z1983" s="171">
        <v>56.4</v>
      </c>
      <c r="AA1983" s="171">
        <v>58.07</v>
      </c>
      <c r="AB1983" s="171">
        <v>84.19</v>
      </c>
      <c r="AC1983" s="171">
        <v>54.88</v>
      </c>
      <c r="AD1983" s="171">
        <v>49.74</v>
      </c>
      <c r="AF1983" s="171">
        <f t="shared" si="92"/>
        <v>2013</v>
      </c>
      <c r="AG1983" s="171">
        <f t="shared" si="93"/>
        <v>4</v>
      </c>
      <c r="AH1983" s="700">
        <f>SUMIF(D$3:$AA1983,"&lt;="&amp;$AH$1)/COUNTIF(D$3:$AA1983,"&lt;="&amp;$AH$1)</f>
        <v>31.319222464978914</v>
      </c>
    </row>
    <row r="1984" spans="2:34" x14ac:dyDescent="0.25">
      <c r="B1984" s="910">
        <v>41604</v>
      </c>
      <c r="C1984" s="581">
        <f t="shared" si="91"/>
        <v>11</v>
      </c>
      <c r="D1984" s="171">
        <v>58.09</v>
      </c>
      <c r="E1984" s="171">
        <v>55.46</v>
      </c>
      <c r="F1984" s="171">
        <v>52.28</v>
      </c>
      <c r="G1984" s="171">
        <v>49.6</v>
      </c>
      <c r="H1984" s="171">
        <v>48.29</v>
      </c>
      <c r="I1984" s="171">
        <v>46.47</v>
      </c>
      <c r="J1984" s="171">
        <v>48.76</v>
      </c>
      <c r="K1984" s="171">
        <v>61.120000000000005</v>
      </c>
      <c r="L1984" s="171">
        <v>65.510000000000005</v>
      </c>
      <c r="M1984" s="171">
        <v>65.44</v>
      </c>
      <c r="N1984" s="171">
        <v>62.28</v>
      </c>
      <c r="O1984" s="171">
        <v>60.99</v>
      </c>
      <c r="P1984" s="171">
        <v>54.11</v>
      </c>
      <c r="Q1984" s="171">
        <v>55.81</v>
      </c>
      <c r="R1984" s="171">
        <v>56.96</v>
      </c>
      <c r="S1984" s="171">
        <v>63.78</v>
      </c>
      <c r="T1984" s="171">
        <v>70.69</v>
      </c>
      <c r="U1984" s="171">
        <v>114.32000000000001</v>
      </c>
      <c r="V1984" s="171">
        <v>110.24000000000001</v>
      </c>
      <c r="W1984" s="171">
        <v>74.94</v>
      </c>
      <c r="X1984" s="171">
        <v>59.92</v>
      </c>
      <c r="Y1984" s="171">
        <v>59.2</v>
      </c>
      <c r="Z1984" s="171">
        <v>58.83</v>
      </c>
      <c r="AA1984" s="171">
        <v>58.29</v>
      </c>
      <c r="AB1984" s="171">
        <v>114.32000000000001</v>
      </c>
      <c r="AC1984" s="171">
        <v>54.11</v>
      </c>
      <c r="AD1984" s="171">
        <v>54.69</v>
      </c>
      <c r="AF1984" s="171">
        <f t="shared" si="92"/>
        <v>2013</v>
      </c>
      <c r="AG1984" s="171">
        <f t="shared" si="93"/>
        <v>0</v>
      </c>
      <c r="AH1984" s="700">
        <f>SUMIF(D$3:$AA1984,"&lt;="&amp;$AH$1)/COUNTIF(D$3:$AA1984,"&lt;="&amp;$AH$1)</f>
        <v>31.319222464978914</v>
      </c>
    </row>
    <row r="1985" spans="2:34" x14ac:dyDescent="0.25">
      <c r="B1985" s="910">
        <v>41605</v>
      </c>
      <c r="C1985" s="581">
        <f t="shared" si="91"/>
        <v>11</v>
      </c>
      <c r="D1985" s="171">
        <v>47</v>
      </c>
      <c r="E1985" s="171">
        <v>50.51</v>
      </c>
      <c r="F1985" s="171">
        <v>50.32</v>
      </c>
      <c r="G1985" s="171">
        <v>44.08</v>
      </c>
      <c r="H1985" s="171">
        <v>42.410000000000004</v>
      </c>
      <c r="I1985" s="171">
        <v>49.78</v>
      </c>
      <c r="J1985" s="171">
        <v>50.32</v>
      </c>
      <c r="K1985" s="171">
        <v>62.85</v>
      </c>
      <c r="L1985" s="171">
        <v>63.99</v>
      </c>
      <c r="M1985" s="171">
        <v>60.52</v>
      </c>
      <c r="N1985" s="171">
        <v>63.67</v>
      </c>
      <c r="O1985" s="171">
        <v>65.150000000000006</v>
      </c>
      <c r="P1985" s="171">
        <v>64.820000000000007</v>
      </c>
      <c r="Q1985" s="171">
        <v>63.32</v>
      </c>
      <c r="R1985" s="171">
        <v>66</v>
      </c>
      <c r="S1985" s="171">
        <v>60.49</v>
      </c>
      <c r="T1985" s="171">
        <v>61.57</v>
      </c>
      <c r="U1985" s="171">
        <v>82.45</v>
      </c>
      <c r="V1985" s="171">
        <v>59.85</v>
      </c>
      <c r="W1985" s="171">
        <v>52.04</v>
      </c>
      <c r="X1985" s="171">
        <v>51.51</v>
      </c>
      <c r="Y1985" s="171">
        <v>54.94</v>
      </c>
      <c r="Z1985" s="171">
        <v>55</v>
      </c>
      <c r="AA1985" s="171">
        <v>60</v>
      </c>
      <c r="AB1985" s="171">
        <v>82.45</v>
      </c>
      <c r="AC1985" s="171">
        <v>51.51</v>
      </c>
      <c r="AD1985" s="171">
        <v>51.56</v>
      </c>
      <c r="AF1985" s="171">
        <f t="shared" si="92"/>
        <v>2013</v>
      </c>
      <c r="AG1985" s="171">
        <f t="shared" si="93"/>
        <v>1</v>
      </c>
      <c r="AH1985" s="700">
        <f>SUMIF(D$3:$AA1985,"&lt;="&amp;$AH$1)/COUNTIF(D$3:$AA1985,"&lt;="&amp;$AH$1)</f>
        <v>31.319935102486784</v>
      </c>
    </row>
    <row r="1986" spans="2:34" x14ac:dyDescent="0.25">
      <c r="B1986" s="910">
        <v>41606</v>
      </c>
      <c r="C1986" s="581">
        <f t="shared" si="91"/>
        <v>11</v>
      </c>
      <c r="D1986" s="171">
        <v>53.61</v>
      </c>
      <c r="E1986" s="171">
        <v>54.94</v>
      </c>
      <c r="F1986" s="171">
        <v>51.6</v>
      </c>
      <c r="G1986" s="171">
        <v>49.45</v>
      </c>
      <c r="H1986" s="171">
        <v>48.230000000000004</v>
      </c>
      <c r="I1986" s="171">
        <v>50.29</v>
      </c>
      <c r="J1986" s="171">
        <v>55.620000000000005</v>
      </c>
      <c r="K1986" s="171">
        <v>61.99</v>
      </c>
      <c r="L1986" s="171">
        <v>59.08</v>
      </c>
      <c r="M1986" s="171">
        <v>66.05</v>
      </c>
      <c r="N1986" s="171">
        <v>70</v>
      </c>
      <c r="O1986" s="171">
        <v>66.099999999999994</v>
      </c>
      <c r="P1986" s="171">
        <v>64.91</v>
      </c>
      <c r="Q1986" s="171">
        <v>62.57</v>
      </c>
      <c r="R1986" s="171">
        <v>60.9</v>
      </c>
      <c r="S1986" s="171">
        <v>60.58</v>
      </c>
      <c r="T1986" s="171">
        <v>62.57</v>
      </c>
      <c r="U1986" s="171">
        <v>84.31</v>
      </c>
      <c r="V1986" s="171">
        <v>59.94</v>
      </c>
      <c r="W1986" s="171">
        <v>55</v>
      </c>
      <c r="X1986" s="171">
        <v>59.94</v>
      </c>
      <c r="Y1986" s="171">
        <v>60</v>
      </c>
      <c r="Z1986" s="171">
        <v>59.96</v>
      </c>
      <c r="AA1986" s="171">
        <v>55</v>
      </c>
      <c r="AB1986" s="171">
        <v>84.31</v>
      </c>
      <c r="AC1986" s="171">
        <v>55</v>
      </c>
      <c r="AD1986" s="171">
        <v>55.050000000000004</v>
      </c>
      <c r="AF1986" s="171">
        <f t="shared" si="92"/>
        <v>2013</v>
      </c>
      <c r="AG1986" s="171">
        <f t="shared" si="93"/>
        <v>0</v>
      </c>
      <c r="AH1986" s="700">
        <f>SUMIF(D$3:$AA1986,"&lt;="&amp;$AH$1)/COUNTIF(D$3:$AA1986,"&lt;="&amp;$AH$1)</f>
        <v>31.319935102486784</v>
      </c>
    </row>
    <row r="1987" spans="2:34" x14ac:dyDescent="0.25">
      <c r="B1987" s="910">
        <v>41607</v>
      </c>
      <c r="C1987" s="581">
        <f t="shared" si="91"/>
        <v>11</v>
      </c>
      <c r="D1987" s="171">
        <v>60.68</v>
      </c>
      <c r="E1987" s="171">
        <v>59.4</v>
      </c>
      <c r="F1987" s="171">
        <v>54.74</v>
      </c>
      <c r="G1987" s="171">
        <v>51.19</v>
      </c>
      <c r="H1987" s="171">
        <v>48.92</v>
      </c>
      <c r="I1987" s="171">
        <v>53.01</v>
      </c>
      <c r="J1987" s="171">
        <v>56.95</v>
      </c>
      <c r="K1987" s="171">
        <v>70.08</v>
      </c>
      <c r="L1987" s="171">
        <v>69.27</v>
      </c>
      <c r="M1987" s="171">
        <v>67.56</v>
      </c>
      <c r="N1987" s="171">
        <v>64.06</v>
      </c>
      <c r="O1987" s="171">
        <v>59.96</v>
      </c>
      <c r="P1987" s="171">
        <v>59.96</v>
      </c>
      <c r="Q1987" s="171">
        <v>54.94</v>
      </c>
      <c r="R1987" s="171">
        <v>54.94</v>
      </c>
      <c r="S1987" s="171">
        <v>54.94</v>
      </c>
      <c r="T1987" s="171">
        <v>54.730000000000004</v>
      </c>
      <c r="U1987" s="171">
        <v>73.7</v>
      </c>
      <c r="V1987" s="171">
        <v>80</v>
      </c>
      <c r="W1987" s="171">
        <v>67.989999999999995</v>
      </c>
      <c r="X1987" s="171">
        <v>61.17</v>
      </c>
      <c r="Y1987" s="171">
        <v>55.61</v>
      </c>
      <c r="Z1987" s="171">
        <v>57.24</v>
      </c>
      <c r="AA1987" s="171">
        <v>54.94</v>
      </c>
      <c r="AB1987" s="171">
        <v>80</v>
      </c>
      <c r="AC1987" s="171">
        <v>54.730000000000004</v>
      </c>
      <c r="AD1987" s="171">
        <v>56.99</v>
      </c>
      <c r="AF1987" s="171">
        <f t="shared" si="92"/>
        <v>2013</v>
      </c>
      <c r="AG1987" s="171">
        <f t="shared" si="93"/>
        <v>0</v>
      </c>
      <c r="AH1987" s="700">
        <f>SUMIF(D$3:$AA1987,"&lt;="&amp;$AH$1)/COUNTIF(D$3:$AA1987,"&lt;="&amp;$AH$1)</f>
        <v>31.319935102486784</v>
      </c>
    </row>
    <row r="1988" spans="2:34" x14ac:dyDescent="0.25">
      <c r="B1988" s="910">
        <v>41610</v>
      </c>
      <c r="C1988" s="581">
        <f t="shared" ref="C1988:C2051" si="94">MONTH(B1988)</f>
        <v>12</v>
      </c>
      <c r="D1988" s="171">
        <v>52.68</v>
      </c>
      <c r="E1988" s="171">
        <v>51.08</v>
      </c>
      <c r="F1988" s="171">
        <v>46.27</v>
      </c>
      <c r="G1988" s="171">
        <v>33.410000000000004</v>
      </c>
      <c r="H1988" s="171">
        <v>32.46</v>
      </c>
      <c r="I1988" s="171">
        <v>41.01</v>
      </c>
      <c r="J1988" s="171">
        <v>55.1</v>
      </c>
      <c r="K1988" s="171">
        <v>69.84</v>
      </c>
      <c r="L1988" s="171">
        <v>74.5</v>
      </c>
      <c r="M1988" s="171">
        <v>68.790000000000006</v>
      </c>
      <c r="N1988" s="171">
        <v>59.480000000000004</v>
      </c>
      <c r="O1988" s="171">
        <v>56.050000000000004</v>
      </c>
      <c r="P1988" s="171">
        <v>52.77</v>
      </c>
      <c r="Q1988" s="171">
        <v>55.31</v>
      </c>
      <c r="R1988" s="171">
        <v>60.44</v>
      </c>
      <c r="S1988" s="171">
        <v>60.6</v>
      </c>
      <c r="T1988" s="171">
        <v>68.77</v>
      </c>
      <c r="U1988" s="171">
        <v>99.960000000000008</v>
      </c>
      <c r="V1988" s="171">
        <v>116.53</v>
      </c>
      <c r="W1988" s="171">
        <v>81.900000000000006</v>
      </c>
      <c r="X1988" s="171">
        <v>68.760000000000005</v>
      </c>
      <c r="Y1988" s="171">
        <v>59.81</v>
      </c>
      <c r="Z1988" s="171">
        <v>57.92</v>
      </c>
      <c r="AA1988" s="171">
        <v>56.08</v>
      </c>
      <c r="AB1988" s="171">
        <v>116.53</v>
      </c>
      <c r="AC1988" s="171">
        <v>52.77</v>
      </c>
      <c r="AD1988" s="171">
        <v>52.03</v>
      </c>
      <c r="AF1988" s="171">
        <f t="shared" ref="AF1988:AF2051" si="95">YEAR(B1988)</f>
        <v>2013</v>
      </c>
      <c r="AG1988" s="171">
        <f t="shared" ref="AG1988:AG2051" si="96">COUNTIF(D1988:AA1988,"&lt;="&amp;$AH$1)</f>
        <v>3</v>
      </c>
      <c r="AH1988" s="700">
        <f>SUMIF(D$3:$AA1988,"&lt;="&amp;$AH$1)/COUNTIF(D$3:$AA1988,"&lt;="&amp;$AH$1)</f>
        <v>31.320765129127704</v>
      </c>
    </row>
    <row r="1989" spans="2:34" x14ac:dyDescent="0.25">
      <c r="B1989" s="910">
        <v>41611</v>
      </c>
      <c r="C1989" s="581">
        <f t="shared" si="94"/>
        <v>12</v>
      </c>
      <c r="D1989" s="171">
        <v>51.57</v>
      </c>
      <c r="E1989" s="171">
        <v>50.33</v>
      </c>
      <c r="F1989" s="171">
        <v>50.04</v>
      </c>
      <c r="G1989" s="171">
        <v>49.51</v>
      </c>
      <c r="H1989" s="171">
        <v>46.84</v>
      </c>
      <c r="I1989" s="171">
        <v>43.33</v>
      </c>
      <c r="J1989" s="171">
        <v>49.14</v>
      </c>
      <c r="K1989" s="171">
        <v>63.230000000000004</v>
      </c>
      <c r="L1989" s="171">
        <v>69.86</v>
      </c>
      <c r="M1989" s="171">
        <v>64.180000000000007</v>
      </c>
      <c r="N1989" s="171">
        <v>51.97</v>
      </c>
      <c r="O1989" s="171">
        <v>51.29</v>
      </c>
      <c r="P1989" s="171">
        <v>51.14</v>
      </c>
      <c r="Q1989" s="171">
        <v>51.92</v>
      </c>
      <c r="R1989" s="171">
        <v>57.93</v>
      </c>
      <c r="S1989" s="171">
        <v>72.67</v>
      </c>
      <c r="T1989" s="171">
        <v>77.84</v>
      </c>
      <c r="U1989" s="171">
        <v>105</v>
      </c>
      <c r="V1989" s="171">
        <v>105.04</v>
      </c>
      <c r="W1989" s="171">
        <v>72.960000000000008</v>
      </c>
      <c r="X1989" s="171">
        <v>64.44</v>
      </c>
      <c r="Y1989" s="171">
        <v>54.96</v>
      </c>
      <c r="Z1989" s="171">
        <v>52.65</v>
      </c>
      <c r="AA1989" s="171">
        <v>52.79</v>
      </c>
      <c r="AB1989" s="171">
        <v>105.04</v>
      </c>
      <c r="AC1989" s="171">
        <v>51.14</v>
      </c>
      <c r="AD1989" s="171">
        <v>52.4</v>
      </c>
      <c r="AF1989" s="171">
        <f t="shared" si="95"/>
        <v>2013</v>
      </c>
      <c r="AG1989" s="171">
        <f t="shared" si="96"/>
        <v>0</v>
      </c>
      <c r="AH1989" s="700">
        <f>SUMIF(D$3:$AA1989,"&lt;="&amp;$AH$1)/COUNTIF(D$3:$AA1989,"&lt;="&amp;$AH$1)</f>
        <v>31.320765129127704</v>
      </c>
    </row>
    <row r="1990" spans="2:34" x14ac:dyDescent="0.25">
      <c r="B1990" s="910">
        <v>41612</v>
      </c>
      <c r="C1990" s="581">
        <f t="shared" si="94"/>
        <v>12</v>
      </c>
      <c r="D1990" s="171">
        <v>50.45</v>
      </c>
      <c r="E1990" s="171">
        <v>49.42</v>
      </c>
      <c r="F1990" s="171">
        <v>49.13</v>
      </c>
      <c r="G1990" s="171">
        <v>47.9</v>
      </c>
      <c r="H1990" s="171">
        <v>44.84</v>
      </c>
      <c r="I1990" s="171">
        <v>46</v>
      </c>
      <c r="J1990" s="171">
        <v>51.11</v>
      </c>
      <c r="K1990" s="171">
        <v>68.66</v>
      </c>
      <c r="L1990" s="171">
        <v>70</v>
      </c>
      <c r="M1990" s="171">
        <v>57.5</v>
      </c>
      <c r="N1990" s="171">
        <v>62.56</v>
      </c>
      <c r="O1990" s="171">
        <v>64.94</v>
      </c>
      <c r="P1990" s="171">
        <v>58.14</v>
      </c>
      <c r="Q1990" s="171">
        <v>55.07</v>
      </c>
      <c r="R1990" s="171">
        <v>54</v>
      </c>
      <c r="S1990" s="171">
        <v>56.85</v>
      </c>
      <c r="T1990" s="171">
        <v>63.09</v>
      </c>
      <c r="U1990" s="171">
        <v>86.55</v>
      </c>
      <c r="V1990" s="171">
        <v>61.690000000000005</v>
      </c>
      <c r="W1990" s="171">
        <v>61.67</v>
      </c>
      <c r="X1990" s="171">
        <v>53.92</v>
      </c>
      <c r="Y1990" s="171">
        <v>52.34</v>
      </c>
      <c r="Z1990" s="171">
        <v>52.33</v>
      </c>
      <c r="AA1990" s="171">
        <v>55</v>
      </c>
      <c r="AB1990" s="171">
        <v>86.55</v>
      </c>
      <c r="AC1990" s="171">
        <v>52.33</v>
      </c>
      <c r="AD1990" s="171">
        <v>51.76</v>
      </c>
      <c r="AF1990" s="171">
        <f t="shared" si="95"/>
        <v>2013</v>
      </c>
      <c r="AG1990" s="171">
        <f t="shared" si="96"/>
        <v>0</v>
      </c>
      <c r="AH1990" s="700">
        <f>SUMIF(D$3:$AA1990,"&lt;="&amp;$AH$1)/COUNTIF(D$3:$AA1990,"&lt;="&amp;$AH$1)</f>
        <v>31.320765129127704</v>
      </c>
    </row>
    <row r="1991" spans="2:34" x14ac:dyDescent="0.25">
      <c r="B1991" s="910">
        <v>41613</v>
      </c>
      <c r="C1991" s="581">
        <f t="shared" si="94"/>
        <v>12</v>
      </c>
      <c r="D1991" s="171">
        <v>51.58</v>
      </c>
      <c r="E1991" s="171">
        <v>49.94</v>
      </c>
      <c r="F1991" s="171">
        <v>49.59</v>
      </c>
      <c r="G1991" s="171">
        <v>43.51</v>
      </c>
      <c r="H1991" s="171">
        <v>41.480000000000004</v>
      </c>
      <c r="I1991" s="171">
        <v>36.26</v>
      </c>
      <c r="J1991" s="171">
        <v>40.79</v>
      </c>
      <c r="K1991" s="171">
        <v>52.21</v>
      </c>
      <c r="L1991" s="171">
        <v>55.99</v>
      </c>
      <c r="M1991" s="171">
        <v>55.99</v>
      </c>
      <c r="N1991" s="171">
        <v>55.980000000000004</v>
      </c>
      <c r="O1991" s="171">
        <v>63.9</v>
      </c>
      <c r="P1991" s="171">
        <v>61.99</v>
      </c>
      <c r="Q1991" s="171">
        <v>62.42</v>
      </c>
      <c r="R1991" s="171">
        <v>68.320000000000007</v>
      </c>
      <c r="S1991" s="171">
        <v>69.210000000000008</v>
      </c>
      <c r="T1991" s="171">
        <v>68.02</v>
      </c>
      <c r="U1991" s="171">
        <v>85.9</v>
      </c>
      <c r="V1991" s="171">
        <v>70</v>
      </c>
      <c r="W1991" s="171">
        <v>54.94</v>
      </c>
      <c r="X1991" s="171">
        <v>60</v>
      </c>
      <c r="Y1991" s="171">
        <v>64.91</v>
      </c>
      <c r="Z1991" s="171">
        <v>64.33</v>
      </c>
      <c r="AA1991" s="171">
        <v>54.94</v>
      </c>
      <c r="AB1991" s="171">
        <v>85.9</v>
      </c>
      <c r="AC1991" s="171">
        <v>52.21</v>
      </c>
      <c r="AD1991" s="171">
        <v>50.79</v>
      </c>
      <c r="AF1991" s="171">
        <f t="shared" si="95"/>
        <v>2013</v>
      </c>
      <c r="AG1991" s="171">
        <f t="shared" si="96"/>
        <v>3</v>
      </c>
      <c r="AH1991" s="700">
        <f>SUMIF(D$3:$AA1991,"&lt;="&amp;$AH$1)/COUNTIF(D$3:$AA1991,"&lt;="&amp;$AH$1)</f>
        <v>31.322343117734075</v>
      </c>
    </row>
    <row r="1992" spans="2:34" x14ac:dyDescent="0.25">
      <c r="B1992" s="910">
        <v>41614</v>
      </c>
      <c r="C1992" s="581">
        <f t="shared" si="94"/>
        <v>12</v>
      </c>
      <c r="D1992" s="171">
        <v>50.27</v>
      </c>
      <c r="E1992" s="171">
        <v>48.45</v>
      </c>
      <c r="F1992" s="171">
        <v>45.35</v>
      </c>
      <c r="G1992" s="171">
        <v>39.93</v>
      </c>
      <c r="H1992" s="171">
        <v>36.56</v>
      </c>
      <c r="I1992" s="171">
        <v>39.700000000000003</v>
      </c>
      <c r="J1992" s="171">
        <v>50.910000000000004</v>
      </c>
      <c r="K1992" s="171">
        <v>68.5</v>
      </c>
      <c r="L1992" s="171">
        <v>65</v>
      </c>
      <c r="M1992" s="171">
        <v>78.400000000000006</v>
      </c>
      <c r="N1992" s="171">
        <v>70.06</v>
      </c>
      <c r="O1992" s="171">
        <v>67.72</v>
      </c>
      <c r="P1992" s="171">
        <v>55</v>
      </c>
      <c r="Q1992" s="171">
        <v>61.120000000000005</v>
      </c>
      <c r="R1992" s="171">
        <v>54.94</v>
      </c>
      <c r="S1992" s="171">
        <v>52.44</v>
      </c>
      <c r="T1992" s="171">
        <v>56.28</v>
      </c>
      <c r="U1992" s="171">
        <v>80</v>
      </c>
      <c r="V1992" s="171">
        <v>65.83</v>
      </c>
      <c r="W1992" s="171">
        <v>54.94</v>
      </c>
      <c r="X1992" s="171">
        <v>63.95</v>
      </c>
      <c r="Y1992" s="171">
        <v>60.71</v>
      </c>
      <c r="Z1992" s="171">
        <v>60.71</v>
      </c>
      <c r="AA1992" s="171">
        <v>59.94</v>
      </c>
      <c r="AB1992" s="171">
        <v>80</v>
      </c>
      <c r="AC1992" s="171">
        <v>52.44</v>
      </c>
      <c r="AD1992" s="171">
        <v>52.08</v>
      </c>
      <c r="AF1992" s="171">
        <f t="shared" si="95"/>
        <v>2013</v>
      </c>
      <c r="AG1992" s="171">
        <f t="shared" si="96"/>
        <v>3</v>
      </c>
      <c r="AH1992" s="700">
        <f>SUMIF(D$3:$AA1992,"&lt;="&amp;$AH$1)/COUNTIF(D$3:$AA1992,"&lt;="&amp;$AH$1)</f>
        <v>31.323770228615579</v>
      </c>
    </row>
    <row r="1993" spans="2:34" x14ac:dyDescent="0.25">
      <c r="B1993" s="910">
        <v>41617</v>
      </c>
      <c r="C1993" s="581">
        <f t="shared" si="94"/>
        <v>12</v>
      </c>
      <c r="D1993" s="171">
        <v>43.97</v>
      </c>
      <c r="E1993" s="171">
        <v>43.33</v>
      </c>
      <c r="F1993" s="171">
        <v>39.230000000000004</v>
      </c>
      <c r="G1993" s="171">
        <v>33.19</v>
      </c>
      <c r="H1993" s="171">
        <v>32.68</v>
      </c>
      <c r="I1993" s="171">
        <v>39.35</v>
      </c>
      <c r="J1993" s="171">
        <v>41.69</v>
      </c>
      <c r="K1993" s="171">
        <v>54.38</v>
      </c>
      <c r="L1993" s="171">
        <v>54.94</v>
      </c>
      <c r="M1993" s="171">
        <v>55</v>
      </c>
      <c r="N1993" s="171">
        <v>59.94</v>
      </c>
      <c r="O1993" s="171">
        <v>64.260000000000005</v>
      </c>
      <c r="P1993" s="171">
        <v>56.230000000000004</v>
      </c>
      <c r="Q1993" s="171">
        <v>59.21</v>
      </c>
      <c r="R1993" s="171">
        <v>59.71</v>
      </c>
      <c r="S1993" s="171">
        <v>59.910000000000004</v>
      </c>
      <c r="T1993" s="171">
        <v>65.790000000000006</v>
      </c>
      <c r="U1993" s="171">
        <v>94.3</v>
      </c>
      <c r="V1993" s="171">
        <v>79.400000000000006</v>
      </c>
      <c r="W1993" s="171">
        <v>70.5</v>
      </c>
      <c r="X1993" s="171">
        <v>53.4</v>
      </c>
      <c r="Y1993" s="171">
        <v>51.050000000000004</v>
      </c>
      <c r="Z1993" s="171">
        <v>50.160000000000004</v>
      </c>
      <c r="AA1993" s="171">
        <v>50.88</v>
      </c>
      <c r="AB1993" s="171">
        <v>94.3</v>
      </c>
      <c r="AC1993" s="171">
        <v>50.160000000000004</v>
      </c>
      <c r="AD1993" s="171">
        <v>44.44</v>
      </c>
      <c r="AF1993" s="171">
        <f t="shared" si="95"/>
        <v>2013</v>
      </c>
      <c r="AG1993" s="171">
        <f t="shared" si="96"/>
        <v>5</v>
      </c>
      <c r="AH1993" s="700">
        <f>SUMIF(D$3:$AA1993,"&lt;="&amp;$AH$1)/COUNTIF(D$3:$AA1993,"&lt;="&amp;$AH$1)</f>
        <v>31.325665404121573</v>
      </c>
    </row>
    <row r="1994" spans="2:34" x14ac:dyDescent="0.25">
      <c r="B1994" s="910">
        <v>41618</v>
      </c>
      <c r="C1994" s="581">
        <f t="shared" si="94"/>
        <v>12</v>
      </c>
      <c r="D1994" s="171">
        <v>50.230000000000004</v>
      </c>
      <c r="E1994" s="171">
        <v>50.230000000000004</v>
      </c>
      <c r="F1994" s="171">
        <v>50</v>
      </c>
      <c r="G1994" s="171">
        <v>46</v>
      </c>
      <c r="H1994" s="171">
        <v>35.72</v>
      </c>
      <c r="I1994" s="171">
        <v>39.450000000000003</v>
      </c>
      <c r="J1994" s="171">
        <v>60.99</v>
      </c>
      <c r="K1994" s="171">
        <v>86.11</v>
      </c>
      <c r="L1994" s="171">
        <v>89.94</v>
      </c>
      <c r="M1994" s="171">
        <v>88.5</v>
      </c>
      <c r="N1994" s="171">
        <v>78.33</v>
      </c>
      <c r="O1994" s="171">
        <v>72.08</v>
      </c>
      <c r="P1994" s="171">
        <v>65.989999999999995</v>
      </c>
      <c r="Q1994" s="171">
        <v>64.900000000000006</v>
      </c>
      <c r="R1994" s="171">
        <v>62.5</v>
      </c>
      <c r="S1994" s="171">
        <v>67.3</v>
      </c>
      <c r="T1994" s="171">
        <v>68.98</v>
      </c>
      <c r="U1994" s="171">
        <v>93.100000000000009</v>
      </c>
      <c r="V1994" s="171">
        <v>87.61</v>
      </c>
      <c r="W1994" s="171">
        <v>69.900000000000006</v>
      </c>
      <c r="X1994" s="171">
        <v>65.97</v>
      </c>
      <c r="Y1994" s="171">
        <v>56.85</v>
      </c>
      <c r="Z1994" s="171">
        <v>55.92</v>
      </c>
      <c r="AA1994" s="171">
        <v>50</v>
      </c>
      <c r="AB1994" s="171">
        <v>93.100000000000009</v>
      </c>
      <c r="AC1994" s="171">
        <v>55.92</v>
      </c>
      <c r="AD1994" s="171">
        <v>53.96</v>
      </c>
      <c r="AF1994" s="171">
        <f t="shared" si="95"/>
        <v>2013</v>
      </c>
      <c r="AG1994" s="171">
        <f t="shared" si="96"/>
        <v>2</v>
      </c>
      <c r="AH1994" s="700">
        <f>SUMIF(D$3:$AA1994,"&lt;="&amp;$AH$1)/COUNTIF(D$3:$AA1994,"&lt;="&amp;$AH$1)</f>
        <v>31.326468964631989</v>
      </c>
    </row>
    <row r="1995" spans="2:34" x14ac:dyDescent="0.25">
      <c r="B1995" s="910">
        <v>41619</v>
      </c>
      <c r="C1995" s="581">
        <f t="shared" si="94"/>
        <v>12</v>
      </c>
      <c r="D1995" s="171">
        <v>50.22</v>
      </c>
      <c r="E1995" s="171">
        <v>49.06</v>
      </c>
      <c r="F1995" s="171">
        <v>48.49</v>
      </c>
      <c r="G1995" s="171">
        <v>42.44</v>
      </c>
      <c r="H1995" s="171">
        <v>49</v>
      </c>
      <c r="I1995" s="171">
        <v>48.51</v>
      </c>
      <c r="J1995" s="171">
        <v>57.980000000000004</v>
      </c>
      <c r="K1995" s="171">
        <v>69.850000000000009</v>
      </c>
      <c r="L1995" s="171">
        <v>77.83</v>
      </c>
      <c r="M1995" s="171">
        <v>80</v>
      </c>
      <c r="N1995" s="171">
        <v>75.260000000000005</v>
      </c>
      <c r="O1995" s="171">
        <v>76.39</v>
      </c>
      <c r="P1995" s="171">
        <v>69.320000000000007</v>
      </c>
      <c r="Q1995" s="171">
        <v>72.8</v>
      </c>
      <c r="R1995" s="171">
        <v>74.3</v>
      </c>
      <c r="S1995" s="171">
        <v>72.760000000000005</v>
      </c>
      <c r="T1995" s="171">
        <v>77.86</v>
      </c>
      <c r="U1995" s="171">
        <v>98.63</v>
      </c>
      <c r="V1995" s="171">
        <v>103.08</v>
      </c>
      <c r="W1995" s="171">
        <v>87.710000000000008</v>
      </c>
      <c r="X1995" s="171">
        <v>71.3</v>
      </c>
      <c r="Y1995" s="171">
        <v>59.99</v>
      </c>
      <c r="Z1995" s="171">
        <v>57.1</v>
      </c>
      <c r="AA1995" s="171">
        <v>55.67</v>
      </c>
      <c r="AB1995" s="171">
        <v>103.08</v>
      </c>
      <c r="AC1995" s="171">
        <v>57.1</v>
      </c>
      <c r="AD1995" s="171">
        <v>54.97</v>
      </c>
      <c r="AF1995" s="171">
        <f t="shared" si="95"/>
        <v>2013</v>
      </c>
      <c r="AG1995" s="171">
        <f t="shared" si="96"/>
        <v>1</v>
      </c>
      <c r="AH1995" s="700">
        <f>SUMIF(D$3:$AA1995,"&lt;="&amp;$AH$1)/COUNTIF(D$3:$AA1995,"&lt;="&amp;$AH$1)</f>
        <v>31.327182284980857</v>
      </c>
    </row>
    <row r="1996" spans="2:34" x14ac:dyDescent="0.25">
      <c r="B1996" s="910">
        <v>41620</v>
      </c>
      <c r="C1996" s="581">
        <f t="shared" si="94"/>
        <v>12</v>
      </c>
      <c r="D1996" s="171">
        <v>49.9</v>
      </c>
      <c r="E1996" s="171">
        <v>49.28</v>
      </c>
      <c r="F1996" s="171">
        <v>48.38</v>
      </c>
      <c r="G1996" s="171">
        <v>47.33</v>
      </c>
      <c r="H1996" s="171">
        <v>46.42</v>
      </c>
      <c r="I1996" s="171">
        <v>47.31</v>
      </c>
      <c r="J1996" s="171">
        <v>60.480000000000004</v>
      </c>
      <c r="K1996" s="171">
        <v>86.3</v>
      </c>
      <c r="L1996" s="171">
        <v>88.04</v>
      </c>
      <c r="M1996" s="171">
        <v>78.41</v>
      </c>
      <c r="N1996" s="171">
        <v>77.989999999999995</v>
      </c>
      <c r="O1996" s="171">
        <v>71.02</v>
      </c>
      <c r="P1996" s="171">
        <v>63.370000000000005</v>
      </c>
      <c r="Q1996" s="171">
        <v>65.19</v>
      </c>
      <c r="R1996" s="171">
        <v>65</v>
      </c>
      <c r="S1996" s="171">
        <v>69.960000000000008</v>
      </c>
      <c r="T1996" s="171">
        <v>76.44</v>
      </c>
      <c r="U1996" s="171">
        <v>104.55</v>
      </c>
      <c r="V1996" s="171">
        <v>93.74</v>
      </c>
      <c r="W1996" s="171">
        <v>78.739999999999995</v>
      </c>
      <c r="X1996" s="171">
        <v>60</v>
      </c>
      <c r="Y1996" s="171">
        <v>54.97</v>
      </c>
      <c r="Z1996" s="171">
        <v>50.95</v>
      </c>
      <c r="AA1996" s="171">
        <v>51.15</v>
      </c>
      <c r="AB1996" s="171">
        <v>104.55</v>
      </c>
      <c r="AC1996" s="171">
        <v>50.95</v>
      </c>
      <c r="AD1996" s="171">
        <v>54.370000000000005</v>
      </c>
      <c r="AF1996" s="171">
        <f t="shared" si="95"/>
        <v>2013</v>
      </c>
      <c r="AG1996" s="171">
        <f t="shared" si="96"/>
        <v>0</v>
      </c>
      <c r="AH1996" s="700">
        <f>SUMIF(D$3:$AA1996,"&lt;="&amp;$AH$1)/COUNTIF(D$3:$AA1996,"&lt;="&amp;$AH$1)</f>
        <v>31.327182284980857</v>
      </c>
    </row>
    <row r="1997" spans="2:34" x14ac:dyDescent="0.25">
      <c r="B1997" s="910">
        <v>41621</v>
      </c>
      <c r="C1997" s="581">
        <f t="shared" si="94"/>
        <v>12</v>
      </c>
      <c r="D1997" s="171">
        <v>49.160000000000004</v>
      </c>
      <c r="E1997" s="171">
        <v>48.5</v>
      </c>
      <c r="F1997" s="171">
        <v>46.52</v>
      </c>
      <c r="G1997" s="171">
        <v>46.78</v>
      </c>
      <c r="H1997" s="171">
        <v>46.550000000000004</v>
      </c>
      <c r="I1997" s="171">
        <v>43.86</v>
      </c>
      <c r="J1997" s="171">
        <v>57.94</v>
      </c>
      <c r="K1997" s="171">
        <v>77.75</v>
      </c>
      <c r="L1997" s="171">
        <v>86.9</v>
      </c>
      <c r="M1997" s="171">
        <v>90.08</v>
      </c>
      <c r="N1997" s="171">
        <v>78.460000000000008</v>
      </c>
      <c r="O1997" s="171">
        <v>75.100000000000009</v>
      </c>
      <c r="P1997" s="171">
        <v>64.89</v>
      </c>
      <c r="Q1997" s="171">
        <v>66.790000000000006</v>
      </c>
      <c r="R1997" s="171">
        <v>67.75</v>
      </c>
      <c r="S1997" s="171">
        <v>71.77</v>
      </c>
      <c r="T1997" s="171">
        <v>85.9</v>
      </c>
      <c r="U1997" s="171">
        <v>101.07000000000001</v>
      </c>
      <c r="V1997" s="171">
        <v>94.94</v>
      </c>
      <c r="W1997" s="171">
        <v>77.06</v>
      </c>
      <c r="X1997" s="171">
        <v>65.210000000000008</v>
      </c>
      <c r="Y1997" s="171">
        <v>59.68</v>
      </c>
      <c r="Z1997" s="171">
        <v>61.17</v>
      </c>
      <c r="AA1997" s="171">
        <v>53.15</v>
      </c>
      <c r="AB1997" s="171">
        <v>101.07000000000001</v>
      </c>
      <c r="AC1997" s="171">
        <v>59.68</v>
      </c>
      <c r="AD1997" s="171">
        <v>54.69</v>
      </c>
      <c r="AF1997" s="171">
        <f t="shared" si="95"/>
        <v>2013</v>
      </c>
      <c r="AG1997" s="171">
        <f t="shared" si="96"/>
        <v>0</v>
      </c>
      <c r="AH1997" s="700">
        <f>SUMIF(D$3:$AA1997,"&lt;="&amp;$AH$1)/COUNTIF(D$3:$AA1997,"&lt;="&amp;$AH$1)</f>
        <v>31.327182284980857</v>
      </c>
    </row>
    <row r="1998" spans="2:34" x14ac:dyDescent="0.25">
      <c r="B1998" s="910">
        <v>41624</v>
      </c>
      <c r="C1998" s="581">
        <f t="shared" si="94"/>
        <v>12</v>
      </c>
      <c r="D1998" s="171">
        <v>37.96</v>
      </c>
      <c r="E1998" s="171">
        <v>36.550000000000004</v>
      </c>
      <c r="F1998" s="171">
        <v>36.51</v>
      </c>
      <c r="G1998" s="171">
        <v>24.560000000000002</v>
      </c>
      <c r="H1998" s="171">
        <v>22.650000000000002</v>
      </c>
      <c r="I1998" s="171">
        <v>34.51</v>
      </c>
      <c r="J1998" s="171">
        <v>44.94</v>
      </c>
      <c r="K1998" s="171">
        <v>52.58</v>
      </c>
      <c r="L1998" s="171">
        <v>53.800000000000004</v>
      </c>
      <c r="M1998" s="171">
        <v>57.44</v>
      </c>
      <c r="N1998" s="171">
        <v>61.89</v>
      </c>
      <c r="O1998" s="171">
        <v>63.480000000000004</v>
      </c>
      <c r="P1998" s="171">
        <v>61.38</v>
      </c>
      <c r="Q1998" s="171">
        <v>59.94</v>
      </c>
      <c r="R1998" s="171">
        <v>55.550000000000004</v>
      </c>
      <c r="S1998" s="171">
        <v>51.54</v>
      </c>
      <c r="T1998" s="171">
        <v>53.51</v>
      </c>
      <c r="U1998" s="171">
        <v>65.86</v>
      </c>
      <c r="V1998" s="171">
        <v>80</v>
      </c>
      <c r="W1998" s="171">
        <v>69.28</v>
      </c>
      <c r="X1998" s="171">
        <v>64.94</v>
      </c>
      <c r="Y1998" s="171">
        <v>60</v>
      </c>
      <c r="Z1998" s="171">
        <v>58.76</v>
      </c>
      <c r="AA1998" s="171">
        <v>52.44</v>
      </c>
      <c r="AB1998" s="171">
        <v>80</v>
      </c>
      <c r="AC1998" s="171">
        <v>51.54</v>
      </c>
      <c r="AD1998" s="171">
        <v>43.87</v>
      </c>
      <c r="AF1998" s="171">
        <f t="shared" si="95"/>
        <v>2013</v>
      </c>
      <c r="AG1998" s="171">
        <f t="shared" si="96"/>
        <v>6</v>
      </c>
      <c r="AH1998" s="700">
        <f>SUMIF(D$3:$AA1998,"&lt;="&amp;$AH$1)/COUNTIF(D$3:$AA1998,"&lt;="&amp;$AH$1)</f>
        <v>31.327488771974963</v>
      </c>
    </row>
    <row r="1999" spans="2:34" x14ac:dyDescent="0.25">
      <c r="B1999" s="910">
        <v>41625</v>
      </c>
      <c r="C1999" s="581">
        <f t="shared" si="94"/>
        <v>12</v>
      </c>
      <c r="D1999" s="171">
        <v>55.28</v>
      </c>
      <c r="E1999" s="171">
        <v>54.050000000000004</v>
      </c>
      <c r="F1999" s="171">
        <v>48.370000000000005</v>
      </c>
      <c r="G1999" s="171">
        <v>40.200000000000003</v>
      </c>
      <c r="H1999" s="171">
        <v>35.36</v>
      </c>
      <c r="I1999" s="171">
        <v>45.72</v>
      </c>
      <c r="J1999" s="171">
        <v>50.67</v>
      </c>
      <c r="K1999" s="171">
        <v>62.440000000000005</v>
      </c>
      <c r="L1999" s="171">
        <v>64.010000000000005</v>
      </c>
      <c r="M1999" s="171">
        <v>64.94</v>
      </c>
      <c r="N1999" s="171">
        <v>68.06</v>
      </c>
      <c r="O1999" s="171">
        <v>68.77</v>
      </c>
      <c r="P1999" s="171">
        <v>64.72</v>
      </c>
      <c r="Q1999" s="171">
        <v>61.29</v>
      </c>
      <c r="R1999" s="171">
        <v>59.96</v>
      </c>
      <c r="S1999" s="171">
        <v>62.49</v>
      </c>
      <c r="T1999" s="171">
        <v>73.67</v>
      </c>
      <c r="U1999" s="171">
        <v>105.58</v>
      </c>
      <c r="V1999" s="171">
        <v>101.59</v>
      </c>
      <c r="W1999" s="171">
        <v>80.03</v>
      </c>
      <c r="X1999" s="171">
        <v>65.89</v>
      </c>
      <c r="Y1999" s="171">
        <v>57.96</v>
      </c>
      <c r="Z1999" s="171">
        <v>59.32</v>
      </c>
      <c r="AA1999" s="171">
        <v>53.95</v>
      </c>
      <c r="AB1999" s="171">
        <v>105.58</v>
      </c>
      <c r="AC1999" s="171">
        <v>57.96</v>
      </c>
      <c r="AD1999" s="171">
        <v>52.43</v>
      </c>
      <c r="AF1999" s="171">
        <f t="shared" si="95"/>
        <v>2013</v>
      </c>
      <c r="AG1999" s="171">
        <f t="shared" si="96"/>
        <v>2</v>
      </c>
      <c r="AH1999" s="700">
        <f>SUMIF(D$3:$AA1999,"&lt;="&amp;$AH$1)/COUNTIF(D$3:$AA1999,"&lt;="&amp;$AH$1)</f>
        <v>31.328316653836399</v>
      </c>
    </row>
    <row r="2000" spans="2:34" x14ac:dyDescent="0.25">
      <c r="B2000" s="910">
        <v>41626</v>
      </c>
      <c r="C2000" s="581">
        <f t="shared" si="94"/>
        <v>12</v>
      </c>
      <c r="D2000" s="171">
        <v>46.95</v>
      </c>
      <c r="E2000" s="171">
        <v>41.69</v>
      </c>
      <c r="F2000" s="171">
        <v>39.42</v>
      </c>
      <c r="G2000" s="171">
        <v>32.18</v>
      </c>
      <c r="H2000" s="171">
        <v>31.64</v>
      </c>
      <c r="I2000" s="171">
        <v>32.43</v>
      </c>
      <c r="J2000" s="171">
        <v>47.82</v>
      </c>
      <c r="K2000" s="171">
        <v>60</v>
      </c>
      <c r="L2000" s="171">
        <v>62.17</v>
      </c>
      <c r="M2000" s="171">
        <v>66.45</v>
      </c>
      <c r="N2000" s="171">
        <v>67.11</v>
      </c>
      <c r="O2000" s="171">
        <v>65.930000000000007</v>
      </c>
      <c r="P2000" s="171">
        <v>62.07</v>
      </c>
      <c r="Q2000" s="171">
        <v>58.97</v>
      </c>
      <c r="R2000" s="171">
        <v>55.160000000000004</v>
      </c>
      <c r="S2000" s="171">
        <v>54.01</v>
      </c>
      <c r="T2000" s="171">
        <v>59.76</v>
      </c>
      <c r="U2000" s="171">
        <v>67.59</v>
      </c>
      <c r="V2000" s="171">
        <v>64.64</v>
      </c>
      <c r="W2000" s="171">
        <v>59.95</v>
      </c>
      <c r="X2000" s="171">
        <v>52</v>
      </c>
      <c r="Y2000" s="171">
        <v>48.34</v>
      </c>
      <c r="Z2000" s="171">
        <v>49.550000000000004</v>
      </c>
      <c r="AA2000" s="171">
        <v>47.24</v>
      </c>
      <c r="AB2000" s="171">
        <v>67.59</v>
      </c>
      <c r="AC2000" s="171">
        <v>48.34</v>
      </c>
      <c r="AD2000" s="171">
        <v>44.1</v>
      </c>
      <c r="AF2000" s="171">
        <f t="shared" si="95"/>
        <v>2013</v>
      </c>
      <c r="AG2000" s="171">
        <f t="shared" si="96"/>
        <v>5</v>
      </c>
      <c r="AH2000" s="700">
        <f>SUMIF(D$3:$AA2000,"&lt;="&amp;$AH$1)/COUNTIF(D$3:$AA2000,"&lt;="&amp;$AH$1)</f>
        <v>31.329645353684459</v>
      </c>
    </row>
    <row r="2001" spans="2:34" x14ac:dyDescent="0.25">
      <c r="B2001" s="910">
        <v>41627</v>
      </c>
      <c r="C2001" s="581">
        <f t="shared" si="94"/>
        <v>12</v>
      </c>
      <c r="D2001" s="171">
        <v>34.450000000000003</v>
      </c>
      <c r="E2001" s="171">
        <v>33.049999999999997</v>
      </c>
      <c r="F2001" s="171">
        <v>31.16</v>
      </c>
      <c r="G2001" s="171">
        <v>22.6</v>
      </c>
      <c r="H2001" s="171">
        <v>18.670000000000002</v>
      </c>
      <c r="I2001" s="171">
        <v>32.96</v>
      </c>
      <c r="J2001" s="171">
        <v>48.9</v>
      </c>
      <c r="K2001" s="171">
        <v>60</v>
      </c>
      <c r="L2001" s="171">
        <v>64</v>
      </c>
      <c r="M2001" s="171">
        <v>63.88</v>
      </c>
      <c r="N2001" s="171">
        <v>62.22</v>
      </c>
      <c r="O2001" s="171">
        <v>61.75</v>
      </c>
      <c r="P2001" s="171">
        <v>60</v>
      </c>
      <c r="Q2001" s="171">
        <v>60.550000000000004</v>
      </c>
      <c r="R2001" s="171">
        <v>61.39</v>
      </c>
      <c r="S2001" s="171">
        <v>59.28</v>
      </c>
      <c r="T2001" s="171">
        <v>59.67</v>
      </c>
      <c r="U2001" s="171">
        <v>71.37</v>
      </c>
      <c r="V2001" s="171">
        <v>70</v>
      </c>
      <c r="W2001" s="171">
        <v>54.94</v>
      </c>
      <c r="X2001" s="171">
        <v>59.94</v>
      </c>
      <c r="Y2001" s="171">
        <v>56.34</v>
      </c>
      <c r="Z2001" s="171">
        <v>57.04</v>
      </c>
      <c r="AA2001" s="171">
        <v>55.07</v>
      </c>
      <c r="AB2001" s="171">
        <v>71.37</v>
      </c>
      <c r="AC2001" s="171">
        <v>54.94</v>
      </c>
      <c r="AD2001" s="171">
        <v>42.51</v>
      </c>
      <c r="AF2001" s="171">
        <f t="shared" si="95"/>
        <v>2013</v>
      </c>
      <c r="AG2001" s="171">
        <f t="shared" si="96"/>
        <v>6</v>
      </c>
      <c r="AH2001" s="700">
        <f>SUMIF(D$3:$AA2001,"&lt;="&amp;$AH$1)/COUNTIF(D$3:$AA2001,"&lt;="&amp;$AH$1)</f>
        <v>31.328678120392443</v>
      </c>
    </row>
    <row r="2002" spans="2:34" x14ac:dyDescent="0.25">
      <c r="B2002" s="910">
        <v>41628</v>
      </c>
      <c r="C2002" s="581">
        <f t="shared" si="94"/>
        <v>12</v>
      </c>
      <c r="D2002" s="171">
        <v>49.42</v>
      </c>
      <c r="E2002" s="171">
        <v>41.85</v>
      </c>
      <c r="F2002" s="171">
        <v>29.310000000000002</v>
      </c>
      <c r="G2002" s="171">
        <v>28.07</v>
      </c>
      <c r="H2002" s="171">
        <v>29.26</v>
      </c>
      <c r="I2002" s="171">
        <v>30.85</v>
      </c>
      <c r="J2002" s="171">
        <v>41.51</v>
      </c>
      <c r="K2002" s="171">
        <v>56.910000000000004</v>
      </c>
      <c r="L2002" s="171">
        <v>62.39</v>
      </c>
      <c r="M2002" s="171">
        <v>65.27</v>
      </c>
      <c r="N2002" s="171">
        <v>66.03</v>
      </c>
      <c r="O2002" s="171">
        <v>65.28</v>
      </c>
      <c r="P2002" s="171">
        <v>61.550000000000004</v>
      </c>
      <c r="Q2002" s="171">
        <v>57.44</v>
      </c>
      <c r="R2002" s="171">
        <v>52.42</v>
      </c>
      <c r="S2002" s="171">
        <v>47.56</v>
      </c>
      <c r="T2002" s="171">
        <v>49.480000000000004</v>
      </c>
      <c r="U2002" s="171">
        <v>64.070000000000007</v>
      </c>
      <c r="V2002" s="171">
        <v>67.650000000000006</v>
      </c>
      <c r="W2002" s="171">
        <v>64.7</v>
      </c>
      <c r="X2002" s="171">
        <v>61.940000000000005</v>
      </c>
      <c r="Y2002" s="171">
        <v>51.47</v>
      </c>
      <c r="Z2002" s="171">
        <v>55.79</v>
      </c>
      <c r="AA2002" s="171">
        <v>51.660000000000004</v>
      </c>
      <c r="AB2002" s="171">
        <v>67.650000000000006</v>
      </c>
      <c r="AC2002" s="171">
        <v>47.56</v>
      </c>
      <c r="AD2002" s="171">
        <v>44</v>
      </c>
      <c r="AF2002" s="171">
        <f t="shared" si="95"/>
        <v>2013</v>
      </c>
      <c r="AG2002" s="171">
        <f t="shared" si="96"/>
        <v>6</v>
      </c>
      <c r="AH2002" s="700">
        <f>SUMIF(D$3:$AA2002,"&lt;="&amp;$AH$1)/COUNTIF(D$3:$AA2002,"&lt;="&amp;$AH$1)</f>
        <v>31.329503364306422</v>
      </c>
    </row>
    <row r="2003" spans="2:34" x14ac:dyDescent="0.25">
      <c r="B2003" s="910">
        <v>41631</v>
      </c>
      <c r="C2003" s="581">
        <f t="shared" si="94"/>
        <v>12</v>
      </c>
      <c r="D2003" s="171">
        <v>11.47</v>
      </c>
      <c r="E2003" s="171">
        <v>27.17</v>
      </c>
      <c r="F2003" s="171">
        <v>27.38</v>
      </c>
      <c r="G2003" s="171">
        <v>27.240000000000002</v>
      </c>
      <c r="H2003" s="171">
        <v>27.02</v>
      </c>
      <c r="I2003" s="171">
        <v>28.86</v>
      </c>
      <c r="J2003" s="171">
        <v>24</v>
      </c>
      <c r="K2003" s="171">
        <v>36.270000000000003</v>
      </c>
      <c r="L2003" s="171">
        <v>46.74</v>
      </c>
      <c r="M2003" s="171">
        <v>49.61</v>
      </c>
      <c r="N2003" s="171">
        <v>49.59</v>
      </c>
      <c r="O2003" s="171">
        <v>49.58</v>
      </c>
      <c r="P2003" s="171">
        <v>47.44</v>
      </c>
      <c r="Q2003" s="171">
        <v>46</v>
      </c>
      <c r="R2003" s="171">
        <v>44.94</v>
      </c>
      <c r="S2003" s="171">
        <v>44.1</v>
      </c>
      <c r="T2003" s="171">
        <v>49.42</v>
      </c>
      <c r="U2003" s="171">
        <v>50.77</v>
      </c>
      <c r="V2003" s="171">
        <v>49.96</v>
      </c>
      <c r="W2003" s="171">
        <v>48.04</v>
      </c>
      <c r="X2003" s="171">
        <v>46</v>
      </c>
      <c r="Y2003" s="171">
        <v>35</v>
      </c>
      <c r="Z2003" s="171">
        <v>29.38</v>
      </c>
      <c r="AA2003" s="171">
        <v>28.92</v>
      </c>
      <c r="AB2003" s="171">
        <v>50.77</v>
      </c>
      <c r="AC2003" s="171">
        <v>29.38</v>
      </c>
      <c r="AD2003" s="171">
        <v>29.060000000000002</v>
      </c>
      <c r="AF2003" s="171">
        <f t="shared" si="95"/>
        <v>2013</v>
      </c>
      <c r="AG2003" s="171">
        <f t="shared" si="96"/>
        <v>11</v>
      </c>
      <c r="AH2003" s="700">
        <f>SUMIF(D$3:$AA2003,"&lt;="&amp;$AH$1)/COUNTIF(D$3:$AA2003,"&lt;="&amp;$AH$1)</f>
        <v>31.326819287909942</v>
      </c>
    </row>
    <row r="2004" spans="2:34" x14ac:dyDescent="0.25">
      <c r="B2004" s="910">
        <v>41632</v>
      </c>
      <c r="C2004" s="581">
        <f t="shared" si="94"/>
        <v>12</v>
      </c>
      <c r="D2004" s="171">
        <v>29.13</v>
      </c>
      <c r="E2004" s="171">
        <v>28.53</v>
      </c>
      <c r="F2004" s="171">
        <v>28.23</v>
      </c>
      <c r="G2004" s="171">
        <v>27.94</v>
      </c>
      <c r="H2004" s="171">
        <v>27.73</v>
      </c>
      <c r="I2004" s="171">
        <v>28.04</v>
      </c>
      <c r="J2004" s="171">
        <v>29.6</v>
      </c>
      <c r="K2004" s="171">
        <v>42.31</v>
      </c>
      <c r="L2004" s="171">
        <v>43.17</v>
      </c>
      <c r="M2004" s="171">
        <v>49.34</v>
      </c>
      <c r="N2004" s="171">
        <v>55.95</v>
      </c>
      <c r="O2004" s="171">
        <v>60</v>
      </c>
      <c r="P2004" s="171">
        <v>52.44</v>
      </c>
      <c r="Q2004" s="171">
        <v>50</v>
      </c>
      <c r="R2004" s="171">
        <v>49.94</v>
      </c>
      <c r="S2004" s="171">
        <v>50</v>
      </c>
      <c r="T2004" s="171">
        <v>51.81</v>
      </c>
      <c r="U2004" s="171">
        <v>75.69</v>
      </c>
      <c r="V2004" s="171">
        <v>84.960000000000008</v>
      </c>
      <c r="W2004" s="171">
        <v>68.12</v>
      </c>
      <c r="X2004" s="171">
        <v>59.94</v>
      </c>
      <c r="Y2004" s="171">
        <v>47.44</v>
      </c>
      <c r="Z2004" s="171">
        <v>47.44</v>
      </c>
      <c r="AA2004" s="171">
        <v>40.04</v>
      </c>
      <c r="AB2004" s="171">
        <v>84.960000000000008</v>
      </c>
      <c r="AC2004" s="171">
        <v>42.31</v>
      </c>
      <c r="AD2004" s="171">
        <v>36.36</v>
      </c>
      <c r="AF2004" s="171">
        <f t="shared" si="95"/>
        <v>2013</v>
      </c>
      <c r="AG2004" s="171">
        <f t="shared" si="96"/>
        <v>9</v>
      </c>
      <c r="AH2004" s="700">
        <f>SUMIF(D$3:$AA2004,"&lt;="&amp;$AH$1)/COUNTIF(D$3:$AA2004,"&lt;="&amp;$AH$1)</f>
        <v>31.326794240000101</v>
      </c>
    </row>
    <row r="2005" spans="2:34" x14ac:dyDescent="0.25">
      <c r="B2005" s="910">
        <v>41633</v>
      </c>
      <c r="C2005" s="581">
        <f t="shared" si="94"/>
        <v>12</v>
      </c>
      <c r="D2005" s="171">
        <v>34.450000000000003</v>
      </c>
      <c r="E2005" s="171">
        <v>32.78</v>
      </c>
      <c r="F2005" s="171">
        <v>28.490000000000002</v>
      </c>
      <c r="G2005" s="171">
        <v>28.29</v>
      </c>
      <c r="H2005" s="171">
        <v>28.1</v>
      </c>
      <c r="I2005" s="171">
        <v>27.98</v>
      </c>
      <c r="J2005" s="171">
        <v>28.37</v>
      </c>
      <c r="K2005" s="171">
        <v>28.41</v>
      </c>
      <c r="L2005" s="171">
        <v>34.450000000000003</v>
      </c>
      <c r="M2005" s="171">
        <v>39.75</v>
      </c>
      <c r="N2005" s="171">
        <v>47</v>
      </c>
      <c r="O2005" s="171">
        <v>49.83</v>
      </c>
      <c r="P2005" s="171">
        <v>46</v>
      </c>
      <c r="Q2005" s="171">
        <v>44.94</v>
      </c>
      <c r="R2005" s="171">
        <v>37.36</v>
      </c>
      <c r="S2005" s="171">
        <v>35.119999999999997</v>
      </c>
      <c r="T2005" s="171">
        <v>46</v>
      </c>
      <c r="U2005" s="171">
        <v>64.94</v>
      </c>
      <c r="V2005" s="171">
        <v>59.94</v>
      </c>
      <c r="W2005" s="171">
        <v>50</v>
      </c>
      <c r="X2005" s="171">
        <v>47.44</v>
      </c>
      <c r="Y2005" s="171">
        <v>44.96</v>
      </c>
      <c r="Z2005" s="171">
        <v>39.94</v>
      </c>
      <c r="AA2005" s="171">
        <v>35.28</v>
      </c>
      <c r="AB2005" s="171">
        <v>64.94</v>
      </c>
      <c r="AC2005" s="171">
        <v>28.41</v>
      </c>
      <c r="AD2005" s="171">
        <v>33.71</v>
      </c>
      <c r="AF2005" s="171">
        <f t="shared" si="95"/>
        <v>2013</v>
      </c>
      <c r="AG2005" s="171">
        <f t="shared" si="96"/>
        <v>14</v>
      </c>
      <c r="AH2005" s="700">
        <f>SUMIF(D$3:$AA2005,"&lt;="&amp;$AH$1)/COUNTIF(D$3:$AA2005,"&lt;="&amp;$AH$1)</f>
        <v>31.328085555342515</v>
      </c>
    </row>
    <row r="2006" spans="2:34" x14ac:dyDescent="0.25">
      <c r="B2006" s="910">
        <v>41634</v>
      </c>
      <c r="C2006" s="581">
        <f t="shared" si="94"/>
        <v>12</v>
      </c>
      <c r="D2006" s="171">
        <v>28.810000000000002</v>
      </c>
      <c r="E2006" s="171">
        <v>27.69</v>
      </c>
      <c r="F2006" s="171">
        <v>27.23</v>
      </c>
      <c r="G2006" s="171">
        <v>26.61</v>
      </c>
      <c r="H2006" s="171">
        <v>26.35</v>
      </c>
      <c r="I2006" s="171">
        <v>26.650000000000002</v>
      </c>
      <c r="J2006" s="171">
        <v>27.18</v>
      </c>
      <c r="K2006" s="171">
        <v>28.150000000000002</v>
      </c>
      <c r="L2006" s="171">
        <v>32.78</v>
      </c>
      <c r="M2006" s="171">
        <v>41.910000000000004</v>
      </c>
      <c r="N2006" s="171">
        <v>45.61</v>
      </c>
      <c r="O2006" s="171">
        <v>67.27</v>
      </c>
      <c r="P2006" s="171">
        <v>67.8</v>
      </c>
      <c r="Q2006" s="171">
        <v>55</v>
      </c>
      <c r="R2006" s="171">
        <v>54.94</v>
      </c>
      <c r="S2006" s="171">
        <v>52.44</v>
      </c>
      <c r="T2006" s="171">
        <v>59.15</v>
      </c>
      <c r="U2006" s="171">
        <v>88.94</v>
      </c>
      <c r="V2006" s="171">
        <v>84.94</v>
      </c>
      <c r="W2006" s="171">
        <v>59.94</v>
      </c>
      <c r="X2006" s="171">
        <v>59.15</v>
      </c>
      <c r="Y2006" s="171">
        <v>55.67</v>
      </c>
      <c r="Z2006" s="171">
        <v>45.67</v>
      </c>
      <c r="AA2006" s="171">
        <v>34.94</v>
      </c>
      <c r="AB2006" s="171">
        <v>88.94</v>
      </c>
      <c r="AC2006" s="171">
        <v>28.150000000000002</v>
      </c>
      <c r="AD2006" s="171">
        <v>34.51</v>
      </c>
      <c r="AF2006" s="171">
        <f t="shared" si="95"/>
        <v>2013</v>
      </c>
      <c r="AG2006" s="171">
        <f t="shared" si="96"/>
        <v>11</v>
      </c>
      <c r="AH2006" s="700">
        <f>SUMIF(D$3:$AA2006,"&lt;="&amp;$AH$1)/COUNTIF(D$3:$AA2006,"&lt;="&amp;$AH$1)</f>
        <v>31.327043450479334</v>
      </c>
    </row>
    <row r="2007" spans="2:34" x14ac:dyDescent="0.25">
      <c r="B2007" s="910">
        <v>41635</v>
      </c>
      <c r="C2007" s="581">
        <f t="shared" si="94"/>
        <v>12</v>
      </c>
      <c r="D2007" s="171">
        <v>32.44</v>
      </c>
      <c r="E2007" s="171">
        <v>27.44</v>
      </c>
      <c r="F2007" s="171">
        <v>27.96</v>
      </c>
      <c r="G2007" s="171">
        <v>16.3</v>
      </c>
      <c r="H2007" s="171">
        <v>9.9600000000000009</v>
      </c>
      <c r="I2007" s="171">
        <v>10.65</v>
      </c>
      <c r="J2007" s="171">
        <v>24.04</v>
      </c>
      <c r="K2007" s="171">
        <v>33</v>
      </c>
      <c r="L2007" s="171">
        <v>33.32</v>
      </c>
      <c r="M2007" s="171">
        <v>43.19</v>
      </c>
      <c r="N2007" s="171">
        <v>49.67</v>
      </c>
      <c r="O2007" s="171">
        <v>52.44</v>
      </c>
      <c r="P2007" s="171">
        <v>68.44</v>
      </c>
      <c r="Q2007" s="171">
        <v>68.44</v>
      </c>
      <c r="R2007" s="171">
        <v>68.099999999999994</v>
      </c>
      <c r="S2007" s="171">
        <v>55.730000000000004</v>
      </c>
      <c r="T2007" s="171">
        <v>61.7</v>
      </c>
      <c r="U2007" s="171">
        <v>90</v>
      </c>
      <c r="V2007" s="171">
        <v>79.960000000000008</v>
      </c>
      <c r="W2007" s="171">
        <v>64.94</v>
      </c>
      <c r="X2007" s="171">
        <v>50</v>
      </c>
      <c r="Y2007" s="171">
        <v>49.96</v>
      </c>
      <c r="Z2007" s="171">
        <v>49.94</v>
      </c>
      <c r="AA2007" s="171">
        <v>43.19</v>
      </c>
      <c r="AB2007" s="171">
        <v>90</v>
      </c>
      <c r="AC2007" s="171">
        <v>33</v>
      </c>
      <c r="AD2007" s="171">
        <v>31.240000000000002</v>
      </c>
      <c r="AF2007" s="171">
        <f t="shared" si="95"/>
        <v>2013</v>
      </c>
      <c r="AG2007" s="171">
        <f t="shared" si="96"/>
        <v>9</v>
      </c>
      <c r="AH2007" s="700">
        <f>SUMIF(D$3:$AA2007,"&lt;="&amp;$AH$1)/COUNTIF(D$3:$AA2007,"&lt;="&amp;$AH$1)</f>
        <v>31.322775400728119</v>
      </c>
    </row>
    <row r="2008" spans="2:34" x14ac:dyDescent="0.25">
      <c r="B2008" s="910">
        <v>41638</v>
      </c>
      <c r="C2008" s="581">
        <f t="shared" si="94"/>
        <v>12</v>
      </c>
      <c r="D2008" s="171">
        <v>26.17</v>
      </c>
      <c r="E2008" s="171">
        <v>26.830000000000002</v>
      </c>
      <c r="F2008" s="171">
        <v>19.91</v>
      </c>
      <c r="G2008" s="171">
        <v>11.68</v>
      </c>
      <c r="H2008" s="171">
        <v>15.22</v>
      </c>
      <c r="I2008" s="171">
        <v>22.26</v>
      </c>
      <c r="J2008" s="171">
        <v>27.12</v>
      </c>
      <c r="K2008" s="171">
        <v>32.03</v>
      </c>
      <c r="L2008" s="171">
        <v>40.380000000000003</v>
      </c>
      <c r="M2008" s="171">
        <v>46.52</v>
      </c>
      <c r="N2008" s="171">
        <v>49.58</v>
      </c>
      <c r="O2008" s="171">
        <v>49.54</v>
      </c>
      <c r="P2008" s="171">
        <v>49.51</v>
      </c>
      <c r="Q2008" s="171">
        <v>49.47</v>
      </c>
      <c r="R2008" s="171">
        <v>48.24</v>
      </c>
      <c r="S2008" s="171">
        <v>49.370000000000005</v>
      </c>
      <c r="T2008" s="171">
        <v>58.15</v>
      </c>
      <c r="U2008" s="171">
        <v>75</v>
      </c>
      <c r="V2008" s="171">
        <v>82.87</v>
      </c>
      <c r="W2008" s="171">
        <v>76.100000000000009</v>
      </c>
      <c r="X2008" s="171">
        <v>49.96</v>
      </c>
      <c r="Y2008" s="171">
        <v>46</v>
      </c>
      <c r="Z2008" s="171">
        <v>45</v>
      </c>
      <c r="AA2008" s="171">
        <v>39.840000000000003</v>
      </c>
      <c r="AB2008" s="171">
        <v>82.87</v>
      </c>
      <c r="AC2008" s="171">
        <v>32.03</v>
      </c>
      <c r="AD2008" s="171">
        <v>30.17</v>
      </c>
      <c r="AF2008" s="171">
        <f t="shared" si="95"/>
        <v>2013</v>
      </c>
      <c r="AG2008" s="171">
        <f t="shared" si="96"/>
        <v>10</v>
      </c>
      <c r="AH2008" s="700">
        <f>SUMIF(D$3:$AA2008,"&lt;="&amp;$AH$1)/COUNTIF(D$3:$AA2008,"&lt;="&amp;$AH$1)</f>
        <v>31.319470291658792</v>
      </c>
    </row>
    <row r="2009" spans="2:34" x14ac:dyDescent="0.25">
      <c r="B2009" s="910">
        <v>41639</v>
      </c>
      <c r="C2009" s="581">
        <f t="shared" si="94"/>
        <v>12</v>
      </c>
      <c r="D2009" s="171">
        <v>28.84</v>
      </c>
      <c r="E2009" s="171">
        <v>28.36</v>
      </c>
      <c r="F2009" s="171">
        <v>27.98</v>
      </c>
      <c r="G2009" s="171">
        <v>27.22</v>
      </c>
      <c r="H2009" s="171">
        <v>27.05</v>
      </c>
      <c r="I2009" s="171">
        <v>27.73</v>
      </c>
      <c r="J2009" s="171">
        <v>24.98</v>
      </c>
      <c r="K2009" s="171">
        <v>32.57</v>
      </c>
      <c r="L2009" s="171">
        <v>40.869999999999997</v>
      </c>
      <c r="M2009" s="171">
        <v>44.99</v>
      </c>
      <c r="N2009" s="171">
        <v>54.15</v>
      </c>
      <c r="O2009" s="171">
        <v>52.44</v>
      </c>
      <c r="P2009" s="171">
        <v>49.96</v>
      </c>
      <c r="Q2009" s="171">
        <v>48.29</v>
      </c>
      <c r="R2009" s="171">
        <v>46</v>
      </c>
      <c r="S2009" s="171">
        <v>45.69</v>
      </c>
      <c r="T2009" s="171">
        <v>48.93</v>
      </c>
      <c r="U2009" s="171">
        <v>54.15</v>
      </c>
      <c r="V2009" s="171">
        <v>50</v>
      </c>
      <c r="W2009" s="171">
        <v>44.96</v>
      </c>
      <c r="X2009" s="171">
        <v>34</v>
      </c>
      <c r="Y2009" s="171">
        <v>28.28</v>
      </c>
      <c r="Z2009" s="171">
        <v>28.77</v>
      </c>
      <c r="AA2009" s="171">
        <v>28.13</v>
      </c>
      <c r="AB2009" s="171">
        <v>54.15</v>
      </c>
      <c r="AC2009" s="171">
        <v>28.28</v>
      </c>
      <c r="AD2009" s="171">
        <v>28.66</v>
      </c>
      <c r="AF2009" s="171">
        <f t="shared" si="95"/>
        <v>2013</v>
      </c>
      <c r="AG2009" s="171">
        <f t="shared" si="96"/>
        <v>13</v>
      </c>
      <c r="AH2009" s="700">
        <f>SUMIF(D$3:$AA2009,"&lt;="&amp;$AH$1)/COUNTIF(D$3:$AA2009,"&lt;="&amp;$AH$1)</f>
        <v>31.318043616885703</v>
      </c>
    </row>
    <row r="2010" spans="2:34" x14ac:dyDescent="0.25">
      <c r="B2010" s="910">
        <v>41640</v>
      </c>
      <c r="C2010" s="581">
        <f t="shared" si="94"/>
        <v>1</v>
      </c>
      <c r="D2010" s="171">
        <v>32.43</v>
      </c>
      <c r="E2010" s="171">
        <v>32.49</v>
      </c>
      <c r="F2010" s="171">
        <v>28.43</v>
      </c>
      <c r="G2010" s="171">
        <v>27.63</v>
      </c>
      <c r="H2010" s="171">
        <v>25.990000000000002</v>
      </c>
      <c r="I2010" s="171">
        <v>24.47</v>
      </c>
      <c r="J2010" s="171">
        <v>17.2</v>
      </c>
      <c r="K2010" s="171">
        <v>9.9600000000000009</v>
      </c>
      <c r="L2010" s="171">
        <v>9.49</v>
      </c>
      <c r="M2010" s="171">
        <v>26.55</v>
      </c>
      <c r="N2010" s="171">
        <v>27.6</v>
      </c>
      <c r="O2010" s="171">
        <v>28.44</v>
      </c>
      <c r="P2010" s="171">
        <v>28.69</v>
      </c>
      <c r="Q2010" s="171">
        <v>28.830000000000002</v>
      </c>
      <c r="R2010" s="171">
        <v>29.060000000000002</v>
      </c>
      <c r="S2010" s="171">
        <v>29.400000000000002</v>
      </c>
      <c r="T2010" s="171">
        <v>32.11</v>
      </c>
      <c r="U2010" s="171">
        <v>34.99</v>
      </c>
      <c r="V2010" s="171">
        <v>44.96</v>
      </c>
      <c r="W2010" s="171">
        <v>39.99</v>
      </c>
      <c r="X2010" s="171">
        <v>34.96</v>
      </c>
      <c r="Y2010" s="171">
        <v>32.869999999999997</v>
      </c>
      <c r="Z2010" s="171">
        <v>28.73</v>
      </c>
      <c r="AA2010" s="171">
        <v>27.85</v>
      </c>
      <c r="AB2010" s="171">
        <v>44.96</v>
      </c>
      <c r="AC2010" s="171">
        <v>9.49</v>
      </c>
      <c r="AD2010" s="171">
        <v>26.92</v>
      </c>
      <c r="AF2010" s="171">
        <f t="shared" si="95"/>
        <v>2014</v>
      </c>
      <c r="AG2010" s="171">
        <f t="shared" si="96"/>
        <v>23</v>
      </c>
      <c r="AH2010" s="700">
        <f>SUMIF(D$3:$AA2010,"&lt;="&amp;$AH$1)/COUNTIF(D$3:$AA2010,"&lt;="&amp;$AH$1)</f>
        <v>31.312812480101972</v>
      </c>
    </row>
    <row r="2011" spans="2:34" x14ac:dyDescent="0.25">
      <c r="B2011" s="910">
        <v>41641</v>
      </c>
      <c r="C2011" s="581">
        <f t="shared" si="94"/>
        <v>1</v>
      </c>
      <c r="D2011" s="171">
        <v>27.91</v>
      </c>
      <c r="E2011" s="171">
        <v>26</v>
      </c>
      <c r="F2011" s="171">
        <v>4.96</v>
      </c>
      <c r="G2011" s="171">
        <v>0.99</v>
      </c>
      <c r="H2011" s="171">
        <v>19.990000000000002</v>
      </c>
      <c r="I2011" s="171">
        <v>28.42</v>
      </c>
      <c r="J2011" s="171">
        <v>29.34</v>
      </c>
      <c r="K2011" s="171">
        <v>38.46</v>
      </c>
      <c r="L2011" s="171">
        <v>43.35</v>
      </c>
      <c r="M2011" s="171">
        <v>46.94</v>
      </c>
      <c r="N2011" s="171">
        <v>55</v>
      </c>
      <c r="O2011" s="171">
        <v>66</v>
      </c>
      <c r="P2011" s="171">
        <v>64.09</v>
      </c>
      <c r="Q2011" s="171">
        <v>62.93</v>
      </c>
      <c r="R2011" s="171">
        <v>59.43</v>
      </c>
      <c r="S2011" s="171">
        <v>52.44</v>
      </c>
      <c r="T2011" s="171">
        <v>55</v>
      </c>
      <c r="U2011" s="171">
        <v>78.08</v>
      </c>
      <c r="V2011" s="171">
        <v>66.7</v>
      </c>
      <c r="W2011" s="171">
        <v>53.53</v>
      </c>
      <c r="X2011" s="171">
        <v>52.44</v>
      </c>
      <c r="Y2011" s="171">
        <v>44.96</v>
      </c>
      <c r="Z2011" s="171">
        <v>35.47</v>
      </c>
      <c r="AA2011" s="171">
        <v>30.64</v>
      </c>
      <c r="AB2011" s="171">
        <v>78.08</v>
      </c>
      <c r="AC2011" s="171">
        <v>35.47</v>
      </c>
      <c r="AD2011" s="171">
        <v>28.3</v>
      </c>
      <c r="AF2011" s="171">
        <f t="shared" si="95"/>
        <v>2014</v>
      </c>
      <c r="AG2011" s="171">
        <f t="shared" si="96"/>
        <v>10</v>
      </c>
      <c r="AH2011" s="700">
        <f>SUMIF(D$3:$AA2011,"&lt;="&amp;$AH$1)/COUNTIF(D$3:$AA2011,"&lt;="&amp;$AH$1)</f>
        <v>31.308297804645338</v>
      </c>
    </row>
    <row r="2012" spans="2:34" x14ac:dyDescent="0.25">
      <c r="B2012" s="910">
        <v>41642</v>
      </c>
      <c r="C2012" s="581">
        <f t="shared" si="94"/>
        <v>1</v>
      </c>
      <c r="D2012" s="171">
        <v>27.400000000000002</v>
      </c>
      <c r="E2012" s="171">
        <v>26.7</v>
      </c>
      <c r="F2012" s="171">
        <v>25.52</v>
      </c>
      <c r="G2012" s="171">
        <v>13.15</v>
      </c>
      <c r="H2012" s="171">
        <v>16.010000000000002</v>
      </c>
      <c r="I2012" s="171">
        <v>24.01</v>
      </c>
      <c r="J2012" s="171">
        <v>28.27</v>
      </c>
      <c r="K2012" s="171">
        <v>31.82</v>
      </c>
      <c r="L2012" s="171">
        <v>37.76</v>
      </c>
      <c r="M2012" s="171">
        <v>46.15</v>
      </c>
      <c r="N2012" s="171">
        <v>50</v>
      </c>
      <c r="O2012" s="171">
        <v>65.63</v>
      </c>
      <c r="P2012" s="171">
        <v>67.42</v>
      </c>
      <c r="Q2012" s="171">
        <v>55.120000000000005</v>
      </c>
      <c r="R2012" s="171">
        <v>50</v>
      </c>
      <c r="S2012" s="171">
        <v>52.01</v>
      </c>
      <c r="T2012" s="171">
        <v>55.050000000000004</v>
      </c>
      <c r="U2012" s="171">
        <v>72.489999999999995</v>
      </c>
      <c r="V2012" s="171">
        <v>52.44</v>
      </c>
      <c r="W2012" s="171">
        <v>44.96</v>
      </c>
      <c r="X2012" s="171">
        <v>44.94</v>
      </c>
      <c r="Y2012" s="171">
        <v>33.380000000000003</v>
      </c>
      <c r="Z2012" s="171">
        <v>31.82</v>
      </c>
      <c r="AA2012" s="171">
        <v>32.22</v>
      </c>
      <c r="AB2012" s="171">
        <v>72.489999999999995</v>
      </c>
      <c r="AC2012" s="171">
        <v>31.82</v>
      </c>
      <c r="AD2012" s="171">
        <v>27.94</v>
      </c>
      <c r="AF2012" s="171">
        <f t="shared" si="95"/>
        <v>2014</v>
      </c>
      <c r="AG2012" s="171">
        <f t="shared" si="96"/>
        <v>12</v>
      </c>
      <c r="AH2012" s="700">
        <f>SUMIF(D$3:$AA2012,"&lt;="&amp;$AH$1)/COUNTIF(D$3:$AA2012,"&lt;="&amp;$AH$1)</f>
        <v>31.305268646277206</v>
      </c>
    </row>
    <row r="2013" spans="2:34" x14ac:dyDescent="0.25">
      <c r="B2013" s="910">
        <v>41645</v>
      </c>
      <c r="C2013" s="581">
        <f t="shared" si="94"/>
        <v>1</v>
      </c>
      <c r="D2013" s="171">
        <v>27.490000000000002</v>
      </c>
      <c r="E2013" s="171">
        <v>26.71</v>
      </c>
      <c r="F2013" s="171">
        <v>26.16</v>
      </c>
      <c r="G2013" s="171">
        <v>26.310000000000002</v>
      </c>
      <c r="H2013" s="171">
        <v>26.45</v>
      </c>
      <c r="I2013" s="171">
        <v>23.45</v>
      </c>
      <c r="J2013" s="171">
        <v>32.56</v>
      </c>
      <c r="K2013" s="171">
        <v>48.6</v>
      </c>
      <c r="L2013" s="171">
        <v>67.790000000000006</v>
      </c>
      <c r="M2013" s="171">
        <v>63.43</v>
      </c>
      <c r="N2013" s="171">
        <v>67.8</v>
      </c>
      <c r="O2013" s="171">
        <v>67.3</v>
      </c>
      <c r="P2013" s="171">
        <v>66.710000000000008</v>
      </c>
      <c r="Q2013" s="171">
        <v>56.99</v>
      </c>
      <c r="R2013" s="171">
        <v>52.44</v>
      </c>
      <c r="S2013" s="171">
        <v>49.94</v>
      </c>
      <c r="T2013" s="171">
        <v>48.99</v>
      </c>
      <c r="U2013" s="171">
        <v>84.710000000000008</v>
      </c>
      <c r="V2013" s="171">
        <v>59.94</v>
      </c>
      <c r="W2013" s="171">
        <v>59.94</v>
      </c>
      <c r="X2013" s="171">
        <v>50</v>
      </c>
      <c r="Y2013" s="171">
        <v>49.94</v>
      </c>
      <c r="Z2013" s="171">
        <v>46.9</v>
      </c>
      <c r="AA2013" s="171">
        <v>33.69</v>
      </c>
      <c r="AB2013" s="171">
        <v>84.710000000000008</v>
      </c>
      <c r="AC2013" s="171">
        <v>46.9</v>
      </c>
      <c r="AD2013" s="171">
        <v>34.85</v>
      </c>
      <c r="AF2013" s="171">
        <f t="shared" si="95"/>
        <v>2014</v>
      </c>
      <c r="AG2013" s="171">
        <f t="shared" si="96"/>
        <v>8</v>
      </c>
      <c r="AH2013" s="700">
        <f>SUMIF(D$3:$AA2013,"&lt;="&amp;$AH$1)/COUNTIF(D$3:$AA2013,"&lt;="&amp;$AH$1)</f>
        <v>31.30351318716248</v>
      </c>
    </row>
    <row r="2014" spans="2:34" x14ac:dyDescent="0.25">
      <c r="B2014" s="910">
        <v>41646</v>
      </c>
      <c r="C2014" s="581">
        <f t="shared" si="94"/>
        <v>1</v>
      </c>
      <c r="D2014" s="171">
        <v>27.37</v>
      </c>
      <c r="E2014" s="171">
        <v>26.990000000000002</v>
      </c>
      <c r="F2014" s="171">
        <v>26.580000000000002</v>
      </c>
      <c r="G2014" s="171">
        <v>26.54</v>
      </c>
      <c r="H2014" s="171">
        <v>27.150000000000002</v>
      </c>
      <c r="I2014" s="171">
        <v>27</v>
      </c>
      <c r="J2014" s="171">
        <v>28.48</v>
      </c>
      <c r="K2014" s="171">
        <v>44.6</v>
      </c>
      <c r="L2014" s="171">
        <v>52.34</v>
      </c>
      <c r="M2014" s="171">
        <v>54.84</v>
      </c>
      <c r="N2014" s="171">
        <v>58.35</v>
      </c>
      <c r="O2014" s="171">
        <v>61.85</v>
      </c>
      <c r="P2014" s="171">
        <v>52.78</v>
      </c>
      <c r="Q2014" s="171">
        <v>52.44</v>
      </c>
      <c r="R2014" s="171">
        <v>52.44</v>
      </c>
      <c r="S2014" s="171">
        <v>51.95</v>
      </c>
      <c r="T2014" s="171">
        <v>51.95</v>
      </c>
      <c r="U2014" s="171">
        <v>69.97</v>
      </c>
      <c r="V2014" s="171">
        <v>61.93</v>
      </c>
      <c r="W2014" s="171">
        <v>56.29</v>
      </c>
      <c r="X2014" s="171">
        <v>46.28</v>
      </c>
      <c r="Y2014" s="171">
        <v>44.96</v>
      </c>
      <c r="Z2014" s="171">
        <v>36.08</v>
      </c>
      <c r="AA2014" s="171">
        <v>33.51</v>
      </c>
      <c r="AB2014" s="171">
        <v>69.97</v>
      </c>
      <c r="AC2014" s="171">
        <v>36.08</v>
      </c>
      <c r="AD2014" s="171">
        <v>32.96</v>
      </c>
      <c r="AF2014" s="171">
        <f t="shared" si="95"/>
        <v>2014</v>
      </c>
      <c r="AG2014" s="171">
        <f t="shared" si="96"/>
        <v>9</v>
      </c>
      <c r="AH2014" s="700">
        <f>SUMIF(D$3:$AA2014,"&lt;="&amp;$AH$1)/COUNTIF(D$3:$AA2014,"&lt;="&amp;$AH$1)</f>
        <v>31.302113821138313</v>
      </c>
    </row>
    <row r="2015" spans="2:34" x14ac:dyDescent="0.25">
      <c r="B2015" s="910">
        <v>41647</v>
      </c>
      <c r="C2015" s="581">
        <f t="shared" si="94"/>
        <v>1</v>
      </c>
      <c r="D2015" s="171">
        <v>27.1</v>
      </c>
      <c r="E2015" s="171">
        <v>26.490000000000002</v>
      </c>
      <c r="F2015" s="171">
        <v>26.310000000000002</v>
      </c>
      <c r="G2015" s="171">
        <v>25.98</v>
      </c>
      <c r="H2015" s="171">
        <v>26.46</v>
      </c>
      <c r="I2015" s="171">
        <v>26.990000000000002</v>
      </c>
      <c r="J2015" s="171">
        <v>30.310000000000002</v>
      </c>
      <c r="K2015" s="171">
        <v>46.42</v>
      </c>
      <c r="L2015" s="171">
        <v>57.96</v>
      </c>
      <c r="M2015" s="171">
        <v>57.82</v>
      </c>
      <c r="N2015" s="171">
        <v>53.7</v>
      </c>
      <c r="O2015" s="171">
        <v>54.51</v>
      </c>
      <c r="P2015" s="171">
        <v>56.46</v>
      </c>
      <c r="Q2015" s="171">
        <v>54.300000000000004</v>
      </c>
      <c r="R2015" s="171">
        <v>51.11</v>
      </c>
      <c r="S2015" s="171">
        <v>47</v>
      </c>
      <c r="T2015" s="171">
        <v>52.06</v>
      </c>
      <c r="U2015" s="171">
        <v>70.010000000000005</v>
      </c>
      <c r="V2015" s="171">
        <v>65</v>
      </c>
      <c r="W2015" s="171">
        <v>61.89</v>
      </c>
      <c r="X2015" s="171">
        <v>63.03</v>
      </c>
      <c r="Y2015" s="171">
        <v>55</v>
      </c>
      <c r="Z2015" s="171">
        <v>47.44</v>
      </c>
      <c r="AA2015" s="171">
        <v>44.96</v>
      </c>
      <c r="AB2015" s="171">
        <v>70.010000000000005</v>
      </c>
      <c r="AC2015" s="171">
        <v>46.42</v>
      </c>
      <c r="AD2015" s="171">
        <v>37.21</v>
      </c>
      <c r="AF2015" s="171">
        <f t="shared" si="95"/>
        <v>2014</v>
      </c>
      <c r="AG2015" s="171">
        <f t="shared" si="96"/>
        <v>7</v>
      </c>
      <c r="AH2015" s="700">
        <f>SUMIF(D$3:$AA2015,"&lt;="&amp;$AH$1)/COUNTIF(D$3:$AA2015,"&lt;="&amp;$AH$1)</f>
        <v>31.300242524284272</v>
      </c>
    </row>
    <row r="2016" spans="2:34" x14ac:dyDescent="0.25">
      <c r="B2016" s="910">
        <v>41648</v>
      </c>
      <c r="C2016" s="581">
        <f t="shared" si="94"/>
        <v>1</v>
      </c>
      <c r="D2016" s="171">
        <v>32.53</v>
      </c>
      <c r="E2016" s="171">
        <v>26.51</v>
      </c>
      <c r="F2016" s="171">
        <v>26.04</v>
      </c>
      <c r="G2016" s="171">
        <v>26.67</v>
      </c>
      <c r="H2016" s="171">
        <v>27.19</v>
      </c>
      <c r="I2016" s="171">
        <v>27.12</v>
      </c>
      <c r="J2016" s="171">
        <v>34.65</v>
      </c>
      <c r="K2016" s="171">
        <v>48</v>
      </c>
      <c r="L2016" s="171">
        <v>56.97</v>
      </c>
      <c r="M2016" s="171">
        <v>67.8</v>
      </c>
      <c r="N2016" s="171">
        <v>66</v>
      </c>
      <c r="O2016" s="171">
        <v>66.710000000000008</v>
      </c>
      <c r="P2016" s="171">
        <v>64.37</v>
      </c>
      <c r="Q2016" s="171">
        <v>63.230000000000004</v>
      </c>
      <c r="R2016" s="171">
        <v>59.61</v>
      </c>
      <c r="S2016" s="171">
        <v>56.18</v>
      </c>
      <c r="T2016" s="171">
        <v>55</v>
      </c>
      <c r="U2016" s="171">
        <v>69.03</v>
      </c>
      <c r="V2016" s="171">
        <v>62.06</v>
      </c>
      <c r="W2016" s="171">
        <v>59.78</v>
      </c>
      <c r="X2016" s="171">
        <v>47.89</v>
      </c>
      <c r="Y2016" s="171">
        <v>46.410000000000004</v>
      </c>
      <c r="Z2016" s="171">
        <v>45.35</v>
      </c>
      <c r="AA2016" s="171">
        <v>44.29</v>
      </c>
      <c r="AB2016" s="171">
        <v>69.03</v>
      </c>
      <c r="AC2016" s="171">
        <v>45.35</v>
      </c>
      <c r="AD2016" s="171">
        <v>36.050000000000004</v>
      </c>
      <c r="AF2016" s="171">
        <f t="shared" si="95"/>
        <v>2014</v>
      </c>
      <c r="AG2016" s="171">
        <f t="shared" si="96"/>
        <v>7</v>
      </c>
      <c r="AH2016" s="700">
        <f>SUMIF(D$3:$AA2016,"&lt;="&amp;$AH$1)/COUNTIF(D$3:$AA2016,"&lt;="&amp;$AH$1)</f>
        <v>31.299075390278055</v>
      </c>
    </row>
    <row r="2017" spans="2:34" x14ac:dyDescent="0.25">
      <c r="B2017" s="910">
        <v>41649</v>
      </c>
      <c r="C2017" s="581">
        <f t="shared" si="94"/>
        <v>1</v>
      </c>
      <c r="D2017" s="171">
        <v>42.64</v>
      </c>
      <c r="E2017" s="171">
        <v>38</v>
      </c>
      <c r="F2017" s="171">
        <v>32.200000000000003</v>
      </c>
      <c r="G2017" s="171">
        <v>26.490000000000002</v>
      </c>
      <c r="H2017" s="171">
        <v>27.29</v>
      </c>
      <c r="I2017" s="171">
        <v>33.770000000000003</v>
      </c>
      <c r="J2017" s="171">
        <v>46.7</v>
      </c>
      <c r="K2017" s="171">
        <v>62.870000000000005</v>
      </c>
      <c r="L2017" s="171">
        <v>59.51</v>
      </c>
      <c r="M2017" s="171">
        <v>61.620000000000005</v>
      </c>
      <c r="N2017" s="171">
        <v>59.99</v>
      </c>
      <c r="O2017" s="171">
        <v>58.32</v>
      </c>
      <c r="P2017" s="171">
        <v>57.730000000000004</v>
      </c>
      <c r="Q2017" s="171">
        <v>53.76</v>
      </c>
      <c r="R2017" s="171">
        <v>54.94</v>
      </c>
      <c r="S2017" s="171">
        <v>50</v>
      </c>
      <c r="T2017" s="171">
        <v>53.65</v>
      </c>
      <c r="U2017" s="171">
        <v>74.86</v>
      </c>
      <c r="V2017" s="171">
        <v>66.02</v>
      </c>
      <c r="W2017" s="171">
        <v>61.5</v>
      </c>
      <c r="X2017" s="171">
        <v>57.300000000000004</v>
      </c>
      <c r="Y2017" s="171">
        <v>46.910000000000004</v>
      </c>
      <c r="Z2017" s="171">
        <v>50</v>
      </c>
      <c r="AA2017" s="171">
        <v>47.33</v>
      </c>
      <c r="AB2017" s="171">
        <v>74.86</v>
      </c>
      <c r="AC2017" s="171">
        <v>46.910000000000004</v>
      </c>
      <c r="AD2017" s="171">
        <v>42.63</v>
      </c>
      <c r="AF2017" s="171">
        <f t="shared" si="95"/>
        <v>2014</v>
      </c>
      <c r="AG2017" s="171">
        <f t="shared" si="96"/>
        <v>5</v>
      </c>
      <c r="AH2017" s="700">
        <f>SUMIF(D$3:$AA2017,"&lt;="&amp;$AH$1)/COUNTIF(D$3:$AA2017,"&lt;="&amp;$AH$1)</f>
        <v>31.299154983188579</v>
      </c>
    </row>
    <row r="2018" spans="2:34" x14ac:dyDescent="0.25">
      <c r="B2018" s="910">
        <v>41652</v>
      </c>
      <c r="C2018" s="581">
        <f t="shared" si="94"/>
        <v>1</v>
      </c>
      <c r="D2018" s="171">
        <v>26</v>
      </c>
      <c r="E2018" s="171">
        <v>27.86</v>
      </c>
      <c r="F2018" s="171">
        <v>28.76</v>
      </c>
      <c r="G2018" s="171">
        <v>25.95</v>
      </c>
      <c r="H2018" s="171">
        <v>25.91</v>
      </c>
      <c r="I2018" s="171">
        <v>26.71</v>
      </c>
      <c r="J2018" s="171">
        <v>33.11</v>
      </c>
      <c r="K2018" s="171">
        <v>50.84</v>
      </c>
      <c r="L2018" s="171">
        <v>51.45</v>
      </c>
      <c r="M2018" s="171">
        <v>53.89</v>
      </c>
      <c r="N2018" s="171">
        <v>64.36</v>
      </c>
      <c r="O2018" s="171">
        <v>65.14</v>
      </c>
      <c r="P2018" s="171">
        <v>55.89</v>
      </c>
      <c r="Q2018" s="171">
        <v>55</v>
      </c>
      <c r="R2018" s="171">
        <v>54.94</v>
      </c>
      <c r="S2018" s="171">
        <v>54.97</v>
      </c>
      <c r="T2018" s="171">
        <v>57.93</v>
      </c>
      <c r="U2018" s="171">
        <v>67.48</v>
      </c>
      <c r="V2018" s="171">
        <v>64.41</v>
      </c>
      <c r="W2018" s="171">
        <v>60.71</v>
      </c>
      <c r="X2018" s="171">
        <v>51.620000000000005</v>
      </c>
      <c r="Y2018" s="171">
        <v>44.67</v>
      </c>
      <c r="Z2018" s="171">
        <v>43.21</v>
      </c>
      <c r="AA2018" s="171">
        <v>43.21</v>
      </c>
      <c r="AB2018" s="171">
        <v>67.48</v>
      </c>
      <c r="AC2018" s="171">
        <v>43.21</v>
      </c>
      <c r="AD2018" s="171">
        <v>35.65</v>
      </c>
      <c r="AF2018" s="171">
        <f t="shared" si="95"/>
        <v>2014</v>
      </c>
      <c r="AG2018" s="171">
        <f t="shared" si="96"/>
        <v>7</v>
      </c>
      <c r="AH2018" s="700">
        <f>SUMIF(D$3:$AA2018,"&lt;="&amp;$AH$1)/COUNTIF(D$3:$AA2018,"&lt;="&amp;$AH$1)</f>
        <v>31.297582752060976</v>
      </c>
    </row>
    <row r="2019" spans="2:34" x14ac:dyDescent="0.25">
      <c r="B2019" s="910">
        <v>41653</v>
      </c>
      <c r="C2019" s="581">
        <f t="shared" si="94"/>
        <v>1</v>
      </c>
      <c r="D2019" s="171">
        <v>31.14</v>
      </c>
      <c r="E2019" s="171">
        <v>29.650000000000002</v>
      </c>
      <c r="F2019" s="171">
        <v>29.560000000000002</v>
      </c>
      <c r="G2019" s="171">
        <v>29.150000000000002</v>
      </c>
      <c r="H2019" s="171">
        <v>29.37</v>
      </c>
      <c r="I2019" s="171">
        <v>30.34</v>
      </c>
      <c r="J2019" s="171">
        <v>36.980000000000004</v>
      </c>
      <c r="K2019" s="171">
        <v>60.09</v>
      </c>
      <c r="L2019" s="171">
        <v>65.94</v>
      </c>
      <c r="M2019" s="171">
        <v>66.06</v>
      </c>
      <c r="N2019" s="171">
        <v>66.95</v>
      </c>
      <c r="O2019" s="171">
        <v>67.510000000000005</v>
      </c>
      <c r="P2019" s="171">
        <v>60.02</v>
      </c>
      <c r="Q2019" s="171">
        <v>55.01</v>
      </c>
      <c r="R2019" s="171">
        <v>52.54</v>
      </c>
      <c r="S2019" s="171">
        <v>51.86</v>
      </c>
      <c r="T2019" s="171">
        <v>55.88</v>
      </c>
      <c r="U2019" s="171">
        <v>70.680000000000007</v>
      </c>
      <c r="V2019" s="171">
        <v>68</v>
      </c>
      <c r="W2019" s="171">
        <v>53.7</v>
      </c>
      <c r="X2019" s="171">
        <v>54.94</v>
      </c>
      <c r="Y2019" s="171">
        <v>45.14</v>
      </c>
      <c r="Z2019" s="171">
        <v>44.94</v>
      </c>
      <c r="AA2019" s="171">
        <v>39.99</v>
      </c>
      <c r="AB2019" s="171">
        <v>70.680000000000007</v>
      </c>
      <c r="AC2019" s="171">
        <v>44.94</v>
      </c>
      <c r="AD2019" s="171">
        <v>38.44</v>
      </c>
      <c r="AF2019" s="171">
        <f t="shared" si="95"/>
        <v>2014</v>
      </c>
      <c r="AG2019" s="171">
        <f t="shared" si="96"/>
        <v>8</v>
      </c>
      <c r="AH2019" s="700">
        <f>SUMIF(D$3:$AA2019,"&lt;="&amp;$AH$1)/COUNTIF(D$3:$AA2019,"&lt;="&amp;$AH$1)</f>
        <v>31.297950310559109</v>
      </c>
    </row>
    <row r="2020" spans="2:34" x14ac:dyDescent="0.25">
      <c r="B2020" s="910">
        <v>41654</v>
      </c>
      <c r="C2020" s="581">
        <f t="shared" si="94"/>
        <v>1</v>
      </c>
      <c r="D2020" s="171">
        <v>33.03</v>
      </c>
      <c r="E2020" s="171">
        <v>30.66</v>
      </c>
      <c r="F2020" s="171">
        <v>29.92</v>
      </c>
      <c r="G2020" s="171">
        <v>29.63</v>
      </c>
      <c r="H2020" s="171">
        <v>29.54</v>
      </c>
      <c r="I2020" s="171">
        <v>30.650000000000002</v>
      </c>
      <c r="J2020" s="171">
        <v>39.94</v>
      </c>
      <c r="K2020" s="171">
        <v>55.67</v>
      </c>
      <c r="L2020" s="171">
        <v>62.65</v>
      </c>
      <c r="M2020" s="171">
        <v>58.07</v>
      </c>
      <c r="N2020" s="171">
        <v>55.47</v>
      </c>
      <c r="O2020" s="171">
        <v>53.9</v>
      </c>
      <c r="P2020" s="171">
        <v>54.160000000000004</v>
      </c>
      <c r="Q2020" s="171">
        <v>54.35</v>
      </c>
      <c r="R2020" s="171">
        <v>50.75</v>
      </c>
      <c r="S2020" s="171">
        <v>50.51</v>
      </c>
      <c r="T2020" s="171">
        <v>52.1</v>
      </c>
      <c r="U2020" s="171">
        <v>56.49</v>
      </c>
      <c r="V2020" s="171">
        <v>62.96</v>
      </c>
      <c r="W2020" s="171">
        <v>61.29</v>
      </c>
      <c r="X2020" s="171">
        <v>47</v>
      </c>
      <c r="Y2020" s="171">
        <v>44.45</v>
      </c>
      <c r="Z2020" s="171">
        <v>39.46</v>
      </c>
      <c r="AA2020" s="171">
        <v>35.75</v>
      </c>
      <c r="AB2020" s="171">
        <v>62.96</v>
      </c>
      <c r="AC2020" s="171">
        <v>39.46</v>
      </c>
      <c r="AD2020" s="171">
        <v>37.14</v>
      </c>
      <c r="AF2020" s="171">
        <f t="shared" si="95"/>
        <v>2014</v>
      </c>
      <c r="AG2020" s="171">
        <f t="shared" si="96"/>
        <v>9</v>
      </c>
      <c r="AH2020" s="700">
        <f>SUMIF(D$3:$AA2020,"&lt;="&amp;$AH$1)/COUNTIF(D$3:$AA2020,"&lt;="&amp;$AH$1)</f>
        <v>31.299020713245181</v>
      </c>
    </row>
    <row r="2021" spans="2:34" x14ac:dyDescent="0.25">
      <c r="B2021" s="910">
        <v>41655</v>
      </c>
      <c r="C2021" s="581">
        <f t="shared" si="94"/>
        <v>1</v>
      </c>
      <c r="D2021" s="171">
        <v>30.060000000000002</v>
      </c>
      <c r="E2021" s="171">
        <v>28.92</v>
      </c>
      <c r="F2021" s="171">
        <v>28.04</v>
      </c>
      <c r="G2021" s="171">
        <v>23.81</v>
      </c>
      <c r="H2021" s="171">
        <v>25.54</v>
      </c>
      <c r="I2021" s="171">
        <v>28.66</v>
      </c>
      <c r="J2021" s="171">
        <v>33.35</v>
      </c>
      <c r="K2021" s="171">
        <v>50.09</v>
      </c>
      <c r="L2021" s="171">
        <v>48.34</v>
      </c>
      <c r="M2021" s="171">
        <v>51.57</v>
      </c>
      <c r="N2021" s="171">
        <v>50.84</v>
      </c>
      <c r="O2021" s="171">
        <v>52.2</v>
      </c>
      <c r="P2021" s="171">
        <v>51.52</v>
      </c>
      <c r="Q2021" s="171">
        <v>55</v>
      </c>
      <c r="R2021" s="171">
        <v>54.94</v>
      </c>
      <c r="S2021" s="171">
        <v>53.620000000000005</v>
      </c>
      <c r="T2021" s="171">
        <v>55</v>
      </c>
      <c r="U2021" s="171">
        <v>79.94</v>
      </c>
      <c r="V2021" s="171">
        <v>59.94</v>
      </c>
      <c r="W2021" s="171">
        <v>55</v>
      </c>
      <c r="X2021" s="171">
        <v>54.94</v>
      </c>
      <c r="Y2021" s="171">
        <v>47</v>
      </c>
      <c r="Z2021" s="171">
        <v>37.69</v>
      </c>
      <c r="AA2021" s="171">
        <v>38</v>
      </c>
      <c r="AB2021" s="171">
        <v>79.94</v>
      </c>
      <c r="AC2021" s="171">
        <v>37.69</v>
      </c>
      <c r="AD2021" s="171">
        <v>35.51</v>
      </c>
      <c r="AF2021" s="171">
        <f t="shared" si="95"/>
        <v>2014</v>
      </c>
      <c r="AG2021" s="171">
        <f t="shared" si="96"/>
        <v>9</v>
      </c>
      <c r="AH2021" s="700">
        <f>SUMIF(D$3:$AA2021,"&lt;="&amp;$AH$1)/COUNTIF(D$3:$AA2021,"&lt;="&amp;$AH$1)</f>
        <v>31.298538237528586</v>
      </c>
    </row>
    <row r="2022" spans="2:34" x14ac:dyDescent="0.25">
      <c r="B2022" s="910">
        <v>41656</v>
      </c>
      <c r="C2022" s="581">
        <f t="shared" si="94"/>
        <v>1</v>
      </c>
      <c r="D2022" s="171">
        <v>29.53</v>
      </c>
      <c r="E2022" s="171">
        <v>28.87</v>
      </c>
      <c r="F2022" s="171">
        <v>28.54</v>
      </c>
      <c r="G2022" s="171">
        <v>27</v>
      </c>
      <c r="H2022" s="171">
        <v>27.54</v>
      </c>
      <c r="I2022" s="171">
        <v>29.12</v>
      </c>
      <c r="J2022" s="171">
        <v>34.03</v>
      </c>
      <c r="K2022" s="171">
        <v>48.97</v>
      </c>
      <c r="L2022" s="171">
        <v>49.96</v>
      </c>
      <c r="M2022" s="171">
        <v>52.44</v>
      </c>
      <c r="N2022" s="171">
        <v>54.94</v>
      </c>
      <c r="O2022" s="171">
        <v>55</v>
      </c>
      <c r="P2022" s="171">
        <v>49.96</v>
      </c>
      <c r="Q2022" s="171">
        <v>49.94</v>
      </c>
      <c r="R2022" s="171">
        <v>48</v>
      </c>
      <c r="S2022" s="171">
        <v>47.44</v>
      </c>
      <c r="T2022" s="171">
        <v>48.870000000000005</v>
      </c>
      <c r="U2022" s="171">
        <v>68.989999999999995</v>
      </c>
      <c r="V2022" s="171">
        <v>52.75</v>
      </c>
      <c r="W2022" s="171">
        <v>49.43</v>
      </c>
      <c r="X2022" s="171">
        <v>44.94</v>
      </c>
      <c r="Y2022" s="171">
        <v>39.94</v>
      </c>
      <c r="Z2022" s="171">
        <v>34.450000000000003</v>
      </c>
      <c r="AA2022" s="171">
        <v>35.9</v>
      </c>
      <c r="AB2022" s="171">
        <v>68.989999999999995</v>
      </c>
      <c r="AC2022" s="171">
        <v>34.450000000000003</v>
      </c>
      <c r="AD2022" s="171">
        <v>34.07</v>
      </c>
      <c r="AF2022" s="171">
        <f t="shared" si="95"/>
        <v>2014</v>
      </c>
      <c r="AG2022" s="171">
        <f t="shared" si="96"/>
        <v>10</v>
      </c>
      <c r="AH2022" s="700">
        <f>SUMIF(D$3:$AA2022,"&lt;="&amp;$AH$1)/COUNTIF(D$3:$AA2022,"&lt;="&amp;$AH$1)</f>
        <v>31.298660635201923</v>
      </c>
    </row>
    <row r="2023" spans="2:34" x14ac:dyDescent="0.25">
      <c r="B2023" s="910">
        <v>41659</v>
      </c>
      <c r="C2023" s="581">
        <f t="shared" si="94"/>
        <v>1</v>
      </c>
      <c r="D2023" s="171">
        <v>34.75</v>
      </c>
      <c r="E2023" s="171">
        <v>29.46</v>
      </c>
      <c r="F2023" s="171">
        <v>29.21</v>
      </c>
      <c r="G2023" s="171">
        <v>28.96</v>
      </c>
      <c r="H2023" s="171">
        <v>29.330000000000002</v>
      </c>
      <c r="I2023" s="171">
        <v>29.85</v>
      </c>
      <c r="J2023" s="171">
        <v>45.93</v>
      </c>
      <c r="K2023" s="171">
        <v>71.97</v>
      </c>
      <c r="L2023" s="171">
        <v>70.92</v>
      </c>
      <c r="M2023" s="171">
        <v>64.5</v>
      </c>
      <c r="N2023" s="171">
        <v>62.93</v>
      </c>
      <c r="O2023" s="171">
        <v>64.44</v>
      </c>
      <c r="P2023" s="171">
        <v>59.61</v>
      </c>
      <c r="Q2023" s="171">
        <v>58.04</v>
      </c>
      <c r="R2023" s="171">
        <v>54.160000000000004</v>
      </c>
      <c r="S2023" s="171">
        <v>49.7</v>
      </c>
      <c r="T2023" s="171">
        <v>52.53</v>
      </c>
      <c r="U2023" s="171">
        <v>64.91</v>
      </c>
      <c r="V2023" s="171">
        <v>77.989999999999995</v>
      </c>
      <c r="W2023" s="171">
        <v>63.97</v>
      </c>
      <c r="X2023" s="171">
        <v>62.7</v>
      </c>
      <c r="Y2023" s="171">
        <v>50.4</v>
      </c>
      <c r="Z2023" s="171">
        <v>58.17</v>
      </c>
      <c r="AA2023" s="171">
        <v>49.38</v>
      </c>
      <c r="AB2023" s="171">
        <v>77.989999999999995</v>
      </c>
      <c r="AC2023" s="171">
        <v>49.7</v>
      </c>
      <c r="AD2023" s="171">
        <v>43.34</v>
      </c>
      <c r="AF2023" s="171">
        <f t="shared" si="95"/>
        <v>2014</v>
      </c>
      <c r="AG2023" s="171">
        <f t="shared" si="96"/>
        <v>6</v>
      </c>
      <c r="AH2023" s="700">
        <f>SUMIF(D$3:$AA2023,"&lt;="&amp;$AH$1)/COUNTIF(D$3:$AA2023,"&lt;="&amp;$AH$1)</f>
        <v>31.298266506450901</v>
      </c>
    </row>
    <row r="2024" spans="2:34" x14ac:dyDescent="0.25">
      <c r="B2024" s="910">
        <v>41660</v>
      </c>
      <c r="C2024" s="581">
        <f t="shared" si="94"/>
        <v>1</v>
      </c>
      <c r="D2024" s="171">
        <v>44.79</v>
      </c>
      <c r="E2024" s="171">
        <v>34.35</v>
      </c>
      <c r="F2024" s="171">
        <v>30.650000000000002</v>
      </c>
      <c r="G2024" s="171">
        <v>30.3</v>
      </c>
      <c r="H2024" s="171">
        <v>30.650000000000002</v>
      </c>
      <c r="I2024" s="171">
        <v>33.68</v>
      </c>
      <c r="J2024" s="171">
        <v>45.86</v>
      </c>
      <c r="K2024" s="171">
        <v>59.910000000000004</v>
      </c>
      <c r="L2024" s="171">
        <v>62.980000000000004</v>
      </c>
      <c r="M2024" s="171">
        <v>60.19</v>
      </c>
      <c r="N2024" s="171">
        <v>63.32</v>
      </c>
      <c r="O2024" s="171">
        <v>65.650000000000006</v>
      </c>
      <c r="P2024" s="171">
        <v>62.910000000000004</v>
      </c>
      <c r="Q2024" s="171">
        <v>61.46</v>
      </c>
      <c r="R2024" s="171">
        <v>57.410000000000004</v>
      </c>
      <c r="S2024" s="171">
        <v>50.81</v>
      </c>
      <c r="T2024" s="171">
        <v>54.09</v>
      </c>
      <c r="U2024" s="171">
        <v>60.230000000000004</v>
      </c>
      <c r="V2024" s="171">
        <v>60.57</v>
      </c>
      <c r="W2024" s="171">
        <v>62.97</v>
      </c>
      <c r="X2024" s="171">
        <v>52.97</v>
      </c>
      <c r="Y2024" s="171">
        <v>48.03</v>
      </c>
      <c r="Z2024" s="171">
        <v>51.45</v>
      </c>
      <c r="AA2024" s="171">
        <v>47.44</v>
      </c>
      <c r="AB2024" s="171">
        <v>65.650000000000006</v>
      </c>
      <c r="AC2024" s="171">
        <v>48.03</v>
      </c>
      <c r="AD2024" s="171">
        <v>42.51</v>
      </c>
      <c r="AF2024" s="171">
        <f t="shared" si="95"/>
        <v>2014</v>
      </c>
      <c r="AG2024" s="171">
        <f t="shared" si="96"/>
        <v>5</v>
      </c>
      <c r="AH2024" s="700">
        <f>SUMIF(D$3:$AA2024,"&lt;="&amp;$AH$1)/COUNTIF(D$3:$AA2024,"&lt;="&amp;$AH$1)</f>
        <v>31.298464942783184</v>
      </c>
    </row>
    <row r="2025" spans="2:34" x14ac:dyDescent="0.25">
      <c r="B2025" s="910">
        <v>41661</v>
      </c>
      <c r="C2025" s="581">
        <f t="shared" si="94"/>
        <v>1</v>
      </c>
      <c r="D2025" s="171">
        <v>45.67</v>
      </c>
      <c r="E2025" s="171">
        <v>43.09</v>
      </c>
      <c r="F2025" s="171">
        <v>34.97</v>
      </c>
      <c r="G2025" s="171">
        <v>31.02</v>
      </c>
      <c r="H2025" s="171">
        <v>31.14</v>
      </c>
      <c r="I2025" s="171">
        <v>35.410000000000004</v>
      </c>
      <c r="J2025" s="171">
        <v>48.5</v>
      </c>
      <c r="K2025" s="171">
        <v>67.489999999999995</v>
      </c>
      <c r="L2025" s="171">
        <v>66.489999999999995</v>
      </c>
      <c r="M2025" s="171">
        <v>65.66</v>
      </c>
      <c r="N2025" s="171">
        <v>60.88</v>
      </c>
      <c r="O2025" s="171">
        <v>62.79</v>
      </c>
      <c r="P2025" s="171">
        <v>61.44</v>
      </c>
      <c r="Q2025" s="171">
        <v>59.370000000000005</v>
      </c>
      <c r="R2025" s="171">
        <v>58.96</v>
      </c>
      <c r="S2025" s="171">
        <v>54.76</v>
      </c>
      <c r="T2025" s="171">
        <v>61.620000000000005</v>
      </c>
      <c r="U2025" s="171">
        <v>71.58</v>
      </c>
      <c r="V2025" s="171">
        <v>80.06</v>
      </c>
      <c r="W2025" s="171">
        <v>64.040000000000006</v>
      </c>
      <c r="X2025" s="171">
        <v>61.300000000000004</v>
      </c>
      <c r="Y2025" s="171">
        <v>53.5</v>
      </c>
      <c r="Z2025" s="171">
        <v>54.96</v>
      </c>
      <c r="AA2025" s="171">
        <v>53.5</v>
      </c>
      <c r="AB2025" s="171">
        <v>80.06</v>
      </c>
      <c r="AC2025" s="171">
        <v>53.5</v>
      </c>
      <c r="AD2025" s="171">
        <v>46.71</v>
      </c>
      <c r="AF2025" s="171">
        <f t="shared" si="95"/>
        <v>2014</v>
      </c>
      <c r="AG2025" s="171">
        <f t="shared" si="96"/>
        <v>4</v>
      </c>
      <c r="AH2025" s="700">
        <f>SUMIF(D$3:$AA2025,"&lt;="&amp;$AH$1)/COUNTIF(D$3:$AA2025,"&lt;="&amp;$AH$1)</f>
        <v>31.298929271221898</v>
      </c>
    </row>
    <row r="2026" spans="2:34" x14ac:dyDescent="0.25">
      <c r="B2026" s="910">
        <v>41662</v>
      </c>
      <c r="C2026" s="581">
        <f t="shared" si="94"/>
        <v>1</v>
      </c>
      <c r="D2026" s="171">
        <v>41.81</v>
      </c>
      <c r="E2026" s="171">
        <v>41.5</v>
      </c>
      <c r="F2026" s="171">
        <v>39.22</v>
      </c>
      <c r="G2026" s="171">
        <v>31.32</v>
      </c>
      <c r="H2026" s="171">
        <v>31.17</v>
      </c>
      <c r="I2026" s="171">
        <v>34.03</v>
      </c>
      <c r="J2026" s="171">
        <v>43.13</v>
      </c>
      <c r="K2026" s="171">
        <v>60.59</v>
      </c>
      <c r="L2026" s="171">
        <v>65.099999999999994</v>
      </c>
      <c r="M2026" s="171">
        <v>65.05</v>
      </c>
      <c r="N2026" s="171">
        <v>64.92</v>
      </c>
      <c r="O2026" s="171">
        <v>62.17</v>
      </c>
      <c r="P2026" s="171">
        <v>60.92</v>
      </c>
      <c r="Q2026" s="171">
        <v>60.910000000000004</v>
      </c>
      <c r="R2026" s="171">
        <v>54.77</v>
      </c>
      <c r="S2026" s="171">
        <v>49.69</v>
      </c>
      <c r="T2026" s="171">
        <v>48.08</v>
      </c>
      <c r="U2026" s="171">
        <v>55.17</v>
      </c>
      <c r="V2026" s="171">
        <v>63.96</v>
      </c>
      <c r="W2026" s="171">
        <v>57.53</v>
      </c>
      <c r="X2026" s="171">
        <v>53.78</v>
      </c>
      <c r="Y2026" s="171">
        <v>47.230000000000004</v>
      </c>
      <c r="Z2026" s="171">
        <v>53.800000000000004</v>
      </c>
      <c r="AA2026" s="171">
        <v>46.910000000000004</v>
      </c>
      <c r="AB2026" s="171">
        <v>65.099999999999994</v>
      </c>
      <c r="AC2026" s="171">
        <v>47.230000000000004</v>
      </c>
      <c r="AD2026" s="171">
        <v>43.71</v>
      </c>
      <c r="AF2026" s="171">
        <f t="shared" si="95"/>
        <v>2014</v>
      </c>
      <c r="AG2026" s="171">
        <f t="shared" si="96"/>
        <v>6</v>
      </c>
      <c r="AH2026" s="700">
        <f>SUMIF(D$3:$AA2026,"&lt;="&amp;$AH$1)/COUNTIF(D$3:$AA2026,"&lt;="&amp;$AH$1)</f>
        <v>31.30090415113424</v>
      </c>
    </row>
    <row r="2027" spans="2:34" x14ac:dyDescent="0.25">
      <c r="B2027" s="910">
        <v>41663</v>
      </c>
      <c r="C2027" s="581">
        <f t="shared" si="94"/>
        <v>1</v>
      </c>
      <c r="D2027" s="171">
        <v>35.050000000000004</v>
      </c>
      <c r="E2027" s="171">
        <v>32.29</v>
      </c>
      <c r="F2027" s="171">
        <v>30.34</v>
      </c>
      <c r="G2027" s="171">
        <v>30.8</v>
      </c>
      <c r="H2027" s="171">
        <v>31.11</v>
      </c>
      <c r="I2027" s="171">
        <v>32.17</v>
      </c>
      <c r="J2027" s="171">
        <v>43.42</v>
      </c>
      <c r="K2027" s="171">
        <v>61.6</v>
      </c>
      <c r="L2027" s="171">
        <v>62.5</v>
      </c>
      <c r="M2027" s="171">
        <v>63.300000000000004</v>
      </c>
      <c r="N2027" s="171">
        <v>61.59</v>
      </c>
      <c r="O2027" s="171">
        <v>63.28</v>
      </c>
      <c r="P2027" s="171">
        <v>60.39</v>
      </c>
      <c r="Q2027" s="171">
        <v>59.33</v>
      </c>
      <c r="R2027" s="171">
        <v>58.97</v>
      </c>
      <c r="S2027" s="171">
        <v>53.19</v>
      </c>
      <c r="T2027" s="171">
        <v>53.03</v>
      </c>
      <c r="U2027" s="171">
        <v>64.41</v>
      </c>
      <c r="V2027" s="171">
        <v>64.94</v>
      </c>
      <c r="W2027" s="171">
        <v>63.71</v>
      </c>
      <c r="X2027" s="171">
        <v>54.64</v>
      </c>
      <c r="Y2027" s="171">
        <v>50.15</v>
      </c>
      <c r="Z2027" s="171">
        <v>47.09</v>
      </c>
      <c r="AA2027" s="171">
        <v>49</v>
      </c>
      <c r="AB2027" s="171">
        <v>64.94</v>
      </c>
      <c r="AC2027" s="171">
        <v>47.09</v>
      </c>
      <c r="AD2027" s="171">
        <v>41.47</v>
      </c>
      <c r="AF2027" s="171">
        <f t="shared" si="95"/>
        <v>2014</v>
      </c>
      <c r="AG2027" s="171">
        <f t="shared" si="96"/>
        <v>6</v>
      </c>
      <c r="AH2027" s="700">
        <f>SUMIF(D$3:$AA2027,"&lt;="&amp;$AH$1)/COUNTIF(D$3:$AA2027,"&lt;="&amp;$AH$1)</f>
        <v>31.301153919029971</v>
      </c>
    </row>
    <row r="2028" spans="2:34" x14ac:dyDescent="0.25">
      <c r="B2028" s="910">
        <v>41666</v>
      </c>
      <c r="C2028" s="581">
        <f t="shared" si="94"/>
        <v>1</v>
      </c>
      <c r="D2028" s="171">
        <v>28.85</v>
      </c>
      <c r="E2028" s="171">
        <v>28.71</v>
      </c>
      <c r="F2028" s="171">
        <v>28.61</v>
      </c>
      <c r="G2028" s="171">
        <v>28.71</v>
      </c>
      <c r="H2028" s="171">
        <v>29.2</v>
      </c>
      <c r="I2028" s="171">
        <v>29.91</v>
      </c>
      <c r="J2028" s="171">
        <v>30.14</v>
      </c>
      <c r="K2028" s="171">
        <v>47.43</v>
      </c>
      <c r="L2028" s="171">
        <v>51.07</v>
      </c>
      <c r="M2028" s="171">
        <v>52.47</v>
      </c>
      <c r="N2028" s="171">
        <v>53.47</v>
      </c>
      <c r="O2028" s="171">
        <v>52.730000000000004</v>
      </c>
      <c r="P2028" s="171">
        <v>56.050000000000004</v>
      </c>
      <c r="Q2028" s="171">
        <v>50.71</v>
      </c>
      <c r="R2028" s="171">
        <v>51.92</v>
      </c>
      <c r="S2028" s="171">
        <v>51.92</v>
      </c>
      <c r="T2028" s="171">
        <v>51.47</v>
      </c>
      <c r="U2028" s="171">
        <v>55.53</v>
      </c>
      <c r="V2028" s="171">
        <v>79.92</v>
      </c>
      <c r="W2028" s="171">
        <v>64.25</v>
      </c>
      <c r="X2028" s="171">
        <v>47.25</v>
      </c>
      <c r="Y2028" s="171">
        <v>38.71</v>
      </c>
      <c r="Z2028" s="171">
        <v>40.200000000000003</v>
      </c>
      <c r="AA2028" s="171">
        <v>38.51</v>
      </c>
      <c r="AB2028" s="171">
        <v>79.92</v>
      </c>
      <c r="AC2028" s="171">
        <v>38.71</v>
      </c>
      <c r="AD2028" s="171">
        <v>34.69</v>
      </c>
      <c r="AF2028" s="171">
        <f t="shared" si="95"/>
        <v>2014</v>
      </c>
      <c r="AG2028" s="171">
        <f t="shared" si="96"/>
        <v>10</v>
      </c>
      <c r="AH2028" s="700">
        <f>SUMIF(D$3:$AA2028,"&lt;="&amp;$AH$1)/COUNTIF(D$3:$AA2028,"&lt;="&amp;$AH$1)</f>
        <v>31.301692861200632</v>
      </c>
    </row>
    <row r="2029" spans="2:34" x14ac:dyDescent="0.25">
      <c r="B2029" s="910">
        <v>41667</v>
      </c>
      <c r="C2029" s="581">
        <f t="shared" si="94"/>
        <v>1</v>
      </c>
      <c r="D2029" s="171">
        <v>36.410000000000004</v>
      </c>
      <c r="E2029" s="171">
        <v>32.92</v>
      </c>
      <c r="F2029" s="171">
        <v>30.28</v>
      </c>
      <c r="G2029" s="171">
        <v>29.57</v>
      </c>
      <c r="H2029" s="171">
        <v>30.16</v>
      </c>
      <c r="I2029" s="171">
        <v>31.21</v>
      </c>
      <c r="J2029" s="171">
        <v>41.47</v>
      </c>
      <c r="K2029" s="171">
        <v>55.050000000000004</v>
      </c>
      <c r="L2029" s="171">
        <v>56.58</v>
      </c>
      <c r="M2029" s="171">
        <v>54.52</v>
      </c>
      <c r="N2029" s="171">
        <v>52</v>
      </c>
      <c r="O2029" s="171">
        <v>52.44</v>
      </c>
      <c r="P2029" s="171">
        <v>49.94</v>
      </c>
      <c r="Q2029" s="171">
        <v>47.44</v>
      </c>
      <c r="R2029" s="171">
        <v>46.5</v>
      </c>
      <c r="S2029" s="171">
        <v>48</v>
      </c>
      <c r="T2029" s="171">
        <v>49.77</v>
      </c>
      <c r="U2029" s="171">
        <v>57.75</v>
      </c>
      <c r="V2029" s="171">
        <v>70</v>
      </c>
      <c r="W2029" s="171">
        <v>62.09</v>
      </c>
      <c r="X2029" s="171">
        <v>56.94</v>
      </c>
      <c r="Y2029" s="171">
        <v>47.4</v>
      </c>
      <c r="Z2029" s="171">
        <v>53.42</v>
      </c>
      <c r="AA2029" s="171">
        <v>48.28</v>
      </c>
      <c r="AB2029" s="171">
        <v>70</v>
      </c>
      <c r="AC2029" s="171">
        <v>46.5</v>
      </c>
      <c r="AD2029" s="171">
        <v>41.09</v>
      </c>
      <c r="AF2029" s="171">
        <f t="shared" si="95"/>
        <v>2014</v>
      </c>
      <c r="AG2029" s="171">
        <f t="shared" si="96"/>
        <v>7</v>
      </c>
      <c r="AH2029" s="700">
        <f>SUMIF(D$3:$AA2029,"&lt;="&amp;$AH$1)/COUNTIF(D$3:$AA2029,"&lt;="&amp;$AH$1)</f>
        <v>31.302507255520602</v>
      </c>
    </row>
    <row r="2030" spans="2:34" x14ac:dyDescent="0.25">
      <c r="B2030" s="910">
        <v>41668</v>
      </c>
      <c r="C2030" s="581">
        <f t="shared" si="94"/>
        <v>1</v>
      </c>
      <c r="D2030" s="171">
        <v>38.65</v>
      </c>
      <c r="E2030" s="171">
        <v>30.54</v>
      </c>
      <c r="F2030" s="171">
        <v>29.63</v>
      </c>
      <c r="G2030" s="171">
        <v>28.98</v>
      </c>
      <c r="H2030" s="171">
        <v>29.55</v>
      </c>
      <c r="I2030" s="171">
        <v>31.080000000000002</v>
      </c>
      <c r="J2030" s="171">
        <v>37.1</v>
      </c>
      <c r="K2030" s="171">
        <v>54.94</v>
      </c>
      <c r="L2030" s="171">
        <v>52.95</v>
      </c>
      <c r="M2030" s="171">
        <v>51.99</v>
      </c>
      <c r="N2030" s="171">
        <v>57.44</v>
      </c>
      <c r="O2030" s="171">
        <v>56.78</v>
      </c>
      <c r="P2030" s="171">
        <v>53.550000000000004</v>
      </c>
      <c r="Q2030" s="171">
        <v>54</v>
      </c>
      <c r="R2030" s="171">
        <v>50.01</v>
      </c>
      <c r="S2030" s="171">
        <v>47.44</v>
      </c>
      <c r="T2030" s="171">
        <v>47.02</v>
      </c>
      <c r="U2030" s="171">
        <v>61.52</v>
      </c>
      <c r="V2030" s="171">
        <v>74.94</v>
      </c>
      <c r="W2030" s="171">
        <v>53.550000000000004</v>
      </c>
      <c r="X2030" s="171">
        <v>54.43</v>
      </c>
      <c r="Y2030" s="171">
        <v>49.5</v>
      </c>
      <c r="Z2030" s="171">
        <v>47.44</v>
      </c>
      <c r="AA2030" s="171">
        <v>49.96</v>
      </c>
      <c r="AB2030" s="171">
        <v>74.94</v>
      </c>
      <c r="AC2030" s="171">
        <v>47.02</v>
      </c>
      <c r="AD2030" s="171">
        <v>40.15</v>
      </c>
      <c r="AF2030" s="171">
        <f t="shared" si="95"/>
        <v>2014</v>
      </c>
      <c r="AG2030" s="171">
        <f t="shared" si="96"/>
        <v>7</v>
      </c>
      <c r="AH2030" s="700">
        <f>SUMIF(D$3:$AA2030,"&lt;="&amp;$AH$1)/COUNTIF(D$3:$AA2030,"&lt;="&amp;$AH$1)</f>
        <v>31.302911647852781</v>
      </c>
    </row>
    <row r="2031" spans="2:34" x14ac:dyDescent="0.25">
      <c r="B2031" s="910">
        <v>41669</v>
      </c>
      <c r="C2031" s="581">
        <f t="shared" si="94"/>
        <v>1</v>
      </c>
      <c r="D2031" s="171">
        <v>37.75</v>
      </c>
      <c r="E2031" s="171">
        <v>34.94</v>
      </c>
      <c r="F2031" s="171">
        <v>34.29</v>
      </c>
      <c r="G2031" s="171">
        <v>29.92</v>
      </c>
      <c r="H2031" s="171">
        <v>30.32</v>
      </c>
      <c r="I2031" s="171">
        <v>34.43</v>
      </c>
      <c r="J2031" s="171">
        <v>45.2</v>
      </c>
      <c r="K2031" s="171">
        <v>53.07</v>
      </c>
      <c r="L2031" s="171">
        <v>53.58</v>
      </c>
      <c r="M2031" s="171">
        <v>64.78</v>
      </c>
      <c r="N2031" s="171">
        <v>59.99</v>
      </c>
      <c r="O2031" s="171">
        <v>64.16</v>
      </c>
      <c r="P2031" s="171">
        <v>59.72</v>
      </c>
      <c r="Q2031" s="171">
        <v>54.480000000000004</v>
      </c>
      <c r="R2031" s="171">
        <v>51.89</v>
      </c>
      <c r="S2031" s="171">
        <v>51.5</v>
      </c>
      <c r="T2031" s="171">
        <v>51.56</v>
      </c>
      <c r="U2031" s="171">
        <v>55.120000000000005</v>
      </c>
      <c r="V2031" s="171">
        <v>67.98</v>
      </c>
      <c r="W2031" s="171">
        <v>53.71</v>
      </c>
      <c r="X2031" s="171">
        <v>50.5</v>
      </c>
      <c r="Y2031" s="171">
        <v>45.81</v>
      </c>
      <c r="Z2031" s="171">
        <v>46.52</v>
      </c>
      <c r="AA2031" s="171">
        <v>47.1</v>
      </c>
      <c r="AB2031" s="171">
        <v>67.98</v>
      </c>
      <c r="AC2031" s="171">
        <v>45.81</v>
      </c>
      <c r="AD2031" s="171">
        <v>40.82</v>
      </c>
      <c r="AF2031" s="171">
        <f t="shared" si="95"/>
        <v>2014</v>
      </c>
      <c r="AG2031" s="171">
        <f t="shared" si="96"/>
        <v>6</v>
      </c>
      <c r="AH2031" s="700">
        <f>SUMIF(D$3:$AA2031,"&lt;="&amp;$AH$1)/COUNTIF(D$3:$AA2031,"&lt;="&amp;$AH$1)</f>
        <v>31.303783647481655</v>
      </c>
    </row>
    <row r="2032" spans="2:34" x14ac:dyDescent="0.25">
      <c r="B2032" s="910">
        <v>41670</v>
      </c>
      <c r="C2032" s="581">
        <f t="shared" si="94"/>
        <v>1</v>
      </c>
      <c r="D2032" s="171">
        <v>42.96</v>
      </c>
      <c r="E2032" s="171">
        <v>42.5</v>
      </c>
      <c r="F2032" s="171">
        <v>36.54</v>
      </c>
      <c r="G2032" s="171">
        <v>33.06</v>
      </c>
      <c r="H2032" s="171">
        <v>31.95</v>
      </c>
      <c r="I2032" s="171">
        <v>40.03</v>
      </c>
      <c r="J2032" s="171">
        <v>46.9</v>
      </c>
      <c r="K2032" s="171">
        <v>69.94</v>
      </c>
      <c r="L2032" s="171">
        <v>71.95</v>
      </c>
      <c r="M2032" s="171">
        <v>72.19</v>
      </c>
      <c r="N2032" s="171">
        <v>65.88</v>
      </c>
      <c r="O2032" s="171">
        <v>60.93</v>
      </c>
      <c r="P2032" s="171">
        <v>52.93</v>
      </c>
      <c r="Q2032" s="171">
        <v>48.14</v>
      </c>
      <c r="R2032" s="171">
        <v>45</v>
      </c>
      <c r="S2032" s="171">
        <v>44.1</v>
      </c>
      <c r="T2032" s="171">
        <v>44.230000000000004</v>
      </c>
      <c r="U2032" s="171">
        <v>52.92</v>
      </c>
      <c r="V2032" s="171">
        <v>61.76</v>
      </c>
      <c r="W2032" s="171">
        <v>56.35</v>
      </c>
      <c r="X2032" s="171">
        <v>49.08</v>
      </c>
      <c r="Y2032" s="171">
        <v>40</v>
      </c>
      <c r="Z2032" s="171">
        <v>41.99</v>
      </c>
      <c r="AA2032" s="171">
        <v>39.17</v>
      </c>
      <c r="AB2032" s="171">
        <v>72.19</v>
      </c>
      <c r="AC2032" s="171">
        <v>40</v>
      </c>
      <c r="AD2032" s="171">
        <v>42.84</v>
      </c>
      <c r="AF2032" s="171">
        <f t="shared" si="95"/>
        <v>2014</v>
      </c>
      <c r="AG2032" s="171">
        <f t="shared" si="96"/>
        <v>8</v>
      </c>
      <c r="AH2032" s="700">
        <f>SUMIF(D$3:$AA2032,"&lt;="&amp;$AH$1)/COUNTIF(D$3:$AA2032,"&lt;="&amp;$AH$1)</f>
        <v>31.307237099111681</v>
      </c>
    </row>
    <row r="2033" spans="2:34" x14ac:dyDescent="0.25">
      <c r="B2033" s="910">
        <v>41673</v>
      </c>
      <c r="C2033" s="581">
        <f t="shared" si="94"/>
        <v>2</v>
      </c>
      <c r="D2033" s="171">
        <v>44.37</v>
      </c>
      <c r="E2033" s="171">
        <v>37.800000000000004</v>
      </c>
      <c r="F2033" s="171">
        <v>36</v>
      </c>
      <c r="G2033" s="171">
        <v>31.560000000000002</v>
      </c>
      <c r="H2033" s="171">
        <v>31.52</v>
      </c>
      <c r="I2033" s="171">
        <v>36.19</v>
      </c>
      <c r="J2033" s="171">
        <v>54.1</v>
      </c>
      <c r="K2033" s="171">
        <v>71.89</v>
      </c>
      <c r="L2033" s="171">
        <v>72.94</v>
      </c>
      <c r="M2033" s="171">
        <v>67.5</v>
      </c>
      <c r="N2033" s="171">
        <v>57.18</v>
      </c>
      <c r="O2033" s="171">
        <v>54.63</v>
      </c>
      <c r="P2033" s="171">
        <v>52.9</v>
      </c>
      <c r="Q2033" s="171">
        <v>51.96</v>
      </c>
      <c r="R2033" s="171">
        <v>46.82</v>
      </c>
      <c r="S2033" s="171">
        <v>47.14</v>
      </c>
      <c r="T2033" s="171">
        <v>46.76</v>
      </c>
      <c r="U2033" s="171">
        <v>54.09</v>
      </c>
      <c r="V2033" s="171">
        <v>67.8</v>
      </c>
      <c r="W2033" s="171">
        <v>59.96</v>
      </c>
      <c r="X2033" s="171">
        <v>57.980000000000004</v>
      </c>
      <c r="Y2033" s="171">
        <v>48.72</v>
      </c>
      <c r="Z2033" s="171">
        <v>52.2</v>
      </c>
      <c r="AA2033" s="171">
        <v>52.27</v>
      </c>
      <c r="AB2033" s="171">
        <v>72.94</v>
      </c>
      <c r="AC2033" s="171">
        <v>46.76</v>
      </c>
      <c r="AD2033" s="171">
        <v>46.22</v>
      </c>
      <c r="AF2033" s="171">
        <f t="shared" si="95"/>
        <v>2014</v>
      </c>
      <c r="AG2033" s="171">
        <f t="shared" si="96"/>
        <v>5</v>
      </c>
      <c r="AH2033" s="700">
        <f>SUMIF(D$3:$AA2033,"&lt;="&amp;$AH$1)/COUNTIF(D$3:$AA2033,"&lt;="&amp;$AH$1)</f>
        <v>31.308278533635772</v>
      </c>
    </row>
    <row r="2034" spans="2:34" x14ac:dyDescent="0.25">
      <c r="B2034" s="910">
        <v>41674</v>
      </c>
      <c r="C2034" s="581">
        <f t="shared" si="94"/>
        <v>2</v>
      </c>
      <c r="D2034" s="171">
        <v>44.42</v>
      </c>
      <c r="E2034" s="171">
        <v>44.96</v>
      </c>
      <c r="F2034" s="171">
        <v>40.9</v>
      </c>
      <c r="G2034" s="171">
        <v>30.63</v>
      </c>
      <c r="H2034" s="171">
        <v>30</v>
      </c>
      <c r="I2034" s="171">
        <v>32.380000000000003</v>
      </c>
      <c r="J2034" s="171">
        <v>47.13</v>
      </c>
      <c r="K2034" s="171">
        <v>60.300000000000004</v>
      </c>
      <c r="L2034" s="171">
        <v>58.49</v>
      </c>
      <c r="M2034" s="171">
        <v>53.88</v>
      </c>
      <c r="N2034" s="171">
        <v>51.99</v>
      </c>
      <c r="O2034" s="171">
        <v>52.83</v>
      </c>
      <c r="P2034" s="171">
        <v>54.68</v>
      </c>
      <c r="Q2034" s="171">
        <v>51.68</v>
      </c>
      <c r="R2034" s="171">
        <v>48.050000000000004</v>
      </c>
      <c r="S2034" s="171">
        <v>47.59</v>
      </c>
      <c r="T2034" s="171">
        <v>48.03</v>
      </c>
      <c r="U2034" s="171">
        <v>53.050000000000004</v>
      </c>
      <c r="V2034" s="171">
        <v>63.99</v>
      </c>
      <c r="W2034" s="171">
        <v>55.730000000000004</v>
      </c>
      <c r="X2034" s="171">
        <v>48</v>
      </c>
      <c r="Y2034" s="171">
        <v>41.660000000000004</v>
      </c>
      <c r="Z2034" s="171">
        <v>44.08</v>
      </c>
      <c r="AA2034" s="171">
        <v>42.46</v>
      </c>
      <c r="AB2034" s="171">
        <v>63.99</v>
      </c>
      <c r="AC2034" s="171">
        <v>41.660000000000004</v>
      </c>
      <c r="AD2034" s="171">
        <v>42.24</v>
      </c>
      <c r="AF2034" s="171">
        <f t="shared" si="95"/>
        <v>2014</v>
      </c>
      <c r="AG2034" s="171">
        <f t="shared" si="96"/>
        <v>6</v>
      </c>
      <c r="AH2034" s="700">
        <f>SUMIF(D$3:$AA2034,"&lt;="&amp;$AH$1)/COUNTIF(D$3:$AA2034,"&lt;="&amp;$AH$1)</f>
        <v>31.31017881878866</v>
      </c>
    </row>
    <row r="2035" spans="2:34" x14ac:dyDescent="0.25">
      <c r="B2035" s="910">
        <v>41675</v>
      </c>
      <c r="C2035" s="581">
        <f t="shared" si="94"/>
        <v>2</v>
      </c>
      <c r="D2035" s="171">
        <v>30.53</v>
      </c>
      <c r="E2035" s="171">
        <v>29.98</v>
      </c>
      <c r="F2035" s="171">
        <v>28.990000000000002</v>
      </c>
      <c r="G2035" s="171">
        <v>26.86</v>
      </c>
      <c r="H2035" s="171">
        <v>27.38</v>
      </c>
      <c r="I2035" s="171">
        <v>28.080000000000002</v>
      </c>
      <c r="J2035" s="171">
        <v>33.51</v>
      </c>
      <c r="K2035" s="171">
        <v>45.160000000000004</v>
      </c>
      <c r="L2035" s="171">
        <v>49.94</v>
      </c>
      <c r="M2035" s="171">
        <v>52.61</v>
      </c>
      <c r="N2035" s="171">
        <v>58.57</v>
      </c>
      <c r="O2035" s="171">
        <v>54.160000000000004</v>
      </c>
      <c r="P2035" s="171">
        <v>48.08</v>
      </c>
      <c r="Q2035" s="171">
        <v>52.2</v>
      </c>
      <c r="R2035" s="171">
        <v>50.09</v>
      </c>
      <c r="S2035" s="171">
        <v>44.94</v>
      </c>
      <c r="T2035" s="171">
        <v>44.94</v>
      </c>
      <c r="U2035" s="171">
        <v>49.69</v>
      </c>
      <c r="V2035" s="171">
        <v>67.38</v>
      </c>
      <c r="W2035" s="171">
        <v>53.32</v>
      </c>
      <c r="X2035" s="171">
        <v>42.44</v>
      </c>
      <c r="Y2035" s="171">
        <v>57.1</v>
      </c>
      <c r="Z2035" s="171">
        <v>52</v>
      </c>
      <c r="AA2035" s="171">
        <v>45</v>
      </c>
      <c r="AB2035" s="171">
        <v>67.38</v>
      </c>
      <c r="AC2035" s="171">
        <v>42.44</v>
      </c>
      <c r="AD2035" s="171">
        <v>37.25</v>
      </c>
      <c r="AF2035" s="171">
        <f t="shared" si="95"/>
        <v>2014</v>
      </c>
      <c r="AG2035" s="171">
        <f t="shared" si="96"/>
        <v>8</v>
      </c>
      <c r="AH2035" s="700">
        <f>SUMIF(D$3:$AA2035,"&lt;="&amp;$AH$1)/COUNTIF(D$3:$AA2035,"&lt;="&amp;$AH$1)</f>
        <v>31.310008181246165</v>
      </c>
    </row>
    <row r="2036" spans="2:34" x14ac:dyDescent="0.25">
      <c r="B2036" s="910">
        <v>41676</v>
      </c>
      <c r="C2036" s="581">
        <f t="shared" si="94"/>
        <v>2</v>
      </c>
      <c r="D2036" s="171">
        <v>41.980000000000004</v>
      </c>
      <c r="E2036" s="171">
        <v>39.94</v>
      </c>
      <c r="F2036" s="171">
        <v>34.79</v>
      </c>
      <c r="G2036" s="171">
        <v>28.27</v>
      </c>
      <c r="H2036" s="171">
        <v>28.67</v>
      </c>
      <c r="I2036" s="171">
        <v>32.200000000000003</v>
      </c>
      <c r="J2036" s="171">
        <v>41.7</v>
      </c>
      <c r="K2036" s="171">
        <v>52.44</v>
      </c>
      <c r="L2036" s="171">
        <v>53.730000000000004</v>
      </c>
      <c r="M2036" s="171">
        <v>54.480000000000004</v>
      </c>
      <c r="N2036" s="171">
        <v>54.480000000000004</v>
      </c>
      <c r="O2036" s="171">
        <v>55</v>
      </c>
      <c r="P2036" s="171">
        <v>52.44</v>
      </c>
      <c r="Q2036" s="171">
        <v>55.51</v>
      </c>
      <c r="R2036" s="171">
        <v>55.29</v>
      </c>
      <c r="S2036" s="171">
        <v>49.94</v>
      </c>
      <c r="T2036" s="171">
        <v>47.89</v>
      </c>
      <c r="U2036" s="171">
        <v>55.89</v>
      </c>
      <c r="V2036" s="171">
        <v>66.010000000000005</v>
      </c>
      <c r="W2036" s="171">
        <v>50.07</v>
      </c>
      <c r="X2036" s="171">
        <v>48.050000000000004</v>
      </c>
      <c r="Y2036" s="171">
        <v>37.119999999999997</v>
      </c>
      <c r="Z2036" s="171">
        <v>33.71</v>
      </c>
      <c r="AA2036" s="171">
        <v>39.61</v>
      </c>
      <c r="AB2036" s="171">
        <v>66.010000000000005</v>
      </c>
      <c r="AC2036" s="171">
        <v>33.71</v>
      </c>
      <c r="AD2036" s="171">
        <v>38.21</v>
      </c>
      <c r="AF2036" s="171">
        <f t="shared" si="95"/>
        <v>2014</v>
      </c>
      <c r="AG2036" s="171">
        <f t="shared" si="96"/>
        <v>10</v>
      </c>
      <c r="AH2036" s="700">
        <f>SUMIF(D$3:$AA2036,"&lt;="&amp;$AH$1)/COUNTIF(D$3:$AA2036,"&lt;="&amp;$AH$1)</f>
        <v>31.312831446540976</v>
      </c>
    </row>
    <row r="2037" spans="2:34" x14ac:dyDescent="0.25">
      <c r="B2037" s="910">
        <v>41677</v>
      </c>
      <c r="C2037" s="581">
        <f t="shared" si="94"/>
        <v>2</v>
      </c>
      <c r="D2037" s="171">
        <v>27.7</v>
      </c>
      <c r="E2037" s="171">
        <v>27.35</v>
      </c>
      <c r="F2037" s="171">
        <v>27</v>
      </c>
      <c r="G2037" s="171">
        <v>27.47</v>
      </c>
      <c r="H2037" s="171">
        <v>27.94</v>
      </c>
      <c r="I2037" s="171">
        <v>27.7</v>
      </c>
      <c r="J2037" s="171">
        <v>31.54</v>
      </c>
      <c r="K2037" s="171">
        <v>47.79</v>
      </c>
      <c r="L2037" s="171">
        <v>45.71</v>
      </c>
      <c r="M2037" s="171">
        <v>55</v>
      </c>
      <c r="N2037" s="171">
        <v>62.13</v>
      </c>
      <c r="O2037" s="171">
        <v>59.94</v>
      </c>
      <c r="P2037" s="171">
        <v>63.15</v>
      </c>
      <c r="Q2037" s="171">
        <v>61.410000000000004</v>
      </c>
      <c r="R2037" s="171">
        <v>52.79</v>
      </c>
      <c r="S2037" s="171">
        <v>51</v>
      </c>
      <c r="T2037" s="171">
        <v>48.89</v>
      </c>
      <c r="U2037" s="171">
        <v>55</v>
      </c>
      <c r="V2037" s="171">
        <v>65.180000000000007</v>
      </c>
      <c r="W2037" s="171">
        <v>62.13</v>
      </c>
      <c r="X2037" s="171">
        <v>62.67</v>
      </c>
      <c r="Y2037" s="171">
        <v>52.46</v>
      </c>
      <c r="Z2037" s="171">
        <v>46</v>
      </c>
      <c r="AA2037" s="171">
        <v>43</v>
      </c>
      <c r="AB2037" s="171">
        <v>65.180000000000007</v>
      </c>
      <c r="AC2037" s="171">
        <v>45.71</v>
      </c>
      <c r="AD2037" s="171">
        <v>37.380000000000003</v>
      </c>
      <c r="AF2037" s="171">
        <f t="shared" si="95"/>
        <v>2014</v>
      </c>
      <c r="AG2037" s="171">
        <f t="shared" si="96"/>
        <v>7</v>
      </c>
      <c r="AH2037" s="700">
        <f>SUMIF(D$3:$AA2037,"&lt;="&amp;$AH$1)/COUNTIF(D$3:$AA2037,"&lt;="&amp;$AH$1)</f>
        <v>31.311417614886622</v>
      </c>
    </row>
    <row r="2038" spans="2:34" x14ac:dyDescent="0.25">
      <c r="B2038" s="910">
        <v>41680</v>
      </c>
      <c r="C2038" s="581">
        <f t="shared" si="94"/>
        <v>2</v>
      </c>
      <c r="D2038" s="171">
        <v>36.130000000000003</v>
      </c>
      <c r="E2038" s="171">
        <v>33.869999999999997</v>
      </c>
      <c r="F2038" s="171">
        <v>27.22</v>
      </c>
      <c r="G2038" s="171">
        <v>25.96</v>
      </c>
      <c r="H2038" s="171">
        <v>23.080000000000002</v>
      </c>
      <c r="I2038" s="171">
        <v>33.18</v>
      </c>
      <c r="J2038" s="171">
        <v>45.43</v>
      </c>
      <c r="K2038" s="171">
        <v>59</v>
      </c>
      <c r="L2038" s="171">
        <v>57.79</v>
      </c>
      <c r="M2038" s="171">
        <v>58.38</v>
      </c>
      <c r="N2038" s="171">
        <v>60.02</v>
      </c>
      <c r="O2038" s="171">
        <v>54.96</v>
      </c>
      <c r="P2038" s="171">
        <v>56.120000000000005</v>
      </c>
      <c r="Q2038" s="171">
        <v>56.82</v>
      </c>
      <c r="R2038" s="171">
        <v>55.63</v>
      </c>
      <c r="S2038" s="171">
        <v>51.47</v>
      </c>
      <c r="T2038" s="171">
        <v>47.44</v>
      </c>
      <c r="U2038" s="171">
        <v>54.94</v>
      </c>
      <c r="V2038" s="171">
        <v>67.989999999999995</v>
      </c>
      <c r="W2038" s="171">
        <v>52.44</v>
      </c>
      <c r="X2038" s="171">
        <v>48</v>
      </c>
      <c r="Y2038" s="171">
        <v>46.57</v>
      </c>
      <c r="Z2038" s="171">
        <v>47.59</v>
      </c>
      <c r="AA2038" s="171">
        <v>42.83</v>
      </c>
      <c r="AB2038" s="171">
        <v>67.989999999999995</v>
      </c>
      <c r="AC2038" s="171">
        <v>46.57</v>
      </c>
      <c r="AD2038" s="171">
        <v>39.07</v>
      </c>
      <c r="AF2038" s="171">
        <f t="shared" si="95"/>
        <v>2014</v>
      </c>
      <c r="AG2038" s="171">
        <f t="shared" si="96"/>
        <v>6</v>
      </c>
      <c r="AH2038" s="700">
        <f>SUMIF(D$3:$AA2038,"&lt;="&amp;$AH$1)/COUNTIF(D$3:$AA2038,"&lt;="&amp;$AH$1)</f>
        <v>31.310887953245867</v>
      </c>
    </row>
    <row r="2039" spans="2:34" x14ac:dyDescent="0.25">
      <c r="B2039" s="910">
        <v>41681</v>
      </c>
      <c r="C2039" s="581">
        <f t="shared" si="94"/>
        <v>2</v>
      </c>
      <c r="D2039" s="171">
        <v>30.75</v>
      </c>
      <c r="E2039" s="171">
        <v>32.07</v>
      </c>
      <c r="F2039" s="171">
        <v>29.45</v>
      </c>
      <c r="G2039" s="171">
        <v>28.27</v>
      </c>
      <c r="H2039" s="171">
        <v>28.05</v>
      </c>
      <c r="I2039" s="171">
        <v>30.72</v>
      </c>
      <c r="J2039" s="171">
        <v>41.12</v>
      </c>
      <c r="K2039" s="171">
        <v>53.800000000000004</v>
      </c>
      <c r="L2039" s="171">
        <v>55.34</v>
      </c>
      <c r="M2039" s="171">
        <v>56.620000000000005</v>
      </c>
      <c r="N2039" s="171">
        <v>54.1</v>
      </c>
      <c r="O2039" s="171">
        <v>51.74</v>
      </c>
      <c r="P2039" s="171">
        <v>50.38</v>
      </c>
      <c r="Q2039" s="171">
        <v>49.25</v>
      </c>
      <c r="R2039" s="171">
        <v>42.49</v>
      </c>
      <c r="S2039" s="171">
        <v>39.56</v>
      </c>
      <c r="T2039" s="171">
        <v>41</v>
      </c>
      <c r="U2039" s="171">
        <v>51.9</v>
      </c>
      <c r="V2039" s="171">
        <v>58.97</v>
      </c>
      <c r="W2039" s="171">
        <v>67.489999999999995</v>
      </c>
      <c r="X2039" s="171">
        <v>50</v>
      </c>
      <c r="Y2039" s="171">
        <v>46.480000000000004</v>
      </c>
      <c r="Z2039" s="171">
        <v>49.480000000000004</v>
      </c>
      <c r="AA2039" s="171">
        <v>44.09</v>
      </c>
      <c r="AB2039" s="171">
        <v>67.489999999999995</v>
      </c>
      <c r="AC2039" s="171">
        <v>39.56</v>
      </c>
      <c r="AD2039" s="171">
        <v>38.69</v>
      </c>
      <c r="AF2039" s="171">
        <f t="shared" si="95"/>
        <v>2014</v>
      </c>
      <c r="AG2039" s="171">
        <f t="shared" si="96"/>
        <v>10</v>
      </c>
      <c r="AH2039" s="700">
        <f>SUMIF(D$3:$AA2039,"&lt;="&amp;$AH$1)/COUNTIF(D$3:$AA2039,"&lt;="&amp;$AH$1)</f>
        <v>31.312795327513751</v>
      </c>
    </row>
    <row r="2040" spans="2:34" x14ac:dyDescent="0.25">
      <c r="B2040" s="910">
        <v>41682</v>
      </c>
      <c r="C2040" s="581">
        <f t="shared" si="94"/>
        <v>2</v>
      </c>
      <c r="D2040" s="171">
        <v>45</v>
      </c>
      <c r="E2040" s="171">
        <v>41.94</v>
      </c>
      <c r="F2040" s="171">
        <v>37.840000000000003</v>
      </c>
      <c r="G2040" s="171">
        <v>28.43</v>
      </c>
      <c r="H2040" s="171">
        <v>29.36</v>
      </c>
      <c r="I2040" s="171">
        <v>36.72</v>
      </c>
      <c r="J2040" s="171">
        <v>45.54</v>
      </c>
      <c r="K2040" s="171">
        <v>59.300000000000004</v>
      </c>
      <c r="L2040" s="171">
        <v>65.77</v>
      </c>
      <c r="M2040" s="171">
        <v>68.42</v>
      </c>
      <c r="N2040" s="171">
        <v>60.870000000000005</v>
      </c>
      <c r="O2040" s="171">
        <v>55.9</v>
      </c>
      <c r="P2040" s="171">
        <v>50.33</v>
      </c>
      <c r="Q2040" s="171">
        <v>49.42</v>
      </c>
      <c r="R2040" s="171">
        <v>45.92</v>
      </c>
      <c r="S2040" s="171">
        <v>43.34</v>
      </c>
      <c r="T2040" s="171">
        <v>40.93</v>
      </c>
      <c r="U2040" s="171">
        <v>44.99</v>
      </c>
      <c r="V2040" s="171">
        <v>58.94</v>
      </c>
      <c r="W2040" s="171">
        <v>54.370000000000005</v>
      </c>
      <c r="X2040" s="171">
        <v>52.03</v>
      </c>
      <c r="Y2040" s="171">
        <v>42.78</v>
      </c>
      <c r="Z2040" s="171">
        <v>46.13</v>
      </c>
      <c r="AA2040" s="171">
        <v>44.03</v>
      </c>
      <c r="AB2040" s="171">
        <v>68.42</v>
      </c>
      <c r="AC2040" s="171">
        <v>40.93</v>
      </c>
      <c r="AD2040" s="171">
        <v>42.42</v>
      </c>
      <c r="AF2040" s="171">
        <f t="shared" si="95"/>
        <v>2014</v>
      </c>
      <c r="AG2040" s="171">
        <f t="shared" si="96"/>
        <v>6</v>
      </c>
      <c r="AH2040" s="700">
        <f>SUMIF(D$3:$AA2040,"&lt;="&amp;$AH$1)/COUNTIF(D$3:$AA2040,"&lt;="&amp;$AH$1)</f>
        <v>31.314511896540992</v>
      </c>
    </row>
    <row r="2041" spans="2:34" x14ac:dyDescent="0.25">
      <c r="B2041" s="910">
        <v>41683</v>
      </c>
      <c r="C2041" s="581">
        <f t="shared" si="94"/>
        <v>2</v>
      </c>
      <c r="D2041" s="171">
        <v>42.97</v>
      </c>
      <c r="E2041" s="171">
        <v>34.54</v>
      </c>
      <c r="F2041" s="171">
        <v>32.230000000000004</v>
      </c>
      <c r="G2041" s="171">
        <v>23.45</v>
      </c>
      <c r="H2041" s="171">
        <v>28.48</v>
      </c>
      <c r="I2041" s="171">
        <v>29.02</v>
      </c>
      <c r="J2041" s="171">
        <v>42.44</v>
      </c>
      <c r="K2041" s="171">
        <v>55.88</v>
      </c>
      <c r="L2041" s="171">
        <v>53.54</v>
      </c>
      <c r="M2041" s="171">
        <v>57.79</v>
      </c>
      <c r="N2041" s="171">
        <v>56.72</v>
      </c>
      <c r="O2041" s="171">
        <v>57.980000000000004</v>
      </c>
      <c r="P2041" s="171">
        <v>55</v>
      </c>
      <c r="Q2041" s="171">
        <v>52.89</v>
      </c>
      <c r="R2041" s="171">
        <v>52.35</v>
      </c>
      <c r="S2041" s="171">
        <v>45.25</v>
      </c>
      <c r="T2041" s="171">
        <v>42.910000000000004</v>
      </c>
      <c r="U2041" s="171">
        <v>48.660000000000004</v>
      </c>
      <c r="V2041" s="171">
        <v>68.92</v>
      </c>
      <c r="W2041" s="171">
        <v>58.69</v>
      </c>
      <c r="X2041" s="171">
        <v>52.81</v>
      </c>
      <c r="Y2041" s="171">
        <v>45</v>
      </c>
      <c r="Z2041" s="171">
        <v>40.630000000000003</v>
      </c>
      <c r="AA2041" s="171">
        <v>38.04</v>
      </c>
      <c r="AB2041" s="171">
        <v>68.92</v>
      </c>
      <c r="AC2041" s="171">
        <v>40.630000000000003</v>
      </c>
      <c r="AD2041" s="171">
        <v>38.79</v>
      </c>
      <c r="AF2041" s="171">
        <f t="shared" si="95"/>
        <v>2014</v>
      </c>
      <c r="AG2041" s="171">
        <f t="shared" si="96"/>
        <v>8</v>
      </c>
      <c r="AH2041" s="700">
        <f>SUMIF(D$3:$AA2041,"&lt;="&amp;$AH$1)/COUNTIF(D$3:$AA2041,"&lt;="&amp;$AH$1)</f>
        <v>31.315661040346452</v>
      </c>
    </row>
    <row r="2042" spans="2:34" x14ac:dyDescent="0.25">
      <c r="B2042" s="910">
        <v>41684</v>
      </c>
      <c r="C2042" s="581">
        <f t="shared" si="94"/>
        <v>2</v>
      </c>
      <c r="D2042" s="171">
        <v>33</v>
      </c>
      <c r="E2042" s="171">
        <v>32.72</v>
      </c>
      <c r="F2042" s="171">
        <v>29.330000000000002</v>
      </c>
      <c r="G2042" s="171">
        <v>27.87</v>
      </c>
      <c r="H2042" s="171">
        <v>28.55</v>
      </c>
      <c r="I2042" s="171">
        <v>30.1</v>
      </c>
      <c r="J2042" s="171">
        <v>46.4</v>
      </c>
      <c r="K2042" s="171">
        <v>61.120000000000005</v>
      </c>
      <c r="L2042" s="171">
        <v>64.8</v>
      </c>
      <c r="M2042" s="171">
        <v>69.25</v>
      </c>
      <c r="N2042" s="171">
        <v>62.120000000000005</v>
      </c>
      <c r="O2042" s="171">
        <v>55</v>
      </c>
      <c r="P2042" s="171">
        <v>52.08</v>
      </c>
      <c r="Q2042" s="171">
        <v>47.1</v>
      </c>
      <c r="R2042" s="171">
        <v>49.59</v>
      </c>
      <c r="S2042" s="171">
        <v>45</v>
      </c>
      <c r="T2042" s="171">
        <v>47.65</v>
      </c>
      <c r="U2042" s="171">
        <v>48.94</v>
      </c>
      <c r="V2042" s="171">
        <v>53.480000000000004</v>
      </c>
      <c r="W2042" s="171">
        <v>48.730000000000004</v>
      </c>
      <c r="X2042" s="171">
        <v>42.44</v>
      </c>
      <c r="Y2042" s="171">
        <v>48.730000000000004</v>
      </c>
      <c r="Z2042" s="171">
        <v>43.43</v>
      </c>
      <c r="AA2042" s="171">
        <v>42.44</v>
      </c>
      <c r="AB2042" s="171">
        <v>69.25</v>
      </c>
      <c r="AC2042" s="171">
        <v>42.44</v>
      </c>
      <c r="AD2042" s="171">
        <v>38.840000000000003</v>
      </c>
      <c r="AF2042" s="171">
        <f t="shared" si="95"/>
        <v>2014</v>
      </c>
      <c r="AG2042" s="171">
        <f t="shared" si="96"/>
        <v>8</v>
      </c>
      <c r="AH2042" s="700">
        <f>SUMIF(D$3:$AA2042,"&lt;="&amp;$AH$1)/COUNTIF(D$3:$AA2042,"&lt;="&amp;$AH$1)</f>
        <v>31.316659767952419</v>
      </c>
    </row>
    <row r="2043" spans="2:34" x14ac:dyDescent="0.25">
      <c r="B2043" s="910">
        <v>41687</v>
      </c>
      <c r="C2043" s="581">
        <f t="shared" si="94"/>
        <v>2</v>
      </c>
      <c r="D2043" s="171">
        <v>32.99</v>
      </c>
      <c r="E2043" s="171">
        <v>28.04</v>
      </c>
      <c r="F2043" s="171">
        <v>27.78</v>
      </c>
      <c r="G2043" s="171">
        <v>27</v>
      </c>
      <c r="H2043" s="171">
        <v>27.04</v>
      </c>
      <c r="I2043" s="171">
        <v>28.27</v>
      </c>
      <c r="J2043" s="171">
        <v>43.79</v>
      </c>
      <c r="K2043" s="171">
        <v>58.75</v>
      </c>
      <c r="L2043" s="171">
        <v>53.31</v>
      </c>
      <c r="M2043" s="171">
        <v>54</v>
      </c>
      <c r="N2043" s="171">
        <v>49.32</v>
      </c>
      <c r="O2043" s="171">
        <v>50</v>
      </c>
      <c r="P2043" s="171">
        <v>44.22</v>
      </c>
      <c r="Q2043" s="171">
        <v>43.53</v>
      </c>
      <c r="R2043" s="171">
        <v>43.480000000000004</v>
      </c>
      <c r="S2043" s="171">
        <v>43.5</v>
      </c>
      <c r="T2043" s="171">
        <v>43</v>
      </c>
      <c r="U2043" s="171">
        <v>44.94</v>
      </c>
      <c r="V2043" s="171">
        <v>82.04</v>
      </c>
      <c r="W2043" s="171">
        <v>71.739999999999995</v>
      </c>
      <c r="X2043" s="171">
        <v>56.51</v>
      </c>
      <c r="Y2043" s="171">
        <v>47.19</v>
      </c>
      <c r="Z2043" s="171">
        <v>49.94</v>
      </c>
      <c r="AA2043" s="171">
        <v>43.43</v>
      </c>
      <c r="AB2043" s="171">
        <v>82.04</v>
      </c>
      <c r="AC2043" s="171">
        <v>43</v>
      </c>
      <c r="AD2043" s="171">
        <v>39.230000000000004</v>
      </c>
      <c r="AF2043" s="171">
        <f t="shared" si="95"/>
        <v>2014</v>
      </c>
      <c r="AG2043" s="171">
        <f t="shared" si="96"/>
        <v>6</v>
      </c>
      <c r="AH2043" s="700">
        <f>SUMIF(D$3:$AA2043,"&lt;="&amp;$AH$1)/COUNTIF(D$3:$AA2043,"&lt;="&amp;$AH$1)</f>
        <v>31.315607798884166</v>
      </c>
    </row>
    <row r="2044" spans="2:34" x14ac:dyDescent="0.25">
      <c r="B2044" s="910">
        <v>41688</v>
      </c>
      <c r="C2044" s="581">
        <f t="shared" si="94"/>
        <v>2</v>
      </c>
      <c r="D2044" s="171">
        <v>31.95</v>
      </c>
      <c r="E2044" s="171">
        <v>31.66</v>
      </c>
      <c r="F2044" s="171">
        <v>30.09</v>
      </c>
      <c r="G2044" s="171">
        <v>28.86</v>
      </c>
      <c r="H2044" s="171">
        <v>29.2</v>
      </c>
      <c r="I2044" s="171">
        <v>31.3</v>
      </c>
      <c r="J2044" s="171">
        <v>42.03</v>
      </c>
      <c r="K2044" s="171">
        <v>56.19</v>
      </c>
      <c r="L2044" s="171">
        <v>54.9</v>
      </c>
      <c r="M2044" s="171">
        <v>53.79</v>
      </c>
      <c r="N2044" s="171">
        <v>51.9</v>
      </c>
      <c r="O2044" s="171">
        <v>50.74</v>
      </c>
      <c r="P2044" s="171">
        <v>51.42</v>
      </c>
      <c r="Q2044" s="171">
        <v>48.480000000000004</v>
      </c>
      <c r="R2044" s="171">
        <v>43.27</v>
      </c>
      <c r="S2044" s="171">
        <v>43.44</v>
      </c>
      <c r="T2044" s="171">
        <v>45.72</v>
      </c>
      <c r="U2044" s="171">
        <v>53.910000000000004</v>
      </c>
      <c r="V2044" s="171">
        <v>73.680000000000007</v>
      </c>
      <c r="W2044" s="171">
        <v>59.980000000000004</v>
      </c>
      <c r="X2044" s="171">
        <v>45.94</v>
      </c>
      <c r="Y2044" s="171">
        <v>42.44</v>
      </c>
      <c r="Z2044" s="171">
        <v>41.9</v>
      </c>
      <c r="AA2044" s="171">
        <v>36.47</v>
      </c>
      <c r="AB2044" s="171">
        <v>73.680000000000007</v>
      </c>
      <c r="AC2044" s="171">
        <v>41.9</v>
      </c>
      <c r="AD2044" s="171">
        <v>37.340000000000003</v>
      </c>
      <c r="AF2044" s="171">
        <f t="shared" si="95"/>
        <v>2014</v>
      </c>
      <c r="AG2044" s="171">
        <f t="shared" si="96"/>
        <v>10</v>
      </c>
      <c r="AH2044" s="700">
        <f>SUMIF(D$3:$AA2044,"&lt;="&amp;$AH$1)/COUNTIF(D$3:$AA2044,"&lt;="&amp;$AH$1)</f>
        <v>31.317659294530504</v>
      </c>
    </row>
    <row r="2045" spans="2:34" x14ac:dyDescent="0.25">
      <c r="B2045" s="910">
        <v>41689</v>
      </c>
      <c r="C2045" s="581">
        <f t="shared" si="94"/>
        <v>2</v>
      </c>
      <c r="D2045" s="171">
        <v>32.160000000000004</v>
      </c>
      <c r="E2045" s="171">
        <v>29.650000000000002</v>
      </c>
      <c r="F2045" s="171">
        <v>28.46</v>
      </c>
      <c r="G2045" s="171">
        <v>27.67</v>
      </c>
      <c r="H2045" s="171">
        <v>28.77</v>
      </c>
      <c r="I2045" s="171">
        <v>29.34</v>
      </c>
      <c r="J2045" s="171">
        <v>38.19</v>
      </c>
      <c r="K2045" s="171">
        <v>47.45</v>
      </c>
      <c r="L2045" s="171">
        <v>49.44</v>
      </c>
      <c r="M2045" s="171">
        <v>52.21</v>
      </c>
      <c r="N2045" s="171">
        <v>53.93</v>
      </c>
      <c r="O2045" s="171">
        <v>53.96</v>
      </c>
      <c r="P2045" s="171">
        <v>50.76</v>
      </c>
      <c r="Q2045" s="171">
        <v>49.480000000000004</v>
      </c>
      <c r="R2045" s="171">
        <v>49.370000000000005</v>
      </c>
      <c r="S2045" s="171">
        <v>47.95</v>
      </c>
      <c r="T2045" s="171">
        <v>44.71</v>
      </c>
      <c r="U2045" s="171">
        <v>47.44</v>
      </c>
      <c r="V2045" s="171">
        <v>70</v>
      </c>
      <c r="W2045" s="171">
        <v>59.54</v>
      </c>
      <c r="X2045" s="171">
        <v>54.27</v>
      </c>
      <c r="Y2045" s="171">
        <v>47.02</v>
      </c>
      <c r="Z2045" s="171">
        <v>44.18</v>
      </c>
      <c r="AA2045" s="171">
        <v>44.96</v>
      </c>
      <c r="AB2045" s="171">
        <v>70</v>
      </c>
      <c r="AC2045" s="171">
        <v>44.18</v>
      </c>
      <c r="AD2045" s="171">
        <v>37.68</v>
      </c>
      <c r="AF2045" s="171">
        <f t="shared" si="95"/>
        <v>2014</v>
      </c>
      <c r="AG2045" s="171">
        <f t="shared" si="96"/>
        <v>7</v>
      </c>
      <c r="AH2045" s="700">
        <f>SUMIF(D$3:$AA2045,"&lt;="&amp;$AH$1)/COUNTIF(D$3:$AA2045,"&lt;="&amp;$AH$1)</f>
        <v>31.317347194388866</v>
      </c>
    </row>
    <row r="2046" spans="2:34" x14ac:dyDescent="0.25">
      <c r="B2046" s="910">
        <v>41690</v>
      </c>
      <c r="C2046" s="581">
        <f t="shared" si="94"/>
        <v>2</v>
      </c>
      <c r="D2046" s="171">
        <v>31.28</v>
      </c>
      <c r="E2046" s="171">
        <v>29.47</v>
      </c>
      <c r="F2046" s="171">
        <v>28.87</v>
      </c>
      <c r="G2046" s="171">
        <v>27.75</v>
      </c>
      <c r="H2046" s="171">
        <v>27.69</v>
      </c>
      <c r="I2046" s="171">
        <v>27.85</v>
      </c>
      <c r="J2046" s="171">
        <v>34.51</v>
      </c>
      <c r="K2046" s="171">
        <v>46.28</v>
      </c>
      <c r="L2046" s="171">
        <v>48.34</v>
      </c>
      <c r="M2046" s="171">
        <v>48.28</v>
      </c>
      <c r="N2046" s="171">
        <v>44.93</v>
      </c>
      <c r="O2046" s="171">
        <v>46.95</v>
      </c>
      <c r="P2046" s="171">
        <v>47.58</v>
      </c>
      <c r="Q2046" s="171">
        <v>44.94</v>
      </c>
      <c r="R2046" s="171">
        <v>44.94</v>
      </c>
      <c r="S2046" s="171">
        <v>44</v>
      </c>
      <c r="T2046" s="171">
        <v>43.5</v>
      </c>
      <c r="U2046" s="171">
        <v>43.5</v>
      </c>
      <c r="V2046" s="171">
        <v>55</v>
      </c>
      <c r="W2046" s="171">
        <v>52.17</v>
      </c>
      <c r="X2046" s="171">
        <v>47.44</v>
      </c>
      <c r="Y2046" s="171">
        <v>49.96</v>
      </c>
      <c r="Z2046" s="171">
        <v>44.67</v>
      </c>
      <c r="AA2046" s="171">
        <v>41.49</v>
      </c>
      <c r="AB2046" s="171">
        <v>55</v>
      </c>
      <c r="AC2046" s="171">
        <v>43.5</v>
      </c>
      <c r="AD2046" s="171">
        <v>36.44</v>
      </c>
      <c r="AF2046" s="171">
        <f t="shared" si="95"/>
        <v>2014</v>
      </c>
      <c r="AG2046" s="171">
        <f t="shared" si="96"/>
        <v>8</v>
      </c>
      <c r="AH2046" s="700">
        <f>SUMIF(D$3:$AA2046,"&lt;="&amp;$AH$1)/COUNTIF(D$3:$AA2046,"&lt;="&amp;$AH$1)</f>
        <v>31.317245242864384</v>
      </c>
    </row>
    <row r="2047" spans="2:34" x14ac:dyDescent="0.25">
      <c r="B2047" s="910">
        <v>41691</v>
      </c>
      <c r="C2047" s="581">
        <f t="shared" si="94"/>
        <v>2</v>
      </c>
      <c r="D2047" s="171">
        <v>32.910000000000004</v>
      </c>
      <c r="E2047" s="171">
        <v>30.92</v>
      </c>
      <c r="F2047" s="171">
        <v>30.92</v>
      </c>
      <c r="G2047" s="171">
        <v>31.44</v>
      </c>
      <c r="H2047" s="171">
        <v>33</v>
      </c>
      <c r="I2047" s="171">
        <v>32.910000000000004</v>
      </c>
      <c r="J2047" s="171">
        <v>39.94</v>
      </c>
      <c r="K2047" s="171">
        <v>46.31</v>
      </c>
      <c r="L2047" s="171">
        <v>49.03</v>
      </c>
      <c r="M2047" s="171">
        <v>64.960000000000008</v>
      </c>
      <c r="N2047" s="171">
        <v>67.06</v>
      </c>
      <c r="O2047" s="171">
        <v>63.68</v>
      </c>
      <c r="P2047" s="171">
        <v>62.67</v>
      </c>
      <c r="Q2047" s="171">
        <v>54.94</v>
      </c>
      <c r="R2047" s="171">
        <v>47.29</v>
      </c>
      <c r="S2047" s="171">
        <v>44.94</v>
      </c>
      <c r="T2047" s="171">
        <v>44</v>
      </c>
      <c r="U2047" s="171">
        <v>44.94</v>
      </c>
      <c r="V2047" s="171">
        <v>49.44</v>
      </c>
      <c r="W2047" s="171">
        <v>49.96</v>
      </c>
      <c r="X2047" s="171">
        <v>49.08</v>
      </c>
      <c r="Y2047" s="171">
        <v>42.44</v>
      </c>
      <c r="Z2047" s="171">
        <v>40.93</v>
      </c>
      <c r="AA2047" s="171">
        <v>41</v>
      </c>
      <c r="AB2047" s="171">
        <v>67.06</v>
      </c>
      <c r="AC2047" s="171">
        <v>40.93</v>
      </c>
      <c r="AD2047" s="171">
        <v>37.65</v>
      </c>
      <c r="AF2047" s="171">
        <f t="shared" si="95"/>
        <v>2014</v>
      </c>
      <c r="AG2047" s="171">
        <f t="shared" si="96"/>
        <v>10</v>
      </c>
      <c r="AH2047" s="700">
        <f>SUMIF(D$3:$AA2047,"&lt;="&amp;$AH$1)/COUNTIF(D$3:$AA2047,"&lt;="&amp;$AH$1)</f>
        <v>31.319949956211769</v>
      </c>
    </row>
    <row r="2048" spans="2:34" x14ac:dyDescent="0.25">
      <c r="B2048" s="910">
        <v>41694</v>
      </c>
      <c r="C2048" s="581">
        <f t="shared" si="94"/>
        <v>2</v>
      </c>
      <c r="D2048" s="171">
        <v>25.8</v>
      </c>
      <c r="E2048" s="171">
        <v>25.57</v>
      </c>
      <c r="F2048" s="171">
        <v>25.32</v>
      </c>
      <c r="G2048" s="171">
        <v>25.080000000000002</v>
      </c>
      <c r="H2048" s="171">
        <v>24.86</v>
      </c>
      <c r="I2048" s="171">
        <v>18.32</v>
      </c>
      <c r="J2048" s="171">
        <v>35.660000000000004</v>
      </c>
      <c r="K2048" s="171">
        <v>46.95</v>
      </c>
      <c r="L2048" s="171">
        <v>50</v>
      </c>
      <c r="M2048" s="171">
        <v>47.44</v>
      </c>
      <c r="N2048" s="171">
        <v>52</v>
      </c>
      <c r="O2048" s="171">
        <v>47.44</v>
      </c>
      <c r="P2048" s="171">
        <v>45.06</v>
      </c>
      <c r="Q2048" s="171">
        <v>47</v>
      </c>
      <c r="R2048" s="171">
        <v>45</v>
      </c>
      <c r="S2048" s="171">
        <v>45.72</v>
      </c>
      <c r="T2048" s="171">
        <v>48.31</v>
      </c>
      <c r="U2048" s="171">
        <v>50</v>
      </c>
      <c r="V2048" s="171">
        <v>64.95</v>
      </c>
      <c r="W2048" s="171">
        <v>64.73</v>
      </c>
      <c r="X2048" s="171">
        <v>50</v>
      </c>
      <c r="Y2048" s="171">
        <v>44.01</v>
      </c>
      <c r="Z2048" s="171">
        <v>37.44</v>
      </c>
      <c r="AA2048" s="171">
        <v>33.869999999999997</v>
      </c>
      <c r="AB2048" s="171">
        <v>64.95</v>
      </c>
      <c r="AC2048" s="171">
        <v>37.44</v>
      </c>
      <c r="AD2048" s="171">
        <v>32.74</v>
      </c>
      <c r="AF2048" s="171">
        <f t="shared" si="95"/>
        <v>2014</v>
      </c>
      <c r="AG2048" s="171">
        <f t="shared" si="96"/>
        <v>9</v>
      </c>
      <c r="AH2048" s="700">
        <f>SUMIF(D$3:$AA2048,"&lt;="&amp;$AH$1)/COUNTIF(D$3:$AA2048,"&lt;="&amp;$AH$1)</f>
        <v>31.318076899031027</v>
      </c>
    </row>
    <row r="2049" spans="2:34" x14ac:dyDescent="0.25">
      <c r="B2049" s="910">
        <v>41695</v>
      </c>
      <c r="C2049" s="581">
        <f t="shared" si="94"/>
        <v>2</v>
      </c>
      <c r="D2049" s="171">
        <v>26.22</v>
      </c>
      <c r="E2049" s="171">
        <v>23.87</v>
      </c>
      <c r="F2049" s="171">
        <v>22.77</v>
      </c>
      <c r="G2049" s="171">
        <v>20.29</v>
      </c>
      <c r="H2049" s="171">
        <v>21.82</v>
      </c>
      <c r="I2049" s="171">
        <v>25.94</v>
      </c>
      <c r="J2049" s="171">
        <v>36.97</v>
      </c>
      <c r="K2049" s="171">
        <v>46.95</v>
      </c>
      <c r="L2049" s="171">
        <v>46.660000000000004</v>
      </c>
      <c r="M2049" s="171">
        <v>47.44</v>
      </c>
      <c r="N2049" s="171">
        <v>45</v>
      </c>
      <c r="O2049" s="171">
        <v>44.96</v>
      </c>
      <c r="P2049" s="171">
        <v>44.94</v>
      </c>
      <c r="Q2049" s="171">
        <v>44.94</v>
      </c>
      <c r="R2049" s="171">
        <v>45</v>
      </c>
      <c r="S2049" s="171">
        <v>45.53</v>
      </c>
      <c r="T2049" s="171">
        <v>46.9</v>
      </c>
      <c r="U2049" s="171">
        <v>49.550000000000004</v>
      </c>
      <c r="V2049" s="171">
        <v>72.680000000000007</v>
      </c>
      <c r="W2049" s="171">
        <v>62.52</v>
      </c>
      <c r="X2049" s="171">
        <v>46.87</v>
      </c>
      <c r="Y2049" s="171">
        <v>42</v>
      </c>
      <c r="Z2049" s="171">
        <v>42.89</v>
      </c>
      <c r="AA2049" s="171">
        <v>39.590000000000003</v>
      </c>
      <c r="AB2049" s="171">
        <v>72.680000000000007</v>
      </c>
      <c r="AC2049" s="171">
        <v>42</v>
      </c>
      <c r="AD2049" s="171">
        <v>33.01</v>
      </c>
      <c r="AF2049" s="171">
        <f t="shared" si="95"/>
        <v>2014</v>
      </c>
      <c r="AG2049" s="171">
        <f t="shared" si="96"/>
        <v>9</v>
      </c>
      <c r="AH2049" s="700">
        <f>SUMIF(D$3:$AA2049,"&lt;="&amp;$AH$1)/COUNTIF(D$3:$AA2049,"&lt;="&amp;$AH$1)</f>
        <v>31.316677705573685</v>
      </c>
    </row>
    <row r="2050" spans="2:34" x14ac:dyDescent="0.25">
      <c r="B2050" s="910">
        <v>41696</v>
      </c>
      <c r="C2050" s="581">
        <f t="shared" si="94"/>
        <v>2</v>
      </c>
      <c r="D2050" s="171">
        <v>36.050000000000004</v>
      </c>
      <c r="E2050" s="171">
        <v>30</v>
      </c>
      <c r="F2050" s="171">
        <v>27.29</v>
      </c>
      <c r="G2050" s="171">
        <v>26.91</v>
      </c>
      <c r="H2050" s="171">
        <v>27.86</v>
      </c>
      <c r="I2050" s="171">
        <v>28.48</v>
      </c>
      <c r="J2050" s="171">
        <v>39.22</v>
      </c>
      <c r="K2050" s="171">
        <v>45.050000000000004</v>
      </c>
      <c r="L2050" s="171">
        <v>49.24</v>
      </c>
      <c r="M2050" s="171">
        <v>51.300000000000004</v>
      </c>
      <c r="N2050" s="171">
        <v>50.42</v>
      </c>
      <c r="O2050" s="171">
        <v>50</v>
      </c>
      <c r="P2050" s="171">
        <v>46.910000000000004</v>
      </c>
      <c r="Q2050" s="171">
        <v>46.42</v>
      </c>
      <c r="R2050" s="171">
        <v>44.96</v>
      </c>
      <c r="S2050" s="171">
        <v>43.35</v>
      </c>
      <c r="T2050" s="171">
        <v>41.81</v>
      </c>
      <c r="U2050" s="171">
        <v>43.99</v>
      </c>
      <c r="V2050" s="171">
        <v>71.19</v>
      </c>
      <c r="W2050" s="171">
        <v>72.95</v>
      </c>
      <c r="X2050" s="171">
        <v>49.85</v>
      </c>
      <c r="Y2050" s="171">
        <v>45.59</v>
      </c>
      <c r="Z2050" s="171">
        <v>42.44</v>
      </c>
      <c r="AA2050" s="171">
        <v>40.050000000000004</v>
      </c>
      <c r="AB2050" s="171">
        <v>72.95</v>
      </c>
      <c r="AC2050" s="171">
        <v>41.81</v>
      </c>
      <c r="AD2050" s="171">
        <v>36.57</v>
      </c>
      <c r="AF2050" s="171">
        <f t="shared" si="95"/>
        <v>2014</v>
      </c>
      <c r="AG2050" s="171">
        <f t="shared" si="96"/>
        <v>10</v>
      </c>
      <c r="AH2050" s="700">
        <f>SUMIF(D$3:$AA2050,"&lt;="&amp;$AH$1)/COUNTIF(D$3:$AA2050,"&lt;="&amp;$AH$1)</f>
        <v>31.318360184838337</v>
      </c>
    </row>
    <row r="2051" spans="2:34" x14ac:dyDescent="0.25">
      <c r="B2051" s="910">
        <v>41697</v>
      </c>
      <c r="C2051" s="581">
        <f t="shared" si="94"/>
        <v>2</v>
      </c>
      <c r="D2051" s="171">
        <v>33.99</v>
      </c>
      <c r="E2051" s="171">
        <v>32.03</v>
      </c>
      <c r="F2051" s="171">
        <v>30.28</v>
      </c>
      <c r="G2051" s="171">
        <v>29.61</v>
      </c>
      <c r="H2051" s="171">
        <v>29.48</v>
      </c>
      <c r="I2051" s="171">
        <v>32.18</v>
      </c>
      <c r="J2051" s="171">
        <v>41.54</v>
      </c>
      <c r="K2051" s="171">
        <v>53.34</v>
      </c>
      <c r="L2051" s="171">
        <v>50.1</v>
      </c>
      <c r="M2051" s="171">
        <v>47.1</v>
      </c>
      <c r="N2051" s="171">
        <v>49</v>
      </c>
      <c r="O2051" s="171">
        <v>46</v>
      </c>
      <c r="P2051" s="171">
        <v>44.24</v>
      </c>
      <c r="Q2051" s="171">
        <v>44.81</v>
      </c>
      <c r="R2051" s="171">
        <v>43.22</v>
      </c>
      <c r="S2051" s="171">
        <v>41.94</v>
      </c>
      <c r="T2051" s="171">
        <v>40.619999999999997</v>
      </c>
      <c r="U2051" s="171">
        <v>51.76</v>
      </c>
      <c r="V2051" s="171">
        <v>64.960000000000008</v>
      </c>
      <c r="W2051" s="171">
        <v>57.83</v>
      </c>
      <c r="X2051" s="171">
        <v>48.660000000000004</v>
      </c>
      <c r="Y2051" s="171">
        <v>43.21</v>
      </c>
      <c r="Z2051" s="171">
        <v>41.45</v>
      </c>
      <c r="AA2051" s="171">
        <v>40.160000000000004</v>
      </c>
      <c r="AB2051" s="171">
        <v>64.960000000000008</v>
      </c>
      <c r="AC2051" s="171">
        <v>40.619999999999997</v>
      </c>
      <c r="AD2051" s="171">
        <v>37.99</v>
      </c>
      <c r="AF2051" s="171">
        <f t="shared" si="95"/>
        <v>2014</v>
      </c>
      <c r="AG2051" s="171">
        <f t="shared" si="96"/>
        <v>11</v>
      </c>
      <c r="AH2051" s="700">
        <f>SUMIF(D$3:$AA2051,"&lt;="&amp;$AH$1)/COUNTIF(D$3:$AA2051,"&lt;="&amp;$AH$1)</f>
        <v>31.321404056162315</v>
      </c>
    </row>
    <row r="2052" spans="2:34" x14ac:dyDescent="0.25">
      <c r="B2052" s="910">
        <v>41698</v>
      </c>
      <c r="C2052" s="581">
        <f t="shared" ref="C2052:C2091" si="97">MONTH(B2052)</f>
        <v>2</v>
      </c>
      <c r="D2052" s="171">
        <v>36.25</v>
      </c>
      <c r="E2052" s="171">
        <v>34.94</v>
      </c>
      <c r="F2052" s="171">
        <v>30.19</v>
      </c>
      <c r="G2052" s="171">
        <v>28.03</v>
      </c>
      <c r="H2052" s="171">
        <v>28.54</v>
      </c>
      <c r="I2052" s="171">
        <v>29.94</v>
      </c>
      <c r="J2052" s="171">
        <v>39.6</v>
      </c>
      <c r="K2052" s="171">
        <v>47.45</v>
      </c>
      <c r="L2052" s="171">
        <v>49.61</v>
      </c>
      <c r="M2052" s="171">
        <v>61.6</v>
      </c>
      <c r="N2052" s="171">
        <v>69</v>
      </c>
      <c r="O2052" s="171">
        <v>69.19</v>
      </c>
      <c r="P2052" s="171">
        <v>65.09</v>
      </c>
      <c r="Q2052" s="171">
        <v>58.620000000000005</v>
      </c>
      <c r="R2052" s="171">
        <v>54.07</v>
      </c>
      <c r="S2052" s="171">
        <v>48.34</v>
      </c>
      <c r="T2052" s="171">
        <v>47.44</v>
      </c>
      <c r="U2052" s="171">
        <v>47.44</v>
      </c>
      <c r="V2052" s="171">
        <v>64.680000000000007</v>
      </c>
      <c r="W2052" s="171">
        <v>59.92</v>
      </c>
      <c r="X2052" s="171">
        <v>47.28</v>
      </c>
      <c r="Y2052" s="171">
        <v>41</v>
      </c>
      <c r="Z2052" s="171">
        <v>42.95</v>
      </c>
      <c r="AA2052" s="171">
        <v>42</v>
      </c>
      <c r="AB2052" s="171">
        <v>69.19</v>
      </c>
      <c r="AC2052" s="171">
        <v>41</v>
      </c>
      <c r="AD2052" s="171">
        <v>37.35</v>
      </c>
      <c r="AF2052" s="171">
        <f t="shared" ref="AF2052:AF2115" si="98">YEAR(B2052)</f>
        <v>2014</v>
      </c>
      <c r="AG2052" s="171">
        <f t="shared" ref="AG2052:AG2115" si="99">COUNTIF(D2052:AA2052,"&lt;="&amp;$AH$1)</f>
        <v>9</v>
      </c>
      <c r="AH2052" s="700">
        <f>SUMIF(D$3:$AA2052,"&lt;="&amp;$AH$1)/COUNTIF(D$3:$AA2052,"&lt;="&amp;$AH$1)</f>
        <v>31.323187601347207</v>
      </c>
    </row>
    <row r="2053" spans="2:34" x14ac:dyDescent="0.25">
      <c r="B2053" s="910">
        <v>41701</v>
      </c>
      <c r="C2053" s="581">
        <f t="shared" si="97"/>
        <v>3</v>
      </c>
      <c r="D2053" s="171">
        <v>26.52</v>
      </c>
      <c r="E2053" s="171">
        <v>25.11</v>
      </c>
      <c r="F2053" s="171">
        <v>24.080000000000002</v>
      </c>
      <c r="G2053" s="171">
        <v>22.14</v>
      </c>
      <c r="H2053" s="171">
        <v>24.03</v>
      </c>
      <c r="I2053" s="171">
        <v>27.01</v>
      </c>
      <c r="J2053" s="171">
        <v>43.93</v>
      </c>
      <c r="K2053" s="171">
        <v>49.94</v>
      </c>
      <c r="L2053" s="171">
        <v>51.33</v>
      </c>
      <c r="M2053" s="171">
        <v>53.68</v>
      </c>
      <c r="N2053" s="171">
        <v>51.43</v>
      </c>
      <c r="O2053" s="171">
        <v>57.13</v>
      </c>
      <c r="P2053" s="171">
        <v>47.83</v>
      </c>
      <c r="Q2053" s="171">
        <v>49.410000000000004</v>
      </c>
      <c r="R2053" s="171">
        <v>46.480000000000004</v>
      </c>
      <c r="S2053" s="171">
        <v>40.24</v>
      </c>
      <c r="T2053" s="171">
        <v>40.980000000000004</v>
      </c>
      <c r="U2053" s="171">
        <v>44.96</v>
      </c>
      <c r="V2053" s="171">
        <v>72.91</v>
      </c>
      <c r="W2053" s="171">
        <v>80.69</v>
      </c>
      <c r="X2053" s="171">
        <v>47.81</v>
      </c>
      <c r="Y2053" s="171">
        <v>43.99</v>
      </c>
      <c r="Z2053" s="171">
        <v>45.300000000000004</v>
      </c>
      <c r="AA2053" s="171">
        <v>43.34</v>
      </c>
      <c r="AB2053" s="171">
        <v>80.69</v>
      </c>
      <c r="AC2053" s="171">
        <v>40.24</v>
      </c>
      <c r="AD2053" s="171">
        <v>35.270000000000003</v>
      </c>
      <c r="AF2053" s="171">
        <f t="shared" si="98"/>
        <v>2014</v>
      </c>
      <c r="AG2053" s="171">
        <f t="shared" si="99"/>
        <v>8</v>
      </c>
      <c r="AH2053" s="700">
        <f>SUMIF(D$3:$AA2053,"&lt;="&amp;$AH$1)/COUNTIF(D$3:$AA2053,"&lt;="&amp;$AH$1)</f>
        <v>31.32191123301341</v>
      </c>
    </row>
    <row r="2054" spans="2:34" x14ac:dyDescent="0.25">
      <c r="B2054" s="910">
        <v>41702</v>
      </c>
      <c r="C2054" s="581">
        <f t="shared" si="97"/>
        <v>3</v>
      </c>
      <c r="D2054" s="171">
        <v>45.03</v>
      </c>
      <c r="E2054" s="171">
        <v>39.19</v>
      </c>
      <c r="F2054" s="171">
        <v>33.29</v>
      </c>
      <c r="G2054" s="171">
        <v>28.990000000000002</v>
      </c>
      <c r="H2054" s="171">
        <v>29.68</v>
      </c>
      <c r="I2054" s="171">
        <v>33.28</v>
      </c>
      <c r="J2054" s="171">
        <v>47.18</v>
      </c>
      <c r="K2054" s="171">
        <v>53.9</v>
      </c>
      <c r="L2054" s="171">
        <v>57.9</v>
      </c>
      <c r="M2054" s="171">
        <v>57.32</v>
      </c>
      <c r="N2054" s="171">
        <v>51.02</v>
      </c>
      <c r="O2054" s="171">
        <v>51.980000000000004</v>
      </c>
      <c r="P2054" s="171">
        <v>50</v>
      </c>
      <c r="Q2054" s="171">
        <v>50</v>
      </c>
      <c r="R2054" s="171">
        <v>48.59</v>
      </c>
      <c r="S2054" s="171">
        <v>46.51</v>
      </c>
      <c r="T2054" s="171">
        <v>45.92</v>
      </c>
      <c r="U2054" s="171">
        <v>45.87</v>
      </c>
      <c r="V2054" s="171">
        <v>75.64</v>
      </c>
      <c r="W2054" s="171">
        <v>79.38</v>
      </c>
      <c r="X2054" s="171">
        <v>54.77</v>
      </c>
      <c r="Y2054" s="171">
        <v>50.68</v>
      </c>
      <c r="Z2054" s="171">
        <v>49.01</v>
      </c>
      <c r="AA2054" s="171">
        <v>50</v>
      </c>
      <c r="AB2054" s="171">
        <v>79.38</v>
      </c>
      <c r="AC2054" s="171">
        <v>45.87</v>
      </c>
      <c r="AD2054" s="171">
        <v>42.92</v>
      </c>
      <c r="AF2054" s="171">
        <f t="shared" si="98"/>
        <v>2014</v>
      </c>
      <c r="AG2054" s="171">
        <f t="shared" si="99"/>
        <v>5</v>
      </c>
      <c r="AH2054" s="700">
        <f>SUMIF(D$3:$AA2054,"&lt;="&amp;$AH$1)/COUNTIF(D$3:$AA2054,"&lt;="&amp;$AH$1)</f>
        <v>31.322398579173747</v>
      </c>
    </row>
    <row r="2055" spans="2:34" x14ac:dyDescent="0.25">
      <c r="B2055" s="910">
        <v>41703</v>
      </c>
      <c r="C2055" s="581">
        <f t="shared" si="97"/>
        <v>3</v>
      </c>
      <c r="D2055" s="171">
        <v>40.21</v>
      </c>
      <c r="E2055" s="171">
        <v>39.94</v>
      </c>
      <c r="F2055" s="171">
        <v>42.1</v>
      </c>
      <c r="G2055" s="171">
        <v>34.72</v>
      </c>
      <c r="H2055" s="171">
        <v>33.369999999999997</v>
      </c>
      <c r="I2055" s="171">
        <v>41.28</v>
      </c>
      <c r="J2055" s="171">
        <v>47.32</v>
      </c>
      <c r="K2055" s="171">
        <v>62.160000000000004</v>
      </c>
      <c r="L2055" s="171">
        <v>67.760000000000005</v>
      </c>
      <c r="M2055" s="171">
        <v>68.08</v>
      </c>
      <c r="N2055" s="171">
        <v>53.01</v>
      </c>
      <c r="O2055" s="171">
        <v>44.96</v>
      </c>
      <c r="P2055" s="171">
        <v>43.85</v>
      </c>
      <c r="Q2055" s="171">
        <v>44.19</v>
      </c>
      <c r="R2055" s="171">
        <v>41.51</v>
      </c>
      <c r="S2055" s="171">
        <v>40</v>
      </c>
      <c r="T2055" s="171">
        <v>39.96</v>
      </c>
      <c r="U2055" s="171">
        <v>46.54</v>
      </c>
      <c r="V2055" s="171">
        <v>58.03</v>
      </c>
      <c r="W2055" s="171">
        <v>68.37</v>
      </c>
      <c r="X2055" s="171">
        <v>49.04</v>
      </c>
      <c r="Y2055" s="171">
        <v>42.58</v>
      </c>
      <c r="Z2055" s="171">
        <v>45.99</v>
      </c>
      <c r="AA2055" s="171">
        <v>44.1</v>
      </c>
      <c r="AB2055" s="171">
        <v>68.37</v>
      </c>
      <c r="AC2055" s="171">
        <v>39.96</v>
      </c>
      <c r="AD2055" s="171">
        <v>43.57</v>
      </c>
      <c r="AF2055" s="171">
        <f t="shared" si="98"/>
        <v>2014</v>
      </c>
      <c r="AG2055" s="171">
        <f t="shared" si="99"/>
        <v>9</v>
      </c>
      <c r="AH2055" s="700">
        <f>SUMIF(D$3:$AA2055,"&lt;="&amp;$AH$1)/COUNTIF(D$3:$AA2055,"&lt;="&amp;$AH$1)</f>
        <v>31.326832336821198</v>
      </c>
    </row>
    <row r="2056" spans="2:34" x14ac:dyDescent="0.25">
      <c r="B2056" s="910">
        <v>41704</v>
      </c>
      <c r="C2056" s="581">
        <f t="shared" si="97"/>
        <v>3</v>
      </c>
      <c r="D2056" s="171">
        <v>37.43</v>
      </c>
      <c r="E2056" s="171">
        <v>36.72</v>
      </c>
      <c r="F2056" s="171">
        <v>34.14</v>
      </c>
      <c r="G2056" s="171">
        <v>28.810000000000002</v>
      </c>
      <c r="H2056" s="171">
        <v>29.19</v>
      </c>
      <c r="I2056" s="171">
        <v>33.980000000000004</v>
      </c>
      <c r="J2056" s="171">
        <v>42.85</v>
      </c>
      <c r="K2056" s="171">
        <v>55.33</v>
      </c>
      <c r="L2056" s="171">
        <v>56.97</v>
      </c>
      <c r="M2056" s="171">
        <v>56.22</v>
      </c>
      <c r="N2056" s="171">
        <v>50</v>
      </c>
      <c r="O2056" s="171">
        <v>48.58</v>
      </c>
      <c r="P2056" s="171">
        <v>46.410000000000004</v>
      </c>
      <c r="Q2056" s="171">
        <v>44.92</v>
      </c>
      <c r="R2056" s="171">
        <v>40.51</v>
      </c>
      <c r="S2056" s="171">
        <v>39.94</v>
      </c>
      <c r="T2056" s="171">
        <v>39.94</v>
      </c>
      <c r="U2056" s="171">
        <v>45</v>
      </c>
      <c r="V2056" s="171">
        <v>61.59</v>
      </c>
      <c r="W2056" s="171">
        <v>69.75</v>
      </c>
      <c r="X2056" s="171">
        <v>53.9</v>
      </c>
      <c r="Y2056" s="171">
        <v>42.17</v>
      </c>
      <c r="Z2056" s="171">
        <v>45.730000000000004</v>
      </c>
      <c r="AA2056" s="171">
        <v>40.97</v>
      </c>
      <c r="AB2056" s="171">
        <v>69.75</v>
      </c>
      <c r="AC2056" s="171">
        <v>39.94</v>
      </c>
      <c r="AD2056" s="171">
        <v>40.1</v>
      </c>
      <c r="AF2056" s="171">
        <f t="shared" si="98"/>
        <v>2014</v>
      </c>
      <c r="AG2056" s="171">
        <f t="shared" si="99"/>
        <v>11</v>
      </c>
      <c r="AH2056" s="700">
        <f>SUMIF(D$3:$AA2056,"&lt;="&amp;$AH$1)/COUNTIF(D$3:$AA2056,"&lt;="&amp;$AH$1)</f>
        <v>31.330517209186599</v>
      </c>
    </row>
    <row r="2057" spans="2:34" x14ac:dyDescent="0.25">
      <c r="B2057" s="910">
        <v>41705</v>
      </c>
      <c r="C2057" s="581">
        <f t="shared" si="97"/>
        <v>3</v>
      </c>
      <c r="D2057" s="171">
        <v>40.01</v>
      </c>
      <c r="E2057" s="171">
        <v>33.980000000000004</v>
      </c>
      <c r="F2057" s="171">
        <v>32.22</v>
      </c>
      <c r="G2057" s="171">
        <v>28.900000000000002</v>
      </c>
      <c r="H2057" s="171">
        <v>29.1</v>
      </c>
      <c r="I2057" s="171">
        <v>32.06</v>
      </c>
      <c r="J2057" s="171">
        <v>40.9</v>
      </c>
      <c r="K2057" s="171">
        <v>48.26</v>
      </c>
      <c r="L2057" s="171">
        <v>53.76</v>
      </c>
      <c r="M2057" s="171">
        <v>62</v>
      </c>
      <c r="N2057" s="171">
        <v>49.17</v>
      </c>
      <c r="O2057" s="171">
        <v>45.36</v>
      </c>
      <c r="P2057" s="171">
        <v>44.82</v>
      </c>
      <c r="Q2057" s="171">
        <v>40.950000000000003</v>
      </c>
      <c r="R2057" s="171">
        <v>40.25</v>
      </c>
      <c r="S2057" s="171">
        <v>39.99</v>
      </c>
      <c r="T2057" s="171">
        <v>40</v>
      </c>
      <c r="U2057" s="171">
        <v>42</v>
      </c>
      <c r="V2057" s="171">
        <v>47.09</v>
      </c>
      <c r="W2057" s="171">
        <v>49.26</v>
      </c>
      <c r="X2057" s="171">
        <v>45.95</v>
      </c>
      <c r="Y2057" s="171">
        <v>42</v>
      </c>
      <c r="Z2057" s="171">
        <v>44.28</v>
      </c>
      <c r="AA2057" s="171">
        <v>43.68</v>
      </c>
      <c r="AB2057" s="171">
        <v>62</v>
      </c>
      <c r="AC2057" s="171">
        <v>39.99</v>
      </c>
      <c r="AD2057" s="171">
        <v>38.44</v>
      </c>
      <c r="AF2057" s="171">
        <f t="shared" si="98"/>
        <v>2014</v>
      </c>
      <c r="AG2057" s="171">
        <f t="shared" si="99"/>
        <v>13</v>
      </c>
      <c r="AH2057" s="700">
        <f>SUMIF(D$3:$AA2057,"&lt;="&amp;$AH$1)/COUNTIF(D$3:$AA2057,"&lt;="&amp;$AH$1)</f>
        <v>31.335185323383151</v>
      </c>
    </row>
    <row r="2058" spans="2:34" x14ac:dyDescent="0.25">
      <c r="B2058" s="910">
        <v>41708</v>
      </c>
      <c r="C2058" s="581">
        <f t="shared" si="97"/>
        <v>3</v>
      </c>
      <c r="D2058" s="171">
        <v>24.26</v>
      </c>
      <c r="E2058" s="171">
        <v>22.62</v>
      </c>
      <c r="F2058" s="171">
        <v>22.73</v>
      </c>
      <c r="G2058" s="171">
        <v>22.76</v>
      </c>
      <c r="H2058" s="171">
        <v>23.44</v>
      </c>
      <c r="I2058" s="171">
        <v>25.57</v>
      </c>
      <c r="J2058" s="171">
        <v>43.5</v>
      </c>
      <c r="K2058" s="171">
        <v>48.28</v>
      </c>
      <c r="L2058" s="171">
        <v>48.120000000000005</v>
      </c>
      <c r="M2058" s="171">
        <v>60.120000000000005</v>
      </c>
      <c r="N2058" s="171">
        <v>45</v>
      </c>
      <c r="O2058" s="171">
        <v>44.94</v>
      </c>
      <c r="P2058" s="171">
        <v>42.44</v>
      </c>
      <c r="Q2058" s="171">
        <v>42.44</v>
      </c>
      <c r="R2058" s="171">
        <v>43.08</v>
      </c>
      <c r="S2058" s="171">
        <v>42.22</v>
      </c>
      <c r="T2058" s="171">
        <v>41.22</v>
      </c>
      <c r="U2058" s="171">
        <v>41.83</v>
      </c>
      <c r="V2058" s="171">
        <v>56.07</v>
      </c>
      <c r="W2058" s="171">
        <v>75.460000000000008</v>
      </c>
      <c r="X2058" s="171">
        <v>46.32</v>
      </c>
      <c r="Y2058" s="171">
        <v>42.44</v>
      </c>
      <c r="Z2058" s="171">
        <v>35.17</v>
      </c>
      <c r="AA2058" s="171">
        <v>30.93</v>
      </c>
      <c r="AB2058" s="171">
        <v>75.460000000000008</v>
      </c>
      <c r="AC2058" s="171">
        <v>35.17</v>
      </c>
      <c r="AD2058" s="171">
        <v>32.33</v>
      </c>
      <c r="AF2058" s="171">
        <f t="shared" si="98"/>
        <v>2014</v>
      </c>
      <c r="AG2058" s="171">
        <f t="shared" si="99"/>
        <v>14</v>
      </c>
      <c r="AH2058" s="700">
        <f>SUMIF(D$3:$AA2058,"&lt;="&amp;$AH$1)/COUNTIF(D$3:$AA2058,"&lt;="&amp;$AH$1)</f>
        <v>31.336513607555673</v>
      </c>
    </row>
    <row r="2059" spans="2:34" x14ac:dyDescent="0.25">
      <c r="B2059" s="910">
        <v>41709</v>
      </c>
      <c r="C2059" s="581">
        <f t="shared" si="97"/>
        <v>3</v>
      </c>
      <c r="D2059" s="171">
        <v>25.830000000000002</v>
      </c>
      <c r="E2059" s="171">
        <v>25.900000000000002</v>
      </c>
      <c r="F2059" s="171">
        <v>24.63</v>
      </c>
      <c r="G2059" s="171">
        <v>24.27</v>
      </c>
      <c r="H2059" s="171">
        <v>25.03</v>
      </c>
      <c r="I2059" s="171">
        <v>26.5</v>
      </c>
      <c r="J2059" s="171">
        <v>35.08</v>
      </c>
      <c r="K2059" s="171">
        <v>42.550000000000004</v>
      </c>
      <c r="L2059" s="171">
        <v>54.35</v>
      </c>
      <c r="M2059" s="171">
        <v>68.040000000000006</v>
      </c>
      <c r="N2059" s="171">
        <v>65.23</v>
      </c>
      <c r="O2059" s="171">
        <v>59.29</v>
      </c>
      <c r="P2059" s="171">
        <v>49</v>
      </c>
      <c r="Q2059" s="171">
        <v>47</v>
      </c>
      <c r="R2059" s="171">
        <v>45.52</v>
      </c>
      <c r="S2059" s="171">
        <v>44.94</v>
      </c>
      <c r="T2059" s="171">
        <v>44.96</v>
      </c>
      <c r="U2059" s="171">
        <v>45.85</v>
      </c>
      <c r="V2059" s="171">
        <v>49.94</v>
      </c>
      <c r="W2059" s="171">
        <v>57.44</v>
      </c>
      <c r="X2059" s="171">
        <v>49.94</v>
      </c>
      <c r="Y2059" s="171">
        <v>46</v>
      </c>
      <c r="Z2059" s="171">
        <v>40.03</v>
      </c>
      <c r="AA2059" s="171">
        <v>32.99</v>
      </c>
      <c r="AB2059" s="171">
        <v>68.040000000000006</v>
      </c>
      <c r="AC2059" s="171">
        <v>40.03</v>
      </c>
      <c r="AD2059" s="171">
        <v>33.230000000000004</v>
      </c>
      <c r="AF2059" s="171">
        <f t="shared" si="98"/>
        <v>2014</v>
      </c>
      <c r="AG2059" s="171">
        <f t="shared" si="99"/>
        <v>10</v>
      </c>
      <c r="AH2059" s="700">
        <f>SUMIF(D$3:$AA2059,"&lt;="&amp;$AH$1)/COUNTIF(D$3:$AA2059,"&lt;="&amp;$AH$1)</f>
        <v>31.335858171882833</v>
      </c>
    </row>
    <row r="2060" spans="2:34" x14ac:dyDescent="0.25">
      <c r="B2060" s="910">
        <v>41710</v>
      </c>
      <c r="C2060" s="581">
        <f t="shared" si="97"/>
        <v>3</v>
      </c>
      <c r="D2060" s="171">
        <v>28.87</v>
      </c>
      <c r="E2060" s="171">
        <v>28.04</v>
      </c>
      <c r="F2060" s="171">
        <v>26.650000000000002</v>
      </c>
      <c r="G2060" s="171">
        <v>25.150000000000002</v>
      </c>
      <c r="H2060" s="171">
        <v>25.69</v>
      </c>
      <c r="I2060" s="171">
        <v>28.09</v>
      </c>
      <c r="J2060" s="171">
        <v>43</v>
      </c>
      <c r="K2060" s="171">
        <v>52.410000000000004</v>
      </c>
      <c r="L2060" s="171">
        <v>59.99</v>
      </c>
      <c r="M2060" s="171">
        <v>67.58</v>
      </c>
      <c r="N2060" s="171">
        <v>47.92</v>
      </c>
      <c r="O2060" s="171">
        <v>44.99</v>
      </c>
      <c r="P2060" s="171">
        <v>46.660000000000004</v>
      </c>
      <c r="Q2060" s="171">
        <v>47.44</v>
      </c>
      <c r="R2060" s="171">
        <v>46.99</v>
      </c>
      <c r="S2060" s="171">
        <v>44.99</v>
      </c>
      <c r="T2060" s="171">
        <v>45.99</v>
      </c>
      <c r="U2060" s="171">
        <v>49</v>
      </c>
      <c r="V2060" s="171">
        <v>56.21</v>
      </c>
      <c r="W2060" s="171">
        <v>75.98</v>
      </c>
      <c r="X2060" s="171">
        <v>49.94</v>
      </c>
      <c r="Y2060" s="171">
        <v>52</v>
      </c>
      <c r="Z2060" s="171">
        <v>44.96</v>
      </c>
      <c r="AA2060" s="171">
        <v>40.64</v>
      </c>
      <c r="AB2060" s="171">
        <v>75.98</v>
      </c>
      <c r="AC2060" s="171">
        <v>44.96</v>
      </c>
      <c r="AD2060" s="171">
        <v>37.119999999999997</v>
      </c>
      <c r="AF2060" s="171">
        <f t="shared" si="98"/>
        <v>2014</v>
      </c>
      <c r="AG2060" s="171">
        <f t="shared" si="99"/>
        <v>7</v>
      </c>
      <c r="AH2060" s="700">
        <f>SUMIF(D$3:$AA2060,"&lt;="&amp;$AH$1)/COUNTIF(D$3:$AA2060,"&lt;="&amp;$AH$1)</f>
        <v>31.334851343802445</v>
      </c>
    </row>
    <row r="2061" spans="2:34" x14ac:dyDescent="0.25">
      <c r="B2061" s="910">
        <v>41711</v>
      </c>
      <c r="C2061" s="581">
        <f t="shared" si="97"/>
        <v>3</v>
      </c>
      <c r="D2061" s="171">
        <v>42.39</v>
      </c>
      <c r="E2061" s="171">
        <v>35.99</v>
      </c>
      <c r="F2061" s="171">
        <v>29.96</v>
      </c>
      <c r="G2061" s="171">
        <v>30</v>
      </c>
      <c r="H2061" s="171">
        <v>30.11</v>
      </c>
      <c r="I2061" s="171">
        <v>31.43</v>
      </c>
      <c r="J2061" s="171">
        <v>44.94</v>
      </c>
      <c r="K2061" s="171">
        <v>53.46</v>
      </c>
      <c r="L2061" s="171">
        <v>53.57</v>
      </c>
      <c r="M2061" s="171">
        <v>57.99</v>
      </c>
      <c r="N2061" s="171">
        <v>52.44</v>
      </c>
      <c r="O2061" s="171">
        <v>47.44</v>
      </c>
      <c r="P2061" s="171">
        <v>44.69</v>
      </c>
      <c r="Q2061" s="171">
        <v>44.96</v>
      </c>
      <c r="R2061" s="171">
        <v>42.44</v>
      </c>
      <c r="S2061" s="171">
        <v>40</v>
      </c>
      <c r="T2061" s="171">
        <v>39.94</v>
      </c>
      <c r="U2061" s="171">
        <v>46.410000000000004</v>
      </c>
      <c r="V2061" s="171">
        <v>52.76</v>
      </c>
      <c r="W2061" s="171">
        <v>75.55</v>
      </c>
      <c r="X2061" s="171">
        <v>48.69</v>
      </c>
      <c r="Y2061" s="171">
        <v>44.94</v>
      </c>
      <c r="Z2061" s="171">
        <v>43.4</v>
      </c>
      <c r="AA2061" s="171">
        <v>42</v>
      </c>
      <c r="AB2061" s="171">
        <v>75.55</v>
      </c>
      <c r="AC2061" s="171">
        <v>39.94</v>
      </c>
      <c r="AD2061" s="171">
        <v>39.78</v>
      </c>
      <c r="AF2061" s="171">
        <f t="shared" si="98"/>
        <v>2014</v>
      </c>
      <c r="AG2061" s="171">
        <f t="shared" si="99"/>
        <v>10</v>
      </c>
      <c r="AH2061" s="700">
        <f>SUMIF(D$3:$AA2061,"&lt;="&amp;$AH$1)/COUNTIF(D$3:$AA2061,"&lt;="&amp;$AH$1)</f>
        <v>31.338009428695564</v>
      </c>
    </row>
    <row r="2062" spans="2:34" x14ac:dyDescent="0.25">
      <c r="B2062" s="910">
        <v>41712</v>
      </c>
      <c r="C2062" s="581">
        <f t="shared" si="97"/>
        <v>3</v>
      </c>
      <c r="D2062" s="171">
        <v>40.090000000000003</v>
      </c>
      <c r="E2062" s="171">
        <v>32.01</v>
      </c>
      <c r="F2062" s="171">
        <v>30.990000000000002</v>
      </c>
      <c r="G2062" s="171">
        <v>30.38</v>
      </c>
      <c r="H2062" s="171">
        <v>30.38</v>
      </c>
      <c r="I2062" s="171">
        <v>32.89</v>
      </c>
      <c r="J2062" s="171">
        <v>44.15</v>
      </c>
      <c r="K2062" s="171">
        <v>49.94</v>
      </c>
      <c r="L2062" s="171">
        <v>54.94</v>
      </c>
      <c r="M2062" s="171">
        <v>69.44</v>
      </c>
      <c r="N2062" s="171">
        <v>69.58</v>
      </c>
      <c r="O2062" s="171">
        <v>69.42</v>
      </c>
      <c r="P2062" s="171">
        <v>54.94</v>
      </c>
      <c r="Q2062" s="171">
        <v>49.94</v>
      </c>
      <c r="R2062" s="171">
        <v>45</v>
      </c>
      <c r="S2062" s="171">
        <v>43.19</v>
      </c>
      <c r="T2062" s="171">
        <v>42.44</v>
      </c>
      <c r="U2062" s="171">
        <v>42.44</v>
      </c>
      <c r="V2062" s="171">
        <v>45.07</v>
      </c>
      <c r="W2062" s="171">
        <v>53.95</v>
      </c>
      <c r="X2062" s="171">
        <v>49.94</v>
      </c>
      <c r="Y2062" s="171">
        <v>45</v>
      </c>
      <c r="Z2062" s="171">
        <v>42.44</v>
      </c>
      <c r="AA2062" s="171">
        <v>38.99</v>
      </c>
      <c r="AB2062" s="171">
        <v>69.58</v>
      </c>
      <c r="AC2062" s="171">
        <v>42.44</v>
      </c>
      <c r="AD2062" s="171">
        <v>38.93</v>
      </c>
      <c r="AF2062" s="171">
        <f t="shared" si="98"/>
        <v>2014</v>
      </c>
      <c r="AG2062" s="171">
        <f t="shared" si="99"/>
        <v>10</v>
      </c>
      <c r="AH2062" s="700">
        <f>SUMIF(D$3:$AA2062,"&lt;="&amp;$AH$1)/COUNTIF(D$3:$AA2062,"&lt;="&amp;$AH$1)</f>
        <v>31.341088587192441</v>
      </c>
    </row>
    <row r="2063" spans="2:34" x14ac:dyDescent="0.25">
      <c r="B2063" s="910">
        <v>41715</v>
      </c>
      <c r="C2063" s="581">
        <f t="shared" si="97"/>
        <v>3</v>
      </c>
      <c r="D2063" s="171">
        <v>29.73</v>
      </c>
      <c r="E2063" s="171">
        <v>26.330000000000002</v>
      </c>
      <c r="F2063" s="171">
        <v>23.93</v>
      </c>
      <c r="G2063" s="171">
        <v>21.96</v>
      </c>
      <c r="H2063" s="171">
        <v>21.96</v>
      </c>
      <c r="I2063" s="171">
        <v>26.41</v>
      </c>
      <c r="J2063" s="171">
        <v>42</v>
      </c>
      <c r="K2063" s="171">
        <v>50.81</v>
      </c>
      <c r="L2063" s="171">
        <v>49</v>
      </c>
      <c r="M2063" s="171">
        <v>56.84</v>
      </c>
      <c r="N2063" s="171">
        <v>59.160000000000004</v>
      </c>
      <c r="O2063" s="171">
        <v>65.27</v>
      </c>
      <c r="P2063" s="171">
        <v>50</v>
      </c>
      <c r="Q2063" s="171">
        <v>50</v>
      </c>
      <c r="R2063" s="171">
        <v>49.96</v>
      </c>
      <c r="S2063" s="171">
        <v>49.08</v>
      </c>
      <c r="T2063" s="171">
        <v>51.870000000000005</v>
      </c>
      <c r="U2063" s="171">
        <v>67.78</v>
      </c>
      <c r="V2063" s="171">
        <v>47.44</v>
      </c>
      <c r="W2063" s="171">
        <v>69.94</v>
      </c>
      <c r="X2063" s="171">
        <v>54.86</v>
      </c>
      <c r="Y2063" s="171">
        <v>44</v>
      </c>
      <c r="Z2063" s="171">
        <v>45</v>
      </c>
      <c r="AA2063" s="171">
        <v>44.25</v>
      </c>
      <c r="AB2063" s="171">
        <v>69.94</v>
      </c>
      <c r="AC2063" s="171">
        <v>44</v>
      </c>
      <c r="AD2063" s="171">
        <v>35.94</v>
      </c>
      <c r="AF2063" s="171">
        <f t="shared" si="98"/>
        <v>2014</v>
      </c>
      <c r="AG2063" s="171">
        <f t="shared" si="99"/>
        <v>7</v>
      </c>
      <c r="AH2063" s="700">
        <f>SUMIF(D$3:$AA2063,"&lt;="&amp;$AH$1)/COUNTIF(D$3:$AA2063,"&lt;="&amp;$AH$1)</f>
        <v>31.339411327302098</v>
      </c>
    </row>
    <row r="2064" spans="2:34" x14ac:dyDescent="0.25">
      <c r="B2064" s="910">
        <v>41716</v>
      </c>
      <c r="C2064" s="581">
        <f t="shared" si="97"/>
        <v>3</v>
      </c>
      <c r="D2064" s="171">
        <v>31.57</v>
      </c>
      <c r="E2064" s="171">
        <v>32.18</v>
      </c>
      <c r="F2064" s="171">
        <v>29.990000000000002</v>
      </c>
      <c r="G2064" s="171">
        <v>24.07</v>
      </c>
      <c r="H2064" s="171">
        <v>24.89</v>
      </c>
      <c r="I2064" s="171">
        <v>28.060000000000002</v>
      </c>
      <c r="J2064" s="171">
        <v>40.44</v>
      </c>
      <c r="K2064" s="171">
        <v>49.49</v>
      </c>
      <c r="L2064" s="171">
        <v>50.120000000000005</v>
      </c>
      <c r="M2064" s="171">
        <v>63.77</v>
      </c>
      <c r="N2064" s="171">
        <v>55</v>
      </c>
      <c r="O2064" s="171">
        <v>61.99</v>
      </c>
      <c r="P2064" s="171">
        <v>58.13</v>
      </c>
      <c r="Q2064" s="171">
        <v>52.24</v>
      </c>
      <c r="R2064" s="171">
        <v>45.13</v>
      </c>
      <c r="S2064" s="171">
        <v>42</v>
      </c>
      <c r="T2064" s="171">
        <v>41.36</v>
      </c>
      <c r="U2064" s="171">
        <v>42.44</v>
      </c>
      <c r="V2064" s="171">
        <v>39.68</v>
      </c>
      <c r="W2064" s="171">
        <v>46.28</v>
      </c>
      <c r="X2064" s="171">
        <v>41.550000000000004</v>
      </c>
      <c r="Y2064" s="171">
        <v>39</v>
      </c>
      <c r="Z2064" s="171">
        <v>32.730000000000004</v>
      </c>
      <c r="AA2064" s="171">
        <v>30.330000000000002</v>
      </c>
      <c r="AB2064" s="171">
        <v>63.77</v>
      </c>
      <c r="AC2064" s="171">
        <v>32.730000000000004</v>
      </c>
      <c r="AD2064" s="171">
        <v>33.69</v>
      </c>
      <c r="AF2064" s="171">
        <f t="shared" si="98"/>
        <v>2014</v>
      </c>
      <c r="AG2064" s="171">
        <f t="shared" si="99"/>
        <v>15</v>
      </c>
      <c r="AH2064" s="700">
        <f>SUMIF(D$3:$AA2064,"&lt;="&amp;$AH$1)/COUNTIF(D$3:$AA2064,"&lt;="&amp;$AH$1)</f>
        <v>31.342519036711522</v>
      </c>
    </row>
    <row r="2065" spans="2:34" x14ac:dyDescent="0.25">
      <c r="B2065" s="910">
        <v>41717</v>
      </c>
      <c r="C2065" s="581">
        <f t="shared" si="97"/>
        <v>3</v>
      </c>
      <c r="D2065" s="171">
        <v>27.01</v>
      </c>
      <c r="E2065" s="171">
        <v>22.46</v>
      </c>
      <c r="F2065" s="171">
        <v>14.3</v>
      </c>
      <c r="G2065" s="171">
        <v>22.46</v>
      </c>
      <c r="H2065" s="171">
        <v>29.66</v>
      </c>
      <c r="I2065" s="171">
        <v>27.44</v>
      </c>
      <c r="J2065" s="171">
        <v>42.36</v>
      </c>
      <c r="K2065" s="171">
        <v>49.79</v>
      </c>
      <c r="L2065" s="171">
        <v>47.99</v>
      </c>
      <c r="M2065" s="171">
        <v>64.72</v>
      </c>
      <c r="N2065" s="171">
        <v>61.940000000000005</v>
      </c>
      <c r="O2065" s="171">
        <v>49.94</v>
      </c>
      <c r="P2065" s="171">
        <v>43.36</v>
      </c>
      <c r="Q2065" s="171">
        <v>42.44</v>
      </c>
      <c r="R2065" s="171">
        <v>43</v>
      </c>
      <c r="S2065" s="171">
        <v>42.44</v>
      </c>
      <c r="T2065" s="171">
        <v>43.58</v>
      </c>
      <c r="U2065" s="171">
        <v>47.59</v>
      </c>
      <c r="V2065" s="171">
        <v>42.44</v>
      </c>
      <c r="W2065" s="171">
        <v>54.97</v>
      </c>
      <c r="X2065" s="171">
        <v>49</v>
      </c>
      <c r="Y2065" s="171">
        <v>45</v>
      </c>
      <c r="Z2065" s="171">
        <v>44</v>
      </c>
      <c r="AA2065" s="171">
        <v>41.93</v>
      </c>
      <c r="AB2065" s="171">
        <v>64.72</v>
      </c>
      <c r="AC2065" s="171">
        <v>42.44</v>
      </c>
      <c r="AD2065" s="171">
        <v>34.619999999999997</v>
      </c>
      <c r="AF2065" s="171">
        <f t="shared" si="98"/>
        <v>2014</v>
      </c>
      <c r="AG2065" s="171">
        <f t="shared" si="99"/>
        <v>11</v>
      </c>
      <c r="AH2065" s="700">
        <f>SUMIF(D$3:$AA2065,"&lt;="&amp;$AH$1)/COUNTIF(D$3:$AA2065,"&lt;="&amp;$AH$1)</f>
        <v>31.343148354367809</v>
      </c>
    </row>
    <row r="2066" spans="2:34" x14ac:dyDescent="0.25">
      <c r="B2066" s="910">
        <v>41718</v>
      </c>
      <c r="C2066" s="581">
        <f t="shared" si="97"/>
        <v>3</v>
      </c>
      <c r="D2066" s="171">
        <v>26.47</v>
      </c>
      <c r="E2066" s="171">
        <v>26.72</v>
      </c>
      <c r="F2066" s="171">
        <v>24.54</v>
      </c>
      <c r="G2066" s="171">
        <v>17.29</v>
      </c>
      <c r="H2066" s="171">
        <v>18.05</v>
      </c>
      <c r="I2066" s="171">
        <v>24.57</v>
      </c>
      <c r="J2066" s="171">
        <v>37.54</v>
      </c>
      <c r="K2066" s="171">
        <v>46.15</v>
      </c>
      <c r="L2066" s="171">
        <v>44.94</v>
      </c>
      <c r="M2066" s="171">
        <v>43</v>
      </c>
      <c r="N2066" s="171">
        <v>40</v>
      </c>
      <c r="O2066" s="171">
        <v>39.96</v>
      </c>
      <c r="P2066" s="171">
        <v>38.42</v>
      </c>
      <c r="Q2066" s="171">
        <v>37.950000000000003</v>
      </c>
      <c r="R2066" s="171">
        <v>35.49</v>
      </c>
      <c r="S2066" s="171">
        <v>39.590000000000003</v>
      </c>
      <c r="T2066" s="171">
        <v>39.96</v>
      </c>
      <c r="U2066" s="171">
        <v>39.96</v>
      </c>
      <c r="V2066" s="171">
        <v>44.94</v>
      </c>
      <c r="W2066" s="171">
        <v>55</v>
      </c>
      <c r="X2066" s="171">
        <v>48</v>
      </c>
      <c r="Y2066" s="171">
        <v>42.44</v>
      </c>
      <c r="Z2066" s="171">
        <v>32.130000000000003</v>
      </c>
      <c r="AA2066" s="171">
        <v>30.47</v>
      </c>
      <c r="AB2066" s="171">
        <v>55</v>
      </c>
      <c r="AC2066" s="171">
        <v>32.130000000000003</v>
      </c>
      <c r="AD2066" s="171">
        <v>31.2</v>
      </c>
      <c r="AF2066" s="171">
        <f t="shared" si="98"/>
        <v>2014</v>
      </c>
      <c r="AG2066" s="171">
        <f t="shared" si="99"/>
        <v>18</v>
      </c>
      <c r="AH2066" s="700">
        <f>SUMIF(D$3:$AA2066,"&lt;="&amp;$AH$1)/COUNTIF(D$3:$AA2066,"&lt;="&amp;$AH$1)</f>
        <v>31.344839945618663</v>
      </c>
    </row>
    <row r="2067" spans="2:34" x14ac:dyDescent="0.25">
      <c r="B2067" s="910">
        <v>41719</v>
      </c>
      <c r="C2067" s="581">
        <f t="shared" si="97"/>
        <v>3</v>
      </c>
      <c r="D2067" s="171">
        <v>21.240000000000002</v>
      </c>
      <c r="E2067" s="171">
        <v>19.29</v>
      </c>
      <c r="F2067" s="171">
        <v>19.02</v>
      </c>
      <c r="G2067" s="171">
        <v>18.830000000000002</v>
      </c>
      <c r="H2067" s="171">
        <v>19.580000000000002</v>
      </c>
      <c r="I2067" s="171">
        <v>21.240000000000002</v>
      </c>
      <c r="J2067" s="171">
        <v>29.62</v>
      </c>
      <c r="K2067" s="171">
        <v>40</v>
      </c>
      <c r="L2067" s="171">
        <v>46.63</v>
      </c>
      <c r="M2067" s="171">
        <v>48</v>
      </c>
      <c r="N2067" s="171">
        <v>47.44</v>
      </c>
      <c r="O2067" s="171">
        <v>63.620000000000005</v>
      </c>
      <c r="P2067" s="171">
        <v>57.660000000000004</v>
      </c>
      <c r="Q2067" s="171">
        <v>55.89</v>
      </c>
      <c r="R2067" s="171">
        <v>45</v>
      </c>
      <c r="S2067" s="171">
        <v>39.96</v>
      </c>
      <c r="T2067" s="171">
        <v>39.94</v>
      </c>
      <c r="U2067" s="171">
        <v>39.96</v>
      </c>
      <c r="V2067" s="171">
        <v>42.43</v>
      </c>
      <c r="W2067" s="171">
        <v>55</v>
      </c>
      <c r="X2067" s="171">
        <v>47.39</v>
      </c>
      <c r="Y2067" s="171">
        <v>43.08</v>
      </c>
      <c r="Z2067" s="171">
        <v>43.08</v>
      </c>
      <c r="AA2067" s="171">
        <v>36.5</v>
      </c>
      <c r="AB2067" s="171">
        <v>63.620000000000005</v>
      </c>
      <c r="AC2067" s="171">
        <v>39.94</v>
      </c>
      <c r="AD2067" s="171">
        <v>29.91</v>
      </c>
      <c r="AF2067" s="171">
        <f t="shared" si="98"/>
        <v>2014</v>
      </c>
      <c r="AG2067" s="171">
        <f t="shared" si="99"/>
        <v>13</v>
      </c>
      <c r="AH2067" s="700">
        <f>SUMIF(D$3:$AA2067,"&lt;="&amp;$AH$1)/COUNTIF(D$3:$AA2067,"&lt;="&amp;$AH$1)</f>
        <v>31.343612843470282</v>
      </c>
    </row>
    <row r="2068" spans="2:34" x14ac:dyDescent="0.25">
      <c r="B2068" s="910">
        <v>41722</v>
      </c>
      <c r="C2068" s="581">
        <f t="shared" si="97"/>
        <v>3</v>
      </c>
      <c r="D2068" s="171">
        <v>32.64</v>
      </c>
      <c r="E2068" s="171">
        <v>30</v>
      </c>
      <c r="F2068" s="171">
        <v>27.8</v>
      </c>
      <c r="G2068" s="171">
        <v>25.080000000000002</v>
      </c>
      <c r="H2068" s="171">
        <v>25.3</v>
      </c>
      <c r="I2068" s="171">
        <v>28.82</v>
      </c>
      <c r="J2068" s="171">
        <v>40.58</v>
      </c>
      <c r="K2068" s="171">
        <v>57.32</v>
      </c>
      <c r="L2068" s="171">
        <v>57.52</v>
      </c>
      <c r="M2068" s="171">
        <v>54.94</v>
      </c>
      <c r="N2068" s="171">
        <v>42.910000000000004</v>
      </c>
      <c r="O2068" s="171">
        <v>42.6</v>
      </c>
      <c r="P2068" s="171">
        <v>43.18</v>
      </c>
      <c r="Q2068" s="171">
        <v>44.64</v>
      </c>
      <c r="R2068" s="171">
        <v>43.910000000000004</v>
      </c>
      <c r="S2068" s="171">
        <v>41.46</v>
      </c>
      <c r="T2068" s="171">
        <v>40.910000000000004</v>
      </c>
      <c r="U2068" s="171">
        <v>40.93</v>
      </c>
      <c r="V2068" s="171">
        <v>47.230000000000004</v>
      </c>
      <c r="W2068" s="171">
        <v>96.69</v>
      </c>
      <c r="X2068" s="171">
        <v>48.730000000000004</v>
      </c>
      <c r="Y2068" s="171">
        <v>41.12</v>
      </c>
      <c r="Z2068" s="171">
        <v>44.62</v>
      </c>
      <c r="AA2068" s="171">
        <v>41.69</v>
      </c>
      <c r="AB2068" s="171">
        <v>96.69</v>
      </c>
      <c r="AC2068" s="171">
        <v>40.910000000000004</v>
      </c>
      <c r="AD2068" s="171">
        <v>36.97</v>
      </c>
      <c r="AF2068" s="171">
        <f t="shared" si="98"/>
        <v>2014</v>
      </c>
      <c r="AG2068" s="171">
        <f t="shared" si="99"/>
        <v>12</v>
      </c>
      <c r="AH2068" s="700">
        <f>SUMIF(D$3:$AA2068,"&lt;="&amp;$AH$1)/COUNTIF(D$3:$AA2068,"&lt;="&amp;$AH$1)</f>
        <v>31.346093663232015</v>
      </c>
    </row>
    <row r="2069" spans="2:34" x14ac:dyDescent="0.25">
      <c r="B2069" s="910">
        <v>41723</v>
      </c>
      <c r="C2069" s="581">
        <f t="shared" si="97"/>
        <v>3</v>
      </c>
      <c r="D2069" s="171">
        <v>37.300000000000004</v>
      </c>
      <c r="E2069" s="171">
        <v>36.950000000000003</v>
      </c>
      <c r="F2069" s="171">
        <v>33.299999999999997</v>
      </c>
      <c r="G2069" s="171">
        <v>30.650000000000002</v>
      </c>
      <c r="H2069" s="171">
        <v>31</v>
      </c>
      <c r="I2069" s="171">
        <v>35.520000000000003</v>
      </c>
      <c r="J2069" s="171">
        <v>42.44</v>
      </c>
      <c r="K2069" s="171">
        <v>45</v>
      </c>
      <c r="L2069" s="171">
        <v>49.47</v>
      </c>
      <c r="M2069" s="171">
        <v>49.99</v>
      </c>
      <c r="N2069" s="171">
        <v>44.94</v>
      </c>
      <c r="O2069" s="171">
        <v>42.44</v>
      </c>
      <c r="P2069" s="171">
        <v>40.08</v>
      </c>
      <c r="Q2069" s="171">
        <v>40.29</v>
      </c>
      <c r="R2069" s="171">
        <v>42</v>
      </c>
      <c r="S2069" s="171">
        <v>39.82</v>
      </c>
      <c r="T2069" s="171">
        <v>40.1</v>
      </c>
      <c r="U2069" s="171">
        <v>44.07</v>
      </c>
      <c r="V2069" s="171">
        <v>49.08</v>
      </c>
      <c r="W2069" s="171">
        <v>80.06</v>
      </c>
      <c r="X2069" s="171">
        <v>48.120000000000005</v>
      </c>
      <c r="Y2069" s="171">
        <v>43.42</v>
      </c>
      <c r="Z2069" s="171">
        <v>42.800000000000004</v>
      </c>
      <c r="AA2069" s="171">
        <v>44.99</v>
      </c>
      <c r="AB2069" s="171">
        <v>80.06</v>
      </c>
      <c r="AC2069" s="171">
        <v>39.82</v>
      </c>
      <c r="AD2069" s="171">
        <v>39.29</v>
      </c>
      <c r="AF2069" s="171">
        <f t="shared" si="98"/>
        <v>2014</v>
      </c>
      <c r="AG2069" s="171">
        <f t="shared" si="99"/>
        <v>13</v>
      </c>
      <c r="AH2069" s="700">
        <f>SUMIF(D$3:$AA2069,"&lt;="&amp;$AH$1)/COUNTIF(D$3:$AA2069,"&lt;="&amp;$AH$1)</f>
        <v>31.351296547472334</v>
      </c>
    </row>
    <row r="2070" spans="2:34" x14ac:dyDescent="0.25">
      <c r="B2070" s="910">
        <v>41724</v>
      </c>
      <c r="C2070" s="581">
        <f t="shared" si="97"/>
        <v>3</v>
      </c>
      <c r="D2070" s="171">
        <v>39.53</v>
      </c>
      <c r="E2070" s="171">
        <v>37</v>
      </c>
      <c r="F2070" s="171">
        <v>36.68</v>
      </c>
      <c r="G2070" s="171">
        <v>32.22</v>
      </c>
      <c r="H2070" s="171">
        <v>31.13</v>
      </c>
      <c r="I2070" s="171">
        <v>34.68</v>
      </c>
      <c r="J2070" s="171">
        <v>44.49</v>
      </c>
      <c r="K2070" s="171">
        <v>48.93</v>
      </c>
      <c r="L2070" s="171">
        <v>52.06</v>
      </c>
      <c r="M2070" s="171">
        <v>52.07</v>
      </c>
      <c r="N2070" s="171">
        <v>54.01</v>
      </c>
      <c r="O2070" s="171">
        <v>48.32</v>
      </c>
      <c r="P2070" s="171">
        <v>47</v>
      </c>
      <c r="Q2070" s="171">
        <v>43.52</v>
      </c>
      <c r="R2070" s="171">
        <v>41.95</v>
      </c>
      <c r="S2070" s="171">
        <v>41.09</v>
      </c>
      <c r="T2070" s="171">
        <v>40.24</v>
      </c>
      <c r="U2070" s="171">
        <v>42.24</v>
      </c>
      <c r="V2070" s="171">
        <v>48.68</v>
      </c>
      <c r="W2070" s="171">
        <v>80</v>
      </c>
      <c r="X2070" s="171">
        <v>46.5</v>
      </c>
      <c r="Y2070" s="171">
        <v>42.37</v>
      </c>
      <c r="Z2070" s="171">
        <v>43.59</v>
      </c>
      <c r="AA2070" s="171">
        <v>42.44</v>
      </c>
      <c r="AB2070" s="171">
        <v>80</v>
      </c>
      <c r="AC2070" s="171">
        <v>40.24</v>
      </c>
      <c r="AD2070" s="171">
        <v>39.96</v>
      </c>
      <c r="AF2070" s="171">
        <f t="shared" si="98"/>
        <v>2014</v>
      </c>
      <c r="AG2070" s="171">
        <f t="shared" si="99"/>
        <v>12</v>
      </c>
      <c r="AH2070" s="700">
        <f>SUMIF(D$3:$AA2070,"&lt;="&amp;$AH$1)/COUNTIF(D$3:$AA2070,"&lt;="&amp;$AH$1)</f>
        <v>31.356554953178982</v>
      </c>
    </row>
    <row r="2071" spans="2:34" x14ac:dyDescent="0.25">
      <c r="B2071" s="910">
        <v>41725</v>
      </c>
      <c r="C2071" s="581">
        <f t="shared" si="97"/>
        <v>3</v>
      </c>
      <c r="D2071" s="171">
        <v>41.11</v>
      </c>
      <c r="E2071" s="171">
        <v>39.94</v>
      </c>
      <c r="F2071" s="171">
        <v>37.730000000000004</v>
      </c>
      <c r="G2071" s="171">
        <v>35.020000000000003</v>
      </c>
      <c r="H2071" s="171">
        <v>34.24</v>
      </c>
      <c r="I2071" s="171">
        <v>33.700000000000003</v>
      </c>
      <c r="J2071" s="171">
        <v>34.99</v>
      </c>
      <c r="K2071" s="171">
        <v>40.57</v>
      </c>
      <c r="L2071" s="171">
        <v>44.94</v>
      </c>
      <c r="M2071" s="171">
        <v>42.44</v>
      </c>
      <c r="N2071" s="171">
        <v>40.9</v>
      </c>
      <c r="O2071" s="171">
        <v>40.619999999999997</v>
      </c>
      <c r="P2071" s="171">
        <v>40.85</v>
      </c>
      <c r="Q2071" s="171">
        <v>40.85</v>
      </c>
      <c r="R2071" s="171">
        <v>40.85</v>
      </c>
      <c r="S2071" s="171">
        <v>40.85</v>
      </c>
      <c r="T2071" s="171">
        <v>40.9</v>
      </c>
      <c r="U2071" s="171">
        <v>42.44</v>
      </c>
      <c r="V2071" s="171">
        <v>47.04</v>
      </c>
      <c r="W2071" s="171">
        <v>81.510000000000005</v>
      </c>
      <c r="X2071" s="171">
        <v>50.42</v>
      </c>
      <c r="Y2071" s="171">
        <v>44.68</v>
      </c>
      <c r="Z2071" s="171">
        <v>44.94</v>
      </c>
      <c r="AA2071" s="171">
        <v>40.53</v>
      </c>
      <c r="AB2071" s="171">
        <v>81.510000000000005</v>
      </c>
      <c r="AC2071" s="171">
        <v>40.57</v>
      </c>
      <c r="AD2071" s="171">
        <v>39.82</v>
      </c>
      <c r="AF2071" s="171">
        <f t="shared" si="98"/>
        <v>2014</v>
      </c>
      <c r="AG2071" s="171">
        <f t="shared" si="99"/>
        <v>18</v>
      </c>
      <c r="AH2071" s="700">
        <f>SUMIF(D$3:$AA2071,"&lt;="&amp;$AH$1)/COUNTIF(D$3:$AA2071,"&lt;="&amp;$AH$1)</f>
        <v>31.365423384615461</v>
      </c>
    </row>
    <row r="2072" spans="2:34" x14ac:dyDescent="0.25">
      <c r="B2072" s="910">
        <v>41726</v>
      </c>
      <c r="C2072" s="581">
        <f t="shared" si="97"/>
        <v>3</v>
      </c>
      <c r="D2072" s="171">
        <v>40</v>
      </c>
      <c r="E2072" s="171">
        <v>34.020000000000003</v>
      </c>
      <c r="F2072" s="171">
        <v>33.97</v>
      </c>
      <c r="G2072" s="171">
        <v>32.81</v>
      </c>
      <c r="H2072" s="171">
        <v>34.020000000000003</v>
      </c>
      <c r="I2072" s="171">
        <v>35.17</v>
      </c>
      <c r="J2072" s="171">
        <v>43.47</v>
      </c>
      <c r="K2072" s="171">
        <v>49.050000000000004</v>
      </c>
      <c r="L2072" s="171">
        <v>58.1</v>
      </c>
      <c r="M2072" s="171">
        <v>57.39</v>
      </c>
      <c r="N2072" s="171">
        <v>47.4</v>
      </c>
      <c r="O2072" s="171">
        <v>45</v>
      </c>
      <c r="P2072" s="171">
        <v>42.06</v>
      </c>
      <c r="Q2072" s="171">
        <v>40.590000000000003</v>
      </c>
      <c r="R2072" s="171">
        <v>40.81</v>
      </c>
      <c r="S2072" s="171">
        <v>39.99</v>
      </c>
      <c r="T2072" s="171">
        <v>40</v>
      </c>
      <c r="U2072" s="171">
        <v>43</v>
      </c>
      <c r="V2072" s="171">
        <v>44.29</v>
      </c>
      <c r="W2072" s="171">
        <v>70</v>
      </c>
      <c r="X2072" s="171">
        <v>45</v>
      </c>
      <c r="Y2072" s="171">
        <v>42.44</v>
      </c>
      <c r="Z2072" s="171">
        <v>42.44</v>
      </c>
      <c r="AA2072" s="171">
        <v>40.06</v>
      </c>
      <c r="AB2072" s="171">
        <v>70</v>
      </c>
      <c r="AC2072" s="171">
        <v>39.99</v>
      </c>
      <c r="AD2072" s="171">
        <v>39.369999999999997</v>
      </c>
      <c r="AF2072" s="171">
        <f t="shared" si="98"/>
        <v>2014</v>
      </c>
      <c r="AG2072" s="171">
        <f t="shared" si="99"/>
        <v>14</v>
      </c>
      <c r="AH2072" s="700">
        <f>SUMIF(D$3:$AA2072,"&lt;="&amp;$AH$1)/COUNTIF(D$3:$AA2072,"&lt;="&amp;$AH$1)</f>
        <v>31.371526684702484</v>
      </c>
    </row>
    <row r="2073" spans="2:34" x14ac:dyDescent="0.25">
      <c r="B2073" s="910">
        <v>41729</v>
      </c>
      <c r="C2073" s="581">
        <f t="shared" si="97"/>
        <v>3</v>
      </c>
      <c r="D2073" s="171">
        <v>30.91</v>
      </c>
      <c r="E2073" s="171">
        <v>32.46</v>
      </c>
      <c r="F2073" s="171">
        <v>31.28</v>
      </c>
      <c r="G2073" s="171">
        <v>32.200000000000003</v>
      </c>
      <c r="H2073" s="171">
        <v>35.770000000000003</v>
      </c>
      <c r="I2073" s="171">
        <v>28.14</v>
      </c>
      <c r="J2073" s="171">
        <v>40.69</v>
      </c>
      <c r="K2073" s="171">
        <v>49.36</v>
      </c>
      <c r="L2073" s="171">
        <v>55.47</v>
      </c>
      <c r="M2073" s="171">
        <v>56.01</v>
      </c>
      <c r="N2073" s="171">
        <v>48.33</v>
      </c>
      <c r="O2073" s="171">
        <v>46.08</v>
      </c>
      <c r="P2073" s="171">
        <v>46.7</v>
      </c>
      <c r="Q2073" s="171">
        <v>43.730000000000004</v>
      </c>
      <c r="R2073" s="171">
        <v>41.79</v>
      </c>
      <c r="S2073" s="171">
        <v>40</v>
      </c>
      <c r="T2073" s="171">
        <v>42.22</v>
      </c>
      <c r="U2073" s="171">
        <v>43.22</v>
      </c>
      <c r="V2073" s="171">
        <v>40.47</v>
      </c>
      <c r="W2073" s="171">
        <v>48.47</v>
      </c>
      <c r="X2073" s="171">
        <v>54.61</v>
      </c>
      <c r="Y2073" s="171">
        <v>50</v>
      </c>
      <c r="Z2073" s="171">
        <v>44.94</v>
      </c>
      <c r="AA2073" s="171">
        <v>44</v>
      </c>
      <c r="AB2073" s="171">
        <v>56.01</v>
      </c>
      <c r="AC2073" s="171">
        <v>40</v>
      </c>
      <c r="AD2073" s="171">
        <v>39.53</v>
      </c>
      <c r="AF2073" s="171">
        <f t="shared" si="98"/>
        <v>2014</v>
      </c>
      <c r="AG2073" s="171">
        <f t="shared" si="99"/>
        <v>11</v>
      </c>
      <c r="AH2073" s="700">
        <f>SUMIF(D$3:$AA2073,"&lt;="&amp;$AH$1)/COUNTIF(D$3:$AA2073,"&lt;="&amp;$AH$1)</f>
        <v>31.374650691244316</v>
      </c>
    </row>
    <row r="2074" spans="2:34" x14ac:dyDescent="0.25">
      <c r="B2074" s="910">
        <v>41730</v>
      </c>
      <c r="C2074" s="581">
        <f t="shared" si="97"/>
        <v>4</v>
      </c>
      <c r="D2074" s="171">
        <v>45.980000000000004</v>
      </c>
      <c r="E2074" s="171">
        <v>43.64</v>
      </c>
      <c r="F2074" s="171">
        <v>41.06</v>
      </c>
      <c r="G2074" s="171">
        <v>40.5</v>
      </c>
      <c r="H2074" s="171">
        <v>36.26</v>
      </c>
      <c r="I2074" s="171">
        <v>42.9</v>
      </c>
      <c r="J2074" s="171">
        <v>45.35</v>
      </c>
      <c r="K2074" s="171">
        <v>57.44</v>
      </c>
      <c r="L2074" s="171">
        <v>62.190000000000005</v>
      </c>
      <c r="M2074" s="171">
        <v>57.89</v>
      </c>
      <c r="N2074" s="171">
        <v>47.29</v>
      </c>
      <c r="O2074" s="171">
        <v>46.64</v>
      </c>
      <c r="P2074" s="171">
        <v>37.770000000000003</v>
      </c>
      <c r="Q2074" s="171">
        <v>40</v>
      </c>
      <c r="R2074" s="171">
        <v>39.96</v>
      </c>
      <c r="S2074" s="171">
        <v>38.76</v>
      </c>
      <c r="T2074" s="171">
        <v>39.96</v>
      </c>
      <c r="U2074" s="171">
        <v>42.11</v>
      </c>
      <c r="V2074" s="171">
        <v>44.980000000000004</v>
      </c>
      <c r="W2074" s="171">
        <v>50.120000000000005</v>
      </c>
      <c r="X2074" s="171">
        <v>45</v>
      </c>
      <c r="Y2074" s="171">
        <v>47</v>
      </c>
      <c r="Z2074" s="171">
        <v>42.12</v>
      </c>
      <c r="AA2074" s="171">
        <v>41.28</v>
      </c>
      <c r="AB2074" s="171">
        <v>62.190000000000005</v>
      </c>
      <c r="AC2074" s="171">
        <v>37.770000000000003</v>
      </c>
      <c r="AD2074" s="171">
        <v>44.04</v>
      </c>
      <c r="AF2074" s="171">
        <f t="shared" si="98"/>
        <v>2014</v>
      </c>
      <c r="AG2074" s="171">
        <f t="shared" si="99"/>
        <v>11</v>
      </c>
      <c r="AH2074" s="700">
        <f>SUMIF(D$3:$AA2074,"&lt;="&amp;$AH$1)/COUNTIF(D$3:$AA2074,"&lt;="&amp;$AH$1)</f>
        <v>31.380462974333863</v>
      </c>
    </row>
    <row r="2075" spans="2:34" x14ac:dyDescent="0.25">
      <c r="B2075" s="910">
        <v>41731</v>
      </c>
      <c r="C2075" s="581">
        <f t="shared" si="97"/>
        <v>4</v>
      </c>
      <c r="D2075" s="171">
        <v>44.44</v>
      </c>
      <c r="E2075" s="171">
        <v>37.69</v>
      </c>
      <c r="F2075" s="171">
        <v>37.53</v>
      </c>
      <c r="G2075" s="171">
        <v>37.53</v>
      </c>
      <c r="H2075" s="171">
        <v>37.75</v>
      </c>
      <c r="I2075" s="171">
        <v>36.93</v>
      </c>
      <c r="J2075" s="171">
        <v>42.36</v>
      </c>
      <c r="K2075" s="171">
        <v>49.22</v>
      </c>
      <c r="L2075" s="171">
        <v>62.17</v>
      </c>
      <c r="M2075" s="171">
        <v>54.35</v>
      </c>
      <c r="N2075" s="171">
        <v>48</v>
      </c>
      <c r="O2075" s="171">
        <v>45</v>
      </c>
      <c r="P2075" s="171">
        <v>45</v>
      </c>
      <c r="Q2075" s="171">
        <v>44</v>
      </c>
      <c r="R2075" s="171">
        <v>42.12</v>
      </c>
      <c r="S2075" s="171">
        <v>41.19</v>
      </c>
      <c r="T2075" s="171">
        <v>44</v>
      </c>
      <c r="U2075" s="171">
        <v>47.44</v>
      </c>
      <c r="V2075" s="171">
        <v>44.94</v>
      </c>
      <c r="W2075" s="171">
        <v>52.92</v>
      </c>
      <c r="X2075" s="171">
        <v>58.31</v>
      </c>
      <c r="Y2075" s="171">
        <v>53.120000000000005</v>
      </c>
      <c r="Z2075" s="171">
        <v>44.94</v>
      </c>
      <c r="AA2075" s="171">
        <v>40.980000000000004</v>
      </c>
      <c r="AB2075" s="171">
        <v>62.17</v>
      </c>
      <c r="AC2075" s="171">
        <v>41.19</v>
      </c>
      <c r="AD2075" s="171">
        <v>43.4</v>
      </c>
      <c r="AF2075" s="171">
        <f t="shared" si="98"/>
        <v>2014</v>
      </c>
      <c r="AG2075" s="171">
        <f t="shared" si="99"/>
        <v>9</v>
      </c>
      <c r="AH2075" s="700">
        <f>SUMIF(D$3:$AA2075,"&lt;="&amp;$AH$1)/COUNTIF(D$3:$AA2075,"&lt;="&amp;$AH$1)</f>
        <v>31.384860386621746</v>
      </c>
    </row>
    <row r="2076" spans="2:34" x14ac:dyDescent="0.25">
      <c r="B2076" s="910">
        <v>41732</v>
      </c>
      <c r="C2076" s="581">
        <f t="shared" si="97"/>
        <v>4</v>
      </c>
      <c r="D2076" s="171">
        <v>34.07</v>
      </c>
      <c r="E2076" s="171">
        <v>31.27</v>
      </c>
      <c r="F2076" s="171">
        <v>31.27</v>
      </c>
      <c r="G2076" s="171">
        <v>32.81</v>
      </c>
      <c r="H2076" s="171">
        <v>28.3</v>
      </c>
      <c r="I2076" s="171">
        <v>29.55</v>
      </c>
      <c r="J2076" s="171">
        <v>38.64</v>
      </c>
      <c r="K2076" s="171">
        <v>46.99</v>
      </c>
      <c r="L2076" s="171">
        <v>52.09</v>
      </c>
      <c r="M2076" s="171">
        <v>49.94</v>
      </c>
      <c r="N2076" s="171">
        <v>50</v>
      </c>
      <c r="O2076" s="171">
        <v>50.660000000000004</v>
      </c>
      <c r="P2076" s="171">
        <v>47.44</v>
      </c>
      <c r="Q2076" s="171">
        <v>47</v>
      </c>
      <c r="R2076" s="171">
        <v>44.94</v>
      </c>
      <c r="S2076" s="171">
        <v>44.42</v>
      </c>
      <c r="T2076" s="171">
        <v>45</v>
      </c>
      <c r="U2076" s="171">
        <v>50</v>
      </c>
      <c r="V2076" s="171">
        <v>45</v>
      </c>
      <c r="W2076" s="171">
        <v>44.94</v>
      </c>
      <c r="X2076" s="171">
        <v>50</v>
      </c>
      <c r="Y2076" s="171">
        <v>47.44</v>
      </c>
      <c r="Z2076" s="171">
        <v>44.96</v>
      </c>
      <c r="AA2076" s="171">
        <v>37.99</v>
      </c>
      <c r="AB2076" s="171">
        <v>52.09</v>
      </c>
      <c r="AC2076" s="171">
        <v>44.42</v>
      </c>
      <c r="AD2076" s="171">
        <v>37.770000000000003</v>
      </c>
      <c r="AF2076" s="171">
        <f t="shared" si="98"/>
        <v>2014</v>
      </c>
      <c r="AG2076" s="171">
        <f t="shared" si="99"/>
        <v>8</v>
      </c>
      <c r="AH2076" s="700">
        <f>SUMIF(D$3:$AA2076,"&lt;="&amp;$AH$1)/COUNTIF(D$3:$AA2076,"&lt;="&amp;$AH$1)</f>
        <v>31.385646813469997</v>
      </c>
    </row>
    <row r="2077" spans="2:34" x14ac:dyDescent="0.25">
      <c r="B2077" s="910">
        <v>41733</v>
      </c>
      <c r="C2077" s="581">
        <f t="shared" si="97"/>
        <v>4</v>
      </c>
      <c r="D2077" s="171">
        <v>37.230000000000004</v>
      </c>
      <c r="E2077" s="171">
        <v>34.369999999999997</v>
      </c>
      <c r="F2077" s="171">
        <v>34.24</v>
      </c>
      <c r="G2077" s="171">
        <v>30.51</v>
      </c>
      <c r="H2077" s="171">
        <v>30.51</v>
      </c>
      <c r="I2077" s="171">
        <v>31.400000000000002</v>
      </c>
      <c r="J2077" s="171">
        <v>37.770000000000003</v>
      </c>
      <c r="K2077" s="171">
        <v>46.07</v>
      </c>
      <c r="L2077" s="171">
        <v>51.910000000000004</v>
      </c>
      <c r="M2077" s="171">
        <v>56.15</v>
      </c>
      <c r="N2077" s="171">
        <v>61.910000000000004</v>
      </c>
      <c r="O2077" s="171">
        <v>60.72</v>
      </c>
      <c r="P2077" s="171">
        <v>52.44</v>
      </c>
      <c r="Q2077" s="171">
        <v>47.44</v>
      </c>
      <c r="R2077" s="171">
        <v>44.94</v>
      </c>
      <c r="S2077" s="171">
        <v>40</v>
      </c>
      <c r="T2077" s="171">
        <v>40</v>
      </c>
      <c r="U2077" s="171">
        <v>40</v>
      </c>
      <c r="V2077" s="171">
        <v>39.94</v>
      </c>
      <c r="W2077" s="171">
        <v>40.99</v>
      </c>
      <c r="X2077" s="171">
        <v>41.76</v>
      </c>
      <c r="Y2077" s="171">
        <v>38.72</v>
      </c>
      <c r="Z2077" s="171">
        <v>36.82</v>
      </c>
      <c r="AA2077" s="171">
        <v>43</v>
      </c>
      <c r="AB2077" s="171">
        <v>61.910000000000004</v>
      </c>
      <c r="AC2077" s="171">
        <v>36.82</v>
      </c>
      <c r="AD2077" s="171">
        <v>36.869999999999997</v>
      </c>
      <c r="AF2077" s="171">
        <f t="shared" si="98"/>
        <v>2014</v>
      </c>
      <c r="AG2077" s="171">
        <f t="shared" si="99"/>
        <v>15</v>
      </c>
      <c r="AH2077" s="700">
        <f>SUMIF(D$3:$AA2077,"&lt;="&amp;$AH$1)/COUNTIF(D$3:$AA2077,"&lt;="&amp;$AH$1)</f>
        <v>31.390762348327083</v>
      </c>
    </row>
    <row r="2078" spans="2:34" x14ac:dyDescent="0.25">
      <c r="B2078" s="910">
        <v>41736</v>
      </c>
      <c r="C2078" s="581">
        <f t="shared" si="97"/>
        <v>4</v>
      </c>
      <c r="D2078" s="171">
        <v>29.88</v>
      </c>
      <c r="E2078" s="171">
        <v>27.73</v>
      </c>
      <c r="F2078" s="171">
        <v>28.85</v>
      </c>
      <c r="G2078" s="171">
        <v>29.85</v>
      </c>
      <c r="H2078" s="171">
        <v>29.75</v>
      </c>
      <c r="I2078" s="171">
        <v>29.990000000000002</v>
      </c>
      <c r="J2078" s="171">
        <v>41</v>
      </c>
      <c r="K2078" s="171">
        <v>49.94</v>
      </c>
      <c r="L2078" s="171">
        <v>53.050000000000004</v>
      </c>
      <c r="M2078" s="171">
        <v>51.06</v>
      </c>
      <c r="N2078" s="171">
        <v>47.45</v>
      </c>
      <c r="O2078" s="171">
        <v>44.61</v>
      </c>
      <c r="P2078" s="171">
        <v>38.94</v>
      </c>
      <c r="Q2078" s="171">
        <v>37.090000000000003</v>
      </c>
      <c r="R2078" s="171">
        <v>36.160000000000004</v>
      </c>
      <c r="S2078" s="171">
        <v>36.26</v>
      </c>
      <c r="T2078" s="171">
        <v>36.31</v>
      </c>
      <c r="U2078" s="171">
        <v>39.119999999999997</v>
      </c>
      <c r="V2078" s="171">
        <v>45.31</v>
      </c>
      <c r="W2078" s="171">
        <v>46.99</v>
      </c>
      <c r="X2078" s="171">
        <v>48.75</v>
      </c>
      <c r="Y2078" s="171">
        <v>38.58</v>
      </c>
      <c r="Z2078" s="171">
        <v>33.97</v>
      </c>
      <c r="AA2078" s="171">
        <v>30.07</v>
      </c>
      <c r="AB2078" s="171">
        <v>53.050000000000004</v>
      </c>
      <c r="AC2078" s="171">
        <v>33.97</v>
      </c>
      <c r="AD2078" s="171">
        <v>34.86</v>
      </c>
      <c r="AF2078" s="171">
        <f t="shared" si="98"/>
        <v>2014</v>
      </c>
      <c r="AG2078" s="171">
        <f t="shared" si="99"/>
        <v>16</v>
      </c>
      <c r="AH2078" s="700">
        <f>SUMIF(D$3:$AA2078,"&lt;="&amp;$AH$1)/COUNTIF(D$3:$AA2078,"&lt;="&amp;$AH$1)</f>
        <v>31.39329068201306</v>
      </c>
    </row>
    <row r="2079" spans="2:34" x14ac:dyDescent="0.25">
      <c r="B2079" s="910">
        <v>41737</v>
      </c>
      <c r="C2079" s="581">
        <f t="shared" si="97"/>
        <v>4</v>
      </c>
      <c r="D2079" s="171">
        <v>28.01</v>
      </c>
      <c r="E2079" s="171">
        <v>28.01</v>
      </c>
      <c r="F2079" s="171">
        <v>21.92</v>
      </c>
      <c r="G2079" s="171">
        <v>21.44</v>
      </c>
      <c r="H2079" s="171">
        <v>22.69</v>
      </c>
      <c r="I2079" s="171">
        <v>24.02</v>
      </c>
      <c r="J2079" s="171">
        <v>31.84</v>
      </c>
      <c r="K2079" s="171">
        <v>38.99</v>
      </c>
      <c r="L2079" s="171">
        <v>43.96</v>
      </c>
      <c r="M2079" s="171">
        <v>45.800000000000004</v>
      </c>
      <c r="N2079" s="171">
        <v>48.410000000000004</v>
      </c>
      <c r="O2079" s="171">
        <v>53.7</v>
      </c>
      <c r="P2079" s="171">
        <v>43.88</v>
      </c>
      <c r="Q2079" s="171">
        <v>44.6</v>
      </c>
      <c r="R2079" s="171">
        <v>45</v>
      </c>
      <c r="S2079" s="171">
        <v>40.42</v>
      </c>
      <c r="T2079" s="171">
        <v>39.94</v>
      </c>
      <c r="U2079" s="171">
        <v>44.46</v>
      </c>
      <c r="V2079" s="171">
        <v>39.94</v>
      </c>
      <c r="W2079" s="171">
        <v>39.96</v>
      </c>
      <c r="X2079" s="171">
        <v>52</v>
      </c>
      <c r="Y2079" s="171">
        <v>51</v>
      </c>
      <c r="Z2079" s="171">
        <v>48</v>
      </c>
      <c r="AA2079" s="171">
        <v>37.44</v>
      </c>
      <c r="AB2079" s="171">
        <v>53.7</v>
      </c>
      <c r="AC2079" s="171">
        <v>38.99</v>
      </c>
      <c r="AD2079" s="171">
        <v>33.78</v>
      </c>
      <c r="AF2079" s="171">
        <f t="shared" si="98"/>
        <v>2014</v>
      </c>
      <c r="AG2079" s="171">
        <f t="shared" si="99"/>
        <v>13</v>
      </c>
      <c r="AH2079" s="700">
        <f>SUMIF(D$3:$AA2079,"&lt;="&amp;$AH$1)/COUNTIF(D$3:$AA2079,"&lt;="&amp;$AH$1)</f>
        <v>31.393688750229483</v>
      </c>
    </row>
    <row r="2080" spans="2:34" x14ac:dyDescent="0.25">
      <c r="B2080" s="910">
        <v>41738</v>
      </c>
      <c r="C2080" s="581">
        <f t="shared" si="97"/>
        <v>4</v>
      </c>
      <c r="D2080" s="171">
        <v>40.35</v>
      </c>
      <c r="E2080" s="171">
        <v>37.770000000000003</v>
      </c>
      <c r="F2080" s="171">
        <v>35.97</v>
      </c>
      <c r="G2080" s="171">
        <v>35.74</v>
      </c>
      <c r="H2080" s="171">
        <v>37.06</v>
      </c>
      <c r="I2080" s="171">
        <v>37.5</v>
      </c>
      <c r="J2080" s="171">
        <v>40.42</v>
      </c>
      <c r="K2080" s="171">
        <v>48.620000000000005</v>
      </c>
      <c r="L2080" s="171">
        <v>52.980000000000004</v>
      </c>
      <c r="M2080" s="171">
        <v>56.68</v>
      </c>
      <c r="N2080" s="171">
        <v>52.44</v>
      </c>
      <c r="O2080" s="171">
        <v>47.12</v>
      </c>
      <c r="P2080" s="171">
        <v>44</v>
      </c>
      <c r="Q2080" s="171">
        <v>44.800000000000004</v>
      </c>
      <c r="R2080" s="171">
        <v>41.22</v>
      </c>
      <c r="S2080" s="171">
        <v>42.980000000000004</v>
      </c>
      <c r="T2080" s="171">
        <v>42.99</v>
      </c>
      <c r="U2080" s="171">
        <v>45.87</v>
      </c>
      <c r="V2080" s="171">
        <v>44</v>
      </c>
      <c r="W2080" s="171">
        <v>42.44</v>
      </c>
      <c r="X2080" s="171">
        <v>54.25</v>
      </c>
      <c r="Y2080" s="171">
        <v>42.44</v>
      </c>
      <c r="Z2080" s="171">
        <v>42.44</v>
      </c>
      <c r="AA2080" s="171">
        <v>41.81</v>
      </c>
      <c r="AB2080" s="171">
        <v>56.68</v>
      </c>
      <c r="AC2080" s="171">
        <v>41.22</v>
      </c>
      <c r="AD2080" s="171">
        <v>41.2</v>
      </c>
      <c r="AF2080" s="171">
        <f t="shared" si="98"/>
        <v>2014</v>
      </c>
      <c r="AG2080" s="171">
        <f t="shared" si="99"/>
        <v>12</v>
      </c>
      <c r="AH2080" s="700">
        <f>SUMIF(D$3:$AA2080,"&lt;="&amp;$AH$1)/COUNTIF(D$3:$AA2080,"&lt;="&amp;$AH$1)</f>
        <v>31.399705972247769</v>
      </c>
    </row>
    <row r="2081" spans="2:34" x14ac:dyDescent="0.25">
      <c r="B2081" s="910">
        <v>41739</v>
      </c>
      <c r="C2081" s="581">
        <f t="shared" si="97"/>
        <v>4</v>
      </c>
      <c r="D2081" s="171">
        <v>45.89</v>
      </c>
      <c r="E2081" s="171">
        <v>39.75</v>
      </c>
      <c r="F2081" s="171">
        <v>38.450000000000003</v>
      </c>
      <c r="G2081" s="171">
        <v>38.35</v>
      </c>
      <c r="H2081" s="171">
        <v>38.35</v>
      </c>
      <c r="I2081" s="171">
        <v>38.44</v>
      </c>
      <c r="J2081" s="171">
        <v>39.94</v>
      </c>
      <c r="K2081" s="171">
        <v>47.93</v>
      </c>
      <c r="L2081" s="171">
        <v>63.980000000000004</v>
      </c>
      <c r="M2081" s="171">
        <v>60.89</v>
      </c>
      <c r="N2081" s="171">
        <v>54.910000000000004</v>
      </c>
      <c r="O2081" s="171">
        <v>50.22</v>
      </c>
      <c r="P2081" s="171">
        <v>45</v>
      </c>
      <c r="Q2081" s="171">
        <v>44.94</v>
      </c>
      <c r="R2081" s="171">
        <v>44.94</v>
      </c>
      <c r="S2081" s="171">
        <v>43.01</v>
      </c>
      <c r="T2081" s="171">
        <v>42.64</v>
      </c>
      <c r="U2081" s="171">
        <v>40.07</v>
      </c>
      <c r="V2081" s="171">
        <v>42.44</v>
      </c>
      <c r="W2081" s="171">
        <v>49.03</v>
      </c>
      <c r="X2081" s="171">
        <v>50</v>
      </c>
      <c r="Y2081" s="171">
        <v>48</v>
      </c>
      <c r="Z2081" s="171">
        <v>42</v>
      </c>
      <c r="AA2081" s="171">
        <v>39.78</v>
      </c>
      <c r="AB2081" s="171">
        <v>63.980000000000004</v>
      </c>
      <c r="AC2081" s="171">
        <v>40.07</v>
      </c>
      <c r="AD2081" s="171">
        <v>42.24</v>
      </c>
      <c r="AF2081" s="171">
        <f t="shared" si="98"/>
        <v>2014</v>
      </c>
      <c r="AG2081" s="171">
        <f t="shared" si="99"/>
        <v>10</v>
      </c>
      <c r="AH2081" s="700">
        <f>SUMIF(D$3:$AA2081,"&lt;="&amp;$AH$1)/COUNTIF(D$3:$AA2081,"&lt;="&amp;$AH$1)</f>
        <v>31.404811533997268</v>
      </c>
    </row>
    <row r="2082" spans="2:34" x14ac:dyDescent="0.25">
      <c r="B2082" s="910">
        <v>41740</v>
      </c>
      <c r="C2082" s="581">
        <f t="shared" si="97"/>
        <v>4</v>
      </c>
      <c r="D2082" s="171">
        <v>36.79</v>
      </c>
      <c r="E2082" s="171">
        <v>34.94</v>
      </c>
      <c r="F2082" s="171">
        <v>32.1</v>
      </c>
      <c r="G2082" s="171">
        <v>30.810000000000002</v>
      </c>
      <c r="H2082" s="171">
        <v>32.1</v>
      </c>
      <c r="I2082" s="171">
        <v>36.79</v>
      </c>
      <c r="J2082" s="171">
        <v>40.86</v>
      </c>
      <c r="K2082" s="171">
        <v>49.03</v>
      </c>
      <c r="L2082" s="171">
        <v>67.070000000000007</v>
      </c>
      <c r="M2082" s="171">
        <v>61.56</v>
      </c>
      <c r="N2082" s="171">
        <v>53.52</v>
      </c>
      <c r="O2082" s="171">
        <v>52.44</v>
      </c>
      <c r="P2082" s="171">
        <v>49.94</v>
      </c>
      <c r="Q2082" s="171">
        <v>50</v>
      </c>
      <c r="R2082" s="171">
        <v>42.86</v>
      </c>
      <c r="S2082" s="171">
        <v>39.99</v>
      </c>
      <c r="T2082" s="171">
        <v>38</v>
      </c>
      <c r="U2082" s="171">
        <v>39.94</v>
      </c>
      <c r="V2082" s="171">
        <v>39.94</v>
      </c>
      <c r="W2082" s="171">
        <v>44.44</v>
      </c>
      <c r="X2082" s="171">
        <v>42.910000000000004</v>
      </c>
      <c r="Y2082" s="171">
        <v>42.44</v>
      </c>
      <c r="Z2082" s="171">
        <v>45</v>
      </c>
      <c r="AA2082" s="171">
        <v>42.02</v>
      </c>
      <c r="AB2082" s="171">
        <v>67.070000000000007</v>
      </c>
      <c r="AC2082" s="171">
        <v>38</v>
      </c>
      <c r="AD2082" s="171">
        <v>38.82</v>
      </c>
      <c r="AF2082" s="171">
        <f t="shared" si="98"/>
        <v>2014</v>
      </c>
      <c r="AG2082" s="171">
        <f t="shared" si="99"/>
        <v>13</v>
      </c>
      <c r="AH2082" s="700">
        <f>SUMIF(D$3:$AA2082,"&lt;="&amp;$AH$1)/COUNTIF(D$3:$AA2082,"&lt;="&amp;$AH$1)</f>
        <v>31.40960078134545</v>
      </c>
    </row>
    <row r="2083" spans="2:34" x14ac:dyDescent="0.25">
      <c r="B2083" s="910">
        <v>41743</v>
      </c>
      <c r="C2083" s="581">
        <f t="shared" si="97"/>
        <v>4</v>
      </c>
      <c r="D2083" s="171">
        <v>20.12</v>
      </c>
      <c r="E2083" s="171">
        <v>14.94</v>
      </c>
      <c r="F2083" s="171">
        <v>14.92</v>
      </c>
      <c r="G2083" s="171">
        <v>15.780000000000001</v>
      </c>
      <c r="H2083" s="171">
        <v>19.96</v>
      </c>
      <c r="I2083" s="171">
        <v>22.54</v>
      </c>
      <c r="J2083" s="171">
        <v>37.14</v>
      </c>
      <c r="K2083" s="171">
        <v>43.2</v>
      </c>
      <c r="L2083" s="171">
        <v>43</v>
      </c>
      <c r="M2083" s="171">
        <v>48.65</v>
      </c>
      <c r="N2083" s="171">
        <v>48.660000000000004</v>
      </c>
      <c r="O2083" s="171">
        <v>46.67</v>
      </c>
      <c r="P2083" s="171">
        <v>42.9</v>
      </c>
      <c r="Q2083" s="171">
        <v>42.44</v>
      </c>
      <c r="R2083" s="171">
        <v>45</v>
      </c>
      <c r="S2083" s="171">
        <v>44.96</v>
      </c>
      <c r="T2083" s="171">
        <v>44.96</v>
      </c>
      <c r="U2083" s="171">
        <v>55.74</v>
      </c>
      <c r="V2083" s="171">
        <v>48</v>
      </c>
      <c r="W2083" s="171">
        <v>48</v>
      </c>
      <c r="X2083" s="171">
        <v>50</v>
      </c>
      <c r="Y2083" s="171">
        <v>55</v>
      </c>
      <c r="Z2083" s="171">
        <v>49.04</v>
      </c>
      <c r="AA2083" s="171">
        <v>42.44</v>
      </c>
      <c r="AB2083" s="171">
        <v>55.74</v>
      </c>
      <c r="AC2083" s="171">
        <v>42.44</v>
      </c>
      <c r="AD2083" s="171">
        <v>32.090000000000003</v>
      </c>
      <c r="AF2083" s="171">
        <f t="shared" si="98"/>
        <v>2014</v>
      </c>
      <c r="AG2083" s="171">
        <f t="shared" si="99"/>
        <v>9</v>
      </c>
      <c r="AH2083" s="700">
        <f>SUMIF(D$3:$AA2083,"&lt;="&amp;$AH$1)/COUNTIF(D$3:$AA2083,"&lt;="&amp;$AH$1)</f>
        <v>31.406403514123678</v>
      </c>
    </row>
    <row r="2084" spans="2:34" x14ac:dyDescent="0.25">
      <c r="B2084" s="910">
        <v>41744</v>
      </c>
      <c r="C2084" s="581">
        <f t="shared" si="97"/>
        <v>4</v>
      </c>
      <c r="D2084" s="171">
        <v>38.11</v>
      </c>
      <c r="E2084" s="171">
        <v>36.22</v>
      </c>
      <c r="F2084" s="171">
        <v>34.31</v>
      </c>
      <c r="G2084" s="171">
        <v>30</v>
      </c>
      <c r="H2084" s="171">
        <v>29.27</v>
      </c>
      <c r="I2084" s="171">
        <v>27.44</v>
      </c>
      <c r="J2084" s="171">
        <v>38.07</v>
      </c>
      <c r="K2084" s="171">
        <v>41.13</v>
      </c>
      <c r="L2084" s="171">
        <v>50.61</v>
      </c>
      <c r="M2084" s="171">
        <v>58.5</v>
      </c>
      <c r="N2084" s="171">
        <v>51</v>
      </c>
      <c r="O2084" s="171">
        <v>50.120000000000005</v>
      </c>
      <c r="P2084" s="171">
        <v>47.44</v>
      </c>
      <c r="Q2084" s="171">
        <v>49.94</v>
      </c>
      <c r="R2084" s="171">
        <v>48.660000000000004</v>
      </c>
      <c r="S2084" s="171">
        <v>43</v>
      </c>
      <c r="T2084" s="171">
        <v>41.33</v>
      </c>
      <c r="U2084" s="171">
        <v>41.06</v>
      </c>
      <c r="V2084" s="171">
        <v>40</v>
      </c>
      <c r="W2084" s="171">
        <v>40</v>
      </c>
      <c r="X2084" s="171">
        <v>42.32</v>
      </c>
      <c r="Y2084" s="171">
        <v>45</v>
      </c>
      <c r="Z2084" s="171">
        <v>45</v>
      </c>
      <c r="AA2084" s="171">
        <v>42.14</v>
      </c>
      <c r="AB2084" s="171">
        <v>58.5</v>
      </c>
      <c r="AC2084" s="171">
        <v>40</v>
      </c>
      <c r="AD2084" s="171">
        <v>37.42</v>
      </c>
      <c r="AF2084" s="171">
        <f t="shared" si="98"/>
        <v>2014</v>
      </c>
      <c r="AG2084" s="171">
        <f t="shared" si="99"/>
        <v>14</v>
      </c>
      <c r="AH2084" s="700">
        <f>SUMIF(D$3:$AA2084,"&lt;="&amp;$AH$1)/COUNTIF(D$3:$AA2084,"&lt;="&amp;$AH$1)</f>
        <v>31.411384334044573</v>
      </c>
    </row>
    <row r="2085" spans="2:34" x14ac:dyDescent="0.25">
      <c r="B2085" s="910">
        <v>41745</v>
      </c>
      <c r="C2085" s="581">
        <f t="shared" si="97"/>
        <v>4</v>
      </c>
      <c r="D2085" s="171">
        <v>36.96</v>
      </c>
      <c r="E2085" s="171">
        <v>34.480000000000004</v>
      </c>
      <c r="F2085" s="171">
        <v>33.9</v>
      </c>
      <c r="G2085" s="171">
        <v>33.94</v>
      </c>
      <c r="H2085" s="171">
        <v>35.15</v>
      </c>
      <c r="I2085" s="171">
        <v>37.36</v>
      </c>
      <c r="J2085" s="171">
        <v>40.92</v>
      </c>
      <c r="K2085" s="171">
        <v>55.1</v>
      </c>
      <c r="L2085" s="171">
        <v>58.870000000000005</v>
      </c>
      <c r="M2085" s="171">
        <v>61.57</v>
      </c>
      <c r="N2085" s="171">
        <v>47</v>
      </c>
      <c r="O2085" s="171">
        <v>42.44</v>
      </c>
      <c r="P2085" s="171">
        <v>39.94</v>
      </c>
      <c r="Q2085" s="171">
        <v>39.47</v>
      </c>
      <c r="R2085" s="171">
        <v>39.94</v>
      </c>
      <c r="S2085" s="171">
        <v>42</v>
      </c>
      <c r="T2085" s="171">
        <v>44</v>
      </c>
      <c r="U2085" s="171">
        <v>49.31</v>
      </c>
      <c r="V2085" s="171">
        <v>45</v>
      </c>
      <c r="W2085" s="171">
        <v>44.94</v>
      </c>
      <c r="X2085" s="171">
        <v>47.44</v>
      </c>
      <c r="Y2085" s="171">
        <v>46.730000000000004</v>
      </c>
      <c r="Z2085" s="171">
        <v>49.94</v>
      </c>
      <c r="AA2085" s="171">
        <v>42.39</v>
      </c>
      <c r="AB2085" s="171">
        <v>61.57</v>
      </c>
      <c r="AC2085" s="171">
        <v>39.47</v>
      </c>
      <c r="AD2085" s="171">
        <v>41.19</v>
      </c>
      <c r="AF2085" s="171">
        <f t="shared" si="98"/>
        <v>2014</v>
      </c>
      <c r="AG2085" s="171">
        <f t="shared" si="99"/>
        <v>13</v>
      </c>
      <c r="AH2085" s="700">
        <f>SUMIF(D$3:$AA2085,"&lt;="&amp;$AH$1)/COUNTIF(D$3:$AA2085,"&lt;="&amp;$AH$1)</f>
        <v>31.416899135095704</v>
      </c>
    </row>
    <row r="2086" spans="2:34" x14ac:dyDescent="0.25">
      <c r="B2086" s="910">
        <v>41746</v>
      </c>
      <c r="C2086" s="581">
        <f t="shared" si="97"/>
        <v>4</v>
      </c>
      <c r="D2086" s="171">
        <v>37.730000000000004</v>
      </c>
      <c r="E2086" s="171">
        <v>35.49</v>
      </c>
      <c r="F2086" s="171">
        <v>34.99</v>
      </c>
      <c r="G2086" s="171">
        <v>33.04</v>
      </c>
      <c r="H2086" s="171">
        <v>29.25</v>
      </c>
      <c r="I2086" s="171">
        <v>31.76</v>
      </c>
      <c r="J2086" s="171">
        <v>38.36</v>
      </c>
      <c r="K2086" s="171">
        <v>46.11</v>
      </c>
      <c r="L2086" s="171">
        <v>51.52</v>
      </c>
      <c r="M2086" s="171">
        <v>50</v>
      </c>
      <c r="N2086" s="171">
        <v>49.94</v>
      </c>
      <c r="O2086" s="171">
        <v>55.02</v>
      </c>
      <c r="P2086" s="171">
        <v>44.94</v>
      </c>
      <c r="Q2086" s="171">
        <v>45</v>
      </c>
      <c r="R2086" s="171">
        <v>42.44</v>
      </c>
      <c r="S2086" s="171">
        <v>42.13</v>
      </c>
      <c r="T2086" s="171">
        <v>42.44</v>
      </c>
      <c r="U2086" s="171">
        <v>42.44</v>
      </c>
      <c r="V2086" s="171">
        <v>39.99</v>
      </c>
      <c r="W2086" s="171">
        <v>47.44</v>
      </c>
      <c r="X2086" s="171">
        <v>47.44</v>
      </c>
      <c r="Y2086" s="171">
        <v>54.25</v>
      </c>
      <c r="Z2086" s="171">
        <v>45</v>
      </c>
      <c r="AA2086" s="171">
        <v>41.45</v>
      </c>
      <c r="AB2086" s="171">
        <v>55.02</v>
      </c>
      <c r="AC2086" s="171">
        <v>39.99</v>
      </c>
      <c r="AD2086" s="171">
        <v>39.57</v>
      </c>
      <c r="AF2086" s="171">
        <f t="shared" si="98"/>
        <v>2014</v>
      </c>
      <c r="AG2086" s="171">
        <f t="shared" si="99"/>
        <v>13</v>
      </c>
      <c r="AH2086" s="700">
        <f>SUMIF(D$3:$AA2086,"&lt;="&amp;$AH$1)/COUNTIF(D$3:$AA2086,"&lt;="&amp;$AH$1)</f>
        <v>31.421956058669661</v>
      </c>
    </row>
    <row r="2087" spans="2:34" x14ac:dyDescent="0.25">
      <c r="B2087" s="910">
        <v>41747</v>
      </c>
      <c r="C2087" s="581">
        <f t="shared" si="97"/>
        <v>4</v>
      </c>
      <c r="D2087" s="171">
        <v>36.83</v>
      </c>
      <c r="E2087" s="171">
        <v>31.73</v>
      </c>
      <c r="F2087" s="171">
        <v>31.23</v>
      </c>
      <c r="G2087" s="171">
        <v>29.95</v>
      </c>
      <c r="H2087" s="171">
        <v>28.68</v>
      </c>
      <c r="I2087" s="171">
        <v>29.95</v>
      </c>
      <c r="J2087" s="171">
        <v>36.83</v>
      </c>
      <c r="K2087" s="171">
        <v>38.03</v>
      </c>
      <c r="L2087" s="171">
        <v>42.480000000000004</v>
      </c>
      <c r="M2087" s="171">
        <v>46.72</v>
      </c>
      <c r="N2087" s="171">
        <v>48</v>
      </c>
      <c r="O2087" s="171">
        <v>51.9</v>
      </c>
      <c r="P2087" s="171">
        <v>43.45</v>
      </c>
      <c r="Q2087" s="171">
        <v>42.12</v>
      </c>
      <c r="R2087" s="171">
        <v>39.94</v>
      </c>
      <c r="S2087" s="171">
        <v>38.92</v>
      </c>
      <c r="T2087" s="171">
        <v>39.94</v>
      </c>
      <c r="U2087" s="171">
        <v>42.12</v>
      </c>
      <c r="V2087" s="171">
        <v>39.99</v>
      </c>
      <c r="W2087" s="171">
        <v>39.090000000000003</v>
      </c>
      <c r="X2087" s="171">
        <v>39.94</v>
      </c>
      <c r="Y2087" s="171">
        <v>42.44</v>
      </c>
      <c r="Z2087" s="171">
        <v>43.84</v>
      </c>
      <c r="AA2087" s="171">
        <v>43.84</v>
      </c>
      <c r="AB2087" s="171">
        <v>51.9</v>
      </c>
      <c r="AC2087" s="171">
        <v>38.03</v>
      </c>
      <c r="AD2087" s="171">
        <v>36.11</v>
      </c>
      <c r="AF2087" s="171">
        <f t="shared" si="98"/>
        <v>2014</v>
      </c>
      <c r="AG2087" s="171">
        <f t="shared" si="99"/>
        <v>18</v>
      </c>
      <c r="AH2087" s="700">
        <f>SUMIF(D$3:$AA2087,"&lt;="&amp;$AH$1)/COUNTIF(D$3:$AA2087,"&lt;="&amp;$AH$1)</f>
        <v>31.428316007052175</v>
      </c>
    </row>
    <row r="2088" spans="2:34" x14ac:dyDescent="0.25">
      <c r="B2088" s="910">
        <v>41750</v>
      </c>
      <c r="C2088" s="581">
        <f t="shared" si="97"/>
        <v>4</v>
      </c>
      <c r="D2088" s="171">
        <v>27.46</v>
      </c>
      <c r="E2088" s="171">
        <v>23</v>
      </c>
      <c r="F2088" s="171">
        <v>19.940000000000001</v>
      </c>
      <c r="G2088" s="171">
        <v>19.88</v>
      </c>
      <c r="H2088" s="171">
        <v>20.09</v>
      </c>
      <c r="I2088" s="171">
        <v>28.740000000000002</v>
      </c>
      <c r="J2088" s="171">
        <v>29.45</v>
      </c>
      <c r="K2088" s="171">
        <v>20.61</v>
      </c>
      <c r="L2088" s="171">
        <v>29.79</v>
      </c>
      <c r="M2088" s="171">
        <v>32.44</v>
      </c>
      <c r="N2088" s="171">
        <v>34.99</v>
      </c>
      <c r="O2088" s="171">
        <v>35</v>
      </c>
      <c r="P2088" s="171">
        <v>33.86</v>
      </c>
      <c r="Q2088" s="171">
        <v>30.650000000000002</v>
      </c>
      <c r="R2088" s="171">
        <v>29.79</v>
      </c>
      <c r="S2088" s="171">
        <v>26.8</v>
      </c>
      <c r="T2088" s="171">
        <v>27.990000000000002</v>
      </c>
      <c r="U2088" s="171">
        <v>34.94</v>
      </c>
      <c r="V2088" s="171">
        <v>40</v>
      </c>
      <c r="W2088" s="171">
        <v>40</v>
      </c>
      <c r="X2088" s="171">
        <v>42.44</v>
      </c>
      <c r="Y2088" s="171">
        <v>47.44</v>
      </c>
      <c r="Z2088" s="171">
        <v>49.94</v>
      </c>
      <c r="AA2088" s="171">
        <v>40.410000000000004</v>
      </c>
      <c r="AB2088" s="171">
        <v>49.94</v>
      </c>
      <c r="AC2088" s="171">
        <v>20.61</v>
      </c>
      <c r="AD2088" s="171">
        <v>30.78</v>
      </c>
      <c r="AF2088" s="171">
        <f t="shared" si="98"/>
        <v>2014</v>
      </c>
      <c r="AG2088" s="171">
        <f t="shared" si="99"/>
        <v>22</v>
      </c>
      <c r="AH2088" s="700">
        <f>SUMIF(D$3:$AA2088,"&lt;="&amp;$AH$1)/COUNTIF(D$3:$AA2088,"&lt;="&amp;$AH$1)</f>
        <v>31.426910327241892</v>
      </c>
    </row>
    <row r="2089" spans="2:34" x14ac:dyDescent="0.25">
      <c r="B2089" s="910">
        <v>41751</v>
      </c>
      <c r="C2089" s="581">
        <f t="shared" si="97"/>
        <v>4</v>
      </c>
      <c r="D2089" s="171">
        <v>36.1</v>
      </c>
      <c r="E2089" s="171">
        <v>35.94</v>
      </c>
      <c r="F2089" s="171">
        <v>31.810000000000002</v>
      </c>
      <c r="G2089" s="171">
        <v>31.150000000000002</v>
      </c>
      <c r="H2089" s="171">
        <v>29.7</v>
      </c>
      <c r="I2089" s="171">
        <v>31.400000000000002</v>
      </c>
      <c r="J2089" s="171">
        <v>40.67</v>
      </c>
      <c r="K2089" s="171">
        <v>49.94</v>
      </c>
      <c r="L2089" s="171">
        <v>54.160000000000004</v>
      </c>
      <c r="M2089" s="171">
        <v>55.120000000000005</v>
      </c>
      <c r="N2089" s="171">
        <v>51</v>
      </c>
      <c r="O2089" s="171">
        <v>48</v>
      </c>
      <c r="P2089" s="171">
        <v>46.72</v>
      </c>
      <c r="Q2089" s="171">
        <v>46.72</v>
      </c>
      <c r="R2089" s="171">
        <v>44.26</v>
      </c>
      <c r="S2089" s="171">
        <v>43.94</v>
      </c>
      <c r="T2089" s="171">
        <v>44.160000000000004</v>
      </c>
      <c r="U2089" s="171">
        <v>47.44</v>
      </c>
      <c r="V2089" s="171">
        <v>44.94</v>
      </c>
      <c r="W2089" s="171">
        <v>45.15</v>
      </c>
      <c r="X2089" s="171">
        <v>45.67</v>
      </c>
      <c r="Y2089" s="171">
        <v>44.94</v>
      </c>
      <c r="Z2089" s="171">
        <v>44</v>
      </c>
      <c r="AA2089" s="171">
        <v>43.44</v>
      </c>
      <c r="AB2089" s="171">
        <v>55.120000000000005</v>
      </c>
      <c r="AC2089" s="171">
        <v>43.94</v>
      </c>
      <c r="AD2089" s="171">
        <v>38.730000000000004</v>
      </c>
      <c r="AF2089" s="171">
        <f t="shared" si="98"/>
        <v>2014</v>
      </c>
      <c r="AG2089" s="171">
        <f t="shared" si="99"/>
        <v>7</v>
      </c>
      <c r="AH2089" s="700">
        <f>SUMIF(D$3:$AA2089,"&lt;="&amp;$AH$1)/COUNTIF(D$3:$AA2089,"&lt;="&amp;$AH$1)</f>
        <v>31.427928753489574</v>
      </c>
    </row>
    <row r="2090" spans="2:34" x14ac:dyDescent="0.25">
      <c r="B2090" s="910">
        <v>41752</v>
      </c>
      <c r="C2090" s="581">
        <f t="shared" si="97"/>
        <v>4</v>
      </c>
      <c r="D2090" s="171">
        <v>31.96</v>
      </c>
      <c r="E2090" s="171">
        <v>31.04</v>
      </c>
      <c r="F2090" s="171">
        <v>31.96</v>
      </c>
      <c r="G2090" s="171">
        <v>31.95</v>
      </c>
      <c r="H2090" s="171">
        <v>28.94</v>
      </c>
      <c r="I2090" s="171">
        <v>34.33</v>
      </c>
      <c r="J2090" s="171">
        <v>40.590000000000003</v>
      </c>
      <c r="K2090" s="171">
        <v>46.49</v>
      </c>
      <c r="L2090" s="171">
        <v>50.800000000000004</v>
      </c>
      <c r="M2090" s="171">
        <v>44</v>
      </c>
      <c r="N2090" s="171">
        <v>44.94</v>
      </c>
      <c r="O2090" s="171">
        <v>47.44</v>
      </c>
      <c r="P2090" s="171">
        <v>44.94</v>
      </c>
      <c r="Q2090" s="171">
        <v>44.94</v>
      </c>
      <c r="R2090" s="171">
        <v>44.94</v>
      </c>
      <c r="S2090" s="171">
        <v>43.82</v>
      </c>
      <c r="T2090" s="171">
        <v>44.94</v>
      </c>
      <c r="U2090" s="171">
        <v>47.44</v>
      </c>
      <c r="V2090" s="171">
        <v>45</v>
      </c>
      <c r="W2090" s="171">
        <v>46.32</v>
      </c>
      <c r="X2090" s="171">
        <v>47.44</v>
      </c>
      <c r="Y2090" s="171">
        <v>47.44</v>
      </c>
      <c r="Z2090" s="171">
        <v>44</v>
      </c>
      <c r="AA2090" s="171">
        <v>37</v>
      </c>
      <c r="AB2090" s="171">
        <v>50.800000000000004</v>
      </c>
      <c r="AC2090" s="171">
        <v>43.82</v>
      </c>
      <c r="AD2090" s="171">
        <v>37.76</v>
      </c>
      <c r="AF2090" s="171">
        <f t="shared" si="98"/>
        <v>2014</v>
      </c>
      <c r="AG2090" s="171">
        <f t="shared" si="99"/>
        <v>8</v>
      </c>
      <c r="AH2090" s="700">
        <f>SUMIF(D$3:$AA2090,"&lt;="&amp;$AH$1)/COUNTIF(D$3:$AA2090,"&lt;="&amp;$AH$1)</f>
        <v>31.428920296008812</v>
      </c>
    </row>
    <row r="2091" spans="2:34" x14ac:dyDescent="0.25">
      <c r="B2091" s="910">
        <v>41753</v>
      </c>
      <c r="C2091" s="581">
        <f t="shared" si="97"/>
        <v>4</v>
      </c>
      <c r="D2091" s="171">
        <v>37.32</v>
      </c>
      <c r="E2091" s="171">
        <v>32.29</v>
      </c>
      <c r="F2091" s="171">
        <v>31.63</v>
      </c>
      <c r="G2091" s="171">
        <v>31.38</v>
      </c>
      <c r="H2091" s="171">
        <v>31.900000000000002</v>
      </c>
      <c r="I2091" s="171">
        <v>32.160000000000004</v>
      </c>
      <c r="J2091" s="171">
        <v>39.83</v>
      </c>
      <c r="K2091" s="171">
        <v>45.42</v>
      </c>
      <c r="L2091" s="171">
        <v>46.730000000000004</v>
      </c>
      <c r="M2091" s="171">
        <v>42.56</v>
      </c>
      <c r="N2091" s="171">
        <v>45</v>
      </c>
      <c r="O2091" s="171">
        <v>48.28</v>
      </c>
      <c r="P2091" s="171">
        <v>47.44</v>
      </c>
      <c r="Q2091" s="171">
        <v>44.94</v>
      </c>
      <c r="R2091" s="171">
        <v>41.33</v>
      </c>
      <c r="S2091" s="171">
        <v>40.36</v>
      </c>
      <c r="T2091" s="171">
        <v>40.869999999999997</v>
      </c>
      <c r="U2091" s="171">
        <v>39.94</v>
      </c>
      <c r="V2091" s="171">
        <v>39.97</v>
      </c>
      <c r="W2091" s="171">
        <v>39.950000000000003</v>
      </c>
      <c r="X2091" s="171">
        <v>39.450000000000003</v>
      </c>
      <c r="Y2091" s="171">
        <v>42.44</v>
      </c>
      <c r="Z2091" s="171">
        <v>43.38</v>
      </c>
      <c r="AA2091" s="171">
        <v>35.980000000000004</v>
      </c>
      <c r="AB2091" s="171">
        <v>48.28</v>
      </c>
      <c r="AC2091" s="171">
        <v>39.450000000000003</v>
      </c>
      <c r="AD2091" s="171">
        <v>36.93</v>
      </c>
      <c r="AF2091" s="171">
        <f t="shared" si="98"/>
        <v>2014</v>
      </c>
      <c r="AG2091" s="171">
        <f t="shared" si="99"/>
        <v>16</v>
      </c>
      <c r="AH2091" s="700">
        <f>SUMIF(D$3:$AA2091,"&lt;="&amp;$AH$1)/COUNTIF(D$3:$AA2091,"&lt;="&amp;$AH$1)</f>
        <v>31.434612774209263</v>
      </c>
    </row>
    <row r="2092" spans="2:34" x14ac:dyDescent="0.25">
      <c r="B2092" s="910">
        <v>42156</v>
      </c>
      <c r="C2092" s="581">
        <f>MONTH(B2092)</f>
        <v>6</v>
      </c>
      <c r="D2092" s="171">
        <v>20.3</v>
      </c>
      <c r="E2092" s="171">
        <v>26.96</v>
      </c>
      <c r="F2092" s="171">
        <v>19.260000000000002</v>
      </c>
      <c r="G2092" s="171">
        <v>17.23</v>
      </c>
      <c r="H2092" s="171">
        <v>15.94</v>
      </c>
      <c r="I2092" s="171">
        <v>15.11</v>
      </c>
      <c r="J2092" s="171">
        <v>14.23</v>
      </c>
      <c r="K2092" s="171">
        <v>12.07</v>
      </c>
      <c r="L2092" s="171">
        <v>11.120000000000001</v>
      </c>
      <c r="M2092" s="171">
        <v>13.89</v>
      </c>
      <c r="N2092" s="171">
        <v>15.92</v>
      </c>
      <c r="O2092" s="171">
        <v>19.96</v>
      </c>
      <c r="P2092" s="171">
        <v>22.64</v>
      </c>
      <c r="Q2092" s="171">
        <v>22.54</v>
      </c>
      <c r="R2092" s="171">
        <v>22.06</v>
      </c>
      <c r="S2092" s="171">
        <v>19.96</v>
      </c>
      <c r="T2092" s="171">
        <v>19.96</v>
      </c>
      <c r="U2092" s="171">
        <v>10.69</v>
      </c>
      <c r="V2092" s="171">
        <v>13.58</v>
      </c>
      <c r="W2092" s="171">
        <v>24.96</v>
      </c>
      <c r="X2092" s="171">
        <v>19.990000000000002</v>
      </c>
      <c r="Y2092" s="171">
        <v>24.96</v>
      </c>
      <c r="Z2092" s="171">
        <v>27.01</v>
      </c>
      <c r="AA2092" s="171">
        <v>37.270000000000003</v>
      </c>
      <c r="AB2092" s="171">
        <v>39.96</v>
      </c>
      <c r="AC2092" s="171">
        <v>33.53</v>
      </c>
      <c r="AD2092" s="171">
        <v>46</v>
      </c>
      <c r="AF2092" s="171">
        <f t="shared" si="98"/>
        <v>2015</v>
      </c>
      <c r="AG2092" s="171">
        <f t="shared" si="99"/>
        <v>24</v>
      </c>
      <c r="AH2092" s="700">
        <f>SUMIF(D$3:$AA2092,"&lt;="&amp;$AH$1)/COUNTIF(D$3:$AA2092,"&lt;="&amp;$AH$1)</f>
        <v>31.417257049497845</v>
      </c>
    </row>
    <row r="2093" spans="2:34" x14ac:dyDescent="0.25">
      <c r="B2093" s="910">
        <v>42157</v>
      </c>
      <c r="C2093" s="581">
        <f t="shared" ref="C2093:C2156" si="100">MONTH(B2093)</f>
        <v>6</v>
      </c>
      <c r="D2093" s="171">
        <v>33.04</v>
      </c>
      <c r="E2093" s="171">
        <v>27.11</v>
      </c>
      <c r="F2093" s="171">
        <v>28.23</v>
      </c>
      <c r="G2093" s="171">
        <v>20.37</v>
      </c>
      <c r="H2093" s="171">
        <v>16.75</v>
      </c>
      <c r="I2093" s="171">
        <v>16</v>
      </c>
      <c r="J2093" s="171">
        <v>17.73</v>
      </c>
      <c r="K2093" s="171">
        <v>24.19</v>
      </c>
      <c r="L2093" s="171">
        <v>36</v>
      </c>
      <c r="M2093" s="171">
        <v>40.28</v>
      </c>
      <c r="N2093" s="171">
        <v>57.44</v>
      </c>
      <c r="O2093" s="171">
        <v>57.44</v>
      </c>
      <c r="P2093" s="171">
        <v>44.94</v>
      </c>
      <c r="Q2093" s="171">
        <v>36.590000000000003</v>
      </c>
      <c r="R2093" s="171">
        <v>32.96</v>
      </c>
      <c r="S2093" s="171">
        <v>33</v>
      </c>
      <c r="T2093" s="171">
        <v>32.44</v>
      </c>
      <c r="U2093" s="171">
        <v>34.94</v>
      </c>
      <c r="V2093" s="171">
        <v>38</v>
      </c>
      <c r="W2093" s="171">
        <v>31.310000000000002</v>
      </c>
      <c r="X2093" s="171">
        <v>30</v>
      </c>
      <c r="Y2093" s="171">
        <v>27.1</v>
      </c>
      <c r="Z2093" s="171">
        <v>25.2</v>
      </c>
      <c r="AA2093" s="171">
        <v>39.99</v>
      </c>
      <c r="AB2093" s="171">
        <v>44.94</v>
      </c>
      <c r="AC2093" s="171">
        <v>26.97</v>
      </c>
      <c r="AD2093" s="171">
        <v>39.11</v>
      </c>
      <c r="AF2093" s="171">
        <f t="shared" si="98"/>
        <v>2015</v>
      </c>
      <c r="AG2093" s="171">
        <f t="shared" si="99"/>
        <v>21</v>
      </c>
      <c r="AH2093" s="700">
        <f>SUMIF(D$3:$AA2093,"&lt;="&amp;$AH$1)/COUNTIF(D$3:$AA2093,"&lt;="&amp;$AH$1)</f>
        <v>31.4149283858102</v>
      </c>
    </row>
    <row r="2094" spans="2:34" x14ac:dyDescent="0.25">
      <c r="B2094" s="910">
        <v>42158</v>
      </c>
      <c r="C2094" s="581">
        <f t="shared" si="100"/>
        <v>6</v>
      </c>
      <c r="D2094" s="171">
        <v>33.04</v>
      </c>
      <c r="E2094" s="171">
        <v>27.11</v>
      </c>
      <c r="F2094" s="171">
        <v>28.23</v>
      </c>
      <c r="G2094" s="171">
        <v>20.37</v>
      </c>
      <c r="H2094" s="171">
        <v>16.75</v>
      </c>
      <c r="I2094" s="171">
        <v>16</v>
      </c>
      <c r="J2094" s="171">
        <v>17.73</v>
      </c>
      <c r="K2094" s="171">
        <v>24.19</v>
      </c>
      <c r="L2094" s="171">
        <v>36</v>
      </c>
      <c r="M2094" s="171">
        <v>40.28</v>
      </c>
      <c r="N2094" s="171">
        <v>57.44</v>
      </c>
      <c r="O2094" s="171">
        <v>57.44</v>
      </c>
      <c r="P2094" s="171">
        <v>44.94</v>
      </c>
      <c r="Q2094" s="171">
        <v>36.590000000000003</v>
      </c>
      <c r="R2094" s="171">
        <v>32.96</v>
      </c>
      <c r="S2094" s="171">
        <v>33</v>
      </c>
      <c r="T2094" s="171">
        <v>32.44</v>
      </c>
      <c r="U2094" s="171">
        <v>34.94</v>
      </c>
      <c r="V2094" s="171">
        <v>38</v>
      </c>
      <c r="W2094" s="171">
        <v>31.310000000000002</v>
      </c>
      <c r="X2094" s="171">
        <v>30</v>
      </c>
      <c r="Y2094" s="171">
        <v>27.1</v>
      </c>
      <c r="Z2094" s="171">
        <v>25.2</v>
      </c>
      <c r="AA2094" s="171">
        <v>39.99</v>
      </c>
      <c r="AB2094" s="171">
        <v>44.94</v>
      </c>
      <c r="AC2094" s="171">
        <v>26.97</v>
      </c>
      <c r="AD2094" s="171">
        <v>39.11</v>
      </c>
      <c r="AF2094" s="171">
        <f t="shared" si="98"/>
        <v>2015</v>
      </c>
      <c r="AG2094" s="171">
        <f t="shared" si="99"/>
        <v>21</v>
      </c>
      <c r="AH2094" s="700">
        <f>SUMIF(D$3:$AA2094,"&lt;="&amp;$AH$1)/COUNTIF(D$3:$AA2094,"&lt;="&amp;$AH$1)</f>
        <v>31.412605625301868</v>
      </c>
    </row>
    <row r="2095" spans="2:34" x14ac:dyDescent="0.25">
      <c r="B2095" s="910">
        <v>42159</v>
      </c>
      <c r="C2095" s="581">
        <f t="shared" si="100"/>
        <v>6</v>
      </c>
      <c r="D2095" s="171">
        <v>46.65</v>
      </c>
      <c r="E2095" s="171">
        <v>51.27</v>
      </c>
      <c r="F2095" s="171">
        <v>40.270000000000003</v>
      </c>
      <c r="G2095" s="171">
        <v>37.08</v>
      </c>
      <c r="H2095" s="171">
        <v>39.75</v>
      </c>
      <c r="I2095" s="171">
        <v>35.86</v>
      </c>
      <c r="J2095" s="171">
        <v>27.84</v>
      </c>
      <c r="K2095" s="171">
        <v>41.08</v>
      </c>
      <c r="L2095" s="171">
        <v>43.21</v>
      </c>
      <c r="M2095" s="171">
        <v>41.35</v>
      </c>
      <c r="N2095" s="171">
        <v>53.09</v>
      </c>
      <c r="O2095" s="171">
        <v>51.94</v>
      </c>
      <c r="P2095" s="171">
        <v>59.65</v>
      </c>
      <c r="Q2095" s="171">
        <v>57.69</v>
      </c>
      <c r="R2095" s="171">
        <v>58.06</v>
      </c>
      <c r="S2095" s="171">
        <v>54.53</v>
      </c>
      <c r="T2095" s="171">
        <v>48.230000000000004</v>
      </c>
      <c r="U2095" s="171">
        <v>48.93</v>
      </c>
      <c r="V2095" s="171">
        <v>45.32</v>
      </c>
      <c r="W2095" s="171">
        <v>40.01</v>
      </c>
      <c r="X2095" s="171">
        <v>50.24</v>
      </c>
      <c r="Y2095" s="171">
        <v>44.2</v>
      </c>
      <c r="Z2095" s="171">
        <v>38.94</v>
      </c>
      <c r="AA2095" s="171">
        <v>52.44</v>
      </c>
      <c r="AB2095" s="171">
        <v>58.63</v>
      </c>
      <c r="AC2095" s="171">
        <v>42.550000000000004</v>
      </c>
      <c r="AD2095" s="171">
        <v>50.75</v>
      </c>
      <c r="AF2095" s="171">
        <f t="shared" si="98"/>
        <v>2015</v>
      </c>
      <c r="AG2095" s="171">
        <f t="shared" si="99"/>
        <v>9</v>
      </c>
      <c r="AH2095" s="700">
        <f>SUMIF(D$3:$AA2095,"&lt;="&amp;$AH$1)/COUNTIF(D$3:$AA2095,"&lt;="&amp;$AH$1)</f>
        <v>31.416192917898375</v>
      </c>
    </row>
    <row r="2096" spans="2:34" x14ac:dyDescent="0.25">
      <c r="B2096" s="910">
        <v>42160</v>
      </c>
      <c r="C2096" s="581">
        <f t="shared" si="100"/>
        <v>6</v>
      </c>
      <c r="D2096" s="171">
        <v>43.32</v>
      </c>
      <c r="E2096" s="171">
        <v>33.28</v>
      </c>
      <c r="F2096" s="171">
        <v>33.75</v>
      </c>
      <c r="G2096" s="171">
        <v>28.1</v>
      </c>
      <c r="H2096" s="171">
        <v>20.18</v>
      </c>
      <c r="I2096" s="171">
        <v>24.150000000000002</v>
      </c>
      <c r="J2096" s="171">
        <v>23.78</v>
      </c>
      <c r="K2096" s="171">
        <v>31.740000000000002</v>
      </c>
      <c r="L2096" s="171">
        <v>40.39</v>
      </c>
      <c r="M2096" s="171">
        <v>46.07</v>
      </c>
      <c r="N2096" s="171">
        <v>48.910000000000004</v>
      </c>
      <c r="O2096" s="171">
        <v>60</v>
      </c>
      <c r="P2096" s="171">
        <v>50.57</v>
      </c>
      <c r="Q2096" s="171">
        <v>57.44</v>
      </c>
      <c r="R2096" s="171">
        <v>58.01</v>
      </c>
      <c r="S2096" s="171">
        <v>53.09</v>
      </c>
      <c r="T2096" s="171">
        <v>54.93</v>
      </c>
      <c r="U2096" s="171">
        <v>54</v>
      </c>
      <c r="V2096" s="171">
        <v>59.96</v>
      </c>
      <c r="W2096" s="171">
        <v>39.96</v>
      </c>
      <c r="X2096" s="171">
        <v>46.76</v>
      </c>
      <c r="Y2096" s="171">
        <v>48.14</v>
      </c>
      <c r="Z2096" s="171">
        <v>37.36</v>
      </c>
      <c r="AA2096" s="171">
        <v>38.96</v>
      </c>
      <c r="AB2096" s="171">
        <v>50.18</v>
      </c>
      <c r="AC2096" s="171">
        <v>34.17</v>
      </c>
      <c r="AD2096" s="171">
        <v>52.47</v>
      </c>
      <c r="AF2096" s="171">
        <f t="shared" si="98"/>
        <v>2015</v>
      </c>
      <c r="AG2096" s="171">
        <f t="shared" si="99"/>
        <v>11</v>
      </c>
      <c r="AH2096" s="700">
        <f>SUMIF(D$3:$AA2096,"&lt;="&amp;$AH$1)/COUNTIF(D$3:$AA2096,"&lt;="&amp;$AH$1)</f>
        <v>31.416558958283183</v>
      </c>
    </row>
    <row r="2097" spans="2:34" x14ac:dyDescent="0.25">
      <c r="B2097" s="910">
        <v>42163</v>
      </c>
      <c r="C2097" s="581">
        <f t="shared" si="100"/>
        <v>6</v>
      </c>
      <c r="D2097" s="171">
        <v>38.35</v>
      </c>
      <c r="E2097" s="171">
        <v>24.29</v>
      </c>
      <c r="F2097" s="171">
        <v>21.53</v>
      </c>
      <c r="G2097" s="171">
        <v>18.940000000000001</v>
      </c>
      <c r="H2097" s="171">
        <v>16.25</v>
      </c>
      <c r="I2097" s="171">
        <v>16.95</v>
      </c>
      <c r="J2097" s="171">
        <v>18.100000000000001</v>
      </c>
      <c r="K2097" s="171">
        <v>31.54</v>
      </c>
      <c r="L2097" s="171">
        <v>41.4</v>
      </c>
      <c r="M2097" s="171">
        <v>46.910000000000004</v>
      </c>
      <c r="N2097" s="171">
        <v>62.65</v>
      </c>
      <c r="O2097" s="171">
        <v>52.44</v>
      </c>
      <c r="P2097" s="171">
        <v>59.39</v>
      </c>
      <c r="Q2097" s="171">
        <v>59.620000000000005</v>
      </c>
      <c r="R2097" s="171">
        <v>60.120000000000005</v>
      </c>
      <c r="S2097" s="171">
        <v>49.94</v>
      </c>
      <c r="T2097" s="171">
        <v>37.06</v>
      </c>
      <c r="U2097" s="171">
        <v>35.340000000000003</v>
      </c>
      <c r="V2097" s="171">
        <v>32.92</v>
      </c>
      <c r="W2097" s="171">
        <v>34.730000000000004</v>
      </c>
      <c r="X2097" s="171">
        <v>36.97</v>
      </c>
      <c r="Y2097" s="171">
        <v>34.97</v>
      </c>
      <c r="Z2097" s="171">
        <v>33.99</v>
      </c>
      <c r="AA2097" s="171">
        <v>44.74</v>
      </c>
      <c r="AB2097" s="171">
        <v>49.730000000000004</v>
      </c>
      <c r="AC2097" s="171">
        <v>29.37</v>
      </c>
      <c r="AD2097" s="171">
        <v>47.34</v>
      </c>
      <c r="AF2097" s="171">
        <f t="shared" si="98"/>
        <v>2015</v>
      </c>
      <c r="AG2097" s="171">
        <f t="shared" si="99"/>
        <v>16</v>
      </c>
      <c r="AH2097" s="700">
        <f>SUMIF(D$3:$AA2097,"&lt;="&amp;$AH$1)/COUNTIF(D$3:$AA2097,"&lt;="&amp;$AH$1)</f>
        <v>31.414792218742555</v>
      </c>
    </row>
    <row r="2098" spans="2:34" x14ac:dyDescent="0.25">
      <c r="B2098" s="910">
        <v>42164</v>
      </c>
      <c r="C2098" s="581">
        <f t="shared" si="100"/>
        <v>6</v>
      </c>
      <c r="D2098" s="171">
        <v>36.270000000000003</v>
      </c>
      <c r="E2098" s="171">
        <v>25.01</v>
      </c>
      <c r="F2098" s="171">
        <v>24.19</v>
      </c>
      <c r="G2098" s="171">
        <v>19.05</v>
      </c>
      <c r="H2098" s="171">
        <v>17.940000000000001</v>
      </c>
      <c r="I2098" s="171">
        <v>17.34</v>
      </c>
      <c r="J2098" s="171">
        <v>22.330000000000002</v>
      </c>
      <c r="K2098" s="171">
        <v>40.42</v>
      </c>
      <c r="L2098" s="171">
        <v>39.96</v>
      </c>
      <c r="M2098" s="171">
        <v>43.62</v>
      </c>
      <c r="N2098" s="171">
        <v>47.78</v>
      </c>
      <c r="O2098" s="171">
        <v>44</v>
      </c>
      <c r="P2098" s="171">
        <v>47.01</v>
      </c>
      <c r="Q2098" s="171">
        <v>44.94</v>
      </c>
      <c r="R2098" s="171">
        <v>46.38</v>
      </c>
      <c r="S2098" s="171">
        <v>49.94</v>
      </c>
      <c r="T2098" s="171">
        <v>42.44</v>
      </c>
      <c r="U2098" s="171">
        <v>39.85</v>
      </c>
      <c r="V2098" s="171">
        <v>35.04</v>
      </c>
      <c r="W2098" s="171">
        <v>36.130000000000003</v>
      </c>
      <c r="X2098" s="171">
        <v>38.1</v>
      </c>
      <c r="Y2098" s="171">
        <v>38.160000000000004</v>
      </c>
      <c r="Z2098" s="171">
        <v>35.29</v>
      </c>
      <c r="AA2098" s="171">
        <v>34.910000000000004</v>
      </c>
      <c r="AB2098" s="171">
        <v>40.700000000000003</v>
      </c>
      <c r="AC2098" s="171">
        <v>29.61</v>
      </c>
      <c r="AD2098" s="171">
        <v>42.94</v>
      </c>
      <c r="AF2098" s="171">
        <f t="shared" si="98"/>
        <v>2015</v>
      </c>
      <c r="AG2098" s="171">
        <f t="shared" si="99"/>
        <v>17</v>
      </c>
      <c r="AH2098" s="700">
        <f>SUMIF(D$3:$AA2098,"&lt;="&amp;$AH$1)/COUNTIF(D$3:$AA2098,"&lt;="&amp;$AH$1)</f>
        <v>31.415296311894668</v>
      </c>
    </row>
    <row r="2099" spans="2:34" x14ac:dyDescent="0.25">
      <c r="B2099" s="910">
        <v>42165</v>
      </c>
      <c r="C2099" s="581">
        <f t="shared" si="100"/>
        <v>6</v>
      </c>
      <c r="D2099" s="171">
        <v>35.520000000000003</v>
      </c>
      <c r="E2099" s="171">
        <v>27.990000000000002</v>
      </c>
      <c r="F2099" s="171">
        <v>25.59</v>
      </c>
      <c r="G2099" s="171">
        <v>24.59</v>
      </c>
      <c r="H2099" s="171">
        <v>25.34</v>
      </c>
      <c r="I2099" s="171">
        <v>29.73</v>
      </c>
      <c r="J2099" s="171">
        <v>27.17</v>
      </c>
      <c r="K2099" s="171">
        <v>39.130000000000003</v>
      </c>
      <c r="L2099" s="171">
        <v>42.18</v>
      </c>
      <c r="M2099" s="171">
        <v>42.96</v>
      </c>
      <c r="N2099" s="171">
        <v>39.94</v>
      </c>
      <c r="O2099" s="171">
        <v>44.94</v>
      </c>
      <c r="P2099" s="171">
        <v>41.49</v>
      </c>
      <c r="Q2099" s="171">
        <v>42.44</v>
      </c>
      <c r="R2099" s="171">
        <v>41.15</v>
      </c>
      <c r="S2099" s="171">
        <v>39.94</v>
      </c>
      <c r="T2099" s="171">
        <v>33.660000000000004</v>
      </c>
      <c r="U2099" s="171">
        <v>32.94</v>
      </c>
      <c r="V2099" s="171">
        <v>34.96</v>
      </c>
      <c r="W2099" s="171">
        <v>38.46</v>
      </c>
      <c r="X2099" s="171">
        <v>39.700000000000003</v>
      </c>
      <c r="Y2099" s="171">
        <v>37.08</v>
      </c>
      <c r="Z2099" s="171">
        <v>35.130000000000003</v>
      </c>
      <c r="AA2099" s="171">
        <v>35.92</v>
      </c>
      <c r="AB2099" s="171">
        <v>29.95</v>
      </c>
      <c r="AC2099" s="171">
        <v>31.650000000000002</v>
      </c>
      <c r="AD2099" s="171">
        <v>39.380000000000003</v>
      </c>
      <c r="AF2099" s="171">
        <f t="shared" si="98"/>
        <v>2015</v>
      </c>
      <c r="AG2099" s="171">
        <f t="shared" si="99"/>
        <v>22</v>
      </c>
      <c r="AH2099" s="700">
        <f>SUMIF(D$3:$AA2099,"&lt;="&amp;$AH$1)/COUNTIF(D$3:$AA2099,"&lt;="&amp;$AH$1)</f>
        <v>31.420037853752412</v>
      </c>
    </row>
    <row r="2100" spans="2:34" x14ac:dyDescent="0.25">
      <c r="B2100" s="910">
        <v>42166</v>
      </c>
      <c r="C2100" s="581">
        <f t="shared" si="100"/>
        <v>6</v>
      </c>
      <c r="D2100" s="171">
        <v>40.14</v>
      </c>
      <c r="E2100" s="171">
        <v>28.310000000000002</v>
      </c>
      <c r="F2100" s="171">
        <v>25.98</v>
      </c>
      <c r="G2100" s="171">
        <v>25.91</v>
      </c>
      <c r="H2100" s="171">
        <v>24.85</v>
      </c>
      <c r="I2100" s="171">
        <v>24.150000000000002</v>
      </c>
      <c r="J2100" s="171">
        <v>26.69</v>
      </c>
      <c r="K2100" s="171">
        <v>31.52</v>
      </c>
      <c r="L2100" s="171">
        <v>43.08</v>
      </c>
      <c r="M2100" s="171">
        <v>49.59</v>
      </c>
      <c r="N2100" s="171">
        <v>43.51</v>
      </c>
      <c r="O2100" s="171">
        <v>45.25</v>
      </c>
      <c r="P2100" s="171">
        <v>49.4</v>
      </c>
      <c r="Q2100" s="171">
        <v>51.15</v>
      </c>
      <c r="R2100" s="171">
        <v>52.44</v>
      </c>
      <c r="S2100" s="171">
        <v>48.97</v>
      </c>
      <c r="T2100" s="171">
        <v>53.77</v>
      </c>
      <c r="U2100" s="171">
        <v>49.99</v>
      </c>
      <c r="V2100" s="171">
        <v>43.71</v>
      </c>
      <c r="W2100" s="171">
        <v>42.910000000000004</v>
      </c>
      <c r="X2100" s="171">
        <v>44.96</v>
      </c>
      <c r="Y2100" s="171">
        <v>41.79</v>
      </c>
      <c r="Z2100" s="171">
        <v>41.19</v>
      </c>
      <c r="AA2100" s="171">
        <v>40.96</v>
      </c>
      <c r="AB2100" s="171">
        <v>33.39</v>
      </c>
      <c r="AC2100" s="171">
        <v>32.32</v>
      </c>
      <c r="AD2100" s="171">
        <v>47.97</v>
      </c>
      <c r="AF2100" s="171">
        <f t="shared" si="98"/>
        <v>2015</v>
      </c>
      <c r="AG2100" s="171">
        <f t="shared" si="99"/>
        <v>11</v>
      </c>
      <c r="AH2100" s="700">
        <f>SUMIF(D$3:$AA2100,"&lt;="&amp;$AH$1)/COUNTIF(D$3:$AA2100,"&lt;="&amp;$AH$1)</f>
        <v>31.42039029662552</v>
      </c>
    </row>
    <row r="2101" spans="2:34" x14ac:dyDescent="0.25">
      <c r="B2101" s="910">
        <v>42167</v>
      </c>
      <c r="C2101" s="581">
        <f t="shared" si="100"/>
        <v>6</v>
      </c>
      <c r="D2101" s="171">
        <v>41.18</v>
      </c>
      <c r="E2101" s="171">
        <v>30.03</v>
      </c>
      <c r="F2101" s="171">
        <v>29.46</v>
      </c>
      <c r="G2101" s="171">
        <v>26.96</v>
      </c>
      <c r="H2101" s="171">
        <v>25.88</v>
      </c>
      <c r="I2101" s="171">
        <v>26.95</v>
      </c>
      <c r="J2101" s="171">
        <v>26.54</v>
      </c>
      <c r="K2101" s="171">
        <v>38.21</v>
      </c>
      <c r="L2101" s="171">
        <v>49.7</v>
      </c>
      <c r="M2101" s="171">
        <v>51.64</v>
      </c>
      <c r="N2101" s="171">
        <v>44.45</v>
      </c>
      <c r="O2101" s="171">
        <v>44.94</v>
      </c>
      <c r="P2101" s="171">
        <v>47.44</v>
      </c>
      <c r="Q2101" s="171">
        <v>44.99</v>
      </c>
      <c r="R2101" s="171">
        <v>56</v>
      </c>
      <c r="S2101" s="171">
        <v>53.27</v>
      </c>
      <c r="T2101" s="171">
        <v>39.94</v>
      </c>
      <c r="U2101" s="171">
        <v>45</v>
      </c>
      <c r="V2101" s="171">
        <v>37.99</v>
      </c>
      <c r="W2101" s="171">
        <v>40.72</v>
      </c>
      <c r="X2101" s="171">
        <v>42.65</v>
      </c>
      <c r="Y2101" s="171">
        <v>42.910000000000004</v>
      </c>
      <c r="Z2101" s="171">
        <v>43.99</v>
      </c>
      <c r="AA2101" s="171">
        <v>41.02</v>
      </c>
      <c r="AB2101" s="171">
        <v>57.61</v>
      </c>
      <c r="AC2101" s="171">
        <v>36.6</v>
      </c>
      <c r="AD2101" s="171">
        <v>45.75</v>
      </c>
      <c r="AF2101" s="171">
        <f t="shared" si="98"/>
        <v>2015</v>
      </c>
      <c r="AG2101" s="171">
        <f t="shared" si="99"/>
        <v>12</v>
      </c>
      <c r="AH2101" s="700">
        <f>SUMIF(D$3:$AA2101,"&lt;="&amp;$AH$1)/COUNTIF(D$3:$AA2101,"&lt;="&amp;$AH$1)</f>
        <v>31.422060482419383</v>
      </c>
    </row>
    <row r="2102" spans="2:34" x14ac:dyDescent="0.25">
      <c r="B2102" s="910">
        <v>42170</v>
      </c>
      <c r="C2102" s="581">
        <f t="shared" si="100"/>
        <v>6</v>
      </c>
      <c r="D2102" s="171">
        <v>39.08</v>
      </c>
      <c r="E2102" s="171">
        <v>22.87</v>
      </c>
      <c r="F2102" s="171">
        <v>20.010000000000002</v>
      </c>
      <c r="G2102" s="171">
        <v>17.34</v>
      </c>
      <c r="H2102" s="171">
        <v>16.350000000000001</v>
      </c>
      <c r="I2102" s="171">
        <v>16</v>
      </c>
      <c r="J2102" s="171">
        <v>18.55</v>
      </c>
      <c r="K2102" s="171">
        <v>29.78</v>
      </c>
      <c r="L2102" s="171">
        <v>37.64</v>
      </c>
      <c r="M2102" s="171">
        <v>40.340000000000003</v>
      </c>
      <c r="N2102" s="171">
        <v>46.25</v>
      </c>
      <c r="O2102" s="171">
        <v>59.28</v>
      </c>
      <c r="P2102" s="171">
        <v>63.95</v>
      </c>
      <c r="Q2102" s="171">
        <v>47.99</v>
      </c>
      <c r="R2102" s="171">
        <v>50</v>
      </c>
      <c r="S2102" s="171">
        <v>59.26</v>
      </c>
      <c r="T2102" s="171">
        <v>61.13</v>
      </c>
      <c r="U2102" s="171">
        <v>56.120000000000005</v>
      </c>
      <c r="V2102" s="171">
        <v>44.94</v>
      </c>
      <c r="W2102" s="171">
        <v>40.54</v>
      </c>
      <c r="X2102" s="171">
        <v>40.54</v>
      </c>
      <c r="Y2102" s="171">
        <v>37.050000000000004</v>
      </c>
      <c r="Z2102" s="171">
        <v>35.76</v>
      </c>
      <c r="AA2102" s="171">
        <v>37.44</v>
      </c>
      <c r="AB2102" s="171">
        <v>38.78</v>
      </c>
      <c r="AC2102" s="171">
        <v>27.3</v>
      </c>
      <c r="AD2102" s="171">
        <v>50.86</v>
      </c>
      <c r="AF2102" s="171">
        <f t="shared" si="98"/>
        <v>2015</v>
      </c>
      <c r="AG2102" s="171">
        <f t="shared" si="99"/>
        <v>15</v>
      </c>
      <c r="AH2102" s="700">
        <f>SUMIF(D$3:$AA2102,"&lt;="&amp;$AH$1)/COUNTIF(D$3:$AA2102,"&lt;="&amp;$AH$1)</f>
        <v>31.420739164318775</v>
      </c>
    </row>
    <row r="2103" spans="2:34" x14ac:dyDescent="0.25">
      <c r="B2103" s="910">
        <v>42171</v>
      </c>
      <c r="C2103" s="581">
        <f t="shared" si="100"/>
        <v>6</v>
      </c>
      <c r="D2103" s="171">
        <v>42.18</v>
      </c>
      <c r="E2103" s="171">
        <v>28.37</v>
      </c>
      <c r="F2103" s="171">
        <v>28.39</v>
      </c>
      <c r="G2103" s="171">
        <v>29.71</v>
      </c>
      <c r="H2103" s="171">
        <v>28.18</v>
      </c>
      <c r="I2103" s="171">
        <v>29.76</v>
      </c>
      <c r="J2103" s="171">
        <v>31.26</v>
      </c>
      <c r="K2103" s="171">
        <v>36.44</v>
      </c>
      <c r="L2103" s="171">
        <v>48.15</v>
      </c>
      <c r="M2103" s="171">
        <v>50.97</v>
      </c>
      <c r="N2103" s="171">
        <v>46.660000000000004</v>
      </c>
      <c r="O2103" s="171">
        <v>50</v>
      </c>
      <c r="P2103" s="171">
        <v>49.7</v>
      </c>
      <c r="Q2103" s="171">
        <v>51.77</v>
      </c>
      <c r="R2103" s="171">
        <v>64.88</v>
      </c>
      <c r="S2103" s="171">
        <v>59.26</v>
      </c>
      <c r="T2103" s="171">
        <v>51.59</v>
      </c>
      <c r="U2103" s="171">
        <v>44.94</v>
      </c>
      <c r="V2103" s="171">
        <v>41.07</v>
      </c>
      <c r="W2103" s="171">
        <v>40.020000000000003</v>
      </c>
      <c r="X2103" s="171">
        <v>44</v>
      </c>
      <c r="Y2103" s="171">
        <v>40.6</v>
      </c>
      <c r="Z2103" s="171">
        <v>39.450000000000003</v>
      </c>
      <c r="AA2103" s="171">
        <v>40.17</v>
      </c>
      <c r="AB2103" s="171">
        <v>37.04</v>
      </c>
      <c r="AC2103" s="171">
        <v>34.79</v>
      </c>
      <c r="AD2103" s="171">
        <v>49.57</v>
      </c>
      <c r="AF2103" s="171">
        <f t="shared" si="98"/>
        <v>2015</v>
      </c>
      <c r="AG2103" s="171">
        <f t="shared" si="99"/>
        <v>13</v>
      </c>
      <c r="AH2103" s="700">
        <f>SUMIF(D$3:$AA2103,"&lt;="&amp;$AH$1)/COUNTIF(D$3:$AA2103,"&lt;="&amp;$AH$1)</f>
        <v>31.423562357733399</v>
      </c>
    </row>
    <row r="2104" spans="2:34" x14ac:dyDescent="0.25">
      <c r="B2104" s="910">
        <v>42172</v>
      </c>
      <c r="C2104" s="581">
        <f t="shared" si="100"/>
        <v>6</v>
      </c>
      <c r="D2104" s="171">
        <v>39.25</v>
      </c>
      <c r="E2104" s="171">
        <v>32.26</v>
      </c>
      <c r="F2104" s="171">
        <v>31.400000000000002</v>
      </c>
      <c r="G2104" s="171">
        <v>27.93</v>
      </c>
      <c r="H2104" s="171">
        <v>28.740000000000002</v>
      </c>
      <c r="I2104" s="171">
        <v>28.080000000000002</v>
      </c>
      <c r="J2104" s="171">
        <v>31.490000000000002</v>
      </c>
      <c r="K2104" s="171">
        <v>35.79</v>
      </c>
      <c r="L2104" s="171">
        <v>51.42</v>
      </c>
      <c r="M2104" s="171">
        <v>48.64</v>
      </c>
      <c r="N2104" s="171">
        <v>40.980000000000004</v>
      </c>
      <c r="O2104" s="171">
        <v>44.99</v>
      </c>
      <c r="P2104" s="171">
        <v>49.25</v>
      </c>
      <c r="Q2104" s="171">
        <v>49.04</v>
      </c>
      <c r="R2104" s="171">
        <v>40.090000000000003</v>
      </c>
      <c r="S2104" s="171">
        <v>39.94</v>
      </c>
      <c r="T2104" s="171">
        <v>45.47</v>
      </c>
      <c r="U2104" s="171">
        <v>42.44</v>
      </c>
      <c r="V2104" s="171">
        <v>45.43</v>
      </c>
      <c r="W2104" s="171">
        <v>36.6</v>
      </c>
      <c r="X2104" s="171">
        <v>38.130000000000003</v>
      </c>
      <c r="Y2104" s="171">
        <v>39.9</v>
      </c>
      <c r="Z2104" s="171">
        <v>44.28</v>
      </c>
      <c r="AA2104" s="171">
        <v>36.619999999999997</v>
      </c>
      <c r="AB2104" s="171">
        <v>32.99</v>
      </c>
      <c r="AC2104" s="171">
        <v>35.08</v>
      </c>
      <c r="AD2104" s="171">
        <v>43.42</v>
      </c>
      <c r="AF2104" s="171">
        <f t="shared" si="98"/>
        <v>2015</v>
      </c>
      <c r="AG2104" s="171">
        <f t="shared" si="99"/>
        <v>16</v>
      </c>
      <c r="AH2104" s="700">
        <f>SUMIF(D$3:$AA2104,"&lt;="&amp;$AH$1)/COUNTIF(D$3:$AA2104,"&lt;="&amp;$AH$1)</f>
        <v>31.427563734290917</v>
      </c>
    </row>
    <row r="2105" spans="2:34" x14ac:dyDescent="0.25">
      <c r="B2105" s="910">
        <v>42173</v>
      </c>
      <c r="C2105" s="581">
        <f t="shared" si="100"/>
        <v>6</v>
      </c>
      <c r="D2105" s="171">
        <v>41.54</v>
      </c>
      <c r="E2105" s="171">
        <v>28.88</v>
      </c>
      <c r="F2105" s="171">
        <v>26.060000000000002</v>
      </c>
      <c r="G2105" s="171">
        <v>24.57</v>
      </c>
      <c r="H2105" s="171">
        <v>24.48</v>
      </c>
      <c r="I2105" s="171">
        <v>26.6</v>
      </c>
      <c r="J2105" s="171">
        <v>26.18</v>
      </c>
      <c r="K2105" s="171">
        <v>33</v>
      </c>
      <c r="L2105" s="171">
        <v>40.81</v>
      </c>
      <c r="M2105" s="171">
        <v>45.22</v>
      </c>
      <c r="N2105" s="171">
        <v>48.5</v>
      </c>
      <c r="O2105" s="171">
        <v>48.46</v>
      </c>
      <c r="P2105" s="171">
        <v>49.27</v>
      </c>
      <c r="Q2105" s="171">
        <v>42.44</v>
      </c>
      <c r="R2105" s="171">
        <v>48.46</v>
      </c>
      <c r="S2105" s="171">
        <v>48.46</v>
      </c>
      <c r="T2105" s="171">
        <v>48.46</v>
      </c>
      <c r="U2105" s="171">
        <v>48.46</v>
      </c>
      <c r="V2105" s="171">
        <v>53.09</v>
      </c>
      <c r="W2105" s="171">
        <v>50</v>
      </c>
      <c r="X2105" s="171">
        <v>43.480000000000004</v>
      </c>
      <c r="Y2105" s="171">
        <v>40</v>
      </c>
      <c r="Z2105" s="171">
        <v>35.14</v>
      </c>
      <c r="AA2105" s="171">
        <v>61.34</v>
      </c>
      <c r="AB2105" s="171">
        <v>55.550000000000004</v>
      </c>
      <c r="AC2105" s="171">
        <v>35.22</v>
      </c>
      <c r="AD2105" s="171">
        <v>47.86</v>
      </c>
      <c r="AF2105" s="171">
        <f t="shared" si="98"/>
        <v>2015</v>
      </c>
      <c r="AG2105" s="171">
        <f t="shared" si="99"/>
        <v>12</v>
      </c>
      <c r="AH2105" s="700">
        <f>SUMIF(D$3:$AA2105,"&lt;="&amp;$AH$1)/COUNTIF(D$3:$AA2105,"&lt;="&amp;$AH$1)</f>
        <v>31.428315392895666</v>
      </c>
    </row>
    <row r="2106" spans="2:34" x14ac:dyDescent="0.25">
      <c r="B2106" s="910">
        <v>42174</v>
      </c>
      <c r="C2106" s="581">
        <f t="shared" si="100"/>
        <v>6</v>
      </c>
      <c r="D2106" s="171">
        <v>41.78</v>
      </c>
      <c r="E2106" s="171">
        <v>31.69</v>
      </c>
      <c r="F2106" s="171">
        <v>26.79</v>
      </c>
      <c r="G2106" s="171">
        <v>26.79</v>
      </c>
      <c r="H2106" s="171">
        <v>26.09</v>
      </c>
      <c r="I2106" s="171">
        <v>23.82</v>
      </c>
      <c r="J2106" s="171">
        <v>26.02</v>
      </c>
      <c r="K2106" s="171">
        <v>31.990000000000002</v>
      </c>
      <c r="L2106" s="171">
        <v>38.26</v>
      </c>
      <c r="M2106" s="171">
        <v>41.800000000000004</v>
      </c>
      <c r="N2106" s="171">
        <v>44.730000000000004</v>
      </c>
      <c r="O2106" s="171">
        <v>53.09</v>
      </c>
      <c r="P2106" s="171">
        <v>68.58</v>
      </c>
      <c r="Q2106" s="171">
        <v>64.94</v>
      </c>
      <c r="R2106" s="171">
        <v>49.47</v>
      </c>
      <c r="S2106" s="171">
        <v>53.6</v>
      </c>
      <c r="T2106" s="171">
        <v>48.550000000000004</v>
      </c>
      <c r="U2106" s="171">
        <v>39.94</v>
      </c>
      <c r="V2106" s="171">
        <v>47.74</v>
      </c>
      <c r="W2106" s="171">
        <v>44.51</v>
      </c>
      <c r="X2106" s="171">
        <v>42.36</v>
      </c>
      <c r="Y2106" s="171">
        <v>37.090000000000003</v>
      </c>
      <c r="Z2106" s="171">
        <v>35.51</v>
      </c>
      <c r="AA2106" s="171">
        <v>39.050000000000004</v>
      </c>
      <c r="AB2106" s="171">
        <v>60.24</v>
      </c>
      <c r="AC2106" s="171">
        <v>33.61</v>
      </c>
      <c r="AD2106" s="171">
        <v>49.94</v>
      </c>
      <c r="AF2106" s="171">
        <f t="shared" si="98"/>
        <v>2015</v>
      </c>
      <c r="AG2106" s="171">
        <f t="shared" si="99"/>
        <v>15</v>
      </c>
      <c r="AH2106" s="700">
        <f>SUMIF(D$3:$AA2106,"&lt;="&amp;$AH$1)/COUNTIF(D$3:$AA2106,"&lt;="&amp;$AH$1)</f>
        <v>31.430559240007248</v>
      </c>
    </row>
    <row r="2107" spans="2:34" x14ac:dyDescent="0.25">
      <c r="B2107" s="910">
        <v>42177</v>
      </c>
      <c r="C2107" s="581">
        <f t="shared" si="100"/>
        <v>6</v>
      </c>
      <c r="D2107" s="171">
        <v>38.980000000000004</v>
      </c>
      <c r="E2107" s="171">
        <v>53.1</v>
      </c>
      <c r="F2107" s="171">
        <v>24.330000000000002</v>
      </c>
      <c r="G2107" s="171">
        <v>27.12</v>
      </c>
      <c r="H2107" s="171">
        <v>19.080000000000002</v>
      </c>
      <c r="I2107" s="171">
        <v>19.2</v>
      </c>
      <c r="J2107" s="171">
        <v>21</v>
      </c>
      <c r="K2107" s="171">
        <v>30.35</v>
      </c>
      <c r="L2107" s="171">
        <v>46.65</v>
      </c>
      <c r="M2107" s="171">
        <v>47.99</v>
      </c>
      <c r="N2107" s="171">
        <v>57.050000000000004</v>
      </c>
      <c r="O2107" s="171">
        <v>55</v>
      </c>
      <c r="P2107" s="171">
        <v>54.53</v>
      </c>
      <c r="Q2107" s="171">
        <v>44.94</v>
      </c>
      <c r="R2107" s="171">
        <v>42.18</v>
      </c>
      <c r="S2107" s="171">
        <v>38.18</v>
      </c>
      <c r="T2107" s="171">
        <v>41</v>
      </c>
      <c r="U2107" s="171">
        <v>36.450000000000003</v>
      </c>
      <c r="V2107" s="171">
        <v>38.19</v>
      </c>
      <c r="W2107" s="171">
        <v>38.200000000000003</v>
      </c>
      <c r="X2107" s="171">
        <v>42.44</v>
      </c>
      <c r="Y2107" s="171">
        <v>41.4</v>
      </c>
      <c r="Z2107" s="171">
        <v>39.46</v>
      </c>
      <c r="AA2107" s="171">
        <v>45.4</v>
      </c>
      <c r="AB2107" s="171">
        <v>32.22</v>
      </c>
      <c r="AC2107" s="171">
        <v>33.28</v>
      </c>
      <c r="AD2107" s="171">
        <v>44.68</v>
      </c>
      <c r="AF2107" s="171">
        <f t="shared" si="98"/>
        <v>2015</v>
      </c>
      <c r="AG2107" s="171">
        <f t="shared" si="99"/>
        <v>16</v>
      </c>
      <c r="AH2107" s="700">
        <f>SUMIF(D$3:$AA2107,"&lt;="&amp;$AH$1)/COUNTIF(D$3:$AA2107,"&lt;="&amp;$AH$1)</f>
        <v>31.432628782904615</v>
      </c>
    </row>
    <row r="2108" spans="2:34" x14ac:dyDescent="0.25">
      <c r="B2108" s="910">
        <v>42178</v>
      </c>
      <c r="C2108" s="581">
        <f t="shared" si="100"/>
        <v>6</v>
      </c>
      <c r="D2108" s="171">
        <v>46.63</v>
      </c>
      <c r="E2108" s="171">
        <v>58.32</v>
      </c>
      <c r="F2108" s="171">
        <v>37.450000000000003</v>
      </c>
      <c r="G2108" s="171">
        <v>32.11</v>
      </c>
      <c r="H2108" s="171">
        <v>24.94</v>
      </c>
      <c r="I2108" s="171">
        <v>24.87</v>
      </c>
      <c r="J2108" s="171">
        <v>26.85</v>
      </c>
      <c r="K2108" s="171">
        <v>32.11</v>
      </c>
      <c r="L2108" s="171">
        <v>39.18</v>
      </c>
      <c r="M2108" s="171">
        <v>44.29</v>
      </c>
      <c r="N2108" s="171">
        <v>60.22</v>
      </c>
      <c r="O2108" s="171">
        <v>65.03</v>
      </c>
      <c r="P2108" s="171">
        <v>67.73</v>
      </c>
      <c r="Q2108" s="171">
        <v>71.31</v>
      </c>
      <c r="R2108" s="171">
        <v>62.04</v>
      </c>
      <c r="S2108" s="171">
        <v>50.85</v>
      </c>
      <c r="T2108" s="171">
        <v>50</v>
      </c>
      <c r="U2108" s="171">
        <v>44.94</v>
      </c>
      <c r="V2108" s="171">
        <v>51.46</v>
      </c>
      <c r="W2108" s="171">
        <v>47.47</v>
      </c>
      <c r="X2108" s="171">
        <v>42</v>
      </c>
      <c r="Y2108" s="171">
        <v>44.94</v>
      </c>
      <c r="Z2108" s="171">
        <v>37.06</v>
      </c>
      <c r="AA2108" s="171">
        <v>48.68</v>
      </c>
      <c r="AB2108" s="171">
        <v>55.18</v>
      </c>
      <c r="AC2108" s="171">
        <v>38.47</v>
      </c>
      <c r="AD2108" s="171">
        <v>54.78</v>
      </c>
      <c r="AF2108" s="171">
        <f t="shared" si="98"/>
        <v>2015</v>
      </c>
      <c r="AG2108" s="171">
        <f t="shared" si="99"/>
        <v>9</v>
      </c>
      <c r="AH2108" s="700">
        <f>SUMIF(D$3:$AA2108,"&lt;="&amp;$AH$1)/COUNTIF(D$3:$AA2108,"&lt;="&amp;$AH$1)</f>
        <v>31.433444696337009</v>
      </c>
    </row>
    <row r="2109" spans="2:34" x14ac:dyDescent="0.25">
      <c r="B2109" s="910">
        <v>42179</v>
      </c>
      <c r="C2109" s="581">
        <f t="shared" si="100"/>
        <v>6</v>
      </c>
      <c r="D2109" s="171">
        <v>41.81</v>
      </c>
      <c r="E2109" s="171">
        <v>46.17</v>
      </c>
      <c r="F2109" s="171">
        <v>32</v>
      </c>
      <c r="G2109" s="171">
        <v>32</v>
      </c>
      <c r="H2109" s="171">
        <v>22.52</v>
      </c>
      <c r="I2109" s="171">
        <v>27</v>
      </c>
      <c r="J2109" s="171">
        <v>25.650000000000002</v>
      </c>
      <c r="K2109" s="171">
        <v>38.5</v>
      </c>
      <c r="L2109" s="171">
        <v>39.200000000000003</v>
      </c>
      <c r="M2109" s="171">
        <v>41.27</v>
      </c>
      <c r="N2109" s="171">
        <v>43.31</v>
      </c>
      <c r="O2109" s="171">
        <v>46.67</v>
      </c>
      <c r="P2109" s="171">
        <v>48.01</v>
      </c>
      <c r="Q2109" s="171">
        <v>44.480000000000004</v>
      </c>
      <c r="R2109" s="171">
        <v>48.36</v>
      </c>
      <c r="S2109" s="171">
        <v>48.28</v>
      </c>
      <c r="T2109" s="171">
        <v>39.94</v>
      </c>
      <c r="U2109" s="171">
        <v>43.34</v>
      </c>
      <c r="V2109" s="171">
        <v>50</v>
      </c>
      <c r="W2109" s="171">
        <v>42.2</v>
      </c>
      <c r="X2109" s="171">
        <v>49.47</v>
      </c>
      <c r="Y2109" s="171">
        <v>44.79</v>
      </c>
      <c r="Z2109" s="171">
        <v>45.15</v>
      </c>
      <c r="AA2109" s="171">
        <v>57</v>
      </c>
      <c r="AB2109" s="171">
        <v>48.17</v>
      </c>
      <c r="AC2109" s="171">
        <v>38.18</v>
      </c>
      <c r="AD2109" s="171">
        <v>45.44</v>
      </c>
      <c r="AF2109" s="171">
        <f t="shared" si="98"/>
        <v>2015</v>
      </c>
      <c r="AG2109" s="171">
        <f t="shared" si="99"/>
        <v>11</v>
      </c>
      <c r="AH2109" s="700">
        <f>SUMIF(D$3:$AA2109,"&lt;="&amp;$AH$1)/COUNTIF(D$3:$AA2109,"&lt;="&amp;$AH$1)</f>
        <v>31.43561020688016</v>
      </c>
    </row>
    <row r="2110" spans="2:34" x14ac:dyDescent="0.25">
      <c r="B2110" s="910">
        <v>42180</v>
      </c>
      <c r="C2110" s="581">
        <f t="shared" si="100"/>
        <v>6</v>
      </c>
      <c r="D2110" s="171">
        <v>43.800000000000004</v>
      </c>
      <c r="E2110" s="171">
        <v>35.72</v>
      </c>
      <c r="F2110" s="171">
        <v>34.01</v>
      </c>
      <c r="G2110" s="171">
        <v>27.810000000000002</v>
      </c>
      <c r="H2110" s="171">
        <v>26.1</v>
      </c>
      <c r="I2110" s="171">
        <v>27</v>
      </c>
      <c r="J2110" s="171">
        <v>29.67</v>
      </c>
      <c r="K2110" s="171">
        <v>35.04</v>
      </c>
      <c r="L2110" s="171">
        <v>45.97</v>
      </c>
      <c r="M2110" s="171">
        <v>58.370000000000005</v>
      </c>
      <c r="N2110" s="171">
        <v>48.39</v>
      </c>
      <c r="O2110" s="171">
        <v>50.300000000000004</v>
      </c>
      <c r="P2110" s="171">
        <v>50.120000000000005</v>
      </c>
      <c r="Q2110" s="171">
        <v>48.26</v>
      </c>
      <c r="R2110" s="171">
        <v>46.11</v>
      </c>
      <c r="S2110" s="171">
        <v>47.480000000000004</v>
      </c>
      <c r="T2110" s="171">
        <v>53.31</v>
      </c>
      <c r="U2110" s="171">
        <v>54.58</v>
      </c>
      <c r="V2110" s="171">
        <v>42.46</v>
      </c>
      <c r="W2110" s="171">
        <v>47.44</v>
      </c>
      <c r="X2110" s="171">
        <v>53.57</v>
      </c>
      <c r="Y2110" s="171">
        <v>52.660000000000004</v>
      </c>
      <c r="Z2110" s="171">
        <v>39.4</v>
      </c>
      <c r="AA2110" s="171">
        <v>47.51</v>
      </c>
      <c r="AB2110" s="171">
        <v>49.94</v>
      </c>
      <c r="AC2110" s="171">
        <v>37.57</v>
      </c>
      <c r="AD2110" s="171">
        <v>50.03</v>
      </c>
      <c r="AF2110" s="171">
        <f t="shared" si="98"/>
        <v>2015</v>
      </c>
      <c r="AG2110" s="171">
        <f t="shared" si="99"/>
        <v>9</v>
      </c>
      <c r="AH2110" s="700">
        <f>SUMIF(D$3:$AA2110,"&lt;="&amp;$AH$1)/COUNTIF(D$3:$AA2110,"&lt;="&amp;$AH$1)</f>
        <v>31.436461685138898</v>
      </c>
    </row>
    <row r="2111" spans="2:34" x14ac:dyDescent="0.25">
      <c r="B2111" s="910">
        <v>42181</v>
      </c>
      <c r="C2111" s="581">
        <f t="shared" si="100"/>
        <v>6</v>
      </c>
      <c r="D2111" s="171">
        <v>31.71</v>
      </c>
      <c r="E2111" s="171">
        <v>30.35</v>
      </c>
      <c r="F2111" s="171">
        <v>27.2</v>
      </c>
      <c r="G2111" s="171">
        <v>26.73</v>
      </c>
      <c r="H2111" s="171">
        <v>25.54</v>
      </c>
      <c r="I2111" s="171">
        <v>25.1</v>
      </c>
      <c r="J2111" s="171">
        <v>24.07</v>
      </c>
      <c r="K2111" s="171">
        <v>25.13</v>
      </c>
      <c r="L2111" s="171">
        <v>26.080000000000002</v>
      </c>
      <c r="M2111" s="171">
        <v>33.21</v>
      </c>
      <c r="N2111" s="171">
        <v>35.480000000000004</v>
      </c>
      <c r="O2111" s="171">
        <v>36.160000000000004</v>
      </c>
      <c r="P2111" s="171">
        <v>34.83</v>
      </c>
      <c r="Q2111" s="171">
        <v>32.340000000000003</v>
      </c>
      <c r="R2111" s="171">
        <v>31.95</v>
      </c>
      <c r="S2111" s="171">
        <v>26.43</v>
      </c>
      <c r="T2111" s="171">
        <v>25.05</v>
      </c>
      <c r="U2111" s="171">
        <v>27.400000000000002</v>
      </c>
      <c r="V2111" s="171">
        <v>28.89</v>
      </c>
      <c r="W2111" s="171">
        <v>32.19</v>
      </c>
      <c r="X2111" s="171">
        <v>35.99</v>
      </c>
      <c r="Y2111" s="171">
        <v>35.99</v>
      </c>
      <c r="Z2111" s="171">
        <v>32.65</v>
      </c>
      <c r="AA2111" s="171">
        <v>43.660000000000004</v>
      </c>
      <c r="AB2111" s="171">
        <v>58.69</v>
      </c>
      <c r="AC2111" s="171">
        <v>40.619999999999997</v>
      </c>
      <c r="AD2111" s="171">
        <v>56.53</v>
      </c>
      <c r="AF2111" s="171">
        <f t="shared" si="98"/>
        <v>2015</v>
      </c>
      <c r="AG2111" s="171">
        <f t="shared" si="99"/>
        <v>23</v>
      </c>
      <c r="AH2111" s="700">
        <f>SUMIF(D$3:$AA2111,"&lt;="&amp;$AH$1)/COUNTIF(D$3:$AA2111,"&lt;="&amp;$AH$1)</f>
        <v>31.434523653674546</v>
      </c>
    </row>
    <row r="2112" spans="2:34" x14ac:dyDescent="0.25">
      <c r="B2112" s="910">
        <v>42184</v>
      </c>
      <c r="C2112" s="581">
        <f t="shared" si="100"/>
        <v>6</v>
      </c>
      <c r="D2112" s="171">
        <v>39.47</v>
      </c>
      <c r="E2112" s="171">
        <v>33.51</v>
      </c>
      <c r="F2112" s="171">
        <v>29.23</v>
      </c>
      <c r="G2112" s="171">
        <v>26.900000000000002</v>
      </c>
      <c r="H2112" s="171">
        <v>25.94</v>
      </c>
      <c r="I2112" s="171">
        <v>25.34</v>
      </c>
      <c r="J2112" s="171">
        <v>27.080000000000002</v>
      </c>
      <c r="K2112" s="171">
        <v>34.980000000000004</v>
      </c>
      <c r="L2112" s="171">
        <v>43.93</v>
      </c>
      <c r="M2112" s="171">
        <v>50.2</v>
      </c>
      <c r="N2112" s="171">
        <v>43.93</v>
      </c>
      <c r="O2112" s="171">
        <v>41.550000000000004</v>
      </c>
      <c r="P2112" s="171">
        <v>45.300000000000004</v>
      </c>
      <c r="Q2112" s="171">
        <v>39.94</v>
      </c>
      <c r="R2112" s="171">
        <v>49.94</v>
      </c>
      <c r="S2112" s="171">
        <v>49.78</v>
      </c>
      <c r="T2112" s="171">
        <v>45.01</v>
      </c>
      <c r="U2112" s="171">
        <v>47.29</v>
      </c>
      <c r="V2112" s="171">
        <v>40.42</v>
      </c>
      <c r="W2112" s="171">
        <v>39.230000000000004</v>
      </c>
      <c r="X2112" s="171">
        <v>43.96</v>
      </c>
      <c r="Y2112" s="171">
        <v>43.94</v>
      </c>
      <c r="Z2112" s="171">
        <v>41.800000000000004</v>
      </c>
      <c r="AA2112" s="171">
        <v>45.13</v>
      </c>
      <c r="AB2112" s="171">
        <v>32.869999999999997</v>
      </c>
      <c r="AC2112" s="171">
        <v>34.22</v>
      </c>
      <c r="AD2112" s="171">
        <v>44.71</v>
      </c>
      <c r="AF2112" s="171">
        <f t="shared" si="98"/>
        <v>2015</v>
      </c>
      <c r="AG2112" s="171">
        <f t="shared" si="99"/>
        <v>13</v>
      </c>
      <c r="AH2112" s="700">
        <f>SUMIF(D$3:$AA2112,"&lt;="&amp;$AH$1)/COUNTIF(D$3:$AA2112,"&lt;="&amp;$AH$1)</f>
        <v>31.436708288738295</v>
      </c>
    </row>
    <row r="2113" spans="2:34" x14ac:dyDescent="0.25">
      <c r="B2113" s="910">
        <v>42185</v>
      </c>
      <c r="C2113" s="581">
        <f t="shared" si="100"/>
        <v>6</v>
      </c>
      <c r="D2113" s="171">
        <v>43.46</v>
      </c>
      <c r="E2113" s="171">
        <v>35.46</v>
      </c>
      <c r="F2113" s="171">
        <v>34.14</v>
      </c>
      <c r="G2113" s="171">
        <v>29.490000000000002</v>
      </c>
      <c r="H2113" s="171">
        <v>27.52</v>
      </c>
      <c r="I2113" s="171">
        <v>27.580000000000002</v>
      </c>
      <c r="J2113" s="171">
        <v>29.91</v>
      </c>
      <c r="K2113" s="171">
        <v>36.07</v>
      </c>
      <c r="L2113" s="171">
        <v>42.550000000000004</v>
      </c>
      <c r="M2113" s="171">
        <v>42.61</v>
      </c>
      <c r="N2113" s="171">
        <v>45</v>
      </c>
      <c r="O2113" s="171">
        <v>42.21</v>
      </c>
      <c r="P2113" s="171">
        <v>49.94</v>
      </c>
      <c r="Q2113" s="171">
        <v>42.44</v>
      </c>
      <c r="R2113" s="171">
        <v>62.45</v>
      </c>
      <c r="S2113" s="171">
        <v>64.960000000000008</v>
      </c>
      <c r="T2113" s="171">
        <v>58.410000000000004</v>
      </c>
      <c r="U2113" s="171">
        <v>57</v>
      </c>
      <c r="V2113" s="171">
        <v>64.94</v>
      </c>
      <c r="W2113" s="171">
        <v>43.9</v>
      </c>
      <c r="X2113" s="171">
        <v>49.99</v>
      </c>
      <c r="Y2113" s="171">
        <v>44.54</v>
      </c>
      <c r="Z2113" s="171">
        <v>41.34</v>
      </c>
      <c r="AA2113" s="171">
        <v>36.93</v>
      </c>
      <c r="AB2113" s="171">
        <v>33.619999999999997</v>
      </c>
      <c r="AC2113" s="171">
        <v>34.93</v>
      </c>
      <c r="AD2113" s="171">
        <v>51.99</v>
      </c>
      <c r="AF2113" s="171">
        <f t="shared" si="98"/>
        <v>2015</v>
      </c>
      <c r="AG2113" s="171">
        <f t="shared" si="99"/>
        <v>12</v>
      </c>
      <c r="AH2113" s="700">
        <f>SUMIF(D$3:$AA2113,"&lt;="&amp;$AH$1)/COUNTIF(D$3:$AA2113,"&lt;="&amp;$AH$1)</f>
        <v>31.439584076054697</v>
      </c>
    </row>
    <row r="2114" spans="2:34" x14ac:dyDescent="0.25">
      <c r="B2114" s="910">
        <v>42186</v>
      </c>
      <c r="C2114" s="581">
        <f t="shared" si="100"/>
        <v>7</v>
      </c>
      <c r="D2114" s="171">
        <v>44.28</v>
      </c>
      <c r="E2114" s="171">
        <v>37.020000000000003</v>
      </c>
      <c r="F2114" s="171">
        <v>29.98</v>
      </c>
      <c r="G2114" s="171">
        <v>28.05</v>
      </c>
      <c r="H2114" s="171">
        <v>27.7</v>
      </c>
      <c r="I2114" s="171">
        <v>28.87</v>
      </c>
      <c r="J2114" s="171">
        <v>28.67</v>
      </c>
      <c r="K2114" s="171">
        <v>35.32</v>
      </c>
      <c r="L2114" s="171">
        <v>42.02</v>
      </c>
      <c r="M2114" s="171">
        <v>49.94</v>
      </c>
      <c r="N2114" s="171">
        <v>44.94</v>
      </c>
      <c r="O2114" s="171">
        <v>53.01</v>
      </c>
      <c r="P2114" s="171">
        <v>63.47</v>
      </c>
      <c r="Q2114" s="171">
        <v>61.6</v>
      </c>
      <c r="R2114" s="171">
        <v>65</v>
      </c>
      <c r="S2114" s="171">
        <v>59.94</v>
      </c>
      <c r="T2114" s="171">
        <v>52.14</v>
      </c>
      <c r="U2114" s="171">
        <v>50</v>
      </c>
      <c r="V2114" s="171">
        <v>43.1</v>
      </c>
      <c r="W2114" s="171">
        <v>38.69</v>
      </c>
      <c r="X2114" s="171">
        <v>42.58</v>
      </c>
      <c r="Y2114" s="171">
        <v>47.44</v>
      </c>
      <c r="Z2114" s="171">
        <v>43.33</v>
      </c>
      <c r="AA2114" s="171">
        <v>44.94</v>
      </c>
      <c r="AB2114" s="171">
        <v>44.99</v>
      </c>
      <c r="AC2114" s="171">
        <v>36.53</v>
      </c>
      <c r="AD2114" s="171">
        <v>52.03</v>
      </c>
      <c r="AF2114" s="171">
        <f t="shared" si="98"/>
        <v>2015</v>
      </c>
      <c r="AG2114" s="171">
        <f t="shared" si="99"/>
        <v>9</v>
      </c>
      <c r="AH2114" s="700">
        <f>SUMIF(D$3:$AA2114,"&lt;="&amp;$AH$1)/COUNTIF(D$3:$AA2114,"&lt;="&amp;$AH$1)</f>
        <v>31.440377694637476</v>
      </c>
    </row>
    <row r="2115" spans="2:34" x14ac:dyDescent="0.25">
      <c r="B2115" s="910">
        <v>42187</v>
      </c>
      <c r="C2115" s="581">
        <f t="shared" si="100"/>
        <v>7</v>
      </c>
      <c r="D2115" s="171">
        <v>45.32</v>
      </c>
      <c r="E2115" s="171">
        <v>32.78</v>
      </c>
      <c r="F2115" s="171">
        <v>30.310000000000002</v>
      </c>
      <c r="G2115" s="171">
        <v>27.310000000000002</v>
      </c>
      <c r="H2115" s="171">
        <v>26.07</v>
      </c>
      <c r="I2115" s="171">
        <v>28.45</v>
      </c>
      <c r="J2115" s="171">
        <v>28.19</v>
      </c>
      <c r="K2115" s="171">
        <v>35.11</v>
      </c>
      <c r="L2115" s="171">
        <v>42.45</v>
      </c>
      <c r="M2115" s="171">
        <v>45.08</v>
      </c>
      <c r="N2115" s="171">
        <v>42.44</v>
      </c>
      <c r="O2115" s="171">
        <v>57.44</v>
      </c>
      <c r="P2115" s="171">
        <v>57.24</v>
      </c>
      <c r="Q2115" s="171">
        <v>61.940000000000005</v>
      </c>
      <c r="R2115" s="171">
        <v>66.22</v>
      </c>
      <c r="S2115" s="171">
        <v>67.260000000000005</v>
      </c>
      <c r="T2115" s="171">
        <v>62.46</v>
      </c>
      <c r="U2115" s="171">
        <v>58.68</v>
      </c>
      <c r="V2115" s="171">
        <v>68.290000000000006</v>
      </c>
      <c r="W2115" s="171">
        <v>39.94</v>
      </c>
      <c r="X2115" s="171">
        <v>44.94</v>
      </c>
      <c r="Y2115" s="171">
        <v>44.2</v>
      </c>
      <c r="Z2115" s="171">
        <v>40.97</v>
      </c>
      <c r="AA2115" s="171">
        <v>40.020000000000003</v>
      </c>
      <c r="AB2115" s="171">
        <v>39.79</v>
      </c>
      <c r="AC2115" s="171">
        <v>34.64</v>
      </c>
      <c r="AD2115" s="171">
        <v>55.99</v>
      </c>
      <c r="AF2115" s="171">
        <f t="shared" si="98"/>
        <v>2015</v>
      </c>
      <c r="AG2115" s="171">
        <f t="shared" si="99"/>
        <v>12</v>
      </c>
      <c r="AH2115" s="700">
        <f>SUMIF(D$3:$AA2115,"&lt;="&amp;$AH$1)/COUNTIF(D$3:$AA2115,"&lt;="&amp;$AH$1)</f>
        <v>31.442558898581705</v>
      </c>
    </row>
    <row r="2116" spans="2:34" x14ac:dyDescent="0.25">
      <c r="B2116" s="910">
        <v>42188</v>
      </c>
      <c r="C2116" s="581">
        <f t="shared" si="100"/>
        <v>7</v>
      </c>
      <c r="D2116" s="171">
        <v>53.480000000000004</v>
      </c>
      <c r="E2116" s="171">
        <v>37.5</v>
      </c>
      <c r="F2116" s="171">
        <v>32.04</v>
      </c>
      <c r="G2116" s="171">
        <v>34.03</v>
      </c>
      <c r="H2116" s="171">
        <v>30.5</v>
      </c>
      <c r="I2116" s="171">
        <v>31.84</v>
      </c>
      <c r="J2116" s="171">
        <v>35.39</v>
      </c>
      <c r="K2116" s="171">
        <v>46.39</v>
      </c>
      <c r="L2116" s="171">
        <v>53.02</v>
      </c>
      <c r="M2116" s="171">
        <v>56.620000000000005</v>
      </c>
      <c r="N2116" s="171">
        <v>64.94</v>
      </c>
      <c r="O2116" s="171">
        <v>72.23</v>
      </c>
      <c r="P2116" s="171">
        <v>74.87</v>
      </c>
      <c r="Q2116" s="171">
        <v>73.7</v>
      </c>
      <c r="R2116" s="171">
        <v>66.570000000000007</v>
      </c>
      <c r="S2116" s="171">
        <v>63.97</v>
      </c>
      <c r="T2116" s="171">
        <v>60.63</v>
      </c>
      <c r="U2116" s="171">
        <v>58.04</v>
      </c>
      <c r="V2116" s="171">
        <v>60</v>
      </c>
      <c r="W2116" s="171">
        <v>58.94</v>
      </c>
      <c r="X2116" s="171">
        <v>57.34</v>
      </c>
      <c r="Y2116" s="171">
        <v>55.99</v>
      </c>
      <c r="Z2116" s="171">
        <v>53.79</v>
      </c>
      <c r="AA2116" s="171">
        <v>57.09</v>
      </c>
      <c r="AB2116" s="171">
        <v>47.99</v>
      </c>
      <c r="AC2116" s="171">
        <v>42.96</v>
      </c>
      <c r="AD2116" s="171">
        <v>63.99</v>
      </c>
      <c r="AF2116" s="171">
        <f t="shared" ref="AF2116:AF2179" si="101">YEAR(B2116)</f>
        <v>2015</v>
      </c>
      <c r="AG2116" s="171">
        <f t="shared" ref="AG2116:AG2179" si="102">COUNTIF(D2116:AA2116,"&lt;="&amp;$AH$1)</f>
        <v>6</v>
      </c>
      <c r="AH2116" s="700">
        <f>SUMIF(D$3:$AA2116,"&lt;="&amp;$AH$1)/COUNTIF(D$3:$AA2116,"&lt;="&amp;$AH$1)</f>
        <v>31.443309011093334</v>
      </c>
    </row>
    <row r="2117" spans="2:34" x14ac:dyDescent="0.25">
      <c r="B2117" s="910">
        <v>42191</v>
      </c>
      <c r="C2117" s="581">
        <f t="shared" si="100"/>
        <v>7</v>
      </c>
      <c r="D2117" s="171">
        <v>47.17</v>
      </c>
      <c r="E2117" s="171">
        <v>30.240000000000002</v>
      </c>
      <c r="F2117" s="171">
        <v>24.55</v>
      </c>
      <c r="G2117" s="171">
        <v>20.8</v>
      </c>
      <c r="H2117" s="171">
        <v>19.04</v>
      </c>
      <c r="I2117" s="171">
        <v>26.63</v>
      </c>
      <c r="J2117" s="171">
        <v>24.080000000000002</v>
      </c>
      <c r="K2117" s="171">
        <v>29.72</v>
      </c>
      <c r="L2117" s="171">
        <v>43.160000000000004</v>
      </c>
      <c r="M2117" s="171">
        <v>49.35</v>
      </c>
      <c r="N2117" s="171">
        <v>55</v>
      </c>
      <c r="O2117" s="171">
        <v>54.82</v>
      </c>
      <c r="P2117" s="171">
        <v>54.43</v>
      </c>
      <c r="Q2117" s="171">
        <v>61.050000000000004</v>
      </c>
      <c r="R2117" s="171">
        <v>64.81</v>
      </c>
      <c r="S2117" s="171">
        <v>63.47</v>
      </c>
      <c r="T2117" s="171">
        <v>59.730000000000004</v>
      </c>
      <c r="U2117" s="171">
        <v>59.68</v>
      </c>
      <c r="V2117" s="171">
        <v>39.44</v>
      </c>
      <c r="W2117" s="171">
        <v>48.67</v>
      </c>
      <c r="X2117" s="171">
        <v>65</v>
      </c>
      <c r="Y2117" s="171">
        <v>65.05</v>
      </c>
      <c r="Z2117" s="171">
        <v>59.94</v>
      </c>
      <c r="AA2117" s="171">
        <v>61.95</v>
      </c>
      <c r="AB2117" s="171">
        <v>51.46</v>
      </c>
      <c r="AC2117" s="171">
        <v>38.050000000000004</v>
      </c>
      <c r="AD2117" s="171">
        <v>56.29</v>
      </c>
      <c r="AF2117" s="171">
        <f t="shared" si="101"/>
        <v>2015</v>
      </c>
      <c r="AG2117" s="171">
        <f t="shared" si="102"/>
        <v>8</v>
      </c>
      <c r="AH2117" s="700">
        <f>SUMIF(D$3:$AA2117,"&lt;="&amp;$AH$1)/COUNTIF(D$3:$AA2117,"&lt;="&amp;$AH$1)</f>
        <v>31.441112362881729</v>
      </c>
    </row>
    <row r="2118" spans="2:34" x14ac:dyDescent="0.25">
      <c r="B2118" s="910">
        <v>42192</v>
      </c>
      <c r="C2118" s="581">
        <f t="shared" si="100"/>
        <v>7</v>
      </c>
      <c r="D2118" s="171">
        <v>49.78</v>
      </c>
      <c r="E2118" s="171">
        <v>51.68</v>
      </c>
      <c r="F2118" s="171">
        <v>40.83</v>
      </c>
      <c r="G2118" s="171">
        <v>38.9</v>
      </c>
      <c r="H2118" s="171">
        <v>34.92</v>
      </c>
      <c r="I2118" s="171">
        <v>35.32</v>
      </c>
      <c r="J2118" s="171">
        <v>38.97</v>
      </c>
      <c r="K2118" s="171">
        <v>47.97</v>
      </c>
      <c r="L2118" s="171">
        <v>62.06</v>
      </c>
      <c r="M2118" s="171">
        <v>65</v>
      </c>
      <c r="N2118" s="171">
        <v>62.95</v>
      </c>
      <c r="O2118" s="171">
        <v>56.910000000000004</v>
      </c>
      <c r="P2118" s="171">
        <v>57.42</v>
      </c>
      <c r="Q2118" s="171">
        <v>52.6</v>
      </c>
      <c r="R2118" s="171">
        <v>51.21</v>
      </c>
      <c r="S2118" s="171">
        <v>49.58</v>
      </c>
      <c r="T2118" s="171">
        <v>50.49</v>
      </c>
      <c r="U2118" s="171">
        <v>51.51</v>
      </c>
      <c r="V2118" s="171">
        <v>54.06</v>
      </c>
      <c r="W2118" s="171">
        <v>56.77</v>
      </c>
      <c r="X2118" s="171">
        <v>57.65</v>
      </c>
      <c r="Y2118" s="171">
        <v>49.46</v>
      </c>
      <c r="Z2118" s="171">
        <v>44.9</v>
      </c>
      <c r="AA2118" s="171">
        <v>45.18</v>
      </c>
      <c r="AB2118" s="171">
        <v>38.33</v>
      </c>
      <c r="AC2118" s="171">
        <v>44.04</v>
      </c>
      <c r="AD2118" s="171">
        <v>55.51</v>
      </c>
      <c r="AF2118" s="171">
        <f t="shared" si="101"/>
        <v>2015</v>
      </c>
      <c r="AG2118" s="171">
        <f t="shared" si="102"/>
        <v>5</v>
      </c>
      <c r="AH2118" s="700">
        <f>SUMIF(D$3:$AA2118,"&lt;="&amp;$AH$1)/COUNTIF(D$3:$AA2118,"&lt;="&amp;$AH$1)</f>
        <v>31.442993479549514</v>
      </c>
    </row>
    <row r="2119" spans="2:34" x14ac:dyDescent="0.25">
      <c r="B2119" s="910">
        <v>42193</v>
      </c>
      <c r="C2119" s="581">
        <f t="shared" si="100"/>
        <v>7</v>
      </c>
      <c r="D2119" s="171">
        <v>41.52</v>
      </c>
      <c r="E2119" s="171">
        <v>28.48</v>
      </c>
      <c r="F2119" s="171">
        <v>27.96</v>
      </c>
      <c r="G2119" s="171">
        <v>29.03</v>
      </c>
      <c r="H2119" s="171">
        <v>25.650000000000002</v>
      </c>
      <c r="I2119" s="171">
        <v>25.29</v>
      </c>
      <c r="J2119" s="171">
        <v>24.92</v>
      </c>
      <c r="K2119" s="171">
        <v>32.94</v>
      </c>
      <c r="L2119" s="171">
        <v>37.96</v>
      </c>
      <c r="M2119" s="171">
        <v>41.2</v>
      </c>
      <c r="N2119" s="171">
        <v>41.07</v>
      </c>
      <c r="O2119" s="171">
        <v>36.82</v>
      </c>
      <c r="P2119" s="171">
        <v>45.13</v>
      </c>
      <c r="Q2119" s="171">
        <v>62.81</v>
      </c>
      <c r="R2119" s="171">
        <v>60.82</v>
      </c>
      <c r="S2119" s="171">
        <v>62.38</v>
      </c>
      <c r="T2119" s="171">
        <v>49.94</v>
      </c>
      <c r="U2119" s="171">
        <v>43.050000000000004</v>
      </c>
      <c r="V2119" s="171">
        <v>38.74</v>
      </c>
      <c r="W2119" s="171">
        <v>44.94</v>
      </c>
      <c r="X2119" s="171">
        <v>42.53</v>
      </c>
      <c r="Y2119" s="171">
        <v>39.270000000000003</v>
      </c>
      <c r="Z2119" s="171">
        <v>38.020000000000003</v>
      </c>
      <c r="AA2119" s="171">
        <v>58.51</v>
      </c>
      <c r="AB2119" s="171">
        <v>58.95</v>
      </c>
      <c r="AC2119" s="171">
        <v>35.58</v>
      </c>
      <c r="AD2119" s="171">
        <v>47.45</v>
      </c>
      <c r="AF2119" s="171">
        <f t="shared" si="101"/>
        <v>2015</v>
      </c>
      <c r="AG2119" s="171">
        <f t="shared" si="102"/>
        <v>16</v>
      </c>
      <c r="AH2119" s="700">
        <f>SUMIF(D$3:$AA2119,"&lt;="&amp;$AH$1)/COUNTIF(D$3:$AA2119,"&lt;="&amp;$AH$1)</f>
        <v>31.445854554068472</v>
      </c>
    </row>
    <row r="2120" spans="2:34" x14ac:dyDescent="0.25">
      <c r="B2120" s="910">
        <v>42194</v>
      </c>
      <c r="C2120" s="581">
        <f t="shared" si="100"/>
        <v>7</v>
      </c>
      <c r="D2120" s="171">
        <v>41.85</v>
      </c>
      <c r="E2120" s="171">
        <v>54.94</v>
      </c>
      <c r="F2120" s="171">
        <v>34.46</v>
      </c>
      <c r="G2120" s="171">
        <v>32.1</v>
      </c>
      <c r="H2120" s="171">
        <v>29.990000000000002</v>
      </c>
      <c r="I2120" s="171">
        <v>22.35</v>
      </c>
      <c r="J2120" s="171">
        <v>24.5</v>
      </c>
      <c r="K2120" s="171">
        <v>44.99</v>
      </c>
      <c r="L2120" s="171">
        <v>55.01</v>
      </c>
      <c r="M2120" s="171">
        <v>49.94</v>
      </c>
      <c r="N2120" s="171">
        <v>38.79</v>
      </c>
      <c r="O2120" s="171">
        <v>38.74</v>
      </c>
      <c r="P2120" s="171">
        <v>39.94</v>
      </c>
      <c r="Q2120" s="171">
        <v>40</v>
      </c>
      <c r="R2120" s="171">
        <v>39.94</v>
      </c>
      <c r="S2120" s="171">
        <v>39.15</v>
      </c>
      <c r="T2120" s="171">
        <v>38.71</v>
      </c>
      <c r="U2120" s="171">
        <v>40</v>
      </c>
      <c r="V2120" s="171">
        <v>39.910000000000004</v>
      </c>
      <c r="W2120" s="171">
        <v>38.08</v>
      </c>
      <c r="X2120" s="171">
        <v>53.800000000000004</v>
      </c>
      <c r="Y2120" s="171">
        <v>50</v>
      </c>
      <c r="Z2120" s="171">
        <v>43.1</v>
      </c>
      <c r="AA2120" s="171">
        <v>60.9</v>
      </c>
      <c r="AB2120" s="171">
        <v>54.94</v>
      </c>
      <c r="AC2120" s="171">
        <v>42.27</v>
      </c>
      <c r="AD2120" s="171">
        <v>41.42</v>
      </c>
      <c r="AF2120" s="171">
        <f t="shared" si="101"/>
        <v>2015</v>
      </c>
      <c r="AG2120" s="171">
        <f t="shared" si="102"/>
        <v>16</v>
      </c>
      <c r="AH2120" s="700">
        <f>SUMIF(D$3:$AA2120,"&lt;="&amp;$AH$1)/COUNTIF(D$3:$AA2120,"&lt;="&amp;$AH$1)</f>
        <v>31.450314164004258</v>
      </c>
    </row>
    <row r="2121" spans="2:34" x14ac:dyDescent="0.25">
      <c r="B2121" s="910">
        <v>42195</v>
      </c>
      <c r="C2121" s="581">
        <f t="shared" si="100"/>
        <v>7</v>
      </c>
      <c r="D2121" s="171">
        <v>43.62</v>
      </c>
      <c r="E2121" s="171">
        <v>38.700000000000003</v>
      </c>
      <c r="F2121" s="171">
        <v>38.68</v>
      </c>
      <c r="G2121" s="171">
        <v>34</v>
      </c>
      <c r="H2121" s="171">
        <v>32.1</v>
      </c>
      <c r="I2121" s="171">
        <v>31.98</v>
      </c>
      <c r="J2121" s="171">
        <v>30.060000000000002</v>
      </c>
      <c r="K2121" s="171">
        <v>30.900000000000002</v>
      </c>
      <c r="L2121" s="171">
        <v>49.43</v>
      </c>
      <c r="M2121" s="171">
        <v>44.94</v>
      </c>
      <c r="N2121" s="171">
        <v>45.88</v>
      </c>
      <c r="O2121" s="171">
        <v>41.54</v>
      </c>
      <c r="P2121" s="171">
        <v>44.94</v>
      </c>
      <c r="Q2121" s="171">
        <v>52.14</v>
      </c>
      <c r="R2121" s="171">
        <v>52.38</v>
      </c>
      <c r="S2121" s="171">
        <v>55.29</v>
      </c>
      <c r="T2121" s="171">
        <v>50</v>
      </c>
      <c r="U2121" s="171">
        <v>44.94</v>
      </c>
      <c r="V2121" s="171">
        <v>46</v>
      </c>
      <c r="W2121" s="171">
        <v>42.4</v>
      </c>
      <c r="X2121" s="171">
        <v>50.17</v>
      </c>
      <c r="Y2121" s="171">
        <v>46.31</v>
      </c>
      <c r="Z2121" s="171">
        <v>44.85</v>
      </c>
      <c r="AA2121" s="171">
        <v>47.050000000000004</v>
      </c>
      <c r="AB2121" s="171">
        <v>52.21</v>
      </c>
      <c r="AC2121" s="171">
        <v>39.69</v>
      </c>
      <c r="AD2121" s="171">
        <v>47.550000000000004</v>
      </c>
      <c r="AF2121" s="171">
        <f t="shared" si="101"/>
        <v>2015</v>
      </c>
      <c r="AG2121" s="171">
        <f t="shared" si="102"/>
        <v>9</v>
      </c>
      <c r="AH2121" s="700">
        <f>SUMIF(D$3:$AA2121,"&lt;="&amp;$AH$1)/COUNTIF(D$3:$AA2121,"&lt;="&amp;$AH$1)</f>
        <v>31.452520253089709</v>
      </c>
    </row>
    <row r="2122" spans="2:34" x14ac:dyDescent="0.25">
      <c r="B2122" s="910">
        <v>42198</v>
      </c>
      <c r="C2122" s="581">
        <f t="shared" si="100"/>
        <v>7</v>
      </c>
      <c r="D2122" s="171">
        <v>43.42</v>
      </c>
      <c r="E2122" s="171">
        <v>32.24</v>
      </c>
      <c r="F2122" s="171">
        <v>28.94</v>
      </c>
      <c r="G2122" s="171">
        <v>26.86</v>
      </c>
      <c r="H2122" s="171">
        <v>24.79</v>
      </c>
      <c r="I2122" s="171">
        <v>28.3</v>
      </c>
      <c r="J2122" s="171">
        <v>27.43</v>
      </c>
      <c r="K2122" s="171">
        <v>36.5</v>
      </c>
      <c r="L2122" s="171">
        <v>47.59</v>
      </c>
      <c r="M2122" s="171">
        <v>47.94</v>
      </c>
      <c r="N2122" s="171">
        <v>47.12</v>
      </c>
      <c r="O2122" s="171">
        <v>50.870000000000005</v>
      </c>
      <c r="P2122" s="171">
        <v>52.38</v>
      </c>
      <c r="Q2122" s="171">
        <v>58.050000000000004</v>
      </c>
      <c r="R2122" s="171">
        <v>51.54</v>
      </c>
      <c r="S2122" s="171">
        <v>51.120000000000005</v>
      </c>
      <c r="T2122" s="171">
        <v>48.47</v>
      </c>
      <c r="U2122" s="171">
        <v>45.980000000000004</v>
      </c>
      <c r="V2122" s="171">
        <v>60</v>
      </c>
      <c r="W2122" s="171">
        <v>46.730000000000004</v>
      </c>
      <c r="X2122" s="171">
        <v>47.02</v>
      </c>
      <c r="Y2122" s="171">
        <v>44.62</v>
      </c>
      <c r="Z2122" s="171">
        <v>42.14</v>
      </c>
      <c r="AA2122" s="171">
        <v>48.42</v>
      </c>
      <c r="AB2122" s="171">
        <v>46.92</v>
      </c>
      <c r="AC2122" s="171">
        <v>36.230000000000004</v>
      </c>
      <c r="AD2122" s="171">
        <v>50.6</v>
      </c>
      <c r="AF2122" s="171">
        <f t="shared" si="101"/>
        <v>2015</v>
      </c>
      <c r="AG2122" s="171">
        <f t="shared" si="102"/>
        <v>8</v>
      </c>
      <c r="AH2122" s="700">
        <f>SUMIF(D$3:$AA2122,"&lt;="&amp;$AH$1)/COUNTIF(D$3:$AA2122,"&lt;="&amp;$AH$1)</f>
        <v>31.452258998758801</v>
      </c>
    </row>
    <row r="2123" spans="2:34" x14ac:dyDescent="0.25">
      <c r="B2123" s="910">
        <v>42199</v>
      </c>
      <c r="C2123" s="581">
        <f t="shared" si="100"/>
        <v>7</v>
      </c>
      <c r="D2123" s="171">
        <v>44.45</v>
      </c>
      <c r="E2123" s="171">
        <v>32.43</v>
      </c>
      <c r="F2123" s="171">
        <v>28.47</v>
      </c>
      <c r="G2123" s="171">
        <v>27.91</v>
      </c>
      <c r="H2123" s="171">
        <v>29.650000000000002</v>
      </c>
      <c r="I2123" s="171">
        <v>30</v>
      </c>
      <c r="J2123" s="171">
        <v>33.28</v>
      </c>
      <c r="K2123" s="171">
        <v>45.12</v>
      </c>
      <c r="L2123" s="171">
        <v>47</v>
      </c>
      <c r="M2123" s="171">
        <v>61.89</v>
      </c>
      <c r="N2123" s="171">
        <v>60.33</v>
      </c>
      <c r="O2123" s="171">
        <v>60</v>
      </c>
      <c r="P2123" s="171">
        <v>60.38</v>
      </c>
      <c r="Q2123" s="171">
        <v>49.99</v>
      </c>
      <c r="R2123" s="171">
        <v>45.37</v>
      </c>
      <c r="S2123" s="171">
        <v>44.56</v>
      </c>
      <c r="T2123" s="171">
        <v>43.49</v>
      </c>
      <c r="U2123" s="171">
        <v>43.39</v>
      </c>
      <c r="V2123" s="171">
        <v>40.630000000000003</v>
      </c>
      <c r="W2123" s="171">
        <v>45.61</v>
      </c>
      <c r="X2123" s="171">
        <v>45.9</v>
      </c>
      <c r="Y2123" s="171">
        <v>47.32</v>
      </c>
      <c r="Z2123" s="171">
        <v>46.1</v>
      </c>
      <c r="AA2123" s="171">
        <v>53.02</v>
      </c>
      <c r="AB2123" s="171">
        <v>44.96</v>
      </c>
      <c r="AC2123" s="171">
        <v>38.770000000000003</v>
      </c>
      <c r="AD2123" s="171">
        <v>50.13</v>
      </c>
      <c r="AF2123" s="171">
        <f t="shared" si="101"/>
        <v>2015</v>
      </c>
      <c r="AG2123" s="171">
        <f t="shared" si="102"/>
        <v>7</v>
      </c>
      <c r="AH2123" s="700">
        <f>SUMIF(D$3:$AA2123,"&lt;="&amp;$AH$1)/COUNTIF(D$3:$AA2123,"&lt;="&amp;$AH$1)</f>
        <v>31.45238922367956</v>
      </c>
    </row>
    <row r="2124" spans="2:34" x14ac:dyDescent="0.25">
      <c r="B2124" s="910">
        <v>42200</v>
      </c>
      <c r="C2124" s="581">
        <f t="shared" si="100"/>
        <v>7</v>
      </c>
      <c r="D2124" s="171">
        <v>48.31</v>
      </c>
      <c r="E2124" s="171">
        <v>43.06</v>
      </c>
      <c r="F2124" s="171">
        <v>39.090000000000003</v>
      </c>
      <c r="G2124" s="171">
        <v>33.43</v>
      </c>
      <c r="H2124" s="171">
        <v>36.36</v>
      </c>
      <c r="I2124" s="171">
        <v>32.660000000000004</v>
      </c>
      <c r="J2124" s="171">
        <v>36.619999999999997</v>
      </c>
      <c r="K2124" s="171">
        <v>44.92</v>
      </c>
      <c r="L2124" s="171">
        <v>55.82</v>
      </c>
      <c r="M2124" s="171">
        <v>54.01</v>
      </c>
      <c r="N2124" s="171">
        <v>58.620000000000005</v>
      </c>
      <c r="O2124" s="171">
        <v>57.82</v>
      </c>
      <c r="P2124" s="171">
        <v>59.29</v>
      </c>
      <c r="Q2124" s="171">
        <v>52.32</v>
      </c>
      <c r="R2124" s="171">
        <v>46.99</v>
      </c>
      <c r="S2124" s="171">
        <v>46.07</v>
      </c>
      <c r="T2124" s="171">
        <v>45.230000000000004</v>
      </c>
      <c r="U2124" s="171">
        <v>45.54</v>
      </c>
      <c r="V2124" s="171">
        <v>49.94</v>
      </c>
      <c r="W2124" s="171">
        <v>56.36</v>
      </c>
      <c r="X2124" s="171">
        <v>59.15</v>
      </c>
      <c r="Y2124" s="171">
        <v>54.97</v>
      </c>
      <c r="Z2124" s="171">
        <v>52.34</v>
      </c>
      <c r="AA2124" s="171">
        <v>53.980000000000004</v>
      </c>
      <c r="AB2124" s="171">
        <v>44.730000000000004</v>
      </c>
      <c r="AC2124" s="171">
        <v>44</v>
      </c>
      <c r="AD2124" s="171">
        <v>52.61</v>
      </c>
      <c r="AF2124" s="171">
        <f t="shared" si="101"/>
        <v>2015</v>
      </c>
      <c r="AG2124" s="171">
        <f t="shared" si="102"/>
        <v>5</v>
      </c>
      <c r="AH2124" s="700">
        <f>SUMIF(D$3:$AA2124,"&lt;="&amp;$AH$1)/COUNTIF(D$3:$AA2124,"&lt;="&amp;$AH$1)</f>
        <v>31.453623530801504</v>
      </c>
    </row>
    <row r="2125" spans="2:34" x14ac:dyDescent="0.25">
      <c r="B2125" s="910">
        <v>42201</v>
      </c>
      <c r="C2125" s="581">
        <f t="shared" si="100"/>
        <v>7</v>
      </c>
      <c r="D2125" s="171">
        <v>52.25</v>
      </c>
      <c r="E2125" s="171">
        <v>49.26</v>
      </c>
      <c r="F2125" s="171">
        <v>37.92</v>
      </c>
      <c r="G2125" s="171">
        <v>38.67</v>
      </c>
      <c r="H2125" s="171">
        <v>32.32</v>
      </c>
      <c r="I2125" s="171">
        <v>37.53</v>
      </c>
      <c r="J2125" s="171">
        <v>38.06</v>
      </c>
      <c r="K2125" s="171">
        <v>43.09</v>
      </c>
      <c r="L2125" s="171">
        <v>55.92</v>
      </c>
      <c r="M2125" s="171">
        <v>54.38</v>
      </c>
      <c r="N2125" s="171">
        <v>53.88</v>
      </c>
      <c r="O2125" s="171">
        <v>52.5</v>
      </c>
      <c r="P2125" s="171">
        <v>62.5</v>
      </c>
      <c r="Q2125" s="171">
        <v>66.320000000000007</v>
      </c>
      <c r="R2125" s="171">
        <v>69.09</v>
      </c>
      <c r="S2125" s="171">
        <v>66.56</v>
      </c>
      <c r="T2125" s="171">
        <v>61.32</v>
      </c>
      <c r="U2125" s="171">
        <v>62.96</v>
      </c>
      <c r="V2125" s="171">
        <v>64.94</v>
      </c>
      <c r="W2125" s="171">
        <v>56.14</v>
      </c>
      <c r="X2125" s="171">
        <v>55.63</v>
      </c>
      <c r="Y2125" s="171">
        <v>53.45</v>
      </c>
      <c r="Z2125" s="171">
        <v>51.21</v>
      </c>
      <c r="AA2125" s="171">
        <v>50.480000000000004</v>
      </c>
      <c r="AB2125" s="171">
        <v>39.93</v>
      </c>
      <c r="AC2125" s="171">
        <v>43.99</v>
      </c>
      <c r="AD2125" s="171">
        <v>60.52</v>
      </c>
      <c r="AF2125" s="171">
        <f t="shared" si="101"/>
        <v>2015</v>
      </c>
      <c r="AG2125" s="171">
        <f t="shared" si="102"/>
        <v>5</v>
      </c>
      <c r="AH2125" s="700">
        <f>SUMIF(D$3:$AA2125,"&lt;="&amp;$AH$1)/COUNTIF(D$3:$AA2125,"&lt;="&amp;$AH$1)</f>
        <v>31.455231459612683</v>
      </c>
    </row>
    <row r="2126" spans="2:34" x14ac:dyDescent="0.25">
      <c r="B2126" s="910">
        <v>42202</v>
      </c>
      <c r="C2126" s="581">
        <f t="shared" si="100"/>
        <v>7</v>
      </c>
      <c r="D2126" s="171">
        <v>33.53</v>
      </c>
      <c r="E2126" s="171">
        <v>53.35</v>
      </c>
      <c r="F2126" s="171">
        <v>37.99</v>
      </c>
      <c r="G2126" s="171">
        <v>31.05</v>
      </c>
      <c r="H2126" s="171">
        <v>28.88</v>
      </c>
      <c r="I2126" s="171">
        <v>27.1</v>
      </c>
      <c r="J2126" s="171">
        <v>25.45</v>
      </c>
      <c r="K2126" s="171">
        <v>25.400000000000002</v>
      </c>
      <c r="L2126" s="171">
        <v>27.07</v>
      </c>
      <c r="M2126" s="171">
        <v>29.5</v>
      </c>
      <c r="N2126" s="171">
        <v>33.1</v>
      </c>
      <c r="O2126" s="171">
        <v>34.97</v>
      </c>
      <c r="P2126" s="171">
        <v>38.4</v>
      </c>
      <c r="Q2126" s="171">
        <v>50.42</v>
      </c>
      <c r="R2126" s="171">
        <v>38.4</v>
      </c>
      <c r="S2126" s="171">
        <v>31.400000000000002</v>
      </c>
      <c r="T2126" s="171">
        <v>27.44</v>
      </c>
      <c r="U2126" s="171">
        <v>24.96</v>
      </c>
      <c r="V2126" s="171">
        <v>22.240000000000002</v>
      </c>
      <c r="W2126" s="171">
        <v>26.76</v>
      </c>
      <c r="X2126" s="171">
        <v>31.900000000000002</v>
      </c>
      <c r="Y2126" s="171">
        <v>32.83</v>
      </c>
      <c r="Z2126" s="171">
        <v>33.450000000000003</v>
      </c>
      <c r="AA2126" s="171">
        <v>49.79</v>
      </c>
      <c r="AB2126" s="171">
        <v>42.89</v>
      </c>
      <c r="AC2126" s="171">
        <v>39.770000000000003</v>
      </c>
      <c r="AD2126" s="171">
        <v>48.870000000000005</v>
      </c>
      <c r="AF2126" s="171">
        <f t="shared" si="101"/>
        <v>2015</v>
      </c>
      <c r="AG2126" s="171">
        <f t="shared" si="102"/>
        <v>21</v>
      </c>
      <c r="AH2126" s="700">
        <f>SUMIF(D$3:$AA2126,"&lt;="&amp;$AH$1)/COUNTIF(D$3:$AA2126,"&lt;="&amp;$AH$1)</f>
        <v>31.454126319514078</v>
      </c>
    </row>
    <row r="2127" spans="2:34" x14ac:dyDescent="0.25">
      <c r="B2127" s="910">
        <v>42205</v>
      </c>
      <c r="C2127" s="581">
        <f t="shared" si="100"/>
        <v>7</v>
      </c>
      <c r="D2127" s="171">
        <v>33.53</v>
      </c>
      <c r="E2127" s="171">
        <v>53.35</v>
      </c>
      <c r="F2127" s="171">
        <v>37.99</v>
      </c>
      <c r="G2127" s="171">
        <v>31.05</v>
      </c>
      <c r="H2127" s="171">
        <v>28.88</v>
      </c>
      <c r="I2127" s="171">
        <v>27.1</v>
      </c>
      <c r="J2127" s="171">
        <v>25.45</v>
      </c>
      <c r="K2127" s="171">
        <v>25.400000000000002</v>
      </c>
      <c r="L2127" s="171">
        <v>27.07</v>
      </c>
      <c r="M2127" s="171">
        <v>29.5</v>
      </c>
      <c r="N2127" s="171">
        <v>33.1</v>
      </c>
      <c r="O2127" s="171">
        <v>34.97</v>
      </c>
      <c r="P2127" s="171">
        <v>38.4</v>
      </c>
      <c r="Q2127" s="171">
        <v>50.42</v>
      </c>
      <c r="R2127" s="171">
        <v>38.4</v>
      </c>
      <c r="S2127" s="171">
        <v>31.400000000000002</v>
      </c>
      <c r="T2127" s="171">
        <v>27.44</v>
      </c>
      <c r="U2127" s="171">
        <v>24.96</v>
      </c>
      <c r="V2127" s="171">
        <v>22.240000000000002</v>
      </c>
      <c r="W2127" s="171">
        <v>26.76</v>
      </c>
      <c r="X2127" s="171">
        <v>31.900000000000002</v>
      </c>
      <c r="Y2127" s="171">
        <v>32.83</v>
      </c>
      <c r="Z2127" s="171">
        <v>33.450000000000003</v>
      </c>
      <c r="AA2127" s="171">
        <v>49.79</v>
      </c>
      <c r="AB2127" s="171">
        <v>42.89</v>
      </c>
      <c r="AC2127" s="171">
        <v>39.770000000000003</v>
      </c>
      <c r="AD2127" s="171">
        <v>48.870000000000005</v>
      </c>
      <c r="AF2127" s="171">
        <f t="shared" si="101"/>
        <v>2015</v>
      </c>
      <c r="AG2127" s="171">
        <f t="shared" si="102"/>
        <v>21</v>
      </c>
      <c r="AH2127" s="700">
        <f>SUMIF(D$3:$AA2127,"&lt;="&amp;$AH$1)/COUNTIF(D$3:$AA2127,"&lt;="&amp;$AH$1)</f>
        <v>31.453023913299567</v>
      </c>
    </row>
    <row r="2128" spans="2:34" x14ac:dyDescent="0.25">
      <c r="B2128" s="910">
        <v>42206</v>
      </c>
      <c r="C2128" s="581">
        <f t="shared" si="100"/>
        <v>7</v>
      </c>
      <c r="D2128" s="171">
        <v>48.64</v>
      </c>
      <c r="E2128" s="171">
        <v>40.17</v>
      </c>
      <c r="F2128" s="171">
        <v>35.08</v>
      </c>
      <c r="G2128" s="171">
        <v>32</v>
      </c>
      <c r="H2128" s="171">
        <v>28.8</v>
      </c>
      <c r="I2128" s="171">
        <v>28.78</v>
      </c>
      <c r="J2128" s="171">
        <v>32.15</v>
      </c>
      <c r="K2128" s="171">
        <v>41.32</v>
      </c>
      <c r="L2128" s="171">
        <v>48.77</v>
      </c>
      <c r="M2128" s="171">
        <v>55.77</v>
      </c>
      <c r="N2128" s="171">
        <v>52.58</v>
      </c>
      <c r="O2128" s="171">
        <v>52.63</v>
      </c>
      <c r="P2128" s="171">
        <v>55</v>
      </c>
      <c r="Q2128" s="171">
        <v>53.67</v>
      </c>
      <c r="R2128" s="171">
        <v>60.01</v>
      </c>
      <c r="S2128" s="171">
        <v>50</v>
      </c>
      <c r="T2128" s="171">
        <v>46.5</v>
      </c>
      <c r="U2128" s="171">
        <v>46.5</v>
      </c>
      <c r="V2128" s="171">
        <v>64.210000000000008</v>
      </c>
      <c r="W2128" s="171">
        <v>56.550000000000004</v>
      </c>
      <c r="X2128" s="171">
        <v>66.39</v>
      </c>
      <c r="Y2128" s="171">
        <v>60.83</v>
      </c>
      <c r="Z2128" s="171">
        <v>55.92</v>
      </c>
      <c r="AA2128" s="171">
        <v>55.13</v>
      </c>
      <c r="AB2128" s="171">
        <v>48.65</v>
      </c>
      <c r="AC2128" s="171">
        <v>42.300000000000004</v>
      </c>
      <c r="AD2128" s="171">
        <v>54.980000000000004</v>
      </c>
      <c r="AF2128" s="171">
        <f t="shared" si="101"/>
        <v>2015</v>
      </c>
      <c r="AG2128" s="171">
        <f t="shared" si="102"/>
        <v>7</v>
      </c>
      <c r="AH2128" s="700">
        <f>SUMIF(D$3:$AA2128,"&lt;="&amp;$AH$1)/COUNTIF(D$3:$AA2128,"&lt;="&amp;$AH$1)</f>
        <v>31.454091256991468</v>
      </c>
    </row>
    <row r="2129" spans="2:34" x14ac:dyDescent="0.25">
      <c r="B2129" s="910">
        <v>42207</v>
      </c>
      <c r="C2129" s="581">
        <f t="shared" si="100"/>
        <v>7</v>
      </c>
      <c r="D2129" s="171">
        <v>46.79</v>
      </c>
      <c r="E2129" s="171">
        <v>37.83</v>
      </c>
      <c r="F2129" s="171">
        <v>37.61</v>
      </c>
      <c r="G2129" s="171">
        <v>35.64</v>
      </c>
      <c r="H2129" s="171">
        <v>31.82</v>
      </c>
      <c r="I2129" s="171">
        <v>32.22</v>
      </c>
      <c r="J2129" s="171">
        <v>35</v>
      </c>
      <c r="K2129" s="171">
        <v>44.24</v>
      </c>
      <c r="L2129" s="171">
        <v>53.64</v>
      </c>
      <c r="M2129" s="171">
        <v>56.92</v>
      </c>
      <c r="N2129" s="171">
        <v>52.51</v>
      </c>
      <c r="O2129" s="171">
        <v>55.09</v>
      </c>
      <c r="P2129" s="171">
        <v>54.15</v>
      </c>
      <c r="Q2129" s="171">
        <v>49.96</v>
      </c>
      <c r="R2129" s="171">
        <v>48.07</v>
      </c>
      <c r="S2129" s="171">
        <v>50.07</v>
      </c>
      <c r="T2129" s="171">
        <v>49.15</v>
      </c>
      <c r="U2129" s="171">
        <v>51.27</v>
      </c>
      <c r="V2129" s="171">
        <v>52.9</v>
      </c>
      <c r="W2129" s="171">
        <v>50.72</v>
      </c>
      <c r="X2129" s="171">
        <v>51.7</v>
      </c>
      <c r="Y2129" s="171">
        <v>50.56</v>
      </c>
      <c r="Z2129" s="171">
        <v>49.980000000000004</v>
      </c>
      <c r="AA2129" s="171">
        <v>49.94</v>
      </c>
      <c r="AB2129" s="171">
        <v>41.89</v>
      </c>
      <c r="AC2129" s="171">
        <v>41.7</v>
      </c>
      <c r="AD2129" s="171">
        <v>51.88</v>
      </c>
      <c r="AF2129" s="171">
        <f t="shared" si="101"/>
        <v>2015</v>
      </c>
      <c r="AG2129" s="171">
        <f t="shared" si="102"/>
        <v>6</v>
      </c>
      <c r="AH2129" s="700">
        <f>SUMIF(D$3:$AA2129,"&lt;="&amp;$AH$1)/COUNTIF(D$3:$AA2129,"&lt;="&amp;$AH$1)</f>
        <v>31.455350479665704</v>
      </c>
    </row>
    <row r="2130" spans="2:34" x14ac:dyDescent="0.25">
      <c r="B2130" s="910">
        <v>42208</v>
      </c>
      <c r="C2130" s="581">
        <f t="shared" si="100"/>
        <v>7</v>
      </c>
      <c r="D2130" s="171">
        <v>46.83</v>
      </c>
      <c r="E2130" s="171">
        <v>39.33</v>
      </c>
      <c r="F2130" s="171">
        <v>35.5</v>
      </c>
      <c r="G2130" s="171">
        <v>33.1</v>
      </c>
      <c r="H2130" s="171">
        <v>30.52</v>
      </c>
      <c r="I2130" s="171">
        <v>32.299999999999997</v>
      </c>
      <c r="J2130" s="171">
        <v>35.200000000000003</v>
      </c>
      <c r="K2130" s="171">
        <v>39.99</v>
      </c>
      <c r="L2130" s="171">
        <v>49.94</v>
      </c>
      <c r="M2130" s="171">
        <v>50.660000000000004</v>
      </c>
      <c r="N2130" s="171">
        <v>54.870000000000005</v>
      </c>
      <c r="O2130" s="171">
        <v>51.910000000000004</v>
      </c>
      <c r="P2130" s="171">
        <v>52.92</v>
      </c>
      <c r="Q2130" s="171">
        <v>50.69</v>
      </c>
      <c r="R2130" s="171">
        <v>50.370000000000005</v>
      </c>
      <c r="S2130" s="171">
        <v>48.980000000000004</v>
      </c>
      <c r="T2130" s="171">
        <v>47.69</v>
      </c>
      <c r="U2130" s="171">
        <v>51.94</v>
      </c>
      <c r="V2130" s="171">
        <v>51.370000000000005</v>
      </c>
      <c r="W2130" s="171">
        <v>51.94</v>
      </c>
      <c r="X2130" s="171">
        <v>53.370000000000005</v>
      </c>
      <c r="Y2130" s="171">
        <v>55.93</v>
      </c>
      <c r="Z2130" s="171">
        <v>52.95</v>
      </c>
      <c r="AA2130" s="171">
        <v>52.44</v>
      </c>
      <c r="AB2130" s="171">
        <v>49.99</v>
      </c>
      <c r="AC2130" s="171">
        <v>42.27</v>
      </c>
      <c r="AD2130" s="171">
        <v>51.39</v>
      </c>
      <c r="AF2130" s="171">
        <f t="shared" si="101"/>
        <v>2015</v>
      </c>
      <c r="AG2130" s="171">
        <f t="shared" si="102"/>
        <v>7</v>
      </c>
      <c r="AH2130" s="700">
        <f>SUMIF(D$3:$AA2130,"&lt;="&amp;$AH$1)/COUNTIF(D$3:$AA2130,"&lt;="&amp;$AH$1)</f>
        <v>31.456865513589829</v>
      </c>
    </row>
    <row r="2131" spans="2:34" x14ac:dyDescent="0.25">
      <c r="B2131" s="910">
        <v>42209</v>
      </c>
      <c r="C2131" s="581">
        <f t="shared" si="100"/>
        <v>7</v>
      </c>
      <c r="D2131" s="171">
        <v>45.78</v>
      </c>
      <c r="E2131" s="171">
        <v>41.97</v>
      </c>
      <c r="F2131" s="171">
        <v>36.590000000000003</v>
      </c>
      <c r="G2131" s="171">
        <v>34.36</v>
      </c>
      <c r="H2131" s="171">
        <v>32.43</v>
      </c>
      <c r="I2131" s="171">
        <v>33.049999999999997</v>
      </c>
      <c r="J2131" s="171">
        <v>34</v>
      </c>
      <c r="K2131" s="171">
        <v>42.96</v>
      </c>
      <c r="L2131" s="171">
        <v>55.25</v>
      </c>
      <c r="M2131" s="171">
        <v>55.17</v>
      </c>
      <c r="N2131" s="171">
        <v>56.910000000000004</v>
      </c>
      <c r="O2131" s="171">
        <v>53.45</v>
      </c>
      <c r="P2131" s="171">
        <v>52.620000000000005</v>
      </c>
      <c r="Q2131" s="171">
        <v>51.92</v>
      </c>
      <c r="R2131" s="171">
        <v>49.95</v>
      </c>
      <c r="S2131" s="171">
        <v>48.78</v>
      </c>
      <c r="T2131" s="171">
        <v>47.92</v>
      </c>
      <c r="U2131" s="171">
        <v>48</v>
      </c>
      <c r="V2131" s="171">
        <v>49.6</v>
      </c>
      <c r="W2131" s="171">
        <v>51.28</v>
      </c>
      <c r="X2131" s="171">
        <v>49.94</v>
      </c>
      <c r="Y2131" s="171">
        <v>45.93</v>
      </c>
      <c r="Z2131" s="171">
        <v>43.1</v>
      </c>
      <c r="AA2131" s="171">
        <v>42.75</v>
      </c>
      <c r="AB2131" s="171">
        <v>40.76</v>
      </c>
      <c r="AC2131" s="171">
        <v>40.26</v>
      </c>
      <c r="AD2131" s="171">
        <v>51.29</v>
      </c>
      <c r="AF2131" s="171">
        <f t="shared" si="101"/>
        <v>2015</v>
      </c>
      <c r="AG2131" s="171">
        <f t="shared" si="102"/>
        <v>6</v>
      </c>
      <c r="AH2131" s="700">
        <f>SUMIF(D$3:$AA2131,"&lt;="&amp;$AH$1)/COUNTIF(D$3:$AA2131,"&lt;="&amp;$AH$1)</f>
        <v>31.458256880733941</v>
      </c>
    </row>
    <row r="2132" spans="2:34" x14ac:dyDescent="0.25">
      <c r="B2132" s="910">
        <v>42212</v>
      </c>
      <c r="C2132" s="581">
        <f t="shared" si="100"/>
        <v>7</v>
      </c>
      <c r="D2132" s="171">
        <v>35.99</v>
      </c>
      <c r="E2132" s="171">
        <v>25.5</v>
      </c>
      <c r="F2132" s="171">
        <v>20.2</v>
      </c>
      <c r="G2132" s="171">
        <v>16.809999999999999</v>
      </c>
      <c r="H2132" s="171">
        <v>15.620000000000001</v>
      </c>
      <c r="I2132" s="171">
        <v>15.63</v>
      </c>
      <c r="J2132" s="171">
        <v>22.16</v>
      </c>
      <c r="K2132" s="171">
        <v>33.28</v>
      </c>
      <c r="L2132" s="171">
        <v>39.950000000000003</v>
      </c>
      <c r="M2132" s="171">
        <v>40.31</v>
      </c>
      <c r="N2132" s="171">
        <v>44.980000000000004</v>
      </c>
      <c r="O2132" s="171">
        <v>60</v>
      </c>
      <c r="P2132" s="171">
        <v>53.480000000000004</v>
      </c>
      <c r="Q2132" s="171">
        <v>50</v>
      </c>
      <c r="R2132" s="171">
        <v>50</v>
      </c>
      <c r="S2132" s="171">
        <v>52.51</v>
      </c>
      <c r="T2132" s="171">
        <v>49.79</v>
      </c>
      <c r="U2132" s="171">
        <v>49.42</v>
      </c>
      <c r="V2132" s="171">
        <v>34.96</v>
      </c>
      <c r="W2132" s="171">
        <v>31.34</v>
      </c>
      <c r="X2132" s="171">
        <v>34.86</v>
      </c>
      <c r="Y2132" s="171">
        <v>32.69</v>
      </c>
      <c r="Z2132" s="171">
        <v>30.990000000000002</v>
      </c>
      <c r="AA2132" s="171">
        <v>30.55</v>
      </c>
      <c r="AB2132" s="171">
        <v>28.7</v>
      </c>
      <c r="AC2132" s="171">
        <v>26.01</v>
      </c>
      <c r="AD2132" s="171">
        <v>45.97</v>
      </c>
      <c r="AF2132" s="171">
        <f t="shared" si="101"/>
        <v>2015</v>
      </c>
      <c r="AG2132" s="171">
        <f t="shared" si="102"/>
        <v>16</v>
      </c>
      <c r="AH2132" s="700">
        <f>SUMIF(D$3:$AA2132,"&lt;="&amp;$AH$1)/COUNTIF(D$3:$AA2132,"&lt;="&amp;$AH$1)</f>
        <v>31.455760282021146</v>
      </c>
    </row>
    <row r="2133" spans="2:34" x14ac:dyDescent="0.25">
      <c r="B2133" s="910">
        <v>42213</v>
      </c>
      <c r="C2133" s="581">
        <f t="shared" si="100"/>
        <v>7</v>
      </c>
      <c r="D2133" s="171">
        <v>33.67</v>
      </c>
      <c r="E2133" s="171">
        <v>19.13</v>
      </c>
      <c r="F2133" s="171">
        <v>16.27</v>
      </c>
      <c r="G2133" s="171">
        <v>15.47</v>
      </c>
      <c r="H2133" s="171">
        <v>10.540000000000001</v>
      </c>
      <c r="I2133" s="171">
        <v>12.6</v>
      </c>
      <c r="J2133" s="171">
        <v>16.61</v>
      </c>
      <c r="K2133" s="171">
        <v>23.09</v>
      </c>
      <c r="L2133" s="171">
        <v>30.76</v>
      </c>
      <c r="M2133" s="171">
        <v>31</v>
      </c>
      <c r="N2133" s="171">
        <v>31.34</v>
      </c>
      <c r="O2133" s="171">
        <v>40</v>
      </c>
      <c r="P2133" s="171">
        <v>44.96</v>
      </c>
      <c r="Q2133" s="171">
        <v>50</v>
      </c>
      <c r="R2133" s="171">
        <v>49.72</v>
      </c>
      <c r="S2133" s="171">
        <v>51.5</v>
      </c>
      <c r="T2133" s="171">
        <v>48.9</v>
      </c>
      <c r="U2133" s="171">
        <v>47.730000000000004</v>
      </c>
      <c r="V2133" s="171">
        <v>40.51</v>
      </c>
      <c r="W2133" s="171">
        <v>32.96</v>
      </c>
      <c r="X2133" s="171">
        <v>34.94</v>
      </c>
      <c r="Y2133" s="171">
        <v>31.88</v>
      </c>
      <c r="Z2133" s="171">
        <v>32.18</v>
      </c>
      <c r="AA2133" s="171">
        <v>38.96</v>
      </c>
      <c r="AB2133" s="171">
        <v>57</v>
      </c>
      <c r="AC2133" s="171">
        <v>25.37</v>
      </c>
      <c r="AD2133" s="171">
        <v>41.96</v>
      </c>
      <c r="AF2133" s="171">
        <f t="shared" si="101"/>
        <v>2015</v>
      </c>
      <c r="AG2133" s="171">
        <f t="shared" si="102"/>
        <v>18</v>
      </c>
      <c r="AH2133" s="700">
        <f>SUMIF(D$3:$AA2133,"&lt;="&amp;$AH$1)/COUNTIF(D$3:$AA2133,"&lt;="&amp;$AH$1)</f>
        <v>31.451399812184519</v>
      </c>
    </row>
    <row r="2134" spans="2:34" x14ac:dyDescent="0.25">
      <c r="B2134" s="910">
        <v>42214</v>
      </c>
      <c r="C2134" s="581">
        <f t="shared" si="100"/>
        <v>7</v>
      </c>
      <c r="D2134" s="171">
        <v>33.700000000000003</v>
      </c>
      <c r="E2134" s="171">
        <v>27.17</v>
      </c>
      <c r="F2134" s="171">
        <v>27.18</v>
      </c>
      <c r="G2134" s="171">
        <v>26</v>
      </c>
      <c r="H2134" s="171">
        <v>28.5</v>
      </c>
      <c r="I2134" s="171">
        <v>16.13</v>
      </c>
      <c r="J2134" s="171">
        <v>27.17</v>
      </c>
      <c r="K2134" s="171">
        <v>27.05</v>
      </c>
      <c r="L2134" s="171">
        <v>34.79</v>
      </c>
      <c r="M2134" s="171">
        <v>37.93</v>
      </c>
      <c r="N2134" s="171">
        <v>37.090000000000003</v>
      </c>
      <c r="O2134" s="171">
        <v>37.44</v>
      </c>
      <c r="P2134" s="171">
        <v>37.44</v>
      </c>
      <c r="Q2134" s="171">
        <v>36.1</v>
      </c>
      <c r="R2134" s="171">
        <v>36.11</v>
      </c>
      <c r="S2134" s="171">
        <v>34.94</v>
      </c>
      <c r="T2134" s="171">
        <v>35</v>
      </c>
      <c r="U2134" s="171">
        <v>34.94</v>
      </c>
      <c r="V2134" s="171">
        <v>37.44</v>
      </c>
      <c r="W2134" s="171">
        <v>32.44</v>
      </c>
      <c r="X2134" s="171">
        <v>32.1</v>
      </c>
      <c r="Y2134" s="171">
        <v>31.5</v>
      </c>
      <c r="Z2134" s="171">
        <v>39.5</v>
      </c>
      <c r="AA2134" s="171">
        <v>52.44</v>
      </c>
      <c r="AB2134" s="171">
        <v>42.35</v>
      </c>
      <c r="AC2134" s="171">
        <v>31.650000000000002</v>
      </c>
      <c r="AD2134" s="171">
        <v>35.75</v>
      </c>
      <c r="AF2134" s="171">
        <f t="shared" si="101"/>
        <v>2015</v>
      </c>
      <c r="AG2134" s="171">
        <f t="shared" si="102"/>
        <v>23</v>
      </c>
      <c r="AH2134" s="700">
        <f>SUMIF(D$3:$AA2134,"&lt;="&amp;$AH$1)/COUNTIF(D$3:$AA2134,"&lt;="&amp;$AH$1)</f>
        <v>31.452822812261864</v>
      </c>
    </row>
    <row r="2135" spans="2:34" x14ac:dyDescent="0.25">
      <c r="B2135" s="910">
        <v>42215</v>
      </c>
      <c r="C2135" s="581">
        <f t="shared" si="100"/>
        <v>7</v>
      </c>
      <c r="D2135" s="171">
        <v>44.99</v>
      </c>
      <c r="E2135" s="171">
        <v>30.7</v>
      </c>
      <c r="F2135" s="171">
        <v>31.1</v>
      </c>
      <c r="G2135" s="171">
        <v>25.01</v>
      </c>
      <c r="H2135" s="171">
        <v>27.42</v>
      </c>
      <c r="I2135" s="171">
        <v>27.43</v>
      </c>
      <c r="J2135" s="171">
        <v>31.1</v>
      </c>
      <c r="K2135" s="171">
        <v>30.7</v>
      </c>
      <c r="L2135" s="171">
        <v>47</v>
      </c>
      <c r="M2135" s="171">
        <v>40.800000000000004</v>
      </c>
      <c r="N2135" s="171">
        <v>52.44</v>
      </c>
      <c r="O2135" s="171">
        <v>52.19</v>
      </c>
      <c r="P2135" s="171">
        <v>52.09</v>
      </c>
      <c r="Q2135" s="171">
        <v>43</v>
      </c>
      <c r="R2135" s="171">
        <v>42.44</v>
      </c>
      <c r="S2135" s="171">
        <v>42.44</v>
      </c>
      <c r="T2135" s="171">
        <v>42</v>
      </c>
      <c r="U2135" s="171">
        <v>42.5</v>
      </c>
      <c r="V2135" s="171">
        <v>64.94</v>
      </c>
      <c r="W2135" s="171">
        <v>65.41</v>
      </c>
      <c r="X2135" s="171">
        <v>65.59</v>
      </c>
      <c r="Y2135" s="171">
        <v>64.53</v>
      </c>
      <c r="Z2135" s="171">
        <v>58</v>
      </c>
      <c r="AA2135" s="171">
        <v>53.49</v>
      </c>
      <c r="AB2135" s="171">
        <v>47.44</v>
      </c>
      <c r="AC2135" s="171">
        <v>39.49</v>
      </c>
      <c r="AD2135" s="171">
        <v>50.49</v>
      </c>
      <c r="AF2135" s="171">
        <f t="shared" si="101"/>
        <v>2015</v>
      </c>
      <c r="AG2135" s="171">
        <f t="shared" si="102"/>
        <v>12</v>
      </c>
      <c r="AH2135" s="700">
        <f>SUMIF(D$3:$AA2135,"&lt;="&amp;$AH$1)/COUNTIF(D$3:$AA2135,"&lt;="&amp;$AH$1)</f>
        <v>31.454943478006182</v>
      </c>
    </row>
    <row r="2136" spans="2:34" x14ac:dyDescent="0.25">
      <c r="B2136" s="910">
        <v>42216</v>
      </c>
      <c r="C2136" s="581">
        <f t="shared" si="100"/>
        <v>7</v>
      </c>
      <c r="D2136" s="171">
        <v>41.15</v>
      </c>
      <c r="E2136" s="171">
        <v>37.410000000000004</v>
      </c>
      <c r="F2136" s="171">
        <v>34.94</v>
      </c>
      <c r="G2136" s="171">
        <v>36.14</v>
      </c>
      <c r="H2136" s="171">
        <v>40.300000000000004</v>
      </c>
      <c r="I2136" s="171">
        <v>37.32</v>
      </c>
      <c r="J2136" s="171">
        <v>42</v>
      </c>
      <c r="K2136" s="171">
        <v>30.93</v>
      </c>
      <c r="L2136" s="171">
        <v>37.92</v>
      </c>
      <c r="M2136" s="171">
        <v>38.880000000000003</v>
      </c>
      <c r="N2136" s="171">
        <v>45.5</v>
      </c>
      <c r="O2136" s="171">
        <v>49.94</v>
      </c>
      <c r="P2136" s="171">
        <v>50.89</v>
      </c>
      <c r="Q2136" s="171">
        <v>50.76</v>
      </c>
      <c r="R2136" s="171">
        <v>42.1</v>
      </c>
      <c r="S2136" s="171">
        <v>38</v>
      </c>
      <c r="T2136" s="171">
        <v>32.96</v>
      </c>
      <c r="U2136" s="171">
        <v>30</v>
      </c>
      <c r="V2136" s="171">
        <v>34.96</v>
      </c>
      <c r="W2136" s="171">
        <v>39.660000000000004</v>
      </c>
      <c r="X2136" s="171">
        <v>43.64</v>
      </c>
      <c r="Y2136" s="171">
        <v>44.1</v>
      </c>
      <c r="Z2136" s="171">
        <v>40.22</v>
      </c>
      <c r="AA2136" s="171">
        <v>51</v>
      </c>
      <c r="AB2136" s="171">
        <v>58.02</v>
      </c>
      <c r="AC2136" s="171">
        <v>40.86</v>
      </c>
      <c r="AD2136" s="171">
        <v>41.44</v>
      </c>
      <c r="AF2136" s="171">
        <f t="shared" si="101"/>
        <v>2015</v>
      </c>
      <c r="AG2136" s="171">
        <f t="shared" si="102"/>
        <v>17</v>
      </c>
      <c r="AH2136" s="700">
        <f>SUMIF(D$3:$AA2136,"&lt;="&amp;$AH$1)/COUNTIF(D$3:$AA2136,"&lt;="&amp;$AH$1)</f>
        <v>31.460803978935022</v>
      </c>
    </row>
    <row r="2137" spans="2:34" x14ac:dyDescent="0.25">
      <c r="B2137" s="910">
        <v>42219</v>
      </c>
      <c r="C2137" s="581">
        <f t="shared" si="100"/>
        <v>8</v>
      </c>
      <c r="D2137" s="171">
        <v>41.15</v>
      </c>
      <c r="E2137" s="171">
        <v>37.410000000000004</v>
      </c>
      <c r="F2137" s="171">
        <v>34.94</v>
      </c>
      <c r="G2137" s="171">
        <v>36.14</v>
      </c>
      <c r="H2137" s="171">
        <v>40.300000000000004</v>
      </c>
      <c r="I2137" s="171">
        <v>37.32</v>
      </c>
      <c r="J2137" s="171">
        <v>42</v>
      </c>
      <c r="K2137" s="171">
        <v>30.93</v>
      </c>
      <c r="L2137" s="171">
        <v>37.92</v>
      </c>
      <c r="M2137" s="171">
        <v>38.880000000000003</v>
      </c>
      <c r="N2137" s="171">
        <v>45.5</v>
      </c>
      <c r="O2137" s="171">
        <v>49.94</v>
      </c>
      <c r="P2137" s="171">
        <v>50.89</v>
      </c>
      <c r="Q2137" s="171">
        <v>50.76</v>
      </c>
      <c r="R2137" s="171">
        <v>42.1</v>
      </c>
      <c r="S2137" s="171">
        <v>38</v>
      </c>
      <c r="T2137" s="171">
        <v>32.96</v>
      </c>
      <c r="U2137" s="171">
        <v>30</v>
      </c>
      <c r="V2137" s="171">
        <v>34.96</v>
      </c>
      <c r="W2137" s="171">
        <v>39.660000000000004</v>
      </c>
      <c r="X2137" s="171">
        <v>43.64</v>
      </c>
      <c r="Y2137" s="171">
        <v>44.1</v>
      </c>
      <c r="Z2137" s="171">
        <v>40.22</v>
      </c>
      <c r="AA2137" s="171">
        <v>51</v>
      </c>
      <c r="AB2137" s="171">
        <v>58.02</v>
      </c>
      <c r="AC2137" s="171">
        <v>40.86</v>
      </c>
      <c r="AD2137" s="171">
        <v>41.44</v>
      </c>
      <c r="AF2137" s="171">
        <f t="shared" si="101"/>
        <v>2015</v>
      </c>
      <c r="AG2137" s="171">
        <f t="shared" si="102"/>
        <v>17</v>
      </c>
      <c r="AH2137" s="700">
        <f>SUMIF(D$3:$AA2137,"&lt;="&amp;$AH$1)/COUNTIF(D$3:$AA2137,"&lt;="&amp;$AH$1)</f>
        <v>31.466652832173938</v>
      </c>
    </row>
    <row r="2138" spans="2:34" x14ac:dyDescent="0.25">
      <c r="B2138" s="910">
        <v>42220</v>
      </c>
      <c r="C2138" s="581">
        <f t="shared" si="100"/>
        <v>8</v>
      </c>
      <c r="D2138" s="171">
        <v>42.14</v>
      </c>
      <c r="E2138" s="171">
        <v>43</v>
      </c>
      <c r="F2138" s="171">
        <v>32.75</v>
      </c>
      <c r="G2138" s="171">
        <v>30.900000000000002</v>
      </c>
      <c r="H2138" s="171">
        <v>37.49</v>
      </c>
      <c r="I2138" s="171">
        <v>30.400000000000002</v>
      </c>
      <c r="J2138" s="171">
        <v>32</v>
      </c>
      <c r="K2138" s="171">
        <v>36.39</v>
      </c>
      <c r="L2138" s="171">
        <v>37.96</v>
      </c>
      <c r="M2138" s="171">
        <v>37.75</v>
      </c>
      <c r="N2138" s="171">
        <v>42.44</v>
      </c>
      <c r="O2138" s="171">
        <v>49.49</v>
      </c>
      <c r="P2138" s="171">
        <v>55</v>
      </c>
      <c r="Q2138" s="171">
        <v>49.67</v>
      </c>
      <c r="R2138" s="171">
        <v>51.42</v>
      </c>
      <c r="S2138" s="171">
        <v>45.85</v>
      </c>
      <c r="T2138" s="171">
        <v>37.64</v>
      </c>
      <c r="U2138" s="171">
        <v>38.980000000000004</v>
      </c>
      <c r="V2138" s="171">
        <v>39.93</v>
      </c>
      <c r="W2138" s="171">
        <v>39.94</v>
      </c>
      <c r="X2138" s="171">
        <v>39.9</v>
      </c>
      <c r="Y2138" s="171">
        <v>40.270000000000003</v>
      </c>
      <c r="Z2138" s="171">
        <v>48.65</v>
      </c>
      <c r="AA2138" s="171">
        <v>58.01</v>
      </c>
      <c r="AB2138" s="171">
        <v>55.43</v>
      </c>
      <c r="AC2138" s="171">
        <v>40.270000000000003</v>
      </c>
      <c r="AD2138" s="171">
        <v>44</v>
      </c>
      <c r="AF2138" s="171">
        <f t="shared" si="101"/>
        <v>2015</v>
      </c>
      <c r="AG2138" s="171">
        <f t="shared" si="102"/>
        <v>16</v>
      </c>
      <c r="AH2138" s="700">
        <f>SUMIF(D$3:$AA2138,"&lt;="&amp;$AH$1)/COUNTIF(D$3:$AA2138,"&lt;="&amp;$AH$1)</f>
        <v>31.472108275419</v>
      </c>
    </row>
    <row r="2139" spans="2:34" x14ac:dyDescent="0.25">
      <c r="B2139" s="910">
        <v>42221</v>
      </c>
      <c r="C2139" s="581">
        <f t="shared" si="100"/>
        <v>8</v>
      </c>
      <c r="D2139" s="171">
        <v>39.29</v>
      </c>
      <c r="E2139" s="171">
        <v>30.400000000000002</v>
      </c>
      <c r="F2139" s="171">
        <v>28.86</v>
      </c>
      <c r="G2139" s="171">
        <v>28.05</v>
      </c>
      <c r="H2139" s="171">
        <v>25.18</v>
      </c>
      <c r="I2139" s="171">
        <v>24.46</v>
      </c>
      <c r="J2139" s="171">
        <v>27.330000000000002</v>
      </c>
      <c r="K2139" s="171">
        <v>34.92</v>
      </c>
      <c r="L2139" s="171">
        <v>46.47</v>
      </c>
      <c r="M2139" s="171">
        <v>43.75</v>
      </c>
      <c r="N2139" s="171">
        <v>49.94</v>
      </c>
      <c r="O2139" s="171">
        <v>43.72</v>
      </c>
      <c r="P2139" s="171">
        <v>44.01</v>
      </c>
      <c r="Q2139" s="171">
        <v>44.84</v>
      </c>
      <c r="R2139" s="171">
        <v>39.99</v>
      </c>
      <c r="S2139" s="171">
        <v>41.2</v>
      </c>
      <c r="T2139" s="171">
        <v>39.94</v>
      </c>
      <c r="U2139" s="171">
        <v>49</v>
      </c>
      <c r="V2139" s="171">
        <v>37.54</v>
      </c>
      <c r="W2139" s="171">
        <v>45.52</v>
      </c>
      <c r="X2139" s="171">
        <v>47.14</v>
      </c>
      <c r="Y2139" s="171">
        <v>42.15</v>
      </c>
      <c r="Z2139" s="171">
        <v>43.93</v>
      </c>
      <c r="AA2139" s="171">
        <v>43.18</v>
      </c>
      <c r="AB2139" s="171">
        <v>41.46</v>
      </c>
      <c r="AC2139" s="171">
        <v>34.700000000000003</v>
      </c>
      <c r="AD2139" s="171">
        <v>43.88</v>
      </c>
      <c r="AF2139" s="171">
        <f t="shared" si="101"/>
        <v>2015</v>
      </c>
      <c r="AG2139" s="171">
        <f t="shared" si="102"/>
        <v>13</v>
      </c>
      <c r="AH2139" s="700">
        <f>SUMIF(D$3:$AA2139,"&lt;="&amp;$AH$1)/COUNTIF(D$3:$AA2139,"&lt;="&amp;$AH$1)</f>
        <v>31.473869047619026</v>
      </c>
    </row>
    <row r="2140" spans="2:34" x14ac:dyDescent="0.25">
      <c r="B2140" s="910">
        <v>42222</v>
      </c>
      <c r="C2140" s="581">
        <f t="shared" si="100"/>
        <v>8</v>
      </c>
      <c r="D2140" s="171">
        <v>40.700000000000003</v>
      </c>
      <c r="E2140" s="171">
        <v>30.240000000000002</v>
      </c>
      <c r="F2140" s="171">
        <v>27.95</v>
      </c>
      <c r="G2140" s="171">
        <v>25.14</v>
      </c>
      <c r="H2140" s="171">
        <v>23.21</v>
      </c>
      <c r="I2140" s="171">
        <v>23.02</v>
      </c>
      <c r="J2140" s="171">
        <v>25.46</v>
      </c>
      <c r="K2140" s="171">
        <v>31.32</v>
      </c>
      <c r="L2140" s="171">
        <v>39.94</v>
      </c>
      <c r="M2140" s="171">
        <v>42.72</v>
      </c>
      <c r="N2140" s="171">
        <v>44</v>
      </c>
      <c r="O2140" s="171">
        <v>45</v>
      </c>
      <c r="P2140" s="171">
        <v>47.44</v>
      </c>
      <c r="Q2140" s="171">
        <v>58</v>
      </c>
      <c r="R2140" s="171">
        <v>57.4</v>
      </c>
      <c r="S2140" s="171">
        <v>49.58</v>
      </c>
      <c r="T2140" s="171">
        <v>47.44</v>
      </c>
      <c r="U2140" s="171">
        <v>50</v>
      </c>
      <c r="V2140" s="171">
        <v>40.200000000000003</v>
      </c>
      <c r="W2140" s="171">
        <v>43.03</v>
      </c>
      <c r="X2140" s="171">
        <v>48.92</v>
      </c>
      <c r="Y2140" s="171">
        <v>45.18</v>
      </c>
      <c r="Z2140" s="171">
        <v>44.93</v>
      </c>
      <c r="AA2140" s="171">
        <v>42.87</v>
      </c>
      <c r="AB2140" s="171">
        <v>43.92</v>
      </c>
      <c r="AC2140" s="171">
        <v>33.6</v>
      </c>
      <c r="AD2140" s="171">
        <v>47.81</v>
      </c>
      <c r="AF2140" s="171">
        <f t="shared" si="101"/>
        <v>2015</v>
      </c>
      <c r="AG2140" s="171">
        <f t="shared" si="102"/>
        <v>10</v>
      </c>
      <c r="AH2140" s="700">
        <f>SUMIF(D$3:$AA2140,"&lt;="&amp;$AH$1)/COUNTIF(D$3:$AA2140,"&lt;="&amp;$AH$1)</f>
        <v>31.473428204829077</v>
      </c>
    </row>
    <row r="2141" spans="2:34" x14ac:dyDescent="0.25">
      <c r="B2141" s="910">
        <v>42223</v>
      </c>
      <c r="C2141" s="581">
        <f t="shared" si="100"/>
        <v>8</v>
      </c>
      <c r="D2141" s="171">
        <v>40.65</v>
      </c>
      <c r="E2141" s="171">
        <v>34.99</v>
      </c>
      <c r="F2141" s="171">
        <v>28.73</v>
      </c>
      <c r="G2141" s="171">
        <v>32.26</v>
      </c>
      <c r="H2141" s="171">
        <v>27.650000000000002</v>
      </c>
      <c r="I2141" s="171">
        <v>25.28</v>
      </c>
      <c r="J2141" s="171">
        <v>27.400000000000002</v>
      </c>
      <c r="K2141" s="171">
        <v>32.28</v>
      </c>
      <c r="L2141" s="171">
        <v>38.68</v>
      </c>
      <c r="M2141" s="171">
        <v>42.5</v>
      </c>
      <c r="N2141" s="171">
        <v>42.410000000000004</v>
      </c>
      <c r="O2141" s="171">
        <v>42.300000000000004</v>
      </c>
      <c r="P2141" s="171">
        <v>47.44</v>
      </c>
      <c r="Q2141" s="171">
        <v>49.94</v>
      </c>
      <c r="R2141" s="171">
        <v>50.72</v>
      </c>
      <c r="S2141" s="171">
        <v>49.94</v>
      </c>
      <c r="T2141" s="171">
        <v>42.44</v>
      </c>
      <c r="U2141" s="171">
        <v>50</v>
      </c>
      <c r="V2141" s="171">
        <v>39.01</v>
      </c>
      <c r="W2141" s="171">
        <v>42.300000000000004</v>
      </c>
      <c r="X2141" s="171">
        <v>43.97</v>
      </c>
      <c r="Y2141" s="171">
        <v>41.410000000000004</v>
      </c>
      <c r="Z2141" s="171">
        <v>41.57</v>
      </c>
      <c r="AA2141" s="171">
        <v>55</v>
      </c>
      <c r="AB2141" s="171">
        <v>47.44</v>
      </c>
      <c r="AC2141" s="171">
        <v>36.06</v>
      </c>
      <c r="AD2141" s="171">
        <v>45.25</v>
      </c>
      <c r="AF2141" s="171">
        <f t="shared" si="101"/>
        <v>2015</v>
      </c>
      <c r="AG2141" s="171">
        <f t="shared" si="102"/>
        <v>17</v>
      </c>
      <c r="AH2141" s="700">
        <f>SUMIF(D$3:$AA2141,"&lt;="&amp;$AH$1)/COUNTIF(D$3:$AA2141,"&lt;="&amp;$AH$1)</f>
        <v>31.47848627862259</v>
      </c>
    </row>
    <row r="2142" spans="2:34" x14ac:dyDescent="0.25">
      <c r="B2142" s="910">
        <v>42226</v>
      </c>
      <c r="C2142" s="581">
        <f t="shared" si="100"/>
        <v>8</v>
      </c>
      <c r="D2142" s="171">
        <v>39.33</v>
      </c>
      <c r="E2142" s="171">
        <v>30.6</v>
      </c>
      <c r="F2142" s="171">
        <v>27.19</v>
      </c>
      <c r="G2142" s="171">
        <v>25.490000000000002</v>
      </c>
      <c r="H2142" s="171">
        <v>24.77</v>
      </c>
      <c r="I2142" s="171">
        <v>24.45</v>
      </c>
      <c r="J2142" s="171">
        <v>27.22</v>
      </c>
      <c r="K2142" s="171">
        <v>46.33</v>
      </c>
      <c r="L2142" s="171">
        <v>51.19</v>
      </c>
      <c r="M2142" s="171">
        <v>52.15</v>
      </c>
      <c r="N2142" s="171">
        <v>40.69</v>
      </c>
      <c r="O2142" s="171">
        <v>39.480000000000004</v>
      </c>
      <c r="P2142" s="171">
        <v>39.950000000000003</v>
      </c>
      <c r="Q2142" s="171">
        <v>44.96</v>
      </c>
      <c r="R2142" s="171">
        <v>46.22</v>
      </c>
      <c r="S2142" s="171">
        <v>42.44</v>
      </c>
      <c r="T2142" s="171">
        <v>51.42</v>
      </c>
      <c r="U2142" s="171">
        <v>47.44</v>
      </c>
      <c r="V2142" s="171">
        <v>46.13</v>
      </c>
      <c r="W2142" s="171">
        <v>40.67</v>
      </c>
      <c r="X2142" s="171">
        <v>40.32</v>
      </c>
      <c r="Y2142" s="171">
        <v>37.08</v>
      </c>
      <c r="Z2142" s="171">
        <v>36.94</v>
      </c>
      <c r="AA2142" s="171">
        <v>48.82</v>
      </c>
      <c r="AB2142" s="171">
        <v>31.85</v>
      </c>
      <c r="AC2142" s="171">
        <v>34.33</v>
      </c>
      <c r="AD2142" s="171">
        <v>44.32</v>
      </c>
      <c r="AF2142" s="171">
        <f t="shared" si="101"/>
        <v>2015</v>
      </c>
      <c r="AG2142" s="171">
        <f t="shared" si="102"/>
        <v>15</v>
      </c>
      <c r="AH2142" s="700">
        <f>SUMIF(D$3:$AA2142,"&lt;="&amp;$AH$1)/COUNTIF(D$3:$AA2142,"&lt;="&amp;$AH$1)</f>
        <v>31.481073466061186</v>
      </c>
    </row>
    <row r="2143" spans="2:34" x14ac:dyDescent="0.25">
      <c r="B2143" s="910">
        <v>42227</v>
      </c>
      <c r="C2143" s="581">
        <f t="shared" si="100"/>
        <v>8</v>
      </c>
      <c r="D2143" s="171">
        <v>43.03</v>
      </c>
      <c r="E2143" s="171">
        <v>30.7</v>
      </c>
      <c r="F2143" s="171">
        <v>36.42</v>
      </c>
      <c r="G2143" s="171">
        <v>31.36</v>
      </c>
      <c r="H2143" s="171">
        <v>30.34</v>
      </c>
      <c r="I2143" s="171">
        <v>28.52</v>
      </c>
      <c r="J2143" s="171">
        <v>31.01</v>
      </c>
      <c r="K2143" s="171">
        <v>43.22</v>
      </c>
      <c r="L2143" s="171">
        <v>49.13</v>
      </c>
      <c r="M2143" s="171">
        <v>52.44</v>
      </c>
      <c r="N2143" s="171">
        <v>49.94</v>
      </c>
      <c r="O2143" s="171">
        <v>45.78</v>
      </c>
      <c r="P2143" s="171">
        <v>50.21</v>
      </c>
      <c r="Q2143" s="171">
        <v>51.800000000000004</v>
      </c>
      <c r="R2143" s="171">
        <v>45.5</v>
      </c>
      <c r="S2143" s="171">
        <v>49</v>
      </c>
      <c r="T2143" s="171">
        <v>43.28</v>
      </c>
      <c r="U2143" s="171">
        <v>38.880000000000003</v>
      </c>
      <c r="V2143" s="171">
        <v>49.54</v>
      </c>
      <c r="W2143" s="171">
        <v>45.45</v>
      </c>
      <c r="X2143" s="171">
        <v>48.29</v>
      </c>
      <c r="Y2143" s="171">
        <v>47.27</v>
      </c>
      <c r="Z2143" s="171">
        <v>47.46</v>
      </c>
      <c r="AA2143" s="171">
        <v>43.09</v>
      </c>
      <c r="AB2143" s="171">
        <v>44.160000000000004</v>
      </c>
      <c r="AC2143" s="171">
        <v>38.56</v>
      </c>
      <c r="AD2143" s="171">
        <v>47.51</v>
      </c>
      <c r="AF2143" s="171">
        <f t="shared" si="101"/>
        <v>2015</v>
      </c>
      <c r="AG2143" s="171">
        <f t="shared" si="102"/>
        <v>7</v>
      </c>
      <c r="AH2143" s="700">
        <f>SUMIF(D$3:$AA2143,"&lt;="&amp;$AH$1)/COUNTIF(D$3:$AA2143,"&lt;="&amp;$AH$1)</f>
        <v>31.481472796043004</v>
      </c>
    </row>
    <row r="2144" spans="2:34" x14ac:dyDescent="0.25">
      <c r="B2144" s="910">
        <v>42228</v>
      </c>
      <c r="C2144" s="581">
        <f t="shared" si="100"/>
        <v>8</v>
      </c>
      <c r="D2144" s="171">
        <v>40.25</v>
      </c>
      <c r="E2144" s="171">
        <v>31.48</v>
      </c>
      <c r="F2144" s="171">
        <v>28.7</v>
      </c>
      <c r="G2144" s="171">
        <v>27.94</v>
      </c>
      <c r="H2144" s="171">
        <v>26.94</v>
      </c>
      <c r="I2144" s="171">
        <v>27.810000000000002</v>
      </c>
      <c r="J2144" s="171">
        <v>29.060000000000002</v>
      </c>
      <c r="K2144" s="171">
        <v>44.92</v>
      </c>
      <c r="L2144" s="171">
        <v>59.17</v>
      </c>
      <c r="M2144" s="171">
        <v>54.050000000000004</v>
      </c>
      <c r="N2144" s="171">
        <v>49.94</v>
      </c>
      <c r="O2144" s="171">
        <v>43.050000000000004</v>
      </c>
      <c r="P2144" s="171">
        <v>46.75</v>
      </c>
      <c r="Q2144" s="171">
        <v>40.410000000000004</v>
      </c>
      <c r="R2144" s="171">
        <v>40</v>
      </c>
      <c r="S2144" s="171">
        <v>38.31</v>
      </c>
      <c r="T2144" s="171">
        <v>37.160000000000004</v>
      </c>
      <c r="U2144" s="171">
        <v>39.300000000000004</v>
      </c>
      <c r="V2144" s="171">
        <v>54.99</v>
      </c>
      <c r="W2144" s="171">
        <v>43.160000000000004</v>
      </c>
      <c r="X2144" s="171">
        <v>43.37</v>
      </c>
      <c r="Y2144" s="171">
        <v>43.07</v>
      </c>
      <c r="Z2144" s="171">
        <v>43.95</v>
      </c>
      <c r="AA2144" s="171">
        <v>40.86</v>
      </c>
      <c r="AB2144" s="171">
        <v>31.5</v>
      </c>
      <c r="AC2144" s="171">
        <v>36.28</v>
      </c>
      <c r="AD2144" s="171">
        <v>44.21</v>
      </c>
      <c r="AF2144" s="171">
        <f t="shared" si="101"/>
        <v>2015</v>
      </c>
      <c r="AG2144" s="171">
        <f t="shared" si="102"/>
        <v>13</v>
      </c>
      <c r="AH2144" s="700">
        <f>SUMIF(D$3:$AA2144,"&lt;="&amp;$AH$1)/COUNTIF(D$3:$AA2144,"&lt;="&amp;$AH$1)</f>
        <v>31.483738225374992</v>
      </c>
    </row>
    <row r="2145" spans="2:34" x14ac:dyDescent="0.25">
      <c r="B2145" s="910">
        <v>42229</v>
      </c>
      <c r="C2145" s="581">
        <f t="shared" si="100"/>
        <v>8</v>
      </c>
      <c r="D2145" s="171">
        <v>39.520000000000003</v>
      </c>
      <c r="E2145" s="171">
        <v>28.87</v>
      </c>
      <c r="F2145" s="171">
        <v>28.55</v>
      </c>
      <c r="G2145" s="171">
        <v>26.17</v>
      </c>
      <c r="H2145" s="171">
        <v>28.89</v>
      </c>
      <c r="I2145" s="171">
        <v>31.37</v>
      </c>
      <c r="J2145" s="171">
        <v>30.1</v>
      </c>
      <c r="K2145" s="171">
        <v>32.61</v>
      </c>
      <c r="L2145" s="171">
        <v>47.43</v>
      </c>
      <c r="M2145" s="171">
        <v>50.620000000000005</v>
      </c>
      <c r="N2145" s="171">
        <v>49.43</v>
      </c>
      <c r="O2145" s="171">
        <v>43.17</v>
      </c>
      <c r="P2145" s="171">
        <v>47.15</v>
      </c>
      <c r="Q2145" s="171">
        <v>48</v>
      </c>
      <c r="R2145" s="171">
        <v>47.44</v>
      </c>
      <c r="S2145" s="171">
        <v>39.660000000000004</v>
      </c>
      <c r="T2145" s="171">
        <v>31.02</v>
      </c>
      <c r="U2145" s="171">
        <v>33</v>
      </c>
      <c r="V2145" s="171">
        <v>46.37</v>
      </c>
      <c r="W2145" s="171">
        <v>46.480000000000004</v>
      </c>
      <c r="X2145" s="171">
        <v>46.03</v>
      </c>
      <c r="Y2145" s="171">
        <v>43.44</v>
      </c>
      <c r="Z2145" s="171">
        <v>41.050000000000004</v>
      </c>
      <c r="AA2145" s="171">
        <v>46.97</v>
      </c>
      <c r="AB2145" s="171">
        <v>34.700000000000003</v>
      </c>
      <c r="AC2145" s="171">
        <v>35.01</v>
      </c>
      <c r="AD2145" s="171">
        <v>44.03</v>
      </c>
      <c r="AF2145" s="171">
        <f t="shared" si="101"/>
        <v>2015</v>
      </c>
      <c r="AG2145" s="171">
        <f t="shared" si="102"/>
        <v>12</v>
      </c>
      <c r="AH2145" s="700">
        <f>SUMIF(D$3:$AA2145,"&lt;="&amp;$AH$1)/COUNTIF(D$3:$AA2145,"&lt;="&amp;$AH$1)</f>
        <v>31.484493898895952</v>
      </c>
    </row>
    <row r="2146" spans="2:34" x14ac:dyDescent="0.25">
      <c r="B2146" s="910">
        <v>42230</v>
      </c>
      <c r="C2146" s="581">
        <f t="shared" si="100"/>
        <v>8</v>
      </c>
      <c r="D2146" s="171">
        <v>39.56</v>
      </c>
      <c r="E2146" s="171">
        <v>44.99</v>
      </c>
      <c r="F2146" s="171">
        <v>27.580000000000002</v>
      </c>
      <c r="G2146" s="171">
        <v>30.400000000000002</v>
      </c>
      <c r="H2146" s="171">
        <v>26.02</v>
      </c>
      <c r="I2146" s="171">
        <v>24.75</v>
      </c>
      <c r="J2146" s="171">
        <v>29.900000000000002</v>
      </c>
      <c r="K2146" s="171">
        <v>31.05</v>
      </c>
      <c r="L2146" s="171">
        <v>43.39</v>
      </c>
      <c r="M2146" s="171">
        <v>39.31</v>
      </c>
      <c r="N2146" s="171">
        <v>40.4</v>
      </c>
      <c r="O2146" s="171">
        <v>39.94</v>
      </c>
      <c r="P2146" s="171">
        <v>39.99</v>
      </c>
      <c r="Q2146" s="171">
        <v>41.21</v>
      </c>
      <c r="R2146" s="171">
        <v>40.21</v>
      </c>
      <c r="S2146" s="171">
        <v>44.94</v>
      </c>
      <c r="T2146" s="171">
        <v>44.97</v>
      </c>
      <c r="U2146" s="171">
        <v>52.34</v>
      </c>
      <c r="V2146" s="171">
        <v>42.03</v>
      </c>
      <c r="W2146" s="171">
        <v>41.9</v>
      </c>
      <c r="X2146" s="171">
        <v>41.9</v>
      </c>
      <c r="Y2146" s="171">
        <v>40.82</v>
      </c>
      <c r="Z2146" s="171">
        <v>41.5</v>
      </c>
      <c r="AA2146" s="171">
        <v>45</v>
      </c>
      <c r="AB2146" s="171">
        <v>54.870000000000005</v>
      </c>
      <c r="AC2146" s="171">
        <v>36.69</v>
      </c>
      <c r="AD2146" s="171">
        <v>42.43</v>
      </c>
      <c r="AF2146" s="171">
        <f t="shared" si="101"/>
        <v>2015</v>
      </c>
      <c r="AG2146" s="171">
        <f t="shared" si="102"/>
        <v>18</v>
      </c>
      <c r="AH2146" s="700">
        <f>SUMIF(D$3:$AA2146,"&lt;="&amp;$AH$1)/COUNTIF(D$3:$AA2146,"&lt;="&amp;$AH$1)</f>
        <v>31.489819479916381</v>
      </c>
    </row>
    <row r="2147" spans="2:34" x14ac:dyDescent="0.25">
      <c r="B2147" s="910">
        <v>42233</v>
      </c>
      <c r="C2147" s="581">
        <f t="shared" si="100"/>
        <v>8</v>
      </c>
      <c r="D2147" s="171">
        <v>41.87</v>
      </c>
      <c r="E2147" s="171">
        <v>29.11</v>
      </c>
      <c r="F2147" s="171">
        <v>31.310000000000002</v>
      </c>
      <c r="G2147" s="171">
        <v>32.07</v>
      </c>
      <c r="H2147" s="171">
        <v>30.09</v>
      </c>
      <c r="I2147" s="171">
        <v>32.08</v>
      </c>
      <c r="J2147" s="171">
        <v>30.11</v>
      </c>
      <c r="K2147" s="171">
        <v>39.04</v>
      </c>
      <c r="L2147" s="171">
        <v>42.230000000000004</v>
      </c>
      <c r="M2147" s="171">
        <v>46.07</v>
      </c>
      <c r="N2147" s="171">
        <v>49.31</v>
      </c>
      <c r="O2147" s="171">
        <v>51</v>
      </c>
      <c r="P2147" s="171">
        <v>50</v>
      </c>
      <c r="Q2147" s="171">
        <v>49.54</v>
      </c>
      <c r="R2147" s="171">
        <v>48.93</v>
      </c>
      <c r="S2147" s="171">
        <v>49.46</v>
      </c>
      <c r="T2147" s="171">
        <v>46.01</v>
      </c>
      <c r="U2147" s="171">
        <v>44.92</v>
      </c>
      <c r="V2147" s="171">
        <v>46.88</v>
      </c>
      <c r="W2147" s="171">
        <v>44.910000000000004</v>
      </c>
      <c r="X2147" s="171">
        <v>45.06</v>
      </c>
      <c r="Y2147" s="171">
        <v>44.93</v>
      </c>
      <c r="Z2147" s="171">
        <v>43.94</v>
      </c>
      <c r="AA2147" s="171">
        <v>39.950000000000003</v>
      </c>
      <c r="AB2147" s="171">
        <v>38</v>
      </c>
      <c r="AC2147" s="171">
        <v>36.07</v>
      </c>
      <c r="AD2147" s="171">
        <v>47.67</v>
      </c>
      <c r="AF2147" s="171">
        <f t="shared" si="101"/>
        <v>2015</v>
      </c>
      <c r="AG2147" s="171">
        <f t="shared" si="102"/>
        <v>10</v>
      </c>
      <c r="AH2147" s="700">
        <f>SUMIF(D$3:$AA2147,"&lt;="&amp;$AH$1)/COUNTIF(D$3:$AA2147,"&lt;="&amp;$AH$1)</f>
        <v>31.49173163940128</v>
      </c>
    </row>
    <row r="2148" spans="2:34" x14ac:dyDescent="0.25">
      <c r="B2148" s="910">
        <v>42234</v>
      </c>
      <c r="C2148" s="581">
        <f t="shared" si="100"/>
        <v>8</v>
      </c>
      <c r="D2148" s="171">
        <v>41.95</v>
      </c>
      <c r="E2148" s="171">
        <v>33.76</v>
      </c>
      <c r="F2148" s="171">
        <v>31.19</v>
      </c>
      <c r="G2148" s="171">
        <v>27.66</v>
      </c>
      <c r="H2148" s="171">
        <v>29.23</v>
      </c>
      <c r="I2148" s="171">
        <v>29.3</v>
      </c>
      <c r="J2148" s="171">
        <v>32.15</v>
      </c>
      <c r="K2148" s="171">
        <v>35.4</v>
      </c>
      <c r="L2148" s="171">
        <v>43.15</v>
      </c>
      <c r="M2148" s="171">
        <v>46.47</v>
      </c>
      <c r="N2148" s="171">
        <v>49.18</v>
      </c>
      <c r="O2148" s="171">
        <v>48.800000000000004</v>
      </c>
      <c r="P2148" s="171">
        <v>49.39</v>
      </c>
      <c r="Q2148" s="171">
        <v>47.660000000000004</v>
      </c>
      <c r="R2148" s="171">
        <v>48.76</v>
      </c>
      <c r="S2148" s="171">
        <v>48</v>
      </c>
      <c r="T2148" s="171">
        <v>45</v>
      </c>
      <c r="U2148" s="171">
        <v>45.12</v>
      </c>
      <c r="V2148" s="171">
        <v>47.33</v>
      </c>
      <c r="W2148" s="171">
        <v>46.410000000000004</v>
      </c>
      <c r="X2148" s="171">
        <v>47.11</v>
      </c>
      <c r="Y2148" s="171">
        <v>48.36</v>
      </c>
      <c r="Z2148" s="171">
        <v>47.11</v>
      </c>
      <c r="AA2148" s="171">
        <v>44.15</v>
      </c>
      <c r="AB2148" s="171">
        <v>36.04</v>
      </c>
      <c r="AC2148" s="171">
        <v>36.46</v>
      </c>
      <c r="AD2148" s="171">
        <v>47.44</v>
      </c>
      <c r="AF2148" s="171">
        <f t="shared" si="101"/>
        <v>2015</v>
      </c>
      <c r="AG2148" s="171">
        <f t="shared" si="102"/>
        <v>8</v>
      </c>
      <c r="AH2148" s="700">
        <f>SUMIF(D$3:$AA2148,"&lt;="&amp;$AH$1)/COUNTIF(D$3:$AA2148,"&lt;="&amp;$AH$1)</f>
        <v>31.492236460628511</v>
      </c>
    </row>
    <row r="2149" spans="2:34" x14ac:dyDescent="0.25">
      <c r="B2149" s="910">
        <v>42235</v>
      </c>
      <c r="C2149" s="581">
        <f t="shared" si="100"/>
        <v>8</v>
      </c>
      <c r="D2149" s="171">
        <v>41.74</v>
      </c>
      <c r="E2149" s="171">
        <v>37.64</v>
      </c>
      <c r="F2149" s="171">
        <v>37.04</v>
      </c>
      <c r="G2149" s="171">
        <v>32.61</v>
      </c>
      <c r="H2149" s="171">
        <v>29.82</v>
      </c>
      <c r="I2149" s="171">
        <v>30.27</v>
      </c>
      <c r="J2149" s="171">
        <v>33.799999999999997</v>
      </c>
      <c r="K2149" s="171">
        <v>40.29</v>
      </c>
      <c r="L2149" s="171">
        <v>46.410000000000004</v>
      </c>
      <c r="M2149" s="171">
        <v>47.02</v>
      </c>
      <c r="N2149" s="171">
        <v>45.96</v>
      </c>
      <c r="O2149" s="171">
        <v>45.45</v>
      </c>
      <c r="P2149" s="171">
        <v>45.980000000000004</v>
      </c>
      <c r="Q2149" s="171">
        <v>43.57</v>
      </c>
      <c r="R2149" s="171">
        <v>42.94</v>
      </c>
      <c r="S2149" s="171">
        <v>41.47</v>
      </c>
      <c r="T2149" s="171">
        <v>41.93</v>
      </c>
      <c r="U2149" s="171">
        <v>41.92</v>
      </c>
      <c r="V2149" s="171">
        <v>45.7</v>
      </c>
      <c r="W2149" s="171">
        <v>45.800000000000004</v>
      </c>
      <c r="X2149" s="171">
        <v>47.49</v>
      </c>
      <c r="Y2149" s="171">
        <v>46.74</v>
      </c>
      <c r="Z2149" s="171">
        <v>45.78</v>
      </c>
      <c r="AA2149" s="171">
        <v>41.230000000000004</v>
      </c>
      <c r="AB2149" s="171">
        <v>44.96</v>
      </c>
      <c r="AC2149" s="171">
        <v>38.880000000000003</v>
      </c>
      <c r="AD2149" s="171">
        <v>44.6</v>
      </c>
      <c r="AF2149" s="171">
        <f t="shared" si="101"/>
        <v>2015</v>
      </c>
      <c r="AG2149" s="171">
        <f t="shared" si="102"/>
        <v>12</v>
      </c>
      <c r="AH2149" s="700">
        <f>SUMIF(D$3:$AA2149,"&lt;="&amp;$AH$1)/COUNTIF(D$3:$AA2149,"&lt;="&amp;$AH$1)</f>
        <v>31.496399930466996</v>
      </c>
    </row>
    <row r="2150" spans="2:34" x14ac:dyDescent="0.25">
      <c r="B2150" s="910">
        <v>42236</v>
      </c>
      <c r="C2150" s="581">
        <f t="shared" si="100"/>
        <v>8</v>
      </c>
      <c r="D2150" s="171">
        <v>41.82</v>
      </c>
      <c r="E2150" s="171">
        <v>36.92</v>
      </c>
      <c r="F2150" s="171">
        <v>32.33</v>
      </c>
      <c r="G2150" s="171">
        <v>28.23</v>
      </c>
      <c r="H2150" s="171">
        <v>28.52</v>
      </c>
      <c r="I2150" s="171">
        <v>31.7</v>
      </c>
      <c r="J2150" s="171">
        <v>32.75</v>
      </c>
      <c r="K2150" s="171">
        <v>38.58</v>
      </c>
      <c r="L2150" s="171">
        <v>45.01</v>
      </c>
      <c r="M2150" s="171">
        <v>47</v>
      </c>
      <c r="N2150" s="171">
        <v>48.49</v>
      </c>
      <c r="O2150" s="171">
        <v>48.910000000000004</v>
      </c>
      <c r="P2150" s="171">
        <v>49.88</v>
      </c>
      <c r="Q2150" s="171">
        <v>44.44</v>
      </c>
      <c r="R2150" s="171">
        <v>43.28</v>
      </c>
      <c r="S2150" s="171">
        <v>44.94</v>
      </c>
      <c r="T2150" s="171">
        <v>43.24</v>
      </c>
      <c r="U2150" s="171">
        <v>42.24</v>
      </c>
      <c r="V2150" s="171">
        <v>47</v>
      </c>
      <c r="W2150" s="171">
        <v>44.28</v>
      </c>
      <c r="X2150" s="171">
        <v>43.54</v>
      </c>
      <c r="Y2150" s="171">
        <v>45.35</v>
      </c>
      <c r="Z2150" s="171">
        <v>44.87</v>
      </c>
      <c r="AA2150" s="171">
        <v>50</v>
      </c>
      <c r="AB2150" s="171">
        <v>42.18</v>
      </c>
      <c r="AC2150" s="171">
        <v>38.04</v>
      </c>
      <c r="AD2150" s="171">
        <v>45.6</v>
      </c>
      <c r="AF2150" s="171">
        <f t="shared" si="101"/>
        <v>2015</v>
      </c>
      <c r="AG2150" s="171">
        <f t="shared" si="102"/>
        <v>9</v>
      </c>
      <c r="AH2150" s="700">
        <f>SUMIF(D$3:$AA2150,"&lt;="&amp;$AH$1)/COUNTIF(D$3:$AA2150,"&lt;="&amp;$AH$1)</f>
        <v>31.498115480396088</v>
      </c>
    </row>
    <row r="2151" spans="2:34" x14ac:dyDescent="0.25">
      <c r="B2151" s="910">
        <v>42237</v>
      </c>
      <c r="C2151" s="581">
        <f t="shared" si="100"/>
        <v>8</v>
      </c>
      <c r="D2151" s="171">
        <v>43.22</v>
      </c>
      <c r="E2151" s="171">
        <v>52.06</v>
      </c>
      <c r="F2151" s="171">
        <v>40.99</v>
      </c>
      <c r="G2151" s="171">
        <v>35.61</v>
      </c>
      <c r="H2151" s="171">
        <v>30.560000000000002</v>
      </c>
      <c r="I2151" s="171">
        <v>31.07</v>
      </c>
      <c r="J2151" s="171">
        <v>32.76</v>
      </c>
      <c r="K2151" s="171">
        <v>37.93</v>
      </c>
      <c r="L2151" s="171">
        <v>41.97</v>
      </c>
      <c r="M2151" s="171">
        <v>45.51</v>
      </c>
      <c r="N2151" s="171">
        <v>44.94</v>
      </c>
      <c r="O2151" s="171">
        <v>43.58</v>
      </c>
      <c r="P2151" s="171">
        <v>45</v>
      </c>
      <c r="Q2151" s="171">
        <v>50.17</v>
      </c>
      <c r="R2151" s="171">
        <v>49.68</v>
      </c>
      <c r="S2151" s="171">
        <v>48.03</v>
      </c>
      <c r="T2151" s="171">
        <v>47</v>
      </c>
      <c r="U2151" s="171">
        <v>39.99</v>
      </c>
      <c r="V2151" s="171">
        <v>39.94</v>
      </c>
      <c r="W2151" s="171">
        <v>44.99</v>
      </c>
      <c r="X2151" s="171">
        <v>45.9</v>
      </c>
      <c r="Y2151" s="171">
        <v>45.62</v>
      </c>
      <c r="Z2151" s="171">
        <v>46.9</v>
      </c>
      <c r="AA2151" s="171">
        <v>45</v>
      </c>
      <c r="AB2151" s="171">
        <v>52</v>
      </c>
      <c r="AC2151" s="171">
        <v>41.04</v>
      </c>
      <c r="AD2151" s="171">
        <v>45.39</v>
      </c>
      <c r="AF2151" s="171">
        <f t="shared" si="101"/>
        <v>2015</v>
      </c>
      <c r="AG2151" s="171">
        <f t="shared" si="102"/>
        <v>9</v>
      </c>
      <c r="AH2151" s="700">
        <f>SUMIF(D$3:$AA2151,"&lt;="&amp;$AH$1)/COUNTIF(D$3:$AA2151,"&lt;="&amp;$AH$1)</f>
        <v>31.500855522111554</v>
      </c>
    </row>
    <row r="2152" spans="2:34" x14ac:dyDescent="0.25">
      <c r="B2152" s="910">
        <v>42240</v>
      </c>
      <c r="C2152" s="581">
        <f t="shared" si="100"/>
        <v>8</v>
      </c>
      <c r="D2152" s="171">
        <v>42.67</v>
      </c>
      <c r="E2152" s="171">
        <v>49.800000000000004</v>
      </c>
      <c r="F2152" s="171">
        <v>36.450000000000003</v>
      </c>
      <c r="G2152" s="171">
        <v>31.900000000000002</v>
      </c>
      <c r="H2152" s="171">
        <v>23.94</v>
      </c>
      <c r="I2152" s="171">
        <v>29.7</v>
      </c>
      <c r="J2152" s="171">
        <v>31.54</v>
      </c>
      <c r="K2152" s="171">
        <v>46.17</v>
      </c>
      <c r="L2152" s="171">
        <v>44.94</v>
      </c>
      <c r="M2152" s="171">
        <v>53.54</v>
      </c>
      <c r="N2152" s="171">
        <v>47.5</v>
      </c>
      <c r="O2152" s="171">
        <v>50</v>
      </c>
      <c r="P2152" s="171">
        <v>60</v>
      </c>
      <c r="Q2152" s="171">
        <v>54.160000000000004</v>
      </c>
      <c r="R2152" s="171">
        <v>58</v>
      </c>
      <c r="S2152" s="171">
        <v>55.28</v>
      </c>
      <c r="T2152" s="171">
        <v>49.59</v>
      </c>
      <c r="U2152" s="171">
        <v>44.79</v>
      </c>
      <c r="V2152" s="171">
        <v>38.800000000000004</v>
      </c>
      <c r="W2152" s="171">
        <v>38.910000000000004</v>
      </c>
      <c r="X2152" s="171">
        <v>39.94</v>
      </c>
      <c r="Y2152" s="171">
        <v>37.43</v>
      </c>
      <c r="Z2152" s="171">
        <v>36.369999999999997</v>
      </c>
      <c r="AA2152" s="171">
        <v>35.630000000000003</v>
      </c>
      <c r="AB2152" s="171">
        <v>29.7</v>
      </c>
      <c r="AC2152" s="171">
        <v>36.130000000000003</v>
      </c>
      <c r="AD2152" s="171">
        <v>49.21</v>
      </c>
      <c r="AF2152" s="171">
        <f t="shared" si="101"/>
        <v>2015</v>
      </c>
      <c r="AG2152" s="171">
        <f t="shared" si="102"/>
        <v>11</v>
      </c>
      <c r="AH2152" s="700">
        <f>SUMIF(D$3:$AA2152,"&lt;="&amp;$AH$1)/COUNTIF(D$3:$AA2152,"&lt;="&amp;$AH$1)</f>
        <v>31.502828136750114</v>
      </c>
    </row>
    <row r="2153" spans="2:34" x14ac:dyDescent="0.25">
      <c r="B2153" s="910">
        <v>42241</v>
      </c>
      <c r="C2153" s="581">
        <f t="shared" si="100"/>
        <v>8</v>
      </c>
      <c r="D2153" s="171">
        <v>39.35</v>
      </c>
      <c r="E2153" s="171">
        <v>32.619999999999997</v>
      </c>
      <c r="F2153" s="171">
        <v>32.32</v>
      </c>
      <c r="G2153" s="171">
        <v>33.1</v>
      </c>
      <c r="H2153" s="171">
        <v>24.51</v>
      </c>
      <c r="I2153" s="171">
        <v>29.5</v>
      </c>
      <c r="J2153" s="171">
        <v>30.1</v>
      </c>
      <c r="K2153" s="171">
        <v>30.150000000000002</v>
      </c>
      <c r="L2153" s="171">
        <v>34.99</v>
      </c>
      <c r="M2153" s="171">
        <v>41</v>
      </c>
      <c r="N2153" s="171">
        <v>48.82</v>
      </c>
      <c r="O2153" s="171">
        <v>53.22</v>
      </c>
      <c r="P2153" s="171">
        <v>52.63</v>
      </c>
      <c r="Q2153" s="171">
        <v>52.52</v>
      </c>
      <c r="R2153" s="171">
        <v>48.08</v>
      </c>
      <c r="S2153" s="171">
        <v>45</v>
      </c>
      <c r="T2153" s="171">
        <v>38.67</v>
      </c>
      <c r="U2153" s="171">
        <v>41.68</v>
      </c>
      <c r="V2153" s="171">
        <v>39.94</v>
      </c>
      <c r="W2153" s="171">
        <v>39.06</v>
      </c>
      <c r="X2153" s="171">
        <v>45.36</v>
      </c>
      <c r="Y2153" s="171">
        <v>40.76</v>
      </c>
      <c r="Z2153" s="171">
        <v>39.130000000000003</v>
      </c>
      <c r="AA2153" s="171">
        <v>37.550000000000004</v>
      </c>
      <c r="AB2153" s="171">
        <v>33.660000000000004</v>
      </c>
      <c r="AC2153" s="171">
        <v>33.200000000000003</v>
      </c>
      <c r="AD2153" s="171">
        <v>45.5</v>
      </c>
      <c r="AF2153" s="171">
        <f t="shared" si="101"/>
        <v>2015</v>
      </c>
      <c r="AG2153" s="171">
        <f t="shared" si="102"/>
        <v>17</v>
      </c>
      <c r="AH2153" s="700">
        <f>SUMIF(D$3:$AA2153,"&lt;="&amp;$AH$1)/COUNTIF(D$3:$AA2153,"&lt;="&amp;$AH$1)</f>
        <v>31.506808830328204</v>
      </c>
    </row>
    <row r="2154" spans="2:34" x14ac:dyDescent="0.25">
      <c r="B2154" s="910">
        <v>42242</v>
      </c>
      <c r="C2154" s="581">
        <f t="shared" si="100"/>
        <v>8</v>
      </c>
      <c r="D2154" s="171">
        <v>38.130000000000003</v>
      </c>
      <c r="E2154" s="171">
        <v>31.09</v>
      </c>
      <c r="F2154" s="171">
        <v>23.47</v>
      </c>
      <c r="G2154" s="171">
        <v>32.94</v>
      </c>
      <c r="H2154" s="171">
        <v>27</v>
      </c>
      <c r="I2154" s="171">
        <v>22.82</v>
      </c>
      <c r="J2154" s="171">
        <v>27</v>
      </c>
      <c r="K2154" s="171">
        <v>31.16</v>
      </c>
      <c r="L2154" s="171">
        <v>38.74</v>
      </c>
      <c r="M2154" s="171">
        <v>44.94</v>
      </c>
      <c r="N2154" s="171">
        <v>40.39</v>
      </c>
      <c r="O2154" s="171">
        <v>39.94</v>
      </c>
      <c r="P2154" s="171">
        <v>42</v>
      </c>
      <c r="Q2154" s="171">
        <v>40.35</v>
      </c>
      <c r="R2154" s="171">
        <v>41</v>
      </c>
      <c r="S2154" s="171">
        <v>37.200000000000003</v>
      </c>
      <c r="T2154" s="171">
        <v>37.450000000000003</v>
      </c>
      <c r="U2154" s="171">
        <v>34.99</v>
      </c>
      <c r="V2154" s="171">
        <v>47.9</v>
      </c>
      <c r="W2154" s="171">
        <v>48.63</v>
      </c>
      <c r="X2154" s="171">
        <v>44.660000000000004</v>
      </c>
      <c r="Y2154" s="171">
        <v>42.44</v>
      </c>
      <c r="Z2154" s="171">
        <v>45.76</v>
      </c>
      <c r="AA2154" s="171">
        <v>46.51</v>
      </c>
      <c r="AB2154" s="171">
        <v>46.63</v>
      </c>
      <c r="AC2154" s="171">
        <v>34.630000000000003</v>
      </c>
      <c r="AD2154" s="171">
        <v>41.62</v>
      </c>
      <c r="AF2154" s="171">
        <f t="shared" si="101"/>
        <v>2015</v>
      </c>
      <c r="AG2154" s="171">
        <f t="shared" si="102"/>
        <v>18</v>
      </c>
      <c r="AH2154" s="700">
        <f>SUMIF(D$3:$AA2154,"&lt;="&amp;$AH$1)/COUNTIF(D$3:$AA2154,"&lt;="&amp;$AH$1)</f>
        <v>31.510329638609797</v>
      </c>
    </row>
    <row r="2155" spans="2:34" x14ac:dyDescent="0.25">
      <c r="B2155" s="910">
        <v>42243</v>
      </c>
      <c r="C2155" s="581">
        <f t="shared" si="100"/>
        <v>8</v>
      </c>
      <c r="D2155" s="171">
        <v>37.49</v>
      </c>
      <c r="E2155" s="171">
        <v>35.06</v>
      </c>
      <c r="F2155" s="171">
        <v>32.520000000000003</v>
      </c>
      <c r="G2155" s="171">
        <v>31.2</v>
      </c>
      <c r="H2155" s="171">
        <v>28.48</v>
      </c>
      <c r="I2155" s="171">
        <v>28.21</v>
      </c>
      <c r="J2155" s="171">
        <v>27.16</v>
      </c>
      <c r="K2155" s="171">
        <v>34.75</v>
      </c>
      <c r="L2155" s="171">
        <v>34.31</v>
      </c>
      <c r="M2155" s="171">
        <v>35.79</v>
      </c>
      <c r="N2155" s="171">
        <v>39.94</v>
      </c>
      <c r="O2155" s="171">
        <v>39.94</v>
      </c>
      <c r="P2155" s="171">
        <v>35.130000000000003</v>
      </c>
      <c r="Q2155" s="171">
        <v>35.17</v>
      </c>
      <c r="R2155" s="171">
        <v>37</v>
      </c>
      <c r="S2155" s="171">
        <v>39</v>
      </c>
      <c r="T2155" s="171">
        <v>39.99</v>
      </c>
      <c r="U2155" s="171">
        <v>46.1</v>
      </c>
      <c r="V2155" s="171">
        <v>40.840000000000003</v>
      </c>
      <c r="W2155" s="171">
        <v>41.980000000000004</v>
      </c>
      <c r="X2155" s="171">
        <v>43.050000000000004</v>
      </c>
      <c r="Y2155" s="171">
        <v>43.02</v>
      </c>
      <c r="Z2155" s="171">
        <v>41.02</v>
      </c>
      <c r="AA2155" s="171">
        <v>46.1</v>
      </c>
      <c r="AB2155" s="171">
        <v>43.92</v>
      </c>
      <c r="AC2155" s="171">
        <v>35.480000000000004</v>
      </c>
      <c r="AD2155" s="171">
        <v>39.49</v>
      </c>
      <c r="AF2155" s="171">
        <f t="shared" si="101"/>
        <v>2015</v>
      </c>
      <c r="AG2155" s="171">
        <f t="shared" si="102"/>
        <v>20</v>
      </c>
      <c r="AH2155" s="700">
        <f>SUMIF(D$3:$AA2155,"&lt;="&amp;$AH$1)/COUNTIF(D$3:$AA2155,"&lt;="&amp;$AH$1)</f>
        <v>31.515217967939041</v>
      </c>
    </row>
    <row r="2156" spans="2:34" x14ac:dyDescent="0.25">
      <c r="B2156" s="910">
        <v>42244</v>
      </c>
      <c r="C2156" s="581">
        <f t="shared" si="100"/>
        <v>8</v>
      </c>
      <c r="D2156" s="171">
        <v>45.63</v>
      </c>
      <c r="E2156" s="171">
        <v>39.550000000000004</v>
      </c>
      <c r="F2156" s="171">
        <v>34.94</v>
      </c>
      <c r="G2156" s="171">
        <v>34.300000000000004</v>
      </c>
      <c r="H2156" s="171">
        <v>33.660000000000004</v>
      </c>
      <c r="I2156" s="171">
        <v>32.56</v>
      </c>
      <c r="J2156" s="171">
        <v>35.43</v>
      </c>
      <c r="K2156" s="171">
        <v>42.050000000000004</v>
      </c>
      <c r="L2156" s="171">
        <v>48.13</v>
      </c>
      <c r="M2156" s="171">
        <v>51.78</v>
      </c>
      <c r="N2156" s="171">
        <v>51.43</v>
      </c>
      <c r="O2156" s="171">
        <v>50</v>
      </c>
      <c r="P2156" s="171">
        <v>57.26</v>
      </c>
      <c r="Q2156" s="171">
        <v>55.33</v>
      </c>
      <c r="R2156" s="171">
        <v>54.29</v>
      </c>
      <c r="S2156" s="171">
        <v>48.72</v>
      </c>
      <c r="T2156" s="171">
        <v>45</v>
      </c>
      <c r="U2156" s="171">
        <v>42</v>
      </c>
      <c r="V2156" s="171">
        <v>48.02</v>
      </c>
      <c r="W2156" s="171">
        <v>49.480000000000004</v>
      </c>
      <c r="X2156" s="171">
        <v>49.94</v>
      </c>
      <c r="Y2156" s="171">
        <v>49</v>
      </c>
      <c r="Z2156" s="171">
        <v>50.120000000000005</v>
      </c>
      <c r="AA2156" s="171">
        <v>48.800000000000004</v>
      </c>
      <c r="AB2156" s="171">
        <v>43.45</v>
      </c>
      <c r="AC2156" s="171">
        <v>41</v>
      </c>
      <c r="AD2156" s="171">
        <v>50.27</v>
      </c>
      <c r="AF2156" s="171">
        <f t="shared" si="101"/>
        <v>2015</v>
      </c>
      <c r="AG2156" s="171">
        <f t="shared" si="102"/>
        <v>8</v>
      </c>
      <c r="AH2156" s="700">
        <f>SUMIF(D$3:$AA2156,"&lt;="&amp;$AH$1)/COUNTIF(D$3:$AA2156,"&lt;="&amp;$AH$1)</f>
        <v>31.517659942363061</v>
      </c>
    </row>
    <row r="2157" spans="2:34" x14ac:dyDescent="0.25">
      <c r="B2157" s="910">
        <v>42247</v>
      </c>
      <c r="C2157" s="581">
        <f t="shared" ref="C2157:C2220" si="103">MONTH(B2157)</f>
        <v>8</v>
      </c>
      <c r="D2157" s="171">
        <v>44.32</v>
      </c>
      <c r="E2157" s="171">
        <v>33.6</v>
      </c>
      <c r="F2157" s="171">
        <v>32.46</v>
      </c>
      <c r="G2157" s="171">
        <v>32.9</v>
      </c>
      <c r="H2157" s="171">
        <v>31.75</v>
      </c>
      <c r="I2157" s="171">
        <v>31.6</v>
      </c>
      <c r="J2157" s="171">
        <v>31.52</v>
      </c>
      <c r="K2157" s="171">
        <v>42.980000000000004</v>
      </c>
      <c r="L2157" s="171">
        <v>48.89</v>
      </c>
      <c r="M2157" s="171">
        <v>47.160000000000004</v>
      </c>
      <c r="N2157" s="171">
        <v>51.51</v>
      </c>
      <c r="O2157" s="171">
        <v>56.52</v>
      </c>
      <c r="P2157" s="171">
        <v>59.94</v>
      </c>
      <c r="Q2157" s="171">
        <v>55.13</v>
      </c>
      <c r="R2157" s="171">
        <v>52.74</v>
      </c>
      <c r="S2157" s="171">
        <v>52.08</v>
      </c>
      <c r="T2157" s="171">
        <v>48.980000000000004</v>
      </c>
      <c r="U2157" s="171">
        <v>46.58</v>
      </c>
      <c r="V2157" s="171">
        <v>53.08</v>
      </c>
      <c r="W2157" s="171">
        <v>45.08</v>
      </c>
      <c r="X2157" s="171">
        <v>46.61</v>
      </c>
      <c r="Y2157" s="171">
        <v>44.76</v>
      </c>
      <c r="Z2157" s="171">
        <v>42.44</v>
      </c>
      <c r="AA2157" s="171">
        <v>35.49</v>
      </c>
      <c r="AB2157" s="171">
        <v>39.770000000000003</v>
      </c>
      <c r="AC2157" s="171">
        <v>37.35</v>
      </c>
      <c r="AD2157" s="171">
        <v>51.28</v>
      </c>
      <c r="AF2157" s="171">
        <f t="shared" si="101"/>
        <v>2015</v>
      </c>
      <c r="AG2157" s="171">
        <f t="shared" si="102"/>
        <v>8</v>
      </c>
      <c r="AH2157" s="700">
        <f>SUMIF(D$3:$AA2157,"&lt;="&amp;$AH$1)/COUNTIF(D$3:$AA2157,"&lt;="&amp;$AH$1)</f>
        <v>31.518790183200771</v>
      </c>
    </row>
    <row r="2158" spans="2:34" x14ac:dyDescent="0.25">
      <c r="B2158" s="910">
        <v>42248</v>
      </c>
      <c r="C2158" s="581">
        <f t="shared" si="103"/>
        <v>9</v>
      </c>
      <c r="D2158" s="171">
        <v>44.72</v>
      </c>
      <c r="E2158" s="171">
        <v>43.58</v>
      </c>
      <c r="F2158" s="171">
        <v>42.31</v>
      </c>
      <c r="G2158" s="171">
        <v>34.99</v>
      </c>
      <c r="H2158" s="171">
        <v>29.97</v>
      </c>
      <c r="I2158" s="171">
        <v>31.310000000000002</v>
      </c>
      <c r="J2158" s="171">
        <v>30.900000000000002</v>
      </c>
      <c r="K2158" s="171">
        <v>42.03</v>
      </c>
      <c r="L2158" s="171">
        <v>49.61</v>
      </c>
      <c r="M2158" s="171">
        <v>49.93</v>
      </c>
      <c r="N2158" s="171">
        <v>48.08</v>
      </c>
      <c r="O2158" s="171">
        <v>46.9</v>
      </c>
      <c r="P2158" s="171">
        <v>60.47</v>
      </c>
      <c r="Q2158" s="171">
        <v>57.59</v>
      </c>
      <c r="R2158" s="171">
        <v>57.6</v>
      </c>
      <c r="S2158" s="171">
        <v>49.94</v>
      </c>
      <c r="T2158" s="171">
        <v>44.1</v>
      </c>
      <c r="U2158" s="171">
        <v>41.96</v>
      </c>
      <c r="V2158" s="171">
        <v>44.62</v>
      </c>
      <c r="W2158" s="171">
        <v>44.95</v>
      </c>
      <c r="X2158" s="171">
        <v>45.1</v>
      </c>
      <c r="Y2158" s="171">
        <v>49.83</v>
      </c>
      <c r="Z2158" s="171">
        <v>44.02</v>
      </c>
      <c r="AA2158" s="171">
        <v>41.800000000000004</v>
      </c>
      <c r="AB2158" s="171">
        <v>41.800000000000004</v>
      </c>
      <c r="AC2158" s="171">
        <v>40.18</v>
      </c>
      <c r="AD2158" s="171">
        <v>49.27</v>
      </c>
      <c r="AF2158" s="171">
        <f t="shared" si="101"/>
        <v>2015</v>
      </c>
      <c r="AG2158" s="171">
        <f t="shared" si="102"/>
        <v>8</v>
      </c>
      <c r="AH2158" s="700">
        <f>SUMIF(D$3:$AA2158,"&lt;="&amp;$AH$1)/COUNTIF(D$3:$AA2158,"&lt;="&amp;$AH$1)</f>
        <v>31.521273177473173</v>
      </c>
    </row>
    <row r="2159" spans="2:34" x14ac:dyDescent="0.25">
      <c r="B2159" s="910">
        <v>42249</v>
      </c>
      <c r="C2159" s="581">
        <f t="shared" si="103"/>
        <v>9</v>
      </c>
      <c r="D2159" s="171">
        <v>42.33</v>
      </c>
      <c r="E2159" s="171">
        <v>46.78</v>
      </c>
      <c r="F2159" s="171">
        <v>45</v>
      </c>
      <c r="G2159" s="171">
        <v>43.82</v>
      </c>
      <c r="H2159" s="171">
        <v>35.96</v>
      </c>
      <c r="I2159" s="171">
        <v>33.46</v>
      </c>
      <c r="J2159" s="171">
        <v>36.1</v>
      </c>
      <c r="K2159" s="171">
        <v>39.04</v>
      </c>
      <c r="L2159" s="171">
        <v>44.78</v>
      </c>
      <c r="M2159" s="171">
        <v>45.01</v>
      </c>
      <c r="N2159" s="171">
        <v>43.62</v>
      </c>
      <c r="O2159" s="171">
        <v>37.99</v>
      </c>
      <c r="P2159" s="171">
        <v>38.22</v>
      </c>
      <c r="Q2159" s="171">
        <v>35.54</v>
      </c>
      <c r="R2159" s="171">
        <v>37.44</v>
      </c>
      <c r="S2159" s="171">
        <v>36.53</v>
      </c>
      <c r="T2159" s="171">
        <v>36.1</v>
      </c>
      <c r="U2159" s="171">
        <v>40.97</v>
      </c>
      <c r="V2159" s="171">
        <v>45.58</v>
      </c>
      <c r="W2159" s="171">
        <v>49.97</v>
      </c>
      <c r="X2159" s="171">
        <v>55.1</v>
      </c>
      <c r="Y2159" s="171">
        <v>53.32</v>
      </c>
      <c r="Z2159" s="171">
        <v>47.96</v>
      </c>
      <c r="AA2159" s="171">
        <v>42</v>
      </c>
      <c r="AB2159" s="171">
        <v>45.69</v>
      </c>
      <c r="AC2159" s="171">
        <v>42.83</v>
      </c>
      <c r="AD2159" s="171">
        <v>41.84</v>
      </c>
      <c r="AF2159" s="171">
        <f t="shared" si="101"/>
        <v>2015</v>
      </c>
      <c r="AG2159" s="171">
        <f t="shared" si="102"/>
        <v>13</v>
      </c>
      <c r="AH2159" s="700">
        <f>SUMIF(D$3:$AA2159,"&lt;="&amp;$AH$1)/COUNTIF(D$3:$AA2159,"&lt;="&amp;$AH$1)</f>
        <v>31.525985960066688</v>
      </c>
    </row>
    <row r="2160" spans="2:34" x14ac:dyDescent="0.25">
      <c r="B2160" s="910">
        <v>42250</v>
      </c>
      <c r="C2160" s="581">
        <f t="shared" si="103"/>
        <v>9</v>
      </c>
      <c r="D2160" s="171">
        <v>41.59</v>
      </c>
      <c r="E2160" s="171">
        <v>36.75</v>
      </c>
      <c r="F2160" s="171">
        <v>35.770000000000003</v>
      </c>
      <c r="G2160" s="171">
        <v>29.63</v>
      </c>
      <c r="H2160" s="171">
        <v>30.57</v>
      </c>
      <c r="I2160" s="171">
        <v>27.42</v>
      </c>
      <c r="J2160" s="171">
        <v>29.490000000000002</v>
      </c>
      <c r="K2160" s="171">
        <v>41.44</v>
      </c>
      <c r="L2160" s="171">
        <v>50</v>
      </c>
      <c r="M2160" s="171">
        <v>52.02</v>
      </c>
      <c r="N2160" s="171">
        <v>49.25</v>
      </c>
      <c r="O2160" s="171">
        <v>47.77</v>
      </c>
      <c r="P2160" s="171">
        <v>47.82</v>
      </c>
      <c r="Q2160" s="171">
        <v>46.300000000000004</v>
      </c>
      <c r="R2160" s="171">
        <v>42.35</v>
      </c>
      <c r="S2160" s="171">
        <v>40</v>
      </c>
      <c r="T2160" s="171">
        <v>39.29</v>
      </c>
      <c r="U2160" s="171">
        <v>39.17</v>
      </c>
      <c r="V2160" s="171">
        <v>44.03</v>
      </c>
      <c r="W2160" s="171">
        <v>44.93</v>
      </c>
      <c r="X2160" s="171">
        <v>48.28</v>
      </c>
      <c r="Y2160" s="171">
        <v>49.1</v>
      </c>
      <c r="Z2160" s="171">
        <v>45.230000000000004</v>
      </c>
      <c r="AA2160" s="171">
        <v>40.230000000000004</v>
      </c>
      <c r="AB2160" s="171">
        <v>41.27</v>
      </c>
      <c r="AC2160" s="171">
        <v>38.08</v>
      </c>
      <c r="AD2160" s="171">
        <v>45.1</v>
      </c>
      <c r="AF2160" s="171">
        <f t="shared" si="101"/>
        <v>2015</v>
      </c>
      <c r="AG2160" s="171">
        <f t="shared" si="102"/>
        <v>13</v>
      </c>
      <c r="AH2160" s="700">
        <f>SUMIF(D$3:$AA2160,"&lt;="&amp;$AH$1)/COUNTIF(D$3:$AA2160,"&lt;="&amp;$AH$1)</f>
        <v>31.52965788868439</v>
      </c>
    </row>
    <row r="2161" spans="2:34" x14ac:dyDescent="0.25">
      <c r="B2161" s="910">
        <v>42251</v>
      </c>
      <c r="C2161" s="581">
        <f t="shared" si="103"/>
        <v>9</v>
      </c>
      <c r="D2161" s="171">
        <v>42.85</v>
      </c>
      <c r="E2161" s="171">
        <v>48.67</v>
      </c>
      <c r="F2161" s="171">
        <v>42.76</v>
      </c>
      <c r="G2161" s="171">
        <v>35.800000000000004</v>
      </c>
      <c r="H2161" s="171">
        <v>26.2</v>
      </c>
      <c r="I2161" s="171">
        <v>26.080000000000002</v>
      </c>
      <c r="J2161" s="171">
        <v>31.41</v>
      </c>
      <c r="K2161" s="171">
        <v>37.94</v>
      </c>
      <c r="L2161" s="171">
        <v>46.72</v>
      </c>
      <c r="M2161" s="171">
        <v>47.980000000000004</v>
      </c>
      <c r="N2161" s="171">
        <v>44.97</v>
      </c>
      <c r="O2161" s="171">
        <v>49.99</v>
      </c>
      <c r="P2161" s="171">
        <v>50</v>
      </c>
      <c r="Q2161" s="171">
        <v>49.94</v>
      </c>
      <c r="R2161" s="171">
        <v>54.94</v>
      </c>
      <c r="S2161" s="171">
        <v>45.12</v>
      </c>
      <c r="T2161" s="171">
        <v>44</v>
      </c>
      <c r="U2161" s="171">
        <v>45.87</v>
      </c>
      <c r="V2161" s="171">
        <v>44.1</v>
      </c>
      <c r="W2161" s="171">
        <v>38.15</v>
      </c>
      <c r="X2161" s="171">
        <v>40.869999999999997</v>
      </c>
      <c r="Y2161" s="171">
        <v>42.44</v>
      </c>
      <c r="Z2161" s="171">
        <v>45</v>
      </c>
      <c r="AA2161" s="171">
        <v>45.17</v>
      </c>
      <c r="AB2161" s="171">
        <v>44.35</v>
      </c>
      <c r="AC2161" s="171">
        <v>39.380000000000003</v>
      </c>
      <c r="AD2161" s="171">
        <v>46.33</v>
      </c>
      <c r="AF2161" s="171">
        <f t="shared" si="101"/>
        <v>2015</v>
      </c>
      <c r="AG2161" s="171">
        <f t="shared" si="102"/>
        <v>8</v>
      </c>
      <c r="AH2161" s="700">
        <f>SUMIF(D$3:$AA2161,"&lt;="&amp;$AH$1)/COUNTIF(D$3:$AA2161,"&lt;="&amp;$AH$1)</f>
        <v>31.531189655172344</v>
      </c>
    </row>
    <row r="2162" spans="2:34" x14ac:dyDescent="0.25">
      <c r="B2162" s="910">
        <v>42254</v>
      </c>
      <c r="C2162" s="581">
        <f t="shared" si="103"/>
        <v>9</v>
      </c>
      <c r="D2162" s="171">
        <v>39.44</v>
      </c>
      <c r="E2162" s="171">
        <v>31.41</v>
      </c>
      <c r="F2162" s="171">
        <v>20.53</v>
      </c>
      <c r="G2162" s="171">
        <v>29.84</v>
      </c>
      <c r="H2162" s="171">
        <v>17.05</v>
      </c>
      <c r="I2162" s="171">
        <v>16.77</v>
      </c>
      <c r="J2162" s="171">
        <v>23</v>
      </c>
      <c r="K2162" s="171">
        <v>31.75</v>
      </c>
      <c r="L2162" s="171">
        <v>42.1</v>
      </c>
      <c r="M2162" s="171">
        <v>44.52</v>
      </c>
      <c r="N2162" s="171">
        <v>41.27</v>
      </c>
      <c r="O2162" s="171">
        <v>40.880000000000003</v>
      </c>
      <c r="P2162" s="171">
        <v>47</v>
      </c>
      <c r="Q2162" s="171">
        <v>47.44</v>
      </c>
      <c r="R2162" s="171">
        <v>44.56</v>
      </c>
      <c r="S2162" s="171">
        <v>44.94</v>
      </c>
      <c r="T2162" s="171">
        <v>40</v>
      </c>
      <c r="U2162" s="171">
        <v>47.68</v>
      </c>
      <c r="V2162" s="171">
        <v>50.46</v>
      </c>
      <c r="W2162" s="171">
        <v>44.94</v>
      </c>
      <c r="X2162" s="171">
        <v>45</v>
      </c>
      <c r="Y2162" s="171">
        <v>45.17</v>
      </c>
      <c r="Z2162" s="171">
        <v>47.39</v>
      </c>
      <c r="AA2162" s="171">
        <v>53.06</v>
      </c>
      <c r="AB2162" s="171">
        <v>49.89</v>
      </c>
      <c r="AC2162" s="171">
        <v>34</v>
      </c>
      <c r="AD2162" s="171">
        <v>44.89</v>
      </c>
      <c r="AF2162" s="171">
        <f t="shared" si="101"/>
        <v>2015</v>
      </c>
      <c r="AG2162" s="171">
        <f t="shared" si="102"/>
        <v>12</v>
      </c>
      <c r="AH2162" s="700">
        <f>SUMIF(D$3:$AA2162,"&lt;="&amp;$AH$1)/COUNTIF(D$3:$AA2162,"&lt;="&amp;$AH$1)</f>
        <v>31.530940730530602</v>
      </c>
    </row>
    <row r="2163" spans="2:34" x14ac:dyDescent="0.25">
      <c r="B2163" s="910">
        <v>42255</v>
      </c>
      <c r="C2163" s="581">
        <f t="shared" si="103"/>
        <v>9</v>
      </c>
      <c r="D2163" s="171">
        <v>40.36</v>
      </c>
      <c r="E2163" s="171">
        <v>38.03</v>
      </c>
      <c r="F2163" s="171">
        <v>36.21</v>
      </c>
      <c r="G2163" s="171">
        <v>29.93</v>
      </c>
      <c r="H2163" s="171">
        <v>31.1</v>
      </c>
      <c r="I2163" s="171">
        <v>32.17</v>
      </c>
      <c r="J2163" s="171">
        <v>31.34</v>
      </c>
      <c r="K2163" s="171">
        <v>39.94</v>
      </c>
      <c r="L2163" s="171">
        <v>45.92</v>
      </c>
      <c r="M2163" s="171">
        <v>46.34</v>
      </c>
      <c r="N2163" s="171">
        <v>43.32</v>
      </c>
      <c r="O2163" s="171">
        <v>39.94</v>
      </c>
      <c r="P2163" s="171">
        <v>40.119999999999997</v>
      </c>
      <c r="Q2163" s="171">
        <v>39.96</v>
      </c>
      <c r="R2163" s="171">
        <v>40.5</v>
      </c>
      <c r="S2163" s="171">
        <v>39.75</v>
      </c>
      <c r="T2163" s="171">
        <v>40.5</v>
      </c>
      <c r="U2163" s="171">
        <v>39.75</v>
      </c>
      <c r="V2163" s="171">
        <v>40.5</v>
      </c>
      <c r="W2163" s="171">
        <v>42.230000000000004</v>
      </c>
      <c r="X2163" s="171">
        <v>46.99</v>
      </c>
      <c r="Y2163" s="171">
        <v>47.08</v>
      </c>
      <c r="Z2163" s="171">
        <v>42.24</v>
      </c>
      <c r="AA2163" s="171">
        <v>47.44</v>
      </c>
      <c r="AB2163" s="171">
        <v>47.410000000000004</v>
      </c>
      <c r="AC2163" s="171">
        <v>39.07</v>
      </c>
      <c r="AD2163" s="171">
        <v>41.660000000000004</v>
      </c>
      <c r="AF2163" s="171">
        <f t="shared" si="101"/>
        <v>2015</v>
      </c>
      <c r="AG2163" s="171">
        <f t="shared" si="102"/>
        <v>18</v>
      </c>
      <c r="AH2163" s="700">
        <f>SUMIF(D$3:$AA2163,"&lt;="&amp;$AH$1)/COUNTIF(D$3:$AA2163,"&lt;="&amp;$AH$1)</f>
        <v>31.537654044750354</v>
      </c>
    </row>
    <row r="2164" spans="2:34" x14ac:dyDescent="0.25">
      <c r="B2164" s="910">
        <v>42256</v>
      </c>
      <c r="C2164" s="581">
        <f t="shared" si="103"/>
        <v>9</v>
      </c>
      <c r="D2164" s="171">
        <v>42.46</v>
      </c>
      <c r="E2164" s="171">
        <v>36.94</v>
      </c>
      <c r="F2164" s="171">
        <v>36.44</v>
      </c>
      <c r="G2164" s="171">
        <v>31.490000000000002</v>
      </c>
      <c r="H2164" s="171">
        <v>26</v>
      </c>
      <c r="I2164" s="171">
        <v>29.240000000000002</v>
      </c>
      <c r="J2164" s="171">
        <v>32.950000000000003</v>
      </c>
      <c r="K2164" s="171">
        <v>41.79</v>
      </c>
      <c r="L2164" s="171">
        <v>46.37</v>
      </c>
      <c r="M2164" s="171">
        <v>47.72</v>
      </c>
      <c r="N2164" s="171">
        <v>45.93</v>
      </c>
      <c r="O2164" s="171">
        <v>48.32</v>
      </c>
      <c r="P2164" s="171">
        <v>51.410000000000004</v>
      </c>
      <c r="Q2164" s="171">
        <v>49.99</v>
      </c>
      <c r="R2164" s="171">
        <v>44.79</v>
      </c>
      <c r="S2164" s="171">
        <v>46.69</v>
      </c>
      <c r="T2164" s="171">
        <v>46.9</v>
      </c>
      <c r="U2164" s="171">
        <v>47.53</v>
      </c>
      <c r="V2164" s="171">
        <v>46.92</v>
      </c>
      <c r="W2164" s="171">
        <v>42.57</v>
      </c>
      <c r="X2164" s="171">
        <v>43.12</v>
      </c>
      <c r="Y2164" s="171">
        <v>45.06</v>
      </c>
      <c r="Z2164" s="171">
        <v>46.74</v>
      </c>
      <c r="AA2164" s="171">
        <v>40</v>
      </c>
      <c r="AB2164" s="171">
        <v>44.1</v>
      </c>
      <c r="AC2164" s="171">
        <v>38.090000000000003</v>
      </c>
      <c r="AD2164" s="171">
        <v>46.82</v>
      </c>
      <c r="AF2164" s="171">
        <f t="shared" si="101"/>
        <v>2015</v>
      </c>
      <c r="AG2164" s="171">
        <f t="shared" si="102"/>
        <v>9</v>
      </c>
      <c r="AH2164" s="700">
        <f>SUMIF(D$3:$AA2164,"&lt;="&amp;$AH$1)/COUNTIF(D$3:$AA2164,"&lt;="&amp;$AH$1)</f>
        <v>31.539573370032599</v>
      </c>
    </row>
    <row r="2165" spans="2:34" x14ac:dyDescent="0.25">
      <c r="B2165" s="910">
        <v>42257</v>
      </c>
      <c r="C2165" s="581">
        <f t="shared" si="103"/>
        <v>9</v>
      </c>
      <c r="D2165" s="171">
        <v>42.4</v>
      </c>
      <c r="E2165" s="171">
        <v>47.39</v>
      </c>
      <c r="F2165" s="171">
        <v>36.160000000000004</v>
      </c>
      <c r="G2165" s="171">
        <v>33.1</v>
      </c>
      <c r="H2165" s="171">
        <v>27.7</v>
      </c>
      <c r="I2165" s="171">
        <v>28.52</v>
      </c>
      <c r="J2165" s="171">
        <v>28.990000000000002</v>
      </c>
      <c r="K2165" s="171">
        <v>40.020000000000003</v>
      </c>
      <c r="L2165" s="171">
        <v>46.050000000000004</v>
      </c>
      <c r="M2165" s="171">
        <v>47.03</v>
      </c>
      <c r="N2165" s="171">
        <v>47</v>
      </c>
      <c r="O2165" s="171">
        <v>56.13</v>
      </c>
      <c r="P2165" s="171">
        <v>58</v>
      </c>
      <c r="Q2165" s="171">
        <v>42.44</v>
      </c>
      <c r="R2165" s="171">
        <v>42.44</v>
      </c>
      <c r="S2165" s="171">
        <v>42.5</v>
      </c>
      <c r="T2165" s="171">
        <v>43</v>
      </c>
      <c r="U2165" s="171">
        <v>46.54</v>
      </c>
      <c r="V2165" s="171">
        <v>46.7</v>
      </c>
      <c r="W2165" s="171">
        <v>40.85</v>
      </c>
      <c r="X2165" s="171">
        <v>43.74</v>
      </c>
      <c r="Y2165" s="171">
        <v>42.68</v>
      </c>
      <c r="Z2165" s="171">
        <v>44.94</v>
      </c>
      <c r="AA2165" s="171">
        <v>44.96</v>
      </c>
      <c r="AB2165" s="171">
        <v>40.74</v>
      </c>
      <c r="AC2165" s="171">
        <v>38.44</v>
      </c>
      <c r="AD2165" s="171">
        <v>46.36</v>
      </c>
      <c r="AF2165" s="171">
        <f t="shared" si="101"/>
        <v>2015</v>
      </c>
      <c r="AG2165" s="171">
        <f t="shared" si="102"/>
        <v>11</v>
      </c>
      <c r="AH2165" s="700">
        <f>SUMIF(D$3:$AA2165,"&lt;="&amp;$AH$1)/COUNTIF(D$3:$AA2165,"&lt;="&amp;$AH$1)</f>
        <v>31.542907736389591</v>
      </c>
    </row>
    <row r="2166" spans="2:34" x14ac:dyDescent="0.25">
      <c r="B2166" s="910">
        <v>42258</v>
      </c>
      <c r="C2166" s="581">
        <f t="shared" si="103"/>
        <v>9</v>
      </c>
      <c r="D2166" s="171">
        <v>38.57</v>
      </c>
      <c r="E2166" s="171">
        <v>29.39</v>
      </c>
      <c r="F2166" s="171">
        <v>31.400000000000002</v>
      </c>
      <c r="G2166" s="171">
        <v>33.700000000000003</v>
      </c>
      <c r="H2166" s="171">
        <v>32.67</v>
      </c>
      <c r="I2166" s="171">
        <v>29.39</v>
      </c>
      <c r="J2166" s="171">
        <v>33.94</v>
      </c>
      <c r="K2166" s="171">
        <v>43.87</v>
      </c>
      <c r="L2166" s="171">
        <v>43.86</v>
      </c>
      <c r="M2166" s="171">
        <v>42.7</v>
      </c>
      <c r="N2166" s="171">
        <v>42.44</v>
      </c>
      <c r="O2166" s="171">
        <v>43.2</v>
      </c>
      <c r="P2166" s="171">
        <v>43.2</v>
      </c>
      <c r="Q2166" s="171">
        <v>43.95</v>
      </c>
      <c r="R2166" s="171">
        <v>39</v>
      </c>
      <c r="S2166" s="171">
        <v>37.44</v>
      </c>
      <c r="T2166" s="171">
        <v>37</v>
      </c>
      <c r="U2166" s="171">
        <v>35.92</v>
      </c>
      <c r="V2166" s="171">
        <v>36.67</v>
      </c>
      <c r="W2166" s="171">
        <v>42.04</v>
      </c>
      <c r="X2166" s="171">
        <v>43.14</v>
      </c>
      <c r="Y2166" s="171">
        <v>45.050000000000004</v>
      </c>
      <c r="Z2166" s="171">
        <v>44.94</v>
      </c>
      <c r="AA2166" s="171">
        <v>38.03</v>
      </c>
      <c r="AB2166" s="171">
        <v>32.64</v>
      </c>
      <c r="AC2166" s="171">
        <v>36.57</v>
      </c>
      <c r="AD2166" s="171">
        <v>40.56</v>
      </c>
      <c r="AF2166" s="171">
        <f t="shared" si="101"/>
        <v>2015</v>
      </c>
      <c r="AG2166" s="171">
        <f t="shared" si="102"/>
        <v>15</v>
      </c>
      <c r="AH2166" s="700">
        <f>SUMIF(D$3:$AA2166,"&lt;="&amp;$AH$1)/COUNTIF(D$3:$AA2166,"&lt;="&amp;$AH$1)</f>
        <v>31.546598339536121</v>
      </c>
    </row>
    <row r="2167" spans="2:34" x14ac:dyDescent="0.25">
      <c r="B2167" s="910">
        <v>42261</v>
      </c>
      <c r="C2167" s="581">
        <f t="shared" si="103"/>
        <v>9</v>
      </c>
      <c r="D2167" s="171">
        <v>39.410000000000004</v>
      </c>
      <c r="E2167" s="171">
        <v>34.78</v>
      </c>
      <c r="F2167" s="171">
        <v>29.19</v>
      </c>
      <c r="G2167" s="171">
        <v>27.7</v>
      </c>
      <c r="H2167" s="171">
        <v>29.400000000000002</v>
      </c>
      <c r="I2167" s="171">
        <v>28.75</v>
      </c>
      <c r="J2167" s="171">
        <v>26.990000000000002</v>
      </c>
      <c r="K2167" s="171">
        <v>37.97</v>
      </c>
      <c r="L2167" s="171">
        <v>38</v>
      </c>
      <c r="M2167" s="171">
        <v>54.94</v>
      </c>
      <c r="N2167" s="171">
        <v>58</v>
      </c>
      <c r="O2167" s="171">
        <v>53.95</v>
      </c>
      <c r="P2167" s="171">
        <v>55.61</v>
      </c>
      <c r="Q2167" s="171">
        <v>42.44</v>
      </c>
      <c r="R2167" s="171">
        <v>42.44</v>
      </c>
      <c r="S2167" s="171">
        <v>45.95</v>
      </c>
      <c r="T2167" s="171">
        <v>44.94</v>
      </c>
      <c r="U2167" s="171">
        <v>39.47</v>
      </c>
      <c r="V2167" s="171">
        <v>39.92</v>
      </c>
      <c r="W2167" s="171">
        <v>38.520000000000003</v>
      </c>
      <c r="X2167" s="171">
        <v>39.090000000000003</v>
      </c>
      <c r="Y2167" s="171">
        <v>39.94</v>
      </c>
      <c r="Z2167" s="171">
        <v>39.96</v>
      </c>
      <c r="AA2167" s="171">
        <v>30.41</v>
      </c>
      <c r="AB2167" s="171">
        <v>27.5</v>
      </c>
      <c r="AC2167" s="171">
        <v>32.549999999999997</v>
      </c>
      <c r="AD2167" s="171">
        <v>46.27</v>
      </c>
      <c r="AF2167" s="171">
        <f t="shared" si="101"/>
        <v>2015</v>
      </c>
      <c r="AG2167" s="171">
        <f t="shared" si="102"/>
        <v>18</v>
      </c>
      <c r="AH2167" s="700">
        <f>SUMIF(D$3:$AA2167,"&lt;="&amp;$AH$1)/COUNTIF(D$3:$AA2167,"&lt;="&amp;$AH$1)</f>
        <v>31.550976377051885</v>
      </c>
    </row>
    <row r="2168" spans="2:34" x14ac:dyDescent="0.25">
      <c r="B2168" s="910">
        <v>42262</v>
      </c>
      <c r="C2168" s="581">
        <f t="shared" si="103"/>
        <v>9</v>
      </c>
      <c r="D2168" s="171">
        <v>34.93</v>
      </c>
      <c r="E2168" s="171">
        <v>18.150000000000002</v>
      </c>
      <c r="F2168" s="171">
        <v>10.25</v>
      </c>
      <c r="G2168" s="171">
        <v>10.370000000000001</v>
      </c>
      <c r="H2168" s="171">
        <v>12.86</v>
      </c>
      <c r="I2168" s="171">
        <v>13.790000000000001</v>
      </c>
      <c r="J2168" s="171">
        <v>18.91</v>
      </c>
      <c r="K2168" s="171">
        <v>28</v>
      </c>
      <c r="L2168" s="171">
        <v>38.1</v>
      </c>
      <c r="M2168" s="171">
        <v>45.46</v>
      </c>
      <c r="N2168" s="171">
        <v>47.44</v>
      </c>
      <c r="O2168" s="171">
        <v>47.36</v>
      </c>
      <c r="P2168" s="171">
        <v>47.44</v>
      </c>
      <c r="Q2168" s="171">
        <v>45.54</v>
      </c>
      <c r="R2168" s="171">
        <v>46.24</v>
      </c>
      <c r="S2168" s="171">
        <v>43.13</v>
      </c>
      <c r="T2168" s="171">
        <v>40.57</v>
      </c>
      <c r="U2168" s="171">
        <v>40.44</v>
      </c>
      <c r="V2168" s="171">
        <v>40.46</v>
      </c>
      <c r="W2168" s="171">
        <v>36.800000000000004</v>
      </c>
      <c r="X2168" s="171">
        <v>40.5</v>
      </c>
      <c r="Y2168" s="171">
        <v>45</v>
      </c>
      <c r="Z2168" s="171">
        <v>44.1</v>
      </c>
      <c r="AA2168" s="171">
        <v>37.49</v>
      </c>
      <c r="AB2168" s="171">
        <v>40</v>
      </c>
      <c r="AC2168" s="171">
        <v>26.42</v>
      </c>
      <c r="AD2168" s="171">
        <v>43.45</v>
      </c>
      <c r="AF2168" s="171">
        <f t="shared" si="101"/>
        <v>2015</v>
      </c>
      <c r="AG2168" s="171">
        <f t="shared" si="102"/>
        <v>15</v>
      </c>
      <c r="AH2168" s="700">
        <f>SUMIF(D$3:$AA2168,"&lt;="&amp;$AH$1)/COUNTIF(D$3:$AA2168,"&lt;="&amp;$AH$1)</f>
        <v>31.548024917133279</v>
      </c>
    </row>
    <row r="2169" spans="2:34" x14ac:dyDescent="0.25">
      <c r="B2169" s="910">
        <v>42263</v>
      </c>
      <c r="C2169" s="581">
        <f t="shared" si="103"/>
        <v>9</v>
      </c>
      <c r="D2169" s="171">
        <v>34.81</v>
      </c>
      <c r="E2169" s="171">
        <v>24.97</v>
      </c>
      <c r="F2169" s="171">
        <v>24.03</v>
      </c>
      <c r="G2169" s="171">
        <v>29.03</v>
      </c>
      <c r="H2169" s="171">
        <v>23.69</v>
      </c>
      <c r="I2169" s="171">
        <v>20</v>
      </c>
      <c r="J2169" s="171">
        <v>25.03</v>
      </c>
      <c r="K2169" s="171">
        <v>39.450000000000003</v>
      </c>
      <c r="L2169" s="171">
        <v>45</v>
      </c>
      <c r="M2169" s="171">
        <v>52.06</v>
      </c>
      <c r="N2169" s="171">
        <v>47.81</v>
      </c>
      <c r="O2169" s="171">
        <v>42</v>
      </c>
      <c r="P2169" s="171">
        <v>42.4</v>
      </c>
      <c r="Q2169" s="171">
        <v>37.44</v>
      </c>
      <c r="R2169" s="171">
        <v>37.44</v>
      </c>
      <c r="S2169" s="171">
        <v>38</v>
      </c>
      <c r="T2169" s="171">
        <v>37.44</v>
      </c>
      <c r="U2169" s="171">
        <v>40</v>
      </c>
      <c r="V2169" s="171">
        <v>40</v>
      </c>
      <c r="W2169" s="171">
        <v>35.21</v>
      </c>
      <c r="X2169" s="171">
        <v>38.43</v>
      </c>
      <c r="Y2169" s="171">
        <v>39</v>
      </c>
      <c r="Z2169" s="171">
        <v>29.32</v>
      </c>
      <c r="AA2169" s="171">
        <v>32.22</v>
      </c>
      <c r="AB2169" s="171">
        <v>15.5</v>
      </c>
      <c r="AC2169" s="171">
        <v>28.94</v>
      </c>
      <c r="AD2169" s="171">
        <v>40.69</v>
      </c>
      <c r="AF2169" s="171">
        <f t="shared" si="101"/>
        <v>2015</v>
      </c>
      <c r="AG2169" s="171">
        <f t="shared" si="102"/>
        <v>21</v>
      </c>
      <c r="AH2169" s="700">
        <f>SUMIF(D$3:$AA2169,"&lt;="&amp;$AH$1)/COUNTIF(D$3:$AA2169,"&lt;="&amp;$AH$1)</f>
        <v>31.550730635310114</v>
      </c>
    </row>
    <row r="2170" spans="2:34" x14ac:dyDescent="0.25">
      <c r="B2170" s="910">
        <v>42264</v>
      </c>
      <c r="C2170" s="581">
        <f t="shared" si="103"/>
        <v>9</v>
      </c>
      <c r="D2170" s="171">
        <v>40.660000000000004</v>
      </c>
      <c r="E2170" s="171">
        <v>32.56</v>
      </c>
      <c r="F2170" s="171">
        <v>25.3</v>
      </c>
      <c r="G2170" s="171">
        <v>19.940000000000001</v>
      </c>
      <c r="H2170" s="171">
        <v>14.99</v>
      </c>
      <c r="I2170" s="171">
        <v>27.1</v>
      </c>
      <c r="J2170" s="171">
        <v>17.740000000000002</v>
      </c>
      <c r="K2170" s="171">
        <v>28.17</v>
      </c>
      <c r="L2170" s="171">
        <v>40.36</v>
      </c>
      <c r="M2170" s="171">
        <v>38</v>
      </c>
      <c r="N2170" s="171">
        <v>49.49</v>
      </c>
      <c r="O2170" s="171">
        <v>53.88</v>
      </c>
      <c r="P2170" s="171">
        <v>57.69</v>
      </c>
      <c r="Q2170" s="171">
        <v>57.160000000000004</v>
      </c>
      <c r="R2170" s="171">
        <v>50.370000000000005</v>
      </c>
      <c r="S2170" s="171">
        <v>51.32</v>
      </c>
      <c r="T2170" s="171">
        <v>45</v>
      </c>
      <c r="U2170" s="171">
        <v>43.5</v>
      </c>
      <c r="V2170" s="171">
        <v>42.44</v>
      </c>
      <c r="W2170" s="171">
        <v>42.44</v>
      </c>
      <c r="X2170" s="171">
        <v>43</v>
      </c>
      <c r="Y2170" s="171">
        <v>43.58</v>
      </c>
      <c r="Z2170" s="171">
        <v>52.44</v>
      </c>
      <c r="AA2170" s="171">
        <v>50</v>
      </c>
      <c r="AB2170" s="171">
        <v>49.26</v>
      </c>
      <c r="AC2170" s="171">
        <v>33.450000000000003</v>
      </c>
      <c r="AD2170" s="171">
        <v>47.86</v>
      </c>
      <c r="AF2170" s="171">
        <f t="shared" si="101"/>
        <v>2015</v>
      </c>
      <c r="AG2170" s="171">
        <f t="shared" si="102"/>
        <v>12</v>
      </c>
      <c r="AH2170" s="700">
        <f>SUMIF(D$3:$AA2170,"&lt;="&amp;$AH$1)/COUNTIF(D$3:$AA2170,"&lt;="&amp;$AH$1)</f>
        <v>31.550222463065303</v>
      </c>
    </row>
    <row r="2171" spans="2:34" x14ac:dyDescent="0.25">
      <c r="B2171" s="910">
        <v>42265</v>
      </c>
      <c r="C2171" s="581">
        <f t="shared" si="103"/>
        <v>9</v>
      </c>
      <c r="D2171" s="171">
        <v>39.81</v>
      </c>
      <c r="E2171" s="171">
        <v>33.71</v>
      </c>
      <c r="F2171" s="171">
        <v>29.54</v>
      </c>
      <c r="G2171" s="171">
        <v>32.270000000000003</v>
      </c>
      <c r="H2171" s="171">
        <v>30.46</v>
      </c>
      <c r="I2171" s="171">
        <v>21.72</v>
      </c>
      <c r="J2171" s="171">
        <v>25</v>
      </c>
      <c r="K2171" s="171">
        <v>34.99</v>
      </c>
      <c r="L2171" s="171">
        <v>47</v>
      </c>
      <c r="M2171" s="171">
        <v>51.160000000000004</v>
      </c>
      <c r="N2171" s="171">
        <v>50.83</v>
      </c>
      <c r="O2171" s="171">
        <v>46.4</v>
      </c>
      <c r="P2171" s="171">
        <v>44.33</v>
      </c>
      <c r="Q2171" s="171">
        <v>40.85</v>
      </c>
      <c r="R2171" s="171">
        <v>43</v>
      </c>
      <c r="S2171" s="171">
        <v>37.44</v>
      </c>
      <c r="T2171" s="171">
        <v>38</v>
      </c>
      <c r="U2171" s="171">
        <v>39.730000000000004</v>
      </c>
      <c r="V2171" s="171">
        <v>43.730000000000004</v>
      </c>
      <c r="W2171" s="171">
        <v>46.730000000000004</v>
      </c>
      <c r="X2171" s="171">
        <v>48.9</v>
      </c>
      <c r="Y2171" s="171">
        <v>47.65</v>
      </c>
      <c r="Z2171" s="171">
        <v>42.01</v>
      </c>
      <c r="AA2171" s="171">
        <v>39.94</v>
      </c>
      <c r="AB2171" s="171">
        <v>40</v>
      </c>
      <c r="AC2171" s="171">
        <v>35.36</v>
      </c>
      <c r="AD2171" s="171">
        <v>44.26</v>
      </c>
      <c r="AF2171" s="171">
        <f t="shared" si="101"/>
        <v>2015</v>
      </c>
      <c r="AG2171" s="171">
        <f t="shared" si="102"/>
        <v>14</v>
      </c>
      <c r="AH2171" s="700">
        <f>SUMIF(D$3:$AA2171,"&lt;="&amp;$AH$1)/COUNTIF(D$3:$AA2171,"&lt;="&amp;$AH$1)</f>
        <v>31.552717013393998</v>
      </c>
    </row>
    <row r="2172" spans="2:34" x14ac:dyDescent="0.25">
      <c r="B2172" s="910">
        <v>42268</v>
      </c>
      <c r="C2172" s="581">
        <f t="shared" si="103"/>
        <v>9</v>
      </c>
      <c r="D2172" s="171">
        <v>39.880000000000003</v>
      </c>
      <c r="E2172" s="171">
        <v>40.15</v>
      </c>
      <c r="F2172" s="171">
        <v>33.299999999999997</v>
      </c>
      <c r="G2172" s="171">
        <v>30.19</v>
      </c>
      <c r="H2172" s="171">
        <v>30.650000000000002</v>
      </c>
      <c r="I2172" s="171">
        <v>31.3</v>
      </c>
      <c r="J2172" s="171">
        <v>29.94</v>
      </c>
      <c r="K2172" s="171">
        <v>41.21</v>
      </c>
      <c r="L2172" s="171">
        <v>46.17</v>
      </c>
      <c r="M2172" s="171">
        <v>48.96</v>
      </c>
      <c r="N2172" s="171">
        <v>58</v>
      </c>
      <c r="O2172" s="171">
        <v>40.25</v>
      </c>
      <c r="P2172" s="171">
        <v>43</v>
      </c>
      <c r="Q2172" s="171">
        <v>37.6</v>
      </c>
      <c r="R2172" s="171">
        <v>36.54</v>
      </c>
      <c r="S2172" s="171">
        <v>37.22</v>
      </c>
      <c r="T2172" s="171">
        <v>35.14</v>
      </c>
      <c r="U2172" s="171">
        <v>36.42</v>
      </c>
      <c r="V2172" s="171">
        <v>42.84</v>
      </c>
      <c r="W2172" s="171">
        <v>46.93</v>
      </c>
      <c r="X2172" s="171">
        <v>52.45</v>
      </c>
      <c r="Y2172" s="171">
        <v>44.94</v>
      </c>
      <c r="Z2172" s="171">
        <v>40.49</v>
      </c>
      <c r="AA2172" s="171">
        <v>37.22</v>
      </c>
      <c r="AB2172" s="171">
        <v>36.15</v>
      </c>
      <c r="AC2172" s="171">
        <v>36.81</v>
      </c>
      <c r="AD2172" s="171">
        <v>42.95</v>
      </c>
      <c r="AF2172" s="171">
        <f t="shared" si="101"/>
        <v>2015</v>
      </c>
      <c r="AG2172" s="171">
        <f t="shared" si="102"/>
        <v>16</v>
      </c>
      <c r="AH2172" s="700">
        <f>SUMIF(D$3:$AA2172,"&lt;="&amp;$AH$1)/COUNTIF(D$3:$AA2172,"&lt;="&amp;$AH$1)</f>
        <v>31.556854393257655</v>
      </c>
    </row>
    <row r="2173" spans="2:34" x14ac:dyDescent="0.25">
      <c r="B2173" s="910">
        <v>42269</v>
      </c>
      <c r="C2173" s="581">
        <f t="shared" si="103"/>
        <v>9</v>
      </c>
      <c r="D2173" s="171">
        <v>36.200000000000003</v>
      </c>
      <c r="E2173" s="171">
        <v>23.75</v>
      </c>
      <c r="F2173" s="171">
        <v>26</v>
      </c>
      <c r="G2173" s="171">
        <v>29.47</v>
      </c>
      <c r="H2173" s="171">
        <v>31.3</v>
      </c>
      <c r="I2173" s="171">
        <v>28.38</v>
      </c>
      <c r="J2173" s="171">
        <v>23</v>
      </c>
      <c r="K2173" s="171">
        <v>30.400000000000002</v>
      </c>
      <c r="L2173" s="171">
        <v>38</v>
      </c>
      <c r="M2173" s="171">
        <v>36.96</v>
      </c>
      <c r="N2173" s="171">
        <v>34.42</v>
      </c>
      <c r="O2173" s="171">
        <v>36.65</v>
      </c>
      <c r="P2173" s="171">
        <v>36.61</v>
      </c>
      <c r="Q2173" s="171">
        <v>34.39</v>
      </c>
      <c r="R2173" s="171">
        <v>36.730000000000004</v>
      </c>
      <c r="S2173" s="171">
        <v>37.86</v>
      </c>
      <c r="T2173" s="171">
        <v>40.369999999999997</v>
      </c>
      <c r="U2173" s="171">
        <v>40.82</v>
      </c>
      <c r="V2173" s="171">
        <v>54.68</v>
      </c>
      <c r="W2173" s="171">
        <v>44.94</v>
      </c>
      <c r="X2173" s="171">
        <v>49.94</v>
      </c>
      <c r="Y2173" s="171">
        <v>41.15</v>
      </c>
      <c r="Z2173" s="171">
        <v>39.96</v>
      </c>
      <c r="AA2173" s="171">
        <v>34.96</v>
      </c>
      <c r="AB2173" s="171">
        <v>37.950000000000003</v>
      </c>
      <c r="AC2173" s="171">
        <v>32.03</v>
      </c>
      <c r="AD2173" s="171">
        <v>40.36</v>
      </c>
      <c r="AF2173" s="171">
        <f t="shared" si="101"/>
        <v>2015</v>
      </c>
      <c r="AG2173" s="171">
        <f t="shared" si="102"/>
        <v>21</v>
      </c>
      <c r="AH2173" s="700">
        <f>SUMIF(D$3:$AA2173,"&lt;="&amp;$AH$1)/COUNTIF(D$3:$AA2173,"&lt;="&amp;$AH$1)</f>
        <v>31.559964736662359</v>
      </c>
    </row>
    <row r="2174" spans="2:34" x14ac:dyDescent="0.25">
      <c r="B2174" s="910">
        <v>42270</v>
      </c>
      <c r="C2174" s="581">
        <f t="shared" si="103"/>
        <v>9</v>
      </c>
      <c r="D2174" s="171">
        <v>42.04</v>
      </c>
      <c r="E2174" s="171">
        <v>30.96</v>
      </c>
      <c r="F2174" s="171">
        <v>32.07</v>
      </c>
      <c r="G2174" s="171">
        <v>33.4</v>
      </c>
      <c r="H2174" s="171">
        <v>27.71</v>
      </c>
      <c r="I2174" s="171">
        <v>28.53</v>
      </c>
      <c r="J2174" s="171">
        <v>33.200000000000003</v>
      </c>
      <c r="K2174" s="171">
        <v>43.2</v>
      </c>
      <c r="L2174" s="171">
        <v>41.13</v>
      </c>
      <c r="M2174" s="171">
        <v>55.6</v>
      </c>
      <c r="N2174" s="171">
        <v>55.550000000000004</v>
      </c>
      <c r="O2174" s="171">
        <v>51.67</v>
      </c>
      <c r="P2174" s="171">
        <v>54.99</v>
      </c>
      <c r="Q2174" s="171">
        <v>50</v>
      </c>
      <c r="R2174" s="171">
        <v>49.910000000000004</v>
      </c>
      <c r="S2174" s="171">
        <v>47.5</v>
      </c>
      <c r="T2174" s="171">
        <v>44.13</v>
      </c>
      <c r="U2174" s="171">
        <v>44.17</v>
      </c>
      <c r="V2174" s="171">
        <v>45.85</v>
      </c>
      <c r="W2174" s="171">
        <v>42.51</v>
      </c>
      <c r="X2174" s="171">
        <v>43.03</v>
      </c>
      <c r="Y2174" s="171">
        <v>36.800000000000004</v>
      </c>
      <c r="Z2174" s="171">
        <v>42.18</v>
      </c>
      <c r="AA2174" s="171">
        <v>39.96</v>
      </c>
      <c r="AB2174" s="171">
        <v>34.94</v>
      </c>
      <c r="AC2174" s="171">
        <v>35.340000000000003</v>
      </c>
      <c r="AD2174" s="171">
        <v>48.74</v>
      </c>
      <c r="AF2174" s="171">
        <f t="shared" si="101"/>
        <v>2015</v>
      </c>
      <c r="AG2174" s="171">
        <f t="shared" si="102"/>
        <v>12</v>
      </c>
      <c r="AH2174" s="700">
        <f>SUMIF(D$3:$AA2174,"&lt;="&amp;$AH$1)/COUNTIF(D$3:$AA2174,"&lt;="&amp;$AH$1)</f>
        <v>31.562907241104785</v>
      </c>
    </row>
    <row r="2175" spans="2:34" x14ac:dyDescent="0.25">
      <c r="B2175" s="910">
        <v>42271</v>
      </c>
      <c r="C2175" s="581">
        <f t="shared" si="103"/>
        <v>9</v>
      </c>
      <c r="D2175" s="171">
        <v>39.81</v>
      </c>
      <c r="E2175" s="171">
        <v>38.99</v>
      </c>
      <c r="F2175" s="171">
        <v>36.24</v>
      </c>
      <c r="G2175" s="171">
        <v>34.4</v>
      </c>
      <c r="H2175" s="171">
        <v>30.16</v>
      </c>
      <c r="I2175" s="171">
        <v>25.64</v>
      </c>
      <c r="J2175" s="171">
        <v>35.69</v>
      </c>
      <c r="K2175" s="171">
        <v>36.29</v>
      </c>
      <c r="L2175" s="171">
        <v>38.39</v>
      </c>
      <c r="M2175" s="171">
        <v>37</v>
      </c>
      <c r="N2175" s="171">
        <v>45.93</v>
      </c>
      <c r="O2175" s="171">
        <v>34.96</v>
      </c>
      <c r="P2175" s="171">
        <v>42</v>
      </c>
      <c r="Q2175" s="171">
        <v>34.93</v>
      </c>
      <c r="R2175" s="171">
        <v>35.68</v>
      </c>
      <c r="S2175" s="171">
        <v>41</v>
      </c>
      <c r="T2175" s="171">
        <v>44.86</v>
      </c>
      <c r="U2175" s="171">
        <v>47.14</v>
      </c>
      <c r="V2175" s="171">
        <v>57.19</v>
      </c>
      <c r="W2175" s="171">
        <v>40</v>
      </c>
      <c r="X2175" s="171">
        <v>44.94</v>
      </c>
      <c r="Y2175" s="171">
        <v>49</v>
      </c>
      <c r="Z2175" s="171">
        <v>45.03</v>
      </c>
      <c r="AA2175" s="171">
        <v>39.96</v>
      </c>
      <c r="AB2175" s="171">
        <v>39.94</v>
      </c>
      <c r="AC2175" s="171">
        <v>37.480000000000004</v>
      </c>
      <c r="AD2175" s="171">
        <v>42.14</v>
      </c>
      <c r="AF2175" s="171">
        <f t="shared" si="101"/>
        <v>2015</v>
      </c>
      <c r="AG2175" s="171">
        <f t="shared" si="102"/>
        <v>17</v>
      </c>
      <c r="AH2175" s="700">
        <f>SUMIF(D$3:$AA2175,"&lt;="&amp;$AH$1)/COUNTIF(D$3:$AA2175,"&lt;="&amp;$AH$1)</f>
        <v>31.567709386178965</v>
      </c>
    </row>
    <row r="2176" spans="2:34" x14ac:dyDescent="0.25">
      <c r="B2176" s="910">
        <v>42272</v>
      </c>
      <c r="C2176" s="581">
        <f t="shared" si="103"/>
        <v>9</v>
      </c>
      <c r="D2176" s="171">
        <v>43.62</v>
      </c>
      <c r="E2176" s="171">
        <v>52.03</v>
      </c>
      <c r="F2176" s="171">
        <v>46.17</v>
      </c>
      <c r="G2176" s="171">
        <v>36.94</v>
      </c>
      <c r="H2176" s="171">
        <v>37.44</v>
      </c>
      <c r="I2176" s="171">
        <v>35.72</v>
      </c>
      <c r="J2176" s="171">
        <v>39.58</v>
      </c>
      <c r="K2176" s="171">
        <v>46.37</v>
      </c>
      <c r="L2176" s="171">
        <v>53.21</v>
      </c>
      <c r="M2176" s="171">
        <v>59.94</v>
      </c>
      <c r="N2176" s="171">
        <v>58</v>
      </c>
      <c r="O2176" s="171">
        <v>43</v>
      </c>
      <c r="P2176" s="171">
        <v>52.230000000000004</v>
      </c>
      <c r="Q2176" s="171">
        <v>39.57</v>
      </c>
      <c r="R2176" s="171">
        <v>35</v>
      </c>
      <c r="S2176" s="171">
        <v>36.1</v>
      </c>
      <c r="T2176" s="171">
        <v>35.83</v>
      </c>
      <c r="U2176" s="171">
        <v>35.96</v>
      </c>
      <c r="V2176" s="171">
        <v>44.94</v>
      </c>
      <c r="W2176" s="171">
        <v>43.24</v>
      </c>
      <c r="X2176" s="171">
        <v>46.7</v>
      </c>
      <c r="Y2176" s="171">
        <v>42.44</v>
      </c>
      <c r="Z2176" s="171">
        <v>39</v>
      </c>
      <c r="AA2176" s="171">
        <v>39.950000000000003</v>
      </c>
      <c r="AB2176" s="171">
        <v>47.44</v>
      </c>
      <c r="AC2176" s="171">
        <v>43.02</v>
      </c>
      <c r="AD2176" s="171">
        <v>44.21</v>
      </c>
      <c r="AF2176" s="171">
        <f t="shared" si="101"/>
        <v>2015</v>
      </c>
      <c r="AG2176" s="171">
        <f t="shared" si="102"/>
        <v>12</v>
      </c>
      <c r="AH2176" s="700">
        <f>SUMIF(D$3:$AA2176,"&lt;="&amp;$AH$1)/COUNTIF(D$3:$AA2176,"&lt;="&amp;$AH$1)</f>
        <v>31.571949157351035</v>
      </c>
    </row>
    <row r="2177" spans="2:34" x14ac:dyDescent="0.25">
      <c r="B2177" s="910">
        <v>42275</v>
      </c>
      <c r="C2177" s="581">
        <f t="shared" si="103"/>
        <v>9</v>
      </c>
      <c r="D2177" s="171">
        <v>40.31</v>
      </c>
      <c r="E2177" s="171">
        <v>33</v>
      </c>
      <c r="F2177" s="171">
        <v>37.99</v>
      </c>
      <c r="G2177" s="171">
        <v>36.31</v>
      </c>
      <c r="H2177" s="171">
        <v>30.02</v>
      </c>
      <c r="I2177" s="171">
        <v>32</v>
      </c>
      <c r="J2177" s="171">
        <v>42.44</v>
      </c>
      <c r="K2177" s="171">
        <v>39.96</v>
      </c>
      <c r="L2177" s="171">
        <v>53.33</v>
      </c>
      <c r="M2177" s="171">
        <v>56.54</v>
      </c>
      <c r="N2177" s="171">
        <v>57.92</v>
      </c>
      <c r="O2177" s="171">
        <v>50</v>
      </c>
      <c r="P2177" s="171">
        <v>34.94</v>
      </c>
      <c r="Q2177" s="171">
        <v>34.78</v>
      </c>
      <c r="R2177" s="171">
        <v>35.32</v>
      </c>
      <c r="S2177" s="171">
        <v>33.1</v>
      </c>
      <c r="T2177" s="171">
        <v>37.44</v>
      </c>
      <c r="U2177" s="171">
        <v>34.770000000000003</v>
      </c>
      <c r="V2177" s="171">
        <v>40.24</v>
      </c>
      <c r="W2177" s="171">
        <v>42.61</v>
      </c>
      <c r="X2177" s="171">
        <v>52.01</v>
      </c>
      <c r="Y2177" s="171">
        <v>42.44</v>
      </c>
      <c r="Z2177" s="171">
        <v>35.35</v>
      </c>
      <c r="AA2177" s="171">
        <v>39.94</v>
      </c>
      <c r="AB2177" s="171">
        <v>34.94</v>
      </c>
      <c r="AC2177" s="171">
        <v>38.14</v>
      </c>
      <c r="AD2177" s="171">
        <v>42.47</v>
      </c>
      <c r="AF2177" s="171">
        <f t="shared" si="101"/>
        <v>2015</v>
      </c>
      <c r="AG2177" s="171">
        <f t="shared" si="102"/>
        <v>18</v>
      </c>
      <c r="AH2177" s="700">
        <f>SUMIF(D$3:$AA2177,"&lt;="&amp;$AH$1)/COUNTIF(D$3:$AA2177,"&lt;="&amp;$AH$1)</f>
        <v>31.577167394138485</v>
      </c>
    </row>
    <row r="2178" spans="2:34" x14ac:dyDescent="0.25">
      <c r="B2178" s="910">
        <v>42276</v>
      </c>
      <c r="C2178" s="581">
        <f t="shared" si="103"/>
        <v>9</v>
      </c>
      <c r="D2178" s="171">
        <v>40.07</v>
      </c>
      <c r="E2178" s="171">
        <v>41.19</v>
      </c>
      <c r="F2178" s="171">
        <v>35.24</v>
      </c>
      <c r="G2178" s="171">
        <v>36.1</v>
      </c>
      <c r="H2178" s="171">
        <v>33.67</v>
      </c>
      <c r="I2178" s="171">
        <v>30.04</v>
      </c>
      <c r="J2178" s="171">
        <v>36.1</v>
      </c>
      <c r="K2178" s="171">
        <v>39.880000000000003</v>
      </c>
      <c r="L2178" s="171">
        <v>48.11</v>
      </c>
      <c r="M2178" s="171">
        <v>55.44</v>
      </c>
      <c r="N2178" s="171">
        <v>52</v>
      </c>
      <c r="O2178" s="171">
        <v>36.1</v>
      </c>
      <c r="P2178" s="171">
        <v>42.36</v>
      </c>
      <c r="Q2178" s="171">
        <v>34.75</v>
      </c>
      <c r="R2178" s="171">
        <v>34.94</v>
      </c>
      <c r="S2178" s="171">
        <v>34</v>
      </c>
      <c r="T2178" s="171">
        <v>33.910000000000004</v>
      </c>
      <c r="U2178" s="171">
        <v>34</v>
      </c>
      <c r="V2178" s="171">
        <v>42.85</v>
      </c>
      <c r="W2178" s="171">
        <v>43.36</v>
      </c>
      <c r="X2178" s="171">
        <v>51.64</v>
      </c>
      <c r="Y2178" s="171">
        <v>43.76</v>
      </c>
      <c r="Z2178" s="171">
        <v>39.94</v>
      </c>
      <c r="AA2178" s="171">
        <v>37.83</v>
      </c>
      <c r="AB2178" s="171">
        <v>44.56</v>
      </c>
      <c r="AC2178" s="171">
        <v>38.869999999999997</v>
      </c>
      <c r="AD2178" s="171">
        <v>41.28</v>
      </c>
      <c r="AF2178" s="171">
        <f t="shared" si="101"/>
        <v>2015</v>
      </c>
      <c r="AG2178" s="171">
        <f t="shared" si="102"/>
        <v>17</v>
      </c>
      <c r="AH2178" s="700">
        <f>SUMIF(D$3:$AA2178,"&lt;="&amp;$AH$1)/COUNTIF(D$3:$AA2178,"&lt;="&amp;$AH$1)</f>
        <v>31.581885264469182</v>
      </c>
    </row>
    <row r="2179" spans="2:34" x14ac:dyDescent="0.25">
      <c r="B2179" s="910">
        <v>42277</v>
      </c>
      <c r="C2179" s="581">
        <f t="shared" si="103"/>
        <v>9</v>
      </c>
      <c r="D2179" s="171">
        <v>40.700000000000003</v>
      </c>
      <c r="E2179" s="171">
        <v>29.400000000000002</v>
      </c>
      <c r="F2179" s="171">
        <v>32.730000000000004</v>
      </c>
      <c r="G2179" s="171">
        <v>30</v>
      </c>
      <c r="H2179" s="171">
        <v>28.7</v>
      </c>
      <c r="I2179" s="171">
        <v>27</v>
      </c>
      <c r="J2179" s="171">
        <v>33.980000000000004</v>
      </c>
      <c r="K2179" s="171">
        <v>42.93</v>
      </c>
      <c r="L2179" s="171">
        <v>53.78</v>
      </c>
      <c r="M2179" s="171">
        <v>55.5</v>
      </c>
      <c r="N2179" s="171">
        <v>59.94</v>
      </c>
      <c r="O2179" s="171">
        <v>44.1</v>
      </c>
      <c r="P2179" s="171">
        <v>39.94</v>
      </c>
      <c r="Q2179" s="171">
        <v>37</v>
      </c>
      <c r="R2179" s="171">
        <v>35</v>
      </c>
      <c r="S2179" s="171">
        <v>34.770000000000003</v>
      </c>
      <c r="T2179" s="171">
        <v>34.94</v>
      </c>
      <c r="U2179" s="171">
        <v>34.94</v>
      </c>
      <c r="V2179" s="171">
        <v>43.5</v>
      </c>
      <c r="W2179" s="171">
        <v>50</v>
      </c>
      <c r="X2179" s="171">
        <v>58</v>
      </c>
      <c r="Y2179" s="171">
        <v>50.26</v>
      </c>
      <c r="Z2179" s="171">
        <v>47.44</v>
      </c>
      <c r="AA2179" s="171">
        <v>38.840000000000003</v>
      </c>
      <c r="AB2179" s="171">
        <v>34.06</v>
      </c>
      <c r="AC2179" s="171">
        <v>37.43</v>
      </c>
      <c r="AD2179" s="171">
        <v>43.97</v>
      </c>
      <c r="AF2179" s="171">
        <f t="shared" si="101"/>
        <v>2015</v>
      </c>
      <c r="AG2179" s="171">
        <f t="shared" si="102"/>
        <v>14</v>
      </c>
      <c r="AH2179" s="700">
        <f>SUMIF(D$3:$AA2179,"&lt;="&amp;$AH$1)/COUNTIF(D$3:$AA2179,"&lt;="&amp;$AH$1)</f>
        <v>31.583910706201703</v>
      </c>
    </row>
    <row r="2180" spans="2:34" x14ac:dyDescent="0.25">
      <c r="B2180" s="910">
        <v>42278</v>
      </c>
      <c r="C2180" s="581">
        <f t="shared" si="103"/>
        <v>10</v>
      </c>
      <c r="D2180" s="171">
        <v>41.81</v>
      </c>
      <c r="E2180" s="171">
        <v>37.44</v>
      </c>
      <c r="F2180" s="171">
        <v>33.03</v>
      </c>
      <c r="G2180" s="171">
        <v>33.65</v>
      </c>
      <c r="H2180" s="171">
        <v>29.14</v>
      </c>
      <c r="I2180" s="171">
        <v>29.400000000000002</v>
      </c>
      <c r="J2180" s="171">
        <v>33</v>
      </c>
      <c r="K2180" s="171">
        <v>44.97</v>
      </c>
      <c r="L2180" s="171">
        <v>56</v>
      </c>
      <c r="M2180" s="171">
        <v>59.06</v>
      </c>
      <c r="N2180" s="171">
        <v>49.82</v>
      </c>
      <c r="O2180" s="171">
        <v>35.450000000000003</v>
      </c>
      <c r="P2180" s="171">
        <v>38.700000000000003</v>
      </c>
      <c r="Q2180" s="171">
        <v>39.94</v>
      </c>
      <c r="R2180" s="171">
        <v>35.35</v>
      </c>
      <c r="S2180" s="171">
        <v>34.94</v>
      </c>
      <c r="T2180" s="171">
        <v>34.590000000000003</v>
      </c>
      <c r="U2180" s="171">
        <v>36.550000000000004</v>
      </c>
      <c r="V2180" s="171">
        <v>44.480000000000004</v>
      </c>
      <c r="W2180" s="171">
        <v>51.57</v>
      </c>
      <c r="X2180" s="171">
        <v>61</v>
      </c>
      <c r="Y2180" s="171">
        <v>55</v>
      </c>
      <c r="Z2180" s="171">
        <v>44.95</v>
      </c>
      <c r="AA2180" s="171">
        <v>42.97</v>
      </c>
      <c r="AB2180" s="171">
        <v>42.44</v>
      </c>
      <c r="AC2180" s="171">
        <v>40.17</v>
      </c>
      <c r="AD2180" s="171">
        <v>43.45</v>
      </c>
      <c r="AF2180" s="171">
        <f t="shared" ref="AF2180:AF2243" si="104">YEAR(B2180)</f>
        <v>2015</v>
      </c>
      <c r="AG2180" s="171">
        <f t="shared" ref="AG2180:AG2243" si="105">COUNTIF(D2180:AA2180,"&lt;="&amp;$AH$1)</f>
        <v>14</v>
      </c>
      <c r="AH2180" s="700">
        <f>SUMIF(D$3:$AA2180,"&lt;="&amp;$AH$1)/COUNTIF(D$3:$AA2180,"&lt;="&amp;$AH$1)</f>
        <v>31.586783896867374</v>
      </c>
    </row>
    <row r="2181" spans="2:34" x14ac:dyDescent="0.25">
      <c r="B2181" s="910">
        <v>42279</v>
      </c>
      <c r="C2181" s="581">
        <f t="shared" si="103"/>
        <v>10</v>
      </c>
      <c r="D2181" s="171">
        <v>40.78</v>
      </c>
      <c r="E2181" s="171">
        <v>32.99</v>
      </c>
      <c r="F2181" s="171">
        <v>33.090000000000003</v>
      </c>
      <c r="G2181" s="171">
        <v>34.18</v>
      </c>
      <c r="H2181" s="171">
        <v>33.57</v>
      </c>
      <c r="I2181" s="171">
        <v>32.81</v>
      </c>
      <c r="J2181" s="171">
        <v>32.299999999999997</v>
      </c>
      <c r="K2181" s="171">
        <v>44.68</v>
      </c>
      <c r="L2181" s="171">
        <v>54.92</v>
      </c>
      <c r="M2181" s="171">
        <v>60</v>
      </c>
      <c r="N2181" s="171">
        <v>58.13</v>
      </c>
      <c r="O2181" s="171">
        <v>39.94</v>
      </c>
      <c r="P2181" s="171">
        <v>39</v>
      </c>
      <c r="Q2181" s="171">
        <v>38.78</v>
      </c>
      <c r="R2181" s="171">
        <v>35.119999999999997</v>
      </c>
      <c r="S2181" s="171">
        <v>34.31</v>
      </c>
      <c r="T2181" s="171">
        <v>32.44</v>
      </c>
      <c r="U2181" s="171">
        <v>32.44</v>
      </c>
      <c r="V2181" s="171">
        <v>44.68</v>
      </c>
      <c r="W2181" s="171">
        <v>48.1</v>
      </c>
      <c r="X2181" s="171">
        <v>55</v>
      </c>
      <c r="Y2181" s="171">
        <v>49.03</v>
      </c>
      <c r="Z2181" s="171">
        <v>39.800000000000004</v>
      </c>
      <c r="AA2181" s="171">
        <v>33.5</v>
      </c>
      <c r="AB2181" s="171">
        <v>39.96</v>
      </c>
      <c r="AC2181" s="171">
        <v>38.4</v>
      </c>
      <c r="AD2181" s="171">
        <v>43.160000000000004</v>
      </c>
      <c r="AF2181" s="171">
        <f t="shared" si="104"/>
        <v>2015</v>
      </c>
      <c r="AG2181" s="171">
        <f t="shared" si="105"/>
        <v>16</v>
      </c>
      <c r="AH2181" s="700">
        <f>SUMIF(D$3:$AA2181,"&lt;="&amp;$AH$1)/COUNTIF(D$3:$AA2181,"&lt;="&amp;$AH$1)</f>
        <v>31.590154219861962</v>
      </c>
    </row>
    <row r="2182" spans="2:34" x14ac:dyDescent="0.25">
      <c r="B2182" s="910">
        <v>42282</v>
      </c>
      <c r="C2182" s="581">
        <f t="shared" si="103"/>
        <v>10</v>
      </c>
      <c r="D2182" s="171">
        <v>43.02</v>
      </c>
      <c r="E2182" s="171">
        <v>45.68</v>
      </c>
      <c r="F2182" s="171">
        <v>37.82</v>
      </c>
      <c r="G2182" s="171">
        <v>34.51</v>
      </c>
      <c r="H2182" s="171">
        <v>27.66</v>
      </c>
      <c r="I2182" s="171">
        <v>26.3</v>
      </c>
      <c r="J2182" s="171">
        <v>31.580000000000002</v>
      </c>
      <c r="K2182" s="171">
        <v>42.17</v>
      </c>
      <c r="L2182" s="171">
        <v>53.17</v>
      </c>
      <c r="M2182" s="171">
        <v>58.02</v>
      </c>
      <c r="N2182" s="171">
        <v>53.01</v>
      </c>
      <c r="O2182" s="171">
        <v>51.56</v>
      </c>
      <c r="P2182" s="171">
        <v>49.19</v>
      </c>
      <c r="Q2182" s="171">
        <v>44.94</v>
      </c>
      <c r="R2182" s="171">
        <v>40.4</v>
      </c>
      <c r="S2182" s="171">
        <v>38.840000000000003</v>
      </c>
      <c r="T2182" s="171">
        <v>40.97</v>
      </c>
      <c r="U2182" s="171">
        <v>41.38</v>
      </c>
      <c r="V2182" s="171">
        <v>44.61</v>
      </c>
      <c r="W2182" s="171">
        <v>45.1</v>
      </c>
      <c r="X2182" s="171">
        <v>57.44</v>
      </c>
      <c r="Y2182" s="171">
        <v>49.96</v>
      </c>
      <c r="Z2182" s="171">
        <v>40.25</v>
      </c>
      <c r="AA2182" s="171">
        <v>43</v>
      </c>
      <c r="AB2182" s="171">
        <v>34.950000000000003</v>
      </c>
      <c r="AC2182" s="171">
        <v>38.92</v>
      </c>
      <c r="AD2182" s="171">
        <v>47.12</v>
      </c>
      <c r="AF2182" s="171">
        <f t="shared" si="104"/>
        <v>2015</v>
      </c>
      <c r="AG2182" s="171">
        <f t="shared" si="105"/>
        <v>11</v>
      </c>
      <c r="AH2182" s="700">
        <f>SUMIF(D$3:$AA2182,"&lt;="&amp;$AH$1)/COUNTIF(D$3:$AA2182,"&lt;="&amp;$AH$1)</f>
        <v>31.593224750183278</v>
      </c>
    </row>
    <row r="2183" spans="2:34" x14ac:dyDescent="0.25">
      <c r="B2183" s="910">
        <v>42283</v>
      </c>
      <c r="C2183" s="581">
        <f t="shared" si="103"/>
        <v>10</v>
      </c>
      <c r="D2183" s="171">
        <v>39.53</v>
      </c>
      <c r="E2183" s="171">
        <v>31.16</v>
      </c>
      <c r="F2183" s="171">
        <v>33.410000000000004</v>
      </c>
      <c r="G2183" s="171">
        <v>32.119999999999997</v>
      </c>
      <c r="H2183" s="171">
        <v>26.400000000000002</v>
      </c>
      <c r="I2183" s="171">
        <v>23.66</v>
      </c>
      <c r="J2183" s="171">
        <v>26.400000000000002</v>
      </c>
      <c r="K2183" s="171">
        <v>35.29</v>
      </c>
      <c r="L2183" s="171">
        <v>45.81</v>
      </c>
      <c r="M2183" s="171">
        <v>48.08</v>
      </c>
      <c r="N2183" s="171">
        <v>46.9</v>
      </c>
      <c r="O2183" s="171">
        <v>54.99</v>
      </c>
      <c r="P2183" s="171">
        <v>46.95</v>
      </c>
      <c r="Q2183" s="171">
        <v>45.69</v>
      </c>
      <c r="R2183" s="171">
        <v>46.12</v>
      </c>
      <c r="S2183" s="171">
        <v>43.92</v>
      </c>
      <c r="T2183" s="171">
        <v>41.27</v>
      </c>
      <c r="U2183" s="171">
        <v>40</v>
      </c>
      <c r="V2183" s="171">
        <v>40.550000000000004</v>
      </c>
      <c r="W2183" s="171">
        <v>41.910000000000004</v>
      </c>
      <c r="X2183" s="171">
        <v>45.88</v>
      </c>
      <c r="Y2183" s="171">
        <v>39.96</v>
      </c>
      <c r="Z2183" s="171">
        <v>41.160000000000004</v>
      </c>
      <c r="AA2183" s="171">
        <v>39.32</v>
      </c>
      <c r="AB2183" s="171">
        <v>31.7</v>
      </c>
      <c r="AC2183" s="171">
        <v>33.869999999999997</v>
      </c>
      <c r="AD2183" s="171">
        <v>45.19</v>
      </c>
      <c r="AF2183" s="171">
        <f t="shared" si="104"/>
        <v>2015</v>
      </c>
      <c r="AG2183" s="171">
        <f t="shared" si="105"/>
        <v>15</v>
      </c>
      <c r="AH2183" s="700">
        <f>SUMIF(D$3:$AA2183,"&lt;="&amp;$AH$1)/COUNTIF(D$3:$AA2183,"&lt;="&amp;$AH$1)</f>
        <v>31.596510040613531</v>
      </c>
    </row>
    <row r="2184" spans="2:34" x14ac:dyDescent="0.25">
      <c r="B2184" s="910">
        <v>42284</v>
      </c>
      <c r="C2184" s="581">
        <f t="shared" si="103"/>
        <v>10</v>
      </c>
      <c r="D2184" s="171">
        <v>40.99</v>
      </c>
      <c r="E2184" s="171">
        <v>28.990000000000002</v>
      </c>
      <c r="F2184" s="171">
        <v>25.19</v>
      </c>
      <c r="G2184" s="171">
        <v>24.080000000000002</v>
      </c>
      <c r="H2184" s="171">
        <v>23.45</v>
      </c>
      <c r="I2184" s="171">
        <v>23.66</v>
      </c>
      <c r="J2184" s="171">
        <v>26.26</v>
      </c>
      <c r="K2184" s="171">
        <v>34.300000000000004</v>
      </c>
      <c r="L2184" s="171">
        <v>47.68</v>
      </c>
      <c r="M2184" s="171">
        <v>54.24</v>
      </c>
      <c r="N2184" s="171">
        <v>49.84</v>
      </c>
      <c r="O2184" s="171">
        <v>49.02</v>
      </c>
      <c r="P2184" s="171">
        <v>49.63</v>
      </c>
      <c r="Q2184" s="171">
        <v>47.51</v>
      </c>
      <c r="R2184" s="171">
        <v>47.07</v>
      </c>
      <c r="S2184" s="171">
        <v>45.94</v>
      </c>
      <c r="T2184" s="171">
        <v>45.95</v>
      </c>
      <c r="U2184" s="171">
        <v>44.2</v>
      </c>
      <c r="V2184" s="171">
        <v>45.74</v>
      </c>
      <c r="W2184" s="171">
        <v>49.58</v>
      </c>
      <c r="X2184" s="171">
        <v>59.24</v>
      </c>
      <c r="Y2184" s="171">
        <v>49.56</v>
      </c>
      <c r="Z2184" s="171">
        <v>41.52</v>
      </c>
      <c r="AA2184" s="171">
        <v>36.36</v>
      </c>
      <c r="AB2184" s="171">
        <v>34.78</v>
      </c>
      <c r="AC2184" s="171">
        <v>32.99</v>
      </c>
      <c r="AD2184" s="171">
        <v>49</v>
      </c>
      <c r="AF2184" s="171">
        <f t="shared" si="104"/>
        <v>2015</v>
      </c>
      <c r="AG2184" s="171">
        <f t="shared" si="105"/>
        <v>10</v>
      </c>
      <c r="AH2184" s="700">
        <f>SUMIF(D$3:$AA2184,"&lt;="&amp;$AH$1)/COUNTIF(D$3:$AA2184,"&lt;="&amp;$AH$1)</f>
        <v>31.595880595331863</v>
      </c>
    </row>
    <row r="2185" spans="2:34" x14ac:dyDescent="0.25">
      <c r="B2185" s="910">
        <v>42285</v>
      </c>
      <c r="C2185" s="581">
        <f t="shared" si="103"/>
        <v>10</v>
      </c>
      <c r="D2185" s="171">
        <v>48.76</v>
      </c>
      <c r="E2185" s="171">
        <v>38.46</v>
      </c>
      <c r="F2185" s="171">
        <v>38.840000000000003</v>
      </c>
      <c r="G2185" s="171">
        <v>34.5</v>
      </c>
      <c r="H2185" s="171">
        <v>34.21</v>
      </c>
      <c r="I2185" s="171">
        <v>32.26</v>
      </c>
      <c r="J2185" s="171">
        <v>34.76</v>
      </c>
      <c r="K2185" s="171">
        <v>46.49</v>
      </c>
      <c r="L2185" s="171">
        <v>55.7</v>
      </c>
      <c r="M2185" s="171">
        <v>59.84</v>
      </c>
      <c r="N2185" s="171">
        <v>61.14</v>
      </c>
      <c r="O2185" s="171">
        <v>59.13</v>
      </c>
      <c r="P2185" s="171">
        <v>56</v>
      </c>
      <c r="Q2185" s="171">
        <v>52.46</v>
      </c>
      <c r="R2185" s="171">
        <v>51.050000000000004</v>
      </c>
      <c r="S2185" s="171">
        <v>50.78</v>
      </c>
      <c r="T2185" s="171">
        <v>50.22</v>
      </c>
      <c r="U2185" s="171">
        <v>50</v>
      </c>
      <c r="V2185" s="171">
        <v>51.69</v>
      </c>
      <c r="W2185" s="171">
        <v>55.99</v>
      </c>
      <c r="X2185" s="171">
        <v>72.7</v>
      </c>
      <c r="Y2185" s="171">
        <v>58.04</v>
      </c>
      <c r="Z2185" s="171">
        <v>42.44</v>
      </c>
      <c r="AA2185" s="171">
        <v>39.94</v>
      </c>
      <c r="AB2185" s="171">
        <v>43.53</v>
      </c>
      <c r="AC2185" s="171">
        <v>41.6</v>
      </c>
      <c r="AD2185" s="171">
        <v>55.92</v>
      </c>
      <c r="AF2185" s="171">
        <f t="shared" si="104"/>
        <v>2015</v>
      </c>
      <c r="AG2185" s="171">
        <f t="shared" si="105"/>
        <v>8</v>
      </c>
      <c r="AH2185" s="700">
        <f>SUMIF(D$3:$AA2185,"&lt;="&amp;$AH$1)/COUNTIF(D$3:$AA2185,"&lt;="&amp;$AH$1)</f>
        <v>31.59828355685768</v>
      </c>
    </row>
    <row r="2186" spans="2:34" x14ac:dyDescent="0.25">
      <c r="B2186" s="910">
        <v>42286</v>
      </c>
      <c r="C2186" s="581">
        <f t="shared" si="103"/>
        <v>10</v>
      </c>
      <c r="D2186" s="171">
        <v>45.96</v>
      </c>
      <c r="E2186" s="171">
        <v>42.01</v>
      </c>
      <c r="F2186" s="171">
        <v>37.96</v>
      </c>
      <c r="G2186" s="171">
        <v>34.74</v>
      </c>
      <c r="H2186" s="171">
        <v>33.18</v>
      </c>
      <c r="I2186" s="171">
        <v>30.47</v>
      </c>
      <c r="J2186" s="171">
        <v>33.869999999999997</v>
      </c>
      <c r="K2186" s="171">
        <v>46.62</v>
      </c>
      <c r="L2186" s="171">
        <v>55.480000000000004</v>
      </c>
      <c r="M2186" s="171">
        <v>61.04</v>
      </c>
      <c r="N2186" s="171">
        <v>61</v>
      </c>
      <c r="O2186" s="171">
        <v>55.09</v>
      </c>
      <c r="P2186" s="171">
        <v>52.93</v>
      </c>
      <c r="Q2186" s="171">
        <v>50.85</v>
      </c>
      <c r="R2186" s="171">
        <v>47.800000000000004</v>
      </c>
      <c r="S2186" s="171">
        <v>46.800000000000004</v>
      </c>
      <c r="T2186" s="171">
        <v>45.17</v>
      </c>
      <c r="U2186" s="171">
        <v>44.480000000000004</v>
      </c>
      <c r="V2186" s="171">
        <v>46.660000000000004</v>
      </c>
      <c r="W2186" s="171">
        <v>49.56</v>
      </c>
      <c r="X2186" s="171">
        <v>55.44</v>
      </c>
      <c r="Y2186" s="171">
        <v>49.94</v>
      </c>
      <c r="Z2186" s="171">
        <v>40.07</v>
      </c>
      <c r="AA2186" s="171">
        <v>37.01</v>
      </c>
      <c r="AB2186" s="171">
        <v>44.94</v>
      </c>
      <c r="AC2186" s="171">
        <v>40.520000000000003</v>
      </c>
      <c r="AD2186" s="171">
        <v>51.4</v>
      </c>
      <c r="AF2186" s="171">
        <f t="shared" si="104"/>
        <v>2015</v>
      </c>
      <c r="AG2186" s="171">
        <f t="shared" si="105"/>
        <v>8</v>
      </c>
      <c r="AH2186" s="700">
        <f>SUMIF(D$3:$AA2186,"&lt;="&amp;$AH$1)/COUNTIF(D$3:$AA2186,"&lt;="&amp;$AH$1)</f>
        <v>31.600340768277366</v>
      </c>
    </row>
    <row r="2187" spans="2:34" x14ac:dyDescent="0.25">
      <c r="B2187" s="910">
        <v>42289</v>
      </c>
      <c r="C2187" s="581">
        <f t="shared" si="103"/>
        <v>10</v>
      </c>
      <c r="D2187" s="171">
        <v>43.730000000000004</v>
      </c>
      <c r="E2187" s="171">
        <v>50.410000000000004</v>
      </c>
      <c r="F2187" s="171">
        <v>42.44</v>
      </c>
      <c r="G2187" s="171">
        <v>39.92</v>
      </c>
      <c r="H2187" s="171">
        <v>30.8</v>
      </c>
      <c r="I2187" s="171">
        <v>30.8</v>
      </c>
      <c r="J2187" s="171">
        <v>36.050000000000004</v>
      </c>
      <c r="K2187" s="171">
        <v>41.88</v>
      </c>
      <c r="L2187" s="171">
        <v>47.800000000000004</v>
      </c>
      <c r="M2187" s="171">
        <v>47.800000000000004</v>
      </c>
      <c r="N2187" s="171">
        <v>47.800000000000004</v>
      </c>
      <c r="O2187" s="171">
        <v>44.94</v>
      </c>
      <c r="P2187" s="171">
        <v>40.26</v>
      </c>
      <c r="Q2187" s="171">
        <v>36.630000000000003</v>
      </c>
      <c r="R2187" s="171">
        <v>39.94</v>
      </c>
      <c r="S2187" s="171">
        <v>37.44</v>
      </c>
      <c r="T2187" s="171">
        <v>39</v>
      </c>
      <c r="U2187" s="171">
        <v>47.800000000000004</v>
      </c>
      <c r="V2187" s="171">
        <v>47.9</v>
      </c>
      <c r="W2187" s="171">
        <v>53.33</v>
      </c>
      <c r="X2187" s="171">
        <v>66.87</v>
      </c>
      <c r="Y2187" s="171">
        <v>46.97</v>
      </c>
      <c r="Z2187" s="171">
        <v>44.94</v>
      </c>
      <c r="AA2187" s="171">
        <v>42</v>
      </c>
      <c r="AB2187" s="171">
        <v>45.7</v>
      </c>
      <c r="AC2187" s="171">
        <v>41.64</v>
      </c>
      <c r="AD2187" s="171">
        <v>45.81</v>
      </c>
      <c r="AF2187" s="171">
        <f t="shared" si="104"/>
        <v>2015</v>
      </c>
      <c r="AG2187" s="171">
        <f t="shared" si="105"/>
        <v>12</v>
      </c>
      <c r="AH2187" s="700">
        <f>SUMIF(D$3:$AA2187,"&lt;="&amp;$AH$1)/COUNTIF(D$3:$AA2187,"&lt;="&amp;$AH$1)</f>
        <v>31.604728695260405</v>
      </c>
    </row>
    <row r="2188" spans="2:34" x14ac:dyDescent="0.25">
      <c r="B2188" s="910">
        <v>42290</v>
      </c>
      <c r="C2188" s="581">
        <f t="shared" si="103"/>
        <v>10</v>
      </c>
      <c r="D2188" s="171">
        <v>40.910000000000004</v>
      </c>
      <c r="E2188" s="171">
        <v>33</v>
      </c>
      <c r="F2188" s="171">
        <v>33.549999999999997</v>
      </c>
      <c r="G2188" s="171">
        <v>34.56</v>
      </c>
      <c r="H2188" s="171">
        <v>28.87</v>
      </c>
      <c r="I2188" s="171">
        <v>29.05</v>
      </c>
      <c r="J2188" s="171">
        <v>31.7</v>
      </c>
      <c r="K2188" s="171">
        <v>43.95</v>
      </c>
      <c r="L2188" s="171">
        <v>50.120000000000005</v>
      </c>
      <c r="M2188" s="171">
        <v>56.6</v>
      </c>
      <c r="N2188" s="171">
        <v>52.74</v>
      </c>
      <c r="O2188" s="171">
        <v>41</v>
      </c>
      <c r="P2188" s="171">
        <v>35.880000000000003</v>
      </c>
      <c r="Q2188" s="171">
        <v>32.79</v>
      </c>
      <c r="R2188" s="171">
        <v>34.96</v>
      </c>
      <c r="S2188" s="171">
        <v>37.340000000000003</v>
      </c>
      <c r="T2188" s="171">
        <v>42.44</v>
      </c>
      <c r="U2188" s="171">
        <v>43.85</v>
      </c>
      <c r="V2188" s="171">
        <v>48.17</v>
      </c>
      <c r="W2188" s="171">
        <v>53.910000000000004</v>
      </c>
      <c r="X2188" s="171">
        <v>61.89</v>
      </c>
      <c r="Y2188" s="171">
        <v>45.93</v>
      </c>
      <c r="Z2188" s="171">
        <v>37.619999999999997</v>
      </c>
      <c r="AA2188" s="171">
        <v>36.33</v>
      </c>
      <c r="AB2188" s="171">
        <v>35.56</v>
      </c>
      <c r="AC2188" s="171">
        <v>36.69</v>
      </c>
      <c r="AD2188" s="171">
        <v>45.13</v>
      </c>
      <c r="AF2188" s="171">
        <f t="shared" si="104"/>
        <v>2015</v>
      </c>
      <c r="AG2188" s="171">
        <f t="shared" si="105"/>
        <v>15</v>
      </c>
      <c r="AH2188" s="700">
        <f>SUMIF(D$3:$AA2188,"&lt;="&amp;$AH$1)/COUNTIF(D$3:$AA2188,"&lt;="&amp;$AH$1)</f>
        <v>31.60787413531277</v>
      </c>
    </row>
    <row r="2189" spans="2:34" x14ac:dyDescent="0.25">
      <c r="B2189" s="910">
        <v>42291</v>
      </c>
      <c r="C2189" s="581">
        <f t="shared" si="103"/>
        <v>10</v>
      </c>
      <c r="D2189" s="171">
        <v>37.99</v>
      </c>
      <c r="E2189" s="171">
        <v>34.300000000000004</v>
      </c>
      <c r="F2189" s="171">
        <v>32.6</v>
      </c>
      <c r="G2189" s="171">
        <v>32.6</v>
      </c>
      <c r="H2189" s="171">
        <v>32.49</v>
      </c>
      <c r="I2189" s="171">
        <v>31.990000000000002</v>
      </c>
      <c r="J2189" s="171">
        <v>30.71</v>
      </c>
      <c r="K2189" s="171">
        <v>34.42</v>
      </c>
      <c r="L2189" s="171">
        <v>45</v>
      </c>
      <c r="M2189" s="171">
        <v>42.44</v>
      </c>
      <c r="N2189" s="171">
        <v>47</v>
      </c>
      <c r="O2189" s="171">
        <v>45.82</v>
      </c>
      <c r="P2189" s="171">
        <v>45.79</v>
      </c>
      <c r="Q2189" s="171">
        <v>37.44</v>
      </c>
      <c r="R2189" s="171">
        <v>38.300000000000004</v>
      </c>
      <c r="S2189" s="171">
        <v>37</v>
      </c>
      <c r="T2189" s="171">
        <v>37.18</v>
      </c>
      <c r="U2189" s="171">
        <v>40</v>
      </c>
      <c r="V2189" s="171">
        <v>40.07</v>
      </c>
      <c r="W2189" s="171">
        <v>35.22</v>
      </c>
      <c r="X2189" s="171">
        <v>39.94</v>
      </c>
      <c r="Y2189" s="171">
        <v>39</v>
      </c>
      <c r="Z2189" s="171">
        <v>40.230000000000004</v>
      </c>
      <c r="AA2189" s="171">
        <v>37.44</v>
      </c>
      <c r="AB2189" s="171">
        <v>34.660000000000004</v>
      </c>
      <c r="AC2189" s="171">
        <v>35.450000000000003</v>
      </c>
      <c r="AD2189" s="171">
        <v>40.520000000000003</v>
      </c>
      <c r="AF2189" s="171">
        <f t="shared" si="104"/>
        <v>2015</v>
      </c>
      <c r="AG2189" s="171">
        <f t="shared" si="105"/>
        <v>20</v>
      </c>
      <c r="AH2189" s="700">
        <f>SUMIF(D$3:$AA2189,"&lt;="&amp;$AH$1)/COUNTIF(D$3:$AA2189,"&lt;="&amp;$AH$1)</f>
        <v>31.613446997359482</v>
      </c>
    </row>
    <row r="2190" spans="2:34" x14ac:dyDescent="0.25">
      <c r="B2190" s="910">
        <v>42292</v>
      </c>
      <c r="C2190" s="581">
        <f t="shared" si="103"/>
        <v>10</v>
      </c>
      <c r="D2190" s="171">
        <v>38.04</v>
      </c>
      <c r="E2190" s="171">
        <v>32.090000000000003</v>
      </c>
      <c r="F2190" s="171">
        <v>30.66</v>
      </c>
      <c r="G2190" s="171">
        <v>31</v>
      </c>
      <c r="H2190" s="171">
        <v>31.990000000000002</v>
      </c>
      <c r="I2190" s="171">
        <v>32.08</v>
      </c>
      <c r="J2190" s="171">
        <v>30.45</v>
      </c>
      <c r="K2190" s="171">
        <v>36.06</v>
      </c>
      <c r="L2190" s="171">
        <v>39.94</v>
      </c>
      <c r="M2190" s="171">
        <v>39.94</v>
      </c>
      <c r="N2190" s="171">
        <v>46.5</v>
      </c>
      <c r="O2190" s="171">
        <v>46.5</v>
      </c>
      <c r="P2190" s="171">
        <v>46.5</v>
      </c>
      <c r="Q2190" s="171">
        <v>46.5</v>
      </c>
      <c r="R2190" s="171">
        <v>46.5</v>
      </c>
      <c r="S2190" s="171">
        <v>42.44</v>
      </c>
      <c r="T2190" s="171">
        <v>36.08</v>
      </c>
      <c r="U2190" s="171">
        <v>35</v>
      </c>
      <c r="V2190" s="171">
        <v>37.44</v>
      </c>
      <c r="W2190" s="171">
        <v>38</v>
      </c>
      <c r="X2190" s="171">
        <v>45</v>
      </c>
      <c r="Y2190" s="171">
        <v>36.07</v>
      </c>
      <c r="Z2190" s="171">
        <v>33.880000000000003</v>
      </c>
      <c r="AA2190" s="171">
        <v>39.03</v>
      </c>
      <c r="AB2190" s="171">
        <v>33.36</v>
      </c>
      <c r="AC2190" s="171">
        <v>33.880000000000003</v>
      </c>
      <c r="AD2190" s="171">
        <v>42.2</v>
      </c>
      <c r="AF2190" s="171">
        <f t="shared" si="104"/>
        <v>2015</v>
      </c>
      <c r="AG2190" s="171">
        <f t="shared" si="105"/>
        <v>18</v>
      </c>
      <c r="AH2190" s="700">
        <f>SUMIF(D$3:$AA2190,"&lt;="&amp;$AH$1)/COUNTIF(D$3:$AA2190,"&lt;="&amp;$AH$1)</f>
        <v>31.617439811436995</v>
      </c>
    </row>
    <row r="2191" spans="2:34" x14ac:dyDescent="0.25">
      <c r="B2191" s="910">
        <v>42293</v>
      </c>
      <c r="C2191" s="581">
        <f t="shared" si="103"/>
        <v>10</v>
      </c>
      <c r="D2191" s="171">
        <v>38.230000000000004</v>
      </c>
      <c r="E2191" s="171">
        <v>31.900000000000002</v>
      </c>
      <c r="F2191" s="171">
        <v>29.96</v>
      </c>
      <c r="G2191" s="171">
        <v>30.900000000000002</v>
      </c>
      <c r="H2191" s="171">
        <v>31.900000000000002</v>
      </c>
      <c r="I2191" s="171">
        <v>30.900000000000002</v>
      </c>
      <c r="J2191" s="171">
        <v>30.900000000000002</v>
      </c>
      <c r="K2191" s="171">
        <v>37.1</v>
      </c>
      <c r="L2191" s="171">
        <v>34.94</v>
      </c>
      <c r="M2191" s="171">
        <v>34.56</v>
      </c>
      <c r="N2191" s="171">
        <v>65.989999999999995</v>
      </c>
      <c r="O2191" s="171">
        <v>62.76</v>
      </c>
      <c r="P2191" s="171">
        <v>61</v>
      </c>
      <c r="Q2191" s="171">
        <v>39.94</v>
      </c>
      <c r="R2191" s="171">
        <v>37.44</v>
      </c>
      <c r="S2191" s="171">
        <v>35</v>
      </c>
      <c r="T2191" s="171">
        <v>34.9</v>
      </c>
      <c r="U2191" s="171">
        <v>34.51</v>
      </c>
      <c r="V2191" s="171">
        <v>36.520000000000003</v>
      </c>
      <c r="W2191" s="171">
        <v>36.520000000000003</v>
      </c>
      <c r="X2191" s="171">
        <v>44.94</v>
      </c>
      <c r="Y2191" s="171">
        <v>34.94</v>
      </c>
      <c r="Z2191" s="171">
        <v>33.93</v>
      </c>
      <c r="AA2191" s="171">
        <v>30.900000000000002</v>
      </c>
      <c r="AB2191" s="171">
        <v>35.270000000000003</v>
      </c>
      <c r="AC2191" s="171">
        <v>32.79</v>
      </c>
      <c r="AD2191" s="171">
        <v>43.67</v>
      </c>
      <c r="AF2191" s="171">
        <f t="shared" si="104"/>
        <v>2015</v>
      </c>
      <c r="AG2191" s="171">
        <f t="shared" si="105"/>
        <v>20</v>
      </c>
      <c r="AH2191" s="700">
        <f>SUMIF(D$3:$AA2191,"&lt;="&amp;$AH$1)/COUNTIF(D$3:$AA2191,"&lt;="&amp;$AH$1)</f>
        <v>31.620441168226687</v>
      </c>
    </row>
    <row r="2192" spans="2:34" x14ac:dyDescent="0.25">
      <c r="B2192" s="910">
        <v>42296</v>
      </c>
      <c r="C2192" s="581">
        <f t="shared" si="103"/>
        <v>10</v>
      </c>
      <c r="D2192" s="171">
        <v>47.63</v>
      </c>
      <c r="E2192" s="171">
        <v>31.16</v>
      </c>
      <c r="F2192" s="171">
        <v>30.51</v>
      </c>
      <c r="G2192" s="171">
        <v>31</v>
      </c>
      <c r="H2192" s="171">
        <v>32.590000000000003</v>
      </c>
      <c r="I2192" s="171">
        <v>32.340000000000003</v>
      </c>
      <c r="J2192" s="171">
        <v>32.42</v>
      </c>
      <c r="K2192" s="171">
        <v>46.19</v>
      </c>
      <c r="L2192" s="171">
        <v>60.01</v>
      </c>
      <c r="M2192" s="171">
        <v>66.320000000000007</v>
      </c>
      <c r="N2192" s="171">
        <v>69.680000000000007</v>
      </c>
      <c r="O2192" s="171">
        <v>60.18</v>
      </c>
      <c r="P2192" s="171">
        <v>59.25</v>
      </c>
      <c r="Q2192" s="171">
        <v>60</v>
      </c>
      <c r="R2192" s="171">
        <v>59.59</v>
      </c>
      <c r="S2192" s="171">
        <v>56.88</v>
      </c>
      <c r="T2192" s="171">
        <v>52.44</v>
      </c>
      <c r="U2192" s="171">
        <v>50.03</v>
      </c>
      <c r="V2192" s="171">
        <v>53.660000000000004</v>
      </c>
      <c r="W2192" s="171">
        <v>50</v>
      </c>
      <c r="X2192" s="171">
        <v>48</v>
      </c>
      <c r="Y2192" s="171">
        <v>49.96</v>
      </c>
      <c r="Z2192" s="171">
        <v>37.1</v>
      </c>
      <c r="AA2192" s="171">
        <v>38.4</v>
      </c>
      <c r="AB2192" s="171">
        <v>35.29</v>
      </c>
      <c r="AC2192" s="171">
        <v>38.08</v>
      </c>
      <c r="AD2192" s="171">
        <v>57.17</v>
      </c>
      <c r="AF2192" s="171">
        <f t="shared" si="104"/>
        <v>2015</v>
      </c>
      <c r="AG2192" s="171">
        <f t="shared" si="105"/>
        <v>8</v>
      </c>
      <c r="AH2192" s="700">
        <f>SUMIF(D$3:$AA2192,"&lt;="&amp;$AH$1)/COUNTIF(D$3:$AA2192,"&lt;="&amp;$AH$1)</f>
        <v>31.621144730206527</v>
      </c>
    </row>
    <row r="2193" spans="2:34" x14ac:dyDescent="0.25">
      <c r="B2193" s="910">
        <v>42297</v>
      </c>
      <c r="C2193" s="581">
        <f t="shared" si="103"/>
        <v>10</v>
      </c>
      <c r="D2193" s="171">
        <v>44.32</v>
      </c>
      <c r="E2193" s="171">
        <v>33.020000000000003</v>
      </c>
      <c r="F2193" s="171">
        <v>31.77</v>
      </c>
      <c r="G2193" s="171">
        <v>30.5</v>
      </c>
      <c r="H2193" s="171">
        <v>31.7</v>
      </c>
      <c r="I2193" s="171">
        <v>31.93</v>
      </c>
      <c r="J2193" s="171">
        <v>25.64</v>
      </c>
      <c r="K2193" s="171">
        <v>39</v>
      </c>
      <c r="L2193" s="171">
        <v>48</v>
      </c>
      <c r="M2193" s="171">
        <v>60.52</v>
      </c>
      <c r="N2193" s="171">
        <v>63.01</v>
      </c>
      <c r="O2193" s="171">
        <v>59.6</v>
      </c>
      <c r="P2193" s="171">
        <v>48</v>
      </c>
      <c r="Q2193" s="171">
        <v>52</v>
      </c>
      <c r="R2193" s="171">
        <v>50.15</v>
      </c>
      <c r="S2193" s="171">
        <v>51.74</v>
      </c>
      <c r="T2193" s="171">
        <v>50.4</v>
      </c>
      <c r="U2193" s="171">
        <v>50.69</v>
      </c>
      <c r="V2193" s="171">
        <v>48</v>
      </c>
      <c r="W2193" s="171">
        <v>44.5</v>
      </c>
      <c r="X2193" s="171">
        <v>59.050000000000004</v>
      </c>
      <c r="Y2193" s="171">
        <v>42.44</v>
      </c>
      <c r="Z2193" s="171">
        <v>40.5</v>
      </c>
      <c r="AA2193" s="171">
        <v>38.43</v>
      </c>
      <c r="AB2193" s="171">
        <v>33</v>
      </c>
      <c r="AC2193" s="171">
        <v>35.49</v>
      </c>
      <c r="AD2193" s="171">
        <v>53.14</v>
      </c>
      <c r="AF2193" s="171">
        <f t="shared" si="104"/>
        <v>2015</v>
      </c>
      <c r="AG2193" s="171">
        <f t="shared" si="105"/>
        <v>10</v>
      </c>
      <c r="AH2193" s="700">
        <f>SUMIF(D$3:$AA2193,"&lt;="&amp;$AH$1)/COUNTIF(D$3:$AA2193,"&lt;="&amp;$AH$1)</f>
        <v>31.622752982023627</v>
      </c>
    </row>
    <row r="2194" spans="2:34" x14ac:dyDescent="0.25">
      <c r="B2194" s="910">
        <v>42298</v>
      </c>
      <c r="C2194" s="581">
        <f t="shared" si="103"/>
        <v>10</v>
      </c>
      <c r="D2194" s="171">
        <v>39.67</v>
      </c>
      <c r="E2194" s="171">
        <v>32.92</v>
      </c>
      <c r="F2194" s="171">
        <v>31.6</v>
      </c>
      <c r="G2194" s="171">
        <v>31.19</v>
      </c>
      <c r="H2194" s="171">
        <v>30.32</v>
      </c>
      <c r="I2194" s="171">
        <v>31.94</v>
      </c>
      <c r="J2194" s="171">
        <v>31.6</v>
      </c>
      <c r="K2194" s="171">
        <v>36.93</v>
      </c>
      <c r="L2194" s="171">
        <v>49.96</v>
      </c>
      <c r="M2194" s="171">
        <v>57.02</v>
      </c>
      <c r="N2194" s="171">
        <v>52.24</v>
      </c>
      <c r="O2194" s="171">
        <v>49.050000000000004</v>
      </c>
      <c r="P2194" s="171">
        <v>48</v>
      </c>
      <c r="Q2194" s="171">
        <v>39.58</v>
      </c>
      <c r="R2194" s="171">
        <v>39.94</v>
      </c>
      <c r="S2194" s="171">
        <v>35</v>
      </c>
      <c r="T2194" s="171">
        <v>35</v>
      </c>
      <c r="U2194" s="171">
        <v>39.050000000000004</v>
      </c>
      <c r="V2194" s="171">
        <v>46.01</v>
      </c>
      <c r="W2194" s="171">
        <v>46.96</v>
      </c>
      <c r="X2194" s="171">
        <v>44.5</v>
      </c>
      <c r="Y2194" s="171">
        <v>36.93</v>
      </c>
      <c r="Z2194" s="171">
        <v>36.020000000000003</v>
      </c>
      <c r="AA2194" s="171">
        <v>36.08</v>
      </c>
      <c r="AB2194" s="171">
        <v>34.35</v>
      </c>
      <c r="AC2194" s="171">
        <v>34.99</v>
      </c>
      <c r="AD2194" s="171">
        <v>44.36</v>
      </c>
      <c r="AF2194" s="171">
        <f t="shared" si="104"/>
        <v>2015</v>
      </c>
      <c r="AG2194" s="171">
        <f t="shared" si="105"/>
        <v>16</v>
      </c>
      <c r="AH2194" s="700">
        <f>SUMIF(D$3:$AA2194,"&lt;="&amp;$AH$1)/COUNTIF(D$3:$AA2194,"&lt;="&amp;$AH$1)</f>
        <v>31.625987243327693</v>
      </c>
    </row>
    <row r="2195" spans="2:34" x14ac:dyDescent="0.25">
      <c r="B2195" s="910">
        <v>42299</v>
      </c>
      <c r="C2195" s="581">
        <f t="shared" si="103"/>
        <v>10</v>
      </c>
      <c r="D2195" s="171">
        <v>38.35</v>
      </c>
      <c r="E2195" s="171">
        <v>30.23</v>
      </c>
      <c r="F2195" s="171">
        <v>29.400000000000002</v>
      </c>
      <c r="G2195" s="171">
        <v>26.3</v>
      </c>
      <c r="H2195" s="171">
        <v>28.05</v>
      </c>
      <c r="I2195" s="171">
        <v>27.92</v>
      </c>
      <c r="J2195" s="171">
        <v>29.46</v>
      </c>
      <c r="K2195" s="171">
        <v>35.92</v>
      </c>
      <c r="L2195" s="171">
        <v>46.95</v>
      </c>
      <c r="M2195" s="171">
        <v>46.59</v>
      </c>
      <c r="N2195" s="171">
        <v>47.24</v>
      </c>
      <c r="O2195" s="171">
        <v>46.11</v>
      </c>
      <c r="P2195" s="171">
        <v>46.97</v>
      </c>
      <c r="Q2195" s="171">
        <v>45.87</v>
      </c>
      <c r="R2195" s="171">
        <v>46.2</v>
      </c>
      <c r="S2195" s="171">
        <v>45</v>
      </c>
      <c r="T2195" s="171">
        <v>41.82</v>
      </c>
      <c r="U2195" s="171">
        <v>36.9</v>
      </c>
      <c r="V2195" s="171">
        <v>38.93</v>
      </c>
      <c r="W2195" s="171">
        <v>42.89</v>
      </c>
      <c r="X2195" s="171">
        <v>41.71</v>
      </c>
      <c r="Y2195" s="171">
        <v>40</v>
      </c>
      <c r="Z2195" s="171">
        <v>33.22</v>
      </c>
      <c r="AA2195" s="171">
        <v>34.94</v>
      </c>
      <c r="AB2195" s="171">
        <v>31.7</v>
      </c>
      <c r="AC2195" s="171">
        <v>32.840000000000003</v>
      </c>
      <c r="AD2195" s="171">
        <v>43.85</v>
      </c>
      <c r="AF2195" s="171">
        <f t="shared" si="104"/>
        <v>2015</v>
      </c>
      <c r="AG2195" s="171">
        <f t="shared" si="105"/>
        <v>15</v>
      </c>
      <c r="AH2195" s="700">
        <f>SUMIF(D$3:$AA2195,"&lt;="&amp;$AH$1)/COUNTIF(D$3:$AA2195,"&lt;="&amp;$AH$1)</f>
        <v>31.628154069767209</v>
      </c>
    </row>
    <row r="2196" spans="2:34" x14ac:dyDescent="0.25">
      <c r="B2196" s="910">
        <v>42300</v>
      </c>
      <c r="C2196" s="581">
        <f t="shared" si="103"/>
        <v>10</v>
      </c>
      <c r="D2196" s="171">
        <v>39.43</v>
      </c>
      <c r="E2196" s="171">
        <v>33.549999999999997</v>
      </c>
      <c r="F2196" s="171">
        <v>30.73</v>
      </c>
      <c r="G2196" s="171">
        <v>29.990000000000002</v>
      </c>
      <c r="H2196" s="171">
        <v>28.310000000000002</v>
      </c>
      <c r="I2196" s="171">
        <v>30.32</v>
      </c>
      <c r="J2196" s="171">
        <v>32.36</v>
      </c>
      <c r="K2196" s="171">
        <v>38.26</v>
      </c>
      <c r="L2196" s="171">
        <v>48</v>
      </c>
      <c r="M2196" s="171">
        <v>46.95</v>
      </c>
      <c r="N2196" s="171">
        <v>48</v>
      </c>
      <c r="O2196" s="171">
        <v>48</v>
      </c>
      <c r="P2196" s="171">
        <v>44.72</v>
      </c>
      <c r="Q2196" s="171">
        <v>35.04</v>
      </c>
      <c r="R2196" s="171">
        <v>32.44</v>
      </c>
      <c r="S2196" s="171">
        <v>35.200000000000003</v>
      </c>
      <c r="T2196" s="171">
        <v>36.9</v>
      </c>
      <c r="U2196" s="171">
        <v>37.65</v>
      </c>
      <c r="V2196" s="171">
        <v>45.1</v>
      </c>
      <c r="W2196" s="171">
        <v>54.01</v>
      </c>
      <c r="X2196" s="171">
        <v>55.120000000000005</v>
      </c>
      <c r="Y2196" s="171">
        <v>43.17</v>
      </c>
      <c r="Z2196" s="171">
        <v>39.94</v>
      </c>
      <c r="AA2196" s="171">
        <v>35.550000000000004</v>
      </c>
      <c r="AB2196" s="171">
        <v>37</v>
      </c>
      <c r="AC2196" s="171">
        <v>35.6</v>
      </c>
      <c r="AD2196" s="171">
        <v>43.26</v>
      </c>
      <c r="AF2196" s="171">
        <f t="shared" si="104"/>
        <v>2015</v>
      </c>
      <c r="AG2196" s="171">
        <f t="shared" si="105"/>
        <v>15</v>
      </c>
      <c r="AH2196" s="700">
        <f>SUMIF(D$3:$AA2196,"&lt;="&amp;$AH$1)/COUNTIF(D$3:$AA2196,"&lt;="&amp;$AH$1)</f>
        <v>31.630458023794667</v>
      </c>
    </row>
    <row r="2197" spans="2:34" x14ac:dyDescent="0.25">
      <c r="B2197" s="910">
        <v>42303</v>
      </c>
      <c r="C2197" s="581">
        <f t="shared" si="103"/>
        <v>10</v>
      </c>
      <c r="D2197" s="171">
        <v>40.49</v>
      </c>
      <c r="E2197" s="171">
        <v>32.29</v>
      </c>
      <c r="F2197" s="171">
        <v>32.230000000000004</v>
      </c>
      <c r="G2197" s="171">
        <v>32.07</v>
      </c>
      <c r="H2197" s="171">
        <v>31.09</v>
      </c>
      <c r="I2197" s="171">
        <v>31.73</v>
      </c>
      <c r="J2197" s="171">
        <v>35.1</v>
      </c>
      <c r="K2197" s="171">
        <v>43.72</v>
      </c>
      <c r="L2197" s="171">
        <v>53.1</v>
      </c>
      <c r="M2197" s="171">
        <v>49.94</v>
      </c>
      <c r="N2197" s="171">
        <v>49.11</v>
      </c>
      <c r="O2197" s="171">
        <v>41.03</v>
      </c>
      <c r="P2197" s="171">
        <v>40.03</v>
      </c>
      <c r="Q2197" s="171">
        <v>39.94</v>
      </c>
      <c r="R2197" s="171">
        <v>35.32</v>
      </c>
      <c r="S2197" s="171">
        <v>40.160000000000004</v>
      </c>
      <c r="T2197" s="171">
        <v>45.550000000000004</v>
      </c>
      <c r="U2197" s="171">
        <v>48.59</v>
      </c>
      <c r="V2197" s="171">
        <v>53.74</v>
      </c>
      <c r="W2197" s="171">
        <v>55.35</v>
      </c>
      <c r="X2197" s="171">
        <v>43</v>
      </c>
      <c r="Y2197" s="171">
        <v>37.44</v>
      </c>
      <c r="Z2197" s="171">
        <v>34.340000000000003</v>
      </c>
      <c r="AA2197" s="171">
        <v>34.520000000000003</v>
      </c>
      <c r="AB2197" s="171">
        <v>32.49</v>
      </c>
      <c r="AC2197" s="171">
        <v>35.840000000000003</v>
      </c>
      <c r="AD2197" s="171">
        <v>45.15</v>
      </c>
      <c r="AF2197" s="171">
        <f t="shared" si="104"/>
        <v>2015</v>
      </c>
      <c r="AG2197" s="171">
        <f t="shared" si="105"/>
        <v>15</v>
      </c>
      <c r="AH2197" s="700">
        <f>SUMIF(D$3:$AA2197,"&lt;="&amp;$AH$1)/COUNTIF(D$3:$AA2197,"&lt;="&amp;$AH$1)</f>
        <v>31.63399207500813</v>
      </c>
    </row>
    <row r="2198" spans="2:34" x14ac:dyDescent="0.25">
      <c r="B2198" s="910">
        <v>42304</v>
      </c>
      <c r="C2198" s="581">
        <f t="shared" si="103"/>
        <v>10</v>
      </c>
      <c r="D2198" s="171">
        <v>41.61</v>
      </c>
      <c r="E2198" s="171">
        <v>31.400000000000002</v>
      </c>
      <c r="F2198" s="171">
        <v>32.299999999999997</v>
      </c>
      <c r="G2198" s="171">
        <v>33.07</v>
      </c>
      <c r="H2198" s="171">
        <v>28.5</v>
      </c>
      <c r="I2198" s="171">
        <v>29.03</v>
      </c>
      <c r="J2198" s="171">
        <v>30.900000000000002</v>
      </c>
      <c r="K2198" s="171">
        <v>38.6</v>
      </c>
      <c r="L2198" s="171">
        <v>46.67</v>
      </c>
      <c r="M2198" s="171">
        <v>50.88</v>
      </c>
      <c r="N2198" s="171">
        <v>49.54</v>
      </c>
      <c r="O2198" s="171">
        <v>48.65</v>
      </c>
      <c r="P2198" s="171">
        <v>47.72</v>
      </c>
      <c r="Q2198" s="171">
        <v>44.94</v>
      </c>
      <c r="R2198" s="171">
        <v>41.37</v>
      </c>
      <c r="S2198" s="171">
        <v>41.04</v>
      </c>
      <c r="T2198" s="171">
        <v>48.43</v>
      </c>
      <c r="U2198" s="171">
        <v>49.18</v>
      </c>
      <c r="V2198" s="171">
        <v>54.1</v>
      </c>
      <c r="W2198" s="171">
        <v>54.26</v>
      </c>
      <c r="X2198" s="171">
        <v>48.61</v>
      </c>
      <c r="Y2198" s="171">
        <v>40.86</v>
      </c>
      <c r="Z2198" s="171">
        <v>37.369999999999997</v>
      </c>
      <c r="AA2198" s="171">
        <v>37.44</v>
      </c>
      <c r="AB2198" s="171">
        <v>33.89</v>
      </c>
      <c r="AC2198" s="171">
        <v>35</v>
      </c>
      <c r="AD2198" s="171">
        <v>48.230000000000004</v>
      </c>
      <c r="AF2198" s="171">
        <f t="shared" si="104"/>
        <v>2015</v>
      </c>
      <c r="AG2198" s="171">
        <f t="shared" si="105"/>
        <v>13</v>
      </c>
      <c r="AH2198" s="700">
        <f>SUMIF(D$3:$AA2198,"&lt;="&amp;$AH$1)/COUNTIF(D$3:$AA2198,"&lt;="&amp;$AH$1)</f>
        <v>31.636905917126523</v>
      </c>
    </row>
    <row r="2199" spans="2:34" x14ac:dyDescent="0.25">
      <c r="B2199" s="910">
        <v>42305</v>
      </c>
      <c r="C2199" s="581">
        <f t="shared" si="103"/>
        <v>10</v>
      </c>
      <c r="D2199" s="171">
        <v>43.06</v>
      </c>
      <c r="E2199" s="171">
        <v>33.6</v>
      </c>
      <c r="F2199" s="171">
        <v>31.21</v>
      </c>
      <c r="G2199" s="171">
        <v>30.32</v>
      </c>
      <c r="H2199" s="171">
        <v>29.080000000000002</v>
      </c>
      <c r="I2199" s="171">
        <v>30.71</v>
      </c>
      <c r="J2199" s="171">
        <v>30.85</v>
      </c>
      <c r="K2199" s="171">
        <v>35.99</v>
      </c>
      <c r="L2199" s="171">
        <v>47.19</v>
      </c>
      <c r="M2199" s="171">
        <v>48.39</v>
      </c>
      <c r="N2199" s="171">
        <v>48.82</v>
      </c>
      <c r="O2199" s="171">
        <v>42.56</v>
      </c>
      <c r="P2199" s="171">
        <v>40.270000000000003</v>
      </c>
      <c r="Q2199" s="171">
        <v>39.39</v>
      </c>
      <c r="R2199" s="171">
        <v>40.75</v>
      </c>
      <c r="S2199" s="171">
        <v>47.44</v>
      </c>
      <c r="T2199" s="171">
        <v>50.54</v>
      </c>
      <c r="U2199" s="171">
        <v>51.99</v>
      </c>
      <c r="V2199" s="171">
        <v>60.63</v>
      </c>
      <c r="W2199" s="171">
        <v>69.960000000000008</v>
      </c>
      <c r="X2199" s="171">
        <v>55.71</v>
      </c>
      <c r="Y2199" s="171">
        <v>50.02</v>
      </c>
      <c r="Z2199" s="171">
        <v>45</v>
      </c>
      <c r="AA2199" s="171">
        <v>38.64</v>
      </c>
      <c r="AB2199" s="171">
        <v>34.47</v>
      </c>
      <c r="AC2199" s="171">
        <v>36.42</v>
      </c>
      <c r="AD2199" s="171">
        <v>49.7</v>
      </c>
      <c r="AF2199" s="171">
        <f t="shared" si="104"/>
        <v>2015</v>
      </c>
      <c r="AG2199" s="171">
        <f t="shared" si="105"/>
        <v>11</v>
      </c>
      <c r="AH2199" s="700">
        <f>SUMIF(D$3:$AA2199,"&lt;="&amp;$AH$1)/COUNTIF(D$3:$AA2199,"&lt;="&amp;$AH$1)</f>
        <v>31.638734254820839</v>
      </c>
    </row>
    <row r="2200" spans="2:34" x14ac:dyDescent="0.25">
      <c r="B2200" s="910">
        <v>42306</v>
      </c>
      <c r="C2200" s="581">
        <f t="shared" si="103"/>
        <v>10</v>
      </c>
      <c r="D2200" s="171">
        <v>49.13</v>
      </c>
      <c r="E2200" s="171">
        <v>35.53</v>
      </c>
      <c r="F2200" s="171">
        <v>33.200000000000003</v>
      </c>
      <c r="G2200" s="171">
        <v>32.08</v>
      </c>
      <c r="H2200" s="171">
        <v>32.660000000000004</v>
      </c>
      <c r="I2200" s="171">
        <v>34.049999999999997</v>
      </c>
      <c r="J2200" s="171">
        <v>34.29</v>
      </c>
      <c r="K2200" s="171">
        <v>45.02</v>
      </c>
      <c r="L2200" s="171">
        <v>53.42</v>
      </c>
      <c r="M2200" s="171">
        <v>56.03</v>
      </c>
      <c r="N2200" s="171">
        <v>56.88</v>
      </c>
      <c r="O2200" s="171">
        <v>56.19</v>
      </c>
      <c r="P2200" s="171">
        <v>55.51</v>
      </c>
      <c r="Q2200" s="171">
        <v>53.910000000000004</v>
      </c>
      <c r="R2200" s="171">
        <v>54.24</v>
      </c>
      <c r="S2200" s="171">
        <v>55.17</v>
      </c>
      <c r="T2200" s="171">
        <v>55.29</v>
      </c>
      <c r="U2200" s="171">
        <v>54.85</v>
      </c>
      <c r="V2200" s="171">
        <v>64.510000000000005</v>
      </c>
      <c r="W2200" s="171">
        <v>78.88</v>
      </c>
      <c r="X2200" s="171">
        <v>64.960000000000008</v>
      </c>
      <c r="Y2200" s="171">
        <v>53.07</v>
      </c>
      <c r="Z2200" s="171">
        <v>43.78</v>
      </c>
      <c r="AA2200" s="171">
        <v>40</v>
      </c>
      <c r="AB2200" s="171">
        <v>35.72</v>
      </c>
      <c r="AC2200" s="171">
        <v>39.4</v>
      </c>
      <c r="AD2200" s="171">
        <v>58.870000000000005</v>
      </c>
      <c r="AF2200" s="171">
        <f t="shared" si="104"/>
        <v>2015</v>
      </c>
      <c r="AG2200" s="171">
        <f t="shared" si="105"/>
        <v>7</v>
      </c>
      <c r="AH2200" s="700">
        <f>SUMIF(D$3:$AA2200,"&lt;="&amp;$AH$1)/COUNTIF(D$3:$AA2200,"&lt;="&amp;$AH$1)</f>
        <v>31.639867402083436</v>
      </c>
    </row>
    <row r="2201" spans="2:34" x14ac:dyDescent="0.25">
      <c r="B2201" s="910">
        <v>42307</v>
      </c>
      <c r="C2201" s="581">
        <f t="shared" si="103"/>
        <v>10</v>
      </c>
      <c r="D2201" s="171">
        <v>43.230000000000004</v>
      </c>
      <c r="E2201" s="171">
        <v>36.72</v>
      </c>
      <c r="F2201" s="171">
        <v>35.25</v>
      </c>
      <c r="G2201" s="171">
        <v>34.32</v>
      </c>
      <c r="H2201" s="171">
        <v>34.020000000000003</v>
      </c>
      <c r="I2201" s="171">
        <v>34.020000000000003</v>
      </c>
      <c r="J2201" s="171">
        <v>36.78</v>
      </c>
      <c r="K2201" s="171">
        <v>43</v>
      </c>
      <c r="L2201" s="171">
        <v>51.79</v>
      </c>
      <c r="M2201" s="171">
        <v>55</v>
      </c>
      <c r="N2201" s="171">
        <v>54</v>
      </c>
      <c r="O2201" s="171">
        <v>52</v>
      </c>
      <c r="P2201" s="171">
        <v>49.36</v>
      </c>
      <c r="Q2201" s="171">
        <v>45.65</v>
      </c>
      <c r="R2201" s="171">
        <v>44.95</v>
      </c>
      <c r="S2201" s="171">
        <v>44.76</v>
      </c>
      <c r="T2201" s="171">
        <v>46.2</v>
      </c>
      <c r="U2201" s="171">
        <v>47.51</v>
      </c>
      <c r="V2201" s="171">
        <v>52</v>
      </c>
      <c r="W2201" s="171">
        <v>50.06</v>
      </c>
      <c r="X2201" s="171">
        <v>46.94</v>
      </c>
      <c r="Y2201" s="171">
        <v>38.28</v>
      </c>
      <c r="Z2201" s="171">
        <v>34.96</v>
      </c>
      <c r="AA2201" s="171">
        <v>35.53</v>
      </c>
      <c r="AB2201" s="171">
        <v>34.47</v>
      </c>
      <c r="AC2201" s="171">
        <v>37.43</v>
      </c>
      <c r="AD2201" s="171">
        <v>49.04</v>
      </c>
      <c r="AF2201" s="171">
        <f t="shared" si="104"/>
        <v>2015</v>
      </c>
      <c r="AG2201" s="171">
        <f t="shared" si="105"/>
        <v>9</v>
      </c>
      <c r="AH2201" s="700">
        <f>SUMIF(D$3:$AA2201,"&lt;="&amp;$AH$1)/COUNTIF(D$3:$AA2201,"&lt;="&amp;$AH$1)</f>
        <v>31.641823142888715</v>
      </c>
    </row>
    <row r="2202" spans="2:34" x14ac:dyDescent="0.25">
      <c r="B2202" s="910">
        <v>42310</v>
      </c>
      <c r="C2202" s="581">
        <f t="shared" si="103"/>
        <v>11</v>
      </c>
      <c r="D2202" s="171">
        <v>39.75</v>
      </c>
      <c r="E2202" s="171">
        <v>28.3</v>
      </c>
      <c r="F2202" s="171">
        <v>24.67</v>
      </c>
      <c r="G2202" s="171">
        <v>26.21</v>
      </c>
      <c r="H2202" s="171">
        <v>22.240000000000002</v>
      </c>
      <c r="I2202" s="171">
        <v>23.8</v>
      </c>
      <c r="J2202" s="171">
        <v>27.84</v>
      </c>
      <c r="K2202" s="171">
        <v>39.11</v>
      </c>
      <c r="L2202" s="171">
        <v>49.050000000000004</v>
      </c>
      <c r="M2202" s="171">
        <v>47.92</v>
      </c>
      <c r="N2202" s="171">
        <v>44.7</v>
      </c>
      <c r="O2202" s="171">
        <v>37.44</v>
      </c>
      <c r="P2202" s="171">
        <v>34.94</v>
      </c>
      <c r="Q2202" s="171">
        <v>35.56</v>
      </c>
      <c r="R2202" s="171">
        <v>36.090000000000003</v>
      </c>
      <c r="S2202" s="171">
        <v>37.97</v>
      </c>
      <c r="T2202" s="171">
        <v>48.050000000000004</v>
      </c>
      <c r="U2202" s="171">
        <v>50.07</v>
      </c>
      <c r="V2202" s="171">
        <v>57.69</v>
      </c>
      <c r="W2202" s="171">
        <v>67.739999999999995</v>
      </c>
      <c r="X2202" s="171">
        <v>59.410000000000004</v>
      </c>
      <c r="Y2202" s="171">
        <v>46.96</v>
      </c>
      <c r="Z2202" s="171">
        <v>38.56</v>
      </c>
      <c r="AA2202" s="171">
        <v>37.369999999999997</v>
      </c>
      <c r="AB2202" s="171">
        <v>32.35</v>
      </c>
      <c r="AC2202" s="171">
        <v>33.04</v>
      </c>
      <c r="AD2202" s="171">
        <v>46.47</v>
      </c>
      <c r="AF2202" s="171">
        <f t="shared" si="104"/>
        <v>2015</v>
      </c>
      <c r="AG2202" s="171">
        <f t="shared" si="105"/>
        <v>15</v>
      </c>
      <c r="AH2202" s="700">
        <f>SUMIF(D$3:$AA2202,"&lt;="&amp;$AH$1)/COUNTIF(D$3:$AA2202,"&lt;="&amp;$AH$1)</f>
        <v>31.642670116285291</v>
      </c>
    </row>
    <row r="2203" spans="2:34" x14ac:dyDescent="0.25">
      <c r="B2203" s="910">
        <v>42311</v>
      </c>
      <c r="C2203" s="581">
        <f t="shared" si="103"/>
        <v>11</v>
      </c>
      <c r="D2203" s="171">
        <v>41.27</v>
      </c>
      <c r="E2203" s="171">
        <v>34.03</v>
      </c>
      <c r="F2203" s="171">
        <v>32.25</v>
      </c>
      <c r="G2203" s="171">
        <v>31.32</v>
      </c>
      <c r="H2203" s="171">
        <v>29.84</v>
      </c>
      <c r="I2203" s="171">
        <v>30.92</v>
      </c>
      <c r="J2203" s="171">
        <v>32.25</v>
      </c>
      <c r="K2203" s="171">
        <v>39.97</v>
      </c>
      <c r="L2203" s="171">
        <v>49.63</v>
      </c>
      <c r="M2203" s="171">
        <v>49.96</v>
      </c>
      <c r="N2203" s="171">
        <v>45.7</v>
      </c>
      <c r="O2203" s="171">
        <v>33.36</v>
      </c>
      <c r="P2203" s="171">
        <v>36.1</v>
      </c>
      <c r="Q2203" s="171">
        <v>33.08</v>
      </c>
      <c r="R2203" s="171">
        <v>34.94</v>
      </c>
      <c r="S2203" s="171">
        <v>37.11</v>
      </c>
      <c r="T2203" s="171">
        <v>49.4</v>
      </c>
      <c r="U2203" s="171">
        <v>51.13</v>
      </c>
      <c r="V2203" s="171">
        <v>59.69</v>
      </c>
      <c r="W2203" s="171">
        <v>67.19</v>
      </c>
      <c r="X2203" s="171">
        <v>60.01</v>
      </c>
      <c r="Y2203" s="171">
        <v>46.08</v>
      </c>
      <c r="Z2203" s="171">
        <v>36.72</v>
      </c>
      <c r="AA2203" s="171">
        <v>35.9</v>
      </c>
      <c r="AB2203" s="171">
        <v>33.869999999999997</v>
      </c>
      <c r="AC2203" s="171">
        <v>36.06</v>
      </c>
      <c r="AD2203" s="171">
        <v>46.47</v>
      </c>
      <c r="AF2203" s="171">
        <f t="shared" si="104"/>
        <v>2015</v>
      </c>
      <c r="AG2203" s="171">
        <f t="shared" si="105"/>
        <v>15</v>
      </c>
      <c r="AH2203" s="700">
        <f>SUMIF(D$3:$AA2203,"&lt;="&amp;$AH$1)/COUNTIF(D$3:$AA2203,"&lt;="&amp;$AH$1)</f>
        <v>31.645139537469166</v>
      </c>
    </row>
    <row r="2204" spans="2:34" x14ac:dyDescent="0.25">
      <c r="B2204" s="910">
        <v>42312</v>
      </c>
      <c r="C2204" s="581">
        <f t="shared" si="103"/>
        <v>11</v>
      </c>
      <c r="D2204" s="171">
        <v>42.25</v>
      </c>
      <c r="E2204" s="171">
        <v>33.230000000000004</v>
      </c>
      <c r="F2204" s="171">
        <v>32.22</v>
      </c>
      <c r="G2204" s="171">
        <v>31.02</v>
      </c>
      <c r="H2204" s="171">
        <v>29.59</v>
      </c>
      <c r="I2204" s="171">
        <v>29.830000000000002</v>
      </c>
      <c r="J2204" s="171">
        <v>32.24</v>
      </c>
      <c r="K2204" s="171">
        <v>44.62</v>
      </c>
      <c r="L2204" s="171">
        <v>48.81</v>
      </c>
      <c r="M2204" s="171">
        <v>49.76</v>
      </c>
      <c r="N2204" s="171">
        <v>43.06</v>
      </c>
      <c r="O2204" s="171">
        <v>38.65</v>
      </c>
      <c r="P2204" s="171">
        <v>38.950000000000003</v>
      </c>
      <c r="Q2204" s="171">
        <v>36.03</v>
      </c>
      <c r="R2204" s="171">
        <v>41.53</v>
      </c>
      <c r="S2204" s="171">
        <v>47.44</v>
      </c>
      <c r="T2204" s="171">
        <v>52.33</v>
      </c>
      <c r="U2204" s="171">
        <v>55.1</v>
      </c>
      <c r="V2204" s="171">
        <v>63.02</v>
      </c>
      <c r="W2204" s="171">
        <v>64.099999999999994</v>
      </c>
      <c r="X2204" s="171">
        <v>53.65</v>
      </c>
      <c r="Y2204" s="171">
        <v>43.01</v>
      </c>
      <c r="Z2204" s="171">
        <v>37.44</v>
      </c>
      <c r="AA2204" s="171">
        <v>36.07</v>
      </c>
      <c r="AB2204" s="171">
        <v>32.21</v>
      </c>
      <c r="AC2204" s="171">
        <v>35.86</v>
      </c>
      <c r="AD2204" s="171">
        <v>48.63</v>
      </c>
      <c r="AF2204" s="171">
        <f t="shared" si="104"/>
        <v>2015</v>
      </c>
      <c r="AG2204" s="171">
        <f t="shared" si="105"/>
        <v>13</v>
      </c>
      <c r="AH2204" s="700">
        <f>SUMIF(D$3:$AA2204,"&lt;="&amp;$AH$1)/COUNTIF(D$3:$AA2204,"&lt;="&amp;$AH$1)</f>
        <v>31.647787345147226</v>
      </c>
    </row>
    <row r="2205" spans="2:34" x14ac:dyDescent="0.25">
      <c r="B2205" s="910">
        <v>42313</v>
      </c>
      <c r="C2205" s="581">
        <f t="shared" si="103"/>
        <v>11</v>
      </c>
      <c r="D2205" s="171">
        <v>44</v>
      </c>
      <c r="E2205" s="171">
        <v>32.01</v>
      </c>
      <c r="F2205" s="171">
        <v>31.650000000000002</v>
      </c>
      <c r="G2205" s="171">
        <v>31.900000000000002</v>
      </c>
      <c r="H2205" s="171">
        <v>31.92</v>
      </c>
      <c r="I2205" s="171">
        <v>31.91</v>
      </c>
      <c r="J2205" s="171">
        <v>33.46</v>
      </c>
      <c r="K2205" s="171">
        <v>42</v>
      </c>
      <c r="L2205" s="171">
        <v>52.550000000000004</v>
      </c>
      <c r="M2205" s="171">
        <v>54.69</v>
      </c>
      <c r="N2205" s="171">
        <v>46.06</v>
      </c>
      <c r="O2205" s="171">
        <v>44.94</v>
      </c>
      <c r="P2205" s="171">
        <v>45</v>
      </c>
      <c r="Q2205" s="171">
        <v>39.550000000000004</v>
      </c>
      <c r="R2205" s="171">
        <v>40.300000000000004</v>
      </c>
      <c r="S2205" s="171">
        <v>45.96</v>
      </c>
      <c r="T2205" s="171">
        <v>52.01</v>
      </c>
      <c r="U2205" s="171">
        <v>53.64</v>
      </c>
      <c r="V2205" s="171">
        <v>63.300000000000004</v>
      </c>
      <c r="W2205" s="171">
        <v>69.010000000000005</v>
      </c>
      <c r="X2205" s="171">
        <v>58.050000000000004</v>
      </c>
      <c r="Y2205" s="171">
        <v>46.44</v>
      </c>
      <c r="Z2205" s="171">
        <v>37.450000000000003</v>
      </c>
      <c r="AA2205" s="171">
        <v>37.19</v>
      </c>
      <c r="AB2205" s="171">
        <v>34.96</v>
      </c>
      <c r="AC2205" s="171">
        <v>36.950000000000003</v>
      </c>
      <c r="AD2205" s="171">
        <v>51.04</v>
      </c>
      <c r="AF2205" s="171">
        <f t="shared" si="104"/>
        <v>2015</v>
      </c>
      <c r="AG2205" s="171">
        <f t="shared" si="105"/>
        <v>11</v>
      </c>
      <c r="AH2205" s="700">
        <f>SUMIF(D$3:$AA2205,"&lt;="&amp;$AH$1)/COUNTIF(D$3:$AA2205,"&lt;="&amp;$AH$1)</f>
        <v>31.650075505218481</v>
      </c>
    </row>
    <row r="2206" spans="2:34" x14ac:dyDescent="0.25">
      <c r="B2206" s="910">
        <v>42314</v>
      </c>
      <c r="C2206" s="581">
        <f t="shared" si="103"/>
        <v>11</v>
      </c>
      <c r="D2206" s="171">
        <v>37.56</v>
      </c>
      <c r="E2206" s="171">
        <v>29.12</v>
      </c>
      <c r="F2206" s="171">
        <v>28.21</v>
      </c>
      <c r="G2206" s="171">
        <v>26.990000000000002</v>
      </c>
      <c r="H2206" s="171">
        <v>27.11</v>
      </c>
      <c r="I2206" s="171">
        <v>26.76</v>
      </c>
      <c r="J2206" s="171">
        <v>29.98</v>
      </c>
      <c r="K2206" s="171">
        <v>36.660000000000004</v>
      </c>
      <c r="L2206" s="171">
        <v>44.77</v>
      </c>
      <c r="M2206" s="171">
        <v>45.04</v>
      </c>
      <c r="N2206" s="171">
        <v>43.88</v>
      </c>
      <c r="O2206" s="171">
        <v>44.76</v>
      </c>
      <c r="P2206" s="171">
        <v>44.49</v>
      </c>
      <c r="Q2206" s="171">
        <v>44.29</v>
      </c>
      <c r="R2206" s="171">
        <v>38.450000000000003</v>
      </c>
      <c r="S2206" s="171">
        <v>37.08</v>
      </c>
      <c r="T2206" s="171">
        <v>37.67</v>
      </c>
      <c r="U2206" s="171">
        <v>40.01</v>
      </c>
      <c r="V2206" s="171">
        <v>45.28</v>
      </c>
      <c r="W2206" s="171">
        <v>47.42</v>
      </c>
      <c r="X2206" s="171">
        <v>42.87</v>
      </c>
      <c r="Y2206" s="171">
        <v>36.22</v>
      </c>
      <c r="Z2206" s="171">
        <v>37.44</v>
      </c>
      <c r="AA2206" s="171">
        <v>34.96</v>
      </c>
      <c r="AB2206" s="171">
        <v>32.1</v>
      </c>
      <c r="AC2206" s="171">
        <v>32.53</v>
      </c>
      <c r="AD2206" s="171">
        <v>42.6</v>
      </c>
      <c r="AF2206" s="171">
        <f t="shared" si="104"/>
        <v>2015</v>
      </c>
      <c r="AG2206" s="171">
        <f t="shared" si="105"/>
        <v>15</v>
      </c>
      <c r="AH2206" s="700">
        <f>SUMIF(D$3:$AA2206,"&lt;="&amp;$AH$1)/COUNTIF(D$3:$AA2206,"&lt;="&amp;$AH$1)</f>
        <v>31.65171021245882</v>
      </c>
    </row>
    <row r="2207" spans="2:34" x14ac:dyDescent="0.25">
      <c r="B2207" s="910">
        <v>42317</v>
      </c>
      <c r="C2207" s="581">
        <f t="shared" si="103"/>
        <v>11</v>
      </c>
      <c r="D2207" s="171">
        <v>36.07</v>
      </c>
      <c r="E2207" s="171">
        <v>29.8</v>
      </c>
      <c r="F2207" s="171">
        <v>29</v>
      </c>
      <c r="G2207" s="171">
        <v>30.2</v>
      </c>
      <c r="H2207" s="171">
        <v>26.61</v>
      </c>
      <c r="I2207" s="171">
        <v>23.84</v>
      </c>
      <c r="J2207" s="171">
        <v>23.02</v>
      </c>
      <c r="K2207" s="171">
        <v>37.01</v>
      </c>
      <c r="L2207" s="171">
        <v>46.95</v>
      </c>
      <c r="M2207" s="171">
        <v>46.550000000000004</v>
      </c>
      <c r="N2207" s="171">
        <v>50.72</v>
      </c>
      <c r="O2207" s="171">
        <v>44</v>
      </c>
      <c r="P2207" s="171">
        <v>39.53</v>
      </c>
      <c r="Q2207" s="171">
        <v>33.049999999999997</v>
      </c>
      <c r="R2207" s="171">
        <v>33.24</v>
      </c>
      <c r="S2207" s="171">
        <v>32.82</v>
      </c>
      <c r="T2207" s="171">
        <v>32.700000000000003</v>
      </c>
      <c r="U2207" s="171">
        <v>36</v>
      </c>
      <c r="V2207" s="171">
        <v>46.59</v>
      </c>
      <c r="W2207" s="171">
        <v>55.45</v>
      </c>
      <c r="X2207" s="171">
        <v>41.62</v>
      </c>
      <c r="Y2207" s="171">
        <v>35</v>
      </c>
      <c r="Z2207" s="171">
        <v>34.94</v>
      </c>
      <c r="AA2207" s="171">
        <v>31</v>
      </c>
      <c r="AB2207" s="171">
        <v>26</v>
      </c>
      <c r="AC2207" s="171">
        <v>31.11</v>
      </c>
      <c r="AD2207" s="171">
        <v>41.02</v>
      </c>
      <c r="AF2207" s="171">
        <f t="shared" si="104"/>
        <v>2015</v>
      </c>
      <c r="AG2207" s="171">
        <f t="shared" si="105"/>
        <v>18</v>
      </c>
      <c r="AH2207" s="700">
        <f>SUMIF(D$3:$AA2207,"&lt;="&amp;$AH$1)/COUNTIF(D$3:$AA2207,"&lt;="&amp;$AH$1)</f>
        <v>31.652581324466333</v>
      </c>
    </row>
    <row r="2208" spans="2:34" x14ac:dyDescent="0.25">
      <c r="B2208" s="910">
        <v>42318</v>
      </c>
      <c r="C2208" s="581">
        <f t="shared" si="103"/>
        <v>11</v>
      </c>
      <c r="D2208" s="171">
        <v>35.5</v>
      </c>
      <c r="E2208" s="171">
        <v>27</v>
      </c>
      <c r="F2208" s="171">
        <v>29</v>
      </c>
      <c r="G2208" s="171">
        <v>29</v>
      </c>
      <c r="H2208" s="171">
        <v>23.330000000000002</v>
      </c>
      <c r="I2208" s="171">
        <v>21.67</v>
      </c>
      <c r="J2208" s="171">
        <v>27</v>
      </c>
      <c r="K2208" s="171">
        <v>32.44</v>
      </c>
      <c r="L2208" s="171">
        <v>37.61</v>
      </c>
      <c r="M2208" s="171">
        <v>35.630000000000003</v>
      </c>
      <c r="N2208" s="171">
        <v>32.869999999999997</v>
      </c>
      <c r="O2208" s="171">
        <v>33.11</v>
      </c>
      <c r="P2208" s="171">
        <v>33.11</v>
      </c>
      <c r="Q2208" s="171">
        <v>32.36</v>
      </c>
      <c r="R2208" s="171">
        <v>45.1</v>
      </c>
      <c r="S2208" s="171">
        <v>42.14</v>
      </c>
      <c r="T2208" s="171">
        <v>36.4</v>
      </c>
      <c r="U2208" s="171">
        <v>39.83</v>
      </c>
      <c r="V2208" s="171">
        <v>51.93</v>
      </c>
      <c r="W2208" s="171">
        <v>54.94</v>
      </c>
      <c r="X2208" s="171">
        <v>44.97</v>
      </c>
      <c r="Y2208" s="171">
        <v>38.950000000000003</v>
      </c>
      <c r="Z2208" s="171">
        <v>37.24</v>
      </c>
      <c r="AA2208" s="171">
        <v>32.980000000000004</v>
      </c>
      <c r="AB2208" s="171">
        <v>33.32</v>
      </c>
      <c r="AC2208" s="171">
        <v>30.8</v>
      </c>
      <c r="AD2208" s="171">
        <v>40.200000000000003</v>
      </c>
      <c r="AF2208" s="171">
        <f t="shared" si="104"/>
        <v>2015</v>
      </c>
      <c r="AG2208" s="171">
        <f t="shared" si="105"/>
        <v>20</v>
      </c>
      <c r="AH2208" s="700">
        <f>SUMIF(D$3:$AA2208,"&lt;="&amp;$AH$1)/COUNTIF(D$3:$AA2208,"&lt;="&amp;$AH$1)</f>
        <v>31.653916412952935</v>
      </c>
    </row>
    <row r="2209" spans="2:34" x14ac:dyDescent="0.25">
      <c r="B2209" s="910">
        <v>42319</v>
      </c>
      <c r="C2209" s="581">
        <f t="shared" si="103"/>
        <v>11</v>
      </c>
      <c r="D2209" s="171">
        <v>36.96</v>
      </c>
      <c r="E2209" s="171">
        <v>31.38</v>
      </c>
      <c r="F2209" s="171">
        <v>31.38</v>
      </c>
      <c r="G2209" s="171">
        <v>30.63</v>
      </c>
      <c r="H2209" s="171">
        <v>29.95</v>
      </c>
      <c r="I2209" s="171">
        <v>29</v>
      </c>
      <c r="J2209" s="171">
        <v>29</v>
      </c>
      <c r="K2209" s="171">
        <v>33.28</v>
      </c>
      <c r="L2209" s="171">
        <v>38.950000000000003</v>
      </c>
      <c r="M2209" s="171">
        <v>38.71</v>
      </c>
      <c r="N2209" s="171">
        <v>38.980000000000004</v>
      </c>
      <c r="O2209" s="171">
        <v>38.230000000000004</v>
      </c>
      <c r="P2209" s="171">
        <v>39.94</v>
      </c>
      <c r="Q2209" s="171">
        <v>37.980000000000004</v>
      </c>
      <c r="R2209" s="171">
        <v>35.340000000000003</v>
      </c>
      <c r="S2209" s="171">
        <v>34.78</v>
      </c>
      <c r="T2209" s="171">
        <v>35.71</v>
      </c>
      <c r="U2209" s="171">
        <v>38.480000000000004</v>
      </c>
      <c r="V2209" s="171">
        <v>48.88</v>
      </c>
      <c r="W2209" s="171">
        <v>52.57</v>
      </c>
      <c r="X2209" s="171">
        <v>48.84</v>
      </c>
      <c r="Y2209" s="171">
        <v>41.25</v>
      </c>
      <c r="Z2209" s="171">
        <v>34.49</v>
      </c>
      <c r="AA2209" s="171">
        <v>36.35</v>
      </c>
      <c r="AB2209" s="171">
        <v>32.96</v>
      </c>
      <c r="AC2209" s="171">
        <v>33.22</v>
      </c>
      <c r="AD2209" s="171">
        <v>40.700000000000003</v>
      </c>
      <c r="AF2209" s="171">
        <f t="shared" si="104"/>
        <v>2015</v>
      </c>
      <c r="AG2209" s="171">
        <f t="shared" si="105"/>
        <v>21</v>
      </c>
      <c r="AH2209" s="700">
        <f>SUMIF(D$3:$AA2209,"&lt;="&amp;$AH$1)/COUNTIF(D$3:$AA2209,"&lt;="&amp;$AH$1)</f>
        <v>31.658120645803077</v>
      </c>
    </row>
    <row r="2210" spans="2:34" x14ac:dyDescent="0.25">
      <c r="B2210" s="910">
        <v>42320</v>
      </c>
      <c r="C2210" s="581">
        <f t="shared" si="103"/>
        <v>11</v>
      </c>
      <c r="D2210" s="171">
        <v>37.76</v>
      </c>
      <c r="E2210" s="171">
        <v>29.400000000000002</v>
      </c>
      <c r="F2210" s="171">
        <v>29</v>
      </c>
      <c r="G2210" s="171">
        <v>29.69</v>
      </c>
      <c r="H2210" s="171">
        <v>27.28</v>
      </c>
      <c r="I2210" s="171">
        <v>29.1</v>
      </c>
      <c r="J2210" s="171">
        <v>29.8</v>
      </c>
      <c r="K2210" s="171">
        <v>31.88</v>
      </c>
      <c r="L2210" s="171">
        <v>37.020000000000003</v>
      </c>
      <c r="M2210" s="171">
        <v>39.67</v>
      </c>
      <c r="N2210" s="171">
        <v>44.6</v>
      </c>
      <c r="O2210" s="171">
        <v>32.01</v>
      </c>
      <c r="P2210" s="171">
        <v>31.44</v>
      </c>
      <c r="Q2210" s="171">
        <v>32.340000000000003</v>
      </c>
      <c r="R2210" s="171">
        <v>32.340000000000003</v>
      </c>
      <c r="S2210" s="171">
        <v>37</v>
      </c>
      <c r="T2210" s="171">
        <v>43.97</v>
      </c>
      <c r="U2210" s="171">
        <v>46.74</v>
      </c>
      <c r="V2210" s="171">
        <v>63.83</v>
      </c>
      <c r="W2210" s="171">
        <v>69.489999999999995</v>
      </c>
      <c r="X2210" s="171">
        <v>48.68</v>
      </c>
      <c r="Y2210" s="171">
        <v>39.15</v>
      </c>
      <c r="Z2210" s="171">
        <v>36.47</v>
      </c>
      <c r="AA2210" s="171">
        <v>35.840000000000003</v>
      </c>
      <c r="AB2210" s="171">
        <v>29.54</v>
      </c>
      <c r="AC2210" s="171">
        <v>32.01</v>
      </c>
      <c r="AD2210" s="171">
        <v>43.51</v>
      </c>
      <c r="AF2210" s="171">
        <f t="shared" si="104"/>
        <v>2015</v>
      </c>
      <c r="AG2210" s="171">
        <f t="shared" si="105"/>
        <v>18</v>
      </c>
      <c r="AH2210" s="700">
        <f>SUMIF(D$3:$AA2210,"&lt;="&amp;$AH$1)/COUNTIF(D$3:$AA2210,"&lt;="&amp;$AH$1)</f>
        <v>31.659631020768579</v>
      </c>
    </row>
    <row r="2211" spans="2:34" x14ac:dyDescent="0.25">
      <c r="B2211" s="910">
        <v>42321</v>
      </c>
      <c r="C2211" s="581">
        <f t="shared" si="103"/>
        <v>11</v>
      </c>
      <c r="D2211" s="171">
        <v>34.81</v>
      </c>
      <c r="E2211" s="171">
        <v>30.04</v>
      </c>
      <c r="F2211" s="171">
        <v>29.28</v>
      </c>
      <c r="G2211" s="171">
        <v>28.47</v>
      </c>
      <c r="H2211" s="171">
        <v>26.66</v>
      </c>
      <c r="I2211" s="171">
        <v>25.35</v>
      </c>
      <c r="J2211" s="171">
        <v>28.61</v>
      </c>
      <c r="K2211" s="171">
        <v>35.78</v>
      </c>
      <c r="L2211" s="171">
        <v>44</v>
      </c>
      <c r="M2211" s="171">
        <v>46.99</v>
      </c>
      <c r="N2211" s="171">
        <v>44.92</v>
      </c>
      <c r="O2211" s="171">
        <v>42.44</v>
      </c>
      <c r="P2211" s="171">
        <v>44</v>
      </c>
      <c r="Q2211" s="171">
        <v>31.6</v>
      </c>
      <c r="R2211" s="171">
        <v>40.590000000000003</v>
      </c>
      <c r="S2211" s="171">
        <v>36.17</v>
      </c>
      <c r="T2211" s="171">
        <v>34.44</v>
      </c>
      <c r="U2211" s="171">
        <v>34.57</v>
      </c>
      <c r="V2211" s="171">
        <v>44.1</v>
      </c>
      <c r="W2211" s="171">
        <v>33.03</v>
      </c>
      <c r="X2211" s="171">
        <v>32.020000000000003</v>
      </c>
      <c r="Y2211" s="171">
        <v>30.560000000000002</v>
      </c>
      <c r="Z2211" s="171">
        <v>25.27</v>
      </c>
      <c r="AA2211" s="171">
        <v>34.96</v>
      </c>
      <c r="AB2211" s="171">
        <v>31.62</v>
      </c>
      <c r="AC2211" s="171">
        <v>30.88</v>
      </c>
      <c r="AD2211" s="171">
        <v>38.74</v>
      </c>
      <c r="AF2211" s="171">
        <f t="shared" si="104"/>
        <v>2015</v>
      </c>
      <c r="AG2211" s="171">
        <f t="shared" si="105"/>
        <v>19</v>
      </c>
      <c r="AH2211" s="700">
        <f>SUMIF(D$3:$AA2211,"&lt;="&amp;$AH$1)/COUNTIF(D$3:$AA2211,"&lt;="&amp;$AH$1)</f>
        <v>31.660354797770481</v>
      </c>
    </row>
    <row r="2212" spans="2:34" x14ac:dyDescent="0.25">
      <c r="B2212" s="910">
        <v>42324</v>
      </c>
      <c r="C2212" s="581">
        <f t="shared" si="103"/>
        <v>11</v>
      </c>
      <c r="D2212" s="171">
        <v>34.700000000000003</v>
      </c>
      <c r="E2212" s="171">
        <v>29.03</v>
      </c>
      <c r="F2212" s="171">
        <v>28.900000000000002</v>
      </c>
      <c r="G2212" s="171">
        <v>21.51</v>
      </c>
      <c r="H2212" s="171">
        <v>20.900000000000002</v>
      </c>
      <c r="I2212" s="171">
        <v>21.740000000000002</v>
      </c>
      <c r="J2212" s="171">
        <v>23.06</v>
      </c>
      <c r="K2212" s="171">
        <v>32.96</v>
      </c>
      <c r="L2212" s="171">
        <v>32.44</v>
      </c>
      <c r="M2212" s="171">
        <v>32.68</v>
      </c>
      <c r="N2212" s="171">
        <v>37.44</v>
      </c>
      <c r="O2212" s="171">
        <v>32.44</v>
      </c>
      <c r="P2212" s="171">
        <v>40.97</v>
      </c>
      <c r="Q2212" s="171">
        <v>42.44</v>
      </c>
      <c r="R2212" s="171">
        <v>41.14</v>
      </c>
      <c r="S2212" s="171">
        <v>40.5</v>
      </c>
      <c r="T2212" s="171">
        <v>35.410000000000004</v>
      </c>
      <c r="U2212" s="171">
        <v>43.93</v>
      </c>
      <c r="V2212" s="171">
        <v>52.44</v>
      </c>
      <c r="W2212" s="171">
        <v>43.44</v>
      </c>
      <c r="X2212" s="171">
        <v>37.06</v>
      </c>
      <c r="Y2212" s="171">
        <v>36.57</v>
      </c>
      <c r="Z2212" s="171">
        <v>36.18</v>
      </c>
      <c r="AA2212" s="171">
        <v>37.410000000000004</v>
      </c>
      <c r="AB2212" s="171">
        <v>32.1</v>
      </c>
      <c r="AC2212" s="171">
        <v>29.400000000000002</v>
      </c>
      <c r="AD2212" s="171">
        <v>39.99</v>
      </c>
      <c r="AF2212" s="171">
        <f t="shared" si="104"/>
        <v>2015</v>
      </c>
      <c r="AG2212" s="171">
        <f t="shared" si="105"/>
        <v>21</v>
      </c>
      <c r="AH2212" s="700">
        <f>SUMIF(D$3:$AA2212,"&lt;="&amp;$AH$1)/COUNTIF(D$3:$AA2212,"&lt;="&amp;$AH$1)</f>
        <v>31.662041997354187</v>
      </c>
    </row>
    <row r="2213" spans="2:34" x14ac:dyDescent="0.25">
      <c r="B2213" s="910">
        <v>42325</v>
      </c>
      <c r="C2213" s="581">
        <f t="shared" si="103"/>
        <v>11</v>
      </c>
      <c r="D2213" s="171">
        <v>35.31</v>
      </c>
      <c r="E2213" s="171">
        <v>36.14</v>
      </c>
      <c r="F2213" s="171">
        <v>29.07</v>
      </c>
      <c r="G2213" s="171">
        <v>29.1</v>
      </c>
      <c r="H2213" s="171">
        <v>21.5</v>
      </c>
      <c r="I2213" s="171">
        <v>22.5</v>
      </c>
      <c r="J2213" s="171">
        <v>30.1</v>
      </c>
      <c r="K2213" s="171">
        <v>30.27</v>
      </c>
      <c r="L2213" s="171">
        <v>44.11</v>
      </c>
      <c r="M2213" s="171">
        <v>38.75</v>
      </c>
      <c r="N2213" s="171">
        <v>41.06</v>
      </c>
      <c r="O2213" s="171">
        <v>41.22</v>
      </c>
      <c r="P2213" s="171">
        <v>41.42</v>
      </c>
      <c r="Q2213" s="171">
        <v>41.13</v>
      </c>
      <c r="R2213" s="171">
        <v>40</v>
      </c>
      <c r="S2213" s="171">
        <v>37.950000000000003</v>
      </c>
      <c r="T2213" s="171">
        <v>36.300000000000004</v>
      </c>
      <c r="U2213" s="171">
        <v>38.5</v>
      </c>
      <c r="V2213" s="171">
        <v>44.96</v>
      </c>
      <c r="W2213" s="171">
        <v>39.94</v>
      </c>
      <c r="X2213" s="171">
        <v>34.28</v>
      </c>
      <c r="Y2213" s="171">
        <v>35</v>
      </c>
      <c r="Z2213" s="171">
        <v>32.950000000000003</v>
      </c>
      <c r="AA2213" s="171">
        <v>31.150000000000002</v>
      </c>
      <c r="AB2213" s="171">
        <v>29.990000000000002</v>
      </c>
      <c r="AC2213" s="171">
        <v>30.990000000000002</v>
      </c>
      <c r="AD2213" s="171">
        <v>39.630000000000003</v>
      </c>
      <c r="AF2213" s="171">
        <f t="shared" si="104"/>
        <v>2015</v>
      </c>
      <c r="AG2213" s="171">
        <f t="shared" si="105"/>
        <v>22</v>
      </c>
      <c r="AH2213" s="700">
        <f>SUMIF(D$3:$AA2213,"&lt;="&amp;$AH$1)/COUNTIF(D$3:$AA2213,"&lt;="&amp;$AH$1)</f>
        <v>31.665734338874511</v>
      </c>
    </row>
    <row r="2214" spans="2:34" x14ac:dyDescent="0.25">
      <c r="B2214" s="910">
        <v>42326</v>
      </c>
      <c r="C2214" s="581">
        <f t="shared" si="103"/>
        <v>11</v>
      </c>
      <c r="D2214" s="171">
        <v>35.42</v>
      </c>
      <c r="E2214" s="171">
        <v>22.48</v>
      </c>
      <c r="F2214" s="171">
        <v>29.580000000000002</v>
      </c>
      <c r="G2214" s="171">
        <v>28.36</v>
      </c>
      <c r="H2214" s="171">
        <v>27.44</v>
      </c>
      <c r="I2214" s="171">
        <v>24.82</v>
      </c>
      <c r="J2214" s="171">
        <v>29.6</v>
      </c>
      <c r="K2214" s="171">
        <v>28.22</v>
      </c>
      <c r="L2214" s="171">
        <v>36</v>
      </c>
      <c r="M2214" s="171">
        <v>32.53</v>
      </c>
      <c r="N2214" s="171">
        <v>44.800000000000004</v>
      </c>
      <c r="O2214" s="171">
        <v>44.800000000000004</v>
      </c>
      <c r="P2214" s="171">
        <v>49</v>
      </c>
      <c r="Q2214" s="171">
        <v>44.800000000000004</v>
      </c>
      <c r="R2214" s="171">
        <v>42.44</v>
      </c>
      <c r="S2214" s="171">
        <v>33.730000000000004</v>
      </c>
      <c r="T2214" s="171">
        <v>33.92</v>
      </c>
      <c r="U2214" s="171">
        <v>39.18</v>
      </c>
      <c r="V2214" s="171">
        <v>53.120000000000005</v>
      </c>
      <c r="W2214" s="171">
        <v>42.44</v>
      </c>
      <c r="X2214" s="171">
        <v>33.93</v>
      </c>
      <c r="Y2214" s="171">
        <v>35</v>
      </c>
      <c r="Z2214" s="171">
        <v>31.400000000000002</v>
      </c>
      <c r="AA2214" s="171">
        <v>30.5</v>
      </c>
      <c r="AB2214" s="171">
        <v>31.94</v>
      </c>
      <c r="AC2214" s="171">
        <v>29.61</v>
      </c>
      <c r="AD2214" s="171">
        <v>41.22</v>
      </c>
      <c r="AF2214" s="171">
        <f t="shared" si="104"/>
        <v>2015</v>
      </c>
      <c r="AG2214" s="171">
        <f t="shared" si="105"/>
        <v>19</v>
      </c>
      <c r="AH2214" s="700">
        <f>SUMIF(D$3:$AA2214,"&lt;="&amp;$AH$1)/COUNTIF(D$3:$AA2214,"&lt;="&amp;$AH$1)</f>
        <v>31.666577948858635</v>
      </c>
    </row>
    <row r="2215" spans="2:34" x14ac:dyDescent="0.25">
      <c r="B2215" s="910">
        <v>42327</v>
      </c>
      <c r="C2215" s="581">
        <f t="shared" si="103"/>
        <v>11</v>
      </c>
      <c r="D2215" s="171">
        <v>35.97</v>
      </c>
      <c r="E2215" s="171">
        <v>31.3</v>
      </c>
      <c r="F2215" s="171">
        <v>31.3</v>
      </c>
      <c r="G2215" s="171">
        <v>31.3</v>
      </c>
      <c r="H2215" s="171">
        <v>25.7</v>
      </c>
      <c r="I2215" s="171">
        <v>24.990000000000002</v>
      </c>
      <c r="J2215" s="171">
        <v>29.38</v>
      </c>
      <c r="K2215" s="171">
        <v>31</v>
      </c>
      <c r="L2215" s="171">
        <v>34.72</v>
      </c>
      <c r="M2215" s="171">
        <v>32.200000000000003</v>
      </c>
      <c r="N2215" s="171">
        <v>32.200000000000003</v>
      </c>
      <c r="O2215" s="171">
        <v>32.200000000000003</v>
      </c>
      <c r="P2215" s="171">
        <v>33.1</v>
      </c>
      <c r="Q2215" s="171">
        <v>33.1</v>
      </c>
      <c r="R2215" s="171">
        <v>33.200000000000003</v>
      </c>
      <c r="S2215" s="171">
        <v>34.94</v>
      </c>
      <c r="T2215" s="171">
        <v>39</v>
      </c>
      <c r="U2215" s="171">
        <v>46.5</v>
      </c>
      <c r="V2215" s="171">
        <v>56.83</v>
      </c>
      <c r="W2215" s="171">
        <v>56.83</v>
      </c>
      <c r="X2215" s="171">
        <v>46.5</v>
      </c>
      <c r="Y2215" s="171">
        <v>41.87</v>
      </c>
      <c r="Z2215" s="171">
        <v>32.39</v>
      </c>
      <c r="AA2215" s="171">
        <v>38</v>
      </c>
      <c r="AB2215" s="171">
        <v>34.72</v>
      </c>
      <c r="AC2215" s="171">
        <v>32.22</v>
      </c>
      <c r="AD2215" s="171">
        <v>39.72</v>
      </c>
      <c r="AF2215" s="171">
        <f t="shared" si="104"/>
        <v>2015</v>
      </c>
      <c r="AG2215" s="171">
        <f t="shared" si="105"/>
        <v>20</v>
      </c>
      <c r="AH2215" s="700">
        <f>SUMIF(D$3:$AA2215,"&lt;="&amp;$AH$1)/COUNTIF(D$3:$AA2215,"&lt;="&amp;$AH$1)</f>
        <v>31.667925295248228</v>
      </c>
    </row>
    <row r="2216" spans="2:34" x14ac:dyDescent="0.25">
      <c r="B2216" s="910">
        <v>42328</v>
      </c>
      <c r="C2216" s="581">
        <f t="shared" si="103"/>
        <v>11</v>
      </c>
      <c r="D2216" s="171">
        <v>39.71</v>
      </c>
      <c r="E2216" s="171">
        <v>30.900000000000002</v>
      </c>
      <c r="F2216" s="171">
        <v>32.01</v>
      </c>
      <c r="G2216" s="171">
        <v>29.8</v>
      </c>
      <c r="H2216" s="171">
        <v>27.44</v>
      </c>
      <c r="I2216" s="171">
        <v>31</v>
      </c>
      <c r="J2216" s="171">
        <v>26.1</v>
      </c>
      <c r="K2216" s="171">
        <v>32.06</v>
      </c>
      <c r="L2216" s="171">
        <v>41.97</v>
      </c>
      <c r="M2216" s="171">
        <v>38.93</v>
      </c>
      <c r="N2216" s="171">
        <v>43.9</v>
      </c>
      <c r="O2216" s="171">
        <v>44.76</v>
      </c>
      <c r="P2216" s="171">
        <v>47.11</v>
      </c>
      <c r="Q2216" s="171">
        <v>47.7</v>
      </c>
      <c r="R2216" s="171">
        <v>46.44</v>
      </c>
      <c r="S2216" s="171">
        <v>45.88</v>
      </c>
      <c r="T2216" s="171">
        <v>44.51</v>
      </c>
      <c r="U2216" s="171">
        <v>45.7</v>
      </c>
      <c r="V2216" s="171">
        <v>50.1</v>
      </c>
      <c r="W2216" s="171">
        <v>51.660000000000004</v>
      </c>
      <c r="X2216" s="171">
        <v>45.4</v>
      </c>
      <c r="Y2216" s="171">
        <v>41.6</v>
      </c>
      <c r="Z2216" s="171">
        <v>35.57</v>
      </c>
      <c r="AA2216" s="171">
        <v>37.61</v>
      </c>
      <c r="AB2216" s="171">
        <v>34.840000000000003</v>
      </c>
      <c r="AC2216" s="171">
        <v>33.410000000000004</v>
      </c>
      <c r="AD2216" s="171">
        <v>46.01</v>
      </c>
      <c r="AF2216" s="171">
        <f t="shared" si="104"/>
        <v>2015</v>
      </c>
      <c r="AG2216" s="171">
        <f t="shared" si="105"/>
        <v>13</v>
      </c>
      <c r="AH2216" s="700">
        <f>SUMIF(D$3:$AA2216,"&lt;="&amp;$AH$1)/COUNTIF(D$3:$AA2216,"&lt;="&amp;$AH$1)</f>
        <v>31.669737622131628</v>
      </c>
    </row>
    <row r="2217" spans="2:34" x14ac:dyDescent="0.25">
      <c r="B2217" s="910">
        <v>42331</v>
      </c>
      <c r="C2217" s="581">
        <f t="shared" si="103"/>
        <v>11</v>
      </c>
      <c r="D2217" s="171">
        <v>50.33</v>
      </c>
      <c r="E2217" s="171">
        <v>24.79</v>
      </c>
      <c r="F2217" s="171">
        <v>25.330000000000002</v>
      </c>
      <c r="G2217" s="171">
        <v>29.8</v>
      </c>
      <c r="H2217" s="171">
        <v>34.200000000000003</v>
      </c>
      <c r="I2217" s="171">
        <v>33.42</v>
      </c>
      <c r="J2217" s="171">
        <v>27.85</v>
      </c>
      <c r="K2217" s="171">
        <v>40.72</v>
      </c>
      <c r="L2217" s="171">
        <v>66.58</v>
      </c>
      <c r="M2217" s="171">
        <v>71.98</v>
      </c>
      <c r="N2217" s="171">
        <v>68.33</v>
      </c>
      <c r="O2217" s="171">
        <v>60.160000000000004</v>
      </c>
      <c r="P2217" s="171">
        <v>55.160000000000004</v>
      </c>
      <c r="Q2217" s="171">
        <v>50.95</v>
      </c>
      <c r="R2217" s="171">
        <v>55.07</v>
      </c>
      <c r="S2217" s="171">
        <v>60.04</v>
      </c>
      <c r="T2217" s="171">
        <v>62.9</v>
      </c>
      <c r="U2217" s="171">
        <v>70.820000000000007</v>
      </c>
      <c r="V2217" s="171">
        <v>99.77</v>
      </c>
      <c r="W2217" s="171">
        <v>74.930000000000007</v>
      </c>
      <c r="X2217" s="171">
        <v>51.910000000000004</v>
      </c>
      <c r="Y2217" s="171">
        <v>43.5</v>
      </c>
      <c r="Z2217" s="171">
        <v>36.39</v>
      </c>
      <c r="AA2217" s="171">
        <v>34.15</v>
      </c>
      <c r="AB2217" s="171">
        <v>29.13</v>
      </c>
      <c r="AC2217" s="171">
        <v>35.49</v>
      </c>
      <c r="AD2217" s="171">
        <v>65.17</v>
      </c>
      <c r="AF2217" s="171">
        <f t="shared" si="104"/>
        <v>2015</v>
      </c>
      <c r="AG2217" s="171">
        <f t="shared" si="105"/>
        <v>9</v>
      </c>
      <c r="AH2217" s="700">
        <f>SUMIF(D$3:$AA2217,"&lt;="&amp;$AH$1)/COUNTIF(D$3:$AA2217,"&lt;="&amp;$AH$1)</f>
        <v>31.669826630822076</v>
      </c>
    </row>
    <row r="2218" spans="2:34" x14ac:dyDescent="0.25">
      <c r="B2218" s="910">
        <v>42332</v>
      </c>
      <c r="C2218" s="581">
        <f t="shared" si="103"/>
        <v>11</v>
      </c>
      <c r="D2218" s="171">
        <v>37.42</v>
      </c>
      <c r="E2218" s="171">
        <v>34.31</v>
      </c>
      <c r="F2218" s="171">
        <v>30.2</v>
      </c>
      <c r="G2218" s="171">
        <v>28.45</v>
      </c>
      <c r="H2218" s="171">
        <v>27.22</v>
      </c>
      <c r="I2218" s="171">
        <v>28.32</v>
      </c>
      <c r="J2218" s="171">
        <v>27.02</v>
      </c>
      <c r="K2218" s="171">
        <v>33.01</v>
      </c>
      <c r="L2218" s="171">
        <v>46.56</v>
      </c>
      <c r="M2218" s="171">
        <v>46.47</v>
      </c>
      <c r="N2218" s="171">
        <v>43.67</v>
      </c>
      <c r="O2218" s="171">
        <v>35.32</v>
      </c>
      <c r="P2218" s="171">
        <v>34.369999999999997</v>
      </c>
      <c r="Q2218" s="171">
        <v>33.090000000000003</v>
      </c>
      <c r="R2218" s="171">
        <v>33.6</v>
      </c>
      <c r="S2218" s="171">
        <v>36.800000000000004</v>
      </c>
      <c r="T2218" s="171">
        <v>42.17</v>
      </c>
      <c r="U2218" s="171">
        <v>47.78</v>
      </c>
      <c r="V2218" s="171">
        <v>60</v>
      </c>
      <c r="W2218" s="171">
        <v>45</v>
      </c>
      <c r="X2218" s="171">
        <v>40</v>
      </c>
      <c r="Y2218" s="171">
        <v>32.96</v>
      </c>
      <c r="Z2218" s="171">
        <v>44.94</v>
      </c>
      <c r="AA2218" s="171">
        <v>32.85</v>
      </c>
      <c r="AB2218" s="171">
        <v>33.86</v>
      </c>
      <c r="AC2218" s="171">
        <v>33.31</v>
      </c>
      <c r="AD2218" s="171">
        <v>41.52</v>
      </c>
      <c r="AF2218" s="171">
        <f t="shared" si="104"/>
        <v>2015</v>
      </c>
      <c r="AG2218" s="171">
        <f t="shared" si="105"/>
        <v>17</v>
      </c>
      <c r="AH2218" s="700">
        <f>SUMIF(D$3:$AA2218,"&lt;="&amp;$AH$1)/COUNTIF(D$3:$AA2218,"&lt;="&amp;$AH$1)</f>
        <v>31.671401008550419</v>
      </c>
    </row>
    <row r="2219" spans="2:34" x14ac:dyDescent="0.25">
      <c r="B2219" s="910">
        <v>42333</v>
      </c>
      <c r="C2219" s="581">
        <f t="shared" si="103"/>
        <v>11</v>
      </c>
      <c r="D2219" s="171">
        <v>42.79</v>
      </c>
      <c r="E2219" s="171">
        <v>32.74</v>
      </c>
      <c r="F2219" s="171">
        <v>30.68</v>
      </c>
      <c r="G2219" s="171">
        <v>29.8</v>
      </c>
      <c r="H2219" s="171">
        <v>29.05</v>
      </c>
      <c r="I2219" s="171">
        <v>29.650000000000002</v>
      </c>
      <c r="J2219" s="171">
        <v>28.78</v>
      </c>
      <c r="K2219" s="171">
        <v>32.130000000000003</v>
      </c>
      <c r="L2219" s="171">
        <v>50.58</v>
      </c>
      <c r="M2219" s="171">
        <v>48.120000000000005</v>
      </c>
      <c r="N2219" s="171">
        <v>47.160000000000004</v>
      </c>
      <c r="O2219" s="171">
        <v>52.81</v>
      </c>
      <c r="P2219" s="171">
        <v>54.88</v>
      </c>
      <c r="Q2219" s="171">
        <v>50.71</v>
      </c>
      <c r="R2219" s="171">
        <v>53.02</v>
      </c>
      <c r="S2219" s="171">
        <v>52.44</v>
      </c>
      <c r="T2219" s="171">
        <v>51.21</v>
      </c>
      <c r="U2219" s="171">
        <v>51.59</v>
      </c>
      <c r="V2219" s="171">
        <v>60.01</v>
      </c>
      <c r="W2219" s="171">
        <v>54.09</v>
      </c>
      <c r="X2219" s="171">
        <v>50.03</v>
      </c>
      <c r="Y2219" s="171">
        <v>37.81</v>
      </c>
      <c r="Z2219" s="171">
        <v>34.590000000000003</v>
      </c>
      <c r="AA2219" s="171">
        <v>34.119999999999997</v>
      </c>
      <c r="AB2219" s="171">
        <v>31</v>
      </c>
      <c r="AC2219" s="171">
        <v>33.410000000000004</v>
      </c>
      <c r="AD2219" s="171">
        <v>52.17</v>
      </c>
      <c r="AF2219" s="171">
        <f t="shared" si="104"/>
        <v>2015</v>
      </c>
      <c r="AG2219" s="171">
        <f t="shared" si="105"/>
        <v>10</v>
      </c>
      <c r="AH2219" s="700">
        <f>SUMIF(D$3:$AA2219,"&lt;="&amp;$AH$1)/COUNTIF(D$3:$AA2219,"&lt;="&amp;$AH$1)</f>
        <v>31.671545414703303</v>
      </c>
    </row>
    <row r="2220" spans="2:34" x14ac:dyDescent="0.25">
      <c r="B2220" s="910">
        <v>42334</v>
      </c>
      <c r="C2220" s="581">
        <f t="shared" si="103"/>
        <v>11</v>
      </c>
      <c r="D2220" s="171">
        <v>51.050000000000004</v>
      </c>
      <c r="E2220" s="171">
        <v>34.800000000000004</v>
      </c>
      <c r="F2220" s="171">
        <v>33.28</v>
      </c>
      <c r="G2220" s="171">
        <v>32.299999999999997</v>
      </c>
      <c r="H2220" s="171">
        <v>30.29</v>
      </c>
      <c r="I2220" s="171">
        <v>31.400000000000002</v>
      </c>
      <c r="J2220" s="171">
        <v>33.75</v>
      </c>
      <c r="K2220" s="171">
        <v>39.28</v>
      </c>
      <c r="L2220" s="171">
        <v>60.32</v>
      </c>
      <c r="M2220" s="171">
        <v>59.38</v>
      </c>
      <c r="N2220" s="171">
        <v>59.08</v>
      </c>
      <c r="O2220" s="171">
        <v>60.96</v>
      </c>
      <c r="P2220" s="171">
        <v>62.97</v>
      </c>
      <c r="Q2220" s="171">
        <v>57.51</v>
      </c>
      <c r="R2220" s="171">
        <v>56.800000000000004</v>
      </c>
      <c r="S2220" s="171">
        <v>60.300000000000004</v>
      </c>
      <c r="T2220" s="171">
        <v>65.05</v>
      </c>
      <c r="U2220" s="171">
        <v>65.12</v>
      </c>
      <c r="V2220" s="171">
        <v>83.91</v>
      </c>
      <c r="W2220" s="171">
        <v>76.39</v>
      </c>
      <c r="X2220" s="171">
        <v>64.11</v>
      </c>
      <c r="Y2220" s="171">
        <v>48.31</v>
      </c>
      <c r="Z2220" s="171">
        <v>38.31</v>
      </c>
      <c r="AA2220" s="171">
        <v>35.83</v>
      </c>
      <c r="AB2220" s="171">
        <v>35.770000000000003</v>
      </c>
      <c r="AC2220" s="171">
        <v>37.800000000000004</v>
      </c>
      <c r="AD2220" s="171">
        <v>64.3</v>
      </c>
      <c r="AF2220" s="171">
        <f t="shared" si="104"/>
        <v>2015</v>
      </c>
      <c r="AG2220" s="171">
        <f t="shared" si="105"/>
        <v>9</v>
      </c>
      <c r="AH2220" s="700">
        <f>SUMIF(D$3:$AA2220,"&lt;="&amp;$AH$1)/COUNTIF(D$3:$AA2220,"&lt;="&amp;$AH$1)</f>
        <v>31.672870284180821</v>
      </c>
    </row>
    <row r="2221" spans="2:34" x14ac:dyDescent="0.25">
      <c r="B2221" s="910">
        <v>42335</v>
      </c>
      <c r="C2221" s="581">
        <f t="shared" ref="C2221:C2284" si="106">MONTH(B2221)</f>
        <v>11</v>
      </c>
      <c r="D2221" s="171">
        <v>37.980000000000004</v>
      </c>
      <c r="E2221" s="171">
        <v>33.93</v>
      </c>
      <c r="F2221" s="171">
        <v>32.67</v>
      </c>
      <c r="G2221" s="171">
        <v>31.14</v>
      </c>
      <c r="H2221" s="171">
        <v>30.59</v>
      </c>
      <c r="I2221" s="171">
        <v>30.09</v>
      </c>
      <c r="J2221" s="171">
        <v>29.330000000000002</v>
      </c>
      <c r="K2221" s="171">
        <v>34.090000000000003</v>
      </c>
      <c r="L2221" s="171">
        <v>46.67</v>
      </c>
      <c r="M2221" s="171">
        <v>48.24</v>
      </c>
      <c r="N2221" s="171">
        <v>47.84</v>
      </c>
      <c r="O2221" s="171">
        <v>45.9</v>
      </c>
      <c r="P2221" s="171">
        <v>41</v>
      </c>
      <c r="Q2221" s="171">
        <v>39.630000000000003</v>
      </c>
      <c r="R2221" s="171">
        <v>36.68</v>
      </c>
      <c r="S2221" s="171">
        <v>36.6</v>
      </c>
      <c r="T2221" s="171">
        <v>39.65</v>
      </c>
      <c r="U2221" s="171">
        <v>45.6</v>
      </c>
      <c r="V2221" s="171">
        <v>50.15</v>
      </c>
      <c r="W2221" s="171">
        <v>41.35</v>
      </c>
      <c r="X2221" s="171">
        <v>36.69</v>
      </c>
      <c r="Y2221" s="171">
        <v>33.93</v>
      </c>
      <c r="Z2221" s="171">
        <v>38</v>
      </c>
      <c r="AA2221" s="171">
        <v>31.740000000000002</v>
      </c>
      <c r="AB2221" s="171">
        <v>29.990000000000002</v>
      </c>
      <c r="AC2221" s="171">
        <v>33.51</v>
      </c>
      <c r="AD2221" s="171">
        <v>42.44</v>
      </c>
      <c r="AF2221" s="171">
        <f t="shared" si="104"/>
        <v>2015</v>
      </c>
      <c r="AG2221" s="171">
        <f t="shared" si="105"/>
        <v>18</v>
      </c>
      <c r="AH2221" s="700">
        <f>SUMIF(D$3:$AA2221,"&lt;="&amp;$AH$1)/COUNTIF(D$3:$AA2221,"&lt;="&amp;$AH$1)</f>
        <v>31.676424703243491</v>
      </c>
    </row>
    <row r="2222" spans="2:34" x14ac:dyDescent="0.25">
      <c r="B2222" s="910">
        <v>42338</v>
      </c>
      <c r="C2222" s="581">
        <f t="shared" si="106"/>
        <v>11</v>
      </c>
      <c r="D2222" s="171">
        <v>38.51</v>
      </c>
      <c r="E2222" s="171">
        <v>33.03</v>
      </c>
      <c r="F2222" s="171">
        <v>30.62</v>
      </c>
      <c r="G2222" s="171">
        <v>31.18</v>
      </c>
      <c r="H2222" s="171">
        <v>21.93</v>
      </c>
      <c r="I2222" s="171">
        <v>23.6</v>
      </c>
      <c r="J2222" s="171">
        <v>31.990000000000002</v>
      </c>
      <c r="K2222" s="171">
        <v>38</v>
      </c>
      <c r="L2222" s="171">
        <v>55.35</v>
      </c>
      <c r="M2222" s="171">
        <v>56.93</v>
      </c>
      <c r="N2222" s="171">
        <v>48.02</v>
      </c>
      <c r="O2222" s="171">
        <v>54.01</v>
      </c>
      <c r="P2222" s="171">
        <v>54.27</v>
      </c>
      <c r="Q2222" s="171">
        <v>47</v>
      </c>
      <c r="R2222" s="171">
        <v>37.44</v>
      </c>
      <c r="S2222" s="171">
        <v>35.79</v>
      </c>
      <c r="T2222" s="171">
        <v>35.380000000000003</v>
      </c>
      <c r="U2222" s="171">
        <v>37.89</v>
      </c>
      <c r="V2222" s="171">
        <v>47</v>
      </c>
      <c r="W2222" s="171">
        <v>44.94</v>
      </c>
      <c r="X2222" s="171">
        <v>39.78</v>
      </c>
      <c r="Y2222" s="171">
        <v>35.72</v>
      </c>
      <c r="Z2222" s="171">
        <v>36.82</v>
      </c>
      <c r="AA2222" s="171">
        <v>27.14</v>
      </c>
      <c r="AB2222" s="171">
        <v>20.400000000000002</v>
      </c>
      <c r="AC2222" s="171">
        <v>32.15</v>
      </c>
      <c r="AD2222" s="171">
        <v>44.87</v>
      </c>
      <c r="AF2222" s="171">
        <f t="shared" si="104"/>
        <v>2015</v>
      </c>
      <c r="AG2222" s="171">
        <f t="shared" si="105"/>
        <v>16</v>
      </c>
      <c r="AH2222" s="700">
        <f>SUMIF(D$3:$AA2222,"&lt;="&amp;$AH$1)/COUNTIF(D$3:$AA2222,"&lt;="&amp;$AH$1)</f>
        <v>31.677954855987011</v>
      </c>
    </row>
    <row r="2223" spans="2:34" x14ac:dyDescent="0.25">
      <c r="B2223" s="910">
        <v>42339</v>
      </c>
      <c r="C2223" s="581">
        <f t="shared" si="106"/>
        <v>12</v>
      </c>
      <c r="D2223" s="171">
        <v>40.840000000000003</v>
      </c>
      <c r="E2223" s="171">
        <v>34.1</v>
      </c>
      <c r="F2223" s="171">
        <v>32.200000000000003</v>
      </c>
      <c r="G2223" s="171">
        <v>32.200000000000003</v>
      </c>
      <c r="H2223" s="171">
        <v>31.95</v>
      </c>
      <c r="I2223" s="171">
        <v>31.02</v>
      </c>
      <c r="J2223" s="171">
        <v>31.45</v>
      </c>
      <c r="K2223" s="171">
        <v>26.38</v>
      </c>
      <c r="L2223" s="171">
        <v>57.07</v>
      </c>
      <c r="M2223" s="171">
        <v>51.27</v>
      </c>
      <c r="N2223" s="171">
        <v>50.21</v>
      </c>
      <c r="O2223" s="171">
        <v>49.82</v>
      </c>
      <c r="P2223" s="171">
        <v>45.88</v>
      </c>
      <c r="Q2223" s="171">
        <v>42.5</v>
      </c>
      <c r="R2223" s="171">
        <v>44.93</v>
      </c>
      <c r="S2223" s="171">
        <v>45.6</v>
      </c>
      <c r="T2223" s="171">
        <v>45.52</v>
      </c>
      <c r="U2223" s="171">
        <v>48.4</v>
      </c>
      <c r="V2223" s="171">
        <v>58.550000000000004</v>
      </c>
      <c r="W2223" s="171">
        <v>46.99</v>
      </c>
      <c r="X2223" s="171">
        <v>37.31</v>
      </c>
      <c r="Y2223" s="171">
        <v>36.03</v>
      </c>
      <c r="Z2223" s="171">
        <v>33.549999999999997</v>
      </c>
      <c r="AA2223" s="171">
        <v>32.85</v>
      </c>
      <c r="AB2223" s="171">
        <v>34.36</v>
      </c>
      <c r="AC2223" s="171">
        <v>34.43</v>
      </c>
      <c r="AD2223" s="171">
        <v>47.25</v>
      </c>
      <c r="AF2223" s="171">
        <f t="shared" si="104"/>
        <v>2015</v>
      </c>
      <c r="AG2223" s="171">
        <f t="shared" si="105"/>
        <v>13</v>
      </c>
      <c r="AH2223" s="700">
        <f>SUMIF(D$3:$AA2223,"&lt;="&amp;$AH$1)/COUNTIF(D$3:$AA2223,"&lt;="&amp;$AH$1)</f>
        <v>31.679624249043922</v>
      </c>
    </row>
    <row r="2224" spans="2:34" x14ac:dyDescent="0.25">
      <c r="B2224" s="910">
        <v>42340</v>
      </c>
      <c r="C2224" s="581">
        <f t="shared" si="106"/>
        <v>12</v>
      </c>
      <c r="D2224" s="171">
        <v>37.61</v>
      </c>
      <c r="E2224" s="171">
        <v>29.3</v>
      </c>
      <c r="F2224" s="171">
        <v>27.79</v>
      </c>
      <c r="G2224" s="171">
        <v>26.52</v>
      </c>
      <c r="H2224" s="171">
        <v>25.19</v>
      </c>
      <c r="I2224" s="171">
        <v>24.71</v>
      </c>
      <c r="J2224" s="171">
        <v>26.09</v>
      </c>
      <c r="K2224" s="171">
        <v>33.18</v>
      </c>
      <c r="L2224" s="171">
        <v>41.160000000000004</v>
      </c>
      <c r="M2224" s="171">
        <v>44.31</v>
      </c>
      <c r="N2224" s="171">
        <v>40.36</v>
      </c>
      <c r="O2224" s="171">
        <v>37.6</v>
      </c>
      <c r="P2224" s="171">
        <v>41.21</v>
      </c>
      <c r="Q2224" s="171">
        <v>34.1</v>
      </c>
      <c r="R2224" s="171">
        <v>46.28</v>
      </c>
      <c r="S2224" s="171">
        <v>43.76</v>
      </c>
      <c r="T2224" s="171">
        <v>47.44</v>
      </c>
      <c r="U2224" s="171">
        <v>48.370000000000005</v>
      </c>
      <c r="V2224" s="171">
        <v>56.53</v>
      </c>
      <c r="W2224" s="171">
        <v>45.06</v>
      </c>
      <c r="X2224" s="171">
        <v>43.62</v>
      </c>
      <c r="Y2224" s="171">
        <v>38.21</v>
      </c>
      <c r="Z2224" s="171">
        <v>34.94</v>
      </c>
      <c r="AA2224" s="171">
        <v>34.369999999999997</v>
      </c>
      <c r="AB2224" s="171">
        <v>32.65</v>
      </c>
      <c r="AC2224" s="171">
        <v>31.18</v>
      </c>
      <c r="AD2224" s="171">
        <v>44.050000000000004</v>
      </c>
      <c r="AF2224" s="171">
        <f t="shared" si="104"/>
        <v>2015</v>
      </c>
      <c r="AG2224" s="171">
        <f t="shared" si="105"/>
        <v>16</v>
      </c>
      <c r="AH2224" s="700">
        <f>SUMIF(D$3:$AA2224,"&lt;="&amp;$AH$1)/COUNTIF(D$3:$AA2224,"&lt;="&amp;$AH$1)</f>
        <v>31.681013860089166</v>
      </c>
    </row>
    <row r="2225" spans="2:34" x14ac:dyDescent="0.25">
      <c r="B2225" s="910">
        <v>42341</v>
      </c>
      <c r="C2225" s="581">
        <f t="shared" si="106"/>
        <v>12</v>
      </c>
      <c r="D2225" s="171">
        <v>41.06</v>
      </c>
      <c r="E2225" s="171">
        <v>31.990000000000002</v>
      </c>
      <c r="F2225" s="171">
        <v>30.5</v>
      </c>
      <c r="G2225" s="171">
        <v>32.4</v>
      </c>
      <c r="H2225" s="171">
        <v>29.080000000000002</v>
      </c>
      <c r="I2225" s="171">
        <v>29.94</v>
      </c>
      <c r="J2225" s="171">
        <v>30.82</v>
      </c>
      <c r="K2225" s="171">
        <v>42.93</v>
      </c>
      <c r="L2225" s="171">
        <v>49</v>
      </c>
      <c r="M2225" s="171">
        <v>49.99</v>
      </c>
      <c r="N2225" s="171">
        <v>47.44</v>
      </c>
      <c r="O2225" s="171">
        <v>43.96</v>
      </c>
      <c r="P2225" s="171">
        <v>49.94</v>
      </c>
      <c r="Q2225" s="171">
        <v>50</v>
      </c>
      <c r="R2225" s="171">
        <v>48.54</v>
      </c>
      <c r="S2225" s="171">
        <v>47.2</v>
      </c>
      <c r="T2225" s="171">
        <v>46.93</v>
      </c>
      <c r="U2225" s="171">
        <v>50.120000000000005</v>
      </c>
      <c r="V2225" s="171">
        <v>57.980000000000004</v>
      </c>
      <c r="W2225" s="171">
        <v>33.94</v>
      </c>
      <c r="X2225" s="171">
        <v>34.96</v>
      </c>
      <c r="Y2225" s="171">
        <v>37.44</v>
      </c>
      <c r="Z2225" s="171">
        <v>37.79</v>
      </c>
      <c r="AA2225" s="171">
        <v>39.770000000000003</v>
      </c>
      <c r="AB2225" s="171">
        <v>32.72</v>
      </c>
      <c r="AC2225" s="171">
        <v>35.369999999999997</v>
      </c>
      <c r="AD2225" s="171">
        <v>46.75</v>
      </c>
      <c r="AF2225" s="171">
        <f t="shared" si="104"/>
        <v>2015</v>
      </c>
      <c r="AG2225" s="171">
        <f t="shared" si="105"/>
        <v>12</v>
      </c>
      <c r="AH2225" s="700">
        <f>SUMIF(D$3:$AA2225,"&lt;="&amp;$AH$1)/COUNTIF(D$3:$AA2225,"&lt;="&amp;$AH$1)</f>
        <v>31.682623514014281</v>
      </c>
    </row>
    <row r="2226" spans="2:34" x14ac:dyDescent="0.25">
      <c r="B2226" s="910">
        <v>42342</v>
      </c>
      <c r="C2226" s="581">
        <f t="shared" si="106"/>
        <v>12</v>
      </c>
      <c r="D2226" s="171">
        <v>38.75</v>
      </c>
      <c r="E2226" s="171">
        <v>28.6</v>
      </c>
      <c r="F2226" s="171">
        <v>28.28</v>
      </c>
      <c r="G2226" s="171">
        <v>29.94</v>
      </c>
      <c r="H2226" s="171">
        <v>25.38</v>
      </c>
      <c r="I2226" s="171">
        <v>17.760000000000002</v>
      </c>
      <c r="J2226" s="171">
        <v>24.48</v>
      </c>
      <c r="K2226" s="171">
        <v>30.990000000000002</v>
      </c>
      <c r="L2226" s="171">
        <v>47</v>
      </c>
      <c r="M2226" s="171">
        <v>50</v>
      </c>
      <c r="N2226" s="171">
        <v>56.39</v>
      </c>
      <c r="O2226" s="171">
        <v>56.54</v>
      </c>
      <c r="P2226" s="171">
        <v>51.86</v>
      </c>
      <c r="Q2226" s="171">
        <v>43.97</v>
      </c>
      <c r="R2226" s="171">
        <v>43.87</v>
      </c>
      <c r="S2226" s="171">
        <v>37.6</v>
      </c>
      <c r="T2226" s="171">
        <v>38</v>
      </c>
      <c r="U2226" s="171">
        <v>42.82</v>
      </c>
      <c r="V2226" s="171">
        <v>49.09</v>
      </c>
      <c r="W2226" s="171">
        <v>45</v>
      </c>
      <c r="X2226" s="171">
        <v>41.2</v>
      </c>
      <c r="Y2226" s="171">
        <v>38</v>
      </c>
      <c r="Z2226" s="171">
        <v>37.44</v>
      </c>
      <c r="AA2226" s="171">
        <v>30.75</v>
      </c>
      <c r="AB2226" s="171">
        <v>34.94</v>
      </c>
      <c r="AC2226" s="171">
        <v>31.13</v>
      </c>
      <c r="AD2226" s="171">
        <v>46.36</v>
      </c>
      <c r="AF2226" s="171">
        <f t="shared" si="104"/>
        <v>2015</v>
      </c>
      <c r="AG2226" s="171">
        <f t="shared" si="105"/>
        <v>14</v>
      </c>
      <c r="AH2226" s="700">
        <f>SUMIF(D$3:$AA2226,"&lt;="&amp;$AH$1)/COUNTIF(D$3:$AA2226,"&lt;="&amp;$AH$1)</f>
        <v>31.682820401045866</v>
      </c>
    </row>
    <row r="2227" spans="2:34" x14ac:dyDescent="0.25">
      <c r="B2227" s="910">
        <v>42345</v>
      </c>
      <c r="C2227" s="581">
        <f t="shared" si="106"/>
        <v>12</v>
      </c>
      <c r="D2227" s="171">
        <v>40.880000000000003</v>
      </c>
      <c r="E2227" s="171">
        <v>26.21</v>
      </c>
      <c r="F2227" s="171">
        <v>28.5</v>
      </c>
      <c r="G2227" s="171">
        <v>23.080000000000002</v>
      </c>
      <c r="H2227" s="171">
        <v>23.92</v>
      </c>
      <c r="I2227" s="171">
        <v>23.990000000000002</v>
      </c>
      <c r="J2227" s="171">
        <v>27.060000000000002</v>
      </c>
      <c r="K2227" s="171">
        <v>40.5</v>
      </c>
      <c r="L2227" s="171">
        <v>48.18</v>
      </c>
      <c r="M2227" s="171">
        <v>49.9</v>
      </c>
      <c r="N2227" s="171">
        <v>50.86</v>
      </c>
      <c r="O2227" s="171">
        <v>47.92</v>
      </c>
      <c r="P2227" s="171">
        <v>47.910000000000004</v>
      </c>
      <c r="Q2227" s="171">
        <v>46.92</v>
      </c>
      <c r="R2227" s="171">
        <v>45.99</v>
      </c>
      <c r="S2227" s="171">
        <v>45.38</v>
      </c>
      <c r="T2227" s="171">
        <v>48.45</v>
      </c>
      <c r="U2227" s="171">
        <v>53.27</v>
      </c>
      <c r="V2227" s="171">
        <v>52.85</v>
      </c>
      <c r="W2227" s="171">
        <v>51.27</v>
      </c>
      <c r="X2227" s="171">
        <v>51.61</v>
      </c>
      <c r="Y2227" s="171">
        <v>43.08</v>
      </c>
      <c r="Z2227" s="171">
        <v>35.79</v>
      </c>
      <c r="AA2227" s="171">
        <v>36.51</v>
      </c>
      <c r="AB2227" s="171">
        <v>32.06</v>
      </c>
      <c r="AC2227" s="171">
        <v>32.410000000000004</v>
      </c>
      <c r="AD2227" s="171">
        <v>49.36</v>
      </c>
      <c r="AF2227" s="171">
        <f t="shared" si="104"/>
        <v>2015</v>
      </c>
      <c r="AG2227" s="171">
        <f t="shared" si="105"/>
        <v>10</v>
      </c>
      <c r="AH2227" s="700">
        <f>SUMIF(D$3:$AA2227,"&lt;="&amp;$AH$1)/COUNTIF(D$3:$AA2227,"&lt;="&amp;$AH$1)</f>
        <v>31.682254656355177</v>
      </c>
    </row>
    <row r="2228" spans="2:34" x14ac:dyDescent="0.25">
      <c r="B2228" s="910">
        <v>42346</v>
      </c>
      <c r="C2228" s="581">
        <f t="shared" si="106"/>
        <v>12</v>
      </c>
      <c r="D2228" s="171">
        <v>35.6</v>
      </c>
      <c r="E2228" s="171">
        <v>26.89</v>
      </c>
      <c r="F2228" s="171">
        <v>28.05</v>
      </c>
      <c r="G2228" s="171">
        <v>26.86</v>
      </c>
      <c r="H2228" s="171">
        <v>24.62</v>
      </c>
      <c r="I2228" s="171">
        <v>24.62</v>
      </c>
      <c r="J2228" s="171">
        <v>26.79</v>
      </c>
      <c r="K2228" s="171">
        <v>30.740000000000002</v>
      </c>
      <c r="L2228" s="171">
        <v>45.5</v>
      </c>
      <c r="M2228" s="171">
        <v>47.52</v>
      </c>
      <c r="N2228" s="171">
        <v>43.75</v>
      </c>
      <c r="O2228" s="171">
        <v>38.35</v>
      </c>
      <c r="P2228" s="171">
        <v>34.94</v>
      </c>
      <c r="Q2228" s="171">
        <v>34</v>
      </c>
      <c r="R2228" s="171">
        <v>34.1</v>
      </c>
      <c r="S2228" s="171">
        <v>39.07</v>
      </c>
      <c r="T2228" s="171">
        <v>41.9</v>
      </c>
      <c r="U2228" s="171">
        <v>43.78</v>
      </c>
      <c r="V2228" s="171">
        <v>52.67</v>
      </c>
      <c r="W2228" s="171">
        <v>42.44</v>
      </c>
      <c r="X2228" s="171">
        <v>37.770000000000003</v>
      </c>
      <c r="Y2228" s="171">
        <v>38</v>
      </c>
      <c r="Z2228" s="171">
        <v>32.450000000000003</v>
      </c>
      <c r="AA2228" s="171">
        <v>32.270000000000003</v>
      </c>
      <c r="AB2228" s="171">
        <v>27.330000000000002</v>
      </c>
      <c r="AC2228" s="171">
        <v>30.34</v>
      </c>
      <c r="AD2228" s="171">
        <v>40.86</v>
      </c>
      <c r="AF2228" s="171">
        <f t="shared" si="104"/>
        <v>2015</v>
      </c>
      <c r="AG2228" s="171">
        <f t="shared" si="105"/>
        <v>19</v>
      </c>
      <c r="AH2228" s="700">
        <f>SUMIF(D$3:$AA2228,"&lt;="&amp;$AH$1)/COUNTIF(D$3:$AA2228,"&lt;="&amp;$AH$1)</f>
        <v>31.683750612044697</v>
      </c>
    </row>
    <row r="2229" spans="2:34" x14ac:dyDescent="0.25">
      <c r="B2229" s="910">
        <v>42347</v>
      </c>
      <c r="C2229" s="581">
        <f t="shared" si="106"/>
        <v>12</v>
      </c>
      <c r="D2229" s="171">
        <v>35.61</v>
      </c>
      <c r="E2229" s="171">
        <v>25.57</v>
      </c>
      <c r="F2229" s="171">
        <v>25.94</v>
      </c>
      <c r="G2229" s="171">
        <v>25.44</v>
      </c>
      <c r="H2229" s="171">
        <v>26.16</v>
      </c>
      <c r="I2229" s="171">
        <v>27.650000000000002</v>
      </c>
      <c r="J2229" s="171">
        <v>27.5</v>
      </c>
      <c r="K2229" s="171">
        <v>32.44</v>
      </c>
      <c r="L2229" s="171">
        <v>40.9</v>
      </c>
      <c r="M2229" s="171">
        <v>44.18</v>
      </c>
      <c r="N2229" s="171">
        <v>44.94</v>
      </c>
      <c r="O2229" s="171">
        <v>41.32</v>
      </c>
      <c r="P2229" s="171">
        <v>39.71</v>
      </c>
      <c r="Q2229" s="171">
        <v>34.94</v>
      </c>
      <c r="R2229" s="171">
        <v>33.93</v>
      </c>
      <c r="S2229" s="171">
        <v>35.65</v>
      </c>
      <c r="T2229" s="171">
        <v>44.06</v>
      </c>
      <c r="U2229" s="171">
        <v>47.19</v>
      </c>
      <c r="V2229" s="171">
        <v>48.81</v>
      </c>
      <c r="W2229" s="171">
        <v>43.4</v>
      </c>
      <c r="X2229" s="171">
        <v>39.28</v>
      </c>
      <c r="Y2229" s="171">
        <v>37.93</v>
      </c>
      <c r="Z2229" s="171">
        <v>32</v>
      </c>
      <c r="AA2229" s="171">
        <v>29.02</v>
      </c>
      <c r="AB2229" s="171">
        <v>26.61</v>
      </c>
      <c r="AC2229" s="171">
        <v>29.76</v>
      </c>
      <c r="AD2229" s="171">
        <v>41.45</v>
      </c>
      <c r="AF2229" s="171">
        <f t="shared" si="104"/>
        <v>2015</v>
      </c>
      <c r="AG2229" s="171">
        <f t="shared" si="105"/>
        <v>18</v>
      </c>
      <c r="AH2229" s="700">
        <f>SUMIF(D$3:$AA2229,"&lt;="&amp;$AH$1)/COUNTIF(D$3:$AA2229,"&lt;="&amp;$AH$1)</f>
        <v>31.684874721451898</v>
      </c>
    </row>
    <row r="2230" spans="2:34" x14ac:dyDescent="0.25">
      <c r="B2230" s="910">
        <v>42348</v>
      </c>
      <c r="C2230" s="581">
        <f t="shared" si="106"/>
        <v>12</v>
      </c>
      <c r="D2230" s="171">
        <v>32.11</v>
      </c>
      <c r="E2230" s="171">
        <v>23.06</v>
      </c>
      <c r="F2230" s="171">
        <v>18.82</v>
      </c>
      <c r="G2230" s="171">
        <v>17.510000000000002</v>
      </c>
      <c r="H2230" s="171">
        <v>17.02</v>
      </c>
      <c r="I2230" s="171">
        <v>18.25</v>
      </c>
      <c r="J2230" s="171">
        <v>21.63</v>
      </c>
      <c r="K2230" s="171">
        <v>30.39</v>
      </c>
      <c r="L2230" s="171">
        <v>40</v>
      </c>
      <c r="M2230" s="171">
        <v>42.44</v>
      </c>
      <c r="N2230" s="171">
        <v>34.94</v>
      </c>
      <c r="O2230" s="171">
        <v>35</v>
      </c>
      <c r="P2230" s="171">
        <v>34</v>
      </c>
      <c r="Q2230" s="171">
        <v>31.39</v>
      </c>
      <c r="R2230" s="171">
        <v>32.44</v>
      </c>
      <c r="S2230" s="171">
        <v>34.94</v>
      </c>
      <c r="T2230" s="171">
        <v>37</v>
      </c>
      <c r="U2230" s="171">
        <v>44.94</v>
      </c>
      <c r="V2230" s="171">
        <v>58.57</v>
      </c>
      <c r="W2230" s="171">
        <v>42.26</v>
      </c>
      <c r="X2230" s="171">
        <v>35</v>
      </c>
      <c r="Y2230" s="171">
        <v>33</v>
      </c>
      <c r="Z2230" s="171">
        <v>34.94</v>
      </c>
      <c r="AA2230" s="171">
        <v>30.240000000000002</v>
      </c>
      <c r="AB2230" s="171">
        <v>22.96</v>
      </c>
      <c r="AC2230" s="171">
        <v>25.650000000000002</v>
      </c>
      <c r="AD2230" s="171">
        <v>38.58</v>
      </c>
      <c r="AF2230" s="171">
        <f t="shared" si="104"/>
        <v>2015</v>
      </c>
      <c r="AG2230" s="171">
        <f t="shared" si="105"/>
        <v>22</v>
      </c>
      <c r="AH2230" s="700">
        <f>SUMIF(D$3:$AA2230,"&lt;="&amp;$AH$1)/COUNTIF(D$3:$AA2230,"&lt;="&amp;$AH$1)</f>
        <v>31.683751696433053</v>
      </c>
    </row>
    <row r="2231" spans="2:34" x14ac:dyDescent="0.25">
      <c r="B2231" s="910">
        <v>42349</v>
      </c>
      <c r="C2231" s="581">
        <f t="shared" si="106"/>
        <v>12</v>
      </c>
      <c r="D2231" s="171">
        <v>33.119999999999997</v>
      </c>
      <c r="E2231" s="171">
        <v>22.37</v>
      </c>
      <c r="F2231" s="171">
        <v>19.940000000000001</v>
      </c>
      <c r="G2231" s="171">
        <v>17.38</v>
      </c>
      <c r="H2231" s="171">
        <v>16.7</v>
      </c>
      <c r="I2231" s="171">
        <v>19.740000000000002</v>
      </c>
      <c r="J2231" s="171">
        <v>22.3</v>
      </c>
      <c r="K2231" s="171">
        <v>29.98</v>
      </c>
      <c r="L2231" s="171">
        <v>37.770000000000003</v>
      </c>
      <c r="M2231" s="171">
        <v>39.31</v>
      </c>
      <c r="N2231" s="171">
        <v>42.44</v>
      </c>
      <c r="O2231" s="171">
        <v>44.94</v>
      </c>
      <c r="P2231" s="171">
        <v>43.5</v>
      </c>
      <c r="Q2231" s="171">
        <v>40</v>
      </c>
      <c r="R2231" s="171">
        <v>37.44</v>
      </c>
      <c r="S2231" s="171">
        <v>37.89</v>
      </c>
      <c r="T2231" s="171">
        <v>35</v>
      </c>
      <c r="U2231" s="171">
        <v>37.44</v>
      </c>
      <c r="V2231" s="171">
        <v>59.94</v>
      </c>
      <c r="W2231" s="171">
        <v>37</v>
      </c>
      <c r="X2231" s="171">
        <v>31.42</v>
      </c>
      <c r="Y2231" s="171">
        <v>35.119999999999997</v>
      </c>
      <c r="Z2231" s="171">
        <v>31.07</v>
      </c>
      <c r="AA2231" s="171">
        <v>30</v>
      </c>
      <c r="AB2231" s="171">
        <v>26.1</v>
      </c>
      <c r="AC2231" s="171">
        <v>25.71</v>
      </c>
      <c r="AD2231" s="171">
        <v>40.53</v>
      </c>
      <c r="AF2231" s="171">
        <f t="shared" si="104"/>
        <v>2015</v>
      </c>
      <c r="AG2231" s="171">
        <f t="shared" si="105"/>
        <v>21</v>
      </c>
      <c r="AH2231" s="700">
        <f>SUMIF(D$3:$AA2231,"&lt;="&amp;$AH$1)/COUNTIF(D$3:$AA2231,"&lt;="&amp;$AH$1)</f>
        <v>31.683104869319656</v>
      </c>
    </row>
    <row r="2232" spans="2:34" x14ac:dyDescent="0.25">
      <c r="B2232" s="910">
        <v>42352</v>
      </c>
      <c r="C2232" s="581">
        <f t="shared" si="106"/>
        <v>12</v>
      </c>
      <c r="D2232" s="171">
        <v>42.1</v>
      </c>
      <c r="E2232" s="171">
        <v>32.44</v>
      </c>
      <c r="F2232" s="171">
        <v>31.490000000000002</v>
      </c>
      <c r="G2232" s="171">
        <v>29.5</v>
      </c>
      <c r="H2232" s="171">
        <v>27.84</v>
      </c>
      <c r="I2232" s="171">
        <v>27.45</v>
      </c>
      <c r="J2232" s="171">
        <v>29.650000000000002</v>
      </c>
      <c r="K2232" s="171">
        <v>41.26</v>
      </c>
      <c r="L2232" s="171">
        <v>53.46</v>
      </c>
      <c r="M2232" s="171">
        <v>56.7</v>
      </c>
      <c r="N2232" s="171">
        <v>51.39</v>
      </c>
      <c r="O2232" s="171">
        <v>47.800000000000004</v>
      </c>
      <c r="P2232" s="171">
        <v>45.54</v>
      </c>
      <c r="Q2232" s="171">
        <v>42.89</v>
      </c>
      <c r="R2232" s="171">
        <v>46.77</v>
      </c>
      <c r="S2232" s="171">
        <v>47.02</v>
      </c>
      <c r="T2232" s="171">
        <v>50.04</v>
      </c>
      <c r="U2232" s="171">
        <v>50.97</v>
      </c>
      <c r="V2232" s="171">
        <v>63.27</v>
      </c>
      <c r="W2232" s="171">
        <v>52.31</v>
      </c>
      <c r="X2232" s="171">
        <v>46.94</v>
      </c>
      <c r="Y2232" s="171">
        <v>40.08</v>
      </c>
      <c r="Z2232" s="171">
        <v>33.410000000000004</v>
      </c>
      <c r="AA2232" s="171">
        <v>33.380000000000003</v>
      </c>
      <c r="AB2232" s="171">
        <v>28.78</v>
      </c>
      <c r="AC2232" s="171">
        <v>34.06</v>
      </c>
      <c r="AD2232" s="171">
        <v>50.14</v>
      </c>
      <c r="AF2232" s="171">
        <f t="shared" si="104"/>
        <v>2015</v>
      </c>
      <c r="AG2232" s="171">
        <f t="shared" si="105"/>
        <v>11</v>
      </c>
      <c r="AH2232" s="700">
        <f>SUMIF(D$3:$AA2232,"&lt;="&amp;$AH$1)/COUNTIF(D$3:$AA2232,"&lt;="&amp;$AH$1)</f>
        <v>31.684193356093477</v>
      </c>
    </row>
    <row r="2233" spans="2:34" x14ac:dyDescent="0.25">
      <c r="B2233" s="910">
        <v>42353</v>
      </c>
      <c r="C2233" s="581">
        <f t="shared" si="106"/>
        <v>12</v>
      </c>
      <c r="D2233" s="171">
        <v>42.61</v>
      </c>
      <c r="E2233" s="171">
        <v>27.64</v>
      </c>
      <c r="F2233" s="171">
        <v>27.990000000000002</v>
      </c>
      <c r="G2233" s="171">
        <v>27.400000000000002</v>
      </c>
      <c r="H2233" s="171">
        <v>27.86</v>
      </c>
      <c r="I2233" s="171">
        <v>29.11</v>
      </c>
      <c r="J2233" s="171">
        <v>29.84</v>
      </c>
      <c r="K2233" s="171">
        <v>35.33</v>
      </c>
      <c r="L2233" s="171">
        <v>49.99</v>
      </c>
      <c r="M2233" s="171">
        <v>55.03</v>
      </c>
      <c r="N2233" s="171">
        <v>54.97</v>
      </c>
      <c r="O2233" s="171">
        <v>53.58</v>
      </c>
      <c r="P2233" s="171">
        <v>52.81</v>
      </c>
      <c r="Q2233" s="171">
        <v>51.96</v>
      </c>
      <c r="R2233" s="171">
        <v>51.71</v>
      </c>
      <c r="S2233" s="171">
        <v>49.6</v>
      </c>
      <c r="T2233" s="171">
        <v>50.04</v>
      </c>
      <c r="U2233" s="171">
        <v>50.96</v>
      </c>
      <c r="V2233" s="171">
        <v>55.25</v>
      </c>
      <c r="W2233" s="171">
        <v>53.43</v>
      </c>
      <c r="X2233" s="171">
        <v>46.45</v>
      </c>
      <c r="Y2233" s="171">
        <v>41.47</v>
      </c>
      <c r="Z2233" s="171">
        <v>34.51</v>
      </c>
      <c r="AA2233" s="171">
        <v>35.68</v>
      </c>
      <c r="AB2233" s="171">
        <v>30.03</v>
      </c>
      <c r="AC2233" s="171">
        <v>33.07</v>
      </c>
      <c r="AD2233" s="171">
        <v>52.15</v>
      </c>
      <c r="AF2233" s="171">
        <f t="shared" si="104"/>
        <v>2015</v>
      </c>
      <c r="AG2233" s="171">
        <f t="shared" si="105"/>
        <v>10</v>
      </c>
      <c r="AH2233" s="700">
        <f>SUMIF(D$3:$AA2233,"&lt;="&amp;$AH$1)/COUNTIF(D$3:$AA2233,"&lt;="&amp;$AH$1)</f>
        <v>31.684192709743428</v>
      </c>
    </row>
    <row r="2234" spans="2:34" x14ac:dyDescent="0.25">
      <c r="B2234" s="910">
        <v>42354</v>
      </c>
      <c r="C2234" s="581">
        <f t="shared" si="106"/>
        <v>12</v>
      </c>
      <c r="D2234" s="171">
        <v>37.04</v>
      </c>
      <c r="E2234" s="171">
        <v>30.810000000000002</v>
      </c>
      <c r="F2234" s="171">
        <v>29.18</v>
      </c>
      <c r="G2234" s="171">
        <v>28.38</v>
      </c>
      <c r="H2234" s="171">
        <v>27.05</v>
      </c>
      <c r="I2234" s="171">
        <v>27.38</v>
      </c>
      <c r="J2234" s="171">
        <v>28.080000000000002</v>
      </c>
      <c r="K2234" s="171">
        <v>34.1</v>
      </c>
      <c r="L2234" s="171">
        <v>45.64</v>
      </c>
      <c r="M2234" s="171">
        <v>45.44</v>
      </c>
      <c r="N2234" s="171">
        <v>44.39</v>
      </c>
      <c r="O2234" s="171">
        <v>42.44</v>
      </c>
      <c r="P2234" s="171">
        <v>44</v>
      </c>
      <c r="Q2234" s="171">
        <v>42.32</v>
      </c>
      <c r="R2234" s="171">
        <v>43.01</v>
      </c>
      <c r="S2234" s="171">
        <v>40.200000000000003</v>
      </c>
      <c r="T2234" s="171">
        <v>41.37</v>
      </c>
      <c r="U2234" s="171">
        <v>41.67</v>
      </c>
      <c r="V2234" s="171">
        <v>45.47</v>
      </c>
      <c r="W2234" s="171">
        <v>43.230000000000004</v>
      </c>
      <c r="X2234" s="171">
        <v>39.590000000000003</v>
      </c>
      <c r="Y2234" s="171">
        <v>34.590000000000003</v>
      </c>
      <c r="Z2234" s="171">
        <v>31.11</v>
      </c>
      <c r="AA2234" s="171">
        <v>33.44</v>
      </c>
      <c r="AB2234" s="171">
        <v>26</v>
      </c>
      <c r="AC2234" s="171">
        <v>31.310000000000002</v>
      </c>
      <c r="AD2234" s="171">
        <v>42.76</v>
      </c>
      <c r="AF2234" s="171">
        <f t="shared" si="104"/>
        <v>2015</v>
      </c>
      <c r="AG2234" s="171">
        <f t="shared" si="105"/>
        <v>17</v>
      </c>
      <c r="AH2234" s="700">
        <f>SUMIF(D$3:$AA2234,"&lt;="&amp;$AH$1)/COUNTIF(D$3:$AA2234,"&lt;="&amp;$AH$1)</f>
        <v>31.686904761904373</v>
      </c>
    </row>
    <row r="2235" spans="2:34" x14ac:dyDescent="0.25">
      <c r="B2235" s="910">
        <v>42355</v>
      </c>
      <c r="C2235" s="581">
        <f t="shared" si="106"/>
        <v>12</v>
      </c>
      <c r="D2235" s="171">
        <v>32.76</v>
      </c>
      <c r="E2235" s="171">
        <v>23.1</v>
      </c>
      <c r="F2235" s="171">
        <v>22.42</v>
      </c>
      <c r="G2235" s="171">
        <v>21.25</v>
      </c>
      <c r="H2235" s="171">
        <v>19.55</v>
      </c>
      <c r="I2235" s="171">
        <v>20.240000000000002</v>
      </c>
      <c r="J2235" s="171">
        <v>23.45</v>
      </c>
      <c r="K2235" s="171">
        <v>31.21</v>
      </c>
      <c r="L2235" s="171">
        <v>40.04</v>
      </c>
      <c r="M2235" s="171">
        <v>41.4</v>
      </c>
      <c r="N2235" s="171">
        <v>41.38</v>
      </c>
      <c r="O2235" s="171">
        <v>40.020000000000003</v>
      </c>
      <c r="P2235" s="171">
        <v>40.869999999999997</v>
      </c>
      <c r="Q2235" s="171">
        <v>36.21</v>
      </c>
      <c r="R2235" s="171">
        <v>35.340000000000003</v>
      </c>
      <c r="S2235" s="171">
        <v>34.74</v>
      </c>
      <c r="T2235" s="171">
        <v>35.200000000000003</v>
      </c>
      <c r="U2235" s="171">
        <v>39.19</v>
      </c>
      <c r="V2235" s="171">
        <v>41.4</v>
      </c>
      <c r="W2235" s="171">
        <v>40.01</v>
      </c>
      <c r="X2235" s="171">
        <v>38.340000000000003</v>
      </c>
      <c r="Y2235" s="171">
        <v>33.51</v>
      </c>
      <c r="Z2235" s="171">
        <v>32.56</v>
      </c>
      <c r="AA2235" s="171">
        <v>29.94</v>
      </c>
      <c r="AB2235" s="171">
        <v>24.96</v>
      </c>
      <c r="AC2235" s="171">
        <v>26.85</v>
      </c>
      <c r="AD2235" s="171">
        <v>38.67</v>
      </c>
      <c r="AF2235" s="171">
        <f t="shared" si="104"/>
        <v>2015</v>
      </c>
      <c r="AG2235" s="171">
        <f t="shared" si="105"/>
        <v>24</v>
      </c>
      <c r="AH2235" s="700">
        <f>SUMIF(D$3:$AA2235,"&lt;="&amp;$AH$1)/COUNTIF(D$3:$AA2235,"&lt;="&amp;$AH$1)</f>
        <v>31.688722978814994</v>
      </c>
    </row>
    <row r="2236" spans="2:34" x14ac:dyDescent="0.25">
      <c r="B2236" s="910">
        <v>42356</v>
      </c>
      <c r="C2236" s="581">
        <f t="shared" si="106"/>
        <v>12</v>
      </c>
      <c r="D2236" s="171">
        <v>33.5</v>
      </c>
      <c r="E2236" s="171">
        <v>34.82</v>
      </c>
      <c r="F2236" s="171">
        <v>24.060000000000002</v>
      </c>
      <c r="G2236" s="171">
        <v>23.22</v>
      </c>
      <c r="H2236" s="171">
        <v>21.88</v>
      </c>
      <c r="I2236" s="171">
        <v>22.580000000000002</v>
      </c>
      <c r="J2236" s="171">
        <v>25.77</v>
      </c>
      <c r="K2236" s="171">
        <v>30.02</v>
      </c>
      <c r="L2236" s="171">
        <v>36.61</v>
      </c>
      <c r="M2236" s="171">
        <v>37</v>
      </c>
      <c r="N2236" s="171">
        <v>38.22</v>
      </c>
      <c r="O2236" s="171">
        <v>39.410000000000004</v>
      </c>
      <c r="P2236" s="171">
        <v>38.01</v>
      </c>
      <c r="Q2236" s="171">
        <v>37.58</v>
      </c>
      <c r="R2236" s="171">
        <v>35.56</v>
      </c>
      <c r="S2236" s="171">
        <v>34.950000000000003</v>
      </c>
      <c r="T2236" s="171">
        <v>34.64</v>
      </c>
      <c r="U2236" s="171">
        <v>39.03</v>
      </c>
      <c r="V2236" s="171">
        <v>42</v>
      </c>
      <c r="W2236" s="171">
        <v>41.29</v>
      </c>
      <c r="X2236" s="171">
        <v>39.57</v>
      </c>
      <c r="Y2236" s="171">
        <v>34.94</v>
      </c>
      <c r="Z2236" s="171">
        <v>30.32</v>
      </c>
      <c r="AA2236" s="171">
        <v>32.44</v>
      </c>
      <c r="AB2236" s="171">
        <v>29.990000000000002</v>
      </c>
      <c r="AC2236" s="171">
        <v>28.89</v>
      </c>
      <c r="AD2236" s="171">
        <v>38.1</v>
      </c>
      <c r="AF2236" s="171">
        <f t="shared" si="104"/>
        <v>2015</v>
      </c>
      <c r="AG2236" s="171">
        <f t="shared" si="105"/>
        <v>24</v>
      </c>
      <c r="AH2236" s="700">
        <f>SUMIF(D$3:$AA2236,"&lt;="&amp;$AH$1)/COUNTIF(D$3:$AA2236,"&lt;="&amp;$AH$1)</f>
        <v>31.691253778065224</v>
      </c>
    </row>
    <row r="2237" spans="2:34" x14ac:dyDescent="0.25">
      <c r="B2237" s="910">
        <v>42359</v>
      </c>
      <c r="C2237" s="581">
        <f t="shared" si="106"/>
        <v>12</v>
      </c>
      <c r="D2237" s="171">
        <v>33.06</v>
      </c>
      <c r="E2237" s="171">
        <v>30.12</v>
      </c>
      <c r="F2237" s="171">
        <v>27.28</v>
      </c>
      <c r="G2237" s="171">
        <v>28.91</v>
      </c>
      <c r="H2237" s="171">
        <v>13.35</v>
      </c>
      <c r="I2237" s="171">
        <v>13.39</v>
      </c>
      <c r="J2237" s="171">
        <v>17.600000000000001</v>
      </c>
      <c r="K2237" s="171">
        <v>27.400000000000002</v>
      </c>
      <c r="L2237" s="171">
        <v>34.03</v>
      </c>
      <c r="M2237" s="171">
        <v>40.050000000000004</v>
      </c>
      <c r="N2237" s="171">
        <v>40.5</v>
      </c>
      <c r="O2237" s="171">
        <v>37.44</v>
      </c>
      <c r="P2237" s="171">
        <v>35.85</v>
      </c>
      <c r="Q2237" s="171">
        <v>38</v>
      </c>
      <c r="R2237" s="171">
        <v>28.73</v>
      </c>
      <c r="S2237" s="171">
        <v>32.96</v>
      </c>
      <c r="T2237" s="171">
        <v>30.96</v>
      </c>
      <c r="U2237" s="171">
        <v>40.590000000000003</v>
      </c>
      <c r="V2237" s="171">
        <v>48.85</v>
      </c>
      <c r="W2237" s="171">
        <v>47.44</v>
      </c>
      <c r="X2237" s="171">
        <v>45</v>
      </c>
      <c r="Y2237" s="171">
        <v>32.99</v>
      </c>
      <c r="Z2237" s="171">
        <v>32.44</v>
      </c>
      <c r="AA2237" s="171">
        <v>37</v>
      </c>
      <c r="AB2237" s="171">
        <v>32.44</v>
      </c>
      <c r="AC2237" s="171">
        <v>27.25</v>
      </c>
      <c r="AD2237" s="171">
        <v>38.86</v>
      </c>
      <c r="AF2237" s="171">
        <f t="shared" si="104"/>
        <v>2015</v>
      </c>
      <c r="AG2237" s="171">
        <f t="shared" si="105"/>
        <v>21</v>
      </c>
      <c r="AH2237" s="700">
        <f>SUMIF(D$3:$AA2237,"&lt;="&amp;$AH$1)/COUNTIF(D$3:$AA2237,"&lt;="&amp;$AH$1)</f>
        <v>31.690560138012419</v>
      </c>
    </row>
    <row r="2238" spans="2:34" x14ac:dyDescent="0.25">
      <c r="B2238" s="910">
        <v>42360</v>
      </c>
      <c r="C2238" s="581">
        <f t="shared" si="106"/>
        <v>12</v>
      </c>
      <c r="D2238" s="171">
        <v>29.8</v>
      </c>
      <c r="E2238" s="171">
        <v>26.85</v>
      </c>
      <c r="F2238" s="171">
        <v>23.71</v>
      </c>
      <c r="G2238" s="171">
        <v>29.61</v>
      </c>
      <c r="H2238" s="171">
        <v>19.22</v>
      </c>
      <c r="I2238" s="171">
        <v>8.1</v>
      </c>
      <c r="J2238" s="171">
        <v>12.530000000000001</v>
      </c>
      <c r="K2238" s="171">
        <v>22.330000000000002</v>
      </c>
      <c r="L2238" s="171">
        <v>34.950000000000003</v>
      </c>
      <c r="M2238" s="171">
        <v>33.82</v>
      </c>
      <c r="N2238" s="171">
        <v>31.990000000000002</v>
      </c>
      <c r="O2238" s="171">
        <v>28.990000000000002</v>
      </c>
      <c r="P2238" s="171">
        <v>34.94</v>
      </c>
      <c r="Q2238" s="171">
        <v>37.44</v>
      </c>
      <c r="R2238" s="171">
        <v>36.08</v>
      </c>
      <c r="S2238" s="171">
        <v>37.050000000000004</v>
      </c>
      <c r="T2238" s="171">
        <v>33.4</v>
      </c>
      <c r="U2238" s="171">
        <v>34.980000000000004</v>
      </c>
      <c r="V2238" s="171">
        <v>41.38</v>
      </c>
      <c r="W2238" s="171">
        <v>40</v>
      </c>
      <c r="X2238" s="171">
        <v>33</v>
      </c>
      <c r="Y2238" s="171">
        <v>26.5</v>
      </c>
      <c r="Z2238" s="171">
        <v>32.44</v>
      </c>
      <c r="AA2238" s="171">
        <v>27.63</v>
      </c>
      <c r="AB2238" s="171">
        <v>28.32</v>
      </c>
      <c r="AC2238" s="171">
        <v>24.35</v>
      </c>
      <c r="AD2238" s="171">
        <v>35.26</v>
      </c>
      <c r="AF2238" s="171">
        <f t="shared" si="104"/>
        <v>2015</v>
      </c>
      <c r="AG2238" s="171">
        <f t="shared" si="105"/>
        <v>24</v>
      </c>
      <c r="AH2238" s="700">
        <f>SUMIF(D$3:$AA2238,"&lt;="&amp;$AH$1)/COUNTIF(D$3:$AA2238,"&lt;="&amp;$AH$1)</f>
        <v>31.688200075377807</v>
      </c>
    </row>
    <row r="2239" spans="2:34" x14ac:dyDescent="0.25">
      <c r="B2239" s="910">
        <v>42361</v>
      </c>
      <c r="C2239" s="581">
        <f t="shared" si="106"/>
        <v>12</v>
      </c>
      <c r="D2239" s="171">
        <v>28.400000000000002</v>
      </c>
      <c r="E2239" s="171">
        <v>10.26</v>
      </c>
      <c r="F2239" s="171">
        <v>8.19</v>
      </c>
      <c r="G2239" s="171">
        <v>3.43</v>
      </c>
      <c r="H2239" s="171">
        <v>4.63</v>
      </c>
      <c r="I2239" s="171">
        <v>6.6000000000000005</v>
      </c>
      <c r="J2239" s="171">
        <v>14.05</v>
      </c>
      <c r="K2239" s="171">
        <v>28.2</v>
      </c>
      <c r="L2239" s="171">
        <v>32</v>
      </c>
      <c r="M2239" s="171">
        <v>35</v>
      </c>
      <c r="N2239" s="171">
        <v>33</v>
      </c>
      <c r="O2239" s="171">
        <v>31</v>
      </c>
      <c r="P2239" s="171">
        <v>32</v>
      </c>
      <c r="Q2239" s="171">
        <v>32.44</v>
      </c>
      <c r="R2239" s="171">
        <v>32</v>
      </c>
      <c r="S2239" s="171">
        <v>33</v>
      </c>
      <c r="T2239" s="171">
        <v>37.44</v>
      </c>
      <c r="U2239" s="171">
        <v>41.74</v>
      </c>
      <c r="V2239" s="171">
        <v>45</v>
      </c>
      <c r="W2239" s="171">
        <v>54.94</v>
      </c>
      <c r="X2239" s="171">
        <v>40.51</v>
      </c>
      <c r="Y2239" s="171">
        <v>31.73</v>
      </c>
      <c r="Z2239" s="171">
        <v>33.97</v>
      </c>
      <c r="AA2239" s="171">
        <v>30.54</v>
      </c>
      <c r="AB2239" s="171">
        <v>29.96</v>
      </c>
      <c r="AC2239" s="171">
        <v>19.46</v>
      </c>
      <c r="AD2239" s="171">
        <v>37.340000000000003</v>
      </c>
      <c r="AF2239" s="171">
        <f t="shared" si="104"/>
        <v>2015</v>
      </c>
      <c r="AG2239" s="171">
        <f t="shared" si="105"/>
        <v>22</v>
      </c>
      <c r="AH2239" s="700">
        <f>SUMIF(D$3:$AA2239,"&lt;="&amp;$AH$1)/COUNTIF(D$3:$AA2239,"&lt;="&amp;$AH$1)</f>
        <v>31.681907502016237</v>
      </c>
    </row>
    <row r="2240" spans="2:34" x14ac:dyDescent="0.25">
      <c r="B2240" s="910">
        <v>42362</v>
      </c>
      <c r="C2240" s="581">
        <f t="shared" si="106"/>
        <v>12</v>
      </c>
      <c r="D2240" s="171">
        <v>29</v>
      </c>
      <c r="E2240" s="171">
        <v>25.94</v>
      </c>
      <c r="F2240" s="171">
        <v>20.2</v>
      </c>
      <c r="G2240" s="171">
        <v>17.27</v>
      </c>
      <c r="H2240" s="171">
        <v>15.280000000000001</v>
      </c>
      <c r="I2240" s="171">
        <v>10.52</v>
      </c>
      <c r="J2240" s="171">
        <v>10.5</v>
      </c>
      <c r="K2240" s="171">
        <v>14.530000000000001</v>
      </c>
      <c r="L2240" s="171">
        <v>30.32</v>
      </c>
      <c r="M2240" s="171">
        <v>36.950000000000003</v>
      </c>
      <c r="N2240" s="171">
        <v>39.6</v>
      </c>
      <c r="O2240" s="171">
        <v>39.5</v>
      </c>
      <c r="P2240" s="171">
        <v>32.72</v>
      </c>
      <c r="Q2240" s="171">
        <v>31</v>
      </c>
      <c r="R2240" s="171">
        <v>32.44</v>
      </c>
      <c r="S2240" s="171">
        <v>36.020000000000003</v>
      </c>
      <c r="T2240" s="171">
        <v>34.94</v>
      </c>
      <c r="U2240" s="171">
        <v>32</v>
      </c>
      <c r="V2240" s="171">
        <v>30.3</v>
      </c>
      <c r="W2240" s="171">
        <v>35.44</v>
      </c>
      <c r="X2240" s="171">
        <v>38.67</v>
      </c>
      <c r="Y2240" s="171">
        <v>35</v>
      </c>
      <c r="Z2240" s="171">
        <v>33.1</v>
      </c>
      <c r="AA2240" s="171">
        <v>30.89</v>
      </c>
      <c r="AB2240" s="171">
        <v>32.76</v>
      </c>
      <c r="AC2240" s="171">
        <v>23.03</v>
      </c>
      <c r="AD2240" s="171">
        <v>34.97</v>
      </c>
      <c r="AF2240" s="171">
        <f t="shared" si="104"/>
        <v>2015</v>
      </c>
      <c r="AG2240" s="171">
        <f t="shared" si="105"/>
        <v>24</v>
      </c>
      <c r="AH2240" s="700">
        <f>SUMIF(D$3:$AA2240,"&lt;="&amp;$AH$1)/COUNTIF(D$3:$AA2240,"&lt;="&amp;$AH$1)</f>
        <v>31.678242655351614</v>
      </c>
    </row>
    <row r="2241" spans="2:34" x14ac:dyDescent="0.25">
      <c r="B2241" s="910">
        <v>42363</v>
      </c>
      <c r="C2241" s="581">
        <f t="shared" si="106"/>
        <v>12</v>
      </c>
      <c r="D2241" s="171">
        <v>27.22</v>
      </c>
      <c r="E2241" s="171">
        <v>40</v>
      </c>
      <c r="F2241" s="171">
        <v>28.2</v>
      </c>
      <c r="G2241" s="171">
        <v>21.94</v>
      </c>
      <c r="H2241" s="171">
        <v>14.07</v>
      </c>
      <c r="I2241" s="171">
        <v>6.6000000000000005</v>
      </c>
      <c r="J2241" s="171">
        <v>12.33</v>
      </c>
      <c r="K2241" s="171">
        <v>15.94</v>
      </c>
      <c r="L2241" s="171">
        <v>33.980000000000004</v>
      </c>
      <c r="M2241" s="171">
        <v>21.02</v>
      </c>
      <c r="N2241" s="171">
        <v>36.39</v>
      </c>
      <c r="O2241" s="171">
        <v>35.700000000000003</v>
      </c>
      <c r="P2241" s="171">
        <v>34.94</v>
      </c>
      <c r="Q2241" s="171">
        <v>36.950000000000003</v>
      </c>
      <c r="R2241" s="171">
        <v>32.96</v>
      </c>
      <c r="S2241" s="171">
        <v>29.64</v>
      </c>
      <c r="T2241" s="171">
        <v>28.5</v>
      </c>
      <c r="U2241" s="171">
        <v>24.990000000000002</v>
      </c>
      <c r="V2241" s="171">
        <v>32</v>
      </c>
      <c r="W2241" s="171">
        <v>34.94</v>
      </c>
      <c r="X2241" s="171">
        <v>29.96</v>
      </c>
      <c r="Y2241" s="171">
        <v>27.6</v>
      </c>
      <c r="Z2241" s="171">
        <v>24.92</v>
      </c>
      <c r="AA2241" s="171">
        <v>26</v>
      </c>
      <c r="AB2241" s="171">
        <v>23.73</v>
      </c>
      <c r="AC2241" s="171">
        <v>22.94</v>
      </c>
      <c r="AD2241" s="171">
        <v>31.5</v>
      </c>
      <c r="AF2241" s="171">
        <f t="shared" si="104"/>
        <v>2015</v>
      </c>
      <c r="AG2241" s="171">
        <f t="shared" si="105"/>
        <v>24</v>
      </c>
      <c r="AH2241" s="700">
        <f>SUMIF(D$3:$AA2241,"&lt;="&amp;$AH$1)/COUNTIF(D$3:$AA2241,"&lt;="&amp;$AH$1)</f>
        <v>31.672691626883609</v>
      </c>
    </row>
    <row r="2242" spans="2:34" x14ac:dyDescent="0.25">
      <c r="B2242" s="910">
        <v>42366</v>
      </c>
      <c r="C2242" s="581">
        <f t="shared" si="106"/>
        <v>12</v>
      </c>
      <c r="D2242" s="171">
        <v>31.53</v>
      </c>
      <c r="E2242" s="171">
        <v>26.26</v>
      </c>
      <c r="F2242" s="171">
        <v>20.350000000000001</v>
      </c>
      <c r="G2242" s="171">
        <v>17.75</v>
      </c>
      <c r="H2242" s="171">
        <v>16.010000000000002</v>
      </c>
      <c r="I2242" s="171">
        <v>16.98</v>
      </c>
      <c r="J2242" s="171">
        <v>22.05</v>
      </c>
      <c r="K2242" s="171">
        <v>27.44</v>
      </c>
      <c r="L2242" s="171">
        <v>34.980000000000004</v>
      </c>
      <c r="M2242" s="171">
        <v>38.81</v>
      </c>
      <c r="N2242" s="171">
        <v>41.4</v>
      </c>
      <c r="O2242" s="171">
        <v>39.869999999999997</v>
      </c>
      <c r="P2242" s="171">
        <v>36.04</v>
      </c>
      <c r="Q2242" s="171">
        <v>36</v>
      </c>
      <c r="R2242" s="171">
        <v>33.4</v>
      </c>
      <c r="S2242" s="171">
        <v>32.53</v>
      </c>
      <c r="T2242" s="171">
        <v>33.15</v>
      </c>
      <c r="U2242" s="171">
        <v>36.9</v>
      </c>
      <c r="V2242" s="171">
        <v>42.980000000000004</v>
      </c>
      <c r="W2242" s="171">
        <v>43.38</v>
      </c>
      <c r="X2242" s="171">
        <v>35.910000000000004</v>
      </c>
      <c r="Y2242" s="171">
        <v>30.38</v>
      </c>
      <c r="Z2242" s="171">
        <v>27.6</v>
      </c>
      <c r="AA2242" s="171">
        <v>29</v>
      </c>
      <c r="AB2242" s="171">
        <v>37.44</v>
      </c>
      <c r="AC2242" s="171">
        <v>25.52</v>
      </c>
      <c r="AD2242" s="171">
        <v>37.53</v>
      </c>
      <c r="AF2242" s="171">
        <f t="shared" si="104"/>
        <v>2015</v>
      </c>
      <c r="AG2242" s="171">
        <f t="shared" si="105"/>
        <v>22</v>
      </c>
      <c r="AH2242" s="700">
        <f>SUMIF(D$3:$AA2242,"&lt;="&amp;$AH$1)/COUNTIF(D$3:$AA2242,"&lt;="&amp;$AH$1)</f>
        <v>31.670952585051772</v>
      </c>
    </row>
    <row r="2243" spans="2:34" x14ac:dyDescent="0.25">
      <c r="B2243" s="910">
        <v>42367</v>
      </c>
      <c r="C2243" s="581">
        <f t="shared" si="106"/>
        <v>12</v>
      </c>
      <c r="D2243" s="171">
        <v>33.76</v>
      </c>
      <c r="E2243" s="171">
        <v>21.02</v>
      </c>
      <c r="F2243" s="171">
        <v>22.53</v>
      </c>
      <c r="G2243" s="171">
        <v>19.55</v>
      </c>
      <c r="H2243" s="171">
        <v>14.75</v>
      </c>
      <c r="I2243" s="171">
        <v>14.49</v>
      </c>
      <c r="J2243" s="171">
        <v>26.18</v>
      </c>
      <c r="K2243" s="171">
        <v>27.18</v>
      </c>
      <c r="L2243" s="171">
        <v>27.95</v>
      </c>
      <c r="M2243" s="171">
        <v>30.38</v>
      </c>
      <c r="N2243" s="171">
        <v>39.130000000000003</v>
      </c>
      <c r="O2243" s="171">
        <v>37.44</v>
      </c>
      <c r="P2243" s="171">
        <v>40</v>
      </c>
      <c r="Q2243" s="171">
        <v>42.47</v>
      </c>
      <c r="R2243" s="171">
        <v>39.56</v>
      </c>
      <c r="S2243" s="171">
        <v>35.47</v>
      </c>
      <c r="T2243" s="171">
        <v>36.020000000000003</v>
      </c>
      <c r="U2243" s="171">
        <v>41.81</v>
      </c>
      <c r="V2243" s="171">
        <v>52</v>
      </c>
      <c r="W2243" s="171">
        <v>55.86</v>
      </c>
      <c r="X2243" s="171">
        <v>49.980000000000004</v>
      </c>
      <c r="Y2243" s="171">
        <v>38.39</v>
      </c>
      <c r="Z2243" s="171">
        <v>34.950000000000003</v>
      </c>
      <c r="AA2243" s="171">
        <v>33.28</v>
      </c>
      <c r="AB2243" s="171">
        <v>29.94</v>
      </c>
      <c r="AC2243" s="171">
        <v>25.85</v>
      </c>
      <c r="AD2243" s="171">
        <v>41.68</v>
      </c>
      <c r="AF2243" s="171">
        <f t="shared" si="104"/>
        <v>2015</v>
      </c>
      <c r="AG2243" s="171">
        <f t="shared" si="105"/>
        <v>21</v>
      </c>
      <c r="AH2243" s="700">
        <f>SUMIF(D$3:$AA2243,"&lt;="&amp;$AH$1)/COUNTIF(D$3:$AA2243,"&lt;="&amp;$AH$1)</f>
        <v>31.670482714331133</v>
      </c>
    </row>
    <row r="2244" spans="2:34" x14ac:dyDescent="0.25">
      <c r="B2244" s="910">
        <v>42368</v>
      </c>
      <c r="C2244" s="581">
        <f t="shared" si="106"/>
        <v>12</v>
      </c>
      <c r="D2244" s="171">
        <v>30.93</v>
      </c>
      <c r="E2244" s="171">
        <v>29.26</v>
      </c>
      <c r="F2244" s="171">
        <v>28.52</v>
      </c>
      <c r="G2244" s="171">
        <v>23.55</v>
      </c>
      <c r="H2244" s="171">
        <v>18.010000000000002</v>
      </c>
      <c r="I2244" s="171">
        <v>15.950000000000001</v>
      </c>
      <c r="J2244" s="171">
        <v>20.78</v>
      </c>
      <c r="K2244" s="171">
        <v>23.71</v>
      </c>
      <c r="L2244" s="171">
        <v>29.23</v>
      </c>
      <c r="M2244" s="171">
        <v>36.92</v>
      </c>
      <c r="N2244" s="171">
        <v>36.21</v>
      </c>
      <c r="O2244" s="171">
        <v>37.67</v>
      </c>
      <c r="P2244" s="171">
        <v>35</v>
      </c>
      <c r="Q2244" s="171">
        <v>32.130000000000003</v>
      </c>
      <c r="R2244" s="171">
        <v>28.46</v>
      </c>
      <c r="S2244" s="171">
        <v>27.44</v>
      </c>
      <c r="T2244" s="171">
        <v>27.53</v>
      </c>
      <c r="U2244" s="171">
        <v>30.68</v>
      </c>
      <c r="V2244" s="171">
        <v>53.94</v>
      </c>
      <c r="W2244" s="171">
        <v>42.44</v>
      </c>
      <c r="X2244" s="171">
        <v>38.93</v>
      </c>
      <c r="Y2244" s="171">
        <v>32</v>
      </c>
      <c r="Z2244" s="171">
        <v>27</v>
      </c>
      <c r="AA2244" s="171">
        <v>33.910000000000004</v>
      </c>
      <c r="AB2244" s="171">
        <v>33.11</v>
      </c>
      <c r="AC2244" s="171">
        <v>26.25</v>
      </c>
      <c r="AD2244" s="171">
        <v>35.61</v>
      </c>
      <c r="AF2244" s="171">
        <f t="shared" ref="AF2244:AF2307" si="107">YEAR(B2244)</f>
        <v>2015</v>
      </c>
      <c r="AG2244" s="171">
        <f t="shared" ref="AG2244:AG2307" si="108">COUNTIF(D2244:AA2244,"&lt;="&amp;$AH$1)</f>
        <v>23</v>
      </c>
      <c r="AH2244" s="700">
        <f>SUMIF(D$3:$AA2244,"&lt;="&amp;$AH$1)/COUNTIF(D$3:$AA2244,"&lt;="&amp;$AH$1)</f>
        <v>31.668229194504871</v>
      </c>
    </row>
    <row r="2245" spans="2:34" x14ac:dyDescent="0.25">
      <c r="B2245" s="910">
        <v>42369</v>
      </c>
      <c r="C2245" s="581">
        <f t="shared" si="106"/>
        <v>12</v>
      </c>
      <c r="D2245" s="171">
        <v>28.5</v>
      </c>
      <c r="E2245" s="171">
        <v>14.46</v>
      </c>
      <c r="F2245" s="171">
        <v>12.71</v>
      </c>
      <c r="G2245" s="171">
        <v>12.72</v>
      </c>
      <c r="H2245" s="171">
        <v>23.23</v>
      </c>
      <c r="I2245" s="171">
        <v>13.23</v>
      </c>
      <c r="J2245" s="171">
        <v>13.71</v>
      </c>
      <c r="K2245" s="171">
        <v>34.08</v>
      </c>
      <c r="L2245" s="171">
        <v>37.44</v>
      </c>
      <c r="M2245" s="171">
        <v>40.770000000000003</v>
      </c>
      <c r="N2245" s="171">
        <v>40.119999999999997</v>
      </c>
      <c r="O2245" s="171">
        <v>29.95</v>
      </c>
      <c r="P2245" s="171">
        <v>29.96</v>
      </c>
      <c r="Q2245" s="171">
        <v>30</v>
      </c>
      <c r="R2245" s="171">
        <v>28.5</v>
      </c>
      <c r="S2245" s="171">
        <v>27.48</v>
      </c>
      <c r="T2245" s="171">
        <v>29</v>
      </c>
      <c r="U2245" s="171">
        <v>32.869999999999997</v>
      </c>
      <c r="V2245" s="171">
        <v>40.03</v>
      </c>
      <c r="W2245" s="171">
        <v>40.25</v>
      </c>
      <c r="X2245" s="171">
        <v>36.79</v>
      </c>
      <c r="Y2245" s="171">
        <v>28.810000000000002</v>
      </c>
      <c r="Z2245" s="171">
        <v>26.27</v>
      </c>
      <c r="AA2245" s="171">
        <v>29.990000000000002</v>
      </c>
      <c r="AB2245" s="171">
        <v>31.59</v>
      </c>
      <c r="AC2245" s="171">
        <v>23.19</v>
      </c>
      <c r="AD2245" s="171">
        <v>33.81</v>
      </c>
      <c r="AF2245" s="171">
        <f t="shared" si="107"/>
        <v>2015</v>
      </c>
      <c r="AG2245" s="171">
        <f t="shared" si="108"/>
        <v>24</v>
      </c>
      <c r="AH2245" s="700">
        <f>SUMIF(D$3:$AA2245,"&lt;="&amp;$AH$1)/COUNTIF(D$3:$AA2245,"&lt;="&amp;$AH$1)</f>
        <v>31.664003096140043</v>
      </c>
    </row>
    <row r="2246" spans="2:34" x14ac:dyDescent="0.25">
      <c r="B2246" s="910">
        <v>42370</v>
      </c>
      <c r="C2246" s="581">
        <f t="shared" si="106"/>
        <v>1</v>
      </c>
      <c r="D2246" s="171">
        <v>25.72</v>
      </c>
      <c r="E2246" s="171">
        <v>23.86</v>
      </c>
      <c r="F2246" s="171">
        <v>22.39</v>
      </c>
      <c r="G2246" s="171">
        <v>20.59</v>
      </c>
      <c r="H2246" s="171">
        <v>16.809999999999999</v>
      </c>
      <c r="I2246" s="171">
        <v>17.41</v>
      </c>
      <c r="J2246" s="171">
        <v>17.02</v>
      </c>
      <c r="K2246" s="171">
        <v>15.860000000000001</v>
      </c>
      <c r="L2246" s="171">
        <v>18.16</v>
      </c>
      <c r="M2246" s="171">
        <v>17.73</v>
      </c>
      <c r="N2246" s="171">
        <v>19.77</v>
      </c>
      <c r="O2246" s="171">
        <v>23.75</v>
      </c>
      <c r="P2246" s="171">
        <v>26.03</v>
      </c>
      <c r="Q2246" s="171">
        <v>27.060000000000002</v>
      </c>
      <c r="R2246" s="171">
        <v>26.59</v>
      </c>
      <c r="S2246" s="171">
        <v>25</v>
      </c>
      <c r="T2246" s="171">
        <v>27.04</v>
      </c>
      <c r="U2246" s="171">
        <v>34.46</v>
      </c>
      <c r="V2246" s="171">
        <v>45.14</v>
      </c>
      <c r="W2246" s="171">
        <v>40</v>
      </c>
      <c r="X2246" s="171">
        <v>35.340000000000003</v>
      </c>
      <c r="Y2246" s="171">
        <v>33.07</v>
      </c>
      <c r="Z2246" s="171">
        <v>29.52</v>
      </c>
      <c r="AA2246" s="171">
        <v>30.1</v>
      </c>
      <c r="AB2246" s="171">
        <v>24.57</v>
      </c>
      <c r="AC2246" s="171">
        <v>22.45</v>
      </c>
      <c r="AD2246" s="171">
        <v>28.990000000000002</v>
      </c>
      <c r="AF2246" s="171">
        <f t="shared" si="107"/>
        <v>2016</v>
      </c>
      <c r="AG2246" s="171">
        <f t="shared" si="108"/>
        <v>23</v>
      </c>
      <c r="AH2246" s="700">
        <f>SUMIF(D$3:$AA2246,"&lt;="&amp;$AH$1)/COUNTIF(D$3:$AA2246,"&lt;="&amp;$AH$1)</f>
        <v>31.655739496693933</v>
      </c>
    </row>
    <row r="2247" spans="2:34" x14ac:dyDescent="0.25">
      <c r="B2247" s="910">
        <v>42373</v>
      </c>
      <c r="C2247" s="581">
        <f t="shared" si="106"/>
        <v>1</v>
      </c>
      <c r="D2247" s="171">
        <v>30.18</v>
      </c>
      <c r="E2247" s="171">
        <v>13.780000000000001</v>
      </c>
      <c r="F2247" s="171">
        <v>15.09</v>
      </c>
      <c r="G2247" s="171">
        <v>14.94</v>
      </c>
      <c r="H2247" s="171">
        <v>15.06</v>
      </c>
      <c r="I2247" s="171">
        <v>16.39</v>
      </c>
      <c r="J2247" s="171">
        <v>16.43</v>
      </c>
      <c r="K2247" s="171">
        <v>22.990000000000002</v>
      </c>
      <c r="L2247" s="171">
        <v>41.79</v>
      </c>
      <c r="M2247" s="171">
        <v>42.69</v>
      </c>
      <c r="N2247" s="171">
        <v>33.46</v>
      </c>
      <c r="O2247" s="171">
        <v>33.24</v>
      </c>
      <c r="P2247" s="171">
        <v>35.090000000000003</v>
      </c>
      <c r="Q2247" s="171">
        <v>35</v>
      </c>
      <c r="R2247" s="171">
        <v>35</v>
      </c>
      <c r="S2247" s="171">
        <v>34.94</v>
      </c>
      <c r="T2247" s="171">
        <v>34.92</v>
      </c>
      <c r="U2247" s="171">
        <v>38</v>
      </c>
      <c r="V2247" s="171">
        <v>41.21</v>
      </c>
      <c r="W2247" s="171">
        <v>42.95</v>
      </c>
      <c r="X2247" s="171">
        <v>41.96</v>
      </c>
      <c r="Y2247" s="171">
        <v>34.94</v>
      </c>
      <c r="Z2247" s="171">
        <v>30.66</v>
      </c>
      <c r="AA2247" s="171">
        <v>30</v>
      </c>
      <c r="AB2247" s="171">
        <v>23.900000000000002</v>
      </c>
      <c r="AC2247" s="171">
        <v>23</v>
      </c>
      <c r="AD2247" s="171">
        <v>37.369999999999997</v>
      </c>
      <c r="AF2247" s="171">
        <f t="shared" si="107"/>
        <v>2016</v>
      </c>
      <c r="AG2247" s="171">
        <f t="shared" si="108"/>
        <v>22</v>
      </c>
      <c r="AH2247" s="700">
        <f>SUMIF(D$3:$AA2247,"&lt;="&amp;$AH$1)/COUNTIF(D$3:$AA2247,"&lt;="&amp;$AH$1)</f>
        <v>31.653004579826998</v>
      </c>
    </row>
    <row r="2248" spans="2:34" x14ac:dyDescent="0.25">
      <c r="B2248" s="910">
        <v>42374</v>
      </c>
      <c r="C2248" s="581">
        <f t="shared" si="106"/>
        <v>1</v>
      </c>
      <c r="D2248" s="171">
        <v>33.14</v>
      </c>
      <c r="E2248" s="171">
        <v>25.03</v>
      </c>
      <c r="F2248" s="171">
        <v>24.42</v>
      </c>
      <c r="G2248" s="171">
        <v>22.34</v>
      </c>
      <c r="H2248" s="171">
        <v>21.5</v>
      </c>
      <c r="I2248" s="171">
        <v>20</v>
      </c>
      <c r="J2248" s="171">
        <v>23.53</v>
      </c>
      <c r="K2248" s="171">
        <v>28.96</v>
      </c>
      <c r="L2248" s="171">
        <v>38.32</v>
      </c>
      <c r="M2248" s="171">
        <v>41.45</v>
      </c>
      <c r="N2248" s="171">
        <v>40.72</v>
      </c>
      <c r="O2248" s="171">
        <v>40.660000000000004</v>
      </c>
      <c r="P2248" s="171">
        <v>40.33</v>
      </c>
      <c r="Q2248" s="171">
        <v>38.25</v>
      </c>
      <c r="R2248" s="171">
        <v>36.980000000000004</v>
      </c>
      <c r="S2248" s="171">
        <v>34.910000000000004</v>
      </c>
      <c r="T2248" s="171">
        <v>33.5</v>
      </c>
      <c r="U2248" s="171">
        <v>35.1</v>
      </c>
      <c r="V2248" s="171">
        <v>42.44</v>
      </c>
      <c r="W2248" s="171">
        <v>42.94</v>
      </c>
      <c r="X2248" s="171">
        <v>40.5</v>
      </c>
      <c r="Y2248" s="171">
        <v>34.49</v>
      </c>
      <c r="Z2248" s="171">
        <v>31.43</v>
      </c>
      <c r="AA2248" s="171">
        <v>30.54</v>
      </c>
      <c r="AB2248" s="171">
        <v>26.990000000000002</v>
      </c>
      <c r="AC2248" s="171">
        <v>27.3</v>
      </c>
      <c r="AD2248" s="171">
        <v>38.980000000000004</v>
      </c>
      <c r="AF2248" s="171">
        <f t="shared" si="107"/>
        <v>2016</v>
      </c>
      <c r="AG2248" s="171">
        <f t="shared" si="108"/>
        <v>23</v>
      </c>
      <c r="AH2248" s="700">
        <f>SUMIF(D$3:$AA2248,"&lt;="&amp;$AH$1)/COUNTIF(D$3:$AA2248,"&lt;="&amp;$AH$1)</f>
        <v>31.654627945321593</v>
      </c>
    </row>
    <row r="2249" spans="2:34" x14ac:dyDescent="0.25">
      <c r="B2249" s="910">
        <v>42375</v>
      </c>
      <c r="C2249" s="581">
        <f t="shared" si="106"/>
        <v>1</v>
      </c>
      <c r="D2249" s="171">
        <v>33.730000000000004</v>
      </c>
      <c r="E2249" s="171">
        <v>26.62</v>
      </c>
      <c r="F2249" s="171">
        <v>25.580000000000002</v>
      </c>
      <c r="G2249" s="171">
        <v>24.59</v>
      </c>
      <c r="H2249" s="171">
        <v>22.5</v>
      </c>
      <c r="I2249" s="171">
        <v>23.16</v>
      </c>
      <c r="J2249" s="171">
        <v>24.990000000000002</v>
      </c>
      <c r="K2249" s="171">
        <v>26.62</v>
      </c>
      <c r="L2249" s="171">
        <v>28.03</v>
      </c>
      <c r="M2249" s="171">
        <v>30.82</v>
      </c>
      <c r="N2249" s="171">
        <v>34.22</v>
      </c>
      <c r="O2249" s="171">
        <v>37.9</v>
      </c>
      <c r="P2249" s="171">
        <v>40.08</v>
      </c>
      <c r="Q2249" s="171">
        <v>40.730000000000004</v>
      </c>
      <c r="R2249" s="171">
        <v>38.26</v>
      </c>
      <c r="S2249" s="171">
        <v>35.44</v>
      </c>
      <c r="T2249" s="171">
        <v>36.92</v>
      </c>
      <c r="U2249" s="171">
        <v>41.28</v>
      </c>
      <c r="V2249" s="171">
        <v>44.95</v>
      </c>
      <c r="W2249" s="171">
        <v>46.9</v>
      </c>
      <c r="X2249" s="171">
        <v>43.95</v>
      </c>
      <c r="Y2249" s="171">
        <v>39.94</v>
      </c>
      <c r="Z2249" s="171">
        <v>32.4</v>
      </c>
      <c r="AA2249" s="171">
        <v>33.51</v>
      </c>
      <c r="AB2249" s="171">
        <v>30.11</v>
      </c>
      <c r="AC2249" s="171">
        <v>28.17</v>
      </c>
      <c r="AD2249" s="171">
        <v>39.29</v>
      </c>
      <c r="AF2249" s="171">
        <f t="shared" si="107"/>
        <v>2016</v>
      </c>
      <c r="AG2249" s="171">
        <f t="shared" si="108"/>
        <v>21</v>
      </c>
      <c r="AH2249" s="700">
        <f>SUMIF(D$3:$AA2249,"&lt;="&amp;$AH$1)/COUNTIF(D$3:$AA2249,"&lt;="&amp;$AH$1)</f>
        <v>31.655295930293864</v>
      </c>
    </row>
    <row r="2250" spans="2:34" x14ac:dyDescent="0.25">
      <c r="B2250" s="910">
        <v>42376</v>
      </c>
      <c r="C2250" s="581">
        <f t="shared" si="106"/>
        <v>1</v>
      </c>
      <c r="D2250" s="171">
        <v>34.049999999999997</v>
      </c>
      <c r="E2250" s="171">
        <v>26.41</v>
      </c>
      <c r="F2250" s="171">
        <v>26.05</v>
      </c>
      <c r="G2250" s="171">
        <v>24.93</v>
      </c>
      <c r="H2250" s="171">
        <v>22.39</v>
      </c>
      <c r="I2250" s="171">
        <v>22.32</v>
      </c>
      <c r="J2250" s="171">
        <v>24.2</v>
      </c>
      <c r="K2250" s="171">
        <v>31</v>
      </c>
      <c r="L2250" s="171">
        <v>42.47</v>
      </c>
      <c r="M2250" s="171">
        <v>42.97</v>
      </c>
      <c r="N2250" s="171">
        <v>41.93</v>
      </c>
      <c r="O2250" s="171">
        <v>41.62</v>
      </c>
      <c r="P2250" s="171">
        <v>41.5</v>
      </c>
      <c r="Q2250" s="171">
        <v>40.660000000000004</v>
      </c>
      <c r="R2250" s="171">
        <v>40.33</v>
      </c>
      <c r="S2250" s="171">
        <v>36.51</v>
      </c>
      <c r="T2250" s="171">
        <v>33.49</v>
      </c>
      <c r="U2250" s="171">
        <v>34.19</v>
      </c>
      <c r="V2250" s="171">
        <v>40.660000000000004</v>
      </c>
      <c r="W2250" s="171">
        <v>40.800000000000004</v>
      </c>
      <c r="X2250" s="171">
        <v>37.19</v>
      </c>
      <c r="Y2250" s="171">
        <v>31.94</v>
      </c>
      <c r="Z2250" s="171">
        <v>32.44</v>
      </c>
      <c r="AA2250" s="171">
        <v>31.35</v>
      </c>
      <c r="AB2250" s="171">
        <v>29.94</v>
      </c>
      <c r="AC2250" s="171">
        <v>28.79</v>
      </c>
      <c r="AD2250" s="171">
        <v>39.32</v>
      </c>
      <c r="AF2250" s="171">
        <f t="shared" si="107"/>
        <v>2016</v>
      </c>
      <c r="AG2250" s="171">
        <f t="shared" si="108"/>
        <v>23</v>
      </c>
      <c r="AH2250" s="700">
        <f>SUMIF(D$3:$AA2250,"&lt;="&amp;$AH$1)/COUNTIF(D$3:$AA2250,"&lt;="&amp;$AH$1)</f>
        <v>31.657968161315527</v>
      </c>
    </row>
    <row r="2251" spans="2:34" x14ac:dyDescent="0.25">
      <c r="B2251" s="910">
        <v>42377</v>
      </c>
      <c r="C2251" s="581">
        <f t="shared" si="106"/>
        <v>1</v>
      </c>
      <c r="D2251" s="171">
        <v>31.17</v>
      </c>
      <c r="E2251" s="171">
        <v>12.120000000000001</v>
      </c>
      <c r="F2251" s="171">
        <v>20.82</v>
      </c>
      <c r="G2251" s="171">
        <v>20.43</v>
      </c>
      <c r="H2251" s="171">
        <v>20.02</v>
      </c>
      <c r="I2251" s="171">
        <v>18.010000000000002</v>
      </c>
      <c r="J2251" s="171">
        <v>19.68</v>
      </c>
      <c r="K2251" s="171">
        <v>24.28</v>
      </c>
      <c r="L2251" s="171">
        <v>33</v>
      </c>
      <c r="M2251" s="171">
        <v>46.13</v>
      </c>
      <c r="N2251" s="171">
        <v>35</v>
      </c>
      <c r="O2251" s="171">
        <v>33</v>
      </c>
      <c r="P2251" s="171">
        <v>36.910000000000004</v>
      </c>
      <c r="Q2251" s="171">
        <v>36.130000000000003</v>
      </c>
      <c r="R2251" s="171">
        <v>36.130000000000003</v>
      </c>
      <c r="S2251" s="171">
        <v>28.52</v>
      </c>
      <c r="T2251" s="171">
        <v>32.08</v>
      </c>
      <c r="U2251" s="171">
        <v>37.160000000000004</v>
      </c>
      <c r="V2251" s="171">
        <v>45</v>
      </c>
      <c r="W2251" s="171">
        <v>46.97</v>
      </c>
      <c r="X2251" s="171">
        <v>40.090000000000003</v>
      </c>
      <c r="Y2251" s="171">
        <v>34.61</v>
      </c>
      <c r="Z2251" s="171">
        <v>31.52</v>
      </c>
      <c r="AA2251" s="171">
        <v>32.5</v>
      </c>
      <c r="AB2251" s="171">
        <v>28</v>
      </c>
      <c r="AC2251" s="171">
        <v>24.580000000000002</v>
      </c>
      <c r="AD2251" s="171">
        <v>37.76</v>
      </c>
      <c r="AF2251" s="171">
        <f t="shared" si="107"/>
        <v>2016</v>
      </c>
      <c r="AG2251" s="171">
        <f t="shared" si="108"/>
        <v>21</v>
      </c>
      <c r="AH2251" s="700">
        <f>SUMIF(D$3:$AA2251,"&lt;="&amp;$AH$1)/COUNTIF(D$3:$AA2251,"&lt;="&amp;$AH$1)</f>
        <v>31.655231103572099</v>
      </c>
    </row>
    <row r="2252" spans="2:34" x14ac:dyDescent="0.25">
      <c r="B2252" s="910">
        <v>42380</v>
      </c>
      <c r="C2252" s="581">
        <f t="shared" si="106"/>
        <v>1</v>
      </c>
      <c r="D2252" s="171">
        <v>33.46</v>
      </c>
      <c r="E2252" s="171">
        <v>21.95</v>
      </c>
      <c r="F2252" s="171">
        <v>20.04</v>
      </c>
      <c r="G2252" s="171">
        <v>19.78</v>
      </c>
      <c r="H2252" s="171">
        <v>19.36</v>
      </c>
      <c r="I2252" s="171">
        <v>19.559999999999999</v>
      </c>
      <c r="J2252" s="171">
        <v>21.67</v>
      </c>
      <c r="K2252" s="171">
        <v>28.5</v>
      </c>
      <c r="L2252" s="171">
        <v>41.61</v>
      </c>
      <c r="M2252" s="171">
        <v>45.93</v>
      </c>
      <c r="N2252" s="171">
        <v>44</v>
      </c>
      <c r="O2252" s="171">
        <v>41.94</v>
      </c>
      <c r="P2252" s="171">
        <v>41.96</v>
      </c>
      <c r="Q2252" s="171">
        <v>41.5</v>
      </c>
      <c r="R2252" s="171">
        <v>41</v>
      </c>
      <c r="S2252" s="171">
        <v>39.880000000000003</v>
      </c>
      <c r="T2252" s="171">
        <v>37.5</v>
      </c>
      <c r="U2252" s="171">
        <v>37.950000000000003</v>
      </c>
      <c r="V2252" s="171">
        <v>42.97</v>
      </c>
      <c r="W2252" s="171">
        <v>42.88</v>
      </c>
      <c r="X2252" s="171">
        <v>40</v>
      </c>
      <c r="Y2252" s="171">
        <v>33.090000000000003</v>
      </c>
      <c r="Z2252" s="171">
        <v>27.93</v>
      </c>
      <c r="AA2252" s="171">
        <v>28</v>
      </c>
      <c r="AB2252" s="171">
        <v>24.150000000000002</v>
      </c>
      <c r="AC2252" s="171">
        <v>25.47</v>
      </c>
      <c r="AD2252" s="171">
        <v>41.46</v>
      </c>
      <c r="AF2252" s="171">
        <f t="shared" si="107"/>
        <v>2016</v>
      </c>
      <c r="AG2252" s="171">
        <f t="shared" si="108"/>
        <v>20</v>
      </c>
      <c r="AH2252" s="700">
        <f>SUMIF(D$3:$AA2252,"&lt;="&amp;$AH$1)/COUNTIF(D$3:$AA2252,"&lt;="&amp;$AH$1)</f>
        <v>31.655420417239817</v>
      </c>
    </row>
    <row r="2253" spans="2:34" x14ac:dyDescent="0.25">
      <c r="B2253" s="910">
        <v>42381</v>
      </c>
      <c r="C2253" s="581">
        <f t="shared" si="106"/>
        <v>1</v>
      </c>
      <c r="D2253" s="171">
        <v>29.96</v>
      </c>
      <c r="E2253" s="171">
        <v>21.51</v>
      </c>
      <c r="F2253" s="171">
        <v>19.809999999999999</v>
      </c>
      <c r="G2253" s="171">
        <v>19.100000000000001</v>
      </c>
      <c r="H2253" s="171">
        <v>15.74</v>
      </c>
      <c r="I2253" s="171">
        <v>15.22</v>
      </c>
      <c r="J2253" s="171">
        <v>20.190000000000001</v>
      </c>
      <c r="K2253" s="171">
        <v>24.38</v>
      </c>
      <c r="L2253" s="171">
        <v>35.92</v>
      </c>
      <c r="M2253" s="171">
        <v>40.5</v>
      </c>
      <c r="N2253" s="171">
        <v>41</v>
      </c>
      <c r="O2253" s="171">
        <v>38.660000000000004</v>
      </c>
      <c r="P2253" s="171">
        <v>36.46</v>
      </c>
      <c r="Q2253" s="171">
        <v>35</v>
      </c>
      <c r="R2253" s="171">
        <v>33.299999999999997</v>
      </c>
      <c r="S2253" s="171">
        <v>32.21</v>
      </c>
      <c r="T2253" s="171">
        <v>33</v>
      </c>
      <c r="U2253" s="171">
        <v>36.08</v>
      </c>
      <c r="V2253" s="171">
        <v>41.94</v>
      </c>
      <c r="W2253" s="171">
        <v>41.77</v>
      </c>
      <c r="X2253" s="171">
        <v>32.51</v>
      </c>
      <c r="Y2253" s="171">
        <v>28.400000000000002</v>
      </c>
      <c r="Z2253" s="171">
        <v>25.87</v>
      </c>
      <c r="AA2253" s="171">
        <v>24.07</v>
      </c>
      <c r="AB2253" s="171">
        <v>26.3</v>
      </c>
      <c r="AC2253" s="171">
        <v>23.04</v>
      </c>
      <c r="AD2253" s="171">
        <v>36.869999999999997</v>
      </c>
      <c r="AF2253" s="171">
        <f t="shared" si="107"/>
        <v>2016</v>
      </c>
      <c r="AG2253" s="171">
        <f t="shared" si="108"/>
        <v>24</v>
      </c>
      <c r="AH2253" s="700">
        <f>SUMIF(D$3:$AA2253,"&lt;="&amp;$AH$1)/COUNTIF(D$3:$AA2253,"&lt;="&amp;$AH$1)</f>
        <v>31.653456901110051</v>
      </c>
    </row>
    <row r="2254" spans="2:34" x14ac:dyDescent="0.25">
      <c r="B2254" s="910">
        <v>42382</v>
      </c>
      <c r="C2254" s="581">
        <f t="shared" si="106"/>
        <v>1</v>
      </c>
      <c r="D2254" s="171">
        <v>29.62</v>
      </c>
      <c r="E2254" s="171">
        <v>21</v>
      </c>
      <c r="F2254" s="171">
        <v>19.66</v>
      </c>
      <c r="G2254" s="171">
        <v>18.13</v>
      </c>
      <c r="H2254" s="171">
        <v>18.059999999999999</v>
      </c>
      <c r="I2254" s="171">
        <v>18.05</v>
      </c>
      <c r="J2254" s="171">
        <v>20.830000000000002</v>
      </c>
      <c r="K2254" s="171">
        <v>24.1</v>
      </c>
      <c r="L2254" s="171">
        <v>28.44</v>
      </c>
      <c r="M2254" s="171">
        <v>30.41</v>
      </c>
      <c r="N2254" s="171">
        <v>31.150000000000002</v>
      </c>
      <c r="O2254" s="171">
        <v>31.84</v>
      </c>
      <c r="P2254" s="171">
        <v>33.880000000000003</v>
      </c>
      <c r="Q2254" s="171">
        <v>34.18</v>
      </c>
      <c r="R2254" s="171">
        <v>35.39</v>
      </c>
      <c r="S2254" s="171">
        <v>34.910000000000004</v>
      </c>
      <c r="T2254" s="171">
        <v>37.44</v>
      </c>
      <c r="U2254" s="171">
        <v>39.58</v>
      </c>
      <c r="V2254" s="171">
        <v>43</v>
      </c>
      <c r="W2254" s="171">
        <v>43.32</v>
      </c>
      <c r="X2254" s="171">
        <v>38.86</v>
      </c>
      <c r="Y2254" s="171">
        <v>29.96</v>
      </c>
      <c r="Z2254" s="171">
        <v>27.96</v>
      </c>
      <c r="AA2254" s="171">
        <v>27.23</v>
      </c>
      <c r="AB2254" s="171">
        <v>23.52</v>
      </c>
      <c r="AC2254" s="171">
        <v>23.080000000000002</v>
      </c>
      <c r="AD2254" s="171">
        <v>36.160000000000004</v>
      </c>
      <c r="AF2254" s="171">
        <f t="shared" si="107"/>
        <v>2016</v>
      </c>
      <c r="AG2254" s="171">
        <f t="shared" si="108"/>
        <v>22</v>
      </c>
      <c r="AH2254" s="700">
        <f>SUMIF(D$3:$AA2254,"&lt;="&amp;$AH$1)/COUNTIF(D$3:$AA2254,"&lt;="&amp;$AH$1)</f>
        <v>31.649986794844231</v>
      </c>
    </row>
    <row r="2255" spans="2:34" x14ac:dyDescent="0.25">
      <c r="B2255" s="910">
        <v>42383</v>
      </c>
      <c r="C2255" s="581">
        <f t="shared" si="106"/>
        <v>1</v>
      </c>
      <c r="D2255" s="171">
        <v>33.18</v>
      </c>
      <c r="E2255" s="171">
        <v>24.29</v>
      </c>
      <c r="F2255" s="171">
        <v>23.06</v>
      </c>
      <c r="G2255" s="171">
        <v>22.22</v>
      </c>
      <c r="H2255" s="171">
        <v>22.03</v>
      </c>
      <c r="I2255" s="171">
        <v>22.53</v>
      </c>
      <c r="J2255" s="171">
        <v>23.900000000000002</v>
      </c>
      <c r="K2255" s="171">
        <v>29.84</v>
      </c>
      <c r="L2255" s="171">
        <v>38.06</v>
      </c>
      <c r="M2255" s="171">
        <v>44.99</v>
      </c>
      <c r="N2255" s="171">
        <v>41.39</v>
      </c>
      <c r="O2255" s="171">
        <v>36.369999999999997</v>
      </c>
      <c r="P2255" s="171">
        <v>34.94</v>
      </c>
      <c r="Q2255" s="171">
        <v>32.770000000000003</v>
      </c>
      <c r="R2255" s="171">
        <v>35.06</v>
      </c>
      <c r="S2255" s="171">
        <v>40.5</v>
      </c>
      <c r="T2255" s="171">
        <v>42.99</v>
      </c>
      <c r="U2255" s="171">
        <v>42.34</v>
      </c>
      <c r="V2255" s="171">
        <v>45.76</v>
      </c>
      <c r="W2255" s="171">
        <v>41.53</v>
      </c>
      <c r="X2255" s="171">
        <v>32.44</v>
      </c>
      <c r="Y2255" s="171">
        <v>34.1</v>
      </c>
      <c r="Z2255" s="171">
        <v>30.86</v>
      </c>
      <c r="AA2255" s="171">
        <v>28.46</v>
      </c>
      <c r="AB2255" s="171">
        <v>25.990000000000002</v>
      </c>
      <c r="AC2255" s="171">
        <v>27.11</v>
      </c>
      <c r="AD2255" s="171">
        <v>39.26</v>
      </c>
      <c r="AF2255" s="171">
        <f t="shared" si="107"/>
        <v>2016</v>
      </c>
      <c r="AG2255" s="171">
        <f t="shared" si="108"/>
        <v>21</v>
      </c>
      <c r="AH2255" s="700">
        <f>SUMIF(D$3:$AA2255,"&lt;="&amp;$AH$1)/COUNTIF(D$3:$AA2255,"&lt;="&amp;$AH$1)</f>
        <v>31.650262227615212</v>
      </c>
    </row>
    <row r="2256" spans="2:34" x14ac:dyDescent="0.25">
      <c r="B2256" s="910">
        <v>42384</v>
      </c>
      <c r="C2256" s="581">
        <f t="shared" si="106"/>
        <v>1</v>
      </c>
      <c r="D2256" s="171">
        <v>35.9</v>
      </c>
      <c r="E2256" s="171">
        <v>25.5</v>
      </c>
      <c r="F2256" s="171">
        <v>25.35</v>
      </c>
      <c r="G2256" s="171">
        <v>24.36</v>
      </c>
      <c r="H2256" s="171">
        <v>23.5</v>
      </c>
      <c r="I2256" s="171">
        <v>22.94</v>
      </c>
      <c r="J2256" s="171">
        <v>23.48</v>
      </c>
      <c r="K2256" s="171">
        <v>27.32</v>
      </c>
      <c r="L2256" s="171">
        <v>41.22</v>
      </c>
      <c r="M2256" s="171">
        <v>45.53</v>
      </c>
      <c r="N2256" s="171">
        <v>45.86</v>
      </c>
      <c r="O2256" s="171">
        <v>46.35</v>
      </c>
      <c r="P2256" s="171">
        <v>46.95</v>
      </c>
      <c r="Q2256" s="171">
        <v>44</v>
      </c>
      <c r="R2256" s="171">
        <v>42.050000000000004</v>
      </c>
      <c r="S2256" s="171">
        <v>39.99</v>
      </c>
      <c r="T2256" s="171">
        <v>37.65</v>
      </c>
      <c r="U2256" s="171">
        <v>38</v>
      </c>
      <c r="V2256" s="171">
        <v>45.26</v>
      </c>
      <c r="W2256" s="171">
        <v>48.04</v>
      </c>
      <c r="X2256" s="171">
        <v>44.76</v>
      </c>
      <c r="Y2256" s="171">
        <v>34.81</v>
      </c>
      <c r="Z2256" s="171">
        <v>30.61</v>
      </c>
      <c r="AA2256" s="171">
        <v>30.76</v>
      </c>
      <c r="AB2256" s="171">
        <v>27.3</v>
      </c>
      <c r="AC2256" s="171">
        <v>28.1</v>
      </c>
      <c r="AD2256" s="171">
        <v>43.7</v>
      </c>
      <c r="AF2256" s="171">
        <f t="shared" si="107"/>
        <v>2016</v>
      </c>
      <c r="AG2256" s="171">
        <f t="shared" si="108"/>
        <v>16</v>
      </c>
      <c r="AH2256" s="700">
        <f>SUMIF(D$3:$AA2256,"&lt;="&amp;$AH$1)/COUNTIF(D$3:$AA2256,"&lt;="&amp;$AH$1)</f>
        <v>31.650105962359167</v>
      </c>
    </row>
    <row r="2257" spans="2:34" x14ac:dyDescent="0.25">
      <c r="B2257" s="910">
        <v>42387</v>
      </c>
      <c r="C2257" s="581">
        <f t="shared" si="106"/>
        <v>1</v>
      </c>
      <c r="D2257" s="171">
        <v>39.92</v>
      </c>
      <c r="E2257" s="171">
        <v>25.71</v>
      </c>
      <c r="F2257" s="171">
        <v>25.54</v>
      </c>
      <c r="G2257" s="171">
        <v>24.990000000000002</v>
      </c>
      <c r="H2257" s="171">
        <v>23.900000000000002</v>
      </c>
      <c r="I2257" s="171">
        <v>23.51</v>
      </c>
      <c r="J2257" s="171">
        <v>25.080000000000002</v>
      </c>
      <c r="K2257" s="171">
        <v>27.84</v>
      </c>
      <c r="L2257" s="171">
        <v>45.99</v>
      </c>
      <c r="M2257" s="171">
        <v>49.980000000000004</v>
      </c>
      <c r="N2257" s="171">
        <v>50.54</v>
      </c>
      <c r="O2257" s="171">
        <v>49.910000000000004</v>
      </c>
      <c r="P2257" s="171">
        <v>48.44</v>
      </c>
      <c r="Q2257" s="171">
        <v>46.93</v>
      </c>
      <c r="R2257" s="171">
        <v>46.32</v>
      </c>
      <c r="S2257" s="171">
        <v>45.09</v>
      </c>
      <c r="T2257" s="171">
        <v>49.33</v>
      </c>
      <c r="U2257" s="171">
        <v>49.660000000000004</v>
      </c>
      <c r="V2257" s="171">
        <v>62.550000000000004</v>
      </c>
      <c r="W2257" s="171">
        <v>57.64</v>
      </c>
      <c r="X2257" s="171">
        <v>48.71</v>
      </c>
      <c r="Y2257" s="171">
        <v>37.980000000000004</v>
      </c>
      <c r="Z2257" s="171">
        <v>33.36</v>
      </c>
      <c r="AA2257" s="171">
        <v>30.970000000000002</v>
      </c>
      <c r="AB2257" s="171">
        <v>27.990000000000002</v>
      </c>
      <c r="AC2257" s="171">
        <v>29.41</v>
      </c>
      <c r="AD2257" s="171">
        <v>50.42</v>
      </c>
      <c r="AF2257" s="171">
        <f t="shared" si="107"/>
        <v>2016</v>
      </c>
      <c r="AG2257" s="171">
        <f t="shared" si="108"/>
        <v>11</v>
      </c>
      <c r="AH2257" s="700">
        <f>SUMIF(D$3:$AA2257,"&lt;="&amp;$AH$1)/COUNTIF(D$3:$AA2257,"&lt;="&amp;$AH$1)</f>
        <v>31.648559536353581</v>
      </c>
    </row>
    <row r="2258" spans="2:34" x14ac:dyDescent="0.25">
      <c r="B2258" s="910">
        <v>42388</v>
      </c>
      <c r="C2258" s="581">
        <f t="shared" si="106"/>
        <v>1</v>
      </c>
      <c r="D2258" s="171">
        <v>49.18</v>
      </c>
      <c r="E2258" s="171">
        <v>32.44</v>
      </c>
      <c r="F2258" s="171">
        <v>30</v>
      </c>
      <c r="G2258" s="171">
        <v>30.3</v>
      </c>
      <c r="H2258" s="171">
        <v>28.990000000000002</v>
      </c>
      <c r="I2258" s="171">
        <v>27.330000000000002</v>
      </c>
      <c r="J2258" s="171">
        <v>28.86</v>
      </c>
      <c r="K2258" s="171">
        <v>33.119999999999997</v>
      </c>
      <c r="L2258" s="171">
        <v>54.1</v>
      </c>
      <c r="M2258" s="171">
        <v>65.12</v>
      </c>
      <c r="N2258" s="171">
        <v>65.349999999999994</v>
      </c>
      <c r="O2258" s="171">
        <v>62.17</v>
      </c>
      <c r="P2258" s="171">
        <v>61.59</v>
      </c>
      <c r="Q2258" s="171">
        <v>58.980000000000004</v>
      </c>
      <c r="R2258" s="171">
        <v>58.53</v>
      </c>
      <c r="S2258" s="171">
        <v>55.81</v>
      </c>
      <c r="T2258" s="171">
        <v>55.5</v>
      </c>
      <c r="U2258" s="171">
        <v>56.21</v>
      </c>
      <c r="V2258" s="171">
        <v>70.070000000000007</v>
      </c>
      <c r="W2258" s="171">
        <v>81.820000000000007</v>
      </c>
      <c r="X2258" s="171">
        <v>65.760000000000005</v>
      </c>
      <c r="Y2258" s="171">
        <v>49.84</v>
      </c>
      <c r="Z2258" s="171">
        <v>39.840000000000003</v>
      </c>
      <c r="AA2258" s="171">
        <v>35.92</v>
      </c>
      <c r="AB2258" s="171">
        <v>32.64</v>
      </c>
      <c r="AC2258" s="171">
        <v>35.28</v>
      </c>
      <c r="AD2258" s="171">
        <v>63.08</v>
      </c>
      <c r="AF2258" s="171">
        <f t="shared" si="107"/>
        <v>2016</v>
      </c>
      <c r="AG2258" s="171">
        <f t="shared" si="108"/>
        <v>9</v>
      </c>
      <c r="AH2258" s="700">
        <f>SUMIF(D$3:$AA2258,"&lt;="&amp;$AH$1)/COUNTIF(D$3:$AA2258,"&lt;="&amp;$AH$1)</f>
        <v>31.648662910105372</v>
      </c>
    </row>
    <row r="2259" spans="2:34" x14ac:dyDescent="0.25">
      <c r="B2259" s="910">
        <v>42389</v>
      </c>
      <c r="C2259" s="581">
        <f t="shared" si="106"/>
        <v>1</v>
      </c>
      <c r="D2259" s="171">
        <v>52.61</v>
      </c>
      <c r="E2259" s="171">
        <v>27.22</v>
      </c>
      <c r="F2259" s="171">
        <v>26.080000000000002</v>
      </c>
      <c r="G2259" s="171">
        <v>25.8</v>
      </c>
      <c r="H2259" s="171">
        <v>25.46</v>
      </c>
      <c r="I2259" s="171">
        <v>25.900000000000002</v>
      </c>
      <c r="J2259" s="171">
        <v>28.17</v>
      </c>
      <c r="K2259" s="171">
        <v>33.89</v>
      </c>
      <c r="L2259" s="171">
        <v>55.08</v>
      </c>
      <c r="M2259" s="171">
        <v>61.08</v>
      </c>
      <c r="N2259" s="171">
        <v>62.67</v>
      </c>
      <c r="O2259" s="171">
        <v>64.81</v>
      </c>
      <c r="P2259" s="171">
        <v>61.92</v>
      </c>
      <c r="Q2259" s="171">
        <v>58.6</v>
      </c>
      <c r="R2259" s="171">
        <v>57.81</v>
      </c>
      <c r="S2259" s="171">
        <v>54.95</v>
      </c>
      <c r="T2259" s="171">
        <v>52.42</v>
      </c>
      <c r="U2259" s="171">
        <v>72.010000000000005</v>
      </c>
      <c r="V2259" s="171">
        <v>103.4</v>
      </c>
      <c r="W2259" s="171">
        <v>123.62</v>
      </c>
      <c r="X2259" s="171">
        <v>75.540000000000006</v>
      </c>
      <c r="Y2259" s="171">
        <v>52.45</v>
      </c>
      <c r="Z2259" s="171">
        <v>41.730000000000004</v>
      </c>
      <c r="AA2259" s="171">
        <v>39.480000000000004</v>
      </c>
      <c r="AB2259" s="171">
        <v>32.44</v>
      </c>
      <c r="AC2259" s="171">
        <v>34.47</v>
      </c>
      <c r="AD2259" s="171">
        <v>70.739999999999995</v>
      </c>
      <c r="AF2259" s="171">
        <f t="shared" si="107"/>
        <v>2016</v>
      </c>
      <c r="AG2259" s="171">
        <f t="shared" si="108"/>
        <v>9</v>
      </c>
      <c r="AH2259" s="700">
        <f>SUMIF(D$3:$AA2259,"&lt;="&amp;$AH$1)/COUNTIF(D$3:$AA2259,"&lt;="&amp;$AH$1)</f>
        <v>31.648078218759387</v>
      </c>
    </row>
    <row r="2260" spans="2:34" x14ac:dyDescent="0.25">
      <c r="B2260" s="910">
        <v>42390</v>
      </c>
      <c r="C2260" s="581">
        <f t="shared" si="106"/>
        <v>1</v>
      </c>
      <c r="D2260" s="171">
        <v>52.03</v>
      </c>
      <c r="E2260" s="171">
        <v>29.84</v>
      </c>
      <c r="F2260" s="171">
        <v>28</v>
      </c>
      <c r="G2260" s="171">
        <v>25.8</v>
      </c>
      <c r="H2260" s="171">
        <v>26.1</v>
      </c>
      <c r="I2260" s="171">
        <v>26.59</v>
      </c>
      <c r="J2260" s="171">
        <v>28.16</v>
      </c>
      <c r="K2260" s="171">
        <v>39.47</v>
      </c>
      <c r="L2260" s="171">
        <v>70.010000000000005</v>
      </c>
      <c r="M2260" s="171">
        <v>85.33</v>
      </c>
      <c r="N2260" s="171">
        <v>83.81</v>
      </c>
      <c r="O2260" s="171">
        <v>74.94</v>
      </c>
      <c r="P2260" s="171">
        <v>70.12</v>
      </c>
      <c r="Q2260" s="171">
        <v>59.910000000000004</v>
      </c>
      <c r="R2260" s="171">
        <v>57.69</v>
      </c>
      <c r="S2260" s="171">
        <v>57.99</v>
      </c>
      <c r="T2260" s="171">
        <v>61.050000000000004</v>
      </c>
      <c r="U2260" s="171">
        <v>57.43</v>
      </c>
      <c r="V2260" s="171">
        <v>78.650000000000006</v>
      </c>
      <c r="W2260" s="171">
        <v>86.01</v>
      </c>
      <c r="X2260" s="171">
        <v>60.13</v>
      </c>
      <c r="Y2260" s="171">
        <v>48.6</v>
      </c>
      <c r="Z2260" s="171">
        <v>36.200000000000003</v>
      </c>
      <c r="AA2260" s="171">
        <v>29.55</v>
      </c>
      <c r="AB2260" s="171">
        <v>27.44</v>
      </c>
      <c r="AC2260" s="171">
        <v>34.65</v>
      </c>
      <c r="AD2260" s="171">
        <v>69.42</v>
      </c>
      <c r="AF2260" s="171">
        <f t="shared" si="107"/>
        <v>2016</v>
      </c>
      <c r="AG2260" s="171">
        <f t="shared" si="108"/>
        <v>9</v>
      </c>
      <c r="AH2260" s="700">
        <f>SUMIF(D$3:$AA2260,"&lt;="&amp;$AH$1)/COUNTIF(D$3:$AA2260,"&lt;="&amp;$AH$1)</f>
        <v>31.647282580101585</v>
      </c>
    </row>
    <row r="2261" spans="2:34" x14ac:dyDescent="0.25">
      <c r="B2261" s="910">
        <v>42391</v>
      </c>
      <c r="C2261" s="581">
        <f t="shared" si="106"/>
        <v>1</v>
      </c>
      <c r="D2261" s="171">
        <v>32.99</v>
      </c>
      <c r="E2261" s="171">
        <v>24.02</v>
      </c>
      <c r="F2261" s="171">
        <v>23.92</v>
      </c>
      <c r="G2261" s="171">
        <v>23.400000000000002</v>
      </c>
      <c r="H2261" s="171">
        <v>24.07</v>
      </c>
      <c r="I2261" s="171">
        <v>23.92</v>
      </c>
      <c r="J2261" s="171">
        <v>23.11</v>
      </c>
      <c r="K2261" s="171">
        <v>27.59</v>
      </c>
      <c r="L2261" s="171">
        <v>47.5</v>
      </c>
      <c r="M2261" s="171">
        <v>52.5</v>
      </c>
      <c r="N2261" s="171">
        <v>49.94</v>
      </c>
      <c r="O2261" s="171">
        <v>46.86</v>
      </c>
      <c r="P2261" s="171">
        <v>46.300000000000004</v>
      </c>
      <c r="Q2261" s="171">
        <v>44.65</v>
      </c>
      <c r="R2261" s="171">
        <v>39.090000000000003</v>
      </c>
      <c r="S2261" s="171">
        <v>34.79</v>
      </c>
      <c r="T2261" s="171">
        <v>34.29</v>
      </c>
      <c r="U2261" s="171">
        <v>34.29</v>
      </c>
      <c r="V2261" s="171">
        <v>35</v>
      </c>
      <c r="W2261" s="171">
        <v>30.18</v>
      </c>
      <c r="X2261" s="171">
        <v>27.38</v>
      </c>
      <c r="Y2261" s="171">
        <v>25.650000000000002</v>
      </c>
      <c r="Z2261" s="171">
        <v>24.88</v>
      </c>
      <c r="AA2261" s="171">
        <v>24.53</v>
      </c>
      <c r="AB2261" s="171">
        <v>23.81</v>
      </c>
      <c r="AC2261" s="171">
        <v>26.37</v>
      </c>
      <c r="AD2261" s="171">
        <v>39.61</v>
      </c>
      <c r="AF2261" s="171">
        <f t="shared" si="107"/>
        <v>2016</v>
      </c>
      <c r="AG2261" s="171">
        <f t="shared" si="108"/>
        <v>18</v>
      </c>
      <c r="AH2261" s="700">
        <f>SUMIF(D$3:$AA2261,"&lt;="&amp;$AH$1)/COUNTIF(D$3:$AA2261,"&lt;="&amp;$AH$1)</f>
        <v>31.644310118264968</v>
      </c>
    </row>
    <row r="2262" spans="2:34" x14ac:dyDescent="0.25">
      <c r="B2262" s="910">
        <v>42394</v>
      </c>
      <c r="C2262" s="581">
        <f t="shared" si="106"/>
        <v>1</v>
      </c>
      <c r="D2262" s="171">
        <v>28.38</v>
      </c>
      <c r="E2262" s="171">
        <v>20.07</v>
      </c>
      <c r="F2262" s="171">
        <v>19.650000000000002</v>
      </c>
      <c r="G2262" s="171">
        <v>19.68</v>
      </c>
      <c r="H2262" s="171">
        <v>19.98</v>
      </c>
      <c r="I2262" s="171">
        <v>20.330000000000002</v>
      </c>
      <c r="J2262" s="171">
        <v>21.32</v>
      </c>
      <c r="K2262" s="171">
        <v>25.01</v>
      </c>
      <c r="L2262" s="171">
        <v>35.119999999999997</v>
      </c>
      <c r="M2262" s="171">
        <v>35</v>
      </c>
      <c r="N2262" s="171">
        <v>36.160000000000004</v>
      </c>
      <c r="O2262" s="171">
        <v>36.619999999999997</v>
      </c>
      <c r="P2262" s="171">
        <v>35.6</v>
      </c>
      <c r="Q2262" s="171">
        <v>34.75</v>
      </c>
      <c r="R2262" s="171">
        <v>32.26</v>
      </c>
      <c r="S2262" s="171">
        <v>30.61</v>
      </c>
      <c r="T2262" s="171">
        <v>29.73</v>
      </c>
      <c r="U2262" s="171">
        <v>31.17</v>
      </c>
      <c r="V2262" s="171">
        <v>34.96</v>
      </c>
      <c r="W2262" s="171">
        <v>36.4</v>
      </c>
      <c r="X2262" s="171">
        <v>32.049999999999997</v>
      </c>
      <c r="Y2262" s="171">
        <v>26.8</v>
      </c>
      <c r="Z2262" s="171">
        <v>25.32</v>
      </c>
      <c r="AA2262" s="171">
        <v>23.93</v>
      </c>
      <c r="AB2262" s="171">
        <v>18.71</v>
      </c>
      <c r="AC2262" s="171">
        <v>22.990000000000002</v>
      </c>
      <c r="AD2262" s="171">
        <v>33.78</v>
      </c>
      <c r="AF2262" s="171">
        <f t="shared" si="107"/>
        <v>2016</v>
      </c>
      <c r="AG2262" s="171">
        <f t="shared" si="108"/>
        <v>24</v>
      </c>
      <c r="AH2262" s="700">
        <f>SUMIF(D$3:$AA2262,"&lt;="&amp;$AH$1)/COUNTIF(D$3:$AA2262,"&lt;="&amp;$AH$1)</f>
        <v>31.640710798466642</v>
      </c>
    </row>
    <row r="2263" spans="2:34" x14ac:dyDescent="0.25">
      <c r="B2263" s="910">
        <v>42395</v>
      </c>
      <c r="C2263" s="581">
        <f t="shared" si="106"/>
        <v>1</v>
      </c>
      <c r="D2263" s="171">
        <v>29.47</v>
      </c>
      <c r="E2263" s="171">
        <v>20.23</v>
      </c>
      <c r="F2263" s="171">
        <v>18.02</v>
      </c>
      <c r="G2263" s="171">
        <v>19.96</v>
      </c>
      <c r="H2263" s="171">
        <v>21.2</v>
      </c>
      <c r="I2263" s="171">
        <v>21.72</v>
      </c>
      <c r="J2263" s="171">
        <v>22.03</v>
      </c>
      <c r="K2263" s="171">
        <v>27.09</v>
      </c>
      <c r="L2263" s="171">
        <v>39</v>
      </c>
      <c r="M2263" s="171">
        <v>39</v>
      </c>
      <c r="N2263" s="171">
        <v>43.45</v>
      </c>
      <c r="O2263" s="171">
        <v>40</v>
      </c>
      <c r="P2263" s="171">
        <v>38</v>
      </c>
      <c r="Q2263" s="171">
        <v>30.12</v>
      </c>
      <c r="R2263" s="171">
        <v>34.4</v>
      </c>
      <c r="S2263" s="171">
        <v>28.07</v>
      </c>
      <c r="T2263" s="171">
        <v>30.09</v>
      </c>
      <c r="U2263" s="171">
        <v>30.62</v>
      </c>
      <c r="V2263" s="171">
        <v>32.869999999999997</v>
      </c>
      <c r="W2263" s="171">
        <v>35</v>
      </c>
      <c r="X2263" s="171">
        <v>24.94</v>
      </c>
      <c r="Y2263" s="171">
        <v>29</v>
      </c>
      <c r="Z2263" s="171">
        <v>24</v>
      </c>
      <c r="AA2263" s="171">
        <v>24.16</v>
      </c>
      <c r="AB2263" s="171">
        <v>34.35</v>
      </c>
      <c r="AC2263" s="171">
        <v>25.060000000000002</v>
      </c>
      <c r="AD2263" s="171">
        <v>33.880000000000003</v>
      </c>
      <c r="AF2263" s="171">
        <f t="shared" si="107"/>
        <v>2016</v>
      </c>
      <c r="AG2263" s="171">
        <f t="shared" si="108"/>
        <v>23</v>
      </c>
      <c r="AH2263" s="700">
        <f>SUMIF(D$3:$AA2263,"&lt;="&amp;$AH$1)/COUNTIF(D$3:$AA2263,"&lt;="&amp;$AH$1)</f>
        <v>31.637106229026365</v>
      </c>
    </row>
    <row r="2264" spans="2:34" x14ac:dyDescent="0.25">
      <c r="B2264" s="910">
        <v>42396</v>
      </c>
      <c r="C2264" s="581">
        <f t="shared" si="106"/>
        <v>1</v>
      </c>
      <c r="D2264" s="171">
        <v>27.44</v>
      </c>
      <c r="E2264" s="171">
        <v>22.22</v>
      </c>
      <c r="F2264" s="171">
        <v>20</v>
      </c>
      <c r="G2264" s="171">
        <v>20</v>
      </c>
      <c r="H2264" s="171">
        <v>14.59</v>
      </c>
      <c r="I2264" s="171">
        <v>12.450000000000001</v>
      </c>
      <c r="J2264" s="171">
        <v>17.96</v>
      </c>
      <c r="K2264" s="171">
        <v>25.85</v>
      </c>
      <c r="L2264" s="171">
        <v>31.17</v>
      </c>
      <c r="M2264" s="171">
        <v>32.44</v>
      </c>
      <c r="N2264" s="171">
        <v>33</v>
      </c>
      <c r="O2264" s="171">
        <v>29.94</v>
      </c>
      <c r="P2264" s="171">
        <v>40.1</v>
      </c>
      <c r="Q2264" s="171">
        <v>36.340000000000003</v>
      </c>
      <c r="R2264" s="171">
        <v>29.96</v>
      </c>
      <c r="S2264" s="171">
        <v>27.060000000000002</v>
      </c>
      <c r="T2264" s="171">
        <v>27.44</v>
      </c>
      <c r="U2264" s="171">
        <v>26.87</v>
      </c>
      <c r="V2264" s="171">
        <v>33.9</v>
      </c>
      <c r="W2264" s="171">
        <v>37.44</v>
      </c>
      <c r="X2264" s="171">
        <v>29.96</v>
      </c>
      <c r="Y2264" s="171">
        <v>30</v>
      </c>
      <c r="Z2264" s="171">
        <v>24.96</v>
      </c>
      <c r="AA2264" s="171">
        <v>27.44</v>
      </c>
      <c r="AB2264" s="171">
        <v>27.44</v>
      </c>
      <c r="AC2264" s="171">
        <v>22.84</v>
      </c>
      <c r="AD2264" s="171">
        <v>32.04</v>
      </c>
      <c r="AF2264" s="171">
        <f t="shared" si="107"/>
        <v>2016</v>
      </c>
      <c r="AG2264" s="171">
        <f t="shared" si="108"/>
        <v>24</v>
      </c>
      <c r="AH2264" s="700">
        <f>SUMIF(D$3:$AA2264,"&lt;="&amp;$AH$1)/COUNTIF(D$3:$AA2264,"&lt;="&amp;$AH$1)</f>
        <v>31.631829702554999</v>
      </c>
    </row>
    <row r="2265" spans="2:34" x14ac:dyDescent="0.25">
      <c r="B2265" s="910">
        <v>42397</v>
      </c>
      <c r="C2265" s="581">
        <f t="shared" si="106"/>
        <v>1</v>
      </c>
      <c r="D2265" s="171">
        <v>27.04</v>
      </c>
      <c r="E2265" s="171">
        <v>21</v>
      </c>
      <c r="F2265" s="171">
        <v>22.79</v>
      </c>
      <c r="G2265" s="171">
        <v>20.080000000000002</v>
      </c>
      <c r="H2265" s="171">
        <v>14.69</v>
      </c>
      <c r="I2265" s="171">
        <v>13.3</v>
      </c>
      <c r="J2265" s="171">
        <v>17.39</v>
      </c>
      <c r="K2265" s="171">
        <v>23.41</v>
      </c>
      <c r="L2265" s="171">
        <v>34.11</v>
      </c>
      <c r="M2265" s="171">
        <v>31.2</v>
      </c>
      <c r="N2265" s="171">
        <v>32</v>
      </c>
      <c r="O2265" s="171">
        <v>29.94</v>
      </c>
      <c r="P2265" s="171">
        <v>26.22</v>
      </c>
      <c r="Q2265" s="171">
        <v>24.44</v>
      </c>
      <c r="R2265" s="171">
        <v>26.2</v>
      </c>
      <c r="S2265" s="171">
        <v>27.16</v>
      </c>
      <c r="T2265" s="171">
        <v>31.02</v>
      </c>
      <c r="U2265" s="171">
        <v>33.58</v>
      </c>
      <c r="V2265" s="171">
        <v>39.050000000000004</v>
      </c>
      <c r="W2265" s="171">
        <v>42.44</v>
      </c>
      <c r="X2265" s="171">
        <v>35.81</v>
      </c>
      <c r="Y2265" s="171">
        <v>29.96</v>
      </c>
      <c r="Z2265" s="171">
        <v>27.42</v>
      </c>
      <c r="AA2265" s="171">
        <v>25</v>
      </c>
      <c r="AB2265" s="171">
        <v>20.79</v>
      </c>
      <c r="AC2265" s="171">
        <v>22.5</v>
      </c>
      <c r="AD2265" s="171">
        <v>31.59</v>
      </c>
      <c r="AF2265" s="171">
        <f t="shared" si="107"/>
        <v>2016</v>
      </c>
      <c r="AG2265" s="171">
        <f t="shared" si="108"/>
        <v>24</v>
      </c>
      <c r="AH2265" s="700">
        <f>SUMIF(D$3:$AA2265,"&lt;="&amp;$AH$1)/COUNTIF(D$3:$AA2265,"&lt;="&amp;$AH$1)</f>
        <v>31.626394874476471</v>
      </c>
    </row>
    <row r="2266" spans="2:34" x14ac:dyDescent="0.25">
      <c r="B2266" s="910">
        <v>42398</v>
      </c>
      <c r="C2266" s="581">
        <f t="shared" si="106"/>
        <v>1</v>
      </c>
      <c r="D2266" s="171">
        <v>28.22</v>
      </c>
      <c r="E2266" s="171">
        <v>21.1</v>
      </c>
      <c r="F2266" s="171">
        <v>19.53</v>
      </c>
      <c r="G2266" s="171">
        <v>19.059999999999999</v>
      </c>
      <c r="H2266" s="171">
        <v>18.080000000000002</v>
      </c>
      <c r="I2266" s="171">
        <v>16.14</v>
      </c>
      <c r="J2266" s="171">
        <v>19.63</v>
      </c>
      <c r="K2266" s="171">
        <v>26</v>
      </c>
      <c r="L2266" s="171">
        <v>34.910000000000004</v>
      </c>
      <c r="M2266" s="171">
        <v>36.07</v>
      </c>
      <c r="N2266" s="171">
        <v>35.1</v>
      </c>
      <c r="O2266" s="171">
        <v>30.01</v>
      </c>
      <c r="P2266" s="171">
        <v>34</v>
      </c>
      <c r="Q2266" s="171">
        <v>37</v>
      </c>
      <c r="R2266" s="171">
        <v>37.01</v>
      </c>
      <c r="S2266" s="171">
        <v>32.93</v>
      </c>
      <c r="T2266" s="171">
        <v>27.810000000000002</v>
      </c>
      <c r="U2266" s="171">
        <v>29</v>
      </c>
      <c r="V2266" s="171">
        <v>31.1</v>
      </c>
      <c r="W2266" s="171">
        <v>34.94</v>
      </c>
      <c r="X2266" s="171">
        <v>31.32</v>
      </c>
      <c r="Y2266" s="171">
        <v>28.1</v>
      </c>
      <c r="Z2266" s="171">
        <v>29.38</v>
      </c>
      <c r="AA2266" s="171">
        <v>27.11</v>
      </c>
      <c r="AB2266" s="171">
        <v>22</v>
      </c>
      <c r="AC2266" s="171">
        <v>23.42</v>
      </c>
      <c r="AD2266" s="171">
        <v>33.020000000000003</v>
      </c>
      <c r="AF2266" s="171">
        <f t="shared" si="107"/>
        <v>2016</v>
      </c>
      <c r="AG2266" s="171">
        <f t="shared" si="108"/>
        <v>24</v>
      </c>
      <c r="AH2266" s="700">
        <f>SUMIF(D$3:$AA2266,"&lt;="&amp;$AH$1)/COUNTIF(D$3:$AA2266,"&lt;="&amp;$AH$1)</f>
        <v>31.622451943167054</v>
      </c>
    </row>
    <row r="2267" spans="2:34" x14ac:dyDescent="0.25">
      <c r="B2267" s="910">
        <v>42401</v>
      </c>
      <c r="C2267" s="581">
        <f t="shared" si="106"/>
        <v>2</v>
      </c>
      <c r="D2267" s="171">
        <v>26.16</v>
      </c>
      <c r="E2267" s="171">
        <v>16.309999999999999</v>
      </c>
      <c r="F2267" s="171">
        <v>14.42</v>
      </c>
      <c r="G2267" s="171">
        <v>15.07</v>
      </c>
      <c r="H2267" s="171">
        <v>15.24</v>
      </c>
      <c r="I2267" s="171">
        <v>12.81</v>
      </c>
      <c r="J2267" s="171">
        <v>14.120000000000001</v>
      </c>
      <c r="K2267" s="171">
        <v>23.93</v>
      </c>
      <c r="L2267" s="171">
        <v>35.9</v>
      </c>
      <c r="M2267" s="171">
        <v>37.99</v>
      </c>
      <c r="N2267" s="171">
        <v>36.050000000000004</v>
      </c>
      <c r="O2267" s="171">
        <v>33.340000000000003</v>
      </c>
      <c r="P2267" s="171">
        <v>29.240000000000002</v>
      </c>
      <c r="Q2267" s="171">
        <v>29.94</v>
      </c>
      <c r="R2267" s="171">
        <v>27.66</v>
      </c>
      <c r="S2267" s="171">
        <v>27.5</v>
      </c>
      <c r="T2267" s="171">
        <v>27.5</v>
      </c>
      <c r="U2267" s="171">
        <v>24.85</v>
      </c>
      <c r="V2267" s="171">
        <v>28</v>
      </c>
      <c r="W2267" s="171">
        <v>39.28</v>
      </c>
      <c r="X2267" s="171">
        <v>39.980000000000004</v>
      </c>
      <c r="Y2267" s="171">
        <v>34.94</v>
      </c>
      <c r="Z2267" s="171">
        <v>21.37</v>
      </c>
      <c r="AA2267" s="171">
        <v>20.23</v>
      </c>
      <c r="AB2267" s="171">
        <v>22.240000000000002</v>
      </c>
      <c r="AC2267" s="171">
        <v>20.55</v>
      </c>
      <c r="AD2267" s="171">
        <v>31.78</v>
      </c>
      <c r="AF2267" s="171">
        <f t="shared" si="107"/>
        <v>2016</v>
      </c>
      <c r="AG2267" s="171">
        <f t="shared" si="108"/>
        <v>24</v>
      </c>
      <c r="AH2267" s="700">
        <f>SUMIF(D$3:$AA2267,"&lt;="&amp;$AH$1)/COUNTIF(D$3:$AA2267,"&lt;="&amp;$AH$1)</f>
        <v>31.615820638563761</v>
      </c>
    </row>
    <row r="2268" spans="2:34" x14ac:dyDescent="0.25">
      <c r="B2268" s="910">
        <v>42402</v>
      </c>
      <c r="C2268" s="581">
        <f t="shared" si="106"/>
        <v>2</v>
      </c>
      <c r="D2268" s="171">
        <v>25.91</v>
      </c>
      <c r="E2268" s="171">
        <v>17.03</v>
      </c>
      <c r="F2268" s="171">
        <v>17.36</v>
      </c>
      <c r="G2268" s="171">
        <v>16.5</v>
      </c>
      <c r="H2268" s="171">
        <v>11.34</v>
      </c>
      <c r="I2268" s="171">
        <v>14.040000000000001</v>
      </c>
      <c r="J2268" s="171">
        <v>9.52</v>
      </c>
      <c r="K2268" s="171">
        <v>22.72</v>
      </c>
      <c r="L2268" s="171">
        <v>30.54</v>
      </c>
      <c r="M2268" s="171">
        <v>31.6</v>
      </c>
      <c r="N2268" s="171">
        <v>31.18</v>
      </c>
      <c r="O2268" s="171">
        <v>31.79</v>
      </c>
      <c r="P2268" s="171">
        <v>31.990000000000002</v>
      </c>
      <c r="Q2268" s="171">
        <v>31.92</v>
      </c>
      <c r="R2268" s="171">
        <v>27.14</v>
      </c>
      <c r="S2268" s="171">
        <v>26.17</v>
      </c>
      <c r="T2268" s="171">
        <v>25.46</v>
      </c>
      <c r="U2268" s="171">
        <v>26.580000000000002</v>
      </c>
      <c r="V2268" s="171">
        <v>30.25</v>
      </c>
      <c r="W2268" s="171">
        <v>39.39</v>
      </c>
      <c r="X2268" s="171">
        <v>38.520000000000003</v>
      </c>
      <c r="Y2268" s="171">
        <v>29.96</v>
      </c>
      <c r="Z2268" s="171">
        <v>24.94</v>
      </c>
      <c r="AA2268" s="171">
        <v>29</v>
      </c>
      <c r="AB2268" s="171">
        <v>27</v>
      </c>
      <c r="AC2268" s="171">
        <v>20.830000000000002</v>
      </c>
      <c r="AD2268" s="171">
        <v>31</v>
      </c>
      <c r="AF2268" s="171">
        <f t="shared" si="107"/>
        <v>2016</v>
      </c>
      <c r="AG2268" s="171">
        <f t="shared" si="108"/>
        <v>24</v>
      </c>
      <c r="AH2268" s="700">
        <f>SUMIF(D$3:$AA2268,"&lt;="&amp;$AH$1)/COUNTIF(D$3:$AA2268,"&lt;="&amp;$AH$1)</f>
        <v>31.608633805751889</v>
      </c>
    </row>
    <row r="2269" spans="2:34" x14ac:dyDescent="0.25">
      <c r="B2269" s="910">
        <v>42403</v>
      </c>
      <c r="C2269" s="581">
        <f t="shared" si="106"/>
        <v>2</v>
      </c>
      <c r="D2269" s="171">
        <v>26.03</v>
      </c>
      <c r="E2269" s="171">
        <v>18.45</v>
      </c>
      <c r="F2269" s="171">
        <v>16.240000000000002</v>
      </c>
      <c r="G2269" s="171">
        <v>19.100000000000001</v>
      </c>
      <c r="H2269" s="171">
        <v>16.22</v>
      </c>
      <c r="I2269" s="171">
        <v>14.52</v>
      </c>
      <c r="J2269" s="171">
        <v>17.55</v>
      </c>
      <c r="K2269" s="171">
        <v>21.41</v>
      </c>
      <c r="L2269" s="171">
        <v>33.25</v>
      </c>
      <c r="M2269" s="171">
        <v>35</v>
      </c>
      <c r="N2269" s="171">
        <v>33.96</v>
      </c>
      <c r="O2269" s="171">
        <v>29.94</v>
      </c>
      <c r="P2269" s="171">
        <v>28.55</v>
      </c>
      <c r="Q2269" s="171">
        <v>25.69</v>
      </c>
      <c r="R2269" s="171">
        <v>25.97</v>
      </c>
      <c r="S2269" s="171">
        <v>25.240000000000002</v>
      </c>
      <c r="T2269" s="171">
        <v>23.52</v>
      </c>
      <c r="U2269" s="171">
        <v>26.400000000000002</v>
      </c>
      <c r="V2269" s="171">
        <v>32.619999999999997</v>
      </c>
      <c r="W2269" s="171">
        <v>36.69</v>
      </c>
      <c r="X2269" s="171">
        <v>36.19</v>
      </c>
      <c r="Y2269" s="171">
        <v>30.13</v>
      </c>
      <c r="Z2269" s="171">
        <v>23.75</v>
      </c>
      <c r="AA2269" s="171">
        <v>25.42</v>
      </c>
      <c r="AB2269" s="171">
        <v>29</v>
      </c>
      <c r="AC2269" s="171">
        <v>22.09</v>
      </c>
      <c r="AD2269" s="171">
        <v>29.98</v>
      </c>
      <c r="AF2269" s="171">
        <f t="shared" si="107"/>
        <v>2016</v>
      </c>
      <c r="AG2269" s="171">
        <f t="shared" si="108"/>
        <v>24</v>
      </c>
      <c r="AH2269" s="700">
        <f>SUMIF(D$3:$AA2269,"&lt;="&amp;$AH$1)/COUNTIF(D$3:$AA2269,"&lt;="&amp;$AH$1)</f>
        <v>31.60151644462896</v>
      </c>
    </row>
    <row r="2270" spans="2:34" x14ac:dyDescent="0.25">
      <c r="B2270" s="910">
        <v>42404</v>
      </c>
      <c r="C2270" s="581">
        <f t="shared" si="106"/>
        <v>2</v>
      </c>
      <c r="D2270" s="171">
        <v>26.63</v>
      </c>
      <c r="E2270" s="171">
        <v>18.04</v>
      </c>
      <c r="F2270" s="171">
        <v>17.78</v>
      </c>
      <c r="G2270" s="171">
        <v>16.52</v>
      </c>
      <c r="H2270" s="171">
        <v>15.8</v>
      </c>
      <c r="I2270" s="171">
        <v>16.03</v>
      </c>
      <c r="J2270" s="171">
        <v>17.010000000000002</v>
      </c>
      <c r="K2270" s="171">
        <v>22.43</v>
      </c>
      <c r="L2270" s="171">
        <v>31.96</v>
      </c>
      <c r="M2270" s="171">
        <v>31.73</v>
      </c>
      <c r="N2270" s="171">
        <v>29</v>
      </c>
      <c r="O2270" s="171">
        <v>29.19</v>
      </c>
      <c r="P2270" s="171">
        <v>30.22</v>
      </c>
      <c r="Q2270" s="171">
        <v>27.97</v>
      </c>
      <c r="R2270" s="171">
        <v>26.87</v>
      </c>
      <c r="S2270" s="171">
        <v>25.85</v>
      </c>
      <c r="T2270" s="171">
        <v>27.94</v>
      </c>
      <c r="U2270" s="171">
        <v>27.810000000000002</v>
      </c>
      <c r="V2270" s="171">
        <v>35</v>
      </c>
      <c r="W2270" s="171">
        <v>42.18</v>
      </c>
      <c r="X2270" s="171">
        <v>39.01</v>
      </c>
      <c r="Y2270" s="171">
        <v>32.04</v>
      </c>
      <c r="Z2270" s="171">
        <v>26.96</v>
      </c>
      <c r="AA2270" s="171">
        <v>27.830000000000002</v>
      </c>
      <c r="AB2270" s="171">
        <v>23.98</v>
      </c>
      <c r="AC2270" s="171">
        <v>22.2</v>
      </c>
      <c r="AD2270" s="171">
        <v>31.060000000000002</v>
      </c>
      <c r="AF2270" s="171">
        <f t="shared" si="107"/>
        <v>2016</v>
      </c>
      <c r="AG2270" s="171">
        <f t="shared" si="108"/>
        <v>24</v>
      </c>
      <c r="AH2270" s="700">
        <f>SUMIF(D$3:$AA2270,"&lt;="&amp;$AH$1)/COUNTIF(D$3:$AA2270,"&lt;="&amp;$AH$1)</f>
        <v>31.595454261953751</v>
      </c>
    </row>
    <row r="2271" spans="2:34" x14ac:dyDescent="0.25">
      <c r="B2271" s="910">
        <v>42405</v>
      </c>
      <c r="C2271" s="581">
        <f t="shared" si="106"/>
        <v>2</v>
      </c>
      <c r="D2271" s="171">
        <v>28.1</v>
      </c>
      <c r="E2271" s="171">
        <v>24.61</v>
      </c>
      <c r="F2271" s="171">
        <v>23</v>
      </c>
      <c r="G2271" s="171">
        <v>22.22</v>
      </c>
      <c r="H2271" s="171">
        <v>20.100000000000001</v>
      </c>
      <c r="I2271" s="171">
        <v>21.18</v>
      </c>
      <c r="J2271" s="171">
        <v>21.18</v>
      </c>
      <c r="K2271" s="171">
        <v>26.01</v>
      </c>
      <c r="L2271" s="171">
        <v>33.980000000000004</v>
      </c>
      <c r="M2271" s="171">
        <v>37.700000000000003</v>
      </c>
      <c r="N2271" s="171">
        <v>35.79</v>
      </c>
      <c r="O2271" s="171">
        <v>36.5</v>
      </c>
      <c r="P2271" s="171">
        <v>35.94</v>
      </c>
      <c r="Q2271" s="171">
        <v>34.36</v>
      </c>
      <c r="R2271" s="171">
        <v>31.95</v>
      </c>
      <c r="S2271" s="171">
        <v>27.740000000000002</v>
      </c>
      <c r="T2271" s="171">
        <v>25.330000000000002</v>
      </c>
      <c r="U2271" s="171">
        <v>24.78</v>
      </c>
      <c r="V2271" s="171">
        <v>29.96</v>
      </c>
      <c r="W2271" s="171">
        <v>33.090000000000003</v>
      </c>
      <c r="X2271" s="171">
        <v>28.92</v>
      </c>
      <c r="Y2271" s="171">
        <v>27.92</v>
      </c>
      <c r="Z2271" s="171">
        <v>24.96</v>
      </c>
      <c r="AA2271" s="171">
        <v>24.55</v>
      </c>
      <c r="AB2271" s="171">
        <v>22.71</v>
      </c>
      <c r="AC2271" s="171">
        <v>24.37</v>
      </c>
      <c r="AD2271" s="171">
        <v>31.84</v>
      </c>
      <c r="AF2271" s="171">
        <f t="shared" si="107"/>
        <v>2016</v>
      </c>
      <c r="AG2271" s="171">
        <f t="shared" si="108"/>
        <v>24</v>
      </c>
      <c r="AH2271" s="700">
        <f>SUMIF(D$3:$AA2271,"&lt;="&amp;$AH$1)/COUNTIF(D$3:$AA2271,"&lt;="&amp;$AH$1)</f>
        <v>31.59138340946792</v>
      </c>
    </row>
    <row r="2272" spans="2:34" x14ac:dyDescent="0.25">
      <c r="B2272" s="910">
        <v>42408</v>
      </c>
      <c r="C2272" s="581">
        <f t="shared" si="106"/>
        <v>2</v>
      </c>
      <c r="D2272" s="171">
        <v>23.84</v>
      </c>
      <c r="E2272" s="171">
        <v>10.02</v>
      </c>
      <c r="F2272" s="171">
        <v>8.31</v>
      </c>
      <c r="G2272" s="171">
        <v>11.89</v>
      </c>
      <c r="H2272" s="171">
        <v>9.9700000000000006</v>
      </c>
      <c r="I2272" s="171">
        <v>11.39</v>
      </c>
      <c r="J2272" s="171">
        <v>9.67</v>
      </c>
      <c r="K2272" s="171">
        <v>21.150000000000002</v>
      </c>
      <c r="L2272" s="171">
        <v>27</v>
      </c>
      <c r="M2272" s="171">
        <v>34.83</v>
      </c>
      <c r="N2272" s="171">
        <v>32</v>
      </c>
      <c r="O2272" s="171">
        <v>32.44</v>
      </c>
      <c r="P2272" s="171">
        <v>30.990000000000002</v>
      </c>
      <c r="Q2272" s="171">
        <v>29.94</v>
      </c>
      <c r="R2272" s="171">
        <v>27.35</v>
      </c>
      <c r="S2272" s="171">
        <v>27</v>
      </c>
      <c r="T2272" s="171">
        <v>24.96</v>
      </c>
      <c r="U2272" s="171">
        <v>24</v>
      </c>
      <c r="V2272" s="171">
        <v>28.650000000000002</v>
      </c>
      <c r="W2272" s="171">
        <v>37.25</v>
      </c>
      <c r="X2272" s="171">
        <v>35.300000000000004</v>
      </c>
      <c r="Y2272" s="171">
        <v>24.94</v>
      </c>
      <c r="Z2272" s="171">
        <v>24.94</v>
      </c>
      <c r="AA2272" s="171">
        <v>25.28</v>
      </c>
      <c r="AB2272" s="171">
        <v>22.84</v>
      </c>
      <c r="AC2272" s="171">
        <v>17.28</v>
      </c>
      <c r="AD2272" s="171">
        <v>30.39</v>
      </c>
      <c r="AF2272" s="171">
        <f t="shared" si="107"/>
        <v>2016</v>
      </c>
      <c r="AG2272" s="171">
        <f t="shared" si="108"/>
        <v>24</v>
      </c>
      <c r="AH2272" s="700">
        <f>SUMIF(D$3:$AA2272,"&lt;="&amp;$AH$1)/COUNTIF(D$3:$AA2272,"&lt;="&amp;$AH$1)</f>
        <v>31.581787639982885</v>
      </c>
    </row>
    <row r="2273" spans="2:34" x14ac:dyDescent="0.25">
      <c r="B2273" s="910">
        <v>42409</v>
      </c>
      <c r="C2273" s="581">
        <f t="shared" si="106"/>
        <v>2</v>
      </c>
      <c r="D2273" s="171">
        <v>24.71</v>
      </c>
      <c r="E2273" s="171">
        <v>14.96</v>
      </c>
      <c r="F2273" s="171">
        <v>14.73</v>
      </c>
      <c r="G2273" s="171">
        <v>16.86</v>
      </c>
      <c r="H2273" s="171">
        <v>10.050000000000001</v>
      </c>
      <c r="I2273" s="171">
        <v>9.9600000000000009</v>
      </c>
      <c r="J2273" s="171">
        <v>14.02</v>
      </c>
      <c r="K2273" s="171">
        <v>22.13</v>
      </c>
      <c r="L2273" s="171">
        <v>29.94</v>
      </c>
      <c r="M2273" s="171">
        <v>34.39</v>
      </c>
      <c r="N2273" s="171">
        <v>27.44</v>
      </c>
      <c r="O2273" s="171">
        <v>27.97</v>
      </c>
      <c r="P2273" s="171">
        <v>30</v>
      </c>
      <c r="Q2273" s="171">
        <v>27.03</v>
      </c>
      <c r="R2273" s="171">
        <v>28.69</v>
      </c>
      <c r="S2273" s="171">
        <v>27.44</v>
      </c>
      <c r="T2273" s="171">
        <v>26.97</v>
      </c>
      <c r="U2273" s="171">
        <v>27.240000000000002</v>
      </c>
      <c r="V2273" s="171">
        <v>31.01</v>
      </c>
      <c r="W2273" s="171">
        <v>39.980000000000004</v>
      </c>
      <c r="X2273" s="171">
        <v>34.06</v>
      </c>
      <c r="Y2273" s="171">
        <v>29.1</v>
      </c>
      <c r="Z2273" s="171">
        <v>24.45</v>
      </c>
      <c r="AA2273" s="171">
        <v>24.740000000000002</v>
      </c>
      <c r="AB2273" s="171">
        <v>19.88</v>
      </c>
      <c r="AC2273" s="171">
        <v>19.240000000000002</v>
      </c>
      <c r="AD2273" s="171">
        <v>30.18</v>
      </c>
      <c r="AF2273" s="171">
        <f t="shared" si="107"/>
        <v>2016</v>
      </c>
      <c r="AG2273" s="171">
        <f t="shared" si="108"/>
        <v>24</v>
      </c>
      <c r="AH2273" s="700">
        <f>SUMIF(D$3:$AA2273,"&lt;="&amp;$AH$1)/COUNTIF(D$3:$AA2273,"&lt;="&amp;$AH$1)</f>
        <v>31.573497825185871</v>
      </c>
    </row>
    <row r="2274" spans="2:34" x14ac:dyDescent="0.25">
      <c r="B2274" s="910">
        <v>42410</v>
      </c>
      <c r="C2274" s="581">
        <f t="shared" si="106"/>
        <v>2</v>
      </c>
      <c r="D2274" s="171">
        <v>26.28</v>
      </c>
      <c r="E2274" s="171">
        <v>17.75</v>
      </c>
      <c r="F2274" s="171">
        <v>16.559999999999999</v>
      </c>
      <c r="G2274" s="171">
        <v>17</v>
      </c>
      <c r="H2274" s="171">
        <v>16.55</v>
      </c>
      <c r="I2274" s="171">
        <v>16.690000000000001</v>
      </c>
      <c r="J2274" s="171">
        <v>16.2</v>
      </c>
      <c r="K2274" s="171">
        <v>22.8</v>
      </c>
      <c r="L2274" s="171">
        <v>30.59</v>
      </c>
      <c r="M2274" s="171">
        <v>32.049999999999997</v>
      </c>
      <c r="N2274" s="171">
        <v>35</v>
      </c>
      <c r="O2274" s="171">
        <v>37.44</v>
      </c>
      <c r="P2274" s="171">
        <v>35.5</v>
      </c>
      <c r="Q2274" s="171">
        <v>30.45</v>
      </c>
      <c r="R2274" s="171">
        <v>27.740000000000002</v>
      </c>
      <c r="S2274" s="171">
        <v>27.44</v>
      </c>
      <c r="T2274" s="171">
        <v>27.77</v>
      </c>
      <c r="U2274" s="171">
        <v>28.68</v>
      </c>
      <c r="V2274" s="171">
        <v>32.1</v>
      </c>
      <c r="W2274" s="171">
        <v>36.590000000000003</v>
      </c>
      <c r="X2274" s="171">
        <v>29.44</v>
      </c>
      <c r="Y2274" s="171">
        <v>24.080000000000002</v>
      </c>
      <c r="Z2274" s="171">
        <v>21.81</v>
      </c>
      <c r="AA2274" s="171">
        <v>22.3</v>
      </c>
      <c r="AB2274" s="171">
        <v>28.3</v>
      </c>
      <c r="AC2274" s="171">
        <v>20.89</v>
      </c>
      <c r="AD2274" s="171">
        <v>31.68</v>
      </c>
      <c r="AF2274" s="171">
        <f t="shared" si="107"/>
        <v>2016</v>
      </c>
      <c r="AG2274" s="171">
        <f t="shared" si="108"/>
        <v>24</v>
      </c>
      <c r="AH2274" s="700">
        <f>SUMIF(D$3:$AA2274,"&lt;="&amp;$AH$1)/COUNTIF(D$3:$AA2274,"&lt;="&amp;$AH$1)</f>
        <v>31.566828713280383</v>
      </c>
    </row>
    <row r="2275" spans="2:34" x14ac:dyDescent="0.25">
      <c r="B2275" s="910">
        <v>42411</v>
      </c>
      <c r="C2275" s="581">
        <f t="shared" si="106"/>
        <v>2</v>
      </c>
      <c r="D2275" s="171">
        <v>27.54</v>
      </c>
      <c r="E2275" s="171">
        <v>23.82</v>
      </c>
      <c r="F2275" s="171">
        <v>21.48</v>
      </c>
      <c r="G2275" s="171">
        <v>19.100000000000001</v>
      </c>
      <c r="H2275" s="171">
        <v>17.75</v>
      </c>
      <c r="I2275" s="171">
        <v>18.600000000000001</v>
      </c>
      <c r="J2275" s="171">
        <v>20</v>
      </c>
      <c r="K2275" s="171">
        <v>21.3</v>
      </c>
      <c r="L2275" s="171">
        <v>31.76</v>
      </c>
      <c r="M2275" s="171">
        <v>28.55</v>
      </c>
      <c r="N2275" s="171">
        <v>26.78</v>
      </c>
      <c r="O2275" s="171">
        <v>24.97</v>
      </c>
      <c r="P2275" s="171">
        <v>32</v>
      </c>
      <c r="Q2275" s="171">
        <v>28</v>
      </c>
      <c r="R2275" s="171">
        <v>25.12</v>
      </c>
      <c r="S2275" s="171">
        <v>22.44</v>
      </c>
      <c r="T2275" s="171">
        <v>30</v>
      </c>
      <c r="U2275" s="171">
        <v>31.62</v>
      </c>
      <c r="V2275" s="171">
        <v>36</v>
      </c>
      <c r="W2275" s="171">
        <v>41.02</v>
      </c>
      <c r="X2275" s="171">
        <v>41.51</v>
      </c>
      <c r="Y2275" s="171">
        <v>34.07</v>
      </c>
      <c r="Z2275" s="171">
        <v>29.96</v>
      </c>
      <c r="AA2275" s="171">
        <v>28.92</v>
      </c>
      <c r="AB2275" s="171">
        <v>26.11</v>
      </c>
      <c r="AC2275" s="171">
        <v>24.41</v>
      </c>
      <c r="AD2275" s="171">
        <v>30.67</v>
      </c>
      <c r="AF2275" s="171">
        <f t="shared" si="107"/>
        <v>2016</v>
      </c>
      <c r="AG2275" s="171">
        <f t="shared" si="108"/>
        <v>24</v>
      </c>
      <c r="AH2275" s="700">
        <f>SUMIF(D$3:$AA2275,"&lt;="&amp;$AH$1)/COUNTIF(D$3:$AA2275,"&lt;="&amp;$AH$1)</f>
        <v>31.561906508263917</v>
      </c>
    </row>
    <row r="2276" spans="2:34" x14ac:dyDescent="0.25">
      <c r="B2276" s="910">
        <v>42412</v>
      </c>
      <c r="C2276" s="581">
        <f t="shared" si="106"/>
        <v>2</v>
      </c>
      <c r="D2276" s="171">
        <v>28.59</v>
      </c>
      <c r="E2276" s="171">
        <v>22.81</v>
      </c>
      <c r="F2276" s="171">
        <v>21.59</v>
      </c>
      <c r="G2276" s="171">
        <v>21.3</v>
      </c>
      <c r="H2276" s="171">
        <v>19.86</v>
      </c>
      <c r="I2276" s="171">
        <v>20.69</v>
      </c>
      <c r="J2276" s="171">
        <v>21.64</v>
      </c>
      <c r="K2276" s="171">
        <v>27.18</v>
      </c>
      <c r="L2276" s="171">
        <v>36.43</v>
      </c>
      <c r="M2276" s="171">
        <v>37.300000000000004</v>
      </c>
      <c r="N2276" s="171">
        <v>34.97</v>
      </c>
      <c r="O2276" s="171">
        <v>34.700000000000003</v>
      </c>
      <c r="P2276" s="171">
        <v>33.480000000000004</v>
      </c>
      <c r="Q2276" s="171">
        <v>30</v>
      </c>
      <c r="R2276" s="171">
        <v>26.93</v>
      </c>
      <c r="S2276" s="171">
        <v>25.62</v>
      </c>
      <c r="T2276" s="171">
        <v>25</v>
      </c>
      <c r="U2276" s="171">
        <v>27.18</v>
      </c>
      <c r="V2276" s="171">
        <v>34.56</v>
      </c>
      <c r="W2276" s="171">
        <v>40.36</v>
      </c>
      <c r="X2276" s="171">
        <v>35.56</v>
      </c>
      <c r="Y2276" s="171">
        <v>29.96</v>
      </c>
      <c r="Z2276" s="171">
        <v>26.45</v>
      </c>
      <c r="AA2276" s="171">
        <v>27.18</v>
      </c>
      <c r="AB2276" s="171">
        <v>25.490000000000002</v>
      </c>
      <c r="AC2276" s="171">
        <v>25.05</v>
      </c>
      <c r="AD2276" s="171">
        <v>32.14</v>
      </c>
      <c r="AF2276" s="171">
        <f t="shared" si="107"/>
        <v>2016</v>
      </c>
      <c r="AG2276" s="171">
        <f t="shared" si="108"/>
        <v>24</v>
      </c>
      <c r="AH2276" s="700">
        <f>SUMIF(D$3:$AA2276,"&lt;="&amp;$AH$1)/COUNTIF(D$3:$AA2276,"&lt;="&amp;$AH$1)</f>
        <v>31.558390940981717</v>
      </c>
    </row>
    <row r="2277" spans="2:34" x14ac:dyDescent="0.25">
      <c r="B2277" s="910">
        <v>42415</v>
      </c>
      <c r="C2277" s="581">
        <f t="shared" si="106"/>
        <v>2</v>
      </c>
      <c r="D2277" s="171">
        <v>24.92</v>
      </c>
      <c r="E2277" s="171">
        <v>16.57</v>
      </c>
      <c r="F2277" s="171">
        <v>16</v>
      </c>
      <c r="G2277" s="171">
        <v>15.46</v>
      </c>
      <c r="H2277" s="171">
        <v>13.14</v>
      </c>
      <c r="I2277" s="171">
        <v>12.68</v>
      </c>
      <c r="J2277" s="171">
        <v>14.65</v>
      </c>
      <c r="K2277" s="171">
        <v>21.38</v>
      </c>
      <c r="L2277" s="171">
        <v>33.29</v>
      </c>
      <c r="M2277" s="171">
        <v>30.11</v>
      </c>
      <c r="N2277" s="171">
        <v>32.71</v>
      </c>
      <c r="O2277" s="171">
        <v>30.91</v>
      </c>
      <c r="P2277" s="171">
        <v>29.93</v>
      </c>
      <c r="Q2277" s="171">
        <v>27.22</v>
      </c>
      <c r="R2277" s="171">
        <v>25.39</v>
      </c>
      <c r="S2277" s="171">
        <v>24.810000000000002</v>
      </c>
      <c r="T2277" s="171">
        <v>24.400000000000002</v>
      </c>
      <c r="U2277" s="171">
        <v>24.93</v>
      </c>
      <c r="V2277" s="171">
        <v>28.45</v>
      </c>
      <c r="W2277" s="171">
        <v>35.71</v>
      </c>
      <c r="X2277" s="171">
        <v>34.230000000000004</v>
      </c>
      <c r="Y2277" s="171">
        <v>31.740000000000002</v>
      </c>
      <c r="Z2277" s="171">
        <v>25</v>
      </c>
      <c r="AA2277" s="171">
        <v>25.87</v>
      </c>
      <c r="AB2277" s="171">
        <v>23.48</v>
      </c>
      <c r="AC2277" s="171">
        <v>20.77</v>
      </c>
      <c r="AD2277" s="171">
        <v>29.07</v>
      </c>
      <c r="AF2277" s="171">
        <f t="shared" si="107"/>
        <v>2016</v>
      </c>
      <c r="AG2277" s="171">
        <f t="shared" si="108"/>
        <v>24</v>
      </c>
      <c r="AH2277" s="700">
        <f>SUMIF(D$3:$AA2277,"&lt;="&amp;$AH$1)/COUNTIF(D$3:$AA2277,"&lt;="&amp;$AH$1)</f>
        <v>31.550255049463608</v>
      </c>
    </row>
    <row r="2278" spans="2:34" x14ac:dyDescent="0.25">
      <c r="B2278" s="910">
        <v>42416</v>
      </c>
      <c r="C2278" s="581">
        <f t="shared" si="106"/>
        <v>2</v>
      </c>
      <c r="D2278" s="171">
        <v>32.71</v>
      </c>
      <c r="E2278" s="171">
        <v>25.990000000000002</v>
      </c>
      <c r="F2278" s="171">
        <v>23.650000000000002</v>
      </c>
      <c r="G2278" s="171">
        <v>22.91</v>
      </c>
      <c r="H2278" s="171">
        <v>22.04</v>
      </c>
      <c r="I2278" s="171">
        <v>21.830000000000002</v>
      </c>
      <c r="J2278" s="171">
        <v>22.740000000000002</v>
      </c>
      <c r="K2278" s="171">
        <v>29.39</v>
      </c>
      <c r="L2278" s="171">
        <v>40.43</v>
      </c>
      <c r="M2278" s="171">
        <v>42.46</v>
      </c>
      <c r="N2278" s="171">
        <v>42.42</v>
      </c>
      <c r="O2278" s="171">
        <v>37.910000000000004</v>
      </c>
      <c r="P2278" s="171">
        <v>35.72</v>
      </c>
      <c r="Q2278" s="171">
        <v>33.21</v>
      </c>
      <c r="R2278" s="171">
        <v>32.770000000000003</v>
      </c>
      <c r="S2278" s="171">
        <v>31.7</v>
      </c>
      <c r="T2278" s="171">
        <v>32.090000000000003</v>
      </c>
      <c r="U2278" s="171">
        <v>34.880000000000003</v>
      </c>
      <c r="V2278" s="171">
        <v>39.81</v>
      </c>
      <c r="W2278" s="171">
        <v>53.46</v>
      </c>
      <c r="X2278" s="171">
        <v>49.94</v>
      </c>
      <c r="Y2278" s="171">
        <v>35.75</v>
      </c>
      <c r="Z2278" s="171">
        <v>27</v>
      </c>
      <c r="AA2278" s="171">
        <v>24.98</v>
      </c>
      <c r="AB2278" s="171">
        <v>21.900000000000002</v>
      </c>
      <c r="AC2278" s="171">
        <v>26.55</v>
      </c>
      <c r="AD2278" s="171">
        <v>38.86</v>
      </c>
      <c r="AF2278" s="171">
        <f t="shared" si="107"/>
        <v>2016</v>
      </c>
      <c r="AG2278" s="171">
        <f t="shared" si="108"/>
        <v>22</v>
      </c>
      <c r="AH2278" s="700">
        <f>SUMIF(D$3:$AA2278,"&lt;="&amp;$AH$1)/COUNTIF(D$3:$AA2278,"&lt;="&amp;$AH$1)</f>
        <v>31.550166752444145</v>
      </c>
    </row>
    <row r="2279" spans="2:34" x14ac:dyDescent="0.25">
      <c r="B2279" s="910">
        <v>42417</v>
      </c>
      <c r="C2279" s="581">
        <f t="shared" si="106"/>
        <v>2</v>
      </c>
      <c r="D2279" s="171">
        <v>29.45</v>
      </c>
      <c r="E2279" s="171">
        <v>21.1</v>
      </c>
      <c r="F2279" s="171">
        <v>20.400000000000002</v>
      </c>
      <c r="G2279" s="171">
        <v>21.1</v>
      </c>
      <c r="H2279" s="171">
        <v>19.400000000000002</v>
      </c>
      <c r="I2279" s="171">
        <v>19.990000000000002</v>
      </c>
      <c r="J2279" s="171">
        <v>20</v>
      </c>
      <c r="K2279" s="171">
        <v>22.75</v>
      </c>
      <c r="L2279" s="171">
        <v>30.970000000000002</v>
      </c>
      <c r="M2279" s="171">
        <v>40</v>
      </c>
      <c r="N2279" s="171">
        <v>34.19</v>
      </c>
      <c r="O2279" s="171">
        <v>31.88</v>
      </c>
      <c r="P2279" s="171">
        <v>31.400000000000002</v>
      </c>
      <c r="Q2279" s="171">
        <v>29.69</v>
      </c>
      <c r="R2279" s="171">
        <v>30.6</v>
      </c>
      <c r="S2279" s="171">
        <v>31.26</v>
      </c>
      <c r="T2279" s="171">
        <v>32.93</v>
      </c>
      <c r="U2279" s="171">
        <v>33.61</v>
      </c>
      <c r="V2279" s="171">
        <v>39.26</v>
      </c>
      <c r="W2279" s="171">
        <v>41</v>
      </c>
      <c r="X2279" s="171">
        <v>41.730000000000004</v>
      </c>
      <c r="Y2279" s="171">
        <v>34.700000000000003</v>
      </c>
      <c r="Z2279" s="171">
        <v>29</v>
      </c>
      <c r="AA2279" s="171">
        <v>25.830000000000002</v>
      </c>
      <c r="AB2279" s="171">
        <v>23.98</v>
      </c>
      <c r="AC2279" s="171">
        <v>24.1</v>
      </c>
      <c r="AD2279" s="171">
        <v>34.800000000000004</v>
      </c>
      <c r="AF2279" s="171">
        <f t="shared" si="107"/>
        <v>2016</v>
      </c>
      <c r="AG2279" s="171">
        <f t="shared" si="108"/>
        <v>24</v>
      </c>
      <c r="AH2279" s="700">
        <f>SUMIF(D$3:$AA2279,"&lt;="&amp;$AH$1)/COUNTIF(D$3:$AA2279,"&lt;="&amp;$AH$1)</f>
        <v>31.547855453890691</v>
      </c>
    </row>
    <row r="2280" spans="2:34" x14ac:dyDescent="0.25">
      <c r="B2280" s="910">
        <v>42418</v>
      </c>
      <c r="C2280" s="581">
        <f t="shared" si="106"/>
        <v>2</v>
      </c>
      <c r="D2280" s="171">
        <v>29.3</v>
      </c>
      <c r="E2280" s="171">
        <v>21.32</v>
      </c>
      <c r="F2280" s="171">
        <v>20.82</v>
      </c>
      <c r="G2280" s="171">
        <v>19.39</v>
      </c>
      <c r="H2280" s="171">
        <v>19.96</v>
      </c>
      <c r="I2280" s="171">
        <v>19.89</v>
      </c>
      <c r="J2280" s="171">
        <v>20.45</v>
      </c>
      <c r="K2280" s="171">
        <v>23.95</v>
      </c>
      <c r="L2280" s="171">
        <v>36.36</v>
      </c>
      <c r="M2280" s="171">
        <v>40.89</v>
      </c>
      <c r="N2280" s="171">
        <v>37.26</v>
      </c>
      <c r="O2280" s="171">
        <v>32.71</v>
      </c>
      <c r="P2280" s="171">
        <v>29.18</v>
      </c>
      <c r="Q2280" s="171">
        <v>26.75</v>
      </c>
      <c r="R2280" s="171">
        <v>27.060000000000002</v>
      </c>
      <c r="S2280" s="171">
        <v>27.53</v>
      </c>
      <c r="T2280" s="171">
        <v>30.44</v>
      </c>
      <c r="U2280" s="171">
        <v>33.340000000000003</v>
      </c>
      <c r="V2280" s="171">
        <v>39.17</v>
      </c>
      <c r="W2280" s="171">
        <v>46.89</v>
      </c>
      <c r="X2280" s="171">
        <v>40.700000000000003</v>
      </c>
      <c r="Y2280" s="171">
        <v>34.33</v>
      </c>
      <c r="Z2280" s="171">
        <v>27.82</v>
      </c>
      <c r="AA2280" s="171">
        <v>24.68</v>
      </c>
      <c r="AB2280" s="171">
        <v>22.26</v>
      </c>
      <c r="AC2280" s="171">
        <v>24.27</v>
      </c>
      <c r="AD2280" s="171">
        <v>34.33</v>
      </c>
      <c r="AF2280" s="171">
        <f t="shared" si="107"/>
        <v>2016</v>
      </c>
      <c r="AG2280" s="171">
        <f t="shared" si="108"/>
        <v>23</v>
      </c>
      <c r="AH2280" s="700">
        <f>SUMIF(D$3:$AA2280,"&lt;="&amp;$AH$1)/COUNTIF(D$3:$AA2280,"&lt;="&amp;$AH$1)</f>
        <v>31.54465677465674</v>
      </c>
    </row>
    <row r="2281" spans="2:34" x14ac:dyDescent="0.25">
      <c r="B2281" s="910">
        <v>42419</v>
      </c>
      <c r="C2281" s="581">
        <f t="shared" si="106"/>
        <v>2</v>
      </c>
      <c r="D2281" s="171">
        <v>27.66</v>
      </c>
      <c r="E2281" s="171">
        <v>22.2</v>
      </c>
      <c r="F2281" s="171">
        <v>21.77</v>
      </c>
      <c r="G2281" s="171">
        <v>21.89</v>
      </c>
      <c r="H2281" s="171">
        <v>22.19</v>
      </c>
      <c r="I2281" s="171">
        <v>22.37</v>
      </c>
      <c r="J2281" s="171">
        <v>19.63</v>
      </c>
      <c r="K2281" s="171">
        <v>28</v>
      </c>
      <c r="L2281" s="171">
        <v>36.82</v>
      </c>
      <c r="M2281" s="171">
        <v>40</v>
      </c>
      <c r="N2281" s="171">
        <v>37.550000000000004</v>
      </c>
      <c r="O2281" s="171">
        <v>37.31</v>
      </c>
      <c r="P2281" s="171">
        <v>38.89</v>
      </c>
      <c r="Q2281" s="171">
        <v>31.86</v>
      </c>
      <c r="R2281" s="171">
        <v>28.46</v>
      </c>
      <c r="S2281" s="171">
        <v>26.2</v>
      </c>
      <c r="T2281" s="171">
        <v>25.490000000000002</v>
      </c>
      <c r="U2281" s="171">
        <v>25</v>
      </c>
      <c r="V2281" s="171">
        <v>30.04</v>
      </c>
      <c r="W2281" s="171">
        <v>30.400000000000002</v>
      </c>
      <c r="X2281" s="171">
        <v>25.84</v>
      </c>
      <c r="Y2281" s="171">
        <v>24.45</v>
      </c>
      <c r="Z2281" s="171">
        <v>25.22</v>
      </c>
      <c r="AA2281" s="171">
        <v>23.38</v>
      </c>
      <c r="AB2281" s="171">
        <v>18.900000000000002</v>
      </c>
      <c r="AC2281" s="171">
        <v>23.900000000000002</v>
      </c>
      <c r="AD2281" s="171">
        <v>31.42</v>
      </c>
      <c r="AF2281" s="171">
        <f t="shared" si="107"/>
        <v>2016</v>
      </c>
      <c r="AG2281" s="171">
        <f t="shared" si="108"/>
        <v>24</v>
      </c>
      <c r="AH2281" s="700">
        <f>SUMIF(D$3:$AA2281,"&lt;="&amp;$AH$1)/COUNTIF(D$3:$AA2281,"&lt;="&amp;$AH$1)</f>
        <v>31.540326137120619</v>
      </c>
    </row>
    <row r="2282" spans="2:34" x14ac:dyDescent="0.25">
      <c r="B2282" s="910">
        <v>42422</v>
      </c>
      <c r="C2282" s="581">
        <f t="shared" si="106"/>
        <v>2</v>
      </c>
      <c r="D2282" s="171">
        <v>24.330000000000002</v>
      </c>
      <c r="E2282" s="171">
        <v>7.72</v>
      </c>
      <c r="F2282" s="171">
        <v>8.35</v>
      </c>
      <c r="G2282" s="171">
        <v>12.540000000000001</v>
      </c>
      <c r="H2282" s="171">
        <v>15.23</v>
      </c>
      <c r="I2282" s="171">
        <v>15.780000000000001</v>
      </c>
      <c r="J2282" s="171">
        <v>10.25</v>
      </c>
      <c r="K2282" s="171">
        <v>18.05</v>
      </c>
      <c r="L2282" s="171">
        <v>26.38</v>
      </c>
      <c r="M2282" s="171">
        <v>27.92</v>
      </c>
      <c r="N2282" s="171">
        <v>32.97</v>
      </c>
      <c r="O2282" s="171">
        <v>39.94</v>
      </c>
      <c r="P2282" s="171">
        <v>33.31</v>
      </c>
      <c r="Q2282" s="171">
        <v>27.44</v>
      </c>
      <c r="R2282" s="171">
        <v>24.52</v>
      </c>
      <c r="S2282" s="171">
        <v>23.98</v>
      </c>
      <c r="T2282" s="171">
        <v>23.91</v>
      </c>
      <c r="U2282" s="171">
        <v>23.92</v>
      </c>
      <c r="V2282" s="171">
        <v>27.93</v>
      </c>
      <c r="W2282" s="171">
        <v>40.130000000000003</v>
      </c>
      <c r="X2282" s="171">
        <v>39.450000000000003</v>
      </c>
      <c r="Y2282" s="171">
        <v>29.37</v>
      </c>
      <c r="Z2282" s="171">
        <v>24.69</v>
      </c>
      <c r="AA2282" s="171">
        <v>25.080000000000002</v>
      </c>
      <c r="AB2282" s="171">
        <v>24.94</v>
      </c>
      <c r="AC2282" s="171">
        <v>18.2</v>
      </c>
      <c r="AD2282" s="171">
        <v>30.45</v>
      </c>
      <c r="AF2282" s="171">
        <f t="shared" si="107"/>
        <v>2016</v>
      </c>
      <c r="AG2282" s="171">
        <f t="shared" si="108"/>
        <v>24</v>
      </c>
      <c r="AH2282" s="700">
        <f>SUMIF(D$3:$AA2282,"&lt;="&amp;$AH$1)/COUNTIF(D$3:$AA2282,"&lt;="&amp;$AH$1)</f>
        <v>31.531425864276013</v>
      </c>
    </row>
    <row r="2283" spans="2:34" x14ac:dyDescent="0.25">
      <c r="B2283" s="910">
        <v>42423</v>
      </c>
      <c r="C2283" s="581">
        <f t="shared" si="106"/>
        <v>2</v>
      </c>
      <c r="D2283" s="171">
        <v>26.85</v>
      </c>
      <c r="E2283" s="171">
        <v>27.45</v>
      </c>
      <c r="F2283" s="171">
        <v>22.36</v>
      </c>
      <c r="G2283" s="171">
        <v>21.12</v>
      </c>
      <c r="H2283" s="171">
        <v>17.47</v>
      </c>
      <c r="I2283" s="171">
        <v>17.830000000000002</v>
      </c>
      <c r="J2283" s="171">
        <v>20.96</v>
      </c>
      <c r="K2283" s="171">
        <v>27.32</v>
      </c>
      <c r="L2283" s="171">
        <v>31.52</v>
      </c>
      <c r="M2283" s="171">
        <v>33.31</v>
      </c>
      <c r="N2283" s="171">
        <v>32.630000000000003</v>
      </c>
      <c r="O2283" s="171">
        <v>31.080000000000002</v>
      </c>
      <c r="P2283" s="171">
        <v>31.54</v>
      </c>
      <c r="Q2283" s="171">
        <v>29.39</v>
      </c>
      <c r="R2283" s="171">
        <v>27.27</v>
      </c>
      <c r="S2283" s="171">
        <v>26.14</v>
      </c>
      <c r="T2283" s="171">
        <v>26.3</v>
      </c>
      <c r="U2283" s="171">
        <v>26.47</v>
      </c>
      <c r="V2283" s="171">
        <v>30.080000000000002</v>
      </c>
      <c r="W2283" s="171">
        <v>36.75</v>
      </c>
      <c r="X2283" s="171">
        <v>29.94</v>
      </c>
      <c r="Y2283" s="171">
        <v>26.25</v>
      </c>
      <c r="Z2283" s="171">
        <v>23.28</v>
      </c>
      <c r="AA2283" s="171">
        <v>23.06</v>
      </c>
      <c r="AB2283" s="171">
        <v>24.94</v>
      </c>
      <c r="AC2283" s="171">
        <v>23.63</v>
      </c>
      <c r="AD2283" s="171">
        <v>30.080000000000002</v>
      </c>
      <c r="AF2283" s="171">
        <f t="shared" si="107"/>
        <v>2016</v>
      </c>
      <c r="AG2283" s="171">
        <f t="shared" si="108"/>
        <v>24</v>
      </c>
      <c r="AH2283" s="700">
        <f>SUMIF(D$3:$AA2283,"&lt;="&amp;$AH$1)/COUNTIF(D$3:$AA2283,"&lt;="&amp;$AH$1)</f>
        <v>31.525779323750015</v>
      </c>
    </row>
    <row r="2284" spans="2:34" x14ac:dyDescent="0.25">
      <c r="B2284" s="910">
        <v>42424</v>
      </c>
      <c r="C2284" s="581">
        <f t="shared" si="106"/>
        <v>2</v>
      </c>
      <c r="D2284" s="171">
        <v>27.560000000000002</v>
      </c>
      <c r="E2284" s="171">
        <v>23.990000000000002</v>
      </c>
      <c r="F2284" s="171">
        <v>22.8</v>
      </c>
      <c r="G2284" s="171">
        <v>22.17</v>
      </c>
      <c r="H2284" s="171">
        <v>20.8</v>
      </c>
      <c r="I2284" s="171">
        <v>19.260000000000002</v>
      </c>
      <c r="J2284" s="171">
        <v>20.76</v>
      </c>
      <c r="K2284" s="171">
        <v>24.39</v>
      </c>
      <c r="L2284" s="171">
        <v>33.69</v>
      </c>
      <c r="M2284" s="171">
        <v>36.730000000000004</v>
      </c>
      <c r="N2284" s="171">
        <v>44.230000000000004</v>
      </c>
      <c r="O2284" s="171">
        <v>34.94</v>
      </c>
      <c r="P2284" s="171">
        <v>29.1</v>
      </c>
      <c r="Q2284" s="171">
        <v>23.8</v>
      </c>
      <c r="R2284" s="171">
        <v>24.96</v>
      </c>
      <c r="S2284" s="171">
        <v>25</v>
      </c>
      <c r="T2284" s="171">
        <v>24</v>
      </c>
      <c r="U2284" s="171">
        <v>25.43</v>
      </c>
      <c r="V2284" s="171">
        <v>32.04</v>
      </c>
      <c r="W2284" s="171">
        <v>36.130000000000003</v>
      </c>
      <c r="X2284" s="171">
        <v>37.31</v>
      </c>
      <c r="Y2284" s="171">
        <v>31.330000000000002</v>
      </c>
      <c r="Z2284" s="171">
        <v>24.88</v>
      </c>
      <c r="AA2284" s="171">
        <v>23.03</v>
      </c>
      <c r="AB2284" s="171">
        <v>20.740000000000002</v>
      </c>
      <c r="AC2284" s="171">
        <v>23.990000000000002</v>
      </c>
      <c r="AD2284" s="171">
        <v>31.14</v>
      </c>
      <c r="AF2284" s="171">
        <f t="shared" si="107"/>
        <v>2016</v>
      </c>
      <c r="AG2284" s="171">
        <f t="shared" si="108"/>
        <v>23</v>
      </c>
      <c r="AH2284" s="700">
        <f>SUMIF(D$3:$AA2284,"&lt;="&amp;$AH$1)/COUNTIF(D$3:$AA2284,"&lt;="&amp;$AH$1)</f>
        <v>31.520619251992091</v>
      </c>
    </row>
    <row r="2285" spans="2:34" x14ac:dyDescent="0.25">
      <c r="B2285" s="910">
        <v>42425</v>
      </c>
      <c r="C2285" s="581">
        <f t="shared" ref="C2285:C2348" si="109">MONTH(B2285)</f>
        <v>2</v>
      </c>
      <c r="D2285" s="171">
        <v>27.86</v>
      </c>
      <c r="E2285" s="171">
        <v>24.04</v>
      </c>
      <c r="F2285" s="171">
        <v>22.580000000000002</v>
      </c>
      <c r="G2285" s="171">
        <v>21.26</v>
      </c>
      <c r="H2285" s="171">
        <v>20.09</v>
      </c>
      <c r="I2285" s="171">
        <v>19.940000000000001</v>
      </c>
      <c r="J2285" s="171">
        <v>21.7</v>
      </c>
      <c r="K2285" s="171">
        <v>27.19</v>
      </c>
      <c r="L2285" s="171">
        <v>36.04</v>
      </c>
      <c r="M2285" s="171">
        <v>38.29</v>
      </c>
      <c r="N2285" s="171">
        <v>34.44</v>
      </c>
      <c r="O2285" s="171">
        <v>32.119999999999997</v>
      </c>
      <c r="P2285" s="171">
        <v>30.44</v>
      </c>
      <c r="Q2285" s="171">
        <v>26.55</v>
      </c>
      <c r="R2285" s="171">
        <v>26.01</v>
      </c>
      <c r="S2285" s="171">
        <v>25</v>
      </c>
      <c r="T2285" s="171">
        <v>24.78</v>
      </c>
      <c r="U2285" s="171">
        <v>25.39</v>
      </c>
      <c r="V2285" s="171">
        <v>31.16</v>
      </c>
      <c r="W2285" s="171">
        <v>39.910000000000004</v>
      </c>
      <c r="X2285" s="171">
        <v>36.51</v>
      </c>
      <c r="Y2285" s="171">
        <v>30.310000000000002</v>
      </c>
      <c r="Z2285" s="171">
        <v>25.2</v>
      </c>
      <c r="AA2285" s="171">
        <v>25.1</v>
      </c>
      <c r="AB2285" s="171">
        <v>24.63</v>
      </c>
      <c r="AC2285" s="171">
        <v>24.84</v>
      </c>
      <c r="AD2285" s="171">
        <v>30.88</v>
      </c>
      <c r="AF2285" s="171">
        <f t="shared" si="107"/>
        <v>2016</v>
      </c>
      <c r="AG2285" s="171">
        <f t="shared" si="108"/>
        <v>24</v>
      </c>
      <c r="AH2285" s="700">
        <f>SUMIF(D$3:$AA2285,"&lt;="&amp;$AH$1)/COUNTIF(D$3:$AA2285,"&lt;="&amp;$AH$1)</f>
        <v>31.516302816900854</v>
      </c>
    </row>
    <row r="2286" spans="2:34" x14ac:dyDescent="0.25">
      <c r="B2286" s="910">
        <v>42426</v>
      </c>
      <c r="C2286" s="581">
        <f t="shared" si="109"/>
        <v>2</v>
      </c>
      <c r="D2286" s="171">
        <v>28.09</v>
      </c>
      <c r="E2286" s="171">
        <v>25.44</v>
      </c>
      <c r="F2286" s="171">
        <v>23</v>
      </c>
      <c r="G2286" s="171">
        <v>21.11</v>
      </c>
      <c r="H2286" s="171">
        <v>20</v>
      </c>
      <c r="I2286" s="171">
        <v>21.02</v>
      </c>
      <c r="J2286" s="171">
        <v>22.07</v>
      </c>
      <c r="K2286" s="171">
        <v>27.35</v>
      </c>
      <c r="L2286" s="171">
        <v>32.93</v>
      </c>
      <c r="M2286" s="171">
        <v>36.08</v>
      </c>
      <c r="N2286" s="171">
        <v>33.480000000000004</v>
      </c>
      <c r="O2286" s="171">
        <v>32.6</v>
      </c>
      <c r="P2286" s="171">
        <v>29.5</v>
      </c>
      <c r="Q2286" s="171">
        <v>27.57</v>
      </c>
      <c r="R2286" s="171">
        <v>25.060000000000002</v>
      </c>
      <c r="S2286" s="171">
        <v>24</v>
      </c>
      <c r="T2286" s="171">
        <v>25.11</v>
      </c>
      <c r="U2286" s="171">
        <v>26.94</v>
      </c>
      <c r="V2286" s="171">
        <v>33.980000000000004</v>
      </c>
      <c r="W2286" s="171">
        <v>39.94</v>
      </c>
      <c r="X2286" s="171">
        <v>37.550000000000004</v>
      </c>
      <c r="Y2286" s="171">
        <v>31.18</v>
      </c>
      <c r="Z2286" s="171">
        <v>26.35</v>
      </c>
      <c r="AA2286" s="171">
        <v>26.86</v>
      </c>
      <c r="AB2286" s="171">
        <v>25</v>
      </c>
      <c r="AC2286" s="171">
        <v>25.19</v>
      </c>
      <c r="AD2286" s="171">
        <v>30.98</v>
      </c>
      <c r="AF2286" s="171">
        <f t="shared" si="107"/>
        <v>2016</v>
      </c>
      <c r="AG2286" s="171">
        <f t="shared" si="108"/>
        <v>24</v>
      </c>
      <c r="AH2286" s="700">
        <f>SUMIF(D$3:$AA2286,"&lt;="&amp;$AH$1)/COUNTIF(D$3:$AA2286,"&lt;="&amp;$AH$1)</f>
        <v>31.512267074413295</v>
      </c>
    </row>
    <row r="2287" spans="2:34" x14ac:dyDescent="0.25">
      <c r="B2287" s="910">
        <v>42429</v>
      </c>
      <c r="C2287" s="581">
        <f t="shared" si="109"/>
        <v>2</v>
      </c>
      <c r="D2287" s="171">
        <v>24.86</v>
      </c>
      <c r="E2287" s="171">
        <v>22.75</v>
      </c>
      <c r="F2287" s="171">
        <v>18.809999999999999</v>
      </c>
      <c r="G2287" s="171">
        <v>17.600000000000001</v>
      </c>
      <c r="H2287" s="171">
        <v>17.43</v>
      </c>
      <c r="I2287" s="171">
        <v>17.010000000000002</v>
      </c>
      <c r="J2287" s="171">
        <v>19.97</v>
      </c>
      <c r="K2287" s="171">
        <v>28.23</v>
      </c>
      <c r="L2287" s="171">
        <v>35.700000000000003</v>
      </c>
      <c r="M2287" s="171">
        <v>34.049999999999997</v>
      </c>
      <c r="N2287" s="171">
        <v>28.91</v>
      </c>
      <c r="O2287" s="171">
        <v>26</v>
      </c>
      <c r="P2287" s="171">
        <v>24.740000000000002</v>
      </c>
      <c r="Q2287" s="171">
        <v>23.71</v>
      </c>
      <c r="R2287" s="171">
        <v>22.64</v>
      </c>
      <c r="S2287" s="171">
        <v>22.16</v>
      </c>
      <c r="T2287" s="171">
        <v>22.34</v>
      </c>
      <c r="U2287" s="171">
        <v>22.72</v>
      </c>
      <c r="V2287" s="171">
        <v>26.580000000000002</v>
      </c>
      <c r="W2287" s="171">
        <v>34.03</v>
      </c>
      <c r="X2287" s="171">
        <v>32.119999999999997</v>
      </c>
      <c r="Y2287" s="171">
        <v>27.88</v>
      </c>
      <c r="Z2287" s="171">
        <v>24</v>
      </c>
      <c r="AA2287" s="171">
        <v>24</v>
      </c>
      <c r="AB2287" s="171">
        <v>23.32</v>
      </c>
      <c r="AC2287" s="171">
        <v>23.06</v>
      </c>
      <c r="AD2287" s="171">
        <v>26.67</v>
      </c>
      <c r="AF2287" s="171">
        <f t="shared" si="107"/>
        <v>2016</v>
      </c>
      <c r="AG2287" s="171">
        <f t="shared" si="108"/>
        <v>24</v>
      </c>
      <c r="AH2287" s="700">
        <f>SUMIF(D$3:$AA2287,"&lt;="&amp;$AH$1)/COUNTIF(D$3:$AA2287,"&lt;="&amp;$AH$1)</f>
        <v>31.504221136224235</v>
      </c>
    </row>
    <row r="2288" spans="2:34" x14ac:dyDescent="0.25">
      <c r="B2288" s="910">
        <v>42430</v>
      </c>
      <c r="C2288" s="581">
        <f t="shared" si="109"/>
        <v>3</v>
      </c>
      <c r="D2288" s="171">
        <v>26.2</v>
      </c>
      <c r="E2288" s="171">
        <v>22.76</v>
      </c>
      <c r="F2288" s="171">
        <v>22.11</v>
      </c>
      <c r="G2288" s="171">
        <v>20.400000000000002</v>
      </c>
      <c r="H2288" s="171">
        <v>19.740000000000002</v>
      </c>
      <c r="I2288" s="171">
        <v>19.96</v>
      </c>
      <c r="J2288" s="171">
        <v>20.45</v>
      </c>
      <c r="K2288" s="171">
        <v>27.14</v>
      </c>
      <c r="L2288" s="171">
        <v>32.93</v>
      </c>
      <c r="M2288" s="171">
        <v>38.660000000000004</v>
      </c>
      <c r="N2288" s="171">
        <v>36.6</v>
      </c>
      <c r="O2288" s="171">
        <v>35.6</v>
      </c>
      <c r="P2288" s="171">
        <v>31.68</v>
      </c>
      <c r="Q2288" s="171">
        <v>30</v>
      </c>
      <c r="R2288" s="171">
        <v>29.34</v>
      </c>
      <c r="S2288" s="171">
        <v>26.62</v>
      </c>
      <c r="T2288" s="171">
        <v>26.47</v>
      </c>
      <c r="U2288" s="171">
        <v>24.5</v>
      </c>
      <c r="V2288" s="171">
        <v>26.95</v>
      </c>
      <c r="W2288" s="171">
        <v>27.52</v>
      </c>
      <c r="X2288" s="171">
        <v>26.5</v>
      </c>
      <c r="Y2288" s="171">
        <v>25.07</v>
      </c>
      <c r="Z2288" s="171">
        <v>20.76</v>
      </c>
      <c r="AA2288" s="171">
        <v>19.37</v>
      </c>
      <c r="AB2288" s="171">
        <v>17.73</v>
      </c>
      <c r="AC2288" s="171">
        <v>22.37</v>
      </c>
      <c r="AD2288" s="171">
        <v>30.04</v>
      </c>
      <c r="AF2288" s="171">
        <f t="shared" si="107"/>
        <v>2016</v>
      </c>
      <c r="AG2288" s="171">
        <f t="shared" si="108"/>
        <v>24</v>
      </c>
      <c r="AH2288" s="700">
        <f>SUMIF(D$3:$AA2288,"&lt;="&amp;$AH$1)/COUNTIF(D$3:$AA2288,"&lt;="&amp;$AH$1)</f>
        <v>31.49818232662135</v>
      </c>
    </row>
    <row r="2289" spans="2:34" x14ac:dyDescent="0.25">
      <c r="B2289" s="910">
        <v>42431</v>
      </c>
      <c r="C2289" s="581">
        <f t="shared" si="109"/>
        <v>3</v>
      </c>
      <c r="D2289" s="171">
        <v>26.44</v>
      </c>
      <c r="E2289" s="171">
        <v>15</v>
      </c>
      <c r="F2289" s="171">
        <v>19.03</v>
      </c>
      <c r="G2289" s="171">
        <v>17.559999999999999</v>
      </c>
      <c r="H2289" s="171">
        <v>17.600000000000001</v>
      </c>
      <c r="I2289" s="171">
        <v>16.82</v>
      </c>
      <c r="J2289" s="171">
        <v>15.950000000000001</v>
      </c>
      <c r="K2289" s="171">
        <v>21.45</v>
      </c>
      <c r="L2289" s="171">
        <v>36.56</v>
      </c>
      <c r="M2289" s="171">
        <v>30.8</v>
      </c>
      <c r="N2289" s="171">
        <v>34.86</v>
      </c>
      <c r="O2289" s="171">
        <v>27.44</v>
      </c>
      <c r="P2289" s="171">
        <v>28</v>
      </c>
      <c r="Q2289" s="171">
        <v>27.43</v>
      </c>
      <c r="R2289" s="171">
        <v>26</v>
      </c>
      <c r="S2289" s="171">
        <v>25.92</v>
      </c>
      <c r="T2289" s="171">
        <v>28.060000000000002</v>
      </c>
      <c r="U2289" s="171">
        <v>28.560000000000002</v>
      </c>
      <c r="V2289" s="171">
        <v>31.990000000000002</v>
      </c>
      <c r="W2289" s="171">
        <v>40</v>
      </c>
      <c r="X2289" s="171">
        <v>38.450000000000003</v>
      </c>
      <c r="Y2289" s="171">
        <v>31</v>
      </c>
      <c r="Z2289" s="171">
        <v>27.490000000000002</v>
      </c>
      <c r="AA2289" s="171">
        <v>26.2</v>
      </c>
      <c r="AB2289" s="171">
        <v>22.44</v>
      </c>
      <c r="AC2289" s="171">
        <v>22.26</v>
      </c>
      <c r="AD2289" s="171">
        <v>30.63</v>
      </c>
      <c r="AF2289" s="171">
        <f t="shared" si="107"/>
        <v>2016</v>
      </c>
      <c r="AG2289" s="171">
        <f t="shared" si="108"/>
        <v>24</v>
      </c>
      <c r="AH2289" s="700">
        <f>SUMIF(D$3:$AA2289,"&lt;="&amp;$AH$1)/COUNTIF(D$3:$AA2289,"&lt;="&amp;$AH$1)</f>
        <v>31.492223237862518</v>
      </c>
    </row>
    <row r="2290" spans="2:34" x14ac:dyDescent="0.25">
      <c r="B2290" s="910">
        <v>42432</v>
      </c>
      <c r="C2290" s="581">
        <f t="shared" si="109"/>
        <v>3</v>
      </c>
      <c r="D2290" s="171">
        <v>28.45</v>
      </c>
      <c r="E2290" s="171">
        <v>20.75</v>
      </c>
      <c r="F2290" s="171">
        <v>19.73</v>
      </c>
      <c r="G2290" s="171">
        <v>18.64</v>
      </c>
      <c r="H2290" s="171">
        <v>17.93</v>
      </c>
      <c r="I2290" s="171">
        <v>18.260000000000002</v>
      </c>
      <c r="J2290" s="171">
        <v>19.38</v>
      </c>
      <c r="K2290" s="171">
        <v>24.580000000000002</v>
      </c>
      <c r="L2290" s="171">
        <v>30.96</v>
      </c>
      <c r="M2290" s="171">
        <v>31.04</v>
      </c>
      <c r="N2290" s="171">
        <v>31.25</v>
      </c>
      <c r="O2290" s="171">
        <v>31.16</v>
      </c>
      <c r="P2290" s="171">
        <v>31.94</v>
      </c>
      <c r="Q2290" s="171">
        <v>30.28</v>
      </c>
      <c r="R2290" s="171">
        <v>30.53</v>
      </c>
      <c r="S2290" s="171">
        <v>30.060000000000002</v>
      </c>
      <c r="T2290" s="171">
        <v>30.970000000000002</v>
      </c>
      <c r="U2290" s="171">
        <v>30.96</v>
      </c>
      <c r="V2290" s="171">
        <v>32.85</v>
      </c>
      <c r="W2290" s="171">
        <v>42.71</v>
      </c>
      <c r="X2290" s="171">
        <v>42.92</v>
      </c>
      <c r="Y2290" s="171">
        <v>34.86</v>
      </c>
      <c r="Z2290" s="171">
        <v>29.95</v>
      </c>
      <c r="AA2290" s="171">
        <v>27</v>
      </c>
      <c r="AB2290" s="171">
        <v>24</v>
      </c>
      <c r="AC2290" s="171">
        <v>23.84</v>
      </c>
      <c r="AD2290" s="171">
        <v>33.06</v>
      </c>
      <c r="AF2290" s="171">
        <f t="shared" si="107"/>
        <v>2016</v>
      </c>
      <c r="AG2290" s="171">
        <f t="shared" si="108"/>
        <v>22</v>
      </c>
      <c r="AH2290" s="700">
        <f>SUMIF(D$3:$AA2290,"&lt;="&amp;$AH$1)/COUNTIF(D$3:$AA2290,"&lt;="&amp;$AH$1)</f>
        <v>31.487592066551112</v>
      </c>
    </row>
    <row r="2291" spans="2:34" x14ac:dyDescent="0.25">
      <c r="B2291" s="910">
        <v>42433</v>
      </c>
      <c r="C2291" s="581">
        <f t="shared" si="109"/>
        <v>3</v>
      </c>
      <c r="D2291" s="171">
        <v>26.72</v>
      </c>
      <c r="E2291" s="171">
        <v>22.95</v>
      </c>
      <c r="F2291" s="171">
        <v>20.78</v>
      </c>
      <c r="G2291" s="171">
        <v>20.03</v>
      </c>
      <c r="H2291" s="171">
        <v>19.190000000000001</v>
      </c>
      <c r="I2291" s="171">
        <v>18.990000000000002</v>
      </c>
      <c r="J2291" s="171">
        <v>20.18</v>
      </c>
      <c r="K2291" s="171">
        <v>26.92</v>
      </c>
      <c r="L2291" s="171">
        <v>31.73</v>
      </c>
      <c r="M2291" s="171">
        <v>33.97</v>
      </c>
      <c r="N2291" s="171">
        <v>31.060000000000002</v>
      </c>
      <c r="O2291" s="171">
        <v>28.82</v>
      </c>
      <c r="P2291" s="171">
        <v>27.44</v>
      </c>
      <c r="Q2291" s="171">
        <v>25.37</v>
      </c>
      <c r="R2291" s="171">
        <v>24.55</v>
      </c>
      <c r="S2291" s="171">
        <v>25.64</v>
      </c>
      <c r="T2291" s="171">
        <v>27.44</v>
      </c>
      <c r="U2291" s="171">
        <v>29.94</v>
      </c>
      <c r="V2291" s="171">
        <v>32.44</v>
      </c>
      <c r="W2291" s="171">
        <v>33.99</v>
      </c>
      <c r="X2291" s="171">
        <v>33.700000000000003</v>
      </c>
      <c r="Y2291" s="171">
        <v>31.220000000000002</v>
      </c>
      <c r="Z2291" s="171">
        <v>26.73</v>
      </c>
      <c r="AA2291" s="171">
        <v>24.830000000000002</v>
      </c>
      <c r="AB2291" s="171">
        <v>23.29</v>
      </c>
      <c r="AC2291" s="171">
        <v>23.900000000000002</v>
      </c>
      <c r="AD2291" s="171">
        <v>29.53</v>
      </c>
      <c r="AF2291" s="171">
        <f t="shared" si="107"/>
        <v>2016</v>
      </c>
      <c r="AG2291" s="171">
        <f t="shared" si="108"/>
        <v>24</v>
      </c>
      <c r="AH2291" s="700">
        <f>SUMIF(D$3:$AA2291,"&lt;="&amp;$AH$1)/COUNTIF(D$3:$AA2291,"&lt;="&amp;$AH$1)</f>
        <v>31.481964738068104</v>
      </c>
    </row>
    <row r="2292" spans="2:34" x14ac:dyDescent="0.25">
      <c r="B2292" s="910">
        <v>42436</v>
      </c>
      <c r="C2292" s="581">
        <f t="shared" si="109"/>
        <v>3</v>
      </c>
      <c r="D2292" s="171">
        <v>29.91</v>
      </c>
      <c r="E2292" s="171">
        <v>25.45</v>
      </c>
      <c r="F2292" s="171">
        <v>23.3</v>
      </c>
      <c r="G2292" s="171">
        <v>22.23</v>
      </c>
      <c r="H2292" s="171">
        <v>20.02</v>
      </c>
      <c r="I2292" s="171">
        <v>20.440000000000001</v>
      </c>
      <c r="J2292" s="171">
        <v>21.87</v>
      </c>
      <c r="K2292" s="171">
        <v>32.700000000000003</v>
      </c>
      <c r="L2292" s="171">
        <v>36.520000000000003</v>
      </c>
      <c r="M2292" s="171">
        <v>39.43</v>
      </c>
      <c r="N2292" s="171">
        <v>35.18</v>
      </c>
      <c r="O2292" s="171">
        <v>31.98</v>
      </c>
      <c r="P2292" s="171">
        <v>29.96</v>
      </c>
      <c r="Q2292" s="171">
        <v>27.98</v>
      </c>
      <c r="R2292" s="171">
        <v>27.44</v>
      </c>
      <c r="S2292" s="171">
        <v>27.72</v>
      </c>
      <c r="T2292" s="171">
        <v>27.1</v>
      </c>
      <c r="U2292" s="171">
        <v>30.07</v>
      </c>
      <c r="V2292" s="171">
        <v>34.11</v>
      </c>
      <c r="W2292" s="171">
        <v>48.29</v>
      </c>
      <c r="X2292" s="171">
        <v>46.65</v>
      </c>
      <c r="Y2292" s="171">
        <v>30.03</v>
      </c>
      <c r="Z2292" s="171">
        <v>27.95</v>
      </c>
      <c r="AA2292" s="171">
        <v>26.96</v>
      </c>
      <c r="AB2292" s="171">
        <v>24.5</v>
      </c>
      <c r="AC2292" s="171">
        <v>26</v>
      </c>
      <c r="AD2292" s="171">
        <v>33.83</v>
      </c>
      <c r="AF2292" s="171">
        <f t="shared" si="107"/>
        <v>2016</v>
      </c>
      <c r="AG2292" s="171">
        <f t="shared" si="108"/>
        <v>22</v>
      </c>
      <c r="AH2292" s="700">
        <f>SUMIF(D$3:$AA2292,"&lt;="&amp;$AH$1)/COUNTIF(D$3:$AA2292,"&lt;="&amp;$AH$1)</f>
        <v>31.478713056679556</v>
      </c>
    </row>
    <row r="2293" spans="2:34" x14ac:dyDescent="0.25">
      <c r="B2293" s="910">
        <v>42437</v>
      </c>
      <c r="C2293" s="581">
        <f t="shared" si="109"/>
        <v>3</v>
      </c>
      <c r="D2293" s="171">
        <v>28.43</v>
      </c>
      <c r="E2293" s="171">
        <v>22.39</v>
      </c>
      <c r="F2293" s="171">
        <v>22.91</v>
      </c>
      <c r="G2293" s="171">
        <v>22.81</v>
      </c>
      <c r="H2293" s="171">
        <v>22</v>
      </c>
      <c r="I2293" s="171">
        <v>21.67</v>
      </c>
      <c r="J2293" s="171">
        <v>22.7</v>
      </c>
      <c r="K2293" s="171">
        <v>27.44</v>
      </c>
      <c r="L2293" s="171">
        <v>37.730000000000004</v>
      </c>
      <c r="M2293" s="171">
        <v>39.08</v>
      </c>
      <c r="N2293" s="171">
        <v>34.980000000000004</v>
      </c>
      <c r="O2293" s="171">
        <v>29.96</v>
      </c>
      <c r="P2293" s="171">
        <v>26.79</v>
      </c>
      <c r="Q2293" s="171">
        <v>25.830000000000002</v>
      </c>
      <c r="R2293" s="171">
        <v>26.09</v>
      </c>
      <c r="S2293" s="171">
        <v>25.78</v>
      </c>
      <c r="T2293" s="171">
        <v>26.05</v>
      </c>
      <c r="U2293" s="171">
        <v>27.92</v>
      </c>
      <c r="V2293" s="171">
        <v>33.1</v>
      </c>
      <c r="W2293" s="171">
        <v>44.93</v>
      </c>
      <c r="X2293" s="171">
        <v>37.44</v>
      </c>
      <c r="Y2293" s="171">
        <v>29.330000000000002</v>
      </c>
      <c r="Z2293" s="171">
        <v>25.07</v>
      </c>
      <c r="AA2293" s="171">
        <v>27.8</v>
      </c>
      <c r="AB2293" s="171">
        <v>22.61</v>
      </c>
      <c r="AC2293" s="171">
        <v>25.37</v>
      </c>
      <c r="AD2293" s="171">
        <v>31.5</v>
      </c>
      <c r="AF2293" s="171">
        <f t="shared" si="107"/>
        <v>2016</v>
      </c>
      <c r="AG2293" s="171">
        <f t="shared" si="108"/>
        <v>23</v>
      </c>
      <c r="AH2293" s="700">
        <f>SUMIF(D$3:$AA2293,"&lt;="&amp;$AH$1)/COUNTIF(D$3:$AA2293,"&lt;="&amp;$AH$1)</f>
        <v>31.474633270989635</v>
      </c>
    </row>
    <row r="2294" spans="2:34" x14ac:dyDescent="0.25">
      <c r="B2294" s="910">
        <v>42438</v>
      </c>
      <c r="C2294" s="581">
        <f t="shared" si="109"/>
        <v>3</v>
      </c>
      <c r="D2294" s="171">
        <v>26.23</v>
      </c>
      <c r="E2294" s="171">
        <v>23.8</v>
      </c>
      <c r="F2294" s="171">
        <v>22.03</v>
      </c>
      <c r="G2294" s="171">
        <v>20.94</v>
      </c>
      <c r="H2294" s="171">
        <v>20.080000000000002</v>
      </c>
      <c r="I2294" s="171">
        <v>20.010000000000002</v>
      </c>
      <c r="J2294" s="171">
        <v>21.14</v>
      </c>
      <c r="K2294" s="171">
        <v>24.95</v>
      </c>
      <c r="L2294" s="171">
        <v>31.92</v>
      </c>
      <c r="M2294" s="171">
        <v>30.53</v>
      </c>
      <c r="N2294" s="171">
        <v>26.09</v>
      </c>
      <c r="O2294" s="171">
        <v>23.830000000000002</v>
      </c>
      <c r="P2294" s="171">
        <v>25</v>
      </c>
      <c r="Q2294" s="171">
        <v>24.150000000000002</v>
      </c>
      <c r="R2294" s="171">
        <v>24.94</v>
      </c>
      <c r="S2294" s="171">
        <v>23.31</v>
      </c>
      <c r="T2294" s="171">
        <v>23.18</v>
      </c>
      <c r="U2294" s="171">
        <v>24.830000000000002</v>
      </c>
      <c r="V2294" s="171">
        <v>33</v>
      </c>
      <c r="W2294" s="171">
        <v>38.770000000000003</v>
      </c>
      <c r="X2294" s="171">
        <v>37.99</v>
      </c>
      <c r="Y2294" s="171">
        <v>29.810000000000002</v>
      </c>
      <c r="Z2294" s="171">
        <v>25.8</v>
      </c>
      <c r="AA2294" s="171">
        <v>27.51</v>
      </c>
      <c r="AB2294" s="171">
        <v>25.91</v>
      </c>
      <c r="AC2294" s="171">
        <v>24.490000000000002</v>
      </c>
      <c r="AD2294" s="171">
        <v>27.97</v>
      </c>
      <c r="AF2294" s="171">
        <f t="shared" si="107"/>
        <v>2016</v>
      </c>
      <c r="AG2294" s="171">
        <f t="shared" si="108"/>
        <v>24</v>
      </c>
      <c r="AH2294" s="700">
        <f>SUMIF(D$3:$AA2294,"&lt;="&amp;$AH$1)/COUNTIF(D$3:$AA2294,"&lt;="&amp;$AH$1)</f>
        <v>31.468294542332913</v>
      </c>
    </row>
    <row r="2295" spans="2:34" x14ac:dyDescent="0.25">
      <c r="B2295" s="910">
        <v>42439</v>
      </c>
      <c r="C2295" s="581">
        <f t="shared" si="109"/>
        <v>3</v>
      </c>
      <c r="D2295" s="171">
        <v>27.53</v>
      </c>
      <c r="E2295" s="171">
        <v>21.91</v>
      </c>
      <c r="F2295" s="171">
        <v>21.54</v>
      </c>
      <c r="G2295" s="171">
        <v>21.48</v>
      </c>
      <c r="H2295" s="171">
        <v>21.03</v>
      </c>
      <c r="I2295" s="171">
        <v>21.59</v>
      </c>
      <c r="J2295" s="171">
        <v>22.3</v>
      </c>
      <c r="K2295" s="171">
        <v>28.48</v>
      </c>
      <c r="L2295" s="171">
        <v>35.44</v>
      </c>
      <c r="M2295" s="171">
        <v>36.619999999999997</v>
      </c>
      <c r="N2295" s="171">
        <v>34.78</v>
      </c>
      <c r="O2295" s="171">
        <v>30.310000000000002</v>
      </c>
      <c r="P2295" s="171">
        <v>28.27</v>
      </c>
      <c r="Q2295" s="171">
        <v>26.35</v>
      </c>
      <c r="R2295" s="171">
        <v>25</v>
      </c>
      <c r="S2295" s="171">
        <v>25</v>
      </c>
      <c r="T2295" s="171">
        <v>24.89</v>
      </c>
      <c r="U2295" s="171">
        <v>25.03</v>
      </c>
      <c r="V2295" s="171">
        <v>29.95</v>
      </c>
      <c r="W2295" s="171">
        <v>35.49</v>
      </c>
      <c r="X2295" s="171">
        <v>39.800000000000004</v>
      </c>
      <c r="Y2295" s="171">
        <v>31.09</v>
      </c>
      <c r="Z2295" s="171">
        <v>27</v>
      </c>
      <c r="AA2295" s="171">
        <v>24.52</v>
      </c>
      <c r="AB2295" s="171">
        <v>22.96</v>
      </c>
      <c r="AC2295" s="171">
        <v>24.94</v>
      </c>
      <c r="AD2295" s="171">
        <v>30.12</v>
      </c>
      <c r="AF2295" s="171">
        <f t="shared" si="107"/>
        <v>2016</v>
      </c>
      <c r="AG2295" s="171">
        <f t="shared" si="108"/>
        <v>24</v>
      </c>
      <c r="AH2295" s="700">
        <f>SUMIF(D$3:$AA2295,"&lt;="&amp;$AH$1)/COUNTIF(D$3:$AA2295,"&lt;="&amp;$AH$1)</f>
        <v>31.463764308405434</v>
      </c>
    </row>
    <row r="2296" spans="2:34" x14ac:dyDescent="0.25">
      <c r="B2296" s="910">
        <v>42440</v>
      </c>
      <c r="C2296" s="581">
        <f t="shared" si="109"/>
        <v>3</v>
      </c>
      <c r="D2296" s="171">
        <v>28.29</v>
      </c>
      <c r="E2296" s="171">
        <v>23.61</v>
      </c>
      <c r="F2296" s="171">
        <v>22.46</v>
      </c>
      <c r="G2296" s="171">
        <v>21.96</v>
      </c>
      <c r="H2296" s="171">
        <v>21.44</v>
      </c>
      <c r="I2296" s="171">
        <v>21.75</v>
      </c>
      <c r="J2296" s="171">
        <v>23.13</v>
      </c>
      <c r="K2296" s="171">
        <v>28.73</v>
      </c>
      <c r="L2296" s="171">
        <v>34.910000000000004</v>
      </c>
      <c r="M2296" s="171">
        <v>38.340000000000003</v>
      </c>
      <c r="N2296" s="171">
        <v>36.69</v>
      </c>
      <c r="O2296" s="171">
        <v>32.910000000000004</v>
      </c>
      <c r="P2296" s="171">
        <v>32.020000000000003</v>
      </c>
      <c r="Q2296" s="171">
        <v>30.29</v>
      </c>
      <c r="R2296" s="171">
        <v>27.03</v>
      </c>
      <c r="S2296" s="171">
        <v>25.01</v>
      </c>
      <c r="T2296" s="171">
        <v>24.92</v>
      </c>
      <c r="U2296" s="171">
        <v>24.88</v>
      </c>
      <c r="V2296" s="171">
        <v>27.900000000000002</v>
      </c>
      <c r="W2296" s="171">
        <v>32.549999999999997</v>
      </c>
      <c r="X2296" s="171">
        <v>35.69</v>
      </c>
      <c r="Y2296" s="171">
        <v>30.69</v>
      </c>
      <c r="Z2296" s="171">
        <v>26.8</v>
      </c>
      <c r="AA2296" s="171">
        <v>29.1</v>
      </c>
      <c r="AB2296" s="171">
        <v>26.060000000000002</v>
      </c>
      <c r="AC2296" s="171">
        <v>25.89</v>
      </c>
      <c r="AD2296" s="171">
        <v>30.69</v>
      </c>
      <c r="AF2296" s="171">
        <f t="shared" si="107"/>
        <v>2016</v>
      </c>
      <c r="AG2296" s="171">
        <f t="shared" si="108"/>
        <v>24</v>
      </c>
      <c r="AH2296" s="700">
        <f>SUMIF(D$3:$AA2296,"&lt;="&amp;$AH$1)/COUNTIF(D$3:$AA2296,"&lt;="&amp;$AH$1)</f>
        <v>31.460035759253998</v>
      </c>
    </row>
    <row r="2297" spans="2:34" x14ac:dyDescent="0.25">
      <c r="B2297" s="910">
        <v>42443</v>
      </c>
      <c r="C2297" s="581">
        <f t="shared" si="109"/>
        <v>3</v>
      </c>
      <c r="D2297" s="171">
        <v>27.51</v>
      </c>
      <c r="E2297" s="171">
        <v>22.44</v>
      </c>
      <c r="F2297" s="171">
        <v>20.7</v>
      </c>
      <c r="G2297" s="171">
        <v>20.22</v>
      </c>
      <c r="H2297" s="171">
        <v>19.990000000000002</v>
      </c>
      <c r="I2297" s="171">
        <v>20.36</v>
      </c>
      <c r="J2297" s="171">
        <v>22</v>
      </c>
      <c r="K2297" s="171">
        <v>29.52</v>
      </c>
      <c r="L2297" s="171">
        <v>35.43</v>
      </c>
      <c r="M2297" s="171">
        <v>35.81</v>
      </c>
      <c r="N2297" s="171">
        <v>31.75</v>
      </c>
      <c r="O2297" s="171">
        <v>28.82</v>
      </c>
      <c r="P2297" s="171">
        <v>24.330000000000002</v>
      </c>
      <c r="Q2297" s="171">
        <v>23.31</v>
      </c>
      <c r="R2297" s="171">
        <v>22.84</v>
      </c>
      <c r="S2297" s="171">
        <v>22.55</v>
      </c>
      <c r="T2297" s="171">
        <v>23.04</v>
      </c>
      <c r="U2297" s="171">
        <v>24.8</v>
      </c>
      <c r="V2297" s="171">
        <v>29.94</v>
      </c>
      <c r="W2297" s="171">
        <v>39.480000000000004</v>
      </c>
      <c r="X2297" s="171">
        <v>47.92</v>
      </c>
      <c r="Y2297" s="171">
        <v>34.32</v>
      </c>
      <c r="Z2297" s="171">
        <v>29.48</v>
      </c>
      <c r="AA2297" s="171">
        <v>26.37</v>
      </c>
      <c r="AB2297" s="171">
        <v>24.79</v>
      </c>
      <c r="AC2297" s="171">
        <v>25.47</v>
      </c>
      <c r="AD2297" s="171">
        <v>29.55</v>
      </c>
      <c r="AF2297" s="171">
        <f t="shared" si="107"/>
        <v>2016</v>
      </c>
      <c r="AG2297" s="171">
        <f t="shared" si="108"/>
        <v>23</v>
      </c>
      <c r="AH2297" s="700">
        <f>SUMIF(D$3:$AA2297,"&lt;="&amp;$AH$1)/COUNTIF(D$3:$AA2297,"&lt;="&amp;$AH$1)</f>
        <v>31.454573900794248</v>
      </c>
    </row>
    <row r="2298" spans="2:34" x14ac:dyDescent="0.25">
      <c r="B2298" s="910">
        <v>42444</v>
      </c>
      <c r="C2298" s="581">
        <f t="shared" si="109"/>
        <v>3</v>
      </c>
      <c r="D2298" s="171">
        <v>27.91</v>
      </c>
      <c r="E2298" s="171">
        <v>22.67</v>
      </c>
      <c r="F2298" s="171">
        <v>21.34</v>
      </c>
      <c r="G2298" s="171">
        <v>21.17</v>
      </c>
      <c r="H2298" s="171">
        <v>20.740000000000002</v>
      </c>
      <c r="I2298" s="171">
        <v>20.91</v>
      </c>
      <c r="J2298" s="171">
        <v>23.8</v>
      </c>
      <c r="K2298" s="171">
        <v>29.3</v>
      </c>
      <c r="L2298" s="171">
        <v>35.75</v>
      </c>
      <c r="M2298" s="171">
        <v>39.770000000000003</v>
      </c>
      <c r="N2298" s="171">
        <v>39.300000000000004</v>
      </c>
      <c r="O2298" s="171">
        <v>36.090000000000003</v>
      </c>
      <c r="P2298" s="171">
        <v>34.31</v>
      </c>
      <c r="Q2298" s="171">
        <v>30.93</v>
      </c>
      <c r="R2298" s="171">
        <v>27.44</v>
      </c>
      <c r="S2298" s="171">
        <v>24.78</v>
      </c>
      <c r="T2298" s="171">
        <v>23.71</v>
      </c>
      <c r="U2298" s="171">
        <v>23.3</v>
      </c>
      <c r="V2298" s="171">
        <v>25.45</v>
      </c>
      <c r="W2298" s="171">
        <v>31.91</v>
      </c>
      <c r="X2298" s="171">
        <v>34.58</v>
      </c>
      <c r="Y2298" s="171">
        <v>29.94</v>
      </c>
      <c r="Z2298" s="171">
        <v>25.09</v>
      </c>
      <c r="AA2298" s="171">
        <v>25.5</v>
      </c>
      <c r="AB2298" s="171">
        <v>22.11</v>
      </c>
      <c r="AC2298" s="171">
        <v>24.86</v>
      </c>
      <c r="AD2298" s="171">
        <v>30.96</v>
      </c>
      <c r="AF2298" s="171">
        <f t="shared" si="107"/>
        <v>2016</v>
      </c>
      <c r="AG2298" s="171">
        <f t="shared" si="108"/>
        <v>24</v>
      </c>
      <c r="AH2298" s="700">
        <f>SUMIF(D$3:$AA2298,"&lt;="&amp;$AH$1)/COUNTIF(D$3:$AA2298,"&lt;="&amp;$AH$1)</f>
        <v>31.450593407697127</v>
      </c>
    </row>
    <row r="2299" spans="2:34" x14ac:dyDescent="0.25">
      <c r="B2299" s="910">
        <v>42445</v>
      </c>
      <c r="C2299" s="581">
        <f t="shared" si="109"/>
        <v>3</v>
      </c>
      <c r="D2299" s="171">
        <v>26.490000000000002</v>
      </c>
      <c r="E2299" s="171">
        <v>22.330000000000002</v>
      </c>
      <c r="F2299" s="171">
        <v>22.11</v>
      </c>
      <c r="G2299" s="171">
        <v>21.6</v>
      </c>
      <c r="H2299" s="171">
        <v>20.059999999999999</v>
      </c>
      <c r="I2299" s="171">
        <v>20.490000000000002</v>
      </c>
      <c r="J2299" s="171">
        <v>22.11</v>
      </c>
      <c r="K2299" s="171">
        <v>27.17</v>
      </c>
      <c r="L2299" s="171">
        <v>34.26</v>
      </c>
      <c r="M2299" s="171">
        <v>33.68</v>
      </c>
      <c r="N2299" s="171">
        <v>28.3</v>
      </c>
      <c r="O2299" s="171">
        <v>26.27</v>
      </c>
      <c r="P2299" s="171">
        <v>24.43</v>
      </c>
      <c r="Q2299" s="171">
        <v>22.96</v>
      </c>
      <c r="R2299" s="171">
        <v>22.81</v>
      </c>
      <c r="S2299" s="171">
        <v>22.62</v>
      </c>
      <c r="T2299" s="171">
        <v>22.51</v>
      </c>
      <c r="U2299" s="171">
        <v>23.94</v>
      </c>
      <c r="V2299" s="171">
        <v>29.92</v>
      </c>
      <c r="W2299" s="171">
        <v>35.6</v>
      </c>
      <c r="X2299" s="171">
        <v>39.94</v>
      </c>
      <c r="Y2299" s="171">
        <v>32.660000000000004</v>
      </c>
      <c r="Z2299" s="171">
        <v>28.14</v>
      </c>
      <c r="AA2299" s="171">
        <v>26.5</v>
      </c>
      <c r="AB2299" s="171">
        <v>25.28</v>
      </c>
      <c r="AC2299" s="171">
        <v>25.23</v>
      </c>
      <c r="AD2299" s="171">
        <v>27.75</v>
      </c>
      <c r="AF2299" s="171">
        <f t="shared" si="107"/>
        <v>2016</v>
      </c>
      <c r="AG2299" s="171">
        <f t="shared" si="108"/>
        <v>24</v>
      </c>
      <c r="AH2299" s="700">
        <f>SUMIF(D$3:$AA2299,"&lt;="&amp;$AH$1)/COUNTIF(D$3:$AA2299,"&lt;="&amp;$AH$1)</f>
        <v>31.444675800461123</v>
      </c>
    </row>
    <row r="2300" spans="2:34" x14ac:dyDescent="0.25">
      <c r="B2300" s="910">
        <v>42446</v>
      </c>
      <c r="C2300" s="581">
        <f t="shared" si="109"/>
        <v>3</v>
      </c>
      <c r="D2300" s="171">
        <v>29.37</v>
      </c>
      <c r="E2300" s="171">
        <v>23.080000000000002</v>
      </c>
      <c r="F2300" s="171">
        <v>22.39</v>
      </c>
      <c r="G2300" s="171">
        <v>22.63</v>
      </c>
      <c r="H2300" s="171">
        <v>22.38</v>
      </c>
      <c r="I2300" s="171">
        <v>22.52</v>
      </c>
      <c r="J2300" s="171">
        <v>23.990000000000002</v>
      </c>
      <c r="K2300" s="171">
        <v>33.9</v>
      </c>
      <c r="L2300" s="171">
        <v>38.160000000000004</v>
      </c>
      <c r="M2300" s="171">
        <v>36</v>
      </c>
      <c r="N2300" s="171">
        <v>36</v>
      </c>
      <c r="O2300" s="171">
        <v>36</v>
      </c>
      <c r="P2300" s="171">
        <v>29.23</v>
      </c>
      <c r="Q2300" s="171">
        <v>23.72</v>
      </c>
      <c r="R2300" s="171">
        <v>23.7</v>
      </c>
      <c r="S2300" s="171">
        <v>22.89</v>
      </c>
      <c r="T2300" s="171">
        <v>23.43</v>
      </c>
      <c r="U2300" s="171">
        <v>25.85</v>
      </c>
      <c r="V2300" s="171">
        <v>31.92</v>
      </c>
      <c r="W2300" s="171">
        <v>38.81</v>
      </c>
      <c r="X2300" s="171">
        <v>46.69</v>
      </c>
      <c r="Y2300" s="171">
        <v>37.76</v>
      </c>
      <c r="Z2300" s="171">
        <v>30.98</v>
      </c>
      <c r="AA2300" s="171">
        <v>27.89</v>
      </c>
      <c r="AB2300" s="171">
        <v>24.94</v>
      </c>
      <c r="AC2300" s="171">
        <v>27.55</v>
      </c>
      <c r="AD2300" s="171">
        <v>31.19</v>
      </c>
      <c r="AF2300" s="171">
        <f t="shared" si="107"/>
        <v>2016</v>
      </c>
      <c r="AG2300" s="171">
        <f t="shared" si="108"/>
        <v>23</v>
      </c>
      <c r="AH2300" s="700">
        <f>SUMIF(D$3:$AA2300,"&lt;="&amp;$AH$1)/COUNTIF(D$3:$AA2300,"&lt;="&amp;$AH$1)</f>
        <v>31.441636673516889</v>
      </c>
    </row>
    <row r="2301" spans="2:34" x14ac:dyDescent="0.25">
      <c r="B2301" s="910">
        <v>42447</v>
      </c>
      <c r="C2301" s="581">
        <f t="shared" si="109"/>
        <v>3</v>
      </c>
      <c r="D2301" s="171">
        <v>28.13</v>
      </c>
      <c r="E2301" s="171">
        <v>24.94</v>
      </c>
      <c r="F2301" s="171">
        <v>23.240000000000002</v>
      </c>
      <c r="G2301" s="171">
        <v>21.82</v>
      </c>
      <c r="H2301" s="171">
        <v>21.97</v>
      </c>
      <c r="I2301" s="171">
        <v>22.01</v>
      </c>
      <c r="J2301" s="171">
        <v>23.240000000000002</v>
      </c>
      <c r="K2301" s="171">
        <v>27.44</v>
      </c>
      <c r="L2301" s="171">
        <v>33.96</v>
      </c>
      <c r="M2301" s="171">
        <v>32.64</v>
      </c>
      <c r="N2301" s="171">
        <v>29.01</v>
      </c>
      <c r="O2301" s="171">
        <v>25.060000000000002</v>
      </c>
      <c r="P2301" s="171">
        <v>35.5</v>
      </c>
      <c r="Q2301" s="171">
        <v>35.5</v>
      </c>
      <c r="R2301" s="171">
        <v>29.94</v>
      </c>
      <c r="S2301" s="171">
        <v>26.78</v>
      </c>
      <c r="T2301" s="171">
        <v>23.46</v>
      </c>
      <c r="U2301" s="171">
        <v>24.42</v>
      </c>
      <c r="V2301" s="171">
        <v>27.82</v>
      </c>
      <c r="W2301" s="171">
        <v>33.99</v>
      </c>
      <c r="X2301" s="171">
        <v>39.300000000000004</v>
      </c>
      <c r="Y2301" s="171">
        <v>33.910000000000004</v>
      </c>
      <c r="Z2301" s="171">
        <v>27.09</v>
      </c>
      <c r="AA2301" s="171">
        <v>26.92</v>
      </c>
      <c r="AB2301" s="171">
        <v>25.150000000000002</v>
      </c>
      <c r="AC2301" s="171">
        <v>25.97</v>
      </c>
      <c r="AD2301" s="171">
        <v>30.28</v>
      </c>
      <c r="AF2301" s="171">
        <f t="shared" si="107"/>
        <v>2016</v>
      </c>
      <c r="AG2301" s="171">
        <f t="shared" si="108"/>
        <v>24</v>
      </c>
      <c r="AH2301" s="700">
        <f>SUMIF(D$3:$AA2301,"&lt;="&amp;$AH$1)/COUNTIF(D$3:$AA2301,"&lt;="&amp;$AH$1)</f>
        <v>31.437806038150917</v>
      </c>
    </row>
    <row r="2302" spans="2:34" x14ac:dyDescent="0.25">
      <c r="B2302" s="910">
        <v>42450</v>
      </c>
      <c r="C2302" s="581">
        <f t="shared" si="109"/>
        <v>3</v>
      </c>
      <c r="D2302" s="171">
        <v>27.37</v>
      </c>
      <c r="E2302" s="171">
        <v>27.6</v>
      </c>
      <c r="F2302" s="171">
        <v>25.990000000000002</v>
      </c>
      <c r="G2302" s="171">
        <v>24.98</v>
      </c>
      <c r="H2302" s="171">
        <v>21</v>
      </c>
      <c r="I2302" s="171">
        <v>21.62</v>
      </c>
      <c r="J2302" s="171">
        <v>23.84</v>
      </c>
      <c r="K2302" s="171">
        <v>32.01</v>
      </c>
      <c r="L2302" s="171">
        <v>31.720000000000002</v>
      </c>
      <c r="M2302" s="171">
        <v>31.55</v>
      </c>
      <c r="N2302" s="171">
        <v>31</v>
      </c>
      <c r="O2302" s="171">
        <v>29.94</v>
      </c>
      <c r="P2302" s="171">
        <v>30</v>
      </c>
      <c r="Q2302" s="171">
        <v>26.45</v>
      </c>
      <c r="R2302" s="171">
        <v>26.1</v>
      </c>
      <c r="S2302" s="171">
        <v>24.330000000000002</v>
      </c>
      <c r="T2302" s="171">
        <v>24.51</v>
      </c>
      <c r="U2302" s="171">
        <v>24.07</v>
      </c>
      <c r="V2302" s="171">
        <v>27.63</v>
      </c>
      <c r="W2302" s="171">
        <v>31</v>
      </c>
      <c r="X2302" s="171">
        <v>35.369999999999997</v>
      </c>
      <c r="Y2302" s="171">
        <v>31.63</v>
      </c>
      <c r="Z2302" s="171">
        <v>26.23</v>
      </c>
      <c r="AA2302" s="171">
        <v>26.16</v>
      </c>
      <c r="AB2302" s="171">
        <v>22.12</v>
      </c>
      <c r="AC2302" s="171">
        <v>26.240000000000002</v>
      </c>
      <c r="AD2302" s="171">
        <v>28.5</v>
      </c>
      <c r="AF2302" s="171">
        <f t="shared" si="107"/>
        <v>2016</v>
      </c>
      <c r="AG2302" s="171">
        <f t="shared" si="108"/>
        <v>24</v>
      </c>
      <c r="AH2302" s="700">
        <f>SUMIF(D$3:$AA2302,"&lt;="&amp;$AH$1)/COUNTIF(D$3:$AA2302,"&lt;="&amp;$AH$1)</f>
        <v>31.433184977746063</v>
      </c>
    </row>
    <row r="2303" spans="2:34" x14ac:dyDescent="0.25">
      <c r="B2303" s="910">
        <v>42451</v>
      </c>
      <c r="C2303" s="581">
        <f t="shared" si="109"/>
        <v>3</v>
      </c>
      <c r="D2303" s="171">
        <v>29.11</v>
      </c>
      <c r="E2303" s="171">
        <v>22.740000000000002</v>
      </c>
      <c r="F2303" s="171">
        <v>21.81</v>
      </c>
      <c r="G2303" s="171">
        <v>21.71</v>
      </c>
      <c r="H2303" s="171">
        <v>21.84</v>
      </c>
      <c r="I2303" s="171">
        <v>21.96</v>
      </c>
      <c r="J2303" s="171">
        <v>22.740000000000002</v>
      </c>
      <c r="K2303" s="171">
        <v>25.89</v>
      </c>
      <c r="L2303" s="171">
        <v>30.42</v>
      </c>
      <c r="M2303" s="171">
        <v>32.14</v>
      </c>
      <c r="N2303" s="171">
        <v>32.01</v>
      </c>
      <c r="O2303" s="171">
        <v>29.63</v>
      </c>
      <c r="P2303" s="171">
        <v>30.5</v>
      </c>
      <c r="Q2303" s="171">
        <v>29.27</v>
      </c>
      <c r="R2303" s="171">
        <v>29.25</v>
      </c>
      <c r="S2303" s="171">
        <v>29.12</v>
      </c>
      <c r="T2303" s="171">
        <v>29.29</v>
      </c>
      <c r="U2303" s="171">
        <v>30.080000000000002</v>
      </c>
      <c r="V2303" s="171">
        <v>34.01</v>
      </c>
      <c r="W2303" s="171">
        <v>36.730000000000004</v>
      </c>
      <c r="X2303" s="171">
        <v>40.64</v>
      </c>
      <c r="Y2303" s="171">
        <v>38.1</v>
      </c>
      <c r="Z2303" s="171">
        <v>33.049999999999997</v>
      </c>
      <c r="AA2303" s="171">
        <v>30.27</v>
      </c>
      <c r="AB2303" s="171">
        <v>25.41</v>
      </c>
      <c r="AC2303" s="171">
        <v>26.330000000000002</v>
      </c>
      <c r="AD2303" s="171">
        <v>31.89</v>
      </c>
      <c r="AF2303" s="171">
        <f t="shared" si="107"/>
        <v>2016</v>
      </c>
      <c r="AG2303" s="171">
        <f t="shared" si="108"/>
        <v>24</v>
      </c>
      <c r="AH2303" s="700">
        <f>SUMIF(D$3:$AA2303,"&lt;="&amp;$AH$1)/COUNTIF(D$3:$AA2303,"&lt;="&amp;$AH$1)</f>
        <v>31.430583387442589</v>
      </c>
    </row>
    <row r="2304" spans="2:34" x14ac:dyDescent="0.25">
      <c r="B2304" s="910">
        <v>42452</v>
      </c>
      <c r="C2304" s="581">
        <f t="shared" si="109"/>
        <v>3</v>
      </c>
      <c r="D2304" s="171">
        <v>27.72</v>
      </c>
      <c r="E2304" s="171">
        <v>22.69</v>
      </c>
      <c r="F2304" s="171">
        <v>22.45</v>
      </c>
      <c r="G2304" s="171">
        <v>20.93</v>
      </c>
      <c r="H2304" s="171">
        <v>21.330000000000002</v>
      </c>
      <c r="I2304" s="171">
        <v>21.51</v>
      </c>
      <c r="J2304" s="171">
        <v>21.93</v>
      </c>
      <c r="K2304" s="171">
        <v>26.26</v>
      </c>
      <c r="L2304" s="171">
        <v>33.06</v>
      </c>
      <c r="M2304" s="171">
        <v>35.369999999999997</v>
      </c>
      <c r="N2304" s="171">
        <v>33.950000000000003</v>
      </c>
      <c r="O2304" s="171">
        <v>32.44</v>
      </c>
      <c r="P2304" s="171">
        <v>31.05</v>
      </c>
      <c r="Q2304" s="171">
        <v>29.8</v>
      </c>
      <c r="R2304" s="171">
        <v>25</v>
      </c>
      <c r="S2304" s="171">
        <v>24.03</v>
      </c>
      <c r="T2304" s="171">
        <v>24.13</v>
      </c>
      <c r="U2304" s="171">
        <v>24.18</v>
      </c>
      <c r="V2304" s="171">
        <v>28</v>
      </c>
      <c r="W2304" s="171">
        <v>32.44</v>
      </c>
      <c r="X2304" s="171">
        <v>37.160000000000004</v>
      </c>
      <c r="Y2304" s="171">
        <v>35.25</v>
      </c>
      <c r="Z2304" s="171">
        <v>31.6</v>
      </c>
      <c r="AA2304" s="171">
        <v>25.900000000000002</v>
      </c>
      <c r="AB2304" s="171">
        <v>24.87</v>
      </c>
      <c r="AC2304" s="171">
        <v>25.650000000000002</v>
      </c>
      <c r="AD2304" s="171">
        <v>29.8</v>
      </c>
      <c r="AF2304" s="171">
        <f t="shared" si="107"/>
        <v>2016</v>
      </c>
      <c r="AG2304" s="171">
        <f t="shared" si="108"/>
        <v>24</v>
      </c>
      <c r="AH2304" s="700">
        <f>SUMIF(D$3:$AA2304,"&lt;="&amp;$AH$1)/COUNTIF(D$3:$AA2304,"&lt;="&amp;$AH$1)</f>
        <v>31.426285357944032</v>
      </c>
    </row>
    <row r="2305" spans="2:34" x14ac:dyDescent="0.25">
      <c r="B2305" s="910">
        <v>42453</v>
      </c>
      <c r="C2305" s="581">
        <f t="shared" si="109"/>
        <v>3</v>
      </c>
      <c r="D2305" s="171">
        <v>28.04</v>
      </c>
      <c r="E2305" s="171">
        <v>22.72</v>
      </c>
      <c r="F2305" s="171">
        <v>21.91</v>
      </c>
      <c r="G2305" s="171">
        <v>21.37</v>
      </c>
      <c r="H2305" s="171">
        <v>21.38</v>
      </c>
      <c r="I2305" s="171">
        <v>21.75</v>
      </c>
      <c r="J2305" s="171">
        <v>22.990000000000002</v>
      </c>
      <c r="K2305" s="171">
        <v>31.490000000000002</v>
      </c>
      <c r="L2305" s="171">
        <v>35</v>
      </c>
      <c r="M2305" s="171">
        <v>34.94</v>
      </c>
      <c r="N2305" s="171">
        <v>32.4</v>
      </c>
      <c r="O2305" s="171">
        <v>31.69</v>
      </c>
      <c r="P2305" s="171">
        <v>31</v>
      </c>
      <c r="Q2305" s="171">
        <v>28.62</v>
      </c>
      <c r="R2305" s="171">
        <v>27.27</v>
      </c>
      <c r="S2305" s="171">
        <v>26.5</v>
      </c>
      <c r="T2305" s="171">
        <v>25.35</v>
      </c>
      <c r="U2305" s="171">
        <v>26.6</v>
      </c>
      <c r="V2305" s="171">
        <v>30</v>
      </c>
      <c r="W2305" s="171">
        <v>32.47</v>
      </c>
      <c r="X2305" s="171">
        <v>35.18</v>
      </c>
      <c r="Y2305" s="171">
        <v>33.97</v>
      </c>
      <c r="Z2305" s="171">
        <v>27.64</v>
      </c>
      <c r="AA2305" s="171">
        <v>26.63</v>
      </c>
      <c r="AB2305" s="171">
        <v>23.98</v>
      </c>
      <c r="AC2305" s="171">
        <v>25.900000000000002</v>
      </c>
      <c r="AD2305" s="171">
        <v>30.17</v>
      </c>
      <c r="AF2305" s="171">
        <f t="shared" si="107"/>
        <v>2016</v>
      </c>
      <c r="AG2305" s="171">
        <f t="shared" si="108"/>
        <v>24</v>
      </c>
      <c r="AH2305" s="700">
        <f>SUMIF(D$3:$AA2305,"&lt;="&amp;$AH$1)/COUNTIF(D$3:$AA2305,"&lt;="&amp;$AH$1)</f>
        <v>31.422432607503517</v>
      </c>
    </row>
    <row r="2306" spans="2:34" x14ac:dyDescent="0.25">
      <c r="B2306" s="910">
        <v>42454</v>
      </c>
      <c r="C2306" s="581">
        <f t="shared" si="109"/>
        <v>3</v>
      </c>
      <c r="D2306" s="171">
        <v>16.5</v>
      </c>
      <c r="E2306" s="171">
        <v>7.33</v>
      </c>
      <c r="F2306" s="171">
        <v>15</v>
      </c>
      <c r="G2306" s="171">
        <v>16.55</v>
      </c>
      <c r="H2306" s="171">
        <v>16.559999999999999</v>
      </c>
      <c r="I2306" s="171">
        <v>15.8</v>
      </c>
      <c r="J2306" s="171">
        <v>18.39</v>
      </c>
      <c r="K2306" s="171">
        <v>19.900000000000002</v>
      </c>
      <c r="L2306" s="171">
        <v>13.030000000000001</v>
      </c>
      <c r="M2306" s="171">
        <v>17.559999999999999</v>
      </c>
      <c r="N2306" s="171">
        <v>17.88</v>
      </c>
      <c r="O2306" s="171">
        <v>17.93</v>
      </c>
      <c r="P2306" s="171">
        <v>16.27</v>
      </c>
      <c r="Q2306" s="171">
        <v>14.06</v>
      </c>
      <c r="R2306" s="171">
        <v>10.01</v>
      </c>
      <c r="S2306" s="171">
        <v>15</v>
      </c>
      <c r="T2306" s="171">
        <v>10.120000000000001</v>
      </c>
      <c r="U2306" s="171">
        <v>19.7</v>
      </c>
      <c r="V2306" s="171">
        <v>16.98</v>
      </c>
      <c r="W2306" s="171">
        <v>19.7</v>
      </c>
      <c r="X2306" s="171">
        <v>22.86</v>
      </c>
      <c r="Y2306" s="171">
        <v>20.36</v>
      </c>
      <c r="Z2306" s="171">
        <v>19.98</v>
      </c>
      <c r="AA2306" s="171">
        <v>18.5</v>
      </c>
      <c r="AB2306" s="171">
        <v>30</v>
      </c>
      <c r="AC2306" s="171">
        <v>25.3</v>
      </c>
      <c r="AD2306" s="171">
        <v>27.38</v>
      </c>
      <c r="AF2306" s="171">
        <f t="shared" si="107"/>
        <v>2016</v>
      </c>
      <c r="AG2306" s="171">
        <f t="shared" si="108"/>
        <v>24</v>
      </c>
      <c r="AH2306" s="700">
        <f>SUMIF(D$3:$AA2306,"&lt;="&amp;$AH$1)/COUNTIF(D$3:$AA2306,"&lt;="&amp;$AH$1)</f>
        <v>31.40460707709094</v>
      </c>
    </row>
    <row r="2307" spans="2:34" x14ac:dyDescent="0.25">
      <c r="B2307" s="910">
        <v>42457</v>
      </c>
      <c r="C2307" s="581">
        <f t="shared" si="109"/>
        <v>3</v>
      </c>
      <c r="D2307" s="171">
        <v>16.5</v>
      </c>
      <c r="E2307" s="171">
        <v>7.33</v>
      </c>
      <c r="F2307" s="171">
        <v>15</v>
      </c>
      <c r="G2307" s="171">
        <v>16.55</v>
      </c>
      <c r="H2307" s="171">
        <v>16.559999999999999</v>
      </c>
      <c r="I2307" s="171">
        <v>15.8</v>
      </c>
      <c r="J2307" s="171">
        <v>18.39</v>
      </c>
      <c r="K2307" s="171">
        <v>19.900000000000002</v>
      </c>
      <c r="L2307" s="171">
        <v>13.030000000000001</v>
      </c>
      <c r="M2307" s="171">
        <v>17.559999999999999</v>
      </c>
      <c r="N2307" s="171">
        <v>17.88</v>
      </c>
      <c r="O2307" s="171">
        <v>17.93</v>
      </c>
      <c r="P2307" s="171">
        <v>16.27</v>
      </c>
      <c r="Q2307" s="171">
        <v>14.06</v>
      </c>
      <c r="R2307" s="171">
        <v>10.01</v>
      </c>
      <c r="S2307" s="171">
        <v>15</v>
      </c>
      <c r="T2307" s="171">
        <v>10.120000000000001</v>
      </c>
      <c r="U2307" s="171">
        <v>19.7</v>
      </c>
      <c r="V2307" s="171">
        <v>16.98</v>
      </c>
      <c r="W2307" s="171">
        <v>19.7</v>
      </c>
      <c r="X2307" s="171">
        <v>22.86</v>
      </c>
      <c r="Y2307" s="171">
        <v>20.36</v>
      </c>
      <c r="Z2307" s="171">
        <v>19.98</v>
      </c>
      <c r="AA2307" s="171">
        <v>18.5</v>
      </c>
      <c r="AB2307" s="171">
        <v>30</v>
      </c>
      <c r="AC2307" s="171">
        <v>25.3</v>
      </c>
      <c r="AD2307" s="171">
        <v>27.38</v>
      </c>
      <c r="AF2307" s="171">
        <f t="shared" si="107"/>
        <v>2016</v>
      </c>
      <c r="AG2307" s="171">
        <f t="shared" si="108"/>
        <v>24</v>
      </c>
      <c r="AH2307" s="700">
        <f>SUMIF(D$3:$AA2307,"&lt;="&amp;$AH$1)/COUNTIF(D$3:$AA2307,"&lt;="&amp;$AH$1)</f>
        <v>31.386824079136474</v>
      </c>
    </row>
    <row r="2308" spans="2:34" x14ac:dyDescent="0.25">
      <c r="B2308" s="910">
        <v>42458</v>
      </c>
      <c r="C2308" s="581">
        <f t="shared" si="109"/>
        <v>3</v>
      </c>
      <c r="D2308" s="171">
        <v>27.01</v>
      </c>
      <c r="E2308" s="171">
        <v>17.190000000000001</v>
      </c>
      <c r="F2308" s="171">
        <v>17.03</v>
      </c>
      <c r="G2308" s="171">
        <v>15.16</v>
      </c>
      <c r="H2308" s="171">
        <v>15.280000000000001</v>
      </c>
      <c r="I2308" s="171">
        <v>8.3000000000000007</v>
      </c>
      <c r="J2308" s="171">
        <v>13.49</v>
      </c>
      <c r="K2308" s="171">
        <v>25.35</v>
      </c>
      <c r="L2308" s="171">
        <v>31.68</v>
      </c>
      <c r="M2308" s="171">
        <v>32.44</v>
      </c>
      <c r="N2308" s="171">
        <v>41.19</v>
      </c>
      <c r="O2308" s="171">
        <v>39.410000000000004</v>
      </c>
      <c r="P2308" s="171">
        <v>36.1</v>
      </c>
      <c r="Q2308" s="171">
        <v>33.64</v>
      </c>
      <c r="R2308" s="171">
        <v>34.119999999999997</v>
      </c>
      <c r="S2308" s="171">
        <v>32.19</v>
      </c>
      <c r="T2308" s="171">
        <v>20.68</v>
      </c>
      <c r="U2308" s="171">
        <v>21.44</v>
      </c>
      <c r="V2308" s="171">
        <v>22.44</v>
      </c>
      <c r="W2308" s="171">
        <v>30.14</v>
      </c>
      <c r="X2308" s="171">
        <v>35.79</v>
      </c>
      <c r="Y2308" s="171">
        <v>39.54</v>
      </c>
      <c r="Z2308" s="171">
        <v>32.64</v>
      </c>
      <c r="AA2308" s="171">
        <v>28.89</v>
      </c>
      <c r="AB2308" s="171">
        <v>24.04</v>
      </c>
      <c r="AC2308" s="171">
        <v>22.38</v>
      </c>
      <c r="AD2308" s="171">
        <v>31.63</v>
      </c>
      <c r="AF2308" s="171">
        <f t="shared" ref="AF2308:AF2371" si="110">YEAR(B2308)</f>
        <v>2016</v>
      </c>
      <c r="AG2308" s="171">
        <f t="shared" ref="AG2308:AG2371" si="111">COUNTIF(D2308:AA2308,"&lt;="&amp;$AH$1)</f>
        <v>24</v>
      </c>
      <c r="AH2308" s="700">
        <f>SUMIF(D$3:$AA2308,"&lt;="&amp;$AH$1)/COUNTIF(D$3:$AA2308,"&lt;="&amp;$AH$1)</f>
        <v>31.38175264386021</v>
      </c>
    </row>
    <row r="2309" spans="2:34" x14ac:dyDescent="0.25">
      <c r="B2309" s="910">
        <v>42459</v>
      </c>
      <c r="C2309" s="581">
        <f t="shared" si="109"/>
        <v>3</v>
      </c>
      <c r="D2309" s="171">
        <v>27.16</v>
      </c>
      <c r="E2309" s="171">
        <v>24.900000000000002</v>
      </c>
      <c r="F2309" s="171">
        <v>22</v>
      </c>
      <c r="G2309" s="171">
        <v>20.87</v>
      </c>
      <c r="H2309" s="171">
        <v>19.920000000000002</v>
      </c>
      <c r="I2309" s="171">
        <v>20.18</v>
      </c>
      <c r="J2309" s="171">
        <v>21.650000000000002</v>
      </c>
      <c r="K2309" s="171">
        <v>29.6</v>
      </c>
      <c r="L2309" s="171">
        <v>30.17</v>
      </c>
      <c r="M2309" s="171">
        <v>27.39</v>
      </c>
      <c r="N2309" s="171">
        <v>32.730000000000004</v>
      </c>
      <c r="O2309" s="171">
        <v>26.53</v>
      </c>
      <c r="P2309" s="171">
        <v>28.75</v>
      </c>
      <c r="Q2309" s="171">
        <v>24.37</v>
      </c>
      <c r="R2309" s="171">
        <v>23.23</v>
      </c>
      <c r="S2309" s="171">
        <v>23</v>
      </c>
      <c r="T2309" s="171">
        <v>22.73</v>
      </c>
      <c r="U2309" s="171">
        <v>25.64</v>
      </c>
      <c r="V2309" s="171">
        <v>29.04</v>
      </c>
      <c r="W2309" s="171">
        <v>31.900000000000002</v>
      </c>
      <c r="X2309" s="171">
        <v>37.42</v>
      </c>
      <c r="Y2309" s="171">
        <v>37</v>
      </c>
      <c r="Z2309" s="171">
        <v>34.81</v>
      </c>
      <c r="AA2309" s="171">
        <v>30.54</v>
      </c>
      <c r="AB2309" s="171">
        <v>27.51</v>
      </c>
      <c r="AC2309" s="171">
        <v>26.6</v>
      </c>
      <c r="AD2309" s="171">
        <v>27.73</v>
      </c>
      <c r="AF2309" s="171">
        <f t="shared" si="110"/>
        <v>2016</v>
      </c>
      <c r="AG2309" s="171">
        <f t="shared" si="111"/>
        <v>24</v>
      </c>
      <c r="AH2309" s="700">
        <f>SUMIF(D$3:$AA2309,"&lt;="&amp;$AH$1)/COUNTIF(D$3:$AA2309,"&lt;="&amp;$AH$1)</f>
        <v>31.376712620877207</v>
      </c>
    </row>
    <row r="2310" spans="2:34" x14ac:dyDescent="0.25">
      <c r="B2310" s="910">
        <v>42460</v>
      </c>
      <c r="C2310" s="581">
        <f t="shared" si="109"/>
        <v>3</v>
      </c>
      <c r="D2310" s="171">
        <v>27.96</v>
      </c>
      <c r="E2310" s="171">
        <v>23.34</v>
      </c>
      <c r="F2310" s="171">
        <v>22.27</v>
      </c>
      <c r="G2310" s="171">
        <v>21.5</v>
      </c>
      <c r="H2310" s="171">
        <v>21.11</v>
      </c>
      <c r="I2310" s="171">
        <v>21.29</v>
      </c>
      <c r="J2310" s="171">
        <v>22.86</v>
      </c>
      <c r="K2310" s="171">
        <v>29.080000000000002</v>
      </c>
      <c r="L2310" s="171">
        <v>36.090000000000003</v>
      </c>
      <c r="M2310" s="171">
        <v>40.96</v>
      </c>
      <c r="N2310" s="171">
        <v>36.46</v>
      </c>
      <c r="O2310" s="171">
        <v>34.64</v>
      </c>
      <c r="P2310" s="171">
        <v>33.950000000000003</v>
      </c>
      <c r="Q2310" s="171">
        <v>30.03</v>
      </c>
      <c r="R2310" s="171">
        <v>30.03</v>
      </c>
      <c r="S2310" s="171">
        <v>27.92</v>
      </c>
      <c r="T2310" s="171">
        <v>25.12</v>
      </c>
      <c r="U2310" s="171">
        <v>24.73</v>
      </c>
      <c r="V2310" s="171">
        <v>24.93</v>
      </c>
      <c r="W2310" s="171">
        <v>27.44</v>
      </c>
      <c r="X2310" s="171">
        <v>31.07</v>
      </c>
      <c r="Y2310" s="171">
        <v>31.990000000000002</v>
      </c>
      <c r="Z2310" s="171">
        <v>25.650000000000002</v>
      </c>
      <c r="AA2310" s="171">
        <v>25.400000000000002</v>
      </c>
      <c r="AB2310" s="171">
        <v>23.22</v>
      </c>
      <c r="AC2310" s="171">
        <v>25.32</v>
      </c>
      <c r="AD2310" s="171">
        <v>30.61</v>
      </c>
      <c r="AF2310" s="171">
        <f t="shared" si="110"/>
        <v>2016</v>
      </c>
      <c r="AG2310" s="171">
        <f t="shared" si="111"/>
        <v>24</v>
      </c>
      <c r="AH2310" s="700">
        <f>SUMIF(D$3:$AA2310,"&lt;="&amp;$AH$1)/COUNTIF(D$3:$AA2310,"&lt;="&amp;$AH$1)</f>
        <v>31.372887711129263</v>
      </c>
    </row>
    <row r="2311" spans="2:34" x14ac:dyDescent="0.25">
      <c r="B2311" s="910">
        <v>42461</v>
      </c>
      <c r="C2311" s="581">
        <f t="shared" si="109"/>
        <v>4</v>
      </c>
      <c r="D2311" s="171">
        <v>27.61</v>
      </c>
      <c r="E2311" s="171">
        <v>21.6</v>
      </c>
      <c r="F2311" s="171">
        <v>20.98</v>
      </c>
      <c r="G2311" s="171">
        <v>21.19</v>
      </c>
      <c r="H2311" s="171">
        <v>20.64</v>
      </c>
      <c r="I2311" s="171">
        <v>21.13</v>
      </c>
      <c r="J2311" s="171">
        <v>21.78</v>
      </c>
      <c r="K2311" s="171">
        <v>29.73</v>
      </c>
      <c r="L2311" s="171">
        <v>36.5</v>
      </c>
      <c r="M2311" s="171">
        <v>40.44</v>
      </c>
      <c r="N2311" s="171">
        <v>38.1</v>
      </c>
      <c r="O2311" s="171">
        <v>34.880000000000003</v>
      </c>
      <c r="P2311" s="171">
        <v>31.3</v>
      </c>
      <c r="Q2311" s="171">
        <v>26.830000000000002</v>
      </c>
      <c r="R2311" s="171">
        <v>24.32</v>
      </c>
      <c r="S2311" s="171">
        <v>24.07</v>
      </c>
      <c r="T2311" s="171">
        <v>23</v>
      </c>
      <c r="U2311" s="171">
        <v>22.98</v>
      </c>
      <c r="V2311" s="171">
        <v>24.95</v>
      </c>
      <c r="W2311" s="171">
        <v>31.990000000000002</v>
      </c>
      <c r="X2311" s="171">
        <v>31.27</v>
      </c>
      <c r="Y2311" s="171">
        <v>32.44</v>
      </c>
      <c r="Z2311" s="171">
        <v>29.94</v>
      </c>
      <c r="AA2311" s="171">
        <v>26.14</v>
      </c>
      <c r="AB2311" s="171">
        <v>26.55</v>
      </c>
      <c r="AC2311" s="171">
        <v>25.72</v>
      </c>
      <c r="AD2311" s="171">
        <v>29.51</v>
      </c>
      <c r="AF2311" s="171">
        <f t="shared" si="110"/>
        <v>2016</v>
      </c>
      <c r="AG2311" s="171">
        <f t="shared" si="111"/>
        <v>24</v>
      </c>
      <c r="AH2311" s="700">
        <f>SUMIF(D$3:$AA2311,"&lt;="&amp;$AH$1)/COUNTIF(D$3:$AA2311,"&lt;="&amp;$AH$1)</f>
        <v>31.368477712362751</v>
      </c>
    </row>
    <row r="2312" spans="2:34" x14ac:dyDescent="0.25">
      <c r="B2312" s="910">
        <v>42464</v>
      </c>
      <c r="C2312" s="581">
        <f t="shared" si="109"/>
        <v>4</v>
      </c>
      <c r="D2312" s="171">
        <v>27.09</v>
      </c>
      <c r="E2312" s="171">
        <v>21</v>
      </c>
      <c r="F2312" s="171">
        <v>19.59</v>
      </c>
      <c r="G2312" s="171">
        <v>19.150000000000002</v>
      </c>
      <c r="H2312" s="171">
        <v>18.75</v>
      </c>
      <c r="I2312" s="171">
        <v>18.72</v>
      </c>
      <c r="J2312" s="171">
        <v>20.39</v>
      </c>
      <c r="K2312" s="171">
        <v>29.1</v>
      </c>
      <c r="L2312" s="171">
        <v>34.19</v>
      </c>
      <c r="M2312" s="171">
        <v>35.42</v>
      </c>
      <c r="N2312" s="171">
        <v>32.44</v>
      </c>
      <c r="O2312" s="171">
        <v>29.62</v>
      </c>
      <c r="P2312" s="171">
        <v>25.1</v>
      </c>
      <c r="Q2312" s="171">
        <v>23.37</v>
      </c>
      <c r="R2312" s="171">
        <v>23.830000000000002</v>
      </c>
      <c r="S2312" s="171">
        <v>23.21</v>
      </c>
      <c r="T2312" s="171">
        <v>23.68</v>
      </c>
      <c r="U2312" s="171">
        <v>27.44</v>
      </c>
      <c r="V2312" s="171">
        <v>29.25</v>
      </c>
      <c r="W2312" s="171">
        <v>32.96</v>
      </c>
      <c r="X2312" s="171">
        <v>35.050000000000004</v>
      </c>
      <c r="Y2312" s="171">
        <v>36.1</v>
      </c>
      <c r="Z2312" s="171">
        <v>35.6</v>
      </c>
      <c r="AA2312" s="171">
        <v>30.3</v>
      </c>
      <c r="AB2312" s="171">
        <v>25.96</v>
      </c>
      <c r="AC2312" s="171">
        <v>25.740000000000002</v>
      </c>
      <c r="AD2312" s="171">
        <v>28.45</v>
      </c>
      <c r="AF2312" s="171">
        <f t="shared" si="110"/>
        <v>2016</v>
      </c>
      <c r="AG2312" s="171">
        <f t="shared" si="111"/>
        <v>24</v>
      </c>
      <c r="AH2312" s="700">
        <f>SUMIF(D$3:$AA2312,"&lt;="&amp;$AH$1)/COUNTIF(D$3:$AA2312,"&lt;="&amp;$AH$1)</f>
        <v>31.363462469733065</v>
      </c>
    </row>
    <row r="2313" spans="2:34" x14ac:dyDescent="0.25">
      <c r="B2313" s="910">
        <v>42465</v>
      </c>
      <c r="C2313" s="581">
        <f t="shared" si="109"/>
        <v>4</v>
      </c>
      <c r="D2313" s="171">
        <v>26.87</v>
      </c>
      <c r="E2313" s="171">
        <v>21.39</v>
      </c>
      <c r="F2313" s="171">
        <v>20.8</v>
      </c>
      <c r="G2313" s="171">
        <v>20.76</v>
      </c>
      <c r="H2313" s="171">
        <v>20.309999999999999</v>
      </c>
      <c r="I2313" s="171">
        <v>20.34</v>
      </c>
      <c r="J2313" s="171">
        <v>21.79</v>
      </c>
      <c r="K2313" s="171">
        <v>27.84</v>
      </c>
      <c r="L2313" s="171">
        <v>32.76</v>
      </c>
      <c r="M2313" s="171">
        <v>35.18</v>
      </c>
      <c r="N2313" s="171">
        <v>34.92</v>
      </c>
      <c r="O2313" s="171">
        <v>34.1</v>
      </c>
      <c r="P2313" s="171">
        <v>32.93</v>
      </c>
      <c r="Q2313" s="171">
        <v>29.52</v>
      </c>
      <c r="R2313" s="171">
        <v>26.580000000000002</v>
      </c>
      <c r="S2313" s="171">
        <v>24.740000000000002</v>
      </c>
      <c r="T2313" s="171">
        <v>24.19</v>
      </c>
      <c r="U2313" s="171">
        <v>23.96</v>
      </c>
      <c r="V2313" s="171">
        <v>27.05</v>
      </c>
      <c r="W2313" s="171">
        <v>29.79</v>
      </c>
      <c r="X2313" s="171">
        <v>30.66</v>
      </c>
      <c r="Y2313" s="171">
        <v>30.04</v>
      </c>
      <c r="Z2313" s="171">
        <v>28</v>
      </c>
      <c r="AA2313" s="171">
        <v>25.32</v>
      </c>
      <c r="AB2313" s="171">
        <v>21.97</v>
      </c>
      <c r="AC2313" s="171">
        <v>24.28</v>
      </c>
      <c r="AD2313" s="171">
        <v>29.47</v>
      </c>
      <c r="AF2313" s="171">
        <f t="shared" si="110"/>
        <v>2016</v>
      </c>
      <c r="AG2313" s="171">
        <f t="shared" si="111"/>
        <v>24</v>
      </c>
      <c r="AH2313" s="700">
        <f>SUMIF(D$3:$AA2313,"&lt;="&amp;$AH$1)/COUNTIF(D$3:$AA2313,"&lt;="&amp;$AH$1)</f>
        <v>31.358384581214562</v>
      </c>
    </row>
    <row r="2314" spans="2:34" x14ac:dyDescent="0.25">
      <c r="B2314" s="910">
        <v>42466</v>
      </c>
      <c r="C2314" s="581">
        <f t="shared" si="109"/>
        <v>4</v>
      </c>
      <c r="D2314" s="171">
        <v>23.12</v>
      </c>
      <c r="E2314" s="171">
        <v>20</v>
      </c>
      <c r="F2314" s="171">
        <v>19.2</v>
      </c>
      <c r="G2314" s="171">
        <v>19.059999999999999</v>
      </c>
      <c r="H2314" s="171">
        <v>18.95</v>
      </c>
      <c r="I2314" s="171">
        <v>19.02</v>
      </c>
      <c r="J2314" s="171">
        <v>20</v>
      </c>
      <c r="K2314" s="171">
        <v>24.330000000000002</v>
      </c>
      <c r="L2314" s="171">
        <v>32.97</v>
      </c>
      <c r="M2314" s="171">
        <v>34.28</v>
      </c>
      <c r="N2314" s="171">
        <v>28.46</v>
      </c>
      <c r="O2314" s="171">
        <v>23.43</v>
      </c>
      <c r="P2314" s="171">
        <v>22.67</v>
      </c>
      <c r="Q2314" s="171">
        <v>22.94</v>
      </c>
      <c r="R2314" s="171">
        <v>21.400000000000002</v>
      </c>
      <c r="S2314" s="171">
        <v>22.740000000000002</v>
      </c>
      <c r="T2314" s="171">
        <v>20.88</v>
      </c>
      <c r="U2314" s="171">
        <v>21.37</v>
      </c>
      <c r="V2314" s="171">
        <v>21.7</v>
      </c>
      <c r="W2314" s="171">
        <v>23.1</v>
      </c>
      <c r="X2314" s="171">
        <v>26.71</v>
      </c>
      <c r="Y2314" s="171">
        <v>28.26</v>
      </c>
      <c r="Z2314" s="171">
        <v>23.23</v>
      </c>
      <c r="AA2314" s="171">
        <v>21.06</v>
      </c>
      <c r="AB2314" s="171">
        <v>19.010000000000002</v>
      </c>
      <c r="AC2314" s="171">
        <v>22.09</v>
      </c>
      <c r="AD2314" s="171">
        <v>24.14</v>
      </c>
      <c r="AF2314" s="171">
        <f t="shared" si="110"/>
        <v>2016</v>
      </c>
      <c r="AG2314" s="171">
        <f t="shared" si="111"/>
        <v>24</v>
      </c>
      <c r="AH2314" s="700">
        <f>SUMIF(D$3:$AA2314,"&lt;="&amp;$AH$1)/COUNTIF(D$3:$AA2314,"&lt;="&amp;$AH$1)</f>
        <v>31.348834606851767</v>
      </c>
    </row>
    <row r="2315" spans="2:34" x14ac:dyDescent="0.25">
      <c r="B2315" s="910">
        <v>42467</v>
      </c>
      <c r="C2315" s="581">
        <f t="shared" si="109"/>
        <v>4</v>
      </c>
      <c r="D2315" s="171">
        <v>23.64</v>
      </c>
      <c r="E2315" s="171">
        <v>16.420000000000002</v>
      </c>
      <c r="F2315" s="171">
        <v>16</v>
      </c>
      <c r="G2315" s="171">
        <v>15.43</v>
      </c>
      <c r="H2315" s="171">
        <v>14.92</v>
      </c>
      <c r="I2315" s="171">
        <v>13.49</v>
      </c>
      <c r="J2315" s="171">
        <v>17.37</v>
      </c>
      <c r="K2315" s="171">
        <v>22.62</v>
      </c>
      <c r="L2315" s="171">
        <v>28.400000000000002</v>
      </c>
      <c r="M2315" s="171">
        <v>31.310000000000002</v>
      </c>
      <c r="N2315" s="171">
        <v>27.29</v>
      </c>
      <c r="O2315" s="171">
        <v>23.23</v>
      </c>
      <c r="P2315" s="171">
        <v>22.17</v>
      </c>
      <c r="Q2315" s="171">
        <v>29.3</v>
      </c>
      <c r="R2315" s="171">
        <v>26.67</v>
      </c>
      <c r="S2315" s="171">
        <v>22.57</v>
      </c>
      <c r="T2315" s="171">
        <v>21.86</v>
      </c>
      <c r="U2315" s="171">
        <v>21.94</v>
      </c>
      <c r="V2315" s="171">
        <v>22.73</v>
      </c>
      <c r="W2315" s="171">
        <v>28.59</v>
      </c>
      <c r="X2315" s="171">
        <v>31.11</v>
      </c>
      <c r="Y2315" s="171">
        <v>32.68</v>
      </c>
      <c r="Z2315" s="171">
        <v>29.41</v>
      </c>
      <c r="AA2315" s="171">
        <v>28.27</v>
      </c>
      <c r="AB2315" s="171">
        <v>23.54</v>
      </c>
      <c r="AC2315" s="171">
        <v>21.55</v>
      </c>
      <c r="AD2315" s="171">
        <v>25.73</v>
      </c>
      <c r="AF2315" s="171">
        <f t="shared" si="110"/>
        <v>2016</v>
      </c>
      <c r="AG2315" s="171">
        <f t="shared" si="111"/>
        <v>24</v>
      </c>
      <c r="AH2315" s="700">
        <f>SUMIF(D$3:$AA2315,"&lt;="&amp;$AH$1)/COUNTIF(D$3:$AA2315,"&lt;="&amp;$AH$1)</f>
        <v>31.339727706927391</v>
      </c>
    </row>
    <row r="2316" spans="2:34" x14ac:dyDescent="0.25">
      <c r="B2316" s="910">
        <v>42468</v>
      </c>
      <c r="C2316" s="581">
        <f t="shared" si="109"/>
        <v>4</v>
      </c>
      <c r="D2316" s="171">
        <v>28.35</v>
      </c>
      <c r="E2316" s="171">
        <v>23.39</v>
      </c>
      <c r="F2316" s="171">
        <v>21.69</v>
      </c>
      <c r="G2316" s="171">
        <v>21.18</v>
      </c>
      <c r="H2316" s="171">
        <v>20.52</v>
      </c>
      <c r="I2316" s="171">
        <v>21.04</v>
      </c>
      <c r="J2316" s="171">
        <v>21.72</v>
      </c>
      <c r="K2316" s="171">
        <v>29.12</v>
      </c>
      <c r="L2316" s="171">
        <v>35</v>
      </c>
      <c r="M2316" s="171">
        <v>38.200000000000003</v>
      </c>
      <c r="N2316" s="171">
        <v>37.550000000000004</v>
      </c>
      <c r="O2316" s="171">
        <v>34.22</v>
      </c>
      <c r="P2316" s="171">
        <v>32.96</v>
      </c>
      <c r="Q2316" s="171">
        <v>29.740000000000002</v>
      </c>
      <c r="R2316" s="171">
        <v>27.900000000000002</v>
      </c>
      <c r="S2316" s="171">
        <v>26.36</v>
      </c>
      <c r="T2316" s="171">
        <v>24.66</v>
      </c>
      <c r="U2316" s="171">
        <v>23.95</v>
      </c>
      <c r="V2316" s="171">
        <v>27.03</v>
      </c>
      <c r="W2316" s="171">
        <v>29.580000000000002</v>
      </c>
      <c r="X2316" s="171">
        <v>32.22</v>
      </c>
      <c r="Y2316" s="171">
        <v>31.96</v>
      </c>
      <c r="Z2316" s="171">
        <v>30.66</v>
      </c>
      <c r="AA2316" s="171">
        <v>30.68</v>
      </c>
      <c r="AB2316" s="171">
        <v>29</v>
      </c>
      <c r="AC2316" s="171">
        <v>26.330000000000002</v>
      </c>
      <c r="AD2316" s="171">
        <v>30.36</v>
      </c>
      <c r="AF2316" s="171">
        <f t="shared" si="110"/>
        <v>2016</v>
      </c>
      <c r="AG2316" s="171">
        <f t="shared" si="111"/>
        <v>24</v>
      </c>
      <c r="AH2316" s="700">
        <f>SUMIF(D$3:$AA2316,"&lt;="&amp;$AH$1)/COUNTIF(D$3:$AA2316,"&lt;="&amp;$AH$1)</f>
        <v>31.336163379726962</v>
      </c>
    </row>
    <row r="2317" spans="2:34" x14ac:dyDescent="0.25">
      <c r="B2317" s="910">
        <v>42471</v>
      </c>
      <c r="C2317" s="581">
        <f t="shared" si="109"/>
        <v>4</v>
      </c>
      <c r="D2317" s="171">
        <v>23.91</v>
      </c>
      <c r="E2317" s="171">
        <v>19.38</v>
      </c>
      <c r="F2317" s="171">
        <v>13.700000000000001</v>
      </c>
      <c r="G2317" s="171">
        <v>12.81</v>
      </c>
      <c r="H2317" s="171">
        <v>10.66</v>
      </c>
      <c r="I2317" s="171">
        <v>12.92</v>
      </c>
      <c r="J2317" s="171">
        <v>18.18</v>
      </c>
      <c r="K2317" s="171">
        <v>25.490000000000002</v>
      </c>
      <c r="L2317" s="171">
        <v>32</v>
      </c>
      <c r="M2317" s="171">
        <v>34.61</v>
      </c>
      <c r="N2317" s="171">
        <v>28.98</v>
      </c>
      <c r="O2317" s="171">
        <v>25.63</v>
      </c>
      <c r="P2317" s="171">
        <v>24.71</v>
      </c>
      <c r="Q2317" s="171">
        <v>23.26</v>
      </c>
      <c r="R2317" s="171">
        <v>22.87</v>
      </c>
      <c r="S2317" s="171">
        <v>22.12</v>
      </c>
      <c r="T2317" s="171">
        <v>21.830000000000002</v>
      </c>
      <c r="U2317" s="171">
        <v>22.11</v>
      </c>
      <c r="V2317" s="171">
        <v>23.68</v>
      </c>
      <c r="W2317" s="171">
        <v>28.47</v>
      </c>
      <c r="X2317" s="171">
        <v>31.27</v>
      </c>
      <c r="Y2317" s="171">
        <v>32.44</v>
      </c>
      <c r="Z2317" s="171">
        <v>31.490000000000002</v>
      </c>
      <c r="AA2317" s="171">
        <v>27.86</v>
      </c>
      <c r="AB2317" s="171">
        <v>27.44</v>
      </c>
      <c r="AC2317" s="171">
        <v>22.03</v>
      </c>
      <c r="AD2317" s="171">
        <v>25.8</v>
      </c>
      <c r="AF2317" s="171">
        <f t="shared" si="110"/>
        <v>2016</v>
      </c>
      <c r="AG2317" s="171">
        <f t="shared" si="111"/>
        <v>24</v>
      </c>
      <c r="AH2317" s="700">
        <f>SUMIF(D$3:$AA2317,"&lt;="&amp;$AH$1)/COUNTIF(D$3:$AA2317,"&lt;="&amp;$AH$1)</f>
        <v>31.327238296408524</v>
      </c>
    </row>
    <row r="2318" spans="2:34" x14ac:dyDescent="0.25">
      <c r="B2318" s="910">
        <v>42472</v>
      </c>
      <c r="C2318" s="581">
        <f t="shared" si="109"/>
        <v>4</v>
      </c>
      <c r="D2318" s="171">
        <v>29</v>
      </c>
      <c r="E2318" s="171">
        <v>22.900000000000002</v>
      </c>
      <c r="F2318" s="171">
        <v>22.2</v>
      </c>
      <c r="G2318" s="171">
        <v>21.69</v>
      </c>
      <c r="H2318" s="171">
        <v>21.05</v>
      </c>
      <c r="I2318" s="171">
        <v>21.32</v>
      </c>
      <c r="J2318" s="171">
        <v>22.150000000000002</v>
      </c>
      <c r="K2318" s="171">
        <v>28.98</v>
      </c>
      <c r="L2318" s="171">
        <v>36</v>
      </c>
      <c r="M2318" s="171">
        <v>38.94</v>
      </c>
      <c r="N2318" s="171">
        <v>37.6</v>
      </c>
      <c r="O2318" s="171">
        <v>34.25</v>
      </c>
      <c r="P2318" s="171">
        <v>34</v>
      </c>
      <c r="Q2318" s="171">
        <v>27.97</v>
      </c>
      <c r="R2318" s="171">
        <v>26.41</v>
      </c>
      <c r="S2318" s="171">
        <v>24.94</v>
      </c>
      <c r="T2318" s="171">
        <v>30.01</v>
      </c>
      <c r="U2318" s="171">
        <v>32.44</v>
      </c>
      <c r="V2318" s="171">
        <v>26.97</v>
      </c>
      <c r="W2318" s="171">
        <v>31</v>
      </c>
      <c r="X2318" s="171">
        <v>34.07</v>
      </c>
      <c r="Y2318" s="171">
        <v>34.36</v>
      </c>
      <c r="Z2318" s="171">
        <v>32.24</v>
      </c>
      <c r="AA2318" s="171">
        <v>30</v>
      </c>
      <c r="AB2318" s="171">
        <v>24.61</v>
      </c>
      <c r="AC2318" s="171">
        <v>26.46</v>
      </c>
      <c r="AD2318" s="171">
        <v>31.55</v>
      </c>
      <c r="AF2318" s="171">
        <f t="shared" si="110"/>
        <v>2016</v>
      </c>
      <c r="AG2318" s="171">
        <f t="shared" si="111"/>
        <v>24</v>
      </c>
      <c r="AH2318" s="700">
        <f>SUMIF(D$3:$AA2318,"&lt;="&amp;$AH$1)/COUNTIF(D$3:$AA2318,"&lt;="&amp;$AH$1)</f>
        <v>31.324718119816886</v>
      </c>
    </row>
    <row r="2319" spans="2:34" x14ac:dyDescent="0.25">
      <c r="B2319" s="910">
        <v>42473</v>
      </c>
      <c r="C2319" s="581">
        <f t="shared" si="109"/>
        <v>4</v>
      </c>
      <c r="D2319" s="171">
        <v>28.42</v>
      </c>
      <c r="E2319" s="171">
        <v>22.93</v>
      </c>
      <c r="F2319" s="171">
        <v>21.68</v>
      </c>
      <c r="G2319" s="171">
        <v>21.68</v>
      </c>
      <c r="H2319" s="171">
        <v>21.41</v>
      </c>
      <c r="I2319" s="171">
        <v>21.71</v>
      </c>
      <c r="J2319" s="171">
        <v>22.77</v>
      </c>
      <c r="K2319" s="171">
        <v>30.490000000000002</v>
      </c>
      <c r="L2319" s="171">
        <v>34.99</v>
      </c>
      <c r="M2319" s="171">
        <v>39.410000000000004</v>
      </c>
      <c r="N2319" s="171">
        <v>35.06</v>
      </c>
      <c r="O2319" s="171">
        <v>33.230000000000004</v>
      </c>
      <c r="P2319" s="171">
        <v>31.94</v>
      </c>
      <c r="Q2319" s="171">
        <v>28.900000000000002</v>
      </c>
      <c r="R2319" s="171">
        <v>27.01</v>
      </c>
      <c r="S2319" s="171">
        <v>25.96</v>
      </c>
      <c r="T2319" s="171">
        <v>26</v>
      </c>
      <c r="U2319" s="171">
        <v>26.03</v>
      </c>
      <c r="V2319" s="171">
        <v>27.91</v>
      </c>
      <c r="W2319" s="171">
        <v>31.27</v>
      </c>
      <c r="X2319" s="171">
        <v>33</v>
      </c>
      <c r="Y2319" s="171">
        <v>33.369999999999997</v>
      </c>
      <c r="Z2319" s="171">
        <v>31.310000000000002</v>
      </c>
      <c r="AA2319" s="171">
        <v>28</v>
      </c>
      <c r="AB2319" s="171">
        <v>26</v>
      </c>
      <c r="AC2319" s="171">
        <v>26.36</v>
      </c>
      <c r="AD2319" s="171">
        <v>30.48</v>
      </c>
      <c r="AF2319" s="171">
        <f t="shared" si="110"/>
        <v>2016</v>
      </c>
      <c r="AG2319" s="171">
        <f t="shared" si="111"/>
        <v>24</v>
      </c>
      <c r="AH2319" s="700">
        <f>SUMIF(D$3:$AA2319,"&lt;="&amp;$AH$1)/COUNTIF(D$3:$AA2319,"&lt;="&amp;$AH$1)</f>
        <v>31.321419259984726</v>
      </c>
    </row>
    <row r="2320" spans="2:34" x14ac:dyDescent="0.25">
      <c r="B2320" s="910">
        <v>42474</v>
      </c>
      <c r="C2320" s="581">
        <f t="shared" si="109"/>
        <v>4</v>
      </c>
      <c r="D2320" s="171">
        <v>26.740000000000002</v>
      </c>
      <c r="E2320" s="171">
        <v>23.36</v>
      </c>
      <c r="F2320" s="171">
        <v>21.93</v>
      </c>
      <c r="G2320" s="171">
        <v>21.18</v>
      </c>
      <c r="H2320" s="171">
        <v>20.94</v>
      </c>
      <c r="I2320" s="171">
        <v>21.06</v>
      </c>
      <c r="J2320" s="171">
        <v>21.740000000000002</v>
      </c>
      <c r="K2320" s="171">
        <v>27</v>
      </c>
      <c r="L2320" s="171">
        <v>32.03</v>
      </c>
      <c r="M2320" s="171">
        <v>37.28</v>
      </c>
      <c r="N2320" s="171">
        <v>34.590000000000003</v>
      </c>
      <c r="O2320" s="171">
        <v>30.91</v>
      </c>
      <c r="P2320" s="171">
        <v>28.080000000000002</v>
      </c>
      <c r="Q2320" s="171">
        <v>26.400000000000002</v>
      </c>
      <c r="R2320" s="171">
        <v>25.05</v>
      </c>
      <c r="S2320" s="171">
        <v>23.830000000000002</v>
      </c>
      <c r="T2320" s="171">
        <v>23.44</v>
      </c>
      <c r="U2320" s="171">
        <v>23.22</v>
      </c>
      <c r="V2320" s="171">
        <v>24.2</v>
      </c>
      <c r="W2320" s="171">
        <v>27.25</v>
      </c>
      <c r="X2320" s="171">
        <v>31.720000000000002</v>
      </c>
      <c r="Y2320" s="171">
        <v>31.78</v>
      </c>
      <c r="Z2320" s="171">
        <v>31.53</v>
      </c>
      <c r="AA2320" s="171">
        <v>28.330000000000002</v>
      </c>
      <c r="AB2320" s="171">
        <v>24.94</v>
      </c>
      <c r="AC2320" s="171">
        <v>25.490000000000002</v>
      </c>
      <c r="AD2320" s="171">
        <v>28</v>
      </c>
      <c r="AF2320" s="171">
        <f t="shared" si="110"/>
        <v>2016</v>
      </c>
      <c r="AG2320" s="171">
        <f t="shared" si="111"/>
        <v>24</v>
      </c>
      <c r="AH2320" s="700">
        <f>SUMIF(D$3:$AA2320,"&lt;="&amp;$AH$1)/COUNTIF(D$3:$AA2320,"&lt;="&amp;$AH$1)</f>
        <v>31.31612658475639</v>
      </c>
    </row>
    <row r="2321" spans="2:34" x14ac:dyDescent="0.25">
      <c r="B2321" s="910">
        <v>42475</v>
      </c>
      <c r="C2321" s="581">
        <f t="shared" si="109"/>
        <v>4</v>
      </c>
      <c r="D2321" s="171">
        <v>26.1</v>
      </c>
      <c r="E2321" s="171">
        <v>22.1</v>
      </c>
      <c r="F2321" s="171">
        <v>21.31</v>
      </c>
      <c r="G2321" s="171">
        <v>20.45</v>
      </c>
      <c r="H2321" s="171">
        <v>20.14</v>
      </c>
      <c r="I2321" s="171">
        <v>20.34</v>
      </c>
      <c r="J2321" s="171">
        <v>21.080000000000002</v>
      </c>
      <c r="K2321" s="171">
        <v>25</v>
      </c>
      <c r="L2321" s="171">
        <v>31.69</v>
      </c>
      <c r="M2321" s="171">
        <v>34.700000000000003</v>
      </c>
      <c r="N2321" s="171">
        <v>36.79</v>
      </c>
      <c r="O2321" s="171">
        <v>30.98</v>
      </c>
      <c r="P2321" s="171">
        <v>30</v>
      </c>
      <c r="Q2321" s="171">
        <v>28</v>
      </c>
      <c r="R2321" s="171">
        <v>29.94</v>
      </c>
      <c r="S2321" s="171">
        <v>24.04</v>
      </c>
      <c r="T2321" s="171">
        <v>22.61</v>
      </c>
      <c r="U2321" s="171">
        <v>22.46</v>
      </c>
      <c r="V2321" s="171">
        <v>22.87</v>
      </c>
      <c r="W2321" s="171">
        <v>23.77</v>
      </c>
      <c r="X2321" s="171">
        <v>26.34</v>
      </c>
      <c r="Y2321" s="171">
        <v>33.14</v>
      </c>
      <c r="Z2321" s="171">
        <v>29</v>
      </c>
      <c r="AA2321" s="171">
        <v>25</v>
      </c>
      <c r="AB2321" s="171">
        <v>24.69</v>
      </c>
      <c r="AC2321" s="171">
        <v>24.5</v>
      </c>
      <c r="AD2321" s="171">
        <v>27.71</v>
      </c>
      <c r="AF2321" s="171">
        <f t="shared" si="110"/>
        <v>2016</v>
      </c>
      <c r="AG2321" s="171">
        <f t="shared" si="111"/>
        <v>24</v>
      </c>
      <c r="AH2321" s="700">
        <f>SUMIF(D$3:$AA2321,"&lt;="&amp;$AH$1)/COUNTIF(D$3:$AA2321,"&lt;="&amp;$AH$1)</f>
        <v>31.310076761354715</v>
      </c>
    </row>
    <row r="2322" spans="2:34" x14ac:dyDescent="0.25">
      <c r="B2322" s="910">
        <v>42478</v>
      </c>
      <c r="C2322" s="581">
        <f t="shared" si="109"/>
        <v>4</v>
      </c>
      <c r="D2322" s="171">
        <v>25.85</v>
      </c>
      <c r="E2322" s="171">
        <v>30.150000000000002</v>
      </c>
      <c r="F2322" s="171">
        <v>20.900000000000002</v>
      </c>
      <c r="G2322" s="171">
        <v>19.7</v>
      </c>
      <c r="H2322" s="171">
        <v>18.900000000000002</v>
      </c>
      <c r="I2322" s="171">
        <v>19</v>
      </c>
      <c r="J2322" s="171">
        <v>20.6</v>
      </c>
      <c r="K2322" s="171">
        <v>30</v>
      </c>
      <c r="L2322" s="171">
        <v>37.06</v>
      </c>
      <c r="M2322" s="171">
        <v>38.99</v>
      </c>
      <c r="N2322" s="171">
        <v>32.99</v>
      </c>
      <c r="O2322" s="171">
        <v>29</v>
      </c>
      <c r="P2322" s="171">
        <v>27.44</v>
      </c>
      <c r="Q2322" s="171">
        <v>24.94</v>
      </c>
      <c r="R2322" s="171">
        <v>29</v>
      </c>
      <c r="S2322" s="171">
        <v>24.94</v>
      </c>
      <c r="T2322" s="171">
        <v>23.77</v>
      </c>
      <c r="U2322" s="171">
        <v>20.98</v>
      </c>
      <c r="V2322" s="171">
        <v>21.59</v>
      </c>
      <c r="W2322" s="171">
        <v>23.19</v>
      </c>
      <c r="X2322" s="171">
        <v>25.62</v>
      </c>
      <c r="Y2322" s="171">
        <v>27.92</v>
      </c>
      <c r="Z2322" s="171">
        <v>29.04</v>
      </c>
      <c r="AA2322" s="171">
        <v>22.7</v>
      </c>
      <c r="AB2322" s="171">
        <v>21.990000000000002</v>
      </c>
      <c r="AC2322" s="171">
        <v>24.830000000000002</v>
      </c>
      <c r="AD2322" s="171">
        <v>26.87</v>
      </c>
      <c r="AF2322" s="171">
        <f t="shared" si="110"/>
        <v>2016</v>
      </c>
      <c r="AG2322" s="171">
        <f t="shared" si="111"/>
        <v>24</v>
      </c>
      <c r="AH2322" s="700">
        <f>SUMIF(D$3:$AA2322,"&lt;="&amp;$AH$1)/COUNTIF(D$3:$AA2322,"&lt;="&amp;$AH$1)</f>
        <v>31.303866289006582</v>
      </c>
    </row>
    <row r="2323" spans="2:34" x14ac:dyDescent="0.25">
      <c r="B2323" s="910">
        <v>42479</v>
      </c>
      <c r="C2323" s="581">
        <f t="shared" si="109"/>
        <v>4</v>
      </c>
      <c r="D2323" s="171">
        <v>25.18</v>
      </c>
      <c r="E2323" s="171">
        <v>19.830000000000002</v>
      </c>
      <c r="F2323" s="171">
        <v>19.37</v>
      </c>
      <c r="G2323" s="171">
        <v>19.5</v>
      </c>
      <c r="H2323" s="171">
        <v>19.16</v>
      </c>
      <c r="I2323" s="171">
        <v>18.440000000000001</v>
      </c>
      <c r="J2323" s="171">
        <v>19.8</v>
      </c>
      <c r="K2323" s="171">
        <v>26.93</v>
      </c>
      <c r="L2323" s="171">
        <v>30.07</v>
      </c>
      <c r="M2323" s="171">
        <v>31.26</v>
      </c>
      <c r="N2323" s="171">
        <v>38</v>
      </c>
      <c r="O2323" s="171">
        <v>37.51</v>
      </c>
      <c r="P2323" s="171">
        <v>33.049999999999997</v>
      </c>
      <c r="Q2323" s="171">
        <v>26.73</v>
      </c>
      <c r="R2323" s="171">
        <v>26</v>
      </c>
      <c r="S2323" s="171">
        <v>24.94</v>
      </c>
      <c r="T2323" s="171">
        <v>24.94</v>
      </c>
      <c r="U2323" s="171">
        <v>22.740000000000002</v>
      </c>
      <c r="V2323" s="171">
        <v>22.5</v>
      </c>
      <c r="W2323" s="171">
        <v>25.05</v>
      </c>
      <c r="X2323" s="171">
        <v>24.95</v>
      </c>
      <c r="Y2323" s="171">
        <v>26.12</v>
      </c>
      <c r="Z2323" s="171">
        <v>25</v>
      </c>
      <c r="AA2323" s="171">
        <v>22.44</v>
      </c>
      <c r="AB2323" s="171">
        <v>20.059999999999999</v>
      </c>
      <c r="AC2323" s="171">
        <v>22.23</v>
      </c>
      <c r="AD2323" s="171">
        <v>28.14</v>
      </c>
      <c r="AF2323" s="171">
        <f t="shared" si="110"/>
        <v>2016</v>
      </c>
      <c r="AG2323" s="171">
        <f t="shared" si="111"/>
        <v>24</v>
      </c>
      <c r="AH2323" s="700">
        <f>SUMIF(D$3:$AA2323,"&lt;="&amp;$AH$1)/COUNTIF(D$3:$AA2323,"&lt;="&amp;$AH$1)</f>
        <v>31.29695039266317</v>
      </c>
    </row>
    <row r="2324" spans="2:34" x14ac:dyDescent="0.25">
      <c r="B2324" s="910">
        <v>42480</v>
      </c>
      <c r="C2324" s="581">
        <f t="shared" si="109"/>
        <v>4</v>
      </c>
      <c r="D2324" s="171">
        <v>24.89</v>
      </c>
      <c r="E2324" s="171">
        <v>20.71</v>
      </c>
      <c r="F2324" s="171">
        <v>19.5</v>
      </c>
      <c r="G2324" s="171">
        <v>19.09</v>
      </c>
      <c r="H2324" s="171">
        <v>17.490000000000002</v>
      </c>
      <c r="I2324" s="171">
        <v>18.63</v>
      </c>
      <c r="J2324" s="171">
        <v>20</v>
      </c>
      <c r="K2324" s="171">
        <v>25.76</v>
      </c>
      <c r="L2324" s="171">
        <v>30.55</v>
      </c>
      <c r="M2324" s="171">
        <v>31.91</v>
      </c>
      <c r="N2324" s="171">
        <v>28.53</v>
      </c>
      <c r="O2324" s="171">
        <v>30.73</v>
      </c>
      <c r="P2324" s="171">
        <v>27.41</v>
      </c>
      <c r="Q2324" s="171">
        <v>22.41</v>
      </c>
      <c r="R2324" s="171">
        <v>22.27</v>
      </c>
      <c r="S2324" s="171">
        <v>22.1</v>
      </c>
      <c r="T2324" s="171">
        <v>21.57</v>
      </c>
      <c r="U2324" s="171">
        <v>21.59</v>
      </c>
      <c r="V2324" s="171">
        <v>22.89</v>
      </c>
      <c r="W2324" s="171">
        <v>27.240000000000002</v>
      </c>
      <c r="X2324" s="171">
        <v>31.09</v>
      </c>
      <c r="Y2324" s="171">
        <v>32.160000000000004</v>
      </c>
      <c r="Z2324" s="171">
        <v>30.66</v>
      </c>
      <c r="AA2324" s="171">
        <v>28.52</v>
      </c>
      <c r="AB2324" s="171">
        <v>24.5</v>
      </c>
      <c r="AC2324" s="171">
        <v>23.96</v>
      </c>
      <c r="AD2324" s="171">
        <v>25.810000000000002</v>
      </c>
      <c r="AF2324" s="171">
        <f t="shared" si="110"/>
        <v>2016</v>
      </c>
      <c r="AG2324" s="171">
        <f t="shared" si="111"/>
        <v>24</v>
      </c>
      <c r="AH2324" s="700">
        <f>SUMIF(D$3:$AA2324,"&lt;="&amp;$AH$1)/COUNTIF(D$3:$AA2324,"&lt;="&amp;$AH$1)</f>
        <v>31.289475274055434</v>
      </c>
    </row>
    <row r="2325" spans="2:34" x14ac:dyDescent="0.25">
      <c r="B2325" s="910">
        <v>42481</v>
      </c>
      <c r="C2325" s="581">
        <f t="shared" si="109"/>
        <v>4</v>
      </c>
      <c r="D2325" s="171">
        <v>26.88</v>
      </c>
      <c r="E2325" s="171">
        <v>22.51</v>
      </c>
      <c r="F2325" s="171">
        <v>20.5</v>
      </c>
      <c r="G2325" s="171">
        <v>19.93</v>
      </c>
      <c r="H2325" s="171">
        <v>19.580000000000002</v>
      </c>
      <c r="I2325" s="171">
        <v>19.84</v>
      </c>
      <c r="J2325" s="171">
        <v>21.11</v>
      </c>
      <c r="K2325" s="171">
        <v>29.1</v>
      </c>
      <c r="L2325" s="171">
        <v>34.58</v>
      </c>
      <c r="M2325" s="171">
        <v>35.380000000000003</v>
      </c>
      <c r="N2325" s="171">
        <v>32.92</v>
      </c>
      <c r="O2325" s="171">
        <v>29.44</v>
      </c>
      <c r="P2325" s="171">
        <v>31.14</v>
      </c>
      <c r="Q2325" s="171">
        <v>25</v>
      </c>
      <c r="R2325" s="171">
        <v>23.43</v>
      </c>
      <c r="S2325" s="171">
        <v>23.47</v>
      </c>
      <c r="T2325" s="171">
        <v>23.93</v>
      </c>
      <c r="U2325" s="171">
        <v>23.95</v>
      </c>
      <c r="V2325" s="171">
        <v>27.61</v>
      </c>
      <c r="W2325" s="171">
        <v>30.740000000000002</v>
      </c>
      <c r="X2325" s="171">
        <v>32.33</v>
      </c>
      <c r="Y2325" s="171">
        <v>32.340000000000003</v>
      </c>
      <c r="Z2325" s="171">
        <v>32.020000000000003</v>
      </c>
      <c r="AA2325" s="171">
        <v>29.19</v>
      </c>
      <c r="AB2325" s="171">
        <v>25</v>
      </c>
      <c r="AC2325" s="171">
        <v>25.48</v>
      </c>
      <c r="AD2325" s="171">
        <v>28.28</v>
      </c>
      <c r="AF2325" s="171">
        <f t="shared" si="110"/>
        <v>2016</v>
      </c>
      <c r="AG2325" s="171">
        <f t="shared" si="111"/>
        <v>24</v>
      </c>
      <c r="AH2325" s="700">
        <f>SUMIF(D$3:$AA2325,"&lt;="&amp;$AH$1)/COUNTIF(D$3:$AA2325,"&lt;="&amp;$AH$1)</f>
        <v>31.284412866805564</v>
      </c>
    </row>
    <row r="2326" spans="2:34" x14ac:dyDescent="0.25">
      <c r="B2326" s="910">
        <v>42482</v>
      </c>
      <c r="C2326" s="581">
        <f t="shared" si="109"/>
        <v>4</v>
      </c>
      <c r="D2326" s="171">
        <v>27.11</v>
      </c>
      <c r="E2326" s="171">
        <v>21.95</v>
      </c>
      <c r="F2326" s="171">
        <v>20.7</v>
      </c>
      <c r="G2326" s="171">
        <v>19.59</v>
      </c>
      <c r="H2326" s="171">
        <v>19.32</v>
      </c>
      <c r="I2326" s="171">
        <v>19.850000000000001</v>
      </c>
      <c r="J2326" s="171">
        <v>22.94</v>
      </c>
      <c r="K2326" s="171">
        <v>28</v>
      </c>
      <c r="L2326" s="171">
        <v>33.14</v>
      </c>
      <c r="M2326" s="171">
        <v>34.61</v>
      </c>
      <c r="N2326" s="171">
        <v>32.44</v>
      </c>
      <c r="O2326" s="171">
        <v>32.44</v>
      </c>
      <c r="P2326" s="171">
        <v>32.26</v>
      </c>
      <c r="Q2326" s="171">
        <v>29.5</v>
      </c>
      <c r="R2326" s="171">
        <v>29.14</v>
      </c>
      <c r="S2326" s="171">
        <v>28.02</v>
      </c>
      <c r="T2326" s="171">
        <v>24.25</v>
      </c>
      <c r="U2326" s="171">
        <v>24.490000000000002</v>
      </c>
      <c r="V2326" s="171">
        <v>24.75</v>
      </c>
      <c r="W2326" s="171">
        <v>28.990000000000002</v>
      </c>
      <c r="X2326" s="171">
        <v>30.93</v>
      </c>
      <c r="Y2326" s="171">
        <v>30.94</v>
      </c>
      <c r="Z2326" s="171">
        <v>29.330000000000002</v>
      </c>
      <c r="AA2326" s="171">
        <v>27.94</v>
      </c>
      <c r="AB2326" s="171">
        <v>25.04</v>
      </c>
      <c r="AC2326" s="171">
        <v>24.900000000000002</v>
      </c>
      <c r="AD2326" s="171">
        <v>29.32</v>
      </c>
      <c r="AF2326" s="171">
        <f t="shared" si="110"/>
        <v>2016</v>
      </c>
      <c r="AG2326" s="171">
        <f t="shared" si="111"/>
        <v>24</v>
      </c>
      <c r="AH2326" s="700">
        <f>SUMIF(D$3:$AA2326,"&lt;="&amp;$AH$1)/COUNTIF(D$3:$AA2326,"&lt;="&amp;$AH$1)</f>
        <v>31.279639819179852</v>
      </c>
    </row>
    <row r="2327" spans="2:34" x14ac:dyDescent="0.25">
      <c r="B2327" s="910">
        <v>42485</v>
      </c>
      <c r="C2327" s="581">
        <f t="shared" si="109"/>
        <v>4</v>
      </c>
      <c r="D2327" s="171">
        <v>27.44</v>
      </c>
      <c r="E2327" s="171">
        <v>22.56</v>
      </c>
      <c r="F2327" s="171">
        <v>21.46</v>
      </c>
      <c r="G2327" s="171">
        <v>20.82</v>
      </c>
      <c r="H2327" s="171">
        <v>20.23</v>
      </c>
      <c r="I2327" s="171">
        <v>20.260000000000002</v>
      </c>
      <c r="J2327" s="171">
        <v>21.1</v>
      </c>
      <c r="K2327" s="171">
        <v>29.02</v>
      </c>
      <c r="L2327" s="171">
        <v>32.97</v>
      </c>
      <c r="M2327" s="171">
        <v>34.480000000000004</v>
      </c>
      <c r="N2327" s="171">
        <v>36.800000000000004</v>
      </c>
      <c r="O2327" s="171">
        <v>32.44</v>
      </c>
      <c r="P2327" s="171">
        <v>29.46</v>
      </c>
      <c r="Q2327" s="171">
        <v>33.04</v>
      </c>
      <c r="R2327" s="171">
        <v>29.51</v>
      </c>
      <c r="S2327" s="171">
        <v>25.2</v>
      </c>
      <c r="T2327" s="171">
        <v>24.53</v>
      </c>
      <c r="U2327" s="171">
        <v>24.51</v>
      </c>
      <c r="V2327" s="171">
        <v>25.95</v>
      </c>
      <c r="W2327" s="171">
        <v>28.41</v>
      </c>
      <c r="X2327" s="171">
        <v>31.19</v>
      </c>
      <c r="Y2327" s="171">
        <v>31.46</v>
      </c>
      <c r="Z2327" s="171">
        <v>30.150000000000002</v>
      </c>
      <c r="AA2327" s="171">
        <v>28.14</v>
      </c>
      <c r="AB2327" s="171">
        <v>24.94</v>
      </c>
      <c r="AC2327" s="171">
        <v>25.26</v>
      </c>
      <c r="AD2327" s="171">
        <v>29.63</v>
      </c>
      <c r="AF2327" s="171">
        <f t="shared" si="110"/>
        <v>2016</v>
      </c>
      <c r="AG2327" s="171">
        <f t="shared" si="111"/>
        <v>24</v>
      </c>
      <c r="AH2327" s="700">
        <f>SUMIF(D$3:$AA2327,"&lt;="&amp;$AH$1)/COUNTIF(D$3:$AA2327,"&lt;="&amp;$AH$1)</f>
        <v>31.275290576296882</v>
      </c>
    </row>
    <row r="2328" spans="2:34" x14ac:dyDescent="0.25">
      <c r="B2328" s="910">
        <v>42486</v>
      </c>
      <c r="C2328" s="581">
        <f t="shared" si="109"/>
        <v>4</v>
      </c>
      <c r="D2328" s="171">
        <v>28.22</v>
      </c>
      <c r="E2328" s="171">
        <v>21.81</v>
      </c>
      <c r="F2328" s="171">
        <v>20.900000000000002</v>
      </c>
      <c r="G2328" s="171">
        <v>20.96</v>
      </c>
      <c r="H2328" s="171">
        <v>20.62</v>
      </c>
      <c r="I2328" s="171">
        <v>21.07</v>
      </c>
      <c r="J2328" s="171">
        <v>22.73</v>
      </c>
      <c r="K2328" s="171">
        <v>29.91</v>
      </c>
      <c r="L2328" s="171">
        <v>34.64</v>
      </c>
      <c r="M2328" s="171">
        <v>37.56</v>
      </c>
      <c r="N2328" s="171">
        <v>39.840000000000003</v>
      </c>
      <c r="O2328" s="171">
        <v>38.020000000000003</v>
      </c>
      <c r="P2328" s="171">
        <v>35.980000000000004</v>
      </c>
      <c r="Q2328" s="171">
        <v>27.47</v>
      </c>
      <c r="R2328" s="171">
        <v>29.94</v>
      </c>
      <c r="S2328" s="171">
        <v>25.560000000000002</v>
      </c>
      <c r="T2328" s="171">
        <v>25.27</v>
      </c>
      <c r="U2328" s="171">
        <v>24.94</v>
      </c>
      <c r="V2328" s="171">
        <v>25.29</v>
      </c>
      <c r="W2328" s="171">
        <v>28.92</v>
      </c>
      <c r="X2328" s="171">
        <v>31.11</v>
      </c>
      <c r="Y2328" s="171">
        <v>31.61</v>
      </c>
      <c r="Z2328" s="171">
        <v>31.07</v>
      </c>
      <c r="AA2328" s="171">
        <v>27.990000000000002</v>
      </c>
      <c r="AB2328" s="171">
        <v>23.990000000000002</v>
      </c>
      <c r="AC2328" s="171">
        <v>25.61</v>
      </c>
      <c r="AD2328" s="171">
        <v>30.830000000000002</v>
      </c>
      <c r="AF2328" s="171">
        <f t="shared" si="110"/>
        <v>2016</v>
      </c>
      <c r="AG2328" s="171">
        <f t="shared" si="111"/>
        <v>24</v>
      </c>
      <c r="AH2328" s="700">
        <f>SUMIF(D$3:$AA2328,"&lt;="&amp;$AH$1)/COUNTIF(D$3:$AA2328,"&lt;="&amp;$AH$1)</f>
        <v>31.271935890596325</v>
      </c>
    </row>
    <row r="2329" spans="2:34" x14ac:dyDescent="0.25">
      <c r="B2329" s="910">
        <v>42487</v>
      </c>
      <c r="C2329" s="581">
        <f t="shared" si="109"/>
        <v>4</v>
      </c>
      <c r="D2329" s="171">
        <v>26.18</v>
      </c>
      <c r="E2329" s="171">
        <v>23.01</v>
      </c>
      <c r="F2329" s="171">
        <v>22.42</v>
      </c>
      <c r="G2329" s="171">
        <v>22.53</v>
      </c>
      <c r="H2329" s="171">
        <v>22.04</v>
      </c>
      <c r="I2329" s="171">
        <v>22.17</v>
      </c>
      <c r="J2329" s="171">
        <v>23.77</v>
      </c>
      <c r="K2329" s="171">
        <v>25.48</v>
      </c>
      <c r="L2329" s="171">
        <v>28.5</v>
      </c>
      <c r="M2329" s="171">
        <v>30.27</v>
      </c>
      <c r="N2329" s="171">
        <v>28.85</v>
      </c>
      <c r="O2329" s="171">
        <v>25.650000000000002</v>
      </c>
      <c r="P2329" s="171">
        <v>24.91</v>
      </c>
      <c r="Q2329" s="171">
        <v>24.21</v>
      </c>
      <c r="R2329" s="171">
        <v>24.94</v>
      </c>
      <c r="S2329" s="171">
        <v>24.34</v>
      </c>
      <c r="T2329" s="171">
        <v>24.19</v>
      </c>
      <c r="U2329" s="171">
        <v>24.310000000000002</v>
      </c>
      <c r="V2329" s="171">
        <v>24.72</v>
      </c>
      <c r="W2329" s="171">
        <v>28.95</v>
      </c>
      <c r="X2329" s="171">
        <v>30.27</v>
      </c>
      <c r="Y2329" s="171">
        <v>33</v>
      </c>
      <c r="Z2329" s="171">
        <v>33.270000000000003</v>
      </c>
      <c r="AA2329" s="171">
        <v>29.09</v>
      </c>
      <c r="AB2329" s="171">
        <v>27.34</v>
      </c>
      <c r="AC2329" s="171">
        <v>26.05</v>
      </c>
      <c r="AD2329" s="171">
        <v>26.3</v>
      </c>
      <c r="AF2329" s="171">
        <f t="shared" si="110"/>
        <v>2016</v>
      </c>
      <c r="AG2329" s="171">
        <f t="shared" si="111"/>
        <v>24</v>
      </c>
      <c r="AH2329" s="700">
        <f>SUMIF(D$3:$AA2329,"&lt;="&amp;$AH$1)/COUNTIF(D$3:$AA2329,"&lt;="&amp;$AH$1)</f>
        <v>31.265955921530001</v>
      </c>
    </row>
    <row r="2330" spans="2:34" x14ac:dyDescent="0.25">
      <c r="B2330" s="910">
        <v>42488</v>
      </c>
      <c r="C2330" s="581">
        <f t="shared" si="109"/>
        <v>4</v>
      </c>
      <c r="D2330" s="171">
        <v>32.480000000000004</v>
      </c>
      <c r="E2330" s="171">
        <v>27.7</v>
      </c>
      <c r="F2330" s="171">
        <v>23.46</v>
      </c>
      <c r="G2330" s="171">
        <v>24.55</v>
      </c>
      <c r="H2330" s="171">
        <v>23.28</v>
      </c>
      <c r="I2330" s="171">
        <v>23.73</v>
      </c>
      <c r="J2330" s="171">
        <v>25.59</v>
      </c>
      <c r="K2330" s="171">
        <v>31.26</v>
      </c>
      <c r="L2330" s="171">
        <v>40.04</v>
      </c>
      <c r="M2330" s="171">
        <v>45.92</v>
      </c>
      <c r="N2330" s="171">
        <v>38.369999999999997</v>
      </c>
      <c r="O2330" s="171">
        <v>43.63</v>
      </c>
      <c r="P2330" s="171">
        <v>33.78</v>
      </c>
      <c r="Q2330" s="171">
        <v>37.72</v>
      </c>
      <c r="R2330" s="171">
        <v>38.04</v>
      </c>
      <c r="S2330" s="171">
        <v>27.7</v>
      </c>
      <c r="T2330" s="171">
        <v>26.96</v>
      </c>
      <c r="U2330" s="171">
        <v>26.5</v>
      </c>
      <c r="V2330" s="171">
        <v>30</v>
      </c>
      <c r="W2330" s="171">
        <v>34.79</v>
      </c>
      <c r="X2330" s="171">
        <v>38.43</v>
      </c>
      <c r="Y2330" s="171">
        <v>35.75</v>
      </c>
      <c r="Z2330" s="171">
        <v>37.19</v>
      </c>
      <c r="AA2330" s="171">
        <v>34.92</v>
      </c>
      <c r="AB2330" s="171">
        <v>30.3</v>
      </c>
      <c r="AC2330" s="171">
        <v>29.810000000000002</v>
      </c>
      <c r="AD2330" s="171">
        <v>35.15</v>
      </c>
      <c r="AF2330" s="171">
        <f t="shared" si="110"/>
        <v>2016</v>
      </c>
      <c r="AG2330" s="171">
        <f t="shared" si="111"/>
        <v>22</v>
      </c>
      <c r="AH2330" s="700">
        <f>SUMIF(D$3:$AA2330,"&lt;="&amp;$AH$1)/COUNTIF(D$3:$AA2330,"&lt;="&amp;$AH$1)</f>
        <v>31.266168287607631</v>
      </c>
    </row>
    <row r="2331" spans="2:34" x14ac:dyDescent="0.25">
      <c r="B2331" s="910">
        <v>42489</v>
      </c>
      <c r="C2331" s="581">
        <f t="shared" si="109"/>
        <v>4</v>
      </c>
      <c r="D2331" s="171">
        <v>29.68</v>
      </c>
      <c r="E2331" s="171">
        <v>26.41</v>
      </c>
      <c r="F2331" s="171">
        <v>25.01</v>
      </c>
      <c r="G2331" s="171">
        <v>23.990000000000002</v>
      </c>
      <c r="H2331" s="171">
        <v>22.46</v>
      </c>
      <c r="I2331" s="171">
        <v>22.35</v>
      </c>
      <c r="J2331" s="171">
        <v>23.47</v>
      </c>
      <c r="K2331" s="171">
        <v>26.8</v>
      </c>
      <c r="L2331" s="171">
        <v>30.68</v>
      </c>
      <c r="M2331" s="171">
        <v>28.51</v>
      </c>
      <c r="N2331" s="171">
        <v>38.01</v>
      </c>
      <c r="O2331" s="171">
        <v>37.1</v>
      </c>
      <c r="P2331" s="171">
        <v>35.880000000000003</v>
      </c>
      <c r="Q2331" s="171">
        <v>35.160000000000004</v>
      </c>
      <c r="R2331" s="171">
        <v>35</v>
      </c>
      <c r="S2331" s="171">
        <v>30.96</v>
      </c>
      <c r="T2331" s="171">
        <v>26.8</v>
      </c>
      <c r="U2331" s="171">
        <v>25.38</v>
      </c>
      <c r="V2331" s="171">
        <v>26.01</v>
      </c>
      <c r="W2331" s="171">
        <v>30.82</v>
      </c>
      <c r="X2331" s="171">
        <v>34.83</v>
      </c>
      <c r="Y2331" s="171">
        <v>35.18</v>
      </c>
      <c r="Z2331" s="171">
        <v>33.230000000000004</v>
      </c>
      <c r="AA2331" s="171">
        <v>30.990000000000002</v>
      </c>
      <c r="AB2331" s="171">
        <v>27.35</v>
      </c>
      <c r="AC2331" s="171">
        <v>27.330000000000002</v>
      </c>
      <c r="AD2331" s="171">
        <v>32.04</v>
      </c>
      <c r="AF2331" s="171">
        <f t="shared" si="110"/>
        <v>2016</v>
      </c>
      <c r="AG2331" s="171">
        <f t="shared" si="111"/>
        <v>24</v>
      </c>
      <c r="AH2331" s="700">
        <f>SUMIF(D$3:$AA2331,"&lt;="&amp;$AH$1)/COUNTIF(D$3:$AA2331,"&lt;="&amp;$AH$1)</f>
        <v>31.264443961141893</v>
      </c>
    </row>
    <row r="2332" spans="2:34" x14ac:dyDescent="0.25">
      <c r="B2332" s="910">
        <v>42492</v>
      </c>
      <c r="C2332" s="581">
        <f t="shared" si="109"/>
        <v>5</v>
      </c>
      <c r="D2332" s="171">
        <v>29.650000000000002</v>
      </c>
      <c r="E2332" s="171">
        <v>22.7</v>
      </c>
      <c r="F2332" s="171">
        <v>20.23</v>
      </c>
      <c r="G2332" s="171">
        <v>20.03</v>
      </c>
      <c r="H2332" s="171">
        <v>19.940000000000001</v>
      </c>
      <c r="I2332" s="171">
        <v>20.080000000000002</v>
      </c>
      <c r="J2332" s="171">
        <v>23.47</v>
      </c>
      <c r="K2332" s="171">
        <v>31.12</v>
      </c>
      <c r="L2332" s="171">
        <v>35.71</v>
      </c>
      <c r="M2332" s="171">
        <v>34.96</v>
      </c>
      <c r="N2332" s="171">
        <v>32.39</v>
      </c>
      <c r="O2332" s="171">
        <v>33.11</v>
      </c>
      <c r="P2332" s="171">
        <v>35.520000000000003</v>
      </c>
      <c r="Q2332" s="171">
        <v>36.03</v>
      </c>
      <c r="R2332" s="171">
        <v>35.46</v>
      </c>
      <c r="S2332" s="171">
        <v>31.2</v>
      </c>
      <c r="T2332" s="171">
        <v>26.12</v>
      </c>
      <c r="U2332" s="171">
        <v>26.94</v>
      </c>
      <c r="V2332" s="171">
        <v>29.060000000000002</v>
      </c>
      <c r="W2332" s="171">
        <v>33</v>
      </c>
      <c r="X2332" s="171">
        <v>35.79</v>
      </c>
      <c r="Y2332" s="171">
        <v>35.76</v>
      </c>
      <c r="Z2332" s="171">
        <v>34.08</v>
      </c>
      <c r="AA2332" s="171">
        <v>31.93</v>
      </c>
      <c r="AB2332" s="171">
        <v>27.05</v>
      </c>
      <c r="AC2332" s="171">
        <v>26.84</v>
      </c>
      <c r="AD2332" s="171">
        <v>32.47</v>
      </c>
      <c r="AF2332" s="171">
        <f t="shared" si="110"/>
        <v>2016</v>
      </c>
      <c r="AG2332" s="171">
        <f t="shared" si="111"/>
        <v>24</v>
      </c>
      <c r="AH2332" s="700">
        <f>SUMIF(D$3:$AA2332,"&lt;="&amp;$AH$1)/COUNTIF(D$3:$AA2332,"&lt;="&amp;$AH$1)</f>
        <v>31.262702872314108</v>
      </c>
    </row>
    <row r="2333" spans="2:34" x14ac:dyDescent="0.25">
      <c r="B2333" s="910">
        <v>42493</v>
      </c>
      <c r="C2333" s="581">
        <f t="shared" si="109"/>
        <v>5</v>
      </c>
      <c r="D2333" s="171">
        <v>29.28</v>
      </c>
      <c r="E2333" s="171">
        <v>23.91</v>
      </c>
      <c r="F2333" s="171">
        <v>21.81</v>
      </c>
      <c r="G2333" s="171">
        <v>21.84</v>
      </c>
      <c r="H2333" s="171">
        <v>21.37</v>
      </c>
      <c r="I2333" s="171">
        <v>21.85</v>
      </c>
      <c r="J2333" s="171">
        <v>23.26</v>
      </c>
      <c r="K2333" s="171">
        <v>30.39</v>
      </c>
      <c r="L2333" s="171">
        <v>33.9</v>
      </c>
      <c r="M2333" s="171">
        <v>36.480000000000004</v>
      </c>
      <c r="N2333" s="171">
        <v>35.950000000000003</v>
      </c>
      <c r="O2333" s="171">
        <v>35.58</v>
      </c>
      <c r="P2333" s="171">
        <v>34.9</v>
      </c>
      <c r="Q2333" s="171">
        <v>31.55</v>
      </c>
      <c r="R2333" s="171">
        <v>29.91</v>
      </c>
      <c r="S2333" s="171">
        <v>30.34</v>
      </c>
      <c r="T2333" s="171">
        <v>28.42</v>
      </c>
      <c r="U2333" s="171">
        <v>28.5</v>
      </c>
      <c r="V2333" s="171">
        <v>25.17</v>
      </c>
      <c r="W2333" s="171">
        <v>28.51</v>
      </c>
      <c r="X2333" s="171">
        <v>31.69</v>
      </c>
      <c r="Y2333" s="171">
        <v>32.1</v>
      </c>
      <c r="Z2333" s="171">
        <v>32.799999999999997</v>
      </c>
      <c r="AA2333" s="171">
        <v>32.51</v>
      </c>
      <c r="AB2333" s="171">
        <v>29.94</v>
      </c>
      <c r="AC2333" s="171">
        <v>27.14</v>
      </c>
      <c r="AD2333" s="171">
        <v>31.42</v>
      </c>
      <c r="AF2333" s="171">
        <f t="shared" si="110"/>
        <v>2016</v>
      </c>
      <c r="AG2333" s="171">
        <f t="shared" si="111"/>
        <v>24</v>
      </c>
      <c r="AH2333" s="700">
        <f>SUMIF(D$3:$AA2333,"&lt;="&amp;$AH$1)/COUNTIF(D$3:$AA2333,"&lt;="&amp;$AH$1)</f>
        <v>31.260374656443748</v>
      </c>
    </row>
    <row r="2334" spans="2:34" x14ac:dyDescent="0.25">
      <c r="B2334" s="910">
        <v>42494</v>
      </c>
      <c r="C2334" s="581">
        <f t="shared" si="109"/>
        <v>5</v>
      </c>
      <c r="D2334" s="171">
        <v>27.67</v>
      </c>
      <c r="E2334" s="171">
        <v>23.02</v>
      </c>
      <c r="F2334" s="171">
        <v>22.16</v>
      </c>
      <c r="G2334" s="171">
        <v>21.95</v>
      </c>
      <c r="H2334" s="171">
        <v>21.69</v>
      </c>
      <c r="I2334" s="171">
        <v>22.14</v>
      </c>
      <c r="J2334" s="171">
        <v>23.59</v>
      </c>
      <c r="K2334" s="171">
        <v>31.470000000000002</v>
      </c>
      <c r="L2334" s="171">
        <v>35.050000000000004</v>
      </c>
      <c r="M2334" s="171">
        <v>35.97</v>
      </c>
      <c r="N2334" s="171">
        <v>33.54</v>
      </c>
      <c r="O2334" s="171">
        <v>29.45</v>
      </c>
      <c r="P2334" s="171">
        <v>28.04</v>
      </c>
      <c r="Q2334" s="171">
        <v>27.150000000000002</v>
      </c>
      <c r="R2334" s="171">
        <v>26</v>
      </c>
      <c r="S2334" s="171">
        <v>24.8</v>
      </c>
      <c r="T2334" s="171">
        <v>23.64</v>
      </c>
      <c r="U2334" s="171">
        <v>23.88</v>
      </c>
      <c r="V2334" s="171">
        <v>25.1</v>
      </c>
      <c r="W2334" s="171">
        <v>28.96</v>
      </c>
      <c r="X2334" s="171">
        <v>31.73</v>
      </c>
      <c r="Y2334" s="171">
        <v>32</v>
      </c>
      <c r="Z2334" s="171">
        <v>32.9</v>
      </c>
      <c r="AA2334" s="171">
        <v>31.93</v>
      </c>
      <c r="AB2334" s="171">
        <v>27.8</v>
      </c>
      <c r="AC2334" s="171">
        <v>27.14</v>
      </c>
      <c r="AD2334" s="171">
        <v>28.19</v>
      </c>
      <c r="AF2334" s="171">
        <f t="shared" si="110"/>
        <v>2016</v>
      </c>
      <c r="AG2334" s="171">
        <f t="shared" si="111"/>
        <v>24</v>
      </c>
      <c r="AH2334" s="700">
        <f>SUMIF(D$3:$AA2334,"&lt;="&amp;$AH$1)/COUNTIF(D$3:$AA2334,"&lt;="&amp;$AH$1)</f>
        <v>31.256212493377014</v>
      </c>
    </row>
    <row r="2335" spans="2:34" x14ac:dyDescent="0.25">
      <c r="B2335" s="910">
        <v>42495</v>
      </c>
      <c r="C2335" s="581">
        <f t="shared" si="109"/>
        <v>5</v>
      </c>
      <c r="D2335" s="171">
        <v>20.39</v>
      </c>
      <c r="E2335" s="171">
        <v>23.69</v>
      </c>
      <c r="F2335" s="171">
        <v>21.86</v>
      </c>
      <c r="G2335" s="171">
        <v>21.26</v>
      </c>
      <c r="H2335" s="171">
        <v>20.260000000000002</v>
      </c>
      <c r="I2335" s="171">
        <v>19.79</v>
      </c>
      <c r="J2335" s="171">
        <v>19.79</v>
      </c>
      <c r="K2335" s="171">
        <v>19.95</v>
      </c>
      <c r="L2335" s="171">
        <v>20.07</v>
      </c>
      <c r="M2335" s="171">
        <v>20</v>
      </c>
      <c r="N2335" s="171">
        <v>19.57</v>
      </c>
      <c r="O2335" s="171">
        <v>19.010000000000002</v>
      </c>
      <c r="P2335" s="171">
        <v>17.760000000000002</v>
      </c>
      <c r="Q2335" s="171">
        <v>17.580000000000002</v>
      </c>
      <c r="R2335" s="171">
        <v>19.5</v>
      </c>
      <c r="S2335" s="171">
        <v>19.47</v>
      </c>
      <c r="T2335" s="171">
        <v>15.01</v>
      </c>
      <c r="U2335" s="171">
        <v>15.120000000000001</v>
      </c>
      <c r="V2335" s="171">
        <v>17.77</v>
      </c>
      <c r="W2335" s="171">
        <v>20.67</v>
      </c>
      <c r="X2335" s="171">
        <v>24.2</v>
      </c>
      <c r="Y2335" s="171">
        <v>24.080000000000002</v>
      </c>
      <c r="Z2335" s="171">
        <v>24.87</v>
      </c>
      <c r="AA2335" s="171">
        <v>25.79</v>
      </c>
      <c r="AB2335" s="171">
        <v>22.34</v>
      </c>
      <c r="AC2335" s="171">
        <v>21.98</v>
      </c>
      <c r="AD2335" s="171">
        <v>18.809999999999999</v>
      </c>
      <c r="AF2335" s="171">
        <f t="shared" si="110"/>
        <v>2016</v>
      </c>
      <c r="AG2335" s="171">
        <f t="shared" si="111"/>
        <v>24</v>
      </c>
      <c r="AH2335" s="700">
        <f>SUMIF(D$3:$AA2335,"&lt;="&amp;$AH$1)/COUNTIF(D$3:$AA2335,"&lt;="&amp;$AH$1)</f>
        <v>31.243575311492126</v>
      </c>
    </row>
    <row r="2336" spans="2:34" x14ac:dyDescent="0.25">
      <c r="B2336" s="910">
        <v>42496</v>
      </c>
      <c r="C2336" s="581">
        <f t="shared" si="109"/>
        <v>5</v>
      </c>
      <c r="D2336" s="171">
        <v>26.76</v>
      </c>
      <c r="E2336" s="171">
        <v>20.73</v>
      </c>
      <c r="F2336" s="171">
        <v>19.080000000000002</v>
      </c>
      <c r="G2336" s="171">
        <v>18.46</v>
      </c>
      <c r="H2336" s="171">
        <v>17.87</v>
      </c>
      <c r="I2336" s="171">
        <v>19.11</v>
      </c>
      <c r="J2336" s="171">
        <v>20</v>
      </c>
      <c r="K2336" s="171">
        <v>24.44</v>
      </c>
      <c r="L2336" s="171">
        <v>30.330000000000002</v>
      </c>
      <c r="M2336" s="171">
        <v>30.990000000000002</v>
      </c>
      <c r="N2336" s="171">
        <v>29.98</v>
      </c>
      <c r="O2336" s="171">
        <v>24.28</v>
      </c>
      <c r="P2336" s="171">
        <v>23.62</v>
      </c>
      <c r="Q2336" s="171">
        <v>24.94</v>
      </c>
      <c r="R2336" s="171">
        <v>31</v>
      </c>
      <c r="S2336" s="171">
        <v>30</v>
      </c>
      <c r="T2336" s="171">
        <v>24.94</v>
      </c>
      <c r="U2336" s="171">
        <v>24</v>
      </c>
      <c r="V2336" s="171">
        <v>24.150000000000002</v>
      </c>
      <c r="W2336" s="171">
        <v>32.44</v>
      </c>
      <c r="X2336" s="171">
        <v>30.94</v>
      </c>
      <c r="Y2336" s="171">
        <v>29.94</v>
      </c>
      <c r="Z2336" s="171">
        <v>34.94</v>
      </c>
      <c r="AA2336" s="171">
        <v>43.19</v>
      </c>
      <c r="AB2336" s="171">
        <v>32.81</v>
      </c>
      <c r="AC2336" s="171">
        <v>25.91</v>
      </c>
      <c r="AD2336" s="171">
        <v>27.61</v>
      </c>
      <c r="AF2336" s="171">
        <f t="shared" si="110"/>
        <v>2016</v>
      </c>
      <c r="AG2336" s="171">
        <f t="shared" si="111"/>
        <v>23</v>
      </c>
      <c r="AH2336" s="700">
        <f>SUMIF(D$3:$AA2336,"&lt;="&amp;$AH$1)/COUNTIF(D$3:$AA2336,"&lt;="&amp;$AH$1)</f>
        <v>31.237536761171853</v>
      </c>
    </row>
    <row r="2337" spans="2:34" x14ac:dyDescent="0.25">
      <c r="B2337" s="910">
        <v>42499</v>
      </c>
      <c r="C2337" s="581">
        <f t="shared" si="109"/>
        <v>5</v>
      </c>
      <c r="D2337" s="171">
        <v>23.69</v>
      </c>
      <c r="E2337" s="171">
        <v>16.27</v>
      </c>
      <c r="F2337" s="171">
        <v>12.68</v>
      </c>
      <c r="G2337" s="171">
        <v>12.09</v>
      </c>
      <c r="H2337" s="171">
        <v>9.57</v>
      </c>
      <c r="I2337" s="171">
        <v>11</v>
      </c>
      <c r="J2337" s="171">
        <v>14.18</v>
      </c>
      <c r="K2337" s="171">
        <v>28.57</v>
      </c>
      <c r="L2337" s="171">
        <v>32.950000000000003</v>
      </c>
      <c r="M2337" s="171">
        <v>34.69</v>
      </c>
      <c r="N2337" s="171">
        <v>31.240000000000002</v>
      </c>
      <c r="O2337" s="171">
        <v>25.55</v>
      </c>
      <c r="P2337" s="171">
        <v>23.45</v>
      </c>
      <c r="Q2337" s="171">
        <v>23.12</v>
      </c>
      <c r="R2337" s="171">
        <v>22.93</v>
      </c>
      <c r="S2337" s="171">
        <v>22.75</v>
      </c>
      <c r="T2337" s="171">
        <v>24.94</v>
      </c>
      <c r="U2337" s="171">
        <v>24.94</v>
      </c>
      <c r="V2337" s="171">
        <v>29.35</v>
      </c>
      <c r="W2337" s="171">
        <v>27.12</v>
      </c>
      <c r="X2337" s="171">
        <v>31.46</v>
      </c>
      <c r="Y2337" s="171">
        <v>31.28</v>
      </c>
      <c r="Z2337" s="171">
        <v>30</v>
      </c>
      <c r="AA2337" s="171">
        <v>25.28</v>
      </c>
      <c r="AB2337" s="171">
        <v>23.2</v>
      </c>
      <c r="AC2337" s="171">
        <v>20.59</v>
      </c>
      <c r="AD2337" s="171">
        <v>26.8</v>
      </c>
      <c r="AF2337" s="171">
        <f t="shared" si="110"/>
        <v>2016</v>
      </c>
      <c r="AG2337" s="171">
        <f t="shared" si="111"/>
        <v>24</v>
      </c>
      <c r="AH2337" s="700">
        <f>SUMIF(D$3:$AA2337,"&lt;="&amp;$AH$1)/COUNTIF(D$3:$AA2337,"&lt;="&amp;$AH$1)</f>
        <v>31.22886819621705</v>
      </c>
    </row>
    <row r="2338" spans="2:34" x14ac:dyDescent="0.25">
      <c r="B2338" s="910">
        <v>42500</v>
      </c>
      <c r="C2338" s="581">
        <f t="shared" si="109"/>
        <v>5</v>
      </c>
      <c r="D2338" s="171">
        <v>27.900000000000002</v>
      </c>
      <c r="E2338" s="171">
        <v>22.55</v>
      </c>
      <c r="F2338" s="171">
        <v>21.09</v>
      </c>
      <c r="G2338" s="171">
        <v>19.61</v>
      </c>
      <c r="H2338" s="171">
        <v>19.330000000000002</v>
      </c>
      <c r="I2338" s="171">
        <v>19.87</v>
      </c>
      <c r="J2338" s="171">
        <v>21.56</v>
      </c>
      <c r="K2338" s="171">
        <v>28.5</v>
      </c>
      <c r="L2338" s="171">
        <v>31.87</v>
      </c>
      <c r="M2338" s="171">
        <v>36.660000000000004</v>
      </c>
      <c r="N2338" s="171">
        <v>34.94</v>
      </c>
      <c r="O2338" s="171">
        <v>31.560000000000002</v>
      </c>
      <c r="P2338" s="171">
        <v>29.27</v>
      </c>
      <c r="Q2338" s="171">
        <v>27.47</v>
      </c>
      <c r="R2338" s="171">
        <v>27.17</v>
      </c>
      <c r="S2338" s="171">
        <v>26.310000000000002</v>
      </c>
      <c r="T2338" s="171">
        <v>30.01</v>
      </c>
      <c r="U2338" s="171">
        <v>29.94</v>
      </c>
      <c r="V2338" s="171">
        <v>30.69</v>
      </c>
      <c r="W2338" s="171">
        <v>31.93</v>
      </c>
      <c r="X2338" s="171">
        <v>32.5</v>
      </c>
      <c r="Y2338" s="171">
        <v>32.25</v>
      </c>
      <c r="Z2338" s="171">
        <v>31.990000000000002</v>
      </c>
      <c r="AA2338" s="171">
        <v>30.27</v>
      </c>
      <c r="AB2338" s="171">
        <v>22.34</v>
      </c>
      <c r="AC2338" s="171">
        <v>25.1</v>
      </c>
      <c r="AD2338" s="171">
        <v>30.7</v>
      </c>
      <c r="AF2338" s="171">
        <f t="shared" si="110"/>
        <v>2016</v>
      </c>
      <c r="AG2338" s="171">
        <f t="shared" si="111"/>
        <v>24</v>
      </c>
      <c r="AH2338" s="700">
        <f>SUMIF(D$3:$AA2338,"&lt;="&amp;$AH$1)/COUNTIF(D$3:$AA2338,"&lt;="&amp;$AH$1)</f>
        <v>31.225308275001733</v>
      </c>
    </row>
    <row r="2339" spans="2:34" x14ac:dyDescent="0.25">
      <c r="B2339" s="910">
        <v>42501</v>
      </c>
      <c r="C2339" s="581">
        <f t="shared" si="109"/>
        <v>5</v>
      </c>
      <c r="D2339" s="171">
        <v>29.21</v>
      </c>
      <c r="E2339" s="171">
        <v>22.400000000000002</v>
      </c>
      <c r="F2339" s="171">
        <v>20.54</v>
      </c>
      <c r="G2339" s="171">
        <v>19.920000000000002</v>
      </c>
      <c r="H2339" s="171">
        <v>19.11</v>
      </c>
      <c r="I2339" s="171">
        <v>19.87</v>
      </c>
      <c r="J2339" s="171">
        <v>21.84</v>
      </c>
      <c r="K2339" s="171">
        <v>28.96</v>
      </c>
      <c r="L2339" s="171">
        <v>35.270000000000003</v>
      </c>
      <c r="M2339" s="171">
        <v>39.6</v>
      </c>
      <c r="N2339" s="171">
        <v>34.94</v>
      </c>
      <c r="O2339" s="171">
        <v>35.25</v>
      </c>
      <c r="P2339" s="171">
        <v>38.160000000000004</v>
      </c>
      <c r="Q2339" s="171">
        <v>29.490000000000002</v>
      </c>
      <c r="R2339" s="171">
        <v>32.44</v>
      </c>
      <c r="S2339" s="171">
        <v>32.44</v>
      </c>
      <c r="T2339" s="171">
        <v>34.94</v>
      </c>
      <c r="U2339" s="171">
        <v>34.94</v>
      </c>
      <c r="V2339" s="171">
        <v>32</v>
      </c>
      <c r="W2339" s="171">
        <v>28.55</v>
      </c>
      <c r="X2339" s="171">
        <v>31.32</v>
      </c>
      <c r="Y2339" s="171">
        <v>29.94</v>
      </c>
      <c r="Z2339" s="171">
        <v>25.09</v>
      </c>
      <c r="AA2339" s="171">
        <v>23.11</v>
      </c>
      <c r="AB2339" s="171">
        <v>30.990000000000002</v>
      </c>
      <c r="AC2339" s="171">
        <v>24.75</v>
      </c>
      <c r="AD2339" s="171">
        <v>33.67</v>
      </c>
      <c r="AF2339" s="171">
        <f t="shared" si="110"/>
        <v>2016</v>
      </c>
      <c r="AG2339" s="171">
        <f t="shared" si="111"/>
        <v>24</v>
      </c>
      <c r="AH2339" s="700">
        <f>SUMIF(D$3:$AA2339,"&lt;="&amp;$AH$1)/COUNTIF(D$3:$AA2339,"&lt;="&amp;$AH$1)</f>
        <v>31.222910161861208</v>
      </c>
    </row>
    <row r="2340" spans="2:34" x14ac:dyDescent="0.25">
      <c r="B2340" s="910">
        <v>42502</v>
      </c>
      <c r="C2340" s="581">
        <f t="shared" si="109"/>
        <v>5</v>
      </c>
      <c r="D2340" s="171">
        <v>29.55</v>
      </c>
      <c r="E2340" s="171">
        <v>20.830000000000002</v>
      </c>
      <c r="F2340" s="171">
        <v>18.62</v>
      </c>
      <c r="G2340" s="171">
        <v>17.850000000000001</v>
      </c>
      <c r="H2340" s="171">
        <v>18.37</v>
      </c>
      <c r="I2340" s="171">
        <v>19.3</v>
      </c>
      <c r="J2340" s="171">
        <v>20.32</v>
      </c>
      <c r="K2340" s="171">
        <v>24.080000000000002</v>
      </c>
      <c r="L2340" s="171">
        <v>30.93</v>
      </c>
      <c r="M2340" s="171">
        <v>34.049999999999997</v>
      </c>
      <c r="N2340" s="171">
        <v>40.32</v>
      </c>
      <c r="O2340" s="171">
        <v>35</v>
      </c>
      <c r="P2340" s="171">
        <v>37.51</v>
      </c>
      <c r="Q2340" s="171">
        <v>32.53</v>
      </c>
      <c r="R2340" s="171">
        <v>36.58</v>
      </c>
      <c r="S2340" s="171">
        <v>32.950000000000003</v>
      </c>
      <c r="T2340" s="171">
        <v>28.09</v>
      </c>
      <c r="U2340" s="171">
        <v>32.130000000000003</v>
      </c>
      <c r="V2340" s="171">
        <v>32.44</v>
      </c>
      <c r="W2340" s="171">
        <v>37.44</v>
      </c>
      <c r="X2340" s="171">
        <v>37.44</v>
      </c>
      <c r="Y2340" s="171">
        <v>32.85</v>
      </c>
      <c r="Z2340" s="171">
        <v>32.03</v>
      </c>
      <c r="AA2340" s="171">
        <v>32.28</v>
      </c>
      <c r="AB2340" s="171">
        <v>25.14</v>
      </c>
      <c r="AC2340" s="171">
        <v>24.38</v>
      </c>
      <c r="AD2340" s="171">
        <v>34.71</v>
      </c>
      <c r="AF2340" s="171">
        <f t="shared" si="110"/>
        <v>2016</v>
      </c>
      <c r="AG2340" s="171">
        <f t="shared" si="111"/>
        <v>24</v>
      </c>
      <c r="AH2340" s="700">
        <f>SUMIF(D$3:$AA2340,"&lt;="&amp;$AH$1)/COUNTIF(D$3:$AA2340,"&lt;="&amp;$AH$1)</f>
        <v>31.221194872284773</v>
      </c>
    </row>
    <row r="2341" spans="2:34" x14ac:dyDescent="0.25">
      <c r="B2341" s="910">
        <v>42503</v>
      </c>
      <c r="C2341" s="581">
        <f t="shared" si="109"/>
        <v>5</v>
      </c>
      <c r="D2341" s="171">
        <v>27.37</v>
      </c>
      <c r="E2341" s="171">
        <v>23.07</v>
      </c>
      <c r="F2341" s="171">
        <v>21.41</v>
      </c>
      <c r="G2341" s="171">
        <v>21.04</v>
      </c>
      <c r="H2341" s="171">
        <v>20.55</v>
      </c>
      <c r="I2341" s="171">
        <v>21.13</v>
      </c>
      <c r="J2341" s="171">
        <v>23</v>
      </c>
      <c r="K2341" s="171">
        <v>28.07</v>
      </c>
      <c r="L2341" s="171">
        <v>36.14</v>
      </c>
      <c r="M2341" s="171">
        <v>40.21</v>
      </c>
      <c r="N2341" s="171">
        <v>38.230000000000004</v>
      </c>
      <c r="O2341" s="171">
        <v>35.369999999999997</v>
      </c>
      <c r="P2341" s="171">
        <v>35.450000000000003</v>
      </c>
      <c r="Q2341" s="171">
        <v>30.94</v>
      </c>
      <c r="R2341" s="171">
        <v>27.990000000000002</v>
      </c>
      <c r="S2341" s="171">
        <v>25.28</v>
      </c>
      <c r="T2341" s="171">
        <v>23.900000000000002</v>
      </c>
      <c r="U2341" s="171">
        <v>23.53</v>
      </c>
      <c r="V2341" s="171">
        <v>24.01</v>
      </c>
      <c r="W2341" s="171">
        <v>26.37</v>
      </c>
      <c r="X2341" s="171">
        <v>29</v>
      </c>
      <c r="Y2341" s="171">
        <v>27.1</v>
      </c>
      <c r="Z2341" s="171">
        <v>25.03</v>
      </c>
      <c r="AA2341" s="171">
        <v>26.96</v>
      </c>
      <c r="AB2341" s="171">
        <v>23.02</v>
      </c>
      <c r="AC2341" s="171">
        <v>24.71</v>
      </c>
      <c r="AD2341" s="171">
        <v>30.02</v>
      </c>
      <c r="AF2341" s="171">
        <f t="shared" si="110"/>
        <v>2016</v>
      </c>
      <c r="AG2341" s="171">
        <f t="shared" si="111"/>
        <v>24</v>
      </c>
      <c r="AH2341" s="700">
        <f>SUMIF(D$3:$AA2341,"&lt;="&amp;$AH$1)/COUNTIF(D$3:$AA2341,"&lt;="&amp;$AH$1)</f>
        <v>31.216982799808189</v>
      </c>
    </row>
    <row r="2342" spans="2:34" x14ac:dyDescent="0.25">
      <c r="B2342" s="910">
        <v>42506</v>
      </c>
      <c r="C2342" s="581">
        <f t="shared" si="109"/>
        <v>5</v>
      </c>
      <c r="D2342" s="171">
        <v>24.84</v>
      </c>
      <c r="E2342" s="171">
        <v>37</v>
      </c>
      <c r="F2342" s="171">
        <v>20.79</v>
      </c>
      <c r="G2342" s="171">
        <v>19.29</v>
      </c>
      <c r="H2342" s="171">
        <v>19.14</v>
      </c>
      <c r="I2342" s="171">
        <v>19.09</v>
      </c>
      <c r="J2342" s="171">
        <v>20.09</v>
      </c>
      <c r="K2342" s="171">
        <v>20.650000000000002</v>
      </c>
      <c r="L2342" s="171">
        <v>21.330000000000002</v>
      </c>
      <c r="M2342" s="171">
        <v>22.54</v>
      </c>
      <c r="N2342" s="171">
        <v>23.66</v>
      </c>
      <c r="O2342" s="171">
        <v>23.87</v>
      </c>
      <c r="P2342" s="171">
        <v>24.94</v>
      </c>
      <c r="Q2342" s="171">
        <v>24.990000000000002</v>
      </c>
      <c r="R2342" s="171">
        <v>24.27</v>
      </c>
      <c r="S2342" s="171">
        <v>20.98</v>
      </c>
      <c r="T2342" s="171">
        <v>21.3</v>
      </c>
      <c r="U2342" s="171">
        <v>21.43</v>
      </c>
      <c r="V2342" s="171">
        <v>23.5</v>
      </c>
      <c r="W2342" s="171">
        <v>24</v>
      </c>
      <c r="X2342" s="171">
        <v>27.16</v>
      </c>
      <c r="Y2342" s="171">
        <v>28.37</v>
      </c>
      <c r="Z2342" s="171">
        <v>32.07</v>
      </c>
      <c r="AA2342" s="171">
        <v>38.369999999999997</v>
      </c>
      <c r="AB2342" s="171">
        <v>37.31</v>
      </c>
      <c r="AC2342" s="171">
        <v>26.13</v>
      </c>
      <c r="AD2342" s="171">
        <v>23.55</v>
      </c>
      <c r="AF2342" s="171">
        <f t="shared" si="110"/>
        <v>2016</v>
      </c>
      <c r="AG2342" s="171">
        <f t="shared" si="111"/>
        <v>24</v>
      </c>
      <c r="AH2342" s="700">
        <f>SUMIF(D$3:$AA2342,"&lt;="&amp;$AH$1)/COUNTIF(D$3:$AA2342,"&lt;="&amp;$AH$1)</f>
        <v>31.209082752695689</v>
      </c>
    </row>
    <row r="2343" spans="2:34" x14ac:dyDescent="0.25">
      <c r="B2343" s="910">
        <v>42507</v>
      </c>
      <c r="C2343" s="581">
        <f t="shared" si="109"/>
        <v>5</v>
      </c>
      <c r="D2343" s="171">
        <v>31.27</v>
      </c>
      <c r="E2343" s="171">
        <v>30</v>
      </c>
      <c r="F2343" s="171">
        <v>24</v>
      </c>
      <c r="G2343" s="171">
        <v>22.82</v>
      </c>
      <c r="H2343" s="171">
        <v>21.6</v>
      </c>
      <c r="I2343" s="171">
        <v>21.73</v>
      </c>
      <c r="J2343" s="171">
        <v>22.91</v>
      </c>
      <c r="K2343" s="171">
        <v>29.95</v>
      </c>
      <c r="L2343" s="171">
        <v>36.36</v>
      </c>
      <c r="M2343" s="171">
        <v>38</v>
      </c>
      <c r="N2343" s="171">
        <v>38.520000000000003</v>
      </c>
      <c r="O2343" s="171">
        <v>37.35</v>
      </c>
      <c r="P2343" s="171">
        <v>33.049999999999997</v>
      </c>
      <c r="Q2343" s="171">
        <v>31.93</v>
      </c>
      <c r="R2343" s="171">
        <v>30.54</v>
      </c>
      <c r="S2343" s="171">
        <v>32.910000000000004</v>
      </c>
      <c r="T2343" s="171">
        <v>32.619999999999997</v>
      </c>
      <c r="U2343" s="171">
        <v>30.02</v>
      </c>
      <c r="V2343" s="171">
        <v>30.16</v>
      </c>
      <c r="W2343" s="171">
        <v>34.64</v>
      </c>
      <c r="X2343" s="171">
        <v>34.92</v>
      </c>
      <c r="Y2343" s="171">
        <v>36.76</v>
      </c>
      <c r="Z2343" s="171">
        <v>37.44</v>
      </c>
      <c r="AA2343" s="171">
        <v>33.22</v>
      </c>
      <c r="AB2343" s="171">
        <v>29</v>
      </c>
      <c r="AC2343" s="171">
        <v>28.82</v>
      </c>
      <c r="AD2343" s="171">
        <v>33.72</v>
      </c>
      <c r="AF2343" s="171">
        <f t="shared" si="110"/>
        <v>2016</v>
      </c>
      <c r="AG2343" s="171">
        <f t="shared" si="111"/>
        <v>24</v>
      </c>
      <c r="AH2343" s="700">
        <f>SUMIF(D$3:$AA2343,"&lt;="&amp;$AH$1)/COUNTIF(D$3:$AA2343,"&lt;="&amp;$AH$1)</f>
        <v>31.209259223948209</v>
      </c>
    </row>
    <row r="2344" spans="2:34" x14ac:dyDescent="0.25">
      <c r="B2344" s="910">
        <v>42508</v>
      </c>
      <c r="C2344" s="581">
        <f t="shared" si="109"/>
        <v>5</v>
      </c>
      <c r="D2344" s="171">
        <v>30.7</v>
      </c>
      <c r="E2344" s="171">
        <v>24.52</v>
      </c>
      <c r="F2344" s="171">
        <v>24.25</v>
      </c>
      <c r="G2344" s="171">
        <v>23.89</v>
      </c>
      <c r="H2344" s="171">
        <v>22.92</v>
      </c>
      <c r="I2344" s="171">
        <v>23.31</v>
      </c>
      <c r="J2344" s="171">
        <v>24.57</v>
      </c>
      <c r="K2344" s="171">
        <v>31.12</v>
      </c>
      <c r="L2344" s="171">
        <v>37.06</v>
      </c>
      <c r="M2344" s="171">
        <v>39.480000000000004</v>
      </c>
      <c r="N2344" s="171">
        <v>35.31</v>
      </c>
      <c r="O2344" s="171">
        <v>32.58</v>
      </c>
      <c r="P2344" s="171">
        <v>31.73</v>
      </c>
      <c r="Q2344" s="171">
        <v>31.77</v>
      </c>
      <c r="R2344" s="171">
        <v>31.42</v>
      </c>
      <c r="S2344" s="171">
        <v>31.04</v>
      </c>
      <c r="T2344" s="171">
        <v>30.85</v>
      </c>
      <c r="U2344" s="171">
        <v>31.32</v>
      </c>
      <c r="V2344" s="171">
        <v>31.69</v>
      </c>
      <c r="W2344" s="171">
        <v>33.08</v>
      </c>
      <c r="X2344" s="171">
        <v>34.94</v>
      </c>
      <c r="Y2344" s="171">
        <v>34.64</v>
      </c>
      <c r="Z2344" s="171">
        <v>34.950000000000003</v>
      </c>
      <c r="AA2344" s="171">
        <v>33.090000000000003</v>
      </c>
      <c r="AB2344" s="171">
        <v>27.2</v>
      </c>
      <c r="AC2344" s="171">
        <v>28.46</v>
      </c>
      <c r="AD2344" s="171">
        <v>32.93</v>
      </c>
      <c r="AF2344" s="171">
        <f t="shared" si="110"/>
        <v>2016</v>
      </c>
      <c r="AG2344" s="171">
        <f t="shared" si="111"/>
        <v>24</v>
      </c>
      <c r="AH2344" s="700">
        <f>SUMIF(D$3:$AA2344,"&lt;="&amp;$AH$1)/COUNTIF(D$3:$AA2344,"&lt;="&amp;$AH$1)</f>
        <v>31.208840586610105</v>
      </c>
    </row>
    <row r="2345" spans="2:34" x14ac:dyDescent="0.25">
      <c r="B2345" s="910">
        <v>42509</v>
      </c>
      <c r="C2345" s="581">
        <f t="shared" si="109"/>
        <v>5</v>
      </c>
      <c r="D2345" s="171">
        <v>33.369999999999997</v>
      </c>
      <c r="E2345" s="171">
        <v>25.29</v>
      </c>
      <c r="F2345" s="171">
        <v>22.91</v>
      </c>
      <c r="G2345" s="171">
        <v>22.23</v>
      </c>
      <c r="H2345" s="171">
        <v>21.85</v>
      </c>
      <c r="I2345" s="171">
        <v>22.29</v>
      </c>
      <c r="J2345" s="171">
        <v>23.900000000000002</v>
      </c>
      <c r="K2345" s="171">
        <v>31.580000000000002</v>
      </c>
      <c r="L2345" s="171">
        <v>39.4</v>
      </c>
      <c r="M2345" s="171">
        <v>46</v>
      </c>
      <c r="N2345" s="171">
        <v>44.13</v>
      </c>
      <c r="O2345" s="171">
        <v>45</v>
      </c>
      <c r="P2345" s="171">
        <v>44.910000000000004</v>
      </c>
      <c r="Q2345" s="171">
        <v>40.07</v>
      </c>
      <c r="R2345" s="171">
        <v>38.96</v>
      </c>
      <c r="S2345" s="171">
        <v>35</v>
      </c>
      <c r="T2345" s="171">
        <v>33.06</v>
      </c>
      <c r="U2345" s="171">
        <v>31.91</v>
      </c>
      <c r="V2345" s="171">
        <v>32.35</v>
      </c>
      <c r="W2345" s="171">
        <v>34</v>
      </c>
      <c r="X2345" s="171">
        <v>36.08</v>
      </c>
      <c r="Y2345" s="171">
        <v>34.96</v>
      </c>
      <c r="Z2345" s="171">
        <v>33.85</v>
      </c>
      <c r="AA2345" s="171">
        <v>32.08</v>
      </c>
      <c r="AB2345" s="171">
        <v>29.14</v>
      </c>
      <c r="AC2345" s="171">
        <v>28.29</v>
      </c>
      <c r="AD2345" s="171">
        <v>38.46</v>
      </c>
      <c r="AF2345" s="171">
        <f t="shared" si="110"/>
        <v>2016</v>
      </c>
      <c r="AG2345" s="171">
        <f t="shared" si="111"/>
        <v>20</v>
      </c>
      <c r="AH2345" s="700">
        <f>SUMIF(D$3:$AA2345,"&lt;="&amp;$AH$1)/COUNTIF(D$3:$AA2345,"&lt;="&amp;$AH$1)</f>
        <v>31.208886404718168</v>
      </c>
    </row>
    <row r="2346" spans="2:34" x14ac:dyDescent="0.25">
      <c r="B2346" s="910">
        <v>42510</v>
      </c>
      <c r="C2346" s="581">
        <f t="shared" si="109"/>
        <v>5</v>
      </c>
      <c r="D2346" s="171">
        <v>28.69</v>
      </c>
      <c r="E2346" s="171">
        <v>24.73</v>
      </c>
      <c r="F2346" s="171">
        <v>23.42</v>
      </c>
      <c r="G2346" s="171">
        <v>21.5</v>
      </c>
      <c r="H2346" s="171">
        <v>21.34</v>
      </c>
      <c r="I2346" s="171">
        <v>21.52</v>
      </c>
      <c r="J2346" s="171">
        <v>23.23</v>
      </c>
      <c r="K2346" s="171">
        <v>27.71</v>
      </c>
      <c r="L2346" s="171">
        <v>33.07</v>
      </c>
      <c r="M2346" s="171">
        <v>34.97</v>
      </c>
      <c r="N2346" s="171">
        <v>32.369999999999997</v>
      </c>
      <c r="O2346" s="171">
        <v>29.94</v>
      </c>
      <c r="P2346" s="171">
        <v>28</v>
      </c>
      <c r="Q2346" s="171">
        <v>27.44</v>
      </c>
      <c r="R2346" s="171">
        <v>26.400000000000002</v>
      </c>
      <c r="S2346" s="171">
        <v>27.72</v>
      </c>
      <c r="T2346" s="171">
        <v>30.11</v>
      </c>
      <c r="U2346" s="171">
        <v>27.72</v>
      </c>
      <c r="V2346" s="171">
        <v>28.900000000000002</v>
      </c>
      <c r="W2346" s="171">
        <v>32.69</v>
      </c>
      <c r="X2346" s="171">
        <v>33.92</v>
      </c>
      <c r="Y2346" s="171">
        <v>34.06</v>
      </c>
      <c r="Z2346" s="171">
        <v>33.21</v>
      </c>
      <c r="AA2346" s="171">
        <v>33.660000000000004</v>
      </c>
      <c r="AB2346" s="171">
        <v>31</v>
      </c>
      <c r="AC2346" s="171">
        <v>27.37</v>
      </c>
      <c r="AD2346" s="171">
        <v>30.01</v>
      </c>
      <c r="AF2346" s="171">
        <f t="shared" si="110"/>
        <v>2016</v>
      </c>
      <c r="AG2346" s="171">
        <f t="shared" si="111"/>
        <v>24</v>
      </c>
      <c r="AH2346" s="700">
        <f>SUMIF(D$3:$AA2346,"&lt;="&amp;$AH$1)/COUNTIF(D$3:$AA2346,"&lt;="&amp;$AH$1)</f>
        <v>31.205907535873088</v>
      </c>
    </row>
    <row r="2347" spans="2:34" x14ac:dyDescent="0.25">
      <c r="B2347" s="910">
        <v>42513</v>
      </c>
      <c r="C2347" s="581">
        <f t="shared" si="109"/>
        <v>5</v>
      </c>
      <c r="D2347" s="171">
        <v>29.560000000000002</v>
      </c>
      <c r="E2347" s="171">
        <v>22.8</v>
      </c>
      <c r="F2347" s="171">
        <v>20.89</v>
      </c>
      <c r="G2347" s="171">
        <v>19.510000000000002</v>
      </c>
      <c r="H2347" s="171">
        <v>18.91</v>
      </c>
      <c r="I2347" s="171">
        <v>19.46</v>
      </c>
      <c r="J2347" s="171">
        <v>20.69</v>
      </c>
      <c r="K2347" s="171">
        <v>28.05</v>
      </c>
      <c r="L2347" s="171">
        <v>34.51</v>
      </c>
      <c r="M2347" s="171">
        <v>37.5</v>
      </c>
      <c r="N2347" s="171">
        <v>35.730000000000004</v>
      </c>
      <c r="O2347" s="171">
        <v>36</v>
      </c>
      <c r="P2347" s="171">
        <v>35.94</v>
      </c>
      <c r="Q2347" s="171">
        <v>33.910000000000004</v>
      </c>
      <c r="R2347" s="171">
        <v>33.54</v>
      </c>
      <c r="S2347" s="171">
        <v>32.5</v>
      </c>
      <c r="T2347" s="171">
        <v>32.78</v>
      </c>
      <c r="U2347" s="171">
        <v>31.96</v>
      </c>
      <c r="V2347" s="171">
        <v>31.68</v>
      </c>
      <c r="W2347" s="171">
        <v>32.49</v>
      </c>
      <c r="X2347" s="171">
        <v>33.090000000000003</v>
      </c>
      <c r="Y2347" s="171">
        <v>34.04</v>
      </c>
      <c r="Z2347" s="171">
        <v>32.42</v>
      </c>
      <c r="AA2347" s="171">
        <v>26.3</v>
      </c>
      <c r="AB2347" s="171">
        <v>24.66</v>
      </c>
      <c r="AC2347" s="171">
        <v>25.19</v>
      </c>
      <c r="AD2347" s="171">
        <v>33.93</v>
      </c>
      <c r="AF2347" s="171">
        <f t="shared" si="110"/>
        <v>2016</v>
      </c>
      <c r="AG2347" s="171">
        <f t="shared" si="111"/>
        <v>24</v>
      </c>
      <c r="AH2347" s="700">
        <f>SUMIF(D$3:$AA2347,"&lt;="&amp;$AH$1)/COUNTIF(D$3:$AA2347,"&lt;="&amp;$AH$1)</f>
        <v>31.204261509254163</v>
      </c>
    </row>
    <row r="2348" spans="2:34" x14ac:dyDescent="0.25">
      <c r="B2348" s="910">
        <v>42514</v>
      </c>
      <c r="C2348" s="581">
        <f t="shared" si="109"/>
        <v>5</v>
      </c>
      <c r="D2348" s="171">
        <v>29.46</v>
      </c>
      <c r="E2348" s="171">
        <v>21.990000000000002</v>
      </c>
      <c r="F2348" s="171">
        <v>21.75</v>
      </c>
      <c r="G2348" s="171">
        <v>20.48</v>
      </c>
      <c r="H2348" s="171">
        <v>20</v>
      </c>
      <c r="I2348" s="171">
        <v>20.72</v>
      </c>
      <c r="J2348" s="171">
        <v>22.61</v>
      </c>
      <c r="K2348" s="171">
        <v>26.13</v>
      </c>
      <c r="L2348" s="171">
        <v>34.380000000000003</v>
      </c>
      <c r="M2348" s="171">
        <v>37.090000000000003</v>
      </c>
      <c r="N2348" s="171">
        <v>36.19</v>
      </c>
      <c r="O2348" s="171">
        <v>36.94</v>
      </c>
      <c r="P2348" s="171">
        <v>36.06</v>
      </c>
      <c r="Q2348" s="171">
        <v>33.090000000000003</v>
      </c>
      <c r="R2348" s="171">
        <v>33</v>
      </c>
      <c r="S2348" s="171">
        <v>32.69</v>
      </c>
      <c r="T2348" s="171">
        <v>30.92</v>
      </c>
      <c r="U2348" s="171">
        <v>29.12</v>
      </c>
      <c r="V2348" s="171">
        <v>29.8</v>
      </c>
      <c r="W2348" s="171">
        <v>31.25</v>
      </c>
      <c r="X2348" s="171">
        <v>32.200000000000003</v>
      </c>
      <c r="Y2348" s="171">
        <v>31.64</v>
      </c>
      <c r="Z2348" s="171">
        <v>32.380000000000003</v>
      </c>
      <c r="AA2348" s="171">
        <v>30.77</v>
      </c>
      <c r="AB2348" s="171">
        <v>25.830000000000002</v>
      </c>
      <c r="AC2348" s="171">
        <v>25.72</v>
      </c>
      <c r="AD2348" s="171">
        <v>33.200000000000003</v>
      </c>
      <c r="AF2348" s="171">
        <f t="shared" si="110"/>
        <v>2016</v>
      </c>
      <c r="AG2348" s="171">
        <f t="shared" si="111"/>
        <v>24</v>
      </c>
      <c r="AH2348" s="700">
        <f>SUMIF(D$3:$AA2348,"&lt;="&amp;$AH$1)/COUNTIF(D$3:$AA2348,"&lt;="&amp;$AH$1)</f>
        <v>31.20244856357187</v>
      </c>
    </row>
    <row r="2349" spans="2:34" x14ac:dyDescent="0.25">
      <c r="B2349" s="910">
        <v>42515</v>
      </c>
      <c r="C2349" s="581">
        <f t="shared" ref="C2349:C2412" si="112">MONTH(B2349)</f>
        <v>5</v>
      </c>
      <c r="D2349" s="171">
        <v>35.82</v>
      </c>
      <c r="E2349" s="171">
        <v>23.990000000000002</v>
      </c>
      <c r="F2349" s="171">
        <v>22.57</v>
      </c>
      <c r="G2349" s="171">
        <v>21.57</v>
      </c>
      <c r="H2349" s="171">
        <v>21.06</v>
      </c>
      <c r="I2349" s="171">
        <v>21.63</v>
      </c>
      <c r="J2349" s="171">
        <v>22.990000000000002</v>
      </c>
      <c r="K2349" s="171">
        <v>30.92</v>
      </c>
      <c r="L2349" s="171">
        <v>35.800000000000004</v>
      </c>
      <c r="M2349" s="171">
        <v>39.200000000000003</v>
      </c>
      <c r="N2349" s="171">
        <v>50.95</v>
      </c>
      <c r="O2349" s="171">
        <v>53.11</v>
      </c>
      <c r="P2349" s="171">
        <v>52.44</v>
      </c>
      <c r="Q2349" s="171">
        <v>51</v>
      </c>
      <c r="R2349" s="171">
        <v>50.67</v>
      </c>
      <c r="S2349" s="171">
        <v>35.92</v>
      </c>
      <c r="T2349" s="171">
        <v>35.9</v>
      </c>
      <c r="U2349" s="171">
        <v>37.6</v>
      </c>
      <c r="V2349" s="171">
        <v>37.6</v>
      </c>
      <c r="W2349" s="171">
        <v>35.800000000000004</v>
      </c>
      <c r="X2349" s="171">
        <v>36.61</v>
      </c>
      <c r="Y2349" s="171">
        <v>36.76</v>
      </c>
      <c r="Z2349" s="171">
        <v>35.49</v>
      </c>
      <c r="AA2349" s="171">
        <v>34.92</v>
      </c>
      <c r="AB2349" s="171">
        <v>35.130000000000003</v>
      </c>
      <c r="AC2349" s="171">
        <v>28.57</v>
      </c>
      <c r="AD2349" s="171">
        <v>43.07</v>
      </c>
      <c r="AF2349" s="171">
        <f t="shared" si="110"/>
        <v>2016</v>
      </c>
      <c r="AG2349" s="171">
        <f t="shared" si="111"/>
        <v>19</v>
      </c>
      <c r="AH2349" s="700">
        <f>SUMIF(D$3:$AA2349,"&lt;="&amp;$AH$1)/COUNTIF(D$3:$AA2349,"&lt;="&amp;$AH$1)</f>
        <v>31.202889215174778</v>
      </c>
    </row>
    <row r="2350" spans="2:34" x14ac:dyDescent="0.25">
      <c r="B2350" s="910">
        <v>42516</v>
      </c>
      <c r="C2350" s="581">
        <f t="shared" si="112"/>
        <v>5</v>
      </c>
      <c r="D2350" s="171">
        <v>32.25</v>
      </c>
      <c r="E2350" s="171">
        <v>25.740000000000002</v>
      </c>
      <c r="F2350" s="171">
        <v>24.16</v>
      </c>
      <c r="G2350" s="171">
        <v>23.42</v>
      </c>
      <c r="H2350" s="171">
        <v>23.27</v>
      </c>
      <c r="I2350" s="171">
        <v>23.330000000000002</v>
      </c>
      <c r="J2350" s="171">
        <v>23.79</v>
      </c>
      <c r="K2350" s="171">
        <v>26.150000000000002</v>
      </c>
      <c r="L2350" s="171">
        <v>30.96</v>
      </c>
      <c r="M2350" s="171">
        <v>39.43</v>
      </c>
      <c r="N2350" s="171">
        <v>46.83</v>
      </c>
      <c r="O2350" s="171">
        <v>37.6</v>
      </c>
      <c r="P2350" s="171">
        <v>48.46</v>
      </c>
      <c r="Q2350" s="171">
        <v>37.6</v>
      </c>
      <c r="R2350" s="171">
        <v>39.18</v>
      </c>
      <c r="S2350" s="171">
        <v>36.04</v>
      </c>
      <c r="T2350" s="171">
        <v>32.44</v>
      </c>
      <c r="U2350" s="171">
        <v>29.94</v>
      </c>
      <c r="V2350" s="171">
        <v>28.07</v>
      </c>
      <c r="W2350" s="171">
        <v>34</v>
      </c>
      <c r="X2350" s="171">
        <v>35.270000000000003</v>
      </c>
      <c r="Y2350" s="171">
        <v>34.950000000000003</v>
      </c>
      <c r="Z2350" s="171">
        <v>32.94</v>
      </c>
      <c r="AA2350" s="171">
        <v>33.1</v>
      </c>
      <c r="AB2350" s="171">
        <v>27.22</v>
      </c>
      <c r="AC2350" s="171">
        <v>27.42</v>
      </c>
      <c r="AD2350" s="171">
        <v>37.07</v>
      </c>
      <c r="AF2350" s="171">
        <f t="shared" si="110"/>
        <v>2016</v>
      </c>
      <c r="AG2350" s="171">
        <f t="shared" si="111"/>
        <v>22</v>
      </c>
      <c r="AH2350" s="700">
        <f>SUMIF(D$3:$AA2350,"&lt;="&amp;$AH$1)/COUNTIF(D$3:$AA2350,"&lt;="&amp;$AH$1)</f>
        <v>31.202755145492546</v>
      </c>
    </row>
    <row r="2351" spans="2:34" x14ac:dyDescent="0.25">
      <c r="B2351" s="910">
        <v>42517</v>
      </c>
      <c r="C2351" s="581">
        <f t="shared" si="112"/>
        <v>5</v>
      </c>
      <c r="D2351" s="171">
        <v>33.4</v>
      </c>
      <c r="E2351" s="171">
        <v>24.43</v>
      </c>
      <c r="F2351" s="171">
        <v>23.61</v>
      </c>
      <c r="G2351" s="171">
        <v>21.95</v>
      </c>
      <c r="H2351" s="171">
        <v>20.61</v>
      </c>
      <c r="I2351" s="171">
        <v>21.69</v>
      </c>
      <c r="J2351" s="171">
        <v>23.45</v>
      </c>
      <c r="K2351" s="171">
        <v>27.88</v>
      </c>
      <c r="L2351" s="171">
        <v>32.99</v>
      </c>
      <c r="M2351" s="171">
        <v>35.480000000000004</v>
      </c>
      <c r="N2351" s="171">
        <v>45.07</v>
      </c>
      <c r="O2351" s="171">
        <v>44.19</v>
      </c>
      <c r="P2351" s="171">
        <v>39.94</v>
      </c>
      <c r="Q2351" s="171">
        <v>39.94</v>
      </c>
      <c r="R2351" s="171">
        <v>38.160000000000004</v>
      </c>
      <c r="S2351" s="171">
        <v>40.83</v>
      </c>
      <c r="T2351" s="171">
        <v>35.29</v>
      </c>
      <c r="U2351" s="171">
        <v>35.410000000000004</v>
      </c>
      <c r="V2351" s="171">
        <v>39.57</v>
      </c>
      <c r="W2351" s="171">
        <v>32.910000000000004</v>
      </c>
      <c r="X2351" s="171">
        <v>33.200000000000003</v>
      </c>
      <c r="Y2351" s="171">
        <v>32.19</v>
      </c>
      <c r="Z2351" s="171">
        <v>31.85</v>
      </c>
      <c r="AA2351" s="171">
        <v>38.880000000000003</v>
      </c>
      <c r="AB2351" s="171">
        <v>42.160000000000004</v>
      </c>
      <c r="AC2351" s="171">
        <v>28.47</v>
      </c>
      <c r="AD2351" s="171">
        <v>38.33</v>
      </c>
      <c r="AF2351" s="171">
        <f t="shared" si="110"/>
        <v>2016</v>
      </c>
      <c r="AG2351" s="171">
        <f t="shared" si="111"/>
        <v>22</v>
      </c>
      <c r="AH2351" s="700">
        <f>SUMIF(D$3:$AA2351,"&lt;="&amp;$AH$1)/COUNTIF(D$3:$AA2351,"&lt;="&amp;$AH$1)</f>
        <v>31.203568086211874</v>
      </c>
    </row>
    <row r="2352" spans="2:34" x14ac:dyDescent="0.25">
      <c r="B2352" s="910">
        <v>42520</v>
      </c>
      <c r="C2352" s="581">
        <f t="shared" si="112"/>
        <v>5</v>
      </c>
      <c r="D2352" s="171">
        <v>28.240000000000002</v>
      </c>
      <c r="E2352" s="171">
        <v>18.07</v>
      </c>
      <c r="F2352" s="171">
        <v>19.5</v>
      </c>
      <c r="G2352" s="171">
        <v>12.99</v>
      </c>
      <c r="H2352" s="171">
        <v>11.28</v>
      </c>
      <c r="I2352" s="171">
        <v>11.86</v>
      </c>
      <c r="J2352" s="171">
        <v>18.010000000000002</v>
      </c>
      <c r="K2352" s="171">
        <v>26.16</v>
      </c>
      <c r="L2352" s="171">
        <v>34.94</v>
      </c>
      <c r="M2352" s="171">
        <v>35.25</v>
      </c>
      <c r="N2352" s="171">
        <v>35.43</v>
      </c>
      <c r="O2352" s="171">
        <v>34.79</v>
      </c>
      <c r="P2352" s="171">
        <v>40.01</v>
      </c>
      <c r="Q2352" s="171">
        <v>44.27</v>
      </c>
      <c r="R2352" s="171">
        <v>43.17</v>
      </c>
      <c r="S2352" s="171">
        <v>38.950000000000003</v>
      </c>
      <c r="T2352" s="171">
        <v>32.44</v>
      </c>
      <c r="U2352" s="171">
        <v>25.09</v>
      </c>
      <c r="V2352" s="171">
        <v>27.63</v>
      </c>
      <c r="W2352" s="171">
        <v>28.740000000000002</v>
      </c>
      <c r="X2352" s="171">
        <v>28.990000000000002</v>
      </c>
      <c r="Y2352" s="171">
        <v>25.48</v>
      </c>
      <c r="Z2352" s="171">
        <v>24.71</v>
      </c>
      <c r="AA2352" s="171">
        <v>34.9</v>
      </c>
      <c r="AB2352" s="171">
        <v>25.14</v>
      </c>
      <c r="AC2352" s="171">
        <v>21.92</v>
      </c>
      <c r="AD2352" s="171">
        <v>34.56</v>
      </c>
      <c r="AF2352" s="171">
        <f t="shared" si="110"/>
        <v>2016</v>
      </c>
      <c r="AG2352" s="171">
        <f t="shared" si="111"/>
        <v>22</v>
      </c>
      <c r="AH2352" s="700">
        <f>SUMIF(D$3:$AA2352,"&lt;="&amp;$AH$1)/COUNTIF(D$3:$AA2352,"&lt;="&amp;$AH$1)</f>
        <v>31.199176070635275</v>
      </c>
    </row>
    <row r="2353" spans="2:34" x14ac:dyDescent="0.25">
      <c r="B2353" s="910">
        <v>42521</v>
      </c>
      <c r="C2353" s="581">
        <f t="shared" si="112"/>
        <v>5</v>
      </c>
      <c r="D2353" s="171">
        <v>30.27</v>
      </c>
      <c r="E2353" s="171">
        <v>21.17</v>
      </c>
      <c r="F2353" s="171">
        <v>19.25</v>
      </c>
      <c r="G2353" s="171">
        <v>16.440000000000001</v>
      </c>
      <c r="H2353" s="171">
        <v>21.12</v>
      </c>
      <c r="I2353" s="171">
        <v>22.12</v>
      </c>
      <c r="J2353" s="171">
        <v>23.51</v>
      </c>
      <c r="K2353" s="171">
        <v>24.52</v>
      </c>
      <c r="L2353" s="171">
        <v>32.93</v>
      </c>
      <c r="M2353" s="171">
        <v>35.81</v>
      </c>
      <c r="N2353" s="171">
        <v>35.47</v>
      </c>
      <c r="O2353" s="171">
        <v>34.94</v>
      </c>
      <c r="P2353" s="171">
        <v>35.800000000000004</v>
      </c>
      <c r="Q2353" s="171">
        <v>32.78</v>
      </c>
      <c r="R2353" s="171">
        <v>30.94</v>
      </c>
      <c r="S2353" s="171">
        <v>32.65</v>
      </c>
      <c r="T2353" s="171">
        <v>35.840000000000003</v>
      </c>
      <c r="U2353" s="171">
        <v>38</v>
      </c>
      <c r="V2353" s="171">
        <v>34</v>
      </c>
      <c r="W2353" s="171">
        <v>34.94</v>
      </c>
      <c r="X2353" s="171">
        <v>35.92</v>
      </c>
      <c r="Y2353" s="171">
        <v>32.950000000000003</v>
      </c>
      <c r="Z2353" s="171">
        <v>31.98</v>
      </c>
      <c r="AA2353" s="171">
        <v>30.78</v>
      </c>
      <c r="AB2353" s="171">
        <v>32.730000000000004</v>
      </c>
      <c r="AC2353" s="171">
        <v>25.79</v>
      </c>
      <c r="AD2353" s="171">
        <v>34.76</v>
      </c>
      <c r="AF2353" s="171">
        <f t="shared" si="110"/>
        <v>2016</v>
      </c>
      <c r="AG2353" s="171">
        <f t="shared" si="111"/>
        <v>24</v>
      </c>
      <c r="AH2353" s="700">
        <f>SUMIF(D$3:$AA2353,"&lt;="&amp;$AH$1)/COUNTIF(D$3:$AA2353,"&lt;="&amp;$AH$1)</f>
        <v>31.198013488656535</v>
      </c>
    </row>
    <row r="2354" spans="2:34" x14ac:dyDescent="0.25">
      <c r="B2354" s="910">
        <v>42522</v>
      </c>
      <c r="C2354" s="581">
        <f t="shared" si="112"/>
        <v>6</v>
      </c>
      <c r="D2354" s="171">
        <v>32.119999999999997</v>
      </c>
      <c r="E2354" s="171">
        <v>24</v>
      </c>
      <c r="F2354" s="171">
        <v>22.23</v>
      </c>
      <c r="G2354" s="171">
        <v>21.07</v>
      </c>
      <c r="H2354" s="171">
        <v>20.080000000000002</v>
      </c>
      <c r="I2354" s="171">
        <v>20.18</v>
      </c>
      <c r="J2354" s="171">
        <v>23.1</v>
      </c>
      <c r="K2354" s="171">
        <v>29.900000000000002</v>
      </c>
      <c r="L2354" s="171">
        <v>37.49</v>
      </c>
      <c r="M2354" s="171">
        <v>40.869999999999997</v>
      </c>
      <c r="N2354" s="171">
        <v>41</v>
      </c>
      <c r="O2354" s="171">
        <v>40.44</v>
      </c>
      <c r="P2354" s="171">
        <v>40.51</v>
      </c>
      <c r="Q2354" s="171">
        <v>36.64</v>
      </c>
      <c r="R2354" s="171">
        <v>39.6</v>
      </c>
      <c r="S2354" s="171">
        <v>41.21</v>
      </c>
      <c r="T2354" s="171">
        <v>39.119999999999997</v>
      </c>
      <c r="U2354" s="171">
        <v>38.050000000000004</v>
      </c>
      <c r="V2354" s="171">
        <v>30.11</v>
      </c>
      <c r="W2354" s="171">
        <v>32.660000000000004</v>
      </c>
      <c r="X2354" s="171">
        <v>32.92</v>
      </c>
      <c r="Y2354" s="171">
        <v>30.95</v>
      </c>
      <c r="Z2354" s="171">
        <v>29.57</v>
      </c>
      <c r="AA2354" s="171">
        <v>30.900000000000002</v>
      </c>
      <c r="AB2354" s="171">
        <v>28.19</v>
      </c>
      <c r="AC2354" s="171">
        <v>26.47</v>
      </c>
      <c r="AD2354" s="171">
        <v>37.76</v>
      </c>
      <c r="AF2354" s="171">
        <f t="shared" si="110"/>
        <v>2016</v>
      </c>
      <c r="AG2354" s="171">
        <f t="shared" si="111"/>
        <v>24</v>
      </c>
      <c r="AH2354" s="700">
        <f>SUMIF(D$3:$AA2354,"&lt;="&amp;$AH$1)/COUNTIF(D$3:$AA2354,"&lt;="&amp;$AH$1)</f>
        <v>31.199236821029082</v>
      </c>
    </row>
    <row r="2355" spans="2:34" x14ac:dyDescent="0.25">
      <c r="B2355" s="910">
        <v>42523</v>
      </c>
      <c r="C2355" s="581">
        <f t="shared" si="112"/>
        <v>6</v>
      </c>
      <c r="D2355" s="171">
        <v>30.63</v>
      </c>
      <c r="E2355" s="171">
        <v>21.96</v>
      </c>
      <c r="F2355" s="171">
        <v>20.75</v>
      </c>
      <c r="G2355" s="171">
        <v>20.73</v>
      </c>
      <c r="H2355" s="171">
        <v>20</v>
      </c>
      <c r="I2355" s="171">
        <v>22.28</v>
      </c>
      <c r="J2355" s="171">
        <v>25.400000000000002</v>
      </c>
      <c r="K2355" s="171">
        <v>31.330000000000002</v>
      </c>
      <c r="L2355" s="171">
        <v>43.09</v>
      </c>
      <c r="M2355" s="171">
        <v>39.54</v>
      </c>
      <c r="N2355" s="171">
        <v>37.980000000000004</v>
      </c>
      <c r="O2355" s="171">
        <v>37.090000000000003</v>
      </c>
      <c r="P2355" s="171">
        <v>36.369999999999997</v>
      </c>
      <c r="Q2355" s="171">
        <v>32.08</v>
      </c>
      <c r="R2355" s="171">
        <v>33.880000000000003</v>
      </c>
      <c r="S2355" s="171">
        <v>26.68</v>
      </c>
      <c r="T2355" s="171">
        <v>25.95</v>
      </c>
      <c r="U2355" s="171">
        <v>31.16</v>
      </c>
      <c r="V2355" s="171">
        <v>37.44</v>
      </c>
      <c r="W2355" s="171">
        <v>31.84</v>
      </c>
      <c r="X2355" s="171">
        <v>32.96</v>
      </c>
      <c r="Y2355" s="171">
        <v>31.96</v>
      </c>
      <c r="Z2355" s="171">
        <v>35</v>
      </c>
      <c r="AA2355" s="171">
        <v>35</v>
      </c>
      <c r="AB2355" s="171">
        <v>24.59</v>
      </c>
      <c r="AC2355" s="171">
        <v>27.67</v>
      </c>
      <c r="AD2355" s="171">
        <v>33.58</v>
      </c>
      <c r="AF2355" s="171">
        <f t="shared" si="110"/>
        <v>2016</v>
      </c>
      <c r="AG2355" s="171">
        <f t="shared" si="111"/>
        <v>23</v>
      </c>
      <c r="AH2355" s="700">
        <f>SUMIF(D$3:$AA2355,"&lt;="&amp;$AH$1)/COUNTIF(D$3:$AA2355,"&lt;="&amp;$AH$1)</f>
        <v>31.198315764705136</v>
      </c>
    </row>
    <row r="2356" spans="2:34" x14ac:dyDescent="0.25">
      <c r="B2356" s="910">
        <v>42524</v>
      </c>
      <c r="C2356" s="581">
        <f t="shared" si="112"/>
        <v>6</v>
      </c>
      <c r="D2356" s="171">
        <v>32.29</v>
      </c>
      <c r="E2356" s="171">
        <v>24.1</v>
      </c>
      <c r="F2356" s="171">
        <v>21.68</v>
      </c>
      <c r="G2356" s="171">
        <v>22.03</v>
      </c>
      <c r="H2356" s="171">
        <v>23.59</v>
      </c>
      <c r="I2356" s="171">
        <v>23.31</v>
      </c>
      <c r="J2356" s="171">
        <v>22.5</v>
      </c>
      <c r="K2356" s="171">
        <v>27.46</v>
      </c>
      <c r="L2356" s="171">
        <v>35.450000000000003</v>
      </c>
      <c r="M2356" s="171">
        <v>40.08</v>
      </c>
      <c r="N2356" s="171">
        <v>40</v>
      </c>
      <c r="O2356" s="171">
        <v>40.11</v>
      </c>
      <c r="P2356" s="171">
        <v>40</v>
      </c>
      <c r="Q2356" s="171">
        <v>42.71</v>
      </c>
      <c r="R2356" s="171">
        <v>49.94</v>
      </c>
      <c r="S2356" s="171">
        <v>45</v>
      </c>
      <c r="T2356" s="171">
        <v>29.94</v>
      </c>
      <c r="U2356" s="171">
        <v>30</v>
      </c>
      <c r="V2356" s="171">
        <v>28</v>
      </c>
      <c r="W2356" s="171">
        <v>31.82</v>
      </c>
      <c r="X2356" s="171">
        <v>33.61</v>
      </c>
      <c r="Y2356" s="171">
        <v>31.98</v>
      </c>
      <c r="Z2356" s="171">
        <v>30.66</v>
      </c>
      <c r="AA2356" s="171">
        <v>32.160000000000004</v>
      </c>
      <c r="AB2356" s="171">
        <v>28.94</v>
      </c>
      <c r="AC2356" s="171">
        <v>26.990000000000002</v>
      </c>
      <c r="AD2356" s="171">
        <v>37.6</v>
      </c>
      <c r="AF2356" s="171">
        <f t="shared" si="110"/>
        <v>2016</v>
      </c>
      <c r="AG2356" s="171">
        <f t="shared" si="111"/>
        <v>21</v>
      </c>
      <c r="AH2356" s="700">
        <f>SUMIF(D$3:$AA2356,"&lt;="&amp;$AH$1)/COUNTIF(D$3:$AA2356,"&lt;="&amp;$AH$1)</f>
        <v>31.197639039066523</v>
      </c>
    </row>
    <row r="2357" spans="2:34" x14ac:dyDescent="0.25">
      <c r="B2357" s="910">
        <v>42527</v>
      </c>
      <c r="C2357" s="581">
        <f t="shared" si="112"/>
        <v>6</v>
      </c>
      <c r="D2357" s="171">
        <v>33.78</v>
      </c>
      <c r="E2357" s="171">
        <v>24.59</v>
      </c>
      <c r="F2357" s="171">
        <v>22.76</v>
      </c>
      <c r="G2357" s="171">
        <v>21.87</v>
      </c>
      <c r="H2357" s="171">
        <v>22.41</v>
      </c>
      <c r="I2357" s="171">
        <v>23.330000000000002</v>
      </c>
      <c r="J2357" s="171">
        <v>24.07</v>
      </c>
      <c r="K2357" s="171">
        <v>32.799999999999997</v>
      </c>
      <c r="L2357" s="171">
        <v>40.44</v>
      </c>
      <c r="M2357" s="171">
        <v>37.82</v>
      </c>
      <c r="N2357" s="171">
        <v>34.94</v>
      </c>
      <c r="O2357" s="171">
        <v>32.57</v>
      </c>
      <c r="P2357" s="171">
        <v>39.4</v>
      </c>
      <c r="Q2357" s="171">
        <v>39.4</v>
      </c>
      <c r="R2357" s="171">
        <v>39.4</v>
      </c>
      <c r="S2357" s="171">
        <v>39.4</v>
      </c>
      <c r="T2357" s="171">
        <v>38.53</v>
      </c>
      <c r="U2357" s="171">
        <v>38.28</v>
      </c>
      <c r="V2357" s="171">
        <v>39.4</v>
      </c>
      <c r="W2357" s="171">
        <v>38.76</v>
      </c>
      <c r="X2357" s="171">
        <v>41.06</v>
      </c>
      <c r="Y2357" s="171">
        <v>37.31</v>
      </c>
      <c r="Z2357" s="171">
        <v>34.200000000000003</v>
      </c>
      <c r="AA2357" s="171">
        <v>33.81</v>
      </c>
      <c r="AB2357" s="171">
        <v>34.119999999999997</v>
      </c>
      <c r="AC2357" s="171">
        <v>29.310000000000002</v>
      </c>
      <c r="AD2357" s="171">
        <v>38.25</v>
      </c>
      <c r="AF2357" s="171">
        <f t="shared" si="110"/>
        <v>2016</v>
      </c>
      <c r="AG2357" s="171">
        <f t="shared" si="111"/>
        <v>24</v>
      </c>
      <c r="AH2357" s="700">
        <f>SUMIF(D$3:$AA2357,"&lt;="&amp;$AH$1)/COUNTIF(D$3:$AA2357,"&lt;="&amp;$AH$1)</f>
        <v>31.200531110588592</v>
      </c>
    </row>
    <row r="2358" spans="2:34" x14ac:dyDescent="0.25">
      <c r="B2358" s="910">
        <v>42528</v>
      </c>
      <c r="C2358" s="581">
        <f t="shared" si="112"/>
        <v>6</v>
      </c>
      <c r="D2358" s="171">
        <v>32.25</v>
      </c>
      <c r="E2358" s="171">
        <v>24.85</v>
      </c>
      <c r="F2358" s="171">
        <v>23.34</v>
      </c>
      <c r="G2358" s="171">
        <v>22.59</v>
      </c>
      <c r="H2358" s="171">
        <v>22.77</v>
      </c>
      <c r="I2358" s="171">
        <v>22.5</v>
      </c>
      <c r="J2358" s="171">
        <v>22.68</v>
      </c>
      <c r="K2358" s="171">
        <v>32.4</v>
      </c>
      <c r="L2358" s="171">
        <v>37.230000000000004</v>
      </c>
      <c r="M2358" s="171">
        <v>39.480000000000004</v>
      </c>
      <c r="N2358" s="171">
        <v>39.700000000000003</v>
      </c>
      <c r="O2358" s="171">
        <v>39.700000000000003</v>
      </c>
      <c r="P2358" s="171">
        <v>38.97</v>
      </c>
      <c r="Q2358" s="171">
        <v>37.44</v>
      </c>
      <c r="R2358" s="171">
        <v>34.07</v>
      </c>
      <c r="S2358" s="171">
        <v>35.619999999999997</v>
      </c>
      <c r="T2358" s="171">
        <v>30.37</v>
      </c>
      <c r="U2358" s="171">
        <v>34.94</v>
      </c>
      <c r="V2358" s="171">
        <v>32.130000000000003</v>
      </c>
      <c r="W2358" s="171">
        <v>36.020000000000003</v>
      </c>
      <c r="X2358" s="171">
        <v>38.480000000000004</v>
      </c>
      <c r="Y2358" s="171">
        <v>35.71</v>
      </c>
      <c r="Z2358" s="171">
        <v>32.97</v>
      </c>
      <c r="AA2358" s="171">
        <v>32.590000000000003</v>
      </c>
      <c r="AB2358" s="171">
        <v>27.54</v>
      </c>
      <c r="AC2358" s="171">
        <v>28.1</v>
      </c>
      <c r="AD2358" s="171">
        <v>36.410000000000004</v>
      </c>
      <c r="AF2358" s="171">
        <f t="shared" si="110"/>
        <v>2016</v>
      </c>
      <c r="AG2358" s="171">
        <f t="shared" si="111"/>
        <v>24</v>
      </c>
      <c r="AH2358" s="700">
        <f>SUMIF(D$3:$AA2358,"&lt;="&amp;$AH$1)/COUNTIF(D$3:$AA2358,"&lt;="&amp;$AH$1)</f>
        <v>31.201937708146897</v>
      </c>
    </row>
    <row r="2359" spans="2:34" x14ac:dyDescent="0.25">
      <c r="B2359" s="910">
        <v>42529</v>
      </c>
      <c r="C2359" s="581">
        <f t="shared" si="112"/>
        <v>6</v>
      </c>
      <c r="D2359" s="171">
        <v>29.45</v>
      </c>
      <c r="E2359" s="171">
        <v>25.98</v>
      </c>
      <c r="F2359" s="171">
        <v>23.89</v>
      </c>
      <c r="G2359" s="171">
        <v>22.830000000000002</v>
      </c>
      <c r="H2359" s="171">
        <v>22.89</v>
      </c>
      <c r="I2359" s="171">
        <v>22.43</v>
      </c>
      <c r="J2359" s="171">
        <v>23.59</v>
      </c>
      <c r="K2359" s="171">
        <v>28.59</v>
      </c>
      <c r="L2359" s="171">
        <v>35.07</v>
      </c>
      <c r="M2359" s="171">
        <v>41.31</v>
      </c>
      <c r="N2359" s="171">
        <v>37.33</v>
      </c>
      <c r="O2359" s="171">
        <v>36.78</v>
      </c>
      <c r="P2359" s="171">
        <v>35</v>
      </c>
      <c r="Q2359" s="171">
        <v>30</v>
      </c>
      <c r="R2359" s="171">
        <v>27.6</v>
      </c>
      <c r="S2359" s="171">
        <v>27.18</v>
      </c>
      <c r="T2359" s="171">
        <v>26.37</v>
      </c>
      <c r="U2359" s="171">
        <v>26</v>
      </c>
      <c r="V2359" s="171">
        <v>28.240000000000002</v>
      </c>
      <c r="W2359" s="171">
        <v>30.68</v>
      </c>
      <c r="X2359" s="171">
        <v>32.9</v>
      </c>
      <c r="Y2359" s="171">
        <v>32.119999999999997</v>
      </c>
      <c r="Z2359" s="171">
        <v>32.549999999999997</v>
      </c>
      <c r="AA2359" s="171">
        <v>30.900000000000002</v>
      </c>
      <c r="AB2359" s="171">
        <v>26.5</v>
      </c>
      <c r="AC2359" s="171">
        <v>27.28</v>
      </c>
      <c r="AD2359" s="171">
        <v>31.62</v>
      </c>
      <c r="AF2359" s="171">
        <f t="shared" si="110"/>
        <v>2016</v>
      </c>
      <c r="AG2359" s="171">
        <f t="shared" si="111"/>
        <v>24</v>
      </c>
      <c r="AH2359" s="700">
        <f>SUMIF(D$3:$AA2359,"&lt;="&amp;$AH$1)/COUNTIF(D$3:$AA2359,"&lt;="&amp;$AH$1)</f>
        <v>31.200102609754193</v>
      </c>
    </row>
    <row r="2360" spans="2:34" x14ac:dyDescent="0.25">
      <c r="B2360" s="910">
        <v>42530</v>
      </c>
      <c r="C2360" s="581">
        <f t="shared" si="112"/>
        <v>6</v>
      </c>
      <c r="D2360" s="171">
        <v>32.230000000000004</v>
      </c>
      <c r="E2360" s="171">
        <v>23.67</v>
      </c>
      <c r="F2360" s="171">
        <v>21.87</v>
      </c>
      <c r="G2360" s="171">
        <v>20.81</v>
      </c>
      <c r="H2360" s="171">
        <v>27.580000000000002</v>
      </c>
      <c r="I2360" s="171">
        <v>30.86</v>
      </c>
      <c r="J2360" s="171">
        <v>29.8</v>
      </c>
      <c r="K2360" s="171">
        <v>28.5</v>
      </c>
      <c r="L2360" s="171">
        <v>33.950000000000003</v>
      </c>
      <c r="M2360" s="171">
        <v>43.08</v>
      </c>
      <c r="N2360" s="171">
        <v>44</v>
      </c>
      <c r="O2360" s="171">
        <v>42.89</v>
      </c>
      <c r="P2360" s="171">
        <v>41.4</v>
      </c>
      <c r="Q2360" s="171">
        <v>34.99</v>
      </c>
      <c r="R2360" s="171">
        <v>33.93</v>
      </c>
      <c r="S2360" s="171">
        <v>32.44</v>
      </c>
      <c r="T2360" s="171">
        <v>29.94</v>
      </c>
      <c r="U2360" s="171">
        <v>30</v>
      </c>
      <c r="V2360" s="171">
        <v>28.88</v>
      </c>
      <c r="W2360" s="171">
        <v>32.950000000000003</v>
      </c>
      <c r="X2360" s="171">
        <v>34.94</v>
      </c>
      <c r="Y2360" s="171">
        <v>33.700000000000003</v>
      </c>
      <c r="Z2360" s="171">
        <v>31.51</v>
      </c>
      <c r="AA2360" s="171">
        <v>30.490000000000002</v>
      </c>
      <c r="AB2360" s="171">
        <v>31.42</v>
      </c>
      <c r="AC2360" s="171">
        <v>28.68</v>
      </c>
      <c r="AD2360" s="171">
        <v>35.79</v>
      </c>
      <c r="AF2360" s="171">
        <f t="shared" si="110"/>
        <v>2016</v>
      </c>
      <c r="AG2360" s="171">
        <f t="shared" si="111"/>
        <v>21</v>
      </c>
      <c r="AH2360" s="700">
        <f>SUMIF(D$3:$AA2360,"&lt;="&amp;$AH$1)/COUNTIF(D$3:$AA2360,"&lt;="&amp;$AH$1)</f>
        <v>31.199598857891012</v>
      </c>
    </row>
    <row r="2361" spans="2:34" x14ac:dyDescent="0.25">
      <c r="B2361" s="910">
        <v>42531</v>
      </c>
      <c r="C2361" s="581">
        <f t="shared" si="112"/>
        <v>6</v>
      </c>
      <c r="D2361" s="171">
        <v>34.04</v>
      </c>
      <c r="E2361" s="171">
        <v>27.35</v>
      </c>
      <c r="F2361" s="171">
        <v>23.71</v>
      </c>
      <c r="G2361" s="171">
        <v>21.03</v>
      </c>
      <c r="H2361" s="171">
        <v>19.91</v>
      </c>
      <c r="I2361" s="171">
        <v>20.55</v>
      </c>
      <c r="J2361" s="171">
        <v>20.97</v>
      </c>
      <c r="K2361" s="171">
        <v>27.25</v>
      </c>
      <c r="L2361" s="171">
        <v>33.94</v>
      </c>
      <c r="M2361" s="171">
        <v>35.950000000000003</v>
      </c>
      <c r="N2361" s="171">
        <v>39.700000000000003</v>
      </c>
      <c r="O2361" s="171">
        <v>50.31</v>
      </c>
      <c r="P2361" s="171">
        <v>50.03</v>
      </c>
      <c r="Q2361" s="171">
        <v>50.65</v>
      </c>
      <c r="R2361" s="171">
        <v>52.75</v>
      </c>
      <c r="S2361" s="171">
        <v>49.5</v>
      </c>
      <c r="T2361" s="171">
        <v>39.04</v>
      </c>
      <c r="U2361" s="171">
        <v>29.650000000000002</v>
      </c>
      <c r="V2361" s="171">
        <v>29.94</v>
      </c>
      <c r="W2361" s="171">
        <v>30.01</v>
      </c>
      <c r="X2361" s="171">
        <v>32.85</v>
      </c>
      <c r="Y2361" s="171">
        <v>32.06</v>
      </c>
      <c r="Z2361" s="171">
        <v>31.67</v>
      </c>
      <c r="AA2361" s="171">
        <v>32.86</v>
      </c>
      <c r="AB2361" s="171">
        <v>35.230000000000004</v>
      </c>
      <c r="AC2361" s="171">
        <v>27.21</v>
      </c>
      <c r="AD2361" s="171">
        <v>40.869999999999997</v>
      </c>
      <c r="AF2361" s="171">
        <f t="shared" si="110"/>
        <v>2016</v>
      </c>
      <c r="AG2361" s="171">
        <f t="shared" si="111"/>
        <v>19</v>
      </c>
      <c r="AH2361" s="700">
        <f>SUMIF(D$3:$AA2361,"&lt;="&amp;$AH$1)/COUNTIF(D$3:$AA2361,"&lt;="&amp;$AH$1)</f>
        <v>31.198181265490508</v>
      </c>
    </row>
    <row r="2362" spans="2:34" x14ac:dyDescent="0.25">
      <c r="B2362" s="910">
        <v>42534</v>
      </c>
      <c r="C2362" s="581">
        <f t="shared" si="112"/>
        <v>6</v>
      </c>
      <c r="D2362" s="171">
        <v>39.86</v>
      </c>
      <c r="E2362" s="171">
        <v>25.61</v>
      </c>
      <c r="F2362" s="171">
        <v>24.830000000000002</v>
      </c>
      <c r="G2362" s="171">
        <v>24.35</v>
      </c>
      <c r="H2362" s="171">
        <v>22.61</v>
      </c>
      <c r="I2362" s="171">
        <v>23.900000000000002</v>
      </c>
      <c r="J2362" s="171">
        <v>23.02</v>
      </c>
      <c r="K2362" s="171">
        <v>28.990000000000002</v>
      </c>
      <c r="L2362" s="171">
        <v>37</v>
      </c>
      <c r="M2362" s="171">
        <v>39.36</v>
      </c>
      <c r="N2362" s="171">
        <v>48.03</v>
      </c>
      <c r="O2362" s="171">
        <v>53.620000000000005</v>
      </c>
      <c r="P2362" s="171">
        <v>55.52</v>
      </c>
      <c r="Q2362" s="171">
        <v>51.85</v>
      </c>
      <c r="R2362" s="171">
        <v>61.54</v>
      </c>
      <c r="S2362" s="171">
        <v>46.800000000000004</v>
      </c>
      <c r="T2362" s="171">
        <v>43.11</v>
      </c>
      <c r="U2362" s="171">
        <v>46.800000000000004</v>
      </c>
      <c r="V2362" s="171">
        <v>61.47</v>
      </c>
      <c r="W2362" s="171">
        <v>45.01</v>
      </c>
      <c r="X2362" s="171">
        <v>43.72</v>
      </c>
      <c r="Y2362" s="171">
        <v>40.119999999999997</v>
      </c>
      <c r="Z2362" s="171">
        <v>35.22</v>
      </c>
      <c r="AA2362" s="171">
        <v>36.56</v>
      </c>
      <c r="AB2362" s="171">
        <v>37.65</v>
      </c>
      <c r="AC2362" s="171">
        <v>29.990000000000002</v>
      </c>
      <c r="AD2362" s="171">
        <v>49.74</v>
      </c>
      <c r="AF2362" s="171">
        <f t="shared" si="110"/>
        <v>2016</v>
      </c>
      <c r="AG2362" s="171">
        <f t="shared" si="111"/>
        <v>13</v>
      </c>
      <c r="AH2362" s="700">
        <f>SUMIF(D$3:$AA2362,"&lt;="&amp;$AH$1)/COUNTIF(D$3:$AA2362,"&lt;="&amp;$AH$1)</f>
        <v>31.197987474293488</v>
      </c>
    </row>
    <row r="2363" spans="2:34" x14ac:dyDescent="0.25">
      <c r="B2363" s="910">
        <v>42535</v>
      </c>
      <c r="C2363" s="581">
        <f t="shared" si="112"/>
        <v>6</v>
      </c>
      <c r="D2363" s="171">
        <v>34.56</v>
      </c>
      <c r="E2363" s="171">
        <v>26.27</v>
      </c>
      <c r="F2363" s="171">
        <v>24.39</v>
      </c>
      <c r="G2363" s="171">
        <v>23.25</v>
      </c>
      <c r="H2363" s="171">
        <v>22.25</v>
      </c>
      <c r="I2363" s="171">
        <v>24.3</v>
      </c>
      <c r="J2363" s="171">
        <v>24.41</v>
      </c>
      <c r="K2363" s="171">
        <v>27.400000000000002</v>
      </c>
      <c r="L2363" s="171">
        <v>35.29</v>
      </c>
      <c r="M2363" s="171">
        <v>40</v>
      </c>
      <c r="N2363" s="171">
        <v>38.44</v>
      </c>
      <c r="O2363" s="171">
        <v>37.76</v>
      </c>
      <c r="P2363" s="171">
        <v>42.44</v>
      </c>
      <c r="Q2363" s="171">
        <v>44.94</v>
      </c>
      <c r="R2363" s="171">
        <v>49.94</v>
      </c>
      <c r="S2363" s="171">
        <v>42.54</v>
      </c>
      <c r="T2363" s="171">
        <v>37.83</v>
      </c>
      <c r="U2363" s="171">
        <v>38</v>
      </c>
      <c r="V2363" s="171">
        <v>42.44</v>
      </c>
      <c r="W2363" s="171">
        <v>35.08</v>
      </c>
      <c r="X2363" s="171">
        <v>37.5</v>
      </c>
      <c r="Y2363" s="171">
        <v>36</v>
      </c>
      <c r="Z2363" s="171">
        <v>32.01</v>
      </c>
      <c r="AA2363" s="171">
        <v>33.85</v>
      </c>
      <c r="AB2363" s="171">
        <v>33.1</v>
      </c>
      <c r="AC2363" s="171">
        <v>28.54</v>
      </c>
      <c r="AD2363" s="171">
        <v>40.58</v>
      </c>
      <c r="AF2363" s="171">
        <f t="shared" si="110"/>
        <v>2016</v>
      </c>
      <c r="AG2363" s="171">
        <f t="shared" si="111"/>
        <v>22</v>
      </c>
      <c r="AH2363" s="700">
        <f>SUMIF(D$3:$AA2363,"&lt;="&amp;$AH$1)/COUNTIF(D$3:$AA2363,"&lt;="&amp;$AH$1)</f>
        <v>31.200305817535881</v>
      </c>
    </row>
    <row r="2364" spans="2:34" x14ac:dyDescent="0.25">
      <c r="B2364" s="910">
        <v>42536</v>
      </c>
      <c r="C2364" s="581">
        <f t="shared" si="112"/>
        <v>6</v>
      </c>
      <c r="D2364" s="171">
        <v>42.71</v>
      </c>
      <c r="E2364" s="171">
        <v>27.72</v>
      </c>
      <c r="F2364" s="171">
        <v>26.830000000000002</v>
      </c>
      <c r="G2364" s="171">
        <v>25.01</v>
      </c>
      <c r="H2364" s="171">
        <v>23.73</v>
      </c>
      <c r="I2364" s="171">
        <v>24.3</v>
      </c>
      <c r="J2364" s="171">
        <v>25.310000000000002</v>
      </c>
      <c r="K2364" s="171">
        <v>28.37</v>
      </c>
      <c r="L2364" s="171">
        <v>36.61</v>
      </c>
      <c r="M2364" s="171">
        <v>42.76</v>
      </c>
      <c r="N2364" s="171">
        <v>56.18</v>
      </c>
      <c r="O2364" s="171">
        <v>61.02</v>
      </c>
      <c r="P2364" s="171">
        <v>58.65</v>
      </c>
      <c r="Q2364" s="171">
        <v>54</v>
      </c>
      <c r="R2364" s="171">
        <v>52.660000000000004</v>
      </c>
      <c r="S2364" s="171">
        <v>48.69</v>
      </c>
      <c r="T2364" s="171">
        <v>40.5</v>
      </c>
      <c r="U2364" s="171">
        <v>44.22</v>
      </c>
      <c r="V2364" s="171">
        <v>62.2</v>
      </c>
      <c r="W2364" s="171">
        <v>61.09</v>
      </c>
      <c r="X2364" s="171">
        <v>54.78</v>
      </c>
      <c r="Y2364" s="171">
        <v>47.64</v>
      </c>
      <c r="Z2364" s="171">
        <v>42.44</v>
      </c>
      <c r="AA2364" s="171">
        <v>43.49</v>
      </c>
      <c r="AB2364" s="171">
        <v>36.89</v>
      </c>
      <c r="AC2364" s="171">
        <v>32.36</v>
      </c>
      <c r="AD2364" s="171">
        <v>53.06</v>
      </c>
      <c r="AF2364" s="171">
        <f t="shared" si="110"/>
        <v>2016</v>
      </c>
      <c r="AG2364" s="171">
        <f t="shared" si="111"/>
        <v>10</v>
      </c>
      <c r="AH2364" s="700">
        <f>SUMIF(D$3:$AA2364,"&lt;="&amp;$AH$1)/COUNTIF(D$3:$AA2364,"&lt;="&amp;$AH$1)</f>
        <v>31.199783927570628</v>
      </c>
    </row>
    <row r="2365" spans="2:34" x14ac:dyDescent="0.25">
      <c r="B2365" s="910">
        <v>42537</v>
      </c>
      <c r="C2365" s="581">
        <f t="shared" si="112"/>
        <v>6</v>
      </c>
      <c r="D2365" s="171">
        <v>37.99</v>
      </c>
      <c r="E2365" s="171">
        <v>31.86</v>
      </c>
      <c r="F2365" s="171">
        <v>26.52</v>
      </c>
      <c r="G2365" s="171">
        <v>26.04</v>
      </c>
      <c r="H2365" s="171">
        <v>25.12</v>
      </c>
      <c r="I2365" s="171">
        <v>25.55</v>
      </c>
      <c r="J2365" s="171">
        <v>24.95</v>
      </c>
      <c r="K2365" s="171">
        <v>29.84</v>
      </c>
      <c r="L2365" s="171">
        <v>37.82</v>
      </c>
      <c r="M2365" s="171">
        <v>41.64</v>
      </c>
      <c r="N2365" s="171">
        <v>44.74</v>
      </c>
      <c r="O2365" s="171">
        <v>44.72</v>
      </c>
      <c r="P2365" s="171">
        <v>44.72</v>
      </c>
      <c r="Q2365" s="171">
        <v>40</v>
      </c>
      <c r="R2365" s="171">
        <v>44.75</v>
      </c>
      <c r="S2365" s="171">
        <v>44.92</v>
      </c>
      <c r="T2365" s="171">
        <v>39.96</v>
      </c>
      <c r="U2365" s="171">
        <v>41.51</v>
      </c>
      <c r="V2365" s="171">
        <v>51.02</v>
      </c>
      <c r="W2365" s="171">
        <v>47.44</v>
      </c>
      <c r="X2365" s="171">
        <v>45.5</v>
      </c>
      <c r="Y2365" s="171">
        <v>47.44</v>
      </c>
      <c r="Z2365" s="171">
        <v>33.020000000000003</v>
      </c>
      <c r="AA2365" s="171">
        <v>35.01</v>
      </c>
      <c r="AB2365" s="171">
        <v>37.64</v>
      </c>
      <c r="AC2365" s="171">
        <v>31.73</v>
      </c>
      <c r="AD2365" s="171">
        <v>44.24</v>
      </c>
      <c r="AF2365" s="171">
        <f t="shared" si="110"/>
        <v>2016</v>
      </c>
      <c r="AG2365" s="171">
        <f t="shared" si="111"/>
        <v>15</v>
      </c>
      <c r="AH2365" s="700">
        <f>SUMIF(D$3:$AA2365,"&lt;="&amp;$AH$1)/COUNTIF(D$3:$AA2365,"&lt;="&amp;$AH$1)</f>
        <v>31.201128573426452</v>
      </c>
    </row>
    <row r="2366" spans="2:34" x14ac:dyDescent="0.25">
      <c r="B2366" s="910">
        <v>42538</v>
      </c>
      <c r="C2366" s="581">
        <f t="shared" si="112"/>
        <v>6</v>
      </c>
      <c r="D2366" s="171">
        <v>37.410000000000004</v>
      </c>
      <c r="E2366" s="171">
        <v>36.76</v>
      </c>
      <c r="F2366" s="171">
        <v>25.88</v>
      </c>
      <c r="G2366" s="171">
        <v>25.2</v>
      </c>
      <c r="H2366" s="171">
        <v>23.34</v>
      </c>
      <c r="I2366" s="171">
        <v>23.36</v>
      </c>
      <c r="J2366" s="171">
        <v>23.89</v>
      </c>
      <c r="K2366" s="171">
        <v>27.85</v>
      </c>
      <c r="L2366" s="171">
        <v>35.300000000000004</v>
      </c>
      <c r="M2366" s="171">
        <v>39.700000000000003</v>
      </c>
      <c r="N2366" s="171">
        <v>60.95</v>
      </c>
      <c r="O2366" s="171">
        <v>67.010000000000005</v>
      </c>
      <c r="P2366" s="171">
        <v>62.18</v>
      </c>
      <c r="Q2366" s="171">
        <v>57.800000000000004</v>
      </c>
      <c r="R2366" s="171">
        <v>51.410000000000004</v>
      </c>
      <c r="S2366" s="171">
        <v>39.94</v>
      </c>
      <c r="T2366" s="171">
        <v>37.07</v>
      </c>
      <c r="U2366" s="171">
        <v>37.020000000000003</v>
      </c>
      <c r="V2366" s="171">
        <v>32.44</v>
      </c>
      <c r="W2366" s="171">
        <v>32.35</v>
      </c>
      <c r="X2366" s="171">
        <v>32.15</v>
      </c>
      <c r="Y2366" s="171">
        <v>30.59</v>
      </c>
      <c r="Z2366" s="171">
        <v>28.16</v>
      </c>
      <c r="AA2366" s="171">
        <v>37.44</v>
      </c>
      <c r="AB2366" s="171">
        <v>30.02</v>
      </c>
      <c r="AC2366" s="171">
        <v>28.98</v>
      </c>
      <c r="AD2366" s="171">
        <v>45.83</v>
      </c>
      <c r="AF2366" s="171">
        <f t="shared" si="110"/>
        <v>2016</v>
      </c>
      <c r="AG2366" s="171">
        <f t="shared" si="111"/>
        <v>19</v>
      </c>
      <c r="AH2366" s="700">
        <f>SUMIF(D$3:$AA2366,"&lt;="&amp;$AH$1)/COUNTIF(D$3:$AA2366,"&lt;="&amp;$AH$1)</f>
        <v>31.201735625756367</v>
      </c>
    </row>
    <row r="2367" spans="2:34" x14ac:dyDescent="0.25">
      <c r="B2367" s="910">
        <v>42541</v>
      </c>
      <c r="C2367" s="581">
        <f t="shared" si="112"/>
        <v>6</v>
      </c>
      <c r="D2367" s="171">
        <v>31.900000000000002</v>
      </c>
      <c r="E2367" s="171">
        <v>26.38</v>
      </c>
      <c r="F2367" s="171">
        <v>24.71</v>
      </c>
      <c r="G2367" s="171">
        <v>21.62</v>
      </c>
      <c r="H2367" s="171">
        <v>21.72</v>
      </c>
      <c r="I2367" s="171">
        <v>18.740000000000002</v>
      </c>
      <c r="J2367" s="171">
        <v>19.990000000000002</v>
      </c>
      <c r="K2367" s="171">
        <v>28.97</v>
      </c>
      <c r="L2367" s="171">
        <v>34.42</v>
      </c>
      <c r="M2367" s="171">
        <v>34.94</v>
      </c>
      <c r="N2367" s="171">
        <v>35.36</v>
      </c>
      <c r="O2367" s="171">
        <v>33</v>
      </c>
      <c r="P2367" s="171">
        <v>34.94</v>
      </c>
      <c r="Q2367" s="171">
        <v>31.88</v>
      </c>
      <c r="R2367" s="171">
        <v>32.97</v>
      </c>
      <c r="S2367" s="171">
        <v>31.5</v>
      </c>
      <c r="T2367" s="171">
        <v>39.47</v>
      </c>
      <c r="U2367" s="171">
        <v>39.700000000000003</v>
      </c>
      <c r="V2367" s="171">
        <v>39.520000000000003</v>
      </c>
      <c r="W2367" s="171">
        <v>32.97</v>
      </c>
      <c r="X2367" s="171">
        <v>34.96</v>
      </c>
      <c r="Y2367" s="171">
        <v>33.57</v>
      </c>
      <c r="Z2367" s="171">
        <v>31.76</v>
      </c>
      <c r="AA2367" s="171">
        <v>38</v>
      </c>
      <c r="AB2367" s="171">
        <v>44.5</v>
      </c>
      <c r="AC2367" s="171">
        <v>28.7</v>
      </c>
      <c r="AD2367" s="171">
        <v>35.1</v>
      </c>
      <c r="AF2367" s="171">
        <f t="shared" si="110"/>
        <v>2016</v>
      </c>
      <c r="AG2367" s="171">
        <f t="shared" si="111"/>
        <v>24</v>
      </c>
      <c r="AH2367" s="700">
        <f>SUMIF(D$3:$AA2367,"&lt;="&amp;$AH$1)/COUNTIF(D$3:$AA2367,"&lt;="&amp;$AH$1)</f>
        <v>31.201928697755879</v>
      </c>
    </row>
    <row r="2368" spans="2:34" x14ac:dyDescent="0.25">
      <c r="B2368" s="910">
        <v>42542</v>
      </c>
      <c r="C2368" s="581">
        <f t="shared" si="112"/>
        <v>6</v>
      </c>
      <c r="D2368" s="171">
        <v>33.47</v>
      </c>
      <c r="E2368" s="171">
        <v>27.28</v>
      </c>
      <c r="F2368" s="171">
        <v>24.14</v>
      </c>
      <c r="G2368" s="171">
        <v>23.64</v>
      </c>
      <c r="H2368" s="171">
        <v>21.23</v>
      </c>
      <c r="I2368" s="171">
        <v>21.89</v>
      </c>
      <c r="J2368" s="171">
        <v>23.93</v>
      </c>
      <c r="K2368" s="171">
        <v>29.54</v>
      </c>
      <c r="L2368" s="171">
        <v>38.730000000000004</v>
      </c>
      <c r="M2368" s="171">
        <v>40.78</v>
      </c>
      <c r="N2368" s="171">
        <v>43.5</v>
      </c>
      <c r="O2368" s="171">
        <v>41.79</v>
      </c>
      <c r="P2368" s="171">
        <v>43.730000000000004</v>
      </c>
      <c r="Q2368" s="171">
        <v>39.590000000000003</v>
      </c>
      <c r="R2368" s="171">
        <v>37.64</v>
      </c>
      <c r="S2368" s="171">
        <v>35.840000000000003</v>
      </c>
      <c r="T2368" s="171">
        <v>34.160000000000004</v>
      </c>
      <c r="U2368" s="171">
        <v>32.450000000000003</v>
      </c>
      <c r="V2368" s="171">
        <v>33.049999999999997</v>
      </c>
      <c r="W2368" s="171">
        <v>34.94</v>
      </c>
      <c r="X2368" s="171">
        <v>35.910000000000004</v>
      </c>
      <c r="Y2368" s="171">
        <v>37.44</v>
      </c>
      <c r="Z2368" s="171">
        <v>34.980000000000004</v>
      </c>
      <c r="AA2368" s="171">
        <v>35</v>
      </c>
      <c r="AB2368" s="171">
        <v>32.06</v>
      </c>
      <c r="AC2368" s="171">
        <v>29.16</v>
      </c>
      <c r="AD2368" s="171">
        <v>37.78</v>
      </c>
      <c r="AF2368" s="171">
        <f t="shared" si="110"/>
        <v>2016</v>
      </c>
      <c r="AG2368" s="171">
        <f t="shared" si="111"/>
        <v>22</v>
      </c>
      <c r="AH2368" s="700">
        <f>SUMIF(D$3:$AA2368,"&lt;="&amp;$AH$1)/COUNTIF(D$3:$AA2368,"&lt;="&amp;$AH$1)</f>
        <v>31.203368978983764</v>
      </c>
    </row>
    <row r="2369" spans="2:34" x14ac:dyDescent="0.25">
      <c r="B2369" s="910">
        <v>42543</v>
      </c>
      <c r="C2369" s="581">
        <f t="shared" si="112"/>
        <v>6</v>
      </c>
      <c r="D2369" s="171">
        <v>35.28</v>
      </c>
      <c r="E2369" s="171">
        <v>28.060000000000002</v>
      </c>
      <c r="F2369" s="171">
        <v>24.95</v>
      </c>
      <c r="G2369" s="171">
        <v>24.740000000000002</v>
      </c>
      <c r="H2369" s="171">
        <v>23.14</v>
      </c>
      <c r="I2369" s="171">
        <v>22.97</v>
      </c>
      <c r="J2369" s="171">
        <v>24.060000000000002</v>
      </c>
      <c r="K2369" s="171">
        <v>29.98</v>
      </c>
      <c r="L2369" s="171">
        <v>40</v>
      </c>
      <c r="M2369" s="171">
        <v>42</v>
      </c>
      <c r="N2369" s="171">
        <v>40</v>
      </c>
      <c r="O2369" s="171">
        <v>37.270000000000003</v>
      </c>
      <c r="P2369" s="171">
        <v>36.730000000000004</v>
      </c>
      <c r="Q2369" s="171">
        <v>42</v>
      </c>
      <c r="R2369" s="171">
        <v>41.300000000000004</v>
      </c>
      <c r="S2369" s="171">
        <v>39.42</v>
      </c>
      <c r="T2369" s="171">
        <v>38.86</v>
      </c>
      <c r="U2369" s="171">
        <v>39.22</v>
      </c>
      <c r="V2369" s="171">
        <v>38.44</v>
      </c>
      <c r="W2369" s="171">
        <v>38.119999999999997</v>
      </c>
      <c r="X2369" s="171">
        <v>39.800000000000004</v>
      </c>
      <c r="Y2369" s="171">
        <v>38.300000000000004</v>
      </c>
      <c r="Z2369" s="171">
        <v>37.39</v>
      </c>
      <c r="AA2369" s="171">
        <v>40.01</v>
      </c>
      <c r="AB2369" s="171">
        <v>39.99</v>
      </c>
      <c r="AC2369" s="171">
        <v>31.13</v>
      </c>
      <c r="AD2369" s="171">
        <v>39.43</v>
      </c>
      <c r="AF2369" s="171">
        <f t="shared" si="110"/>
        <v>2016</v>
      </c>
      <c r="AG2369" s="171">
        <f t="shared" si="111"/>
        <v>24</v>
      </c>
      <c r="AH2369" s="700">
        <f>SUMIF(D$3:$AA2369,"&lt;="&amp;$AH$1)/COUNTIF(D$3:$AA2369,"&lt;="&amp;$AH$1)</f>
        <v>31.207695522941808</v>
      </c>
    </row>
    <row r="2370" spans="2:34" x14ac:dyDescent="0.25">
      <c r="B2370" s="910">
        <v>42544</v>
      </c>
      <c r="C2370" s="581">
        <f t="shared" si="112"/>
        <v>6</v>
      </c>
      <c r="D2370" s="171">
        <v>38.660000000000004</v>
      </c>
      <c r="E2370" s="171">
        <v>28.09</v>
      </c>
      <c r="F2370" s="171">
        <v>25.64</v>
      </c>
      <c r="G2370" s="171">
        <v>24.38</v>
      </c>
      <c r="H2370" s="171">
        <v>24.11</v>
      </c>
      <c r="I2370" s="171">
        <v>24</v>
      </c>
      <c r="J2370" s="171">
        <v>24.14</v>
      </c>
      <c r="K2370" s="171">
        <v>28.16</v>
      </c>
      <c r="L2370" s="171">
        <v>35.910000000000004</v>
      </c>
      <c r="M2370" s="171">
        <v>35.910000000000004</v>
      </c>
      <c r="N2370" s="171">
        <v>34.97</v>
      </c>
      <c r="O2370" s="171">
        <v>41.410000000000004</v>
      </c>
      <c r="P2370" s="171">
        <v>45.12</v>
      </c>
      <c r="Q2370" s="171">
        <v>48.660000000000004</v>
      </c>
      <c r="R2370" s="171">
        <v>50.03</v>
      </c>
      <c r="S2370" s="171">
        <v>50</v>
      </c>
      <c r="T2370" s="171">
        <v>47.78</v>
      </c>
      <c r="U2370" s="171">
        <v>52.44</v>
      </c>
      <c r="V2370" s="171">
        <v>57.83</v>
      </c>
      <c r="W2370" s="171">
        <v>49.9</v>
      </c>
      <c r="X2370" s="171">
        <v>43.85</v>
      </c>
      <c r="Y2370" s="171">
        <v>39.94</v>
      </c>
      <c r="Z2370" s="171">
        <v>32.72</v>
      </c>
      <c r="AA2370" s="171">
        <v>43.81</v>
      </c>
      <c r="AB2370" s="171">
        <v>38.97</v>
      </c>
      <c r="AC2370" s="171">
        <v>30.82</v>
      </c>
      <c r="AD2370" s="171">
        <v>46.49</v>
      </c>
      <c r="AF2370" s="171">
        <f t="shared" si="110"/>
        <v>2016</v>
      </c>
      <c r="AG2370" s="171">
        <f t="shared" si="111"/>
        <v>14</v>
      </c>
      <c r="AH2370" s="700">
        <f>SUMIF(D$3:$AA2370,"&lt;="&amp;$AH$1)/COUNTIF(D$3:$AA2370,"&lt;="&amp;$AH$1)</f>
        <v>31.207748073887636</v>
      </c>
    </row>
    <row r="2371" spans="2:34" x14ac:dyDescent="0.25">
      <c r="B2371" s="910">
        <v>42545</v>
      </c>
      <c r="C2371" s="581">
        <f t="shared" si="112"/>
        <v>6</v>
      </c>
      <c r="D2371" s="171">
        <v>39.869999999999997</v>
      </c>
      <c r="E2371" s="171">
        <v>40.119999999999997</v>
      </c>
      <c r="F2371" s="171">
        <v>25.53</v>
      </c>
      <c r="G2371" s="171">
        <v>25.69</v>
      </c>
      <c r="H2371" s="171">
        <v>24.13</v>
      </c>
      <c r="I2371" s="171">
        <v>24.48</v>
      </c>
      <c r="J2371" s="171">
        <v>26.43</v>
      </c>
      <c r="K2371" s="171">
        <v>31.86</v>
      </c>
      <c r="L2371" s="171">
        <v>37.03</v>
      </c>
      <c r="M2371" s="171">
        <v>45</v>
      </c>
      <c r="N2371" s="171">
        <v>58</v>
      </c>
      <c r="O2371" s="171">
        <v>62.96</v>
      </c>
      <c r="P2371" s="171">
        <v>64.17</v>
      </c>
      <c r="Q2371" s="171">
        <v>60.800000000000004</v>
      </c>
      <c r="R2371" s="171">
        <v>57.050000000000004</v>
      </c>
      <c r="S2371" s="171">
        <v>48.32</v>
      </c>
      <c r="T2371" s="171">
        <v>39.32</v>
      </c>
      <c r="U2371" s="171">
        <v>38.160000000000004</v>
      </c>
      <c r="V2371" s="171">
        <v>34.94</v>
      </c>
      <c r="W2371" s="171">
        <v>34.980000000000004</v>
      </c>
      <c r="X2371" s="171">
        <v>35.53</v>
      </c>
      <c r="Y2371" s="171">
        <v>34.950000000000003</v>
      </c>
      <c r="Z2371" s="171">
        <v>33.28</v>
      </c>
      <c r="AA2371" s="171">
        <v>34.119999999999997</v>
      </c>
      <c r="AB2371" s="171">
        <v>39.94</v>
      </c>
      <c r="AC2371" s="171">
        <v>31.46</v>
      </c>
      <c r="AD2371" s="171">
        <v>48.27</v>
      </c>
      <c r="AF2371" s="171">
        <f t="shared" si="110"/>
        <v>2016</v>
      </c>
      <c r="AG2371" s="171">
        <f t="shared" si="111"/>
        <v>17</v>
      </c>
      <c r="AH2371" s="700">
        <f>SUMIF(D$3:$AA2371,"&lt;="&amp;$AH$1)/COUNTIF(D$3:$AA2371,"&lt;="&amp;$AH$1)</f>
        <v>31.209134165004077</v>
      </c>
    </row>
    <row r="2372" spans="2:34" x14ac:dyDescent="0.25">
      <c r="B2372" s="910">
        <v>42548</v>
      </c>
      <c r="C2372" s="581">
        <f t="shared" si="112"/>
        <v>6</v>
      </c>
      <c r="D2372" s="171">
        <v>34.730000000000004</v>
      </c>
      <c r="E2372" s="171">
        <v>24.1</v>
      </c>
      <c r="F2372" s="171">
        <v>20.990000000000002</v>
      </c>
      <c r="G2372" s="171">
        <v>19.04</v>
      </c>
      <c r="H2372" s="171">
        <v>21.1</v>
      </c>
      <c r="I2372" s="171">
        <v>19.48</v>
      </c>
      <c r="J2372" s="171">
        <v>19.02</v>
      </c>
      <c r="K2372" s="171">
        <v>27.75</v>
      </c>
      <c r="L2372" s="171">
        <v>33.07</v>
      </c>
      <c r="M2372" s="171">
        <v>34.26</v>
      </c>
      <c r="N2372" s="171">
        <v>33.5</v>
      </c>
      <c r="O2372" s="171">
        <v>45.39</v>
      </c>
      <c r="P2372" s="171">
        <v>46.410000000000004</v>
      </c>
      <c r="Q2372" s="171">
        <v>41.5</v>
      </c>
      <c r="R2372" s="171">
        <v>40.19</v>
      </c>
      <c r="S2372" s="171">
        <v>38.65</v>
      </c>
      <c r="T2372" s="171">
        <v>36.74</v>
      </c>
      <c r="U2372" s="171">
        <v>37.869999999999997</v>
      </c>
      <c r="V2372" s="171">
        <v>44.94</v>
      </c>
      <c r="W2372" s="171">
        <v>38.82</v>
      </c>
      <c r="X2372" s="171">
        <v>39.050000000000004</v>
      </c>
      <c r="Y2372" s="171">
        <v>38.31</v>
      </c>
      <c r="Z2372" s="171">
        <v>36.520000000000003</v>
      </c>
      <c r="AA2372" s="171">
        <v>46.77</v>
      </c>
      <c r="AB2372" s="171">
        <v>49.94</v>
      </c>
      <c r="AC2372" s="171">
        <v>29.67</v>
      </c>
      <c r="AD2372" s="171">
        <v>39.78</v>
      </c>
      <c r="AF2372" s="171">
        <f t="shared" ref="AF2372:AF2435" si="113">YEAR(B2372)</f>
        <v>2016</v>
      </c>
      <c r="AG2372" s="171">
        <f t="shared" ref="AG2372:AG2435" si="114">COUNTIF(D2372:AA2372,"&lt;="&amp;$AH$1)</f>
        <v>20</v>
      </c>
      <c r="AH2372" s="700">
        <f>SUMIF(D$3:$AA2372,"&lt;="&amp;$AH$1)/COUNTIF(D$3:$AA2372,"&lt;="&amp;$AH$1)</f>
        <v>31.209620998006898</v>
      </c>
    </row>
    <row r="2373" spans="2:34" x14ac:dyDescent="0.25">
      <c r="B2373" s="910">
        <v>42549</v>
      </c>
      <c r="C2373" s="581">
        <f t="shared" si="112"/>
        <v>6</v>
      </c>
      <c r="D2373" s="171">
        <v>33.57</v>
      </c>
      <c r="E2373" s="171">
        <v>26.84</v>
      </c>
      <c r="F2373" s="171">
        <v>24.400000000000002</v>
      </c>
      <c r="G2373" s="171">
        <v>24.09</v>
      </c>
      <c r="H2373" s="171">
        <v>23.13</v>
      </c>
      <c r="I2373" s="171">
        <v>22.76</v>
      </c>
      <c r="J2373" s="171">
        <v>24.19</v>
      </c>
      <c r="K2373" s="171">
        <v>29.86</v>
      </c>
      <c r="L2373" s="171">
        <v>40.08</v>
      </c>
      <c r="M2373" s="171">
        <v>41.910000000000004</v>
      </c>
      <c r="N2373" s="171">
        <v>41.980000000000004</v>
      </c>
      <c r="O2373" s="171">
        <v>38.94</v>
      </c>
      <c r="P2373" s="171">
        <v>37.880000000000003</v>
      </c>
      <c r="Q2373" s="171">
        <v>35.36</v>
      </c>
      <c r="R2373" s="171">
        <v>34.85</v>
      </c>
      <c r="S2373" s="171">
        <v>39.94</v>
      </c>
      <c r="T2373" s="171">
        <v>34.94</v>
      </c>
      <c r="U2373" s="171">
        <v>31.060000000000002</v>
      </c>
      <c r="V2373" s="171">
        <v>36.04</v>
      </c>
      <c r="W2373" s="171">
        <v>39.85</v>
      </c>
      <c r="X2373" s="171">
        <v>41.74</v>
      </c>
      <c r="Y2373" s="171">
        <v>38.99</v>
      </c>
      <c r="Z2373" s="171">
        <v>34.56</v>
      </c>
      <c r="AA2373" s="171">
        <v>33.840000000000003</v>
      </c>
      <c r="AB2373" s="171">
        <v>28.34</v>
      </c>
      <c r="AC2373" s="171">
        <v>29.26</v>
      </c>
      <c r="AD2373" s="171">
        <v>37.869999999999997</v>
      </c>
      <c r="AF2373" s="171">
        <f t="shared" si="113"/>
        <v>2016</v>
      </c>
      <c r="AG2373" s="171">
        <f t="shared" si="114"/>
        <v>24</v>
      </c>
      <c r="AH2373" s="700">
        <f>SUMIF(D$3:$AA2373,"&lt;="&amp;$AH$1)/COUNTIF(D$3:$AA2373,"&lt;="&amp;$AH$1)</f>
        <v>31.21247975193144</v>
      </c>
    </row>
    <row r="2374" spans="2:34" x14ac:dyDescent="0.25">
      <c r="B2374" s="910">
        <v>42550</v>
      </c>
      <c r="C2374" s="581">
        <f t="shared" si="112"/>
        <v>6</v>
      </c>
      <c r="D2374" s="171">
        <v>31.07</v>
      </c>
      <c r="E2374" s="171">
        <v>24.03</v>
      </c>
      <c r="F2374" s="171">
        <v>22.14</v>
      </c>
      <c r="G2374" s="171">
        <v>20.64</v>
      </c>
      <c r="H2374" s="171">
        <v>19.350000000000001</v>
      </c>
      <c r="I2374" s="171">
        <v>18.95</v>
      </c>
      <c r="J2374" s="171">
        <v>19.72</v>
      </c>
      <c r="K2374" s="171">
        <v>24.580000000000002</v>
      </c>
      <c r="L2374" s="171">
        <v>32.910000000000004</v>
      </c>
      <c r="M2374" s="171">
        <v>34.94</v>
      </c>
      <c r="N2374" s="171">
        <v>31.82</v>
      </c>
      <c r="O2374" s="171">
        <v>42.38</v>
      </c>
      <c r="P2374" s="171">
        <v>42.160000000000004</v>
      </c>
      <c r="Q2374" s="171">
        <v>39.94</v>
      </c>
      <c r="R2374" s="171">
        <v>40.4</v>
      </c>
      <c r="S2374" s="171">
        <v>38.61</v>
      </c>
      <c r="T2374" s="171">
        <v>29.94</v>
      </c>
      <c r="U2374" s="171">
        <v>26.73</v>
      </c>
      <c r="V2374" s="171">
        <v>26.54</v>
      </c>
      <c r="W2374" s="171">
        <v>33.46</v>
      </c>
      <c r="X2374" s="171">
        <v>38.99</v>
      </c>
      <c r="Y2374" s="171">
        <v>37.49</v>
      </c>
      <c r="Z2374" s="171">
        <v>34.980000000000004</v>
      </c>
      <c r="AA2374" s="171">
        <v>34.94</v>
      </c>
      <c r="AB2374" s="171">
        <v>29.96</v>
      </c>
      <c r="AC2374" s="171">
        <v>26.64</v>
      </c>
      <c r="AD2374" s="171">
        <v>35.49</v>
      </c>
      <c r="AF2374" s="171">
        <f t="shared" si="113"/>
        <v>2016</v>
      </c>
      <c r="AG2374" s="171">
        <f t="shared" si="114"/>
        <v>24</v>
      </c>
      <c r="AH2374" s="700">
        <f>SUMIF(D$3:$AA2374,"&lt;="&amp;$AH$1)/COUNTIF(D$3:$AA2374,"&lt;="&amp;$AH$1)</f>
        <v>31.212369284821886</v>
      </c>
    </row>
    <row r="2375" spans="2:34" x14ac:dyDescent="0.25">
      <c r="B2375" s="910">
        <v>42551</v>
      </c>
      <c r="C2375" s="581">
        <f t="shared" si="112"/>
        <v>6</v>
      </c>
      <c r="D2375" s="171">
        <v>32.21</v>
      </c>
      <c r="E2375" s="171">
        <v>25.16</v>
      </c>
      <c r="F2375" s="171">
        <v>23.34</v>
      </c>
      <c r="G2375" s="171">
        <v>22.080000000000002</v>
      </c>
      <c r="H2375" s="171">
        <v>20.11</v>
      </c>
      <c r="I2375" s="171">
        <v>19.82</v>
      </c>
      <c r="J2375" s="171">
        <v>21.580000000000002</v>
      </c>
      <c r="K2375" s="171">
        <v>26.61</v>
      </c>
      <c r="L2375" s="171">
        <v>34.94</v>
      </c>
      <c r="M2375" s="171">
        <v>39.86</v>
      </c>
      <c r="N2375" s="171">
        <v>40.72</v>
      </c>
      <c r="O2375" s="171">
        <v>38.49</v>
      </c>
      <c r="P2375" s="171">
        <v>39.9</v>
      </c>
      <c r="Q2375" s="171">
        <v>42.44</v>
      </c>
      <c r="R2375" s="171">
        <v>40.230000000000004</v>
      </c>
      <c r="S2375" s="171">
        <v>36.42</v>
      </c>
      <c r="T2375" s="171">
        <v>34.730000000000004</v>
      </c>
      <c r="U2375" s="171">
        <v>36.020000000000003</v>
      </c>
      <c r="V2375" s="171">
        <v>31.96</v>
      </c>
      <c r="W2375" s="171">
        <v>34.230000000000004</v>
      </c>
      <c r="X2375" s="171">
        <v>38.28</v>
      </c>
      <c r="Y2375" s="171">
        <v>34.910000000000004</v>
      </c>
      <c r="Z2375" s="171">
        <v>31.11</v>
      </c>
      <c r="AA2375" s="171">
        <v>32.380000000000003</v>
      </c>
      <c r="AB2375" s="171">
        <v>27.72</v>
      </c>
      <c r="AC2375" s="171">
        <v>26.650000000000002</v>
      </c>
      <c r="AD2375" s="171">
        <v>37.770000000000003</v>
      </c>
      <c r="AF2375" s="171">
        <f t="shared" si="113"/>
        <v>2016</v>
      </c>
      <c r="AG2375" s="171">
        <f t="shared" si="114"/>
        <v>24</v>
      </c>
      <c r="AH2375" s="700">
        <f>SUMIF(D$3:$AA2375,"&lt;="&amp;$AH$1)/COUNTIF(D$3:$AA2375,"&lt;="&amp;$AH$1)</f>
        <v>31.213682290463257</v>
      </c>
    </row>
    <row r="2376" spans="2:34" x14ac:dyDescent="0.25">
      <c r="B2376" s="910">
        <v>42552</v>
      </c>
      <c r="C2376" s="581">
        <f t="shared" si="112"/>
        <v>7</v>
      </c>
      <c r="D2376" s="171">
        <v>23.76</v>
      </c>
      <c r="E2376" s="171">
        <v>18.07</v>
      </c>
      <c r="F2376" s="171">
        <v>21.17</v>
      </c>
      <c r="G2376" s="171">
        <v>24.64</v>
      </c>
      <c r="H2376" s="171">
        <v>22.8</v>
      </c>
      <c r="I2376" s="171">
        <v>12.63</v>
      </c>
      <c r="J2376" s="171">
        <v>12.540000000000001</v>
      </c>
      <c r="K2376" s="171">
        <v>15.450000000000001</v>
      </c>
      <c r="L2376" s="171">
        <v>18.990000000000002</v>
      </c>
      <c r="M2376" s="171">
        <v>13.09</v>
      </c>
      <c r="N2376" s="171">
        <v>24.990000000000002</v>
      </c>
      <c r="O2376" s="171">
        <v>25.19</v>
      </c>
      <c r="P2376" s="171">
        <v>27.73</v>
      </c>
      <c r="Q2376" s="171">
        <v>35</v>
      </c>
      <c r="R2376" s="171">
        <v>29.94</v>
      </c>
      <c r="S2376" s="171">
        <v>21.28</v>
      </c>
      <c r="T2376" s="171">
        <v>21</v>
      </c>
      <c r="U2376" s="171">
        <v>18.79</v>
      </c>
      <c r="V2376" s="171">
        <v>21.52</v>
      </c>
      <c r="W2376" s="171">
        <v>24.47</v>
      </c>
      <c r="X2376" s="171">
        <v>26.76</v>
      </c>
      <c r="Y2376" s="171">
        <v>27.97</v>
      </c>
      <c r="Z2376" s="171">
        <v>40</v>
      </c>
      <c r="AA2376" s="171">
        <v>32.35</v>
      </c>
      <c r="AB2376" s="171">
        <v>33.910000000000004</v>
      </c>
      <c r="AC2376" s="171">
        <v>28.02</v>
      </c>
      <c r="AD2376" s="171">
        <v>35.07</v>
      </c>
      <c r="AF2376" s="171">
        <f t="shared" si="113"/>
        <v>2016</v>
      </c>
      <c r="AG2376" s="171">
        <f t="shared" si="114"/>
        <v>24</v>
      </c>
      <c r="AH2376" s="700">
        <f>SUMIF(D$3:$AA2376,"&lt;="&amp;$AH$1)/COUNTIF(D$3:$AA2376,"&lt;="&amp;$AH$1)</f>
        <v>31.204964251117755</v>
      </c>
    </row>
    <row r="2377" spans="2:34" x14ac:dyDescent="0.25">
      <c r="B2377" s="910">
        <v>42555</v>
      </c>
      <c r="C2377" s="581">
        <f t="shared" si="112"/>
        <v>7</v>
      </c>
      <c r="D2377" s="171">
        <v>23.76</v>
      </c>
      <c r="E2377" s="171">
        <v>18.07</v>
      </c>
      <c r="F2377" s="171">
        <v>21.17</v>
      </c>
      <c r="G2377" s="171">
        <v>24.64</v>
      </c>
      <c r="H2377" s="171">
        <v>22.8</v>
      </c>
      <c r="I2377" s="171">
        <v>12.63</v>
      </c>
      <c r="J2377" s="171">
        <v>12.540000000000001</v>
      </c>
      <c r="K2377" s="171">
        <v>15.450000000000001</v>
      </c>
      <c r="L2377" s="171">
        <v>18.990000000000002</v>
      </c>
      <c r="M2377" s="171">
        <v>13.09</v>
      </c>
      <c r="N2377" s="171">
        <v>24.990000000000002</v>
      </c>
      <c r="O2377" s="171">
        <v>25.19</v>
      </c>
      <c r="P2377" s="171">
        <v>27.73</v>
      </c>
      <c r="Q2377" s="171">
        <v>35</v>
      </c>
      <c r="R2377" s="171">
        <v>29.94</v>
      </c>
      <c r="S2377" s="171">
        <v>21.28</v>
      </c>
      <c r="T2377" s="171">
        <v>21</v>
      </c>
      <c r="U2377" s="171">
        <v>18.79</v>
      </c>
      <c r="V2377" s="171">
        <v>21.52</v>
      </c>
      <c r="W2377" s="171">
        <v>24.47</v>
      </c>
      <c r="X2377" s="171">
        <v>26.76</v>
      </c>
      <c r="Y2377" s="171">
        <v>27.97</v>
      </c>
      <c r="Z2377" s="171">
        <v>40</v>
      </c>
      <c r="AA2377" s="171">
        <v>32.35</v>
      </c>
      <c r="AB2377" s="171">
        <v>33.910000000000004</v>
      </c>
      <c r="AC2377" s="171">
        <v>28.02</v>
      </c>
      <c r="AD2377" s="171">
        <v>35.07</v>
      </c>
      <c r="AF2377" s="171">
        <f t="shared" si="113"/>
        <v>2016</v>
      </c>
      <c r="AG2377" s="171">
        <f t="shared" si="114"/>
        <v>24</v>
      </c>
      <c r="AH2377" s="700">
        <f>SUMIF(D$3:$AA2377,"&lt;="&amp;$AH$1)/COUNTIF(D$3:$AA2377,"&lt;="&amp;$AH$1)</f>
        <v>31.196265493248937</v>
      </c>
    </row>
    <row r="2378" spans="2:34" x14ac:dyDescent="0.25">
      <c r="B2378" s="910">
        <v>42556</v>
      </c>
      <c r="C2378" s="581">
        <f t="shared" si="112"/>
        <v>7</v>
      </c>
      <c r="D2378" s="171">
        <v>34.07</v>
      </c>
      <c r="E2378" s="171">
        <v>29.93</v>
      </c>
      <c r="F2378" s="171">
        <v>27</v>
      </c>
      <c r="G2378" s="171">
        <v>25.46</v>
      </c>
      <c r="H2378" s="171">
        <v>23.88</v>
      </c>
      <c r="I2378" s="171">
        <v>23.43</v>
      </c>
      <c r="J2378" s="171">
        <v>25.310000000000002</v>
      </c>
      <c r="K2378" s="171">
        <v>30.28</v>
      </c>
      <c r="L2378" s="171">
        <v>34.94</v>
      </c>
      <c r="M2378" s="171">
        <v>36.46</v>
      </c>
      <c r="N2378" s="171">
        <v>35.050000000000004</v>
      </c>
      <c r="O2378" s="171">
        <v>40.5</v>
      </c>
      <c r="P2378" s="171">
        <v>40.5</v>
      </c>
      <c r="Q2378" s="171">
        <v>37.730000000000004</v>
      </c>
      <c r="R2378" s="171">
        <v>35.4</v>
      </c>
      <c r="S2378" s="171">
        <v>34</v>
      </c>
      <c r="T2378" s="171">
        <v>31.59</v>
      </c>
      <c r="U2378" s="171">
        <v>30.34</v>
      </c>
      <c r="V2378" s="171">
        <v>37</v>
      </c>
      <c r="W2378" s="171">
        <v>40.5</v>
      </c>
      <c r="X2378" s="171">
        <v>42.44</v>
      </c>
      <c r="Y2378" s="171">
        <v>39.980000000000004</v>
      </c>
      <c r="Z2378" s="171">
        <v>30</v>
      </c>
      <c r="AA2378" s="171">
        <v>44.94</v>
      </c>
      <c r="AB2378" s="171">
        <v>41.1</v>
      </c>
      <c r="AC2378" s="171">
        <v>31.35</v>
      </c>
      <c r="AD2378" s="171">
        <v>36.79</v>
      </c>
      <c r="AF2378" s="171">
        <f t="shared" si="113"/>
        <v>2016</v>
      </c>
      <c r="AG2378" s="171">
        <f t="shared" si="114"/>
        <v>23</v>
      </c>
      <c r="AH2378" s="700">
        <f>SUMIF(D$3:$AA2378,"&lt;="&amp;$AH$1)/COUNTIF(D$3:$AA2378,"&lt;="&amp;$AH$1)</f>
        <v>31.198487526465136</v>
      </c>
    </row>
    <row r="2379" spans="2:34" x14ac:dyDescent="0.25">
      <c r="B2379" s="910">
        <v>42557</v>
      </c>
      <c r="C2379" s="581">
        <f t="shared" si="112"/>
        <v>7</v>
      </c>
      <c r="D2379" s="171">
        <v>37.29</v>
      </c>
      <c r="E2379" s="171">
        <v>25.830000000000002</v>
      </c>
      <c r="F2379" s="171">
        <v>25.8</v>
      </c>
      <c r="G2379" s="171">
        <v>25.8</v>
      </c>
      <c r="H2379" s="171">
        <v>25.8</v>
      </c>
      <c r="I2379" s="171">
        <v>23.44</v>
      </c>
      <c r="J2379" s="171">
        <v>17.13</v>
      </c>
      <c r="K2379" s="171">
        <v>21.36</v>
      </c>
      <c r="L2379" s="171">
        <v>27.44</v>
      </c>
      <c r="M2379" s="171">
        <v>38.840000000000003</v>
      </c>
      <c r="N2379" s="171">
        <v>47.84</v>
      </c>
      <c r="O2379" s="171">
        <v>49.13</v>
      </c>
      <c r="P2379" s="171">
        <v>48</v>
      </c>
      <c r="Q2379" s="171">
        <v>42.44</v>
      </c>
      <c r="R2379" s="171">
        <v>44.94</v>
      </c>
      <c r="S2379" s="171">
        <v>40</v>
      </c>
      <c r="T2379" s="171">
        <v>37.74</v>
      </c>
      <c r="U2379" s="171">
        <v>48.1</v>
      </c>
      <c r="V2379" s="171">
        <v>66.39</v>
      </c>
      <c r="W2379" s="171">
        <v>50.03</v>
      </c>
      <c r="X2379" s="171">
        <v>47.660000000000004</v>
      </c>
      <c r="Y2379" s="171">
        <v>42.44</v>
      </c>
      <c r="Z2379" s="171">
        <v>29.6</v>
      </c>
      <c r="AA2379" s="171">
        <v>37.26</v>
      </c>
      <c r="AB2379" s="171">
        <v>32</v>
      </c>
      <c r="AC2379" s="171">
        <v>27.830000000000002</v>
      </c>
      <c r="AD2379" s="171">
        <v>46.76</v>
      </c>
      <c r="AF2379" s="171">
        <f t="shared" si="113"/>
        <v>2016</v>
      </c>
      <c r="AG2379" s="171">
        <f t="shared" si="114"/>
        <v>16</v>
      </c>
      <c r="AH2379" s="700">
        <f>SUMIF(D$3:$AA2379,"&lt;="&amp;$AH$1)/COUNTIF(D$3:$AA2379,"&lt;="&amp;$AH$1)</f>
        <v>31.198443105509217</v>
      </c>
    </row>
    <row r="2380" spans="2:34" x14ac:dyDescent="0.25">
      <c r="B2380" s="910">
        <v>42558</v>
      </c>
      <c r="C2380" s="581">
        <f t="shared" si="112"/>
        <v>7</v>
      </c>
      <c r="D2380" s="171">
        <v>34.369999999999997</v>
      </c>
      <c r="E2380" s="171">
        <v>29.09</v>
      </c>
      <c r="F2380" s="171">
        <v>27.19</v>
      </c>
      <c r="G2380" s="171">
        <v>25.7</v>
      </c>
      <c r="H2380" s="171">
        <v>22.11</v>
      </c>
      <c r="I2380" s="171">
        <v>22.98</v>
      </c>
      <c r="J2380" s="171">
        <v>23.740000000000002</v>
      </c>
      <c r="K2380" s="171">
        <v>30.6</v>
      </c>
      <c r="L2380" s="171">
        <v>34.28</v>
      </c>
      <c r="M2380" s="171">
        <v>36.39</v>
      </c>
      <c r="N2380" s="171">
        <v>38.86</v>
      </c>
      <c r="O2380" s="171">
        <v>40.980000000000004</v>
      </c>
      <c r="P2380" s="171">
        <v>44.94</v>
      </c>
      <c r="Q2380" s="171">
        <v>42.79</v>
      </c>
      <c r="R2380" s="171">
        <v>39.94</v>
      </c>
      <c r="S2380" s="171">
        <v>36.26</v>
      </c>
      <c r="T2380" s="171">
        <v>34.47</v>
      </c>
      <c r="U2380" s="171">
        <v>34.94</v>
      </c>
      <c r="V2380" s="171">
        <v>36</v>
      </c>
      <c r="W2380" s="171">
        <v>39.94</v>
      </c>
      <c r="X2380" s="171">
        <v>39.44</v>
      </c>
      <c r="Y2380" s="171">
        <v>37.910000000000004</v>
      </c>
      <c r="Z2380" s="171">
        <v>32.49</v>
      </c>
      <c r="AA2380" s="171">
        <v>36.53</v>
      </c>
      <c r="AB2380" s="171">
        <v>37.28</v>
      </c>
      <c r="AC2380" s="171">
        <v>29.990000000000002</v>
      </c>
      <c r="AD2380" s="171">
        <v>38.75</v>
      </c>
      <c r="AF2380" s="171">
        <f t="shared" si="113"/>
        <v>2016</v>
      </c>
      <c r="AG2380" s="171">
        <f t="shared" si="114"/>
        <v>22</v>
      </c>
      <c r="AH2380" s="700">
        <f>SUMIF(D$3:$AA2380,"&lt;="&amp;$AH$1)/COUNTIF(D$3:$AA2380,"&lt;="&amp;$AH$1)</f>
        <v>31.200641426207547</v>
      </c>
    </row>
    <row r="2381" spans="2:34" x14ac:dyDescent="0.25">
      <c r="B2381" s="910">
        <v>42559</v>
      </c>
      <c r="C2381" s="581">
        <f t="shared" si="112"/>
        <v>7</v>
      </c>
      <c r="D2381" s="171">
        <v>33.94</v>
      </c>
      <c r="E2381" s="171">
        <v>28.62</v>
      </c>
      <c r="F2381" s="171">
        <v>27.01</v>
      </c>
      <c r="G2381" s="171">
        <v>25.04</v>
      </c>
      <c r="H2381" s="171">
        <v>23.46</v>
      </c>
      <c r="I2381" s="171">
        <v>23.18</v>
      </c>
      <c r="J2381" s="171">
        <v>25.02</v>
      </c>
      <c r="K2381" s="171">
        <v>30</v>
      </c>
      <c r="L2381" s="171">
        <v>34.99</v>
      </c>
      <c r="M2381" s="171">
        <v>39.65</v>
      </c>
      <c r="N2381" s="171">
        <v>44</v>
      </c>
      <c r="O2381" s="171">
        <v>50.79</v>
      </c>
      <c r="P2381" s="171">
        <v>49.77</v>
      </c>
      <c r="Q2381" s="171">
        <v>47.04</v>
      </c>
      <c r="R2381" s="171">
        <v>44.5</v>
      </c>
      <c r="S2381" s="171">
        <v>38.6</v>
      </c>
      <c r="T2381" s="171">
        <v>34.67</v>
      </c>
      <c r="U2381" s="171">
        <v>26.94</v>
      </c>
      <c r="V2381" s="171">
        <v>27.38</v>
      </c>
      <c r="W2381" s="171">
        <v>28.54</v>
      </c>
      <c r="X2381" s="171">
        <v>29.79</v>
      </c>
      <c r="Y2381" s="171">
        <v>28.1</v>
      </c>
      <c r="Z2381" s="171">
        <v>26.91</v>
      </c>
      <c r="AA2381" s="171">
        <v>36.26</v>
      </c>
      <c r="AB2381" s="171">
        <v>44.36</v>
      </c>
      <c r="AC2381" s="171">
        <v>29.41</v>
      </c>
      <c r="AD2381" s="171">
        <v>38.47</v>
      </c>
      <c r="AF2381" s="171">
        <f t="shared" si="113"/>
        <v>2016</v>
      </c>
      <c r="AG2381" s="171">
        <f t="shared" si="114"/>
        <v>19</v>
      </c>
      <c r="AH2381" s="700">
        <f>SUMIF(D$3:$AA2381,"&lt;="&amp;$AH$1)/COUNTIF(D$3:$AA2381,"&lt;="&amp;$AH$1)</f>
        <v>31.199506954964015</v>
      </c>
    </row>
    <row r="2382" spans="2:34" x14ac:dyDescent="0.25">
      <c r="B2382" s="910">
        <v>42562</v>
      </c>
      <c r="C2382" s="581">
        <f t="shared" si="112"/>
        <v>7</v>
      </c>
      <c r="D2382" s="171">
        <v>32.15</v>
      </c>
      <c r="E2382" s="171">
        <v>37.44</v>
      </c>
      <c r="F2382" s="171">
        <v>26.27</v>
      </c>
      <c r="G2382" s="171">
        <v>23.72</v>
      </c>
      <c r="H2382" s="171">
        <v>19.96</v>
      </c>
      <c r="I2382" s="171">
        <v>19.77</v>
      </c>
      <c r="J2382" s="171">
        <v>22.1</v>
      </c>
      <c r="K2382" s="171">
        <v>27.67</v>
      </c>
      <c r="L2382" s="171">
        <v>32.03</v>
      </c>
      <c r="M2382" s="171">
        <v>32.94</v>
      </c>
      <c r="N2382" s="171">
        <v>36.71</v>
      </c>
      <c r="O2382" s="171">
        <v>33.619999999999997</v>
      </c>
      <c r="P2382" s="171">
        <v>40.950000000000003</v>
      </c>
      <c r="Q2382" s="171">
        <v>38.67</v>
      </c>
      <c r="R2382" s="171">
        <v>36.97</v>
      </c>
      <c r="S2382" s="171">
        <v>34.86</v>
      </c>
      <c r="T2382" s="171">
        <v>32.61</v>
      </c>
      <c r="U2382" s="171">
        <v>30.61</v>
      </c>
      <c r="V2382" s="171">
        <v>27.44</v>
      </c>
      <c r="W2382" s="171">
        <v>34.700000000000003</v>
      </c>
      <c r="X2382" s="171">
        <v>37.11</v>
      </c>
      <c r="Y2382" s="171">
        <v>31.48</v>
      </c>
      <c r="Z2382" s="171">
        <v>30.02</v>
      </c>
      <c r="AA2382" s="171">
        <v>41.31</v>
      </c>
      <c r="AB2382" s="171">
        <v>42.730000000000004</v>
      </c>
      <c r="AC2382" s="171">
        <v>29.54</v>
      </c>
      <c r="AD2382" s="171">
        <v>34.770000000000003</v>
      </c>
      <c r="AF2382" s="171">
        <f t="shared" si="113"/>
        <v>2016</v>
      </c>
      <c r="AG2382" s="171">
        <f t="shared" si="114"/>
        <v>24</v>
      </c>
      <c r="AH2382" s="700">
        <f>SUMIF(D$3:$AA2382,"&lt;="&amp;$AH$1)/COUNTIF(D$3:$AA2382,"&lt;="&amp;$AH$1)</f>
        <v>31.200071995230012</v>
      </c>
    </row>
    <row r="2383" spans="2:34" x14ac:dyDescent="0.25">
      <c r="B2383" s="910">
        <v>42563</v>
      </c>
      <c r="C2383" s="581">
        <f t="shared" si="112"/>
        <v>7</v>
      </c>
      <c r="D2383" s="171">
        <v>38</v>
      </c>
      <c r="E2383" s="171">
        <v>36.78</v>
      </c>
      <c r="F2383" s="171">
        <v>26.61</v>
      </c>
      <c r="G2383" s="171">
        <v>26.310000000000002</v>
      </c>
      <c r="H2383" s="171">
        <v>22.59</v>
      </c>
      <c r="I2383" s="171">
        <v>22.580000000000002</v>
      </c>
      <c r="J2383" s="171">
        <v>24.51</v>
      </c>
      <c r="K2383" s="171">
        <v>28.53</v>
      </c>
      <c r="L2383" s="171">
        <v>37.31</v>
      </c>
      <c r="M2383" s="171">
        <v>36.25</v>
      </c>
      <c r="N2383" s="171">
        <v>50</v>
      </c>
      <c r="O2383" s="171">
        <v>50.03</v>
      </c>
      <c r="P2383" s="171">
        <v>55.51</v>
      </c>
      <c r="Q2383" s="171">
        <v>52.19</v>
      </c>
      <c r="R2383" s="171">
        <v>49.92</v>
      </c>
      <c r="S2383" s="171">
        <v>45.2</v>
      </c>
      <c r="T2383" s="171">
        <v>35.050000000000004</v>
      </c>
      <c r="U2383" s="171">
        <v>36</v>
      </c>
      <c r="V2383" s="171">
        <v>39.9</v>
      </c>
      <c r="W2383" s="171">
        <v>45.5</v>
      </c>
      <c r="X2383" s="171">
        <v>46.77</v>
      </c>
      <c r="Y2383" s="171">
        <v>33.06</v>
      </c>
      <c r="Z2383" s="171">
        <v>33.67</v>
      </c>
      <c r="AA2383" s="171">
        <v>37.880000000000003</v>
      </c>
      <c r="AB2383" s="171">
        <v>39.94</v>
      </c>
      <c r="AC2383" s="171">
        <v>30.810000000000002</v>
      </c>
      <c r="AD2383" s="171">
        <v>45.19</v>
      </c>
      <c r="AF2383" s="171">
        <f t="shared" si="113"/>
        <v>2016</v>
      </c>
      <c r="AG2383" s="171">
        <f t="shared" si="114"/>
        <v>16</v>
      </c>
      <c r="AH2383" s="700">
        <f>SUMIF(D$3:$AA2383,"&lt;="&amp;$AH$1)/COUNTIF(D$3:$AA2383,"&lt;="&amp;$AH$1)</f>
        <v>31.200797323923435</v>
      </c>
    </row>
    <row r="2384" spans="2:34" x14ac:dyDescent="0.25">
      <c r="B2384" s="910">
        <v>42564</v>
      </c>
      <c r="C2384" s="581">
        <f t="shared" si="112"/>
        <v>7</v>
      </c>
      <c r="D2384" s="171">
        <v>35.75</v>
      </c>
      <c r="E2384" s="171">
        <v>27.95</v>
      </c>
      <c r="F2384" s="171">
        <v>27.16</v>
      </c>
      <c r="G2384" s="171">
        <v>26.05</v>
      </c>
      <c r="H2384" s="171">
        <v>25</v>
      </c>
      <c r="I2384" s="171">
        <v>25.1</v>
      </c>
      <c r="J2384" s="171">
        <v>26.18</v>
      </c>
      <c r="K2384" s="171">
        <v>31.85</v>
      </c>
      <c r="L2384" s="171">
        <v>34.94</v>
      </c>
      <c r="M2384" s="171">
        <v>40.42</v>
      </c>
      <c r="N2384" s="171">
        <v>50.35</v>
      </c>
      <c r="O2384" s="171">
        <v>52.84</v>
      </c>
      <c r="P2384" s="171">
        <v>51.02</v>
      </c>
      <c r="Q2384" s="171">
        <v>48.03</v>
      </c>
      <c r="R2384" s="171">
        <v>43.57</v>
      </c>
      <c r="S2384" s="171">
        <v>39.57</v>
      </c>
      <c r="T2384" s="171">
        <v>34.590000000000003</v>
      </c>
      <c r="U2384" s="171">
        <v>31.94</v>
      </c>
      <c r="V2384" s="171">
        <v>32.94</v>
      </c>
      <c r="W2384" s="171">
        <v>34.22</v>
      </c>
      <c r="X2384" s="171">
        <v>35.06</v>
      </c>
      <c r="Y2384" s="171">
        <v>33.01</v>
      </c>
      <c r="Z2384" s="171">
        <v>30.810000000000002</v>
      </c>
      <c r="AA2384" s="171">
        <v>39</v>
      </c>
      <c r="AB2384" s="171">
        <v>36.47</v>
      </c>
      <c r="AC2384" s="171">
        <v>30.29</v>
      </c>
      <c r="AD2384" s="171">
        <v>41.21</v>
      </c>
      <c r="AF2384" s="171">
        <f t="shared" si="113"/>
        <v>2016</v>
      </c>
      <c r="AG2384" s="171">
        <f t="shared" si="114"/>
        <v>19</v>
      </c>
      <c r="AH2384" s="700">
        <f>SUMIF(D$3:$AA2384,"&lt;="&amp;$AH$1)/COUNTIF(D$3:$AA2384,"&lt;="&amp;$AH$1)</f>
        <v>31.201654610382796</v>
      </c>
    </row>
    <row r="2385" spans="2:34" x14ac:dyDescent="0.25">
      <c r="B2385" s="910">
        <v>42565</v>
      </c>
      <c r="C2385" s="581">
        <f t="shared" si="112"/>
        <v>7</v>
      </c>
      <c r="D2385" s="171">
        <v>31.52</v>
      </c>
      <c r="E2385" s="171">
        <v>43.69</v>
      </c>
      <c r="F2385" s="171">
        <v>39.49</v>
      </c>
      <c r="G2385" s="171">
        <v>33.24</v>
      </c>
      <c r="H2385" s="171">
        <v>22.55</v>
      </c>
      <c r="I2385" s="171">
        <v>22</v>
      </c>
      <c r="J2385" s="171">
        <v>22.52</v>
      </c>
      <c r="K2385" s="171">
        <v>24.060000000000002</v>
      </c>
      <c r="L2385" s="171">
        <v>29.42</v>
      </c>
      <c r="M2385" s="171">
        <v>32.049999999999997</v>
      </c>
      <c r="N2385" s="171">
        <v>40.300000000000004</v>
      </c>
      <c r="O2385" s="171">
        <v>40.300000000000004</v>
      </c>
      <c r="P2385" s="171">
        <v>37.44</v>
      </c>
      <c r="Q2385" s="171">
        <v>34.94</v>
      </c>
      <c r="R2385" s="171">
        <v>26</v>
      </c>
      <c r="S2385" s="171">
        <v>25.61</v>
      </c>
      <c r="T2385" s="171">
        <v>25.7</v>
      </c>
      <c r="U2385" s="171">
        <v>25.7</v>
      </c>
      <c r="V2385" s="171">
        <v>25.7</v>
      </c>
      <c r="W2385" s="171">
        <v>26.52</v>
      </c>
      <c r="X2385" s="171">
        <v>28.95</v>
      </c>
      <c r="Y2385" s="171">
        <v>33.39</v>
      </c>
      <c r="Z2385" s="171">
        <v>31.46</v>
      </c>
      <c r="AA2385" s="171">
        <v>41.86</v>
      </c>
      <c r="AB2385" s="171">
        <v>43.7</v>
      </c>
      <c r="AC2385" s="171">
        <v>32.28</v>
      </c>
      <c r="AD2385" s="171">
        <v>30.77</v>
      </c>
      <c r="AF2385" s="171">
        <f t="shared" si="113"/>
        <v>2016</v>
      </c>
      <c r="AG2385" s="171">
        <f t="shared" si="114"/>
        <v>23</v>
      </c>
      <c r="AH2385" s="700">
        <f>SUMIF(D$3:$AA2385,"&lt;="&amp;$AH$1)/COUNTIF(D$3:$AA2385,"&lt;="&amp;$AH$1)</f>
        <v>31.200880859820764</v>
      </c>
    </row>
    <row r="2386" spans="2:34" x14ac:dyDescent="0.25">
      <c r="B2386" s="910">
        <v>42566</v>
      </c>
      <c r="C2386" s="581">
        <f t="shared" si="112"/>
        <v>7</v>
      </c>
      <c r="D2386" s="171">
        <v>31.310000000000002</v>
      </c>
      <c r="E2386" s="171">
        <v>26.580000000000002</v>
      </c>
      <c r="F2386" s="171">
        <v>25.150000000000002</v>
      </c>
      <c r="G2386" s="171">
        <v>24.6</v>
      </c>
      <c r="H2386" s="171">
        <v>21.55</v>
      </c>
      <c r="I2386" s="171">
        <v>20.94</v>
      </c>
      <c r="J2386" s="171">
        <v>23.490000000000002</v>
      </c>
      <c r="K2386" s="171">
        <v>23.44</v>
      </c>
      <c r="L2386" s="171">
        <v>29.080000000000002</v>
      </c>
      <c r="M2386" s="171">
        <v>30.080000000000002</v>
      </c>
      <c r="N2386" s="171">
        <v>33.15</v>
      </c>
      <c r="O2386" s="171">
        <v>36.96</v>
      </c>
      <c r="P2386" s="171">
        <v>39.94</v>
      </c>
      <c r="Q2386" s="171">
        <v>40.4</v>
      </c>
      <c r="R2386" s="171">
        <v>40.4</v>
      </c>
      <c r="S2386" s="171">
        <v>40.4</v>
      </c>
      <c r="T2386" s="171">
        <v>40.4</v>
      </c>
      <c r="U2386" s="171">
        <v>24.66</v>
      </c>
      <c r="V2386" s="171">
        <v>27.71</v>
      </c>
      <c r="W2386" s="171">
        <v>31.92</v>
      </c>
      <c r="X2386" s="171">
        <v>34.67</v>
      </c>
      <c r="Y2386" s="171">
        <v>32.730000000000004</v>
      </c>
      <c r="Z2386" s="171">
        <v>32.25</v>
      </c>
      <c r="AA2386" s="171">
        <v>34.94</v>
      </c>
      <c r="AB2386" s="171">
        <v>35.980000000000004</v>
      </c>
      <c r="AC2386" s="171">
        <v>27.560000000000002</v>
      </c>
      <c r="AD2386" s="171">
        <v>35.06</v>
      </c>
      <c r="AF2386" s="171">
        <f t="shared" si="113"/>
        <v>2016</v>
      </c>
      <c r="AG2386" s="171">
        <f t="shared" si="114"/>
        <v>24</v>
      </c>
      <c r="AH2386" s="700">
        <f>SUMIF(D$3:$AA2386,"&lt;="&amp;$AH$1)/COUNTIF(D$3:$AA2386,"&lt;="&amp;$AH$1)</f>
        <v>31.200786239662886</v>
      </c>
    </row>
    <row r="2387" spans="2:34" x14ac:dyDescent="0.25">
      <c r="B2387" s="910">
        <v>42569</v>
      </c>
      <c r="C2387" s="581">
        <f t="shared" si="112"/>
        <v>7</v>
      </c>
      <c r="D2387" s="171">
        <v>36.369999999999997</v>
      </c>
      <c r="E2387" s="171">
        <v>39.090000000000003</v>
      </c>
      <c r="F2387" s="171">
        <v>32.93</v>
      </c>
      <c r="G2387" s="171">
        <v>24.75</v>
      </c>
      <c r="H2387" s="171">
        <v>22.66</v>
      </c>
      <c r="I2387" s="171">
        <v>23.02</v>
      </c>
      <c r="J2387" s="171">
        <v>24.6</v>
      </c>
      <c r="K2387" s="171">
        <v>28.82</v>
      </c>
      <c r="L2387" s="171">
        <v>33.090000000000003</v>
      </c>
      <c r="M2387" s="171">
        <v>35.39</v>
      </c>
      <c r="N2387" s="171">
        <v>38.700000000000003</v>
      </c>
      <c r="O2387" s="171">
        <v>46.67</v>
      </c>
      <c r="P2387" s="171">
        <v>34.94</v>
      </c>
      <c r="Q2387" s="171">
        <v>43.92</v>
      </c>
      <c r="R2387" s="171">
        <v>39.39</v>
      </c>
      <c r="S2387" s="171">
        <v>35</v>
      </c>
      <c r="T2387" s="171">
        <v>43.83</v>
      </c>
      <c r="U2387" s="171">
        <v>44.03</v>
      </c>
      <c r="V2387" s="171">
        <v>48.78</v>
      </c>
      <c r="W2387" s="171">
        <v>48.95</v>
      </c>
      <c r="X2387" s="171">
        <v>39.39</v>
      </c>
      <c r="Y2387" s="171">
        <v>40</v>
      </c>
      <c r="Z2387" s="171">
        <v>38.61</v>
      </c>
      <c r="AA2387" s="171">
        <v>35.9</v>
      </c>
      <c r="AB2387" s="171">
        <v>30.45</v>
      </c>
      <c r="AC2387" s="171">
        <v>31.16</v>
      </c>
      <c r="AD2387" s="171">
        <v>41.58</v>
      </c>
      <c r="AF2387" s="171">
        <f t="shared" si="113"/>
        <v>2016</v>
      </c>
      <c r="AG2387" s="171">
        <f t="shared" si="114"/>
        <v>18</v>
      </c>
      <c r="AH2387" s="700">
        <f>SUMIF(D$3:$AA2387,"&lt;="&amp;$AH$1)/COUNTIF(D$3:$AA2387,"&lt;="&amp;$AH$1)</f>
        <v>31.20265942392755</v>
      </c>
    </row>
    <row r="2388" spans="2:34" x14ac:dyDescent="0.25">
      <c r="B2388" s="910">
        <v>42570</v>
      </c>
      <c r="C2388" s="581">
        <f t="shared" si="112"/>
        <v>7</v>
      </c>
      <c r="D2388" s="171">
        <v>37.72</v>
      </c>
      <c r="E2388" s="171">
        <v>27.59</v>
      </c>
      <c r="F2388" s="171">
        <v>27.09</v>
      </c>
      <c r="G2388" s="171">
        <v>26.41</v>
      </c>
      <c r="H2388" s="171">
        <v>25.89</v>
      </c>
      <c r="I2388" s="171">
        <v>25.61</v>
      </c>
      <c r="J2388" s="171">
        <v>26.14</v>
      </c>
      <c r="K2388" s="171">
        <v>31</v>
      </c>
      <c r="L2388" s="171">
        <v>36.99</v>
      </c>
      <c r="M2388" s="171">
        <v>40.01</v>
      </c>
      <c r="N2388" s="171">
        <v>40.25</v>
      </c>
      <c r="O2388" s="171">
        <v>54</v>
      </c>
      <c r="P2388" s="171">
        <v>50.03</v>
      </c>
      <c r="Q2388" s="171">
        <v>44.85</v>
      </c>
      <c r="R2388" s="171">
        <v>45.33</v>
      </c>
      <c r="S2388" s="171">
        <v>43.53</v>
      </c>
      <c r="T2388" s="171">
        <v>41.7</v>
      </c>
      <c r="U2388" s="171">
        <v>50.92</v>
      </c>
      <c r="V2388" s="171">
        <v>50.03</v>
      </c>
      <c r="W2388" s="171">
        <v>45</v>
      </c>
      <c r="X2388" s="171">
        <v>44</v>
      </c>
      <c r="Y2388" s="171">
        <v>37.03</v>
      </c>
      <c r="Z2388" s="171">
        <v>36.35</v>
      </c>
      <c r="AA2388" s="171">
        <v>30.12</v>
      </c>
      <c r="AB2388" s="171">
        <v>25.45</v>
      </c>
      <c r="AC2388" s="171">
        <v>29.64</v>
      </c>
      <c r="AD2388" s="171">
        <v>45.800000000000004</v>
      </c>
      <c r="AF2388" s="171">
        <f t="shared" si="113"/>
        <v>2016</v>
      </c>
      <c r="AG2388" s="171">
        <f t="shared" si="114"/>
        <v>15</v>
      </c>
      <c r="AH2388" s="700">
        <f>SUMIF(D$3:$AA2388,"&lt;="&amp;$AH$1)/COUNTIF(D$3:$AA2388,"&lt;="&amp;$AH$1)</f>
        <v>31.203656600674243</v>
      </c>
    </row>
    <row r="2389" spans="2:34" x14ac:dyDescent="0.25">
      <c r="B2389" s="910">
        <v>42571</v>
      </c>
      <c r="C2389" s="581">
        <f t="shared" si="112"/>
        <v>7</v>
      </c>
      <c r="D2389" s="171">
        <v>39.28</v>
      </c>
      <c r="E2389" s="171">
        <v>28.01</v>
      </c>
      <c r="F2389" s="171">
        <v>26.32</v>
      </c>
      <c r="G2389" s="171">
        <v>25.1</v>
      </c>
      <c r="H2389" s="171">
        <v>24.79</v>
      </c>
      <c r="I2389" s="171">
        <v>24.830000000000002</v>
      </c>
      <c r="J2389" s="171">
        <v>25.85</v>
      </c>
      <c r="K2389" s="171">
        <v>29.35</v>
      </c>
      <c r="L2389" s="171">
        <v>33.520000000000003</v>
      </c>
      <c r="M2389" s="171">
        <v>38.82</v>
      </c>
      <c r="N2389" s="171">
        <v>50.85</v>
      </c>
      <c r="O2389" s="171">
        <v>56.07</v>
      </c>
      <c r="P2389" s="171">
        <v>52.99</v>
      </c>
      <c r="Q2389" s="171">
        <v>50.99</v>
      </c>
      <c r="R2389" s="171">
        <v>45.25</v>
      </c>
      <c r="S2389" s="171">
        <v>45.49</v>
      </c>
      <c r="T2389" s="171">
        <v>45.18</v>
      </c>
      <c r="U2389" s="171">
        <v>46.97</v>
      </c>
      <c r="V2389" s="171">
        <v>53.74</v>
      </c>
      <c r="W2389" s="171">
        <v>53.230000000000004</v>
      </c>
      <c r="X2389" s="171">
        <v>48.53</v>
      </c>
      <c r="Y2389" s="171">
        <v>39.94</v>
      </c>
      <c r="Z2389" s="171">
        <v>31.96</v>
      </c>
      <c r="AA2389" s="171">
        <v>28.94</v>
      </c>
      <c r="AB2389" s="171">
        <v>35.880000000000003</v>
      </c>
      <c r="AC2389" s="171">
        <v>29.54</v>
      </c>
      <c r="AD2389" s="171">
        <v>49.01</v>
      </c>
      <c r="AF2389" s="171">
        <f t="shared" si="113"/>
        <v>2016</v>
      </c>
      <c r="AG2389" s="171">
        <f t="shared" si="114"/>
        <v>13</v>
      </c>
      <c r="AH2389" s="700">
        <f>SUMIF(D$3:$AA2389,"&lt;="&amp;$AH$1)/COUNTIF(D$3:$AA2389,"&lt;="&amp;$AH$1)</f>
        <v>31.203249145200843</v>
      </c>
    </row>
    <row r="2390" spans="2:34" x14ac:dyDescent="0.25">
      <c r="B2390" s="910">
        <v>42572</v>
      </c>
      <c r="C2390" s="581">
        <f t="shared" si="112"/>
        <v>7</v>
      </c>
      <c r="D2390" s="171">
        <v>39.75</v>
      </c>
      <c r="E2390" s="171">
        <v>42.65</v>
      </c>
      <c r="F2390" s="171">
        <v>26.46</v>
      </c>
      <c r="G2390" s="171">
        <v>25.900000000000002</v>
      </c>
      <c r="H2390" s="171">
        <v>25.52</v>
      </c>
      <c r="I2390" s="171">
        <v>25.55</v>
      </c>
      <c r="J2390" s="171">
        <v>27.490000000000002</v>
      </c>
      <c r="K2390" s="171">
        <v>32.840000000000003</v>
      </c>
      <c r="L2390" s="171">
        <v>36.61</v>
      </c>
      <c r="M2390" s="171">
        <v>39.160000000000004</v>
      </c>
      <c r="N2390" s="171">
        <v>52.44</v>
      </c>
      <c r="O2390" s="171">
        <v>52.17</v>
      </c>
      <c r="P2390" s="171">
        <v>49.65</v>
      </c>
      <c r="Q2390" s="171">
        <v>50.03</v>
      </c>
      <c r="R2390" s="171">
        <v>48.79</v>
      </c>
      <c r="S2390" s="171">
        <v>46.79</v>
      </c>
      <c r="T2390" s="171">
        <v>44.68</v>
      </c>
      <c r="U2390" s="171">
        <v>44.800000000000004</v>
      </c>
      <c r="V2390" s="171">
        <v>50.120000000000005</v>
      </c>
      <c r="W2390" s="171">
        <v>55</v>
      </c>
      <c r="X2390" s="171">
        <v>39.94</v>
      </c>
      <c r="Y2390" s="171">
        <v>35.950000000000003</v>
      </c>
      <c r="Z2390" s="171">
        <v>36.18</v>
      </c>
      <c r="AA2390" s="171">
        <v>34.22</v>
      </c>
      <c r="AB2390" s="171">
        <v>31.14</v>
      </c>
      <c r="AC2390" s="171">
        <v>31.71</v>
      </c>
      <c r="AD2390" s="171">
        <v>47.800000000000004</v>
      </c>
      <c r="AF2390" s="171">
        <f t="shared" si="113"/>
        <v>2016</v>
      </c>
      <c r="AG2390" s="171">
        <f t="shared" si="114"/>
        <v>13</v>
      </c>
      <c r="AH2390" s="700">
        <f>SUMIF(D$3:$AA2390,"&lt;="&amp;$AH$1)/COUNTIF(D$3:$AA2390,"&lt;="&amp;$AH$1)</f>
        <v>31.20415709859579</v>
      </c>
    </row>
    <row r="2391" spans="2:34" x14ac:dyDescent="0.25">
      <c r="B2391" s="910">
        <v>42573</v>
      </c>
      <c r="C2391" s="581">
        <f t="shared" si="112"/>
        <v>7</v>
      </c>
      <c r="D2391" s="171">
        <v>40.22</v>
      </c>
      <c r="E2391" s="171">
        <v>29.26</v>
      </c>
      <c r="F2391" s="171">
        <v>27.240000000000002</v>
      </c>
      <c r="G2391" s="171">
        <v>27.1</v>
      </c>
      <c r="H2391" s="171">
        <v>26.560000000000002</v>
      </c>
      <c r="I2391" s="171">
        <v>26.5</v>
      </c>
      <c r="J2391" s="171">
        <v>28.060000000000002</v>
      </c>
      <c r="K2391" s="171">
        <v>32.36</v>
      </c>
      <c r="L2391" s="171">
        <v>35.99</v>
      </c>
      <c r="M2391" s="171">
        <v>43.58</v>
      </c>
      <c r="N2391" s="171">
        <v>55</v>
      </c>
      <c r="O2391" s="171">
        <v>58.1</v>
      </c>
      <c r="P2391" s="171">
        <v>58.71</v>
      </c>
      <c r="Q2391" s="171">
        <v>59.550000000000004</v>
      </c>
      <c r="R2391" s="171">
        <v>57.980000000000004</v>
      </c>
      <c r="S2391" s="171">
        <v>54.7</v>
      </c>
      <c r="T2391" s="171">
        <v>43.08</v>
      </c>
      <c r="U2391" s="171">
        <v>42.45</v>
      </c>
      <c r="V2391" s="171">
        <v>42.4</v>
      </c>
      <c r="W2391" s="171">
        <v>43.81</v>
      </c>
      <c r="X2391" s="171">
        <v>40.5</v>
      </c>
      <c r="Y2391" s="171">
        <v>33.26</v>
      </c>
      <c r="Z2391" s="171">
        <v>31.970000000000002</v>
      </c>
      <c r="AA2391" s="171">
        <v>36.869999999999997</v>
      </c>
      <c r="AB2391" s="171">
        <v>30.27</v>
      </c>
      <c r="AC2391" s="171">
        <v>30.45</v>
      </c>
      <c r="AD2391" s="171">
        <v>49.99</v>
      </c>
      <c r="AF2391" s="171">
        <f t="shared" si="113"/>
        <v>2016</v>
      </c>
      <c r="AG2391" s="171">
        <f t="shared" si="114"/>
        <v>15</v>
      </c>
      <c r="AH2391" s="700">
        <f>SUMIF(D$3:$AA2391,"&lt;="&amp;$AH$1)/COUNTIF(D$3:$AA2391,"&lt;="&amp;$AH$1)</f>
        <v>31.205644948321286</v>
      </c>
    </row>
    <row r="2392" spans="2:34" x14ac:dyDescent="0.25">
      <c r="B2392" s="910">
        <v>42576</v>
      </c>
      <c r="C2392" s="581">
        <f t="shared" si="112"/>
        <v>7</v>
      </c>
      <c r="D2392" s="171">
        <v>36.6</v>
      </c>
      <c r="E2392" s="171">
        <v>40.770000000000003</v>
      </c>
      <c r="F2392" s="171">
        <v>27.32</v>
      </c>
      <c r="G2392" s="171">
        <v>26.32</v>
      </c>
      <c r="H2392" s="171">
        <v>25.93</v>
      </c>
      <c r="I2392" s="171">
        <v>25.92</v>
      </c>
      <c r="J2392" s="171">
        <v>27.8</v>
      </c>
      <c r="K2392" s="171">
        <v>35</v>
      </c>
      <c r="L2392" s="171">
        <v>38.08</v>
      </c>
      <c r="M2392" s="171">
        <v>39.520000000000003</v>
      </c>
      <c r="N2392" s="171">
        <v>44.17</v>
      </c>
      <c r="O2392" s="171">
        <v>47.44</v>
      </c>
      <c r="P2392" s="171">
        <v>47.68</v>
      </c>
      <c r="Q2392" s="171">
        <v>46.49</v>
      </c>
      <c r="R2392" s="171">
        <v>45.17</v>
      </c>
      <c r="S2392" s="171">
        <v>43.75</v>
      </c>
      <c r="T2392" s="171">
        <v>37.5</v>
      </c>
      <c r="U2392" s="171">
        <v>33.32</v>
      </c>
      <c r="V2392" s="171">
        <v>35.18</v>
      </c>
      <c r="W2392" s="171">
        <v>35.99</v>
      </c>
      <c r="X2392" s="171">
        <v>36.590000000000003</v>
      </c>
      <c r="Y2392" s="171">
        <v>36.47</v>
      </c>
      <c r="Z2392" s="171">
        <v>36.08</v>
      </c>
      <c r="AA2392" s="171">
        <v>35.47</v>
      </c>
      <c r="AB2392" s="171">
        <v>30.48</v>
      </c>
      <c r="AC2392" s="171">
        <v>32.14</v>
      </c>
      <c r="AD2392" s="171">
        <v>41.07</v>
      </c>
      <c r="AF2392" s="171">
        <f t="shared" si="113"/>
        <v>2016</v>
      </c>
      <c r="AG2392" s="171">
        <f t="shared" si="114"/>
        <v>18</v>
      </c>
      <c r="AH2392" s="700">
        <f>SUMIF(D$3:$AA2392,"&lt;="&amp;$AH$1)/COUNTIF(D$3:$AA2392,"&lt;="&amp;$AH$1)</f>
        <v>31.207835858240312</v>
      </c>
    </row>
    <row r="2393" spans="2:34" x14ac:dyDescent="0.25">
      <c r="B2393" s="910">
        <v>42577</v>
      </c>
      <c r="C2393" s="581">
        <f t="shared" si="112"/>
        <v>7</v>
      </c>
      <c r="D2393" s="171">
        <v>36.910000000000004</v>
      </c>
      <c r="E2393" s="171">
        <v>27.98</v>
      </c>
      <c r="F2393" s="171">
        <v>27.5</v>
      </c>
      <c r="G2393" s="171">
        <v>26.38</v>
      </c>
      <c r="H2393" s="171">
        <v>25.88</v>
      </c>
      <c r="I2393" s="171">
        <v>25.91</v>
      </c>
      <c r="J2393" s="171">
        <v>26.53</v>
      </c>
      <c r="K2393" s="171">
        <v>30.970000000000002</v>
      </c>
      <c r="L2393" s="171">
        <v>35.9</v>
      </c>
      <c r="M2393" s="171">
        <v>39.160000000000004</v>
      </c>
      <c r="N2393" s="171">
        <v>47.800000000000004</v>
      </c>
      <c r="O2393" s="171">
        <v>44.94</v>
      </c>
      <c r="P2393" s="171">
        <v>48.15</v>
      </c>
      <c r="Q2393" s="171">
        <v>44.82</v>
      </c>
      <c r="R2393" s="171">
        <v>43.33</v>
      </c>
      <c r="S2393" s="171">
        <v>42.67</v>
      </c>
      <c r="T2393" s="171">
        <v>40.020000000000003</v>
      </c>
      <c r="U2393" s="171">
        <v>40.49</v>
      </c>
      <c r="V2393" s="171">
        <v>42.38</v>
      </c>
      <c r="W2393" s="171">
        <v>41.71</v>
      </c>
      <c r="X2393" s="171">
        <v>40</v>
      </c>
      <c r="Y2393" s="171">
        <v>37.28</v>
      </c>
      <c r="Z2393" s="171">
        <v>36.54</v>
      </c>
      <c r="AA2393" s="171">
        <v>35.81</v>
      </c>
      <c r="AB2393" s="171">
        <v>33.799999999999997</v>
      </c>
      <c r="AC2393" s="171">
        <v>30.87</v>
      </c>
      <c r="AD2393" s="171">
        <v>42.96</v>
      </c>
      <c r="AF2393" s="171">
        <f t="shared" si="113"/>
        <v>2016</v>
      </c>
      <c r="AG2393" s="171">
        <f t="shared" si="114"/>
        <v>18</v>
      </c>
      <c r="AH2393" s="700">
        <f>SUMIF(D$3:$AA2393,"&lt;="&amp;$AH$1)/COUNTIF(D$3:$AA2393,"&lt;="&amp;$AH$1)</f>
        <v>31.210363652892426</v>
      </c>
    </row>
    <row r="2394" spans="2:34" x14ac:dyDescent="0.25">
      <c r="B2394" s="910">
        <v>42578</v>
      </c>
      <c r="C2394" s="581">
        <f t="shared" si="112"/>
        <v>7</v>
      </c>
      <c r="D2394" s="171">
        <v>34.53</v>
      </c>
      <c r="E2394" s="171">
        <v>28.14</v>
      </c>
      <c r="F2394" s="171">
        <v>27.61</v>
      </c>
      <c r="G2394" s="171">
        <v>26.53</v>
      </c>
      <c r="H2394" s="171">
        <v>25.87</v>
      </c>
      <c r="I2394" s="171">
        <v>26</v>
      </c>
      <c r="J2394" s="171">
        <v>26.63</v>
      </c>
      <c r="K2394" s="171">
        <v>31.53</v>
      </c>
      <c r="L2394" s="171">
        <v>36.43</v>
      </c>
      <c r="M2394" s="171">
        <v>39.11</v>
      </c>
      <c r="N2394" s="171">
        <v>40.67</v>
      </c>
      <c r="O2394" s="171">
        <v>40.92</v>
      </c>
      <c r="P2394" s="171">
        <v>41.25</v>
      </c>
      <c r="Q2394" s="171">
        <v>39.94</v>
      </c>
      <c r="R2394" s="171">
        <v>36.53</v>
      </c>
      <c r="S2394" s="171">
        <v>41.89</v>
      </c>
      <c r="T2394" s="171">
        <v>39.07</v>
      </c>
      <c r="U2394" s="171">
        <v>32.700000000000003</v>
      </c>
      <c r="V2394" s="171">
        <v>33.15</v>
      </c>
      <c r="W2394" s="171">
        <v>35.97</v>
      </c>
      <c r="X2394" s="171">
        <v>36.61</v>
      </c>
      <c r="Y2394" s="171">
        <v>36.369999999999997</v>
      </c>
      <c r="Z2394" s="171">
        <v>35.56</v>
      </c>
      <c r="AA2394" s="171">
        <v>40.200000000000003</v>
      </c>
      <c r="AB2394" s="171">
        <v>29.94</v>
      </c>
      <c r="AC2394" s="171">
        <v>30.900000000000002</v>
      </c>
      <c r="AD2394" s="171">
        <v>38.15</v>
      </c>
      <c r="AF2394" s="171">
        <f t="shared" si="113"/>
        <v>2016</v>
      </c>
      <c r="AG2394" s="171">
        <f t="shared" si="114"/>
        <v>24</v>
      </c>
      <c r="AH2394" s="700">
        <f>SUMIF(D$3:$AA2394,"&lt;="&amp;$AH$1)/COUNTIF(D$3:$AA2394,"&lt;="&amp;$AH$1)</f>
        <v>31.214185170048612</v>
      </c>
    </row>
    <row r="2395" spans="2:34" x14ac:dyDescent="0.25">
      <c r="B2395" s="910">
        <v>42579</v>
      </c>
      <c r="C2395" s="581">
        <f t="shared" si="112"/>
        <v>7</v>
      </c>
      <c r="D2395" s="171">
        <v>35.07</v>
      </c>
      <c r="E2395" s="171">
        <v>26.900000000000002</v>
      </c>
      <c r="F2395" s="171">
        <v>26.39</v>
      </c>
      <c r="G2395" s="171">
        <v>25.8</v>
      </c>
      <c r="H2395" s="171">
        <v>25.29</v>
      </c>
      <c r="I2395" s="171">
        <v>25.26</v>
      </c>
      <c r="J2395" s="171">
        <v>26.39</v>
      </c>
      <c r="K2395" s="171">
        <v>29.92</v>
      </c>
      <c r="L2395" s="171">
        <v>34.910000000000004</v>
      </c>
      <c r="M2395" s="171">
        <v>36.94</v>
      </c>
      <c r="N2395" s="171">
        <v>41.07</v>
      </c>
      <c r="O2395" s="171">
        <v>53.25</v>
      </c>
      <c r="P2395" s="171">
        <v>55.550000000000004</v>
      </c>
      <c r="Q2395" s="171">
        <v>51.370000000000005</v>
      </c>
      <c r="R2395" s="171">
        <v>44.5</v>
      </c>
      <c r="S2395" s="171">
        <v>37.25</v>
      </c>
      <c r="T2395" s="171">
        <v>31.43</v>
      </c>
      <c r="U2395" s="171">
        <v>31.43</v>
      </c>
      <c r="V2395" s="171">
        <v>32.980000000000004</v>
      </c>
      <c r="W2395" s="171">
        <v>34.97</v>
      </c>
      <c r="X2395" s="171">
        <v>36.72</v>
      </c>
      <c r="Y2395" s="171">
        <v>35.5</v>
      </c>
      <c r="Z2395" s="171">
        <v>34.04</v>
      </c>
      <c r="AA2395" s="171">
        <v>33.93</v>
      </c>
      <c r="AB2395" s="171">
        <v>29.92</v>
      </c>
      <c r="AC2395" s="171">
        <v>29.52</v>
      </c>
      <c r="AD2395" s="171">
        <v>40.619999999999997</v>
      </c>
      <c r="AF2395" s="171">
        <f t="shared" si="113"/>
        <v>2016</v>
      </c>
      <c r="AG2395" s="171">
        <f t="shared" si="114"/>
        <v>20</v>
      </c>
      <c r="AH2395" s="700">
        <f>SUMIF(D$3:$AA2395,"&lt;="&amp;$AH$1)/COUNTIF(D$3:$AA2395,"&lt;="&amp;$AH$1)</f>
        <v>31.214997504875956</v>
      </c>
    </row>
    <row r="2396" spans="2:34" x14ac:dyDescent="0.25">
      <c r="B2396" s="910">
        <v>42580</v>
      </c>
      <c r="C2396" s="581">
        <f t="shared" si="112"/>
        <v>7</v>
      </c>
      <c r="D2396" s="171">
        <v>30.75</v>
      </c>
      <c r="E2396" s="171">
        <v>28.21</v>
      </c>
      <c r="F2396" s="171">
        <v>27.04</v>
      </c>
      <c r="G2396" s="171">
        <v>26.03</v>
      </c>
      <c r="H2396" s="171">
        <v>24.580000000000002</v>
      </c>
      <c r="I2396" s="171">
        <v>24.84</v>
      </c>
      <c r="J2396" s="171">
        <v>25.95</v>
      </c>
      <c r="K2396" s="171">
        <v>29.68</v>
      </c>
      <c r="L2396" s="171">
        <v>33.99</v>
      </c>
      <c r="M2396" s="171">
        <v>36.130000000000003</v>
      </c>
      <c r="N2396" s="171">
        <v>36.090000000000003</v>
      </c>
      <c r="O2396" s="171">
        <v>34.94</v>
      </c>
      <c r="P2396" s="171">
        <v>39.300000000000004</v>
      </c>
      <c r="Q2396" s="171">
        <v>32.44</v>
      </c>
      <c r="R2396" s="171">
        <v>30.01</v>
      </c>
      <c r="S2396" s="171">
        <v>27.94</v>
      </c>
      <c r="T2396" s="171">
        <v>30</v>
      </c>
      <c r="U2396" s="171">
        <v>29.1</v>
      </c>
      <c r="V2396" s="171">
        <v>29.11</v>
      </c>
      <c r="W2396" s="171">
        <v>31.5</v>
      </c>
      <c r="X2396" s="171">
        <v>34.130000000000003</v>
      </c>
      <c r="Y2396" s="171">
        <v>32.980000000000004</v>
      </c>
      <c r="Z2396" s="171">
        <v>30.87</v>
      </c>
      <c r="AA2396" s="171">
        <v>33.32</v>
      </c>
      <c r="AB2396" s="171">
        <v>29.78</v>
      </c>
      <c r="AC2396" s="171">
        <v>28.94</v>
      </c>
      <c r="AD2396" s="171">
        <v>32.56</v>
      </c>
      <c r="AF2396" s="171">
        <f t="shared" si="113"/>
        <v>2016</v>
      </c>
      <c r="AG2396" s="171">
        <f t="shared" si="114"/>
        <v>24</v>
      </c>
      <c r="AH2396" s="700">
        <f>SUMIF(D$3:$AA2396,"&lt;="&amp;$AH$1)/COUNTIF(D$3:$AA2396,"&lt;="&amp;$AH$1)</f>
        <v>31.214533919426312</v>
      </c>
    </row>
    <row r="2397" spans="2:34" x14ac:dyDescent="0.25">
      <c r="B2397" s="910">
        <v>42583</v>
      </c>
      <c r="C2397" s="581">
        <f t="shared" si="112"/>
        <v>8</v>
      </c>
      <c r="D2397" s="171">
        <v>30.53</v>
      </c>
      <c r="E2397" s="171">
        <v>25.6</v>
      </c>
      <c r="F2397" s="171">
        <v>24.53</v>
      </c>
      <c r="G2397" s="171">
        <v>23.44</v>
      </c>
      <c r="H2397" s="171">
        <v>22.14</v>
      </c>
      <c r="I2397" s="171">
        <v>22.42</v>
      </c>
      <c r="J2397" s="171">
        <v>23.93</v>
      </c>
      <c r="K2397" s="171">
        <v>29.060000000000002</v>
      </c>
      <c r="L2397" s="171">
        <v>32.17</v>
      </c>
      <c r="M2397" s="171">
        <v>35</v>
      </c>
      <c r="N2397" s="171">
        <v>33.21</v>
      </c>
      <c r="O2397" s="171">
        <v>30.13</v>
      </c>
      <c r="P2397" s="171">
        <v>29.8</v>
      </c>
      <c r="Q2397" s="171">
        <v>32.44</v>
      </c>
      <c r="R2397" s="171">
        <v>33.51</v>
      </c>
      <c r="S2397" s="171">
        <v>31.43</v>
      </c>
      <c r="T2397" s="171">
        <v>27.44</v>
      </c>
      <c r="U2397" s="171">
        <v>28.48</v>
      </c>
      <c r="V2397" s="171">
        <v>32.049999999999997</v>
      </c>
      <c r="W2397" s="171">
        <v>35.97</v>
      </c>
      <c r="X2397" s="171">
        <v>37.15</v>
      </c>
      <c r="Y2397" s="171">
        <v>38.33</v>
      </c>
      <c r="Z2397" s="171">
        <v>36.950000000000003</v>
      </c>
      <c r="AA2397" s="171">
        <v>35.99</v>
      </c>
      <c r="AB2397" s="171">
        <v>31.64</v>
      </c>
      <c r="AC2397" s="171">
        <v>28.85</v>
      </c>
      <c r="AD2397" s="171">
        <v>32.22</v>
      </c>
      <c r="AF2397" s="171">
        <f t="shared" si="113"/>
        <v>2016</v>
      </c>
      <c r="AG2397" s="171">
        <f t="shared" si="114"/>
        <v>24</v>
      </c>
      <c r="AH2397" s="700">
        <f>SUMIF(D$3:$AA2397,"&lt;="&amp;$AH$1)/COUNTIF(D$3:$AA2397,"&lt;="&amp;$AH$1)</f>
        <v>31.213744058665544</v>
      </c>
    </row>
    <row r="2398" spans="2:34" x14ac:dyDescent="0.25">
      <c r="B2398" s="910">
        <v>42584</v>
      </c>
      <c r="C2398" s="581">
        <f t="shared" si="112"/>
        <v>8</v>
      </c>
      <c r="D2398" s="171">
        <v>32.549999999999997</v>
      </c>
      <c r="E2398" s="171">
        <v>27.560000000000002</v>
      </c>
      <c r="F2398" s="171">
        <v>25.79</v>
      </c>
      <c r="G2398" s="171">
        <v>25.35</v>
      </c>
      <c r="H2398" s="171">
        <v>24.7</v>
      </c>
      <c r="I2398" s="171">
        <v>24.27</v>
      </c>
      <c r="J2398" s="171">
        <v>25.900000000000002</v>
      </c>
      <c r="K2398" s="171">
        <v>30.43</v>
      </c>
      <c r="L2398" s="171">
        <v>34.869999999999997</v>
      </c>
      <c r="M2398" s="171">
        <v>36.869999999999997</v>
      </c>
      <c r="N2398" s="171">
        <v>36.92</v>
      </c>
      <c r="O2398" s="171">
        <v>36.97</v>
      </c>
      <c r="P2398" s="171">
        <v>38.090000000000003</v>
      </c>
      <c r="Q2398" s="171">
        <v>37.83</v>
      </c>
      <c r="R2398" s="171">
        <v>36.85</v>
      </c>
      <c r="S2398" s="171">
        <v>35.980000000000004</v>
      </c>
      <c r="T2398" s="171">
        <v>35.730000000000004</v>
      </c>
      <c r="U2398" s="171">
        <v>34.92</v>
      </c>
      <c r="V2398" s="171">
        <v>35.94</v>
      </c>
      <c r="W2398" s="171">
        <v>35.92</v>
      </c>
      <c r="X2398" s="171">
        <v>34.950000000000003</v>
      </c>
      <c r="Y2398" s="171">
        <v>32.83</v>
      </c>
      <c r="Z2398" s="171">
        <v>32.4</v>
      </c>
      <c r="AA2398" s="171">
        <v>31.19</v>
      </c>
      <c r="AB2398" s="171">
        <v>28.98</v>
      </c>
      <c r="AC2398" s="171">
        <v>28.69</v>
      </c>
      <c r="AD2398" s="171">
        <v>36.410000000000004</v>
      </c>
      <c r="AF2398" s="171">
        <f t="shared" si="113"/>
        <v>2016</v>
      </c>
      <c r="AG2398" s="171">
        <f t="shared" si="114"/>
        <v>24</v>
      </c>
      <c r="AH2398" s="700">
        <f>SUMIF(D$3:$AA2398,"&lt;="&amp;$AH$1)/COUNTIF(D$3:$AA2398,"&lt;="&amp;$AH$1)</f>
        <v>31.215357449693894</v>
      </c>
    </row>
    <row r="2399" spans="2:34" x14ac:dyDescent="0.25">
      <c r="B2399" s="910">
        <v>42585</v>
      </c>
      <c r="C2399" s="581">
        <f t="shared" si="112"/>
        <v>8</v>
      </c>
      <c r="D2399" s="171">
        <v>29.71</v>
      </c>
      <c r="E2399" s="171">
        <v>26.03</v>
      </c>
      <c r="F2399" s="171">
        <v>24.53</v>
      </c>
      <c r="G2399" s="171">
        <v>23.740000000000002</v>
      </c>
      <c r="H2399" s="171">
        <v>22.69</v>
      </c>
      <c r="I2399" s="171">
        <v>22.48</v>
      </c>
      <c r="J2399" s="171">
        <v>23.66</v>
      </c>
      <c r="K2399" s="171">
        <v>27.060000000000002</v>
      </c>
      <c r="L2399" s="171">
        <v>31.82</v>
      </c>
      <c r="M2399" s="171">
        <v>33.950000000000003</v>
      </c>
      <c r="N2399" s="171">
        <v>34.97</v>
      </c>
      <c r="O2399" s="171">
        <v>35.020000000000003</v>
      </c>
      <c r="P2399" s="171">
        <v>34.950000000000003</v>
      </c>
      <c r="Q2399" s="171">
        <v>33.57</v>
      </c>
      <c r="R2399" s="171">
        <v>34.840000000000003</v>
      </c>
      <c r="S2399" s="171">
        <v>31.98</v>
      </c>
      <c r="T2399" s="171">
        <v>29.13</v>
      </c>
      <c r="U2399" s="171">
        <v>28.45</v>
      </c>
      <c r="V2399" s="171">
        <v>29.95</v>
      </c>
      <c r="W2399" s="171">
        <v>32.520000000000003</v>
      </c>
      <c r="X2399" s="171">
        <v>33</v>
      </c>
      <c r="Y2399" s="171">
        <v>31.25</v>
      </c>
      <c r="Z2399" s="171">
        <v>30.330000000000002</v>
      </c>
      <c r="AA2399" s="171">
        <v>29.98</v>
      </c>
      <c r="AB2399" s="171">
        <v>27.03</v>
      </c>
      <c r="AC2399" s="171">
        <v>26.72</v>
      </c>
      <c r="AD2399" s="171">
        <v>32.69</v>
      </c>
      <c r="AF2399" s="171">
        <f t="shared" si="113"/>
        <v>2016</v>
      </c>
      <c r="AG2399" s="171">
        <f t="shared" si="114"/>
        <v>24</v>
      </c>
      <c r="AH2399" s="700">
        <f>SUMIF(D$3:$AA2399,"&lt;="&amp;$AH$1)/COUNTIF(D$3:$AA2399,"&lt;="&amp;$AH$1)</f>
        <v>31.213841636929406</v>
      </c>
    </row>
    <row r="2400" spans="2:34" x14ac:dyDescent="0.25">
      <c r="B2400" s="910">
        <v>42586</v>
      </c>
      <c r="C2400" s="581">
        <f t="shared" si="112"/>
        <v>8</v>
      </c>
      <c r="D2400" s="171">
        <v>28.66</v>
      </c>
      <c r="E2400" s="171">
        <v>23.6</v>
      </c>
      <c r="F2400" s="171">
        <v>22.43</v>
      </c>
      <c r="G2400" s="171">
        <v>20.05</v>
      </c>
      <c r="H2400" s="171">
        <v>19.420000000000002</v>
      </c>
      <c r="I2400" s="171">
        <v>19.830000000000002</v>
      </c>
      <c r="J2400" s="171">
        <v>22.42</v>
      </c>
      <c r="K2400" s="171">
        <v>25.490000000000002</v>
      </c>
      <c r="L2400" s="171">
        <v>30.01</v>
      </c>
      <c r="M2400" s="171">
        <v>33.049999999999997</v>
      </c>
      <c r="N2400" s="171">
        <v>32.03</v>
      </c>
      <c r="O2400" s="171">
        <v>29.53</v>
      </c>
      <c r="P2400" s="171">
        <v>29.03</v>
      </c>
      <c r="Q2400" s="171">
        <v>27.44</v>
      </c>
      <c r="R2400" s="171">
        <v>30.63</v>
      </c>
      <c r="S2400" s="171">
        <v>28.1</v>
      </c>
      <c r="T2400" s="171">
        <v>30.740000000000002</v>
      </c>
      <c r="U2400" s="171">
        <v>29.29</v>
      </c>
      <c r="V2400" s="171">
        <v>32.980000000000004</v>
      </c>
      <c r="W2400" s="171">
        <v>34.58</v>
      </c>
      <c r="X2400" s="171">
        <v>34.9</v>
      </c>
      <c r="Y2400" s="171">
        <v>34.58</v>
      </c>
      <c r="Z2400" s="171">
        <v>34.46</v>
      </c>
      <c r="AA2400" s="171">
        <v>33.910000000000004</v>
      </c>
      <c r="AB2400" s="171">
        <v>29.37</v>
      </c>
      <c r="AC2400" s="171">
        <v>26.3</v>
      </c>
      <c r="AD2400" s="171">
        <v>31.02</v>
      </c>
      <c r="AF2400" s="171">
        <f t="shared" si="113"/>
        <v>2016</v>
      </c>
      <c r="AG2400" s="171">
        <f t="shared" si="114"/>
        <v>24</v>
      </c>
      <c r="AH2400" s="700">
        <f>SUMIF(D$3:$AA2400,"&lt;="&amp;$AH$1)/COUNTIF(D$3:$AA2400,"&lt;="&amp;$AH$1)</f>
        <v>31.21104543608628</v>
      </c>
    </row>
    <row r="2401" spans="2:34" x14ac:dyDescent="0.25">
      <c r="B2401" s="910">
        <v>42587</v>
      </c>
      <c r="C2401" s="581">
        <f t="shared" si="112"/>
        <v>8</v>
      </c>
      <c r="D2401" s="171">
        <v>31.55</v>
      </c>
      <c r="E2401" s="171">
        <v>28.13</v>
      </c>
      <c r="F2401" s="171">
        <v>26.830000000000002</v>
      </c>
      <c r="G2401" s="171">
        <v>25.12</v>
      </c>
      <c r="H2401" s="171">
        <v>23.95</v>
      </c>
      <c r="I2401" s="171">
        <v>24.07</v>
      </c>
      <c r="J2401" s="171">
        <v>26.240000000000002</v>
      </c>
      <c r="K2401" s="171">
        <v>30.45</v>
      </c>
      <c r="L2401" s="171">
        <v>34.01</v>
      </c>
      <c r="M2401" s="171">
        <v>37.19</v>
      </c>
      <c r="N2401" s="171">
        <v>38.69</v>
      </c>
      <c r="O2401" s="171">
        <v>38.54</v>
      </c>
      <c r="P2401" s="171">
        <v>38</v>
      </c>
      <c r="Q2401" s="171">
        <v>36</v>
      </c>
      <c r="R2401" s="171">
        <v>33.96</v>
      </c>
      <c r="S2401" s="171">
        <v>31.39</v>
      </c>
      <c r="T2401" s="171">
        <v>28.23</v>
      </c>
      <c r="U2401" s="171">
        <v>28.46</v>
      </c>
      <c r="V2401" s="171">
        <v>31.29</v>
      </c>
      <c r="W2401" s="171">
        <v>33.89</v>
      </c>
      <c r="X2401" s="171">
        <v>34.4</v>
      </c>
      <c r="Y2401" s="171">
        <v>34.15</v>
      </c>
      <c r="Z2401" s="171">
        <v>33.020000000000003</v>
      </c>
      <c r="AA2401" s="171">
        <v>32.44</v>
      </c>
      <c r="AB2401" s="171">
        <v>28.84</v>
      </c>
      <c r="AC2401" s="171">
        <v>28.94</v>
      </c>
      <c r="AD2401" s="171">
        <v>34.17</v>
      </c>
      <c r="AF2401" s="171">
        <f t="shared" si="113"/>
        <v>2016</v>
      </c>
      <c r="AG2401" s="171">
        <f t="shared" si="114"/>
        <v>24</v>
      </c>
      <c r="AH2401" s="700">
        <f>SUMIF(D$3:$AA2401,"&lt;="&amp;$AH$1)/COUNTIF(D$3:$AA2401,"&lt;="&amp;$AH$1)</f>
        <v>31.211538288185874</v>
      </c>
    </row>
    <row r="2402" spans="2:34" x14ac:dyDescent="0.25">
      <c r="B2402" s="910">
        <v>42590</v>
      </c>
      <c r="C2402" s="581">
        <f t="shared" si="112"/>
        <v>8</v>
      </c>
      <c r="D2402" s="171">
        <v>25.310000000000002</v>
      </c>
      <c r="E2402" s="171">
        <v>20.62</v>
      </c>
      <c r="F2402" s="171">
        <v>16.440000000000001</v>
      </c>
      <c r="G2402" s="171">
        <v>12.91</v>
      </c>
      <c r="H2402" s="171">
        <v>8.16</v>
      </c>
      <c r="I2402" s="171">
        <v>8.120000000000001</v>
      </c>
      <c r="J2402" s="171">
        <v>8.94</v>
      </c>
      <c r="K2402" s="171">
        <v>17.850000000000001</v>
      </c>
      <c r="L2402" s="171">
        <v>23.71</v>
      </c>
      <c r="M2402" s="171">
        <v>26.29</v>
      </c>
      <c r="N2402" s="171">
        <v>24.73</v>
      </c>
      <c r="O2402" s="171">
        <v>27.650000000000002</v>
      </c>
      <c r="P2402" s="171">
        <v>29.94</v>
      </c>
      <c r="Q2402" s="171">
        <v>31.17</v>
      </c>
      <c r="R2402" s="171">
        <v>34.46</v>
      </c>
      <c r="S2402" s="171">
        <v>32.5</v>
      </c>
      <c r="T2402" s="171">
        <v>29.29</v>
      </c>
      <c r="U2402" s="171">
        <v>28.13</v>
      </c>
      <c r="V2402" s="171">
        <v>28.04</v>
      </c>
      <c r="W2402" s="171">
        <v>31.29</v>
      </c>
      <c r="X2402" s="171">
        <v>34.39</v>
      </c>
      <c r="Y2402" s="171">
        <v>33.230000000000004</v>
      </c>
      <c r="Z2402" s="171">
        <v>34</v>
      </c>
      <c r="AA2402" s="171">
        <v>33.93</v>
      </c>
      <c r="AB2402" s="171">
        <v>31.75</v>
      </c>
      <c r="AC2402" s="171">
        <v>20.81</v>
      </c>
      <c r="AD2402" s="171">
        <v>29.82</v>
      </c>
      <c r="AF2402" s="171">
        <f t="shared" si="113"/>
        <v>2016</v>
      </c>
      <c r="AG2402" s="171">
        <f t="shared" si="114"/>
        <v>24</v>
      </c>
      <c r="AH2402" s="700">
        <f>SUMIF(D$3:$AA2402,"&lt;="&amp;$AH$1)/COUNTIF(D$3:$AA2402,"&lt;="&amp;$AH$1)</f>
        <v>31.204875962360095</v>
      </c>
    </row>
    <row r="2403" spans="2:34" x14ac:dyDescent="0.25">
      <c r="B2403" s="910">
        <v>42591</v>
      </c>
      <c r="C2403" s="581">
        <f t="shared" si="112"/>
        <v>8</v>
      </c>
      <c r="D2403" s="171">
        <v>28.77</v>
      </c>
      <c r="E2403" s="171">
        <v>23.88</v>
      </c>
      <c r="F2403" s="171">
        <v>23.06</v>
      </c>
      <c r="G2403" s="171">
        <v>22.6</v>
      </c>
      <c r="H2403" s="171">
        <v>20.32</v>
      </c>
      <c r="I2403" s="171">
        <v>19.940000000000001</v>
      </c>
      <c r="J2403" s="171">
        <v>22.97</v>
      </c>
      <c r="K2403" s="171">
        <v>28.330000000000002</v>
      </c>
      <c r="L2403" s="171">
        <v>32.86</v>
      </c>
      <c r="M2403" s="171">
        <v>34.83</v>
      </c>
      <c r="N2403" s="171">
        <v>35.03</v>
      </c>
      <c r="O2403" s="171">
        <v>34.6</v>
      </c>
      <c r="P2403" s="171">
        <v>34.26</v>
      </c>
      <c r="Q2403" s="171">
        <v>33.6</v>
      </c>
      <c r="R2403" s="171">
        <v>32.78</v>
      </c>
      <c r="S2403" s="171">
        <v>30.22</v>
      </c>
      <c r="T2403" s="171">
        <v>27.84</v>
      </c>
      <c r="U2403" s="171">
        <v>25.97</v>
      </c>
      <c r="V2403" s="171">
        <v>28.12</v>
      </c>
      <c r="W2403" s="171">
        <v>30.35</v>
      </c>
      <c r="X2403" s="171">
        <v>32.020000000000003</v>
      </c>
      <c r="Y2403" s="171">
        <v>30.91</v>
      </c>
      <c r="Z2403" s="171">
        <v>30.47</v>
      </c>
      <c r="AA2403" s="171">
        <v>29.1</v>
      </c>
      <c r="AB2403" s="171">
        <v>26.45</v>
      </c>
      <c r="AC2403" s="171">
        <v>25.91</v>
      </c>
      <c r="AD2403" s="171">
        <v>31.64</v>
      </c>
      <c r="AF2403" s="171">
        <f t="shared" si="113"/>
        <v>2016</v>
      </c>
      <c r="AG2403" s="171">
        <f t="shared" si="114"/>
        <v>24</v>
      </c>
      <c r="AH2403" s="700">
        <f>SUMIF(D$3:$AA2403,"&lt;="&amp;$AH$1)/COUNTIF(D$3:$AA2403,"&lt;="&amp;$AH$1)</f>
        <v>31.202353496738468</v>
      </c>
    </row>
    <row r="2404" spans="2:34" x14ac:dyDescent="0.25">
      <c r="B2404" s="910">
        <v>42592</v>
      </c>
      <c r="C2404" s="581">
        <f t="shared" si="112"/>
        <v>8</v>
      </c>
      <c r="D2404" s="171">
        <v>28.1</v>
      </c>
      <c r="E2404" s="171">
        <v>23.35</v>
      </c>
      <c r="F2404" s="171">
        <v>23.11</v>
      </c>
      <c r="G2404" s="171">
        <v>22</v>
      </c>
      <c r="H2404" s="171">
        <v>19.990000000000002</v>
      </c>
      <c r="I2404" s="171">
        <v>20.190000000000001</v>
      </c>
      <c r="J2404" s="171">
        <v>23.18</v>
      </c>
      <c r="K2404" s="171">
        <v>26.560000000000002</v>
      </c>
      <c r="L2404" s="171">
        <v>32.21</v>
      </c>
      <c r="M2404" s="171">
        <v>33.950000000000003</v>
      </c>
      <c r="N2404" s="171">
        <v>33.5</v>
      </c>
      <c r="O2404" s="171">
        <v>32.01</v>
      </c>
      <c r="P2404" s="171">
        <v>31.87</v>
      </c>
      <c r="Q2404" s="171">
        <v>29.66</v>
      </c>
      <c r="R2404" s="171">
        <v>26.91</v>
      </c>
      <c r="S2404" s="171">
        <v>25.43</v>
      </c>
      <c r="T2404" s="171">
        <v>24.51</v>
      </c>
      <c r="U2404" s="171">
        <v>24.310000000000002</v>
      </c>
      <c r="V2404" s="171">
        <v>27.330000000000002</v>
      </c>
      <c r="W2404" s="171">
        <v>31.48</v>
      </c>
      <c r="X2404" s="171">
        <v>33.68</v>
      </c>
      <c r="Y2404" s="171">
        <v>33.72</v>
      </c>
      <c r="Z2404" s="171">
        <v>33.93</v>
      </c>
      <c r="AA2404" s="171">
        <v>32.93</v>
      </c>
      <c r="AB2404" s="171">
        <v>28.650000000000002</v>
      </c>
      <c r="AC2404" s="171">
        <v>26.650000000000002</v>
      </c>
      <c r="AD2404" s="171">
        <v>29.55</v>
      </c>
      <c r="AF2404" s="171">
        <f t="shared" si="113"/>
        <v>2016</v>
      </c>
      <c r="AG2404" s="171">
        <f t="shared" si="114"/>
        <v>24</v>
      </c>
      <c r="AH2404" s="700">
        <f>SUMIF(D$3:$AA2404,"&lt;="&amp;$AH$1)/COUNTIF(D$3:$AA2404,"&lt;="&amp;$AH$1)</f>
        <v>31.198986477379037</v>
      </c>
    </row>
    <row r="2405" spans="2:34" x14ac:dyDescent="0.25">
      <c r="B2405" s="910">
        <v>42593</v>
      </c>
      <c r="C2405" s="581">
        <f t="shared" si="112"/>
        <v>8</v>
      </c>
      <c r="D2405" s="171">
        <v>28.650000000000002</v>
      </c>
      <c r="E2405" s="171">
        <v>24.23</v>
      </c>
      <c r="F2405" s="171">
        <v>23.01</v>
      </c>
      <c r="G2405" s="171">
        <v>22.72</v>
      </c>
      <c r="H2405" s="171">
        <v>20.490000000000002</v>
      </c>
      <c r="I2405" s="171">
        <v>20.38</v>
      </c>
      <c r="J2405" s="171">
        <v>22.77</v>
      </c>
      <c r="K2405" s="171">
        <v>27.07</v>
      </c>
      <c r="L2405" s="171">
        <v>32.08</v>
      </c>
      <c r="M2405" s="171">
        <v>34.97</v>
      </c>
      <c r="N2405" s="171">
        <v>33.07</v>
      </c>
      <c r="O2405" s="171">
        <v>30.86</v>
      </c>
      <c r="P2405" s="171">
        <v>30.48</v>
      </c>
      <c r="Q2405" s="171">
        <v>28.57</v>
      </c>
      <c r="R2405" s="171">
        <v>27.17</v>
      </c>
      <c r="S2405" s="171">
        <v>24.990000000000002</v>
      </c>
      <c r="T2405" s="171">
        <v>25.62</v>
      </c>
      <c r="U2405" s="171">
        <v>25.69</v>
      </c>
      <c r="V2405" s="171">
        <v>31.400000000000002</v>
      </c>
      <c r="W2405" s="171">
        <v>34.369999999999997</v>
      </c>
      <c r="X2405" s="171">
        <v>34.950000000000003</v>
      </c>
      <c r="Y2405" s="171">
        <v>35.11</v>
      </c>
      <c r="Z2405" s="171">
        <v>34.82</v>
      </c>
      <c r="AA2405" s="171">
        <v>33.869999999999997</v>
      </c>
      <c r="AB2405" s="171">
        <v>28.82</v>
      </c>
      <c r="AC2405" s="171">
        <v>27.11</v>
      </c>
      <c r="AD2405" s="171">
        <v>30.18</v>
      </c>
      <c r="AF2405" s="171">
        <f t="shared" si="113"/>
        <v>2016</v>
      </c>
      <c r="AG2405" s="171">
        <f t="shared" si="114"/>
        <v>24</v>
      </c>
      <c r="AH2405" s="700">
        <f>SUMIF(D$3:$AA2405,"&lt;="&amp;$AH$1)/COUNTIF(D$3:$AA2405,"&lt;="&amp;$AH$1)</f>
        <v>31.196229412555741</v>
      </c>
    </row>
    <row r="2406" spans="2:34" x14ac:dyDescent="0.25">
      <c r="B2406" s="910">
        <v>42594</v>
      </c>
      <c r="C2406" s="581">
        <f t="shared" si="112"/>
        <v>8</v>
      </c>
      <c r="D2406" s="171">
        <v>28.02</v>
      </c>
      <c r="E2406" s="171">
        <v>24.07</v>
      </c>
      <c r="F2406" s="171">
        <v>22.97</v>
      </c>
      <c r="G2406" s="171">
        <v>21.05</v>
      </c>
      <c r="H2406" s="171">
        <v>19.900000000000002</v>
      </c>
      <c r="I2406" s="171">
        <v>20.05</v>
      </c>
      <c r="J2406" s="171">
        <v>22.98</v>
      </c>
      <c r="K2406" s="171">
        <v>27.93</v>
      </c>
      <c r="L2406" s="171">
        <v>32.549999999999997</v>
      </c>
      <c r="M2406" s="171">
        <v>33.799999999999997</v>
      </c>
      <c r="N2406" s="171">
        <v>34.04</v>
      </c>
      <c r="O2406" s="171">
        <v>34.910000000000004</v>
      </c>
      <c r="P2406" s="171">
        <v>35.25</v>
      </c>
      <c r="Q2406" s="171">
        <v>34.950000000000003</v>
      </c>
      <c r="R2406" s="171">
        <v>32.1</v>
      </c>
      <c r="S2406" s="171">
        <v>29.5</v>
      </c>
      <c r="T2406" s="171">
        <v>27.12</v>
      </c>
      <c r="U2406" s="171">
        <v>24.2</v>
      </c>
      <c r="V2406" s="171">
        <v>26.900000000000002</v>
      </c>
      <c r="W2406" s="171">
        <v>28.09</v>
      </c>
      <c r="X2406" s="171">
        <v>29.060000000000002</v>
      </c>
      <c r="Y2406" s="171">
        <v>29.13</v>
      </c>
      <c r="Z2406" s="171">
        <v>28.990000000000002</v>
      </c>
      <c r="AA2406" s="171">
        <v>28.34</v>
      </c>
      <c r="AB2406" s="171">
        <v>24.7</v>
      </c>
      <c r="AC2406" s="171">
        <v>25.22</v>
      </c>
      <c r="AD2406" s="171">
        <v>30.830000000000002</v>
      </c>
      <c r="AF2406" s="171">
        <f t="shared" si="113"/>
        <v>2016</v>
      </c>
      <c r="AG2406" s="171">
        <f t="shared" si="114"/>
        <v>24</v>
      </c>
      <c r="AH2406" s="700">
        <f>SUMIF(D$3:$AA2406,"&lt;="&amp;$AH$1)/COUNTIF(D$3:$AA2406,"&lt;="&amp;$AH$1)</f>
        <v>31.192965436857477</v>
      </c>
    </row>
    <row r="2407" spans="2:34" x14ac:dyDescent="0.25">
      <c r="B2407" s="910">
        <v>42597</v>
      </c>
      <c r="C2407" s="581">
        <f t="shared" si="112"/>
        <v>8</v>
      </c>
      <c r="D2407" s="171">
        <v>28.02</v>
      </c>
      <c r="E2407" s="171">
        <v>25.150000000000002</v>
      </c>
      <c r="F2407" s="171">
        <v>22.94</v>
      </c>
      <c r="G2407" s="171">
        <v>21.61</v>
      </c>
      <c r="H2407" s="171">
        <v>21.01</v>
      </c>
      <c r="I2407" s="171">
        <v>21.5</v>
      </c>
      <c r="J2407" s="171">
        <v>23.29</v>
      </c>
      <c r="K2407" s="171">
        <v>27.21</v>
      </c>
      <c r="L2407" s="171">
        <v>31.2</v>
      </c>
      <c r="M2407" s="171">
        <v>32.44</v>
      </c>
      <c r="N2407" s="171">
        <v>30.59</v>
      </c>
      <c r="O2407" s="171">
        <v>28.650000000000002</v>
      </c>
      <c r="P2407" s="171">
        <v>28.32</v>
      </c>
      <c r="Q2407" s="171">
        <v>27.02</v>
      </c>
      <c r="R2407" s="171">
        <v>25</v>
      </c>
      <c r="S2407" s="171">
        <v>23.900000000000002</v>
      </c>
      <c r="T2407" s="171">
        <v>24.1</v>
      </c>
      <c r="U2407" s="171">
        <v>25.54</v>
      </c>
      <c r="V2407" s="171">
        <v>30.62</v>
      </c>
      <c r="W2407" s="171">
        <v>33.980000000000004</v>
      </c>
      <c r="X2407" s="171">
        <v>35.880000000000003</v>
      </c>
      <c r="Y2407" s="171">
        <v>34.32</v>
      </c>
      <c r="Z2407" s="171">
        <v>34.47</v>
      </c>
      <c r="AA2407" s="171">
        <v>33.22</v>
      </c>
      <c r="AB2407" s="171">
        <v>30.42</v>
      </c>
      <c r="AC2407" s="171">
        <v>27.19</v>
      </c>
      <c r="AD2407" s="171">
        <v>28.84</v>
      </c>
      <c r="AF2407" s="171">
        <f t="shared" si="113"/>
        <v>2016</v>
      </c>
      <c r="AG2407" s="171">
        <f t="shared" si="114"/>
        <v>24</v>
      </c>
      <c r="AH2407" s="700">
        <f>SUMIF(D$3:$AA2407,"&lt;="&amp;$AH$1)/COUNTIF(D$3:$AA2407,"&lt;="&amp;$AH$1)</f>
        <v>31.189443374680017</v>
      </c>
    </row>
    <row r="2408" spans="2:34" x14ac:dyDescent="0.25">
      <c r="B2408" s="910">
        <v>42598</v>
      </c>
      <c r="C2408" s="581">
        <f t="shared" si="112"/>
        <v>8</v>
      </c>
      <c r="D2408" s="171">
        <v>29.35</v>
      </c>
      <c r="E2408" s="171">
        <v>26.26</v>
      </c>
      <c r="F2408" s="171">
        <v>23.990000000000002</v>
      </c>
      <c r="G2408" s="171">
        <v>22.94</v>
      </c>
      <c r="H2408" s="171">
        <v>22.03</v>
      </c>
      <c r="I2408" s="171">
        <v>22.1</v>
      </c>
      <c r="J2408" s="171">
        <v>24.1</v>
      </c>
      <c r="K2408" s="171">
        <v>28.71</v>
      </c>
      <c r="L2408" s="171">
        <v>33.630000000000003</v>
      </c>
      <c r="M2408" s="171">
        <v>34.14</v>
      </c>
      <c r="N2408" s="171">
        <v>33.9</v>
      </c>
      <c r="O2408" s="171">
        <v>31.73</v>
      </c>
      <c r="P2408" s="171">
        <v>30.13</v>
      </c>
      <c r="Q2408" s="171">
        <v>29.09</v>
      </c>
      <c r="R2408" s="171">
        <v>28.93</v>
      </c>
      <c r="S2408" s="171">
        <v>28.94</v>
      </c>
      <c r="T2408" s="171">
        <v>29.29</v>
      </c>
      <c r="U2408" s="171">
        <v>30.580000000000002</v>
      </c>
      <c r="V2408" s="171">
        <v>33.119999999999997</v>
      </c>
      <c r="W2408" s="171">
        <v>34.33</v>
      </c>
      <c r="X2408" s="171">
        <v>35.79</v>
      </c>
      <c r="Y2408" s="171">
        <v>34.81</v>
      </c>
      <c r="Z2408" s="171">
        <v>34.36</v>
      </c>
      <c r="AA2408" s="171">
        <v>27.66</v>
      </c>
      <c r="AB2408" s="171">
        <v>23.8</v>
      </c>
      <c r="AC2408" s="171">
        <v>27.03</v>
      </c>
      <c r="AD2408" s="171">
        <v>31.66</v>
      </c>
      <c r="AF2408" s="171">
        <f t="shared" si="113"/>
        <v>2016</v>
      </c>
      <c r="AG2408" s="171">
        <f t="shared" si="114"/>
        <v>24</v>
      </c>
      <c r="AH2408" s="700">
        <f>SUMIF(D$3:$AA2408,"&lt;="&amp;$AH$1)/COUNTIF(D$3:$AA2408,"&lt;="&amp;$AH$1)</f>
        <v>31.187715052560026</v>
      </c>
    </row>
    <row r="2409" spans="2:34" x14ac:dyDescent="0.25">
      <c r="B2409" s="910">
        <v>42599</v>
      </c>
      <c r="C2409" s="581">
        <f t="shared" si="112"/>
        <v>8</v>
      </c>
      <c r="D2409" s="171">
        <v>28.03</v>
      </c>
      <c r="E2409" s="171">
        <v>21.09</v>
      </c>
      <c r="F2409" s="171">
        <v>24.01</v>
      </c>
      <c r="G2409" s="171">
        <v>23.51</v>
      </c>
      <c r="H2409" s="171">
        <v>21.900000000000002</v>
      </c>
      <c r="I2409" s="171">
        <v>22.56</v>
      </c>
      <c r="J2409" s="171">
        <v>25.05</v>
      </c>
      <c r="K2409" s="171">
        <v>29.740000000000002</v>
      </c>
      <c r="L2409" s="171">
        <v>34.75</v>
      </c>
      <c r="M2409" s="171">
        <v>36.1</v>
      </c>
      <c r="N2409" s="171">
        <v>31.13</v>
      </c>
      <c r="O2409" s="171">
        <v>25.1</v>
      </c>
      <c r="P2409" s="171">
        <v>25.01</v>
      </c>
      <c r="Q2409" s="171">
        <v>23.400000000000002</v>
      </c>
      <c r="R2409" s="171">
        <v>24.400000000000002</v>
      </c>
      <c r="S2409" s="171">
        <v>24.38</v>
      </c>
      <c r="T2409" s="171">
        <v>24.38</v>
      </c>
      <c r="U2409" s="171">
        <v>26.240000000000002</v>
      </c>
      <c r="V2409" s="171">
        <v>34.49</v>
      </c>
      <c r="W2409" s="171">
        <v>34.17</v>
      </c>
      <c r="X2409" s="171">
        <v>35.96</v>
      </c>
      <c r="Y2409" s="171">
        <v>36.450000000000003</v>
      </c>
      <c r="Z2409" s="171">
        <v>34.89</v>
      </c>
      <c r="AA2409" s="171">
        <v>29.48</v>
      </c>
      <c r="AB2409" s="171">
        <v>24.61</v>
      </c>
      <c r="AC2409" s="171">
        <v>27.34</v>
      </c>
      <c r="AD2409" s="171">
        <v>28.73</v>
      </c>
      <c r="AF2409" s="171">
        <f t="shared" si="113"/>
        <v>2016</v>
      </c>
      <c r="AG2409" s="171">
        <f t="shared" si="114"/>
        <v>24</v>
      </c>
      <c r="AH2409" s="700">
        <f>SUMIF(D$3:$AA2409,"&lt;="&amp;$AH$1)/COUNTIF(D$3:$AA2409,"&lt;="&amp;$AH$1)</f>
        <v>31.18448500826576</v>
      </c>
    </row>
    <row r="2410" spans="2:34" x14ac:dyDescent="0.25">
      <c r="B2410" s="910">
        <v>42600</v>
      </c>
      <c r="C2410" s="581">
        <f t="shared" si="112"/>
        <v>8</v>
      </c>
      <c r="D2410" s="171">
        <v>30.55</v>
      </c>
      <c r="E2410" s="171">
        <v>23.830000000000002</v>
      </c>
      <c r="F2410" s="171">
        <v>24.12</v>
      </c>
      <c r="G2410" s="171">
        <v>23.35</v>
      </c>
      <c r="H2410" s="171">
        <v>21.830000000000002</v>
      </c>
      <c r="I2410" s="171">
        <v>22.490000000000002</v>
      </c>
      <c r="J2410" s="171">
        <v>25.05</v>
      </c>
      <c r="K2410" s="171">
        <v>30.26</v>
      </c>
      <c r="L2410" s="171">
        <v>33.79</v>
      </c>
      <c r="M2410" s="171">
        <v>35.67</v>
      </c>
      <c r="N2410" s="171">
        <v>35.33</v>
      </c>
      <c r="O2410" s="171">
        <v>33.660000000000004</v>
      </c>
      <c r="P2410" s="171">
        <v>31.63</v>
      </c>
      <c r="Q2410" s="171">
        <v>29.150000000000002</v>
      </c>
      <c r="R2410" s="171">
        <v>29.44</v>
      </c>
      <c r="S2410" s="171">
        <v>29.63</v>
      </c>
      <c r="T2410" s="171">
        <v>30.310000000000002</v>
      </c>
      <c r="U2410" s="171">
        <v>33</v>
      </c>
      <c r="V2410" s="171">
        <v>35.01</v>
      </c>
      <c r="W2410" s="171">
        <v>36.050000000000004</v>
      </c>
      <c r="X2410" s="171">
        <v>37.340000000000003</v>
      </c>
      <c r="Y2410" s="171">
        <v>36.85</v>
      </c>
      <c r="Z2410" s="171">
        <v>36.01</v>
      </c>
      <c r="AA2410" s="171">
        <v>33.33</v>
      </c>
      <c r="AB2410" s="171">
        <v>26.150000000000002</v>
      </c>
      <c r="AC2410" s="171">
        <v>28.09</v>
      </c>
      <c r="AD2410" s="171">
        <v>33.020000000000003</v>
      </c>
      <c r="AF2410" s="171">
        <f t="shared" si="113"/>
        <v>2016</v>
      </c>
      <c r="AG2410" s="171">
        <f t="shared" si="114"/>
        <v>24</v>
      </c>
      <c r="AH2410" s="700">
        <f>SUMIF(D$3:$AA2410,"&lt;="&amp;$AH$1)/COUNTIF(D$3:$AA2410,"&lt;="&amp;$AH$1)</f>
        <v>31.184005267150805</v>
      </c>
    </row>
    <row r="2411" spans="2:34" x14ac:dyDescent="0.25">
      <c r="B2411" s="910">
        <v>42601</v>
      </c>
      <c r="C2411" s="581">
        <f t="shared" si="112"/>
        <v>8</v>
      </c>
      <c r="D2411" s="171">
        <v>30.39</v>
      </c>
      <c r="E2411" s="171">
        <v>25.42</v>
      </c>
      <c r="F2411" s="171">
        <v>26.62</v>
      </c>
      <c r="G2411" s="171">
        <v>25</v>
      </c>
      <c r="H2411" s="171">
        <v>23.91</v>
      </c>
      <c r="I2411" s="171">
        <v>24.96</v>
      </c>
      <c r="J2411" s="171">
        <v>26.080000000000002</v>
      </c>
      <c r="K2411" s="171">
        <v>32.25</v>
      </c>
      <c r="L2411" s="171">
        <v>36.25</v>
      </c>
      <c r="M2411" s="171">
        <v>37.270000000000003</v>
      </c>
      <c r="N2411" s="171">
        <v>36.450000000000003</v>
      </c>
      <c r="O2411" s="171">
        <v>34.480000000000004</v>
      </c>
      <c r="P2411" s="171">
        <v>31.560000000000002</v>
      </c>
      <c r="Q2411" s="171">
        <v>26.95</v>
      </c>
      <c r="R2411" s="171">
        <v>26.01</v>
      </c>
      <c r="S2411" s="171">
        <v>25.78</v>
      </c>
      <c r="T2411" s="171">
        <v>27.48</v>
      </c>
      <c r="U2411" s="171">
        <v>31.76</v>
      </c>
      <c r="V2411" s="171">
        <v>34.090000000000003</v>
      </c>
      <c r="W2411" s="171">
        <v>36.090000000000003</v>
      </c>
      <c r="X2411" s="171">
        <v>36.46</v>
      </c>
      <c r="Y2411" s="171">
        <v>34.99</v>
      </c>
      <c r="Z2411" s="171">
        <v>34.39</v>
      </c>
      <c r="AA2411" s="171">
        <v>29.560000000000002</v>
      </c>
      <c r="AB2411" s="171">
        <v>25.45</v>
      </c>
      <c r="AC2411" s="171">
        <v>28.740000000000002</v>
      </c>
      <c r="AD2411" s="171">
        <v>32.03</v>
      </c>
      <c r="AF2411" s="171">
        <f t="shared" si="113"/>
        <v>2016</v>
      </c>
      <c r="AG2411" s="171">
        <f t="shared" si="114"/>
        <v>24</v>
      </c>
      <c r="AH2411" s="700">
        <f>SUMIF(D$3:$AA2411,"&lt;="&amp;$AH$1)/COUNTIF(D$3:$AA2411,"&lt;="&amp;$AH$1)</f>
        <v>31.183371382707428</v>
      </c>
    </row>
    <row r="2412" spans="2:34" x14ac:dyDescent="0.25">
      <c r="B2412" s="910">
        <v>42604</v>
      </c>
      <c r="C2412" s="581">
        <f t="shared" si="112"/>
        <v>8</v>
      </c>
      <c r="D2412" s="171">
        <v>27.1</v>
      </c>
      <c r="E2412" s="171">
        <v>20.68</v>
      </c>
      <c r="F2412" s="171">
        <v>19.04</v>
      </c>
      <c r="G2412" s="171">
        <v>18.78</v>
      </c>
      <c r="H2412" s="171">
        <v>17.5</v>
      </c>
      <c r="I2412" s="171">
        <v>18.07</v>
      </c>
      <c r="J2412" s="171">
        <v>20.81</v>
      </c>
      <c r="K2412" s="171">
        <v>26.82</v>
      </c>
      <c r="L2412" s="171">
        <v>31.42</v>
      </c>
      <c r="M2412" s="171">
        <v>34.410000000000004</v>
      </c>
      <c r="N2412" s="171">
        <v>34.93</v>
      </c>
      <c r="O2412" s="171">
        <v>30.12</v>
      </c>
      <c r="P2412" s="171">
        <v>26.93</v>
      </c>
      <c r="Q2412" s="171">
        <v>23.68</v>
      </c>
      <c r="R2412" s="171">
        <v>24</v>
      </c>
      <c r="S2412" s="171">
        <v>23.79</v>
      </c>
      <c r="T2412" s="171">
        <v>23.8</v>
      </c>
      <c r="U2412" s="171">
        <v>24.94</v>
      </c>
      <c r="V2412" s="171">
        <v>32.9</v>
      </c>
      <c r="W2412" s="171">
        <v>36.590000000000003</v>
      </c>
      <c r="X2412" s="171">
        <v>37.71</v>
      </c>
      <c r="Y2412" s="171">
        <v>37.4</v>
      </c>
      <c r="Z2412" s="171">
        <v>34.340000000000003</v>
      </c>
      <c r="AA2412" s="171">
        <v>27.77</v>
      </c>
      <c r="AB2412" s="171">
        <v>23.98</v>
      </c>
      <c r="AC2412" s="171">
        <v>24.72</v>
      </c>
      <c r="AD2412" s="171">
        <v>29.48</v>
      </c>
      <c r="AF2412" s="171">
        <f t="shared" si="113"/>
        <v>2016</v>
      </c>
      <c r="AG2412" s="171">
        <f t="shared" si="114"/>
        <v>24</v>
      </c>
      <c r="AH2412" s="700">
        <f>SUMIF(D$3:$AA2412,"&lt;="&amp;$AH$1)/COUNTIF(D$3:$AA2412,"&lt;="&amp;$AH$1)</f>
        <v>31.17914569506836</v>
      </c>
    </row>
    <row r="2413" spans="2:34" x14ac:dyDescent="0.25">
      <c r="B2413" s="910">
        <v>42605</v>
      </c>
      <c r="C2413" s="581">
        <f t="shared" ref="C2413:C2476" si="115">MONTH(B2413)</f>
        <v>8</v>
      </c>
      <c r="D2413" s="171">
        <v>31.48</v>
      </c>
      <c r="E2413" s="171">
        <v>22.43</v>
      </c>
      <c r="F2413" s="171">
        <v>22.25</v>
      </c>
      <c r="G2413" s="171">
        <v>21.62</v>
      </c>
      <c r="H2413" s="171">
        <v>20.29</v>
      </c>
      <c r="I2413" s="171">
        <v>22.01</v>
      </c>
      <c r="J2413" s="171">
        <v>23.52</v>
      </c>
      <c r="K2413" s="171">
        <v>30.560000000000002</v>
      </c>
      <c r="L2413" s="171">
        <v>35.24</v>
      </c>
      <c r="M2413" s="171">
        <v>37.31</v>
      </c>
      <c r="N2413" s="171">
        <v>37.950000000000003</v>
      </c>
      <c r="O2413" s="171">
        <v>35.130000000000003</v>
      </c>
      <c r="P2413" s="171">
        <v>32.869999999999997</v>
      </c>
      <c r="Q2413" s="171">
        <v>29.490000000000002</v>
      </c>
      <c r="R2413" s="171">
        <v>28.79</v>
      </c>
      <c r="S2413" s="171">
        <v>28.72</v>
      </c>
      <c r="T2413" s="171">
        <v>30.55</v>
      </c>
      <c r="U2413" s="171">
        <v>34.630000000000003</v>
      </c>
      <c r="V2413" s="171">
        <v>37.97</v>
      </c>
      <c r="W2413" s="171">
        <v>40.200000000000003</v>
      </c>
      <c r="X2413" s="171">
        <v>41.6</v>
      </c>
      <c r="Y2413" s="171">
        <v>42</v>
      </c>
      <c r="Z2413" s="171">
        <v>38.92</v>
      </c>
      <c r="AA2413" s="171">
        <v>33.99</v>
      </c>
      <c r="AB2413" s="171">
        <v>27.44</v>
      </c>
      <c r="AC2413" s="171">
        <v>28.36</v>
      </c>
      <c r="AD2413" s="171">
        <v>34.6</v>
      </c>
      <c r="AF2413" s="171">
        <f t="shared" si="113"/>
        <v>2016</v>
      </c>
      <c r="AG2413" s="171">
        <f t="shared" si="114"/>
        <v>24</v>
      </c>
      <c r="AH2413" s="700">
        <f>SUMIF(D$3:$AA2413,"&lt;="&amp;$AH$1)/COUNTIF(D$3:$AA2413,"&lt;="&amp;$AH$1)</f>
        <v>31.179644938820015</v>
      </c>
    </row>
    <row r="2414" spans="2:34" x14ac:dyDescent="0.25">
      <c r="B2414" s="910">
        <v>42606</v>
      </c>
      <c r="C2414" s="581">
        <f t="shared" si="115"/>
        <v>8</v>
      </c>
      <c r="D2414" s="171">
        <v>30.67</v>
      </c>
      <c r="E2414" s="171">
        <v>26.02</v>
      </c>
      <c r="F2414" s="171">
        <v>23.900000000000002</v>
      </c>
      <c r="G2414" s="171">
        <v>22.82</v>
      </c>
      <c r="H2414" s="171">
        <v>22.240000000000002</v>
      </c>
      <c r="I2414" s="171">
        <v>22.25</v>
      </c>
      <c r="J2414" s="171">
        <v>24.23</v>
      </c>
      <c r="K2414" s="171">
        <v>30.85</v>
      </c>
      <c r="L2414" s="171">
        <v>34.9</v>
      </c>
      <c r="M2414" s="171">
        <v>36.020000000000003</v>
      </c>
      <c r="N2414" s="171">
        <v>34.93</v>
      </c>
      <c r="O2414" s="171">
        <v>29.96</v>
      </c>
      <c r="P2414" s="171">
        <v>27.560000000000002</v>
      </c>
      <c r="Q2414" s="171">
        <v>26.830000000000002</v>
      </c>
      <c r="R2414" s="171">
        <v>26.240000000000002</v>
      </c>
      <c r="S2414" s="171">
        <v>26</v>
      </c>
      <c r="T2414" s="171">
        <v>35</v>
      </c>
      <c r="U2414" s="171">
        <v>40.97</v>
      </c>
      <c r="V2414" s="171">
        <v>36.26</v>
      </c>
      <c r="W2414" s="171">
        <v>38.770000000000003</v>
      </c>
      <c r="X2414" s="171">
        <v>39.42</v>
      </c>
      <c r="Y2414" s="171">
        <v>39.26</v>
      </c>
      <c r="Z2414" s="171">
        <v>35.869999999999997</v>
      </c>
      <c r="AA2414" s="171">
        <v>31.09</v>
      </c>
      <c r="AB2414" s="171">
        <v>24.59</v>
      </c>
      <c r="AC2414" s="171">
        <v>28.17</v>
      </c>
      <c r="AD2414" s="171">
        <v>33.160000000000004</v>
      </c>
      <c r="AF2414" s="171">
        <f t="shared" si="113"/>
        <v>2016</v>
      </c>
      <c r="AG2414" s="171">
        <f t="shared" si="114"/>
        <v>24</v>
      </c>
      <c r="AH2414" s="700">
        <f>SUMIF(D$3:$AA2414,"&lt;="&amp;$AH$1)/COUNTIF(D$3:$AA2414,"&lt;="&amp;$AH$1)</f>
        <v>31.179367082980573</v>
      </c>
    </row>
    <row r="2415" spans="2:34" x14ac:dyDescent="0.25">
      <c r="B2415" s="910">
        <v>42607</v>
      </c>
      <c r="C2415" s="581">
        <f t="shared" si="115"/>
        <v>8</v>
      </c>
      <c r="D2415" s="171">
        <v>37.36</v>
      </c>
      <c r="E2415" s="171">
        <v>23.150000000000002</v>
      </c>
      <c r="F2415" s="171">
        <v>22.62</v>
      </c>
      <c r="G2415" s="171">
        <v>21.29</v>
      </c>
      <c r="H2415" s="171">
        <v>21.16</v>
      </c>
      <c r="I2415" s="171">
        <v>21.45</v>
      </c>
      <c r="J2415" s="171">
        <v>23.3</v>
      </c>
      <c r="K2415" s="171">
        <v>30.330000000000002</v>
      </c>
      <c r="L2415" s="171">
        <v>34.200000000000003</v>
      </c>
      <c r="M2415" s="171">
        <v>35.71</v>
      </c>
      <c r="N2415" s="171">
        <v>40.93</v>
      </c>
      <c r="O2415" s="171">
        <v>51.61</v>
      </c>
      <c r="P2415" s="171">
        <v>52.160000000000004</v>
      </c>
      <c r="Q2415" s="171">
        <v>52.17</v>
      </c>
      <c r="R2415" s="171">
        <v>50.27</v>
      </c>
      <c r="S2415" s="171">
        <v>48.81</v>
      </c>
      <c r="T2415" s="171">
        <v>42.5</v>
      </c>
      <c r="U2415" s="171">
        <v>48.19</v>
      </c>
      <c r="V2415" s="171">
        <v>50.01</v>
      </c>
      <c r="W2415" s="171">
        <v>47.69</v>
      </c>
      <c r="X2415" s="171">
        <v>39.5</v>
      </c>
      <c r="Y2415" s="171">
        <v>38.94</v>
      </c>
      <c r="Z2415" s="171">
        <v>44.01</v>
      </c>
      <c r="AA2415" s="171">
        <v>30.650000000000002</v>
      </c>
      <c r="AB2415" s="171">
        <v>25.900000000000002</v>
      </c>
      <c r="AC2415" s="171">
        <v>28.080000000000002</v>
      </c>
      <c r="AD2415" s="171">
        <v>46.63</v>
      </c>
      <c r="AF2415" s="171">
        <f t="shared" si="113"/>
        <v>2016</v>
      </c>
      <c r="AG2415" s="171">
        <f t="shared" si="114"/>
        <v>15</v>
      </c>
      <c r="AH2415" s="700">
        <f>SUMIF(D$3:$AA2415,"&lt;="&amp;$AH$1)/COUNTIF(D$3:$AA2415,"&lt;="&amp;$AH$1)</f>
        <v>31.179162743181127</v>
      </c>
    </row>
    <row r="2416" spans="2:34" x14ac:dyDescent="0.25">
      <c r="B2416" s="910">
        <v>42608</v>
      </c>
      <c r="C2416" s="581">
        <f t="shared" si="115"/>
        <v>8</v>
      </c>
      <c r="D2416" s="171">
        <v>32.130000000000003</v>
      </c>
      <c r="E2416" s="171">
        <v>23.67</v>
      </c>
      <c r="F2416" s="171">
        <v>21.01</v>
      </c>
      <c r="G2416" s="171">
        <v>20.309999999999999</v>
      </c>
      <c r="H2416" s="171">
        <v>20.23</v>
      </c>
      <c r="I2416" s="171">
        <v>21.25</v>
      </c>
      <c r="J2416" s="171">
        <v>23.1</v>
      </c>
      <c r="K2416" s="171">
        <v>29</v>
      </c>
      <c r="L2416" s="171">
        <v>34.590000000000003</v>
      </c>
      <c r="M2416" s="171">
        <v>37.04</v>
      </c>
      <c r="N2416" s="171">
        <v>39.94</v>
      </c>
      <c r="O2416" s="171">
        <v>39.160000000000004</v>
      </c>
      <c r="P2416" s="171">
        <v>35</v>
      </c>
      <c r="Q2416" s="171">
        <v>35</v>
      </c>
      <c r="R2416" s="171">
        <v>35</v>
      </c>
      <c r="S2416" s="171">
        <v>30.12</v>
      </c>
      <c r="T2416" s="171">
        <v>34.94</v>
      </c>
      <c r="U2416" s="171">
        <v>34.130000000000003</v>
      </c>
      <c r="V2416" s="171">
        <v>36.300000000000004</v>
      </c>
      <c r="W2416" s="171">
        <v>39.65</v>
      </c>
      <c r="X2416" s="171">
        <v>42.67</v>
      </c>
      <c r="Y2416" s="171">
        <v>40.65</v>
      </c>
      <c r="Z2416" s="171">
        <v>38.53</v>
      </c>
      <c r="AA2416" s="171">
        <v>32.6</v>
      </c>
      <c r="AB2416" s="171">
        <v>27.34</v>
      </c>
      <c r="AC2416" s="171">
        <v>27.69</v>
      </c>
      <c r="AD2416" s="171">
        <v>36.58</v>
      </c>
      <c r="AF2416" s="171">
        <f t="shared" si="113"/>
        <v>2016</v>
      </c>
      <c r="AG2416" s="171">
        <f t="shared" si="114"/>
        <v>23</v>
      </c>
      <c r="AH2416" s="700">
        <f>SUMIF(D$3:$AA2416,"&lt;="&amp;$AH$1)/COUNTIF(D$3:$AA2416,"&lt;="&amp;$AH$1)</f>
        <v>31.179882859297155</v>
      </c>
    </row>
    <row r="2417" spans="2:34" x14ac:dyDescent="0.25">
      <c r="B2417" s="910">
        <v>42611</v>
      </c>
      <c r="C2417" s="581">
        <f t="shared" si="115"/>
        <v>8</v>
      </c>
      <c r="D2417" s="171">
        <v>32.14</v>
      </c>
      <c r="E2417" s="171">
        <v>22.16</v>
      </c>
      <c r="F2417" s="171">
        <v>23.22</v>
      </c>
      <c r="G2417" s="171">
        <v>23.3</v>
      </c>
      <c r="H2417" s="171">
        <v>23.14</v>
      </c>
      <c r="I2417" s="171">
        <v>22.61</v>
      </c>
      <c r="J2417" s="171">
        <v>24.52</v>
      </c>
      <c r="K2417" s="171">
        <v>34.869999999999997</v>
      </c>
      <c r="L2417" s="171">
        <v>40.26</v>
      </c>
      <c r="M2417" s="171">
        <v>41.800000000000004</v>
      </c>
      <c r="N2417" s="171">
        <v>38.480000000000004</v>
      </c>
      <c r="O2417" s="171">
        <v>44.65</v>
      </c>
      <c r="P2417" s="171">
        <v>42.25</v>
      </c>
      <c r="Q2417" s="171">
        <v>31.76</v>
      </c>
      <c r="R2417" s="171">
        <v>30.34</v>
      </c>
      <c r="S2417" s="171">
        <v>28.68</v>
      </c>
      <c r="T2417" s="171">
        <v>29.21</v>
      </c>
      <c r="U2417" s="171">
        <v>30.35</v>
      </c>
      <c r="V2417" s="171">
        <v>34.06</v>
      </c>
      <c r="W2417" s="171">
        <v>37.11</v>
      </c>
      <c r="X2417" s="171">
        <v>38.44</v>
      </c>
      <c r="Y2417" s="171">
        <v>39.14</v>
      </c>
      <c r="Z2417" s="171">
        <v>35.910000000000004</v>
      </c>
      <c r="AA2417" s="171">
        <v>30.89</v>
      </c>
      <c r="AB2417" s="171">
        <v>24.19</v>
      </c>
      <c r="AC2417" s="171">
        <v>28.68</v>
      </c>
      <c r="AD2417" s="171">
        <v>35.590000000000003</v>
      </c>
      <c r="AF2417" s="171">
        <f t="shared" si="113"/>
        <v>2016</v>
      </c>
      <c r="AG2417" s="171">
        <f t="shared" si="114"/>
        <v>23</v>
      </c>
      <c r="AH2417" s="700">
        <f>SUMIF(D$3:$AA2417,"&lt;="&amp;$AH$1)/COUNTIF(D$3:$AA2417,"&lt;="&amp;$AH$1)</f>
        <v>31.18065868794238</v>
      </c>
    </row>
    <row r="2418" spans="2:34" x14ac:dyDescent="0.25">
      <c r="B2418" s="910">
        <v>42612</v>
      </c>
      <c r="C2418" s="581">
        <f t="shared" si="115"/>
        <v>8</v>
      </c>
      <c r="D2418" s="171">
        <v>32.04</v>
      </c>
      <c r="E2418" s="171">
        <v>23.53</v>
      </c>
      <c r="F2418" s="171">
        <v>22</v>
      </c>
      <c r="G2418" s="171">
        <v>22.490000000000002</v>
      </c>
      <c r="H2418" s="171">
        <v>22.91</v>
      </c>
      <c r="I2418" s="171">
        <v>22.740000000000002</v>
      </c>
      <c r="J2418" s="171">
        <v>23.150000000000002</v>
      </c>
      <c r="K2418" s="171">
        <v>31.740000000000002</v>
      </c>
      <c r="L2418" s="171">
        <v>40.590000000000003</v>
      </c>
      <c r="M2418" s="171">
        <v>43.82</v>
      </c>
      <c r="N2418" s="171">
        <v>39.9</v>
      </c>
      <c r="O2418" s="171">
        <v>34.880000000000003</v>
      </c>
      <c r="P2418" s="171">
        <v>29</v>
      </c>
      <c r="Q2418" s="171">
        <v>26.46</v>
      </c>
      <c r="R2418" s="171">
        <v>26.97</v>
      </c>
      <c r="S2418" s="171">
        <v>26.86</v>
      </c>
      <c r="T2418" s="171">
        <v>28.96</v>
      </c>
      <c r="U2418" s="171">
        <v>33.33</v>
      </c>
      <c r="V2418" s="171">
        <v>38.340000000000003</v>
      </c>
      <c r="W2418" s="171">
        <v>41.28</v>
      </c>
      <c r="X2418" s="171">
        <v>44.11</v>
      </c>
      <c r="Y2418" s="171">
        <v>44.94</v>
      </c>
      <c r="Z2418" s="171">
        <v>41.25</v>
      </c>
      <c r="AA2418" s="171">
        <v>33.85</v>
      </c>
      <c r="AB2418" s="171">
        <v>25.830000000000002</v>
      </c>
      <c r="AC2418" s="171">
        <v>29.580000000000002</v>
      </c>
      <c r="AD2418" s="171">
        <v>34.49</v>
      </c>
      <c r="AF2418" s="171">
        <f t="shared" si="113"/>
        <v>2016</v>
      </c>
      <c r="AG2418" s="171">
        <f t="shared" si="114"/>
        <v>21</v>
      </c>
      <c r="AH2418" s="700">
        <f>SUMIF(D$3:$AA2418,"&lt;="&amp;$AH$1)/COUNTIF(D$3:$AA2418,"&lt;="&amp;$AH$1)</f>
        <v>31.180104069792304</v>
      </c>
    </row>
    <row r="2419" spans="2:34" x14ac:dyDescent="0.25">
      <c r="B2419" s="910">
        <v>42613</v>
      </c>
      <c r="C2419" s="581">
        <f t="shared" si="115"/>
        <v>8</v>
      </c>
      <c r="D2419" s="171">
        <v>29.71</v>
      </c>
      <c r="E2419" s="171">
        <v>22.95</v>
      </c>
      <c r="F2419" s="171">
        <v>23.14</v>
      </c>
      <c r="G2419" s="171">
        <v>22.45</v>
      </c>
      <c r="H2419" s="171">
        <v>22.77</v>
      </c>
      <c r="I2419" s="171">
        <v>22.79</v>
      </c>
      <c r="J2419" s="171">
        <v>23.240000000000002</v>
      </c>
      <c r="K2419" s="171">
        <v>25.17</v>
      </c>
      <c r="L2419" s="171">
        <v>40.46</v>
      </c>
      <c r="M2419" s="171">
        <v>41.69</v>
      </c>
      <c r="N2419" s="171">
        <v>35.480000000000004</v>
      </c>
      <c r="O2419" s="171">
        <v>27.93</v>
      </c>
      <c r="P2419" s="171">
        <v>26</v>
      </c>
      <c r="Q2419" s="171">
        <v>26.38</v>
      </c>
      <c r="R2419" s="171">
        <v>24.94</v>
      </c>
      <c r="S2419" s="171">
        <v>25.17</v>
      </c>
      <c r="T2419" s="171">
        <v>25.04</v>
      </c>
      <c r="U2419" s="171">
        <v>29.94</v>
      </c>
      <c r="V2419" s="171">
        <v>35.340000000000003</v>
      </c>
      <c r="W2419" s="171">
        <v>39.93</v>
      </c>
      <c r="X2419" s="171">
        <v>41.78</v>
      </c>
      <c r="Y2419" s="171">
        <v>40.800000000000004</v>
      </c>
      <c r="Z2419" s="171">
        <v>37.56</v>
      </c>
      <c r="AA2419" s="171">
        <v>27.2</v>
      </c>
      <c r="AB2419" s="171">
        <v>24.88</v>
      </c>
      <c r="AC2419" s="171">
        <v>27.78</v>
      </c>
      <c r="AD2419" s="171">
        <v>31.64</v>
      </c>
      <c r="AF2419" s="171">
        <f t="shared" si="113"/>
        <v>2016</v>
      </c>
      <c r="AG2419" s="171">
        <f t="shared" si="114"/>
        <v>24</v>
      </c>
      <c r="AH2419" s="700">
        <f>SUMIF(D$3:$AA2419,"&lt;="&amp;$AH$1)/COUNTIF(D$3:$AA2419,"&lt;="&amp;$AH$1)</f>
        <v>31.178756469806679</v>
      </c>
    </row>
    <row r="2420" spans="2:34" x14ac:dyDescent="0.25">
      <c r="B2420" s="910">
        <v>42614</v>
      </c>
      <c r="C2420" s="581">
        <f t="shared" si="115"/>
        <v>9</v>
      </c>
      <c r="D2420" s="171">
        <v>32.46</v>
      </c>
      <c r="E2420" s="171">
        <v>23.6</v>
      </c>
      <c r="F2420" s="171">
        <v>23.46</v>
      </c>
      <c r="G2420" s="171">
        <v>23.21</v>
      </c>
      <c r="H2420" s="171">
        <v>22.98</v>
      </c>
      <c r="I2420" s="171">
        <v>23.59</v>
      </c>
      <c r="J2420" s="171">
        <v>24.88</v>
      </c>
      <c r="K2420" s="171">
        <v>32.93</v>
      </c>
      <c r="L2420" s="171">
        <v>39.94</v>
      </c>
      <c r="M2420" s="171">
        <v>42.31</v>
      </c>
      <c r="N2420" s="171">
        <v>40.92</v>
      </c>
      <c r="O2420" s="171">
        <v>38.230000000000004</v>
      </c>
      <c r="P2420" s="171">
        <v>35.5</v>
      </c>
      <c r="Q2420" s="171">
        <v>29.93</v>
      </c>
      <c r="R2420" s="171">
        <v>28.68</v>
      </c>
      <c r="S2420" s="171">
        <v>31.5</v>
      </c>
      <c r="T2420" s="171">
        <v>32.07</v>
      </c>
      <c r="U2420" s="171">
        <v>32.39</v>
      </c>
      <c r="V2420" s="171">
        <v>35.22</v>
      </c>
      <c r="W2420" s="171">
        <v>38.11</v>
      </c>
      <c r="X2420" s="171">
        <v>39.950000000000003</v>
      </c>
      <c r="Y2420" s="171">
        <v>41.36</v>
      </c>
      <c r="Z2420" s="171">
        <v>39.4</v>
      </c>
      <c r="AA2420" s="171">
        <v>32.049999999999997</v>
      </c>
      <c r="AB2420" s="171">
        <v>26.94</v>
      </c>
      <c r="AC2420" s="171">
        <v>29.53</v>
      </c>
      <c r="AD2420" s="171">
        <v>35.4</v>
      </c>
      <c r="AF2420" s="171">
        <f t="shared" si="113"/>
        <v>2016</v>
      </c>
      <c r="AG2420" s="171">
        <f t="shared" si="114"/>
        <v>24</v>
      </c>
      <c r="AH2420" s="700">
        <f>SUMIF(D$3:$AA2420,"&lt;="&amp;$AH$1)/COUNTIF(D$3:$AA2420,"&lt;="&amp;$AH$1)</f>
        <v>31.180364134516768</v>
      </c>
    </row>
    <row r="2421" spans="2:34" x14ac:dyDescent="0.25">
      <c r="B2421" s="910">
        <v>42615</v>
      </c>
      <c r="C2421" s="581">
        <f t="shared" si="115"/>
        <v>9</v>
      </c>
      <c r="D2421" s="171">
        <v>28.59</v>
      </c>
      <c r="E2421" s="171">
        <v>24.5</v>
      </c>
      <c r="F2421" s="171">
        <v>23.79</v>
      </c>
      <c r="G2421" s="171">
        <v>23.2</v>
      </c>
      <c r="H2421" s="171">
        <v>21.81</v>
      </c>
      <c r="I2421" s="171">
        <v>21.900000000000002</v>
      </c>
      <c r="J2421" s="171">
        <v>22.28</v>
      </c>
      <c r="K2421" s="171">
        <v>24.6</v>
      </c>
      <c r="L2421" s="171">
        <v>37.86</v>
      </c>
      <c r="M2421" s="171">
        <v>40.5</v>
      </c>
      <c r="N2421" s="171">
        <v>35</v>
      </c>
      <c r="O2421" s="171">
        <v>29.17</v>
      </c>
      <c r="P2421" s="171">
        <v>27.44</v>
      </c>
      <c r="Q2421" s="171">
        <v>24.94</v>
      </c>
      <c r="R2421" s="171">
        <v>25.02</v>
      </c>
      <c r="S2421" s="171">
        <v>24.94</v>
      </c>
      <c r="T2421" s="171">
        <v>24.3</v>
      </c>
      <c r="U2421" s="171">
        <v>24.7</v>
      </c>
      <c r="V2421" s="171">
        <v>31.98</v>
      </c>
      <c r="W2421" s="171">
        <v>35.14</v>
      </c>
      <c r="X2421" s="171">
        <v>36.200000000000003</v>
      </c>
      <c r="Y2421" s="171">
        <v>38.380000000000003</v>
      </c>
      <c r="Z2421" s="171">
        <v>33.85</v>
      </c>
      <c r="AA2421" s="171">
        <v>29.98</v>
      </c>
      <c r="AB2421" s="171">
        <v>24.650000000000002</v>
      </c>
      <c r="AC2421" s="171">
        <v>27.23</v>
      </c>
      <c r="AD2421" s="171">
        <v>29.94</v>
      </c>
      <c r="AF2421" s="171">
        <f t="shared" si="113"/>
        <v>2016</v>
      </c>
      <c r="AG2421" s="171">
        <f t="shared" si="114"/>
        <v>24</v>
      </c>
      <c r="AH2421" s="700">
        <f>SUMIF(D$3:$AA2421,"&lt;="&amp;$AH$1)/COUNTIF(D$3:$AA2421,"&lt;="&amp;$AH$1)</f>
        <v>31.177792345383825</v>
      </c>
    </row>
    <row r="2422" spans="2:34" x14ac:dyDescent="0.25">
      <c r="B2422" s="910">
        <v>42618</v>
      </c>
      <c r="C2422" s="581">
        <f t="shared" si="115"/>
        <v>9</v>
      </c>
      <c r="D2422" s="171">
        <v>37.29</v>
      </c>
      <c r="E2422" s="171">
        <v>23.18</v>
      </c>
      <c r="F2422" s="171">
        <v>22.3</v>
      </c>
      <c r="G2422" s="171">
        <v>22.3</v>
      </c>
      <c r="H2422" s="171">
        <v>21.73</v>
      </c>
      <c r="I2422" s="171">
        <v>22.96</v>
      </c>
      <c r="J2422" s="171">
        <v>23.53</v>
      </c>
      <c r="K2422" s="171">
        <v>33.6</v>
      </c>
      <c r="L2422" s="171">
        <v>42.980000000000004</v>
      </c>
      <c r="M2422" s="171">
        <v>45.2</v>
      </c>
      <c r="N2422" s="171">
        <v>43.31</v>
      </c>
      <c r="O2422" s="171">
        <v>44.97</v>
      </c>
      <c r="P2422" s="171">
        <v>48.01</v>
      </c>
      <c r="Q2422" s="171">
        <v>48.79</v>
      </c>
      <c r="R2422" s="171">
        <v>44.22</v>
      </c>
      <c r="S2422" s="171">
        <v>45.32</v>
      </c>
      <c r="T2422" s="171">
        <v>44.77</v>
      </c>
      <c r="U2422" s="171">
        <v>45.32</v>
      </c>
      <c r="V2422" s="171">
        <v>42.31</v>
      </c>
      <c r="W2422" s="171">
        <v>40.480000000000004</v>
      </c>
      <c r="X2422" s="171">
        <v>43.12</v>
      </c>
      <c r="Y2422" s="171">
        <v>44.75</v>
      </c>
      <c r="Z2422" s="171">
        <v>40.81</v>
      </c>
      <c r="AA2422" s="171">
        <v>32.96</v>
      </c>
      <c r="AB2422" s="171">
        <v>28.07</v>
      </c>
      <c r="AC2422" s="171">
        <v>29.93</v>
      </c>
      <c r="AD2422" s="171">
        <v>44.65</v>
      </c>
      <c r="AF2422" s="171">
        <f t="shared" si="113"/>
        <v>2016</v>
      </c>
      <c r="AG2422" s="171">
        <f t="shared" si="114"/>
        <v>12</v>
      </c>
      <c r="AH2422" s="700">
        <f>SUMIF(D$3:$AA2422,"&lt;="&amp;$AH$1)/COUNTIF(D$3:$AA2422,"&lt;="&amp;$AH$1)</f>
        <v>31.1773209794829</v>
      </c>
    </row>
    <row r="2423" spans="2:34" x14ac:dyDescent="0.25">
      <c r="B2423" s="910">
        <v>42619</v>
      </c>
      <c r="C2423" s="581">
        <f t="shared" si="115"/>
        <v>9</v>
      </c>
      <c r="D2423" s="171">
        <v>33.74</v>
      </c>
      <c r="E2423" s="171">
        <v>22.88</v>
      </c>
      <c r="F2423" s="171">
        <v>23.44</v>
      </c>
      <c r="G2423" s="171">
        <v>24.84</v>
      </c>
      <c r="H2423" s="171">
        <v>23.59</v>
      </c>
      <c r="I2423" s="171">
        <v>23.75</v>
      </c>
      <c r="J2423" s="171">
        <v>26.25</v>
      </c>
      <c r="K2423" s="171">
        <v>34.369999999999997</v>
      </c>
      <c r="L2423" s="171">
        <v>42.97</v>
      </c>
      <c r="M2423" s="171">
        <v>44.63</v>
      </c>
      <c r="N2423" s="171">
        <v>43.08</v>
      </c>
      <c r="O2423" s="171">
        <v>37.44</v>
      </c>
      <c r="P2423" s="171">
        <v>36.020000000000003</v>
      </c>
      <c r="Q2423" s="171">
        <v>28.48</v>
      </c>
      <c r="R2423" s="171">
        <v>27.98</v>
      </c>
      <c r="S2423" s="171">
        <v>29.69</v>
      </c>
      <c r="T2423" s="171">
        <v>31.32</v>
      </c>
      <c r="U2423" s="171">
        <v>43.95</v>
      </c>
      <c r="V2423" s="171">
        <v>38.9</v>
      </c>
      <c r="W2423" s="171">
        <v>42.01</v>
      </c>
      <c r="X2423" s="171">
        <v>45.160000000000004</v>
      </c>
      <c r="Y2423" s="171">
        <v>43.92</v>
      </c>
      <c r="Z2423" s="171">
        <v>39.72</v>
      </c>
      <c r="AA2423" s="171">
        <v>28.77</v>
      </c>
      <c r="AB2423" s="171">
        <v>26.7</v>
      </c>
      <c r="AC2423" s="171">
        <v>30.1</v>
      </c>
      <c r="AD2423" s="171">
        <v>37.39</v>
      </c>
      <c r="AF2423" s="171">
        <f t="shared" si="113"/>
        <v>2016</v>
      </c>
      <c r="AG2423" s="171">
        <f t="shared" si="114"/>
        <v>18</v>
      </c>
      <c r="AH2423" s="700">
        <f>SUMIF(D$3:$AA2423,"&lt;="&amp;$AH$1)/COUNTIF(D$3:$AA2423,"&lt;="&amp;$AH$1)</f>
        <v>31.176968214080134</v>
      </c>
    </row>
    <row r="2424" spans="2:34" x14ac:dyDescent="0.25">
      <c r="B2424" s="910">
        <v>42620</v>
      </c>
      <c r="C2424" s="581">
        <f t="shared" si="115"/>
        <v>9</v>
      </c>
      <c r="D2424" s="171">
        <v>34.79</v>
      </c>
      <c r="E2424" s="171">
        <v>24.8</v>
      </c>
      <c r="F2424" s="171">
        <v>22.95</v>
      </c>
      <c r="G2424" s="171">
        <v>22</v>
      </c>
      <c r="H2424" s="171">
        <v>22.5</v>
      </c>
      <c r="I2424" s="171">
        <v>23.18</v>
      </c>
      <c r="J2424" s="171">
        <v>23.68</v>
      </c>
      <c r="K2424" s="171">
        <v>32.42</v>
      </c>
      <c r="L2424" s="171">
        <v>37.97</v>
      </c>
      <c r="M2424" s="171">
        <v>39</v>
      </c>
      <c r="N2424" s="171">
        <v>48.06</v>
      </c>
      <c r="O2424" s="171">
        <v>38</v>
      </c>
      <c r="P2424" s="171">
        <v>38</v>
      </c>
      <c r="Q2424" s="171">
        <v>31.220000000000002</v>
      </c>
      <c r="R2424" s="171">
        <v>35.5</v>
      </c>
      <c r="S2424" s="171">
        <v>35.5</v>
      </c>
      <c r="T2424" s="171">
        <v>42.410000000000004</v>
      </c>
      <c r="U2424" s="171">
        <v>35.5</v>
      </c>
      <c r="V2424" s="171">
        <v>48.300000000000004</v>
      </c>
      <c r="W2424" s="171">
        <v>50</v>
      </c>
      <c r="X2424" s="171">
        <v>44.81</v>
      </c>
      <c r="Y2424" s="171">
        <v>43.71</v>
      </c>
      <c r="Z2424" s="171">
        <v>38.9</v>
      </c>
      <c r="AA2424" s="171">
        <v>30.05</v>
      </c>
      <c r="AB2424" s="171">
        <v>26.59</v>
      </c>
      <c r="AC2424" s="171">
        <v>29.060000000000002</v>
      </c>
      <c r="AD2424" s="171">
        <v>40.53</v>
      </c>
      <c r="AF2424" s="171">
        <f t="shared" si="113"/>
        <v>2016</v>
      </c>
      <c r="AG2424" s="171">
        <f t="shared" si="114"/>
        <v>19</v>
      </c>
      <c r="AH2424" s="700">
        <f>SUMIF(D$3:$AA2424,"&lt;="&amp;$AH$1)/COUNTIF(D$3:$AA2424,"&lt;="&amp;$AH$1)</f>
        <v>31.17767333274513</v>
      </c>
    </row>
    <row r="2425" spans="2:34" x14ac:dyDescent="0.25">
      <c r="B2425" s="910">
        <v>42621</v>
      </c>
      <c r="C2425" s="581">
        <f t="shared" si="115"/>
        <v>9</v>
      </c>
      <c r="D2425" s="171">
        <v>31.98</v>
      </c>
      <c r="E2425" s="171">
        <v>23.82</v>
      </c>
      <c r="F2425" s="171">
        <v>24.07</v>
      </c>
      <c r="G2425" s="171">
        <v>23.5</v>
      </c>
      <c r="H2425" s="171">
        <v>23.080000000000002</v>
      </c>
      <c r="I2425" s="171">
        <v>23.1</v>
      </c>
      <c r="J2425" s="171">
        <v>24.240000000000002</v>
      </c>
      <c r="K2425" s="171">
        <v>31.91</v>
      </c>
      <c r="L2425" s="171">
        <v>38.71</v>
      </c>
      <c r="M2425" s="171">
        <v>39.619999999999997</v>
      </c>
      <c r="N2425" s="171">
        <v>39.520000000000003</v>
      </c>
      <c r="O2425" s="171">
        <v>37.65</v>
      </c>
      <c r="P2425" s="171">
        <v>35.730000000000004</v>
      </c>
      <c r="Q2425" s="171">
        <v>32.61</v>
      </c>
      <c r="R2425" s="171">
        <v>29</v>
      </c>
      <c r="S2425" s="171">
        <v>28.580000000000002</v>
      </c>
      <c r="T2425" s="171">
        <v>30.34</v>
      </c>
      <c r="U2425" s="171">
        <v>30.01</v>
      </c>
      <c r="V2425" s="171">
        <v>35.92</v>
      </c>
      <c r="W2425" s="171">
        <v>40.410000000000004</v>
      </c>
      <c r="X2425" s="171">
        <v>42.59</v>
      </c>
      <c r="Y2425" s="171">
        <v>41.300000000000004</v>
      </c>
      <c r="Z2425" s="171">
        <v>37.81</v>
      </c>
      <c r="AA2425" s="171">
        <v>29.27</v>
      </c>
      <c r="AB2425" s="171">
        <v>24.84</v>
      </c>
      <c r="AC2425" s="171">
        <v>28.8</v>
      </c>
      <c r="AD2425" s="171">
        <v>35.17</v>
      </c>
      <c r="AF2425" s="171">
        <f t="shared" si="113"/>
        <v>2016</v>
      </c>
      <c r="AG2425" s="171">
        <f t="shared" si="114"/>
        <v>23</v>
      </c>
      <c r="AH2425" s="700">
        <f>SUMIF(D$3:$AA2425,"&lt;="&amp;$AH$1)/COUNTIF(D$3:$AA2425,"&lt;="&amp;$AH$1)</f>
        <v>31.178337513750488</v>
      </c>
    </row>
    <row r="2426" spans="2:34" x14ac:dyDescent="0.25">
      <c r="B2426" s="910">
        <v>42622</v>
      </c>
      <c r="C2426" s="581">
        <f t="shared" si="115"/>
        <v>9</v>
      </c>
      <c r="D2426" s="171">
        <v>33.54</v>
      </c>
      <c r="E2426" s="171">
        <v>24.14</v>
      </c>
      <c r="F2426" s="171">
        <v>23.330000000000002</v>
      </c>
      <c r="G2426" s="171">
        <v>22.16</v>
      </c>
      <c r="H2426" s="171">
        <v>22.97</v>
      </c>
      <c r="I2426" s="171">
        <v>23.26</v>
      </c>
      <c r="J2426" s="171">
        <v>24.82</v>
      </c>
      <c r="K2426" s="171">
        <v>33.770000000000003</v>
      </c>
      <c r="L2426" s="171">
        <v>40.35</v>
      </c>
      <c r="M2426" s="171">
        <v>43.25</v>
      </c>
      <c r="N2426" s="171">
        <v>44.94</v>
      </c>
      <c r="O2426" s="171">
        <v>38.21</v>
      </c>
      <c r="P2426" s="171">
        <v>41.4</v>
      </c>
      <c r="Q2426" s="171">
        <v>38.14</v>
      </c>
      <c r="R2426" s="171">
        <v>34.57</v>
      </c>
      <c r="S2426" s="171">
        <v>29.900000000000002</v>
      </c>
      <c r="T2426" s="171">
        <v>29.490000000000002</v>
      </c>
      <c r="U2426" s="171">
        <v>30.44</v>
      </c>
      <c r="V2426" s="171">
        <v>35.89</v>
      </c>
      <c r="W2426" s="171">
        <v>40</v>
      </c>
      <c r="X2426" s="171">
        <v>41.94</v>
      </c>
      <c r="Y2426" s="171">
        <v>43.22</v>
      </c>
      <c r="Z2426" s="171">
        <v>38.32</v>
      </c>
      <c r="AA2426" s="171">
        <v>32.11</v>
      </c>
      <c r="AB2426" s="171">
        <v>28.310000000000002</v>
      </c>
      <c r="AC2426" s="171">
        <v>29.73</v>
      </c>
      <c r="AD2426" s="171">
        <v>37.35</v>
      </c>
      <c r="AF2426" s="171">
        <f t="shared" si="113"/>
        <v>2016</v>
      </c>
      <c r="AG2426" s="171">
        <f t="shared" si="114"/>
        <v>21</v>
      </c>
      <c r="AH2426" s="700">
        <f>SUMIF(D$3:$AA2426,"&lt;="&amp;$AH$1)/COUNTIF(D$3:$AA2426,"&lt;="&amp;$AH$1)</f>
        <v>31.179392860282231</v>
      </c>
    </row>
    <row r="2427" spans="2:34" x14ac:dyDescent="0.25">
      <c r="B2427" s="910">
        <v>42625</v>
      </c>
      <c r="C2427" s="581">
        <f t="shared" si="115"/>
        <v>9</v>
      </c>
      <c r="D2427" s="171">
        <v>44.660000000000004</v>
      </c>
      <c r="E2427" s="171">
        <v>24.060000000000002</v>
      </c>
      <c r="F2427" s="171">
        <v>23.45</v>
      </c>
      <c r="G2427" s="171">
        <v>22.88</v>
      </c>
      <c r="H2427" s="171">
        <v>22.150000000000002</v>
      </c>
      <c r="I2427" s="171">
        <v>22.75</v>
      </c>
      <c r="J2427" s="171">
        <v>23.97</v>
      </c>
      <c r="K2427" s="171">
        <v>36.69</v>
      </c>
      <c r="L2427" s="171">
        <v>43</v>
      </c>
      <c r="M2427" s="171">
        <v>47.99</v>
      </c>
      <c r="N2427" s="171">
        <v>50.03</v>
      </c>
      <c r="O2427" s="171">
        <v>46.88</v>
      </c>
      <c r="P2427" s="171">
        <v>48.21</v>
      </c>
      <c r="Q2427" s="171">
        <v>48.230000000000004</v>
      </c>
      <c r="R2427" s="171">
        <v>47.910000000000004</v>
      </c>
      <c r="S2427" s="171">
        <v>46.43</v>
      </c>
      <c r="T2427" s="171">
        <v>46.160000000000004</v>
      </c>
      <c r="U2427" s="171">
        <v>48.120000000000005</v>
      </c>
      <c r="V2427" s="171">
        <v>57.36</v>
      </c>
      <c r="W2427" s="171">
        <v>66.22</v>
      </c>
      <c r="X2427" s="171">
        <v>79.03</v>
      </c>
      <c r="Y2427" s="171">
        <v>82.48</v>
      </c>
      <c r="Z2427" s="171">
        <v>72.42</v>
      </c>
      <c r="AA2427" s="171">
        <v>37.44</v>
      </c>
      <c r="AB2427" s="171">
        <v>28.05</v>
      </c>
      <c r="AC2427" s="171">
        <v>36.61</v>
      </c>
      <c r="AD2427" s="171">
        <v>52.71</v>
      </c>
      <c r="AF2427" s="171">
        <f t="shared" si="113"/>
        <v>2016</v>
      </c>
      <c r="AG2427" s="171">
        <f t="shared" si="114"/>
        <v>8</v>
      </c>
      <c r="AH2427" s="700">
        <f>SUMIF(D$3:$AA2427,"&lt;="&amp;$AH$1)/COUNTIF(D$3:$AA2427,"&lt;="&amp;$AH$1)</f>
        <v>31.177808736924476</v>
      </c>
    </row>
    <row r="2428" spans="2:34" x14ac:dyDescent="0.25">
      <c r="B2428" s="910">
        <v>42626</v>
      </c>
      <c r="C2428" s="581">
        <f t="shared" si="115"/>
        <v>9</v>
      </c>
      <c r="D2428" s="171">
        <v>47.17</v>
      </c>
      <c r="E2428" s="171">
        <v>26.64</v>
      </c>
      <c r="F2428" s="171">
        <v>24.8</v>
      </c>
      <c r="G2428" s="171">
        <v>24</v>
      </c>
      <c r="H2428" s="171">
        <v>23.52</v>
      </c>
      <c r="I2428" s="171">
        <v>23.55</v>
      </c>
      <c r="J2428" s="171">
        <v>26.39</v>
      </c>
      <c r="K2428" s="171">
        <v>37.480000000000004</v>
      </c>
      <c r="L2428" s="171">
        <v>44.44</v>
      </c>
      <c r="M2428" s="171">
        <v>47.53</v>
      </c>
      <c r="N2428" s="171">
        <v>57.35</v>
      </c>
      <c r="O2428" s="171">
        <v>67.510000000000005</v>
      </c>
      <c r="P2428" s="171">
        <v>64.94</v>
      </c>
      <c r="Q2428" s="171">
        <v>52.44</v>
      </c>
      <c r="R2428" s="171">
        <v>57.35</v>
      </c>
      <c r="S2428" s="171">
        <v>61.97</v>
      </c>
      <c r="T2428" s="171">
        <v>59.52</v>
      </c>
      <c r="U2428" s="171">
        <v>64.75</v>
      </c>
      <c r="V2428" s="171">
        <v>66.400000000000006</v>
      </c>
      <c r="W2428" s="171">
        <v>66.510000000000005</v>
      </c>
      <c r="X2428" s="171">
        <v>56.25</v>
      </c>
      <c r="Y2428" s="171">
        <v>64.64</v>
      </c>
      <c r="Z2428" s="171">
        <v>59.94</v>
      </c>
      <c r="AA2428" s="171">
        <v>28.830000000000002</v>
      </c>
      <c r="AB2428" s="171">
        <v>25.310000000000002</v>
      </c>
      <c r="AC2428" s="171">
        <v>34.130000000000003</v>
      </c>
      <c r="AD2428" s="171">
        <v>60.21</v>
      </c>
      <c r="AF2428" s="171">
        <f t="shared" si="113"/>
        <v>2016</v>
      </c>
      <c r="AG2428" s="171">
        <f t="shared" si="114"/>
        <v>8</v>
      </c>
      <c r="AH2428" s="700">
        <f>SUMIF(D$3:$AA2428,"&lt;="&amp;$AH$1)/COUNTIF(D$3:$AA2428,"&lt;="&amp;$AH$1)</f>
        <v>31.176305684912556</v>
      </c>
    </row>
    <row r="2429" spans="2:34" x14ac:dyDescent="0.25">
      <c r="B2429" s="910">
        <v>42627</v>
      </c>
      <c r="C2429" s="581">
        <f t="shared" si="115"/>
        <v>9</v>
      </c>
      <c r="D2429" s="171">
        <v>36.19</v>
      </c>
      <c r="E2429" s="171">
        <v>23</v>
      </c>
      <c r="F2429" s="171">
        <v>22.19</v>
      </c>
      <c r="G2429" s="171">
        <v>21.34</v>
      </c>
      <c r="H2429" s="171">
        <v>21.85</v>
      </c>
      <c r="I2429" s="171">
        <v>22.740000000000002</v>
      </c>
      <c r="J2429" s="171">
        <v>23.14</v>
      </c>
      <c r="K2429" s="171">
        <v>33.25</v>
      </c>
      <c r="L2429" s="171">
        <v>37.42</v>
      </c>
      <c r="M2429" s="171">
        <v>41.97</v>
      </c>
      <c r="N2429" s="171">
        <v>54.94</v>
      </c>
      <c r="O2429" s="171">
        <v>50.03</v>
      </c>
      <c r="P2429" s="171">
        <v>50.04</v>
      </c>
      <c r="Q2429" s="171">
        <v>45.12</v>
      </c>
      <c r="R2429" s="171">
        <v>46</v>
      </c>
      <c r="S2429" s="171">
        <v>35.700000000000003</v>
      </c>
      <c r="T2429" s="171">
        <v>35.700000000000003</v>
      </c>
      <c r="U2429" s="171">
        <v>41.99</v>
      </c>
      <c r="V2429" s="171">
        <v>55.56</v>
      </c>
      <c r="W2429" s="171">
        <v>45.99</v>
      </c>
      <c r="X2429" s="171">
        <v>40.18</v>
      </c>
      <c r="Y2429" s="171">
        <v>37.78</v>
      </c>
      <c r="Z2429" s="171">
        <v>30.810000000000002</v>
      </c>
      <c r="AA2429" s="171">
        <v>28.3</v>
      </c>
      <c r="AB2429" s="171">
        <v>23.43</v>
      </c>
      <c r="AC2429" s="171">
        <v>27.1</v>
      </c>
      <c r="AD2429" s="171">
        <v>45.27</v>
      </c>
      <c r="AF2429" s="171">
        <f t="shared" si="113"/>
        <v>2016</v>
      </c>
      <c r="AG2429" s="171">
        <f t="shared" si="114"/>
        <v>17</v>
      </c>
      <c r="AH2429" s="700">
        <f>SUMIF(D$3:$AA2429,"&lt;="&amp;$AH$1)/COUNTIF(D$3:$AA2429,"&lt;="&amp;$AH$1)</f>
        <v>31.176461653276242</v>
      </c>
    </row>
    <row r="2430" spans="2:34" x14ac:dyDescent="0.25">
      <c r="B2430" s="910">
        <v>42628</v>
      </c>
      <c r="C2430" s="581">
        <f t="shared" si="115"/>
        <v>9</v>
      </c>
      <c r="D2430" s="171">
        <v>34.480000000000004</v>
      </c>
      <c r="E2430" s="171">
        <v>23.69</v>
      </c>
      <c r="F2430" s="171">
        <v>22.17</v>
      </c>
      <c r="G2430" s="171">
        <v>21.62</v>
      </c>
      <c r="H2430" s="171">
        <v>21.13</v>
      </c>
      <c r="I2430" s="171">
        <v>21.35</v>
      </c>
      <c r="J2430" s="171">
        <v>23.27</v>
      </c>
      <c r="K2430" s="171">
        <v>27.27</v>
      </c>
      <c r="L2430" s="171">
        <v>38.590000000000003</v>
      </c>
      <c r="M2430" s="171">
        <v>39.14</v>
      </c>
      <c r="N2430" s="171">
        <v>36.06</v>
      </c>
      <c r="O2430" s="171">
        <v>35</v>
      </c>
      <c r="P2430" s="171">
        <v>39.94</v>
      </c>
      <c r="Q2430" s="171">
        <v>35</v>
      </c>
      <c r="R2430" s="171">
        <v>35</v>
      </c>
      <c r="S2430" s="171">
        <v>45</v>
      </c>
      <c r="T2430" s="171">
        <v>47.57</v>
      </c>
      <c r="U2430" s="171">
        <v>47.34</v>
      </c>
      <c r="V2430" s="171">
        <v>55</v>
      </c>
      <c r="W2430" s="171">
        <v>50.03</v>
      </c>
      <c r="X2430" s="171">
        <v>40.86</v>
      </c>
      <c r="Y2430" s="171">
        <v>40.72</v>
      </c>
      <c r="Z2430" s="171">
        <v>30.98</v>
      </c>
      <c r="AA2430" s="171">
        <v>26.5</v>
      </c>
      <c r="AB2430" s="171">
        <v>24.18</v>
      </c>
      <c r="AC2430" s="171">
        <v>26.79</v>
      </c>
      <c r="AD2430" s="171">
        <v>42.160000000000004</v>
      </c>
      <c r="AF2430" s="171">
        <f t="shared" si="113"/>
        <v>2016</v>
      </c>
      <c r="AG2430" s="171">
        <f t="shared" si="114"/>
        <v>19</v>
      </c>
      <c r="AH2430" s="700">
        <f>SUMIF(D$3:$AA2430,"&lt;="&amp;$AH$1)/COUNTIF(D$3:$AA2430,"&lt;="&amp;$AH$1)</f>
        <v>31.176479954381062</v>
      </c>
    </row>
    <row r="2431" spans="2:34" x14ac:dyDescent="0.25">
      <c r="B2431" s="910">
        <v>42629</v>
      </c>
      <c r="C2431" s="581">
        <f t="shared" si="115"/>
        <v>9</v>
      </c>
      <c r="D2431" s="171">
        <v>27.330000000000002</v>
      </c>
      <c r="E2431" s="171">
        <v>22.27</v>
      </c>
      <c r="F2431" s="171">
        <v>23.13</v>
      </c>
      <c r="G2431" s="171">
        <v>21.93</v>
      </c>
      <c r="H2431" s="171">
        <v>20.97</v>
      </c>
      <c r="I2431" s="171">
        <v>18.940000000000001</v>
      </c>
      <c r="J2431" s="171">
        <v>19.53</v>
      </c>
      <c r="K2431" s="171">
        <v>20.89</v>
      </c>
      <c r="L2431" s="171">
        <v>20.73</v>
      </c>
      <c r="M2431" s="171">
        <v>22.77</v>
      </c>
      <c r="N2431" s="171">
        <v>24.78</v>
      </c>
      <c r="O2431" s="171">
        <v>24.560000000000002</v>
      </c>
      <c r="P2431" s="171">
        <v>24.98</v>
      </c>
      <c r="Q2431" s="171">
        <v>24</v>
      </c>
      <c r="R2431" s="171">
        <v>24.89</v>
      </c>
      <c r="S2431" s="171">
        <v>23.6</v>
      </c>
      <c r="T2431" s="171">
        <v>22.93</v>
      </c>
      <c r="U2431" s="171">
        <v>23.2</v>
      </c>
      <c r="V2431" s="171">
        <v>27.16</v>
      </c>
      <c r="W2431" s="171">
        <v>32.54</v>
      </c>
      <c r="X2431" s="171">
        <v>42.94</v>
      </c>
      <c r="Y2431" s="171">
        <v>60.88</v>
      </c>
      <c r="Z2431" s="171">
        <v>54.94</v>
      </c>
      <c r="AA2431" s="171">
        <v>27.94</v>
      </c>
      <c r="AB2431" s="171">
        <v>25.46</v>
      </c>
      <c r="AC2431" s="171">
        <v>27.900000000000002</v>
      </c>
      <c r="AD2431" s="171">
        <v>37.26</v>
      </c>
      <c r="AF2431" s="171">
        <f t="shared" si="113"/>
        <v>2016</v>
      </c>
      <c r="AG2431" s="171">
        <f t="shared" si="114"/>
        <v>21</v>
      </c>
      <c r="AH2431" s="700">
        <f>SUMIF(D$3:$AA2431,"&lt;="&amp;$AH$1)/COUNTIF(D$3:$AA2431,"&lt;="&amp;$AH$1)</f>
        <v>31.169659494280182</v>
      </c>
    </row>
    <row r="2432" spans="2:34" x14ac:dyDescent="0.25">
      <c r="B2432" s="910">
        <v>42632</v>
      </c>
      <c r="C2432" s="581">
        <f t="shared" si="115"/>
        <v>9</v>
      </c>
      <c r="D2432" s="171">
        <v>34.79</v>
      </c>
      <c r="E2432" s="171">
        <v>24.72</v>
      </c>
      <c r="F2432" s="171">
        <v>24.2</v>
      </c>
      <c r="G2432" s="171">
        <v>23.78</v>
      </c>
      <c r="H2432" s="171">
        <v>22.44</v>
      </c>
      <c r="I2432" s="171">
        <v>22.05</v>
      </c>
      <c r="J2432" s="171">
        <v>23.91</v>
      </c>
      <c r="K2432" s="171">
        <v>36.06</v>
      </c>
      <c r="L2432" s="171">
        <v>42.31</v>
      </c>
      <c r="M2432" s="171">
        <v>44.6</v>
      </c>
      <c r="N2432" s="171">
        <v>43.910000000000004</v>
      </c>
      <c r="O2432" s="171">
        <v>43.95</v>
      </c>
      <c r="P2432" s="171">
        <v>43.97</v>
      </c>
      <c r="Q2432" s="171">
        <v>41.27</v>
      </c>
      <c r="R2432" s="171">
        <v>39.31</v>
      </c>
      <c r="S2432" s="171">
        <v>37.68</v>
      </c>
      <c r="T2432" s="171">
        <v>37.93</v>
      </c>
      <c r="U2432" s="171">
        <v>37.78</v>
      </c>
      <c r="V2432" s="171">
        <v>39.22</v>
      </c>
      <c r="W2432" s="171">
        <v>39.9</v>
      </c>
      <c r="X2432" s="171">
        <v>41.99</v>
      </c>
      <c r="Y2432" s="171">
        <v>40.1</v>
      </c>
      <c r="Z2432" s="171">
        <v>30</v>
      </c>
      <c r="AA2432" s="171">
        <v>28.01</v>
      </c>
      <c r="AB2432" s="171">
        <v>25.990000000000002</v>
      </c>
      <c r="AC2432" s="171">
        <v>28.63</v>
      </c>
      <c r="AD2432" s="171">
        <v>40.96</v>
      </c>
      <c r="AF2432" s="171">
        <f t="shared" si="113"/>
        <v>2016</v>
      </c>
      <c r="AG2432" s="171">
        <f t="shared" si="114"/>
        <v>20</v>
      </c>
      <c r="AH2432" s="700">
        <f>SUMIF(D$3:$AA2432,"&lt;="&amp;$AH$1)/COUNTIF(D$3:$AA2432,"&lt;="&amp;$AH$1)</f>
        <v>31.171588510879626</v>
      </c>
    </row>
    <row r="2433" spans="2:34" x14ac:dyDescent="0.25">
      <c r="B2433" s="910">
        <v>42633</v>
      </c>
      <c r="C2433" s="581">
        <f t="shared" si="115"/>
        <v>9</v>
      </c>
      <c r="D2433" s="171">
        <v>39.700000000000003</v>
      </c>
      <c r="E2433" s="171">
        <v>24.79</v>
      </c>
      <c r="F2433" s="171">
        <v>24.79</v>
      </c>
      <c r="G2433" s="171">
        <v>23.51</v>
      </c>
      <c r="H2433" s="171">
        <v>23.06</v>
      </c>
      <c r="I2433" s="171">
        <v>23.44</v>
      </c>
      <c r="J2433" s="171">
        <v>24.73</v>
      </c>
      <c r="K2433" s="171">
        <v>32.730000000000004</v>
      </c>
      <c r="L2433" s="171">
        <v>43.54</v>
      </c>
      <c r="M2433" s="171">
        <v>51.65</v>
      </c>
      <c r="N2433" s="171">
        <v>58.17</v>
      </c>
      <c r="O2433" s="171">
        <v>42.550000000000004</v>
      </c>
      <c r="P2433" s="171">
        <v>46.07</v>
      </c>
      <c r="Q2433" s="171">
        <v>40.25</v>
      </c>
      <c r="R2433" s="171">
        <v>39.94</v>
      </c>
      <c r="S2433" s="171">
        <v>40.75</v>
      </c>
      <c r="T2433" s="171">
        <v>44.94</v>
      </c>
      <c r="U2433" s="171">
        <v>55</v>
      </c>
      <c r="V2433" s="171">
        <v>56.82</v>
      </c>
      <c r="W2433" s="171">
        <v>52</v>
      </c>
      <c r="X2433" s="171">
        <v>50</v>
      </c>
      <c r="Y2433" s="171">
        <v>59.61</v>
      </c>
      <c r="Z2433" s="171">
        <v>39.94</v>
      </c>
      <c r="AA2433" s="171">
        <v>28.54</v>
      </c>
      <c r="AB2433" s="171">
        <v>26.03</v>
      </c>
      <c r="AC2433" s="171">
        <v>31.23</v>
      </c>
      <c r="AD2433" s="171">
        <v>48.18</v>
      </c>
      <c r="AF2433" s="171">
        <f t="shared" si="113"/>
        <v>2016</v>
      </c>
      <c r="AG2433" s="171">
        <f t="shared" si="114"/>
        <v>14</v>
      </c>
      <c r="AH2433" s="700">
        <f>SUMIF(D$3:$AA2433,"&lt;="&amp;$AH$1)/COUNTIF(D$3:$AA2433,"&lt;="&amp;$AH$1)</f>
        <v>31.172127510610412</v>
      </c>
    </row>
    <row r="2434" spans="2:34" x14ac:dyDescent="0.25">
      <c r="B2434" s="910">
        <v>42634</v>
      </c>
      <c r="C2434" s="581">
        <f t="shared" si="115"/>
        <v>9</v>
      </c>
      <c r="D2434" s="171">
        <v>35.53</v>
      </c>
      <c r="E2434" s="171">
        <v>24.82</v>
      </c>
      <c r="F2434" s="171">
        <v>24.55</v>
      </c>
      <c r="G2434" s="171">
        <v>24.11</v>
      </c>
      <c r="H2434" s="171">
        <v>24.13</v>
      </c>
      <c r="I2434" s="171">
        <v>24.09</v>
      </c>
      <c r="J2434" s="171">
        <v>24.91</v>
      </c>
      <c r="K2434" s="171">
        <v>36.97</v>
      </c>
      <c r="L2434" s="171">
        <v>48.19</v>
      </c>
      <c r="M2434" s="171">
        <v>49.71</v>
      </c>
      <c r="N2434" s="171">
        <v>45.7</v>
      </c>
      <c r="O2434" s="171">
        <v>42.07</v>
      </c>
      <c r="P2434" s="171">
        <v>38.869999999999997</v>
      </c>
      <c r="Q2434" s="171">
        <v>33.53</v>
      </c>
      <c r="R2434" s="171">
        <v>33.43</v>
      </c>
      <c r="S2434" s="171">
        <v>32.07</v>
      </c>
      <c r="T2434" s="171">
        <v>34.99</v>
      </c>
      <c r="U2434" s="171">
        <v>36.800000000000004</v>
      </c>
      <c r="V2434" s="171">
        <v>42.7</v>
      </c>
      <c r="W2434" s="171">
        <v>45</v>
      </c>
      <c r="X2434" s="171">
        <v>48.75</v>
      </c>
      <c r="Y2434" s="171">
        <v>43.87</v>
      </c>
      <c r="Z2434" s="171">
        <v>37.96</v>
      </c>
      <c r="AA2434" s="171">
        <v>28.490000000000002</v>
      </c>
      <c r="AB2434" s="171">
        <v>27.09</v>
      </c>
      <c r="AC2434" s="171">
        <v>30.76</v>
      </c>
      <c r="AD2434" s="171">
        <v>40.300000000000004</v>
      </c>
      <c r="AF2434" s="171">
        <f t="shared" si="113"/>
        <v>2016</v>
      </c>
      <c r="AG2434" s="171">
        <f t="shared" si="114"/>
        <v>17</v>
      </c>
      <c r="AH2434" s="700">
        <f>SUMIF(D$3:$AA2434,"&lt;="&amp;$AH$1)/COUNTIF(D$3:$AA2434,"&lt;="&amp;$AH$1)</f>
        <v>31.172450808919095</v>
      </c>
    </row>
    <row r="2435" spans="2:34" x14ac:dyDescent="0.25">
      <c r="B2435" s="910">
        <v>42635</v>
      </c>
      <c r="C2435" s="581">
        <f t="shared" si="115"/>
        <v>9</v>
      </c>
      <c r="D2435" s="171">
        <v>34.85</v>
      </c>
      <c r="E2435" s="171">
        <v>25.86</v>
      </c>
      <c r="F2435" s="171">
        <v>25.09</v>
      </c>
      <c r="G2435" s="171">
        <v>24.73</v>
      </c>
      <c r="H2435" s="171">
        <v>24.26</v>
      </c>
      <c r="I2435" s="171">
        <v>24.240000000000002</v>
      </c>
      <c r="J2435" s="171">
        <v>25.98</v>
      </c>
      <c r="K2435" s="171">
        <v>38.19</v>
      </c>
      <c r="L2435" s="171">
        <v>43.89</v>
      </c>
      <c r="M2435" s="171">
        <v>43.63</v>
      </c>
      <c r="N2435" s="171">
        <v>38.71</v>
      </c>
      <c r="O2435" s="171">
        <v>29.16</v>
      </c>
      <c r="P2435" s="171">
        <v>36.6</v>
      </c>
      <c r="Q2435" s="171">
        <v>36.6</v>
      </c>
      <c r="R2435" s="171">
        <v>36.6</v>
      </c>
      <c r="S2435" s="171">
        <v>41.28</v>
      </c>
      <c r="T2435" s="171">
        <v>31.09</v>
      </c>
      <c r="U2435" s="171">
        <v>33.36</v>
      </c>
      <c r="V2435" s="171">
        <v>40.840000000000003</v>
      </c>
      <c r="W2435" s="171">
        <v>43.56</v>
      </c>
      <c r="X2435" s="171">
        <v>49.06</v>
      </c>
      <c r="Y2435" s="171">
        <v>46.61</v>
      </c>
      <c r="Z2435" s="171">
        <v>39.950000000000003</v>
      </c>
      <c r="AA2435" s="171">
        <v>30.64</v>
      </c>
      <c r="AB2435" s="171">
        <v>26.47</v>
      </c>
      <c r="AC2435" s="171">
        <v>31.330000000000002</v>
      </c>
      <c r="AD2435" s="171">
        <v>38.369999999999997</v>
      </c>
      <c r="AF2435" s="171">
        <f t="shared" si="113"/>
        <v>2016</v>
      </c>
      <c r="AG2435" s="171">
        <f t="shared" si="114"/>
        <v>19</v>
      </c>
      <c r="AH2435" s="700">
        <f>SUMIF(D$3:$AA2435,"&lt;="&amp;$AH$1)/COUNTIF(D$3:$AA2435,"&lt;="&amp;$AH$1)</f>
        <v>31.173575953513886</v>
      </c>
    </row>
    <row r="2436" spans="2:34" x14ac:dyDescent="0.25">
      <c r="B2436" s="910">
        <v>42636</v>
      </c>
      <c r="C2436" s="581">
        <f t="shared" si="115"/>
        <v>9</v>
      </c>
      <c r="D2436" s="171">
        <v>32.14</v>
      </c>
      <c r="E2436" s="171">
        <v>25.84</v>
      </c>
      <c r="F2436" s="171">
        <v>24.75</v>
      </c>
      <c r="G2436" s="171">
        <v>24.68</v>
      </c>
      <c r="H2436" s="171">
        <v>24.78</v>
      </c>
      <c r="I2436" s="171">
        <v>25.14</v>
      </c>
      <c r="J2436" s="171">
        <v>26.47</v>
      </c>
      <c r="K2436" s="171">
        <v>36.06</v>
      </c>
      <c r="L2436" s="171">
        <v>43.37</v>
      </c>
      <c r="M2436" s="171">
        <v>43.74</v>
      </c>
      <c r="N2436" s="171">
        <v>39.6</v>
      </c>
      <c r="O2436" s="171">
        <v>37.22</v>
      </c>
      <c r="P2436" s="171">
        <v>33.08</v>
      </c>
      <c r="Q2436" s="171">
        <v>28.91</v>
      </c>
      <c r="R2436" s="171">
        <v>28.64</v>
      </c>
      <c r="S2436" s="171">
        <v>27.810000000000002</v>
      </c>
      <c r="T2436" s="171">
        <v>28.59</v>
      </c>
      <c r="U2436" s="171">
        <v>29.1</v>
      </c>
      <c r="V2436" s="171">
        <v>32.97</v>
      </c>
      <c r="W2436" s="171">
        <v>37.54</v>
      </c>
      <c r="X2436" s="171">
        <v>42.480000000000004</v>
      </c>
      <c r="Y2436" s="171">
        <v>41.95</v>
      </c>
      <c r="Z2436" s="171">
        <v>32.549999999999997</v>
      </c>
      <c r="AA2436" s="171">
        <v>29.32</v>
      </c>
      <c r="AB2436" s="171">
        <v>26.79</v>
      </c>
      <c r="AC2436" s="171">
        <v>30.14</v>
      </c>
      <c r="AD2436" s="171">
        <v>34.14</v>
      </c>
      <c r="AF2436" s="171">
        <f t="shared" ref="AF2436:AF2499" si="116">YEAR(B2436)</f>
        <v>2016</v>
      </c>
      <c r="AG2436" s="171">
        <f t="shared" ref="AG2436:AG2499" si="117">COUNTIF(D2436:AA2436,"&lt;="&amp;$AH$1)</f>
        <v>22</v>
      </c>
      <c r="AH2436" s="700">
        <f>SUMIF(D$3:$AA2436,"&lt;="&amp;$AH$1)/COUNTIF(D$3:$AA2436,"&lt;="&amp;$AH$1)</f>
        <v>31.173741870716224</v>
      </c>
    </row>
    <row r="2437" spans="2:34" x14ac:dyDescent="0.25">
      <c r="B2437" s="910">
        <v>42639</v>
      </c>
      <c r="C2437" s="581">
        <f t="shared" si="115"/>
        <v>9</v>
      </c>
      <c r="D2437" s="171">
        <v>36.86</v>
      </c>
      <c r="E2437" s="171">
        <v>24.27</v>
      </c>
      <c r="F2437" s="171">
        <v>24.2</v>
      </c>
      <c r="G2437" s="171">
        <v>23.42</v>
      </c>
      <c r="H2437" s="171">
        <v>23.28</v>
      </c>
      <c r="I2437" s="171">
        <v>23.490000000000002</v>
      </c>
      <c r="J2437" s="171">
        <v>25.45</v>
      </c>
      <c r="K2437" s="171">
        <v>39.14</v>
      </c>
      <c r="L2437" s="171">
        <v>46.53</v>
      </c>
      <c r="M2437" s="171">
        <v>49</v>
      </c>
      <c r="N2437" s="171">
        <v>46.84</v>
      </c>
      <c r="O2437" s="171">
        <v>39.97</v>
      </c>
      <c r="P2437" s="171">
        <v>38.300000000000004</v>
      </c>
      <c r="Q2437" s="171">
        <v>34.94</v>
      </c>
      <c r="R2437" s="171">
        <v>40</v>
      </c>
      <c r="S2437" s="171">
        <v>32.44</v>
      </c>
      <c r="T2437" s="171">
        <v>35</v>
      </c>
      <c r="U2437" s="171">
        <v>39.869999999999997</v>
      </c>
      <c r="V2437" s="171">
        <v>44.660000000000004</v>
      </c>
      <c r="W2437" s="171">
        <v>49.550000000000004</v>
      </c>
      <c r="X2437" s="171">
        <v>54.120000000000005</v>
      </c>
      <c r="Y2437" s="171">
        <v>51.230000000000004</v>
      </c>
      <c r="Z2437" s="171">
        <v>38.619999999999997</v>
      </c>
      <c r="AA2437" s="171">
        <v>31.85</v>
      </c>
      <c r="AB2437" s="171">
        <v>28.400000000000002</v>
      </c>
      <c r="AC2437" s="171">
        <v>31.66</v>
      </c>
      <c r="AD2437" s="171">
        <v>42.06</v>
      </c>
      <c r="AF2437" s="171">
        <f t="shared" si="116"/>
        <v>2016</v>
      </c>
      <c r="AG2437" s="171">
        <f t="shared" si="117"/>
        <v>17</v>
      </c>
      <c r="AH2437" s="700">
        <f>SUMIF(D$3:$AA2437,"&lt;="&amp;$AH$1)/COUNTIF(D$3:$AA2437,"&lt;="&amp;$AH$1)</f>
        <v>31.174664166084231</v>
      </c>
    </row>
    <row r="2438" spans="2:34" x14ac:dyDescent="0.25">
      <c r="B2438" s="910">
        <v>42640</v>
      </c>
      <c r="C2438" s="581">
        <f t="shared" si="115"/>
        <v>9</v>
      </c>
      <c r="D2438" s="171">
        <v>35.24</v>
      </c>
      <c r="E2438" s="171">
        <v>31.330000000000002</v>
      </c>
      <c r="F2438" s="171">
        <v>30.740000000000002</v>
      </c>
      <c r="G2438" s="171">
        <v>29.75</v>
      </c>
      <c r="H2438" s="171">
        <v>28.73</v>
      </c>
      <c r="I2438" s="171">
        <v>27.84</v>
      </c>
      <c r="J2438" s="171">
        <v>29.35</v>
      </c>
      <c r="K2438" s="171">
        <v>41.15</v>
      </c>
      <c r="L2438" s="171">
        <v>49</v>
      </c>
      <c r="M2438" s="171">
        <v>50</v>
      </c>
      <c r="N2438" s="171">
        <v>45.57</v>
      </c>
      <c r="O2438" s="171">
        <v>41.71</v>
      </c>
      <c r="P2438" s="171">
        <v>37</v>
      </c>
      <c r="Q2438" s="171">
        <v>29.98</v>
      </c>
      <c r="R2438" s="171">
        <v>29.8</v>
      </c>
      <c r="S2438" s="171">
        <v>28.19</v>
      </c>
      <c r="T2438" s="171">
        <v>28.57</v>
      </c>
      <c r="U2438" s="171">
        <v>30.330000000000002</v>
      </c>
      <c r="V2438" s="171">
        <v>38.96</v>
      </c>
      <c r="W2438" s="171">
        <v>45.2</v>
      </c>
      <c r="X2438" s="171">
        <v>48.97</v>
      </c>
      <c r="Y2438" s="171">
        <v>41.910000000000004</v>
      </c>
      <c r="Z2438" s="171">
        <v>29.94</v>
      </c>
      <c r="AA2438" s="171">
        <v>27.830000000000002</v>
      </c>
      <c r="AB2438" s="171">
        <v>23.900000000000002</v>
      </c>
      <c r="AC2438" s="171">
        <v>32.619999999999997</v>
      </c>
      <c r="AD2438" s="171">
        <v>37.86</v>
      </c>
      <c r="AF2438" s="171">
        <f t="shared" si="116"/>
        <v>2016</v>
      </c>
      <c r="AG2438" s="171">
        <f t="shared" si="117"/>
        <v>19</v>
      </c>
      <c r="AH2438" s="700">
        <f>SUMIF(D$3:$AA2438,"&lt;="&amp;$AH$1)/COUNTIF(D$3:$AA2438,"&lt;="&amp;$AH$1)</f>
        <v>31.175798579334067</v>
      </c>
    </row>
    <row r="2439" spans="2:34" x14ac:dyDescent="0.25">
      <c r="B2439" s="910">
        <v>42641</v>
      </c>
      <c r="C2439" s="581">
        <f t="shared" si="115"/>
        <v>9</v>
      </c>
      <c r="D2439" s="171">
        <v>29.2</v>
      </c>
      <c r="E2439" s="171">
        <v>24.01</v>
      </c>
      <c r="F2439" s="171">
        <v>21.400000000000002</v>
      </c>
      <c r="G2439" s="171">
        <v>16.86</v>
      </c>
      <c r="H2439" s="171">
        <v>15.65</v>
      </c>
      <c r="I2439" s="171">
        <v>15.47</v>
      </c>
      <c r="J2439" s="171">
        <v>19.98</v>
      </c>
      <c r="K2439" s="171">
        <v>28.52</v>
      </c>
      <c r="L2439" s="171">
        <v>38.230000000000004</v>
      </c>
      <c r="M2439" s="171">
        <v>38.869999999999997</v>
      </c>
      <c r="N2439" s="171">
        <v>47.49</v>
      </c>
      <c r="O2439" s="171">
        <v>38.200000000000003</v>
      </c>
      <c r="P2439" s="171">
        <v>28</v>
      </c>
      <c r="Q2439" s="171">
        <v>25.64</v>
      </c>
      <c r="R2439" s="171">
        <v>25.740000000000002</v>
      </c>
      <c r="S2439" s="171">
        <v>27.44</v>
      </c>
      <c r="T2439" s="171">
        <v>27.09</v>
      </c>
      <c r="U2439" s="171">
        <v>32.44</v>
      </c>
      <c r="V2439" s="171">
        <v>30.44</v>
      </c>
      <c r="W2439" s="171">
        <v>35.730000000000004</v>
      </c>
      <c r="X2439" s="171">
        <v>41.44</v>
      </c>
      <c r="Y2439" s="171">
        <v>37.090000000000003</v>
      </c>
      <c r="Z2439" s="171">
        <v>31.720000000000002</v>
      </c>
      <c r="AA2439" s="171">
        <v>29.39</v>
      </c>
      <c r="AB2439" s="171">
        <v>23.93</v>
      </c>
      <c r="AC2439" s="171">
        <v>25.19</v>
      </c>
      <c r="AD2439" s="171">
        <v>33.21</v>
      </c>
      <c r="AF2439" s="171">
        <f t="shared" si="116"/>
        <v>2016</v>
      </c>
      <c r="AG2439" s="171">
        <f t="shared" si="117"/>
        <v>23</v>
      </c>
      <c r="AH2439" s="700">
        <f>SUMIF(D$3:$AA2439,"&lt;="&amp;$AH$1)/COUNTIF(D$3:$AA2439,"&lt;="&amp;$AH$1)</f>
        <v>31.173252067913733</v>
      </c>
    </row>
    <row r="2440" spans="2:34" x14ac:dyDescent="0.25">
      <c r="B2440" s="910">
        <v>42642</v>
      </c>
      <c r="C2440" s="581">
        <f t="shared" si="115"/>
        <v>9</v>
      </c>
      <c r="D2440" s="171">
        <v>28.45</v>
      </c>
      <c r="E2440" s="171">
        <v>20.71</v>
      </c>
      <c r="F2440" s="171">
        <v>19.45</v>
      </c>
      <c r="G2440" s="171">
        <v>21.18</v>
      </c>
      <c r="H2440" s="171">
        <v>14.57</v>
      </c>
      <c r="I2440" s="171">
        <v>14.15</v>
      </c>
      <c r="J2440" s="171">
        <v>21.080000000000002</v>
      </c>
      <c r="K2440" s="171">
        <v>28.93</v>
      </c>
      <c r="L2440" s="171">
        <v>37.97</v>
      </c>
      <c r="M2440" s="171">
        <v>44.35</v>
      </c>
      <c r="N2440" s="171">
        <v>35.01</v>
      </c>
      <c r="O2440" s="171">
        <v>26.43</v>
      </c>
      <c r="P2440" s="171">
        <v>37</v>
      </c>
      <c r="Q2440" s="171">
        <v>25.740000000000002</v>
      </c>
      <c r="R2440" s="171">
        <v>29.68</v>
      </c>
      <c r="S2440" s="171">
        <v>35.730000000000004</v>
      </c>
      <c r="T2440" s="171">
        <v>37</v>
      </c>
      <c r="U2440" s="171">
        <v>24.2</v>
      </c>
      <c r="V2440" s="171">
        <v>28.86</v>
      </c>
      <c r="W2440" s="171">
        <v>30.21</v>
      </c>
      <c r="X2440" s="171">
        <v>38.520000000000003</v>
      </c>
      <c r="Y2440" s="171">
        <v>32.76</v>
      </c>
      <c r="Z2440" s="171">
        <v>28.35</v>
      </c>
      <c r="AA2440" s="171">
        <v>27.44</v>
      </c>
      <c r="AB2440" s="171">
        <v>23.54</v>
      </c>
      <c r="AC2440" s="171">
        <v>24.18</v>
      </c>
      <c r="AD2440" s="171">
        <v>32.730000000000004</v>
      </c>
      <c r="AF2440" s="171">
        <f t="shared" si="116"/>
        <v>2016</v>
      </c>
      <c r="AG2440" s="171">
        <f t="shared" si="117"/>
        <v>23</v>
      </c>
      <c r="AH2440" s="700">
        <f>SUMIF(D$3:$AA2440,"&lt;="&amp;$AH$1)/COUNTIF(D$3:$AA2440,"&lt;="&amp;$AH$1)</f>
        <v>31.170052624710923</v>
      </c>
    </row>
    <row r="2441" spans="2:34" x14ac:dyDescent="0.25">
      <c r="B2441" s="910">
        <v>42643</v>
      </c>
      <c r="C2441" s="581">
        <f t="shared" si="115"/>
        <v>9</v>
      </c>
      <c r="D2441" s="171">
        <v>34.11</v>
      </c>
      <c r="E2441" s="171">
        <v>25.89</v>
      </c>
      <c r="F2441" s="171">
        <v>25.7</v>
      </c>
      <c r="G2441" s="171">
        <v>24.71</v>
      </c>
      <c r="H2441" s="171">
        <v>23.09</v>
      </c>
      <c r="I2441" s="171">
        <v>24.02</v>
      </c>
      <c r="J2441" s="171">
        <v>25.95</v>
      </c>
      <c r="K2441" s="171">
        <v>39.68</v>
      </c>
      <c r="L2441" s="171">
        <v>49.660000000000004</v>
      </c>
      <c r="M2441" s="171">
        <v>49.68</v>
      </c>
      <c r="N2441" s="171">
        <v>43.910000000000004</v>
      </c>
      <c r="O2441" s="171">
        <v>48.54</v>
      </c>
      <c r="P2441" s="171">
        <v>47.230000000000004</v>
      </c>
      <c r="Q2441" s="171">
        <v>34.94</v>
      </c>
      <c r="R2441" s="171">
        <v>29.25</v>
      </c>
      <c r="S2441" s="171">
        <v>25.400000000000002</v>
      </c>
      <c r="T2441" s="171">
        <v>25.490000000000002</v>
      </c>
      <c r="U2441" s="171">
        <v>31.19</v>
      </c>
      <c r="V2441" s="171">
        <v>31.13</v>
      </c>
      <c r="W2441" s="171">
        <v>37.99</v>
      </c>
      <c r="X2441" s="171">
        <v>43.32</v>
      </c>
      <c r="Y2441" s="171">
        <v>39.550000000000004</v>
      </c>
      <c r="Z2441" s="171">
        <v>32.97</v>
      </c>
      <c r="AA2441" s="171">
        <v>30.93</v>
      </c>
      <c r="AB2441" s="171">
        <v>28.43</v>
      </c>
      <c r="AC2441" s="171">
        <v>30.88</v>
      </c>
      <c r="AD2441" s="171">
        <v>37.340000000000003</v>
      </c>
      <c r="AF2441" s="171">
        <f t="shared" si="116"/>
        <v>2016</v>
      </c>
      <c r="AG2441" s="171">
        <f t="shared" si="117"/>
        <v>18</v>
      </c>
      <c r="AH2441" s="700">
        <f>SUMIF(D$3:$AA2441,"&lt;="&amp;$AH$1)/COUNTIF(D$3:$AA2441,"&lt;="&amp;$AH$1)</f>
        <v>31.169223849462348</v>
      </c>
    </row>
    <row r="2442" spans="2:34" x14ac:dyDescent="0.25">
      <c r="B2442" s="910">
        <v>42646</v>
      </c>
      <c r="C2442" s="581">
        <f t="shared" si="115"/>
        <v>10</v>
      </c>
      <c r="D2442" s="171">
        <v>31.14</v>
      </c>
      <c r="E2442" s="171">
        <v>30.810000000000002</v>
      </c>
      <c r="F2442" s="171">
        <v>26.11</v>
      </c>
      <c r="G2442" s="171">
        <v>25.09</v>
      </c>
      <c r="H2442" s="171">
        <v>24.54</v>
      </c>
      <c r="I2442" s="171">
        <v>24.59</v>
      </c>
      <c r="J2442" s="171">
        <v>25.78</v>
      </c>
      <c r="K2442" s="171">
        <v>36.119999999999997</v>
      </c>
      <c r="L2442" s="171">
        <v>39.869999999999997</v>
      </c>
      <c r="M2442" s="171">
        <v>38.19</v>
      </c>
      <c r="N2442" s="171">
        <v>39.76</v>
      </c>
      <c r="O2442" s="171">
        <v>32.6</v>
      </c>
      <c r="P2442" s="171">
        <v>33.17</v>
      </c>
      <c r="Q2442" s="171">
        <v>26.19</v>
      </c>
      <c r="R2442" s="171">
        <v>26.17</v>
      </c>
      <c r="S2442" s="171">
        <v>24.59</v>
      </c>
      <c r="T2442" s="171">
        <v>37.1</v>
      </c>
      <c r="U2442" s="171">
        <v>37.03</v>
      </c>
      <c r="V2442" s="171">
        <v>33.369999999999997</v>
      </c>
      <c r="W2442" s="171">
        <v>37.1</v>
      </c>
      <c r="X2442" s="171">
        <v>37.74</v>
      </c>
      <c r="Y2442" s="171">
        <v>32.630000000000003</v>
      </c>
      <c r="Z2442" s="171">
        <v>28.42</v>
      </c>
      <c r="AA2442" s="171">
        <v>25.740000000000002</v>
      </c>
      <c r="AB2442" s="171">
        <v>24.6</v>
      </c>
      <c r="AC2442" s="171">
        <v>28.69</v>
      </c>
      <c r="AD2442" s="171">
        <v>33.58</v>
      </c>
      <c r="AF2442" s="171">
        <f t="shared" si="116"/>
        <v>2016</v>
      </c>
      <c r="AG2442" s="171">
        <f t="shared" si="117"/>
        <v>24</v>
      </c>
      <c r="AH2442" s="700">
        <f>SUMIF(D$3:$AA2442,"&lt;="&amp;$AH$1)/COUNTIF(D$3:$AA2442,"&lt;="&amp;$AH$1)</f>
        <v>31.169475146515222</v>
      </c>
    </row>
    <row r="2443" spans="2:34" x14ac:dyDescent="0.25">
      <c r="B2443" s="910">
        <v>42647</v>
      </c>
      <c r="C2443" s="581">
        <f t="shared" si="115"/>
        <v>10</v>
      </c>
      <c r="D2443" s="171">
        <v>31.84</v>
      </c>
      <c r="E2443" s="171">
        <v>28.580000000000002</v>
      </c>
      <c r="F2443" s="171">
        <v>26.11</v>
      </c>
      <c r="G2443" s="171">
        <v>24.85</v>
      </c>
      <c r="H2443" s="171">
        <v>22.69</v>
      </c>
      <c r="I2443" s="171">
        <v>23.25</v>
      </c>
      <c r="J2443" s="171">
        <v>25.54</v>
      </c>
      <c r="K2443" s="171">
        <v>30.45</v>
      </c>
      <c r="L2443" s="171">
        <v>39.72</v>
      </c>
      <c r="M2443" s="171">
        <v>41.78</v>
      </c>
      <c r="N2443" s="171">
        <v>39.42</v>
      </c>
      <c r="O2443" s="171">
        <v>35.660000000000004</v>
      </c>
      <c r="P2443" s="171">
        <v>31.03</v>
      </c>
      <c r="Q2443" s="171">
        <v>32.160000000000004</v>
      </c>
      <c r="R2443" s="171">
        <v>33.49</v>
      </c>
      <c r="S2443" s="171">
        <v>31.990000000000002</v>
      </c>
      <c r="T2443" s="171">
        <v>32.57</v>
      </c>
      <c r="U2443" s="171">
        <v>31.66</v>
      </c>
      <c r="V2443" s="171">
        <v>36.840000000000003</v>
      </c>
      <c r="W2443" s="171">
        <v>40</v>
      </c>
      <c r="X2443" s="171">
        <v>41</v>
      </c>
      <c r="Y2443" s="171">
        <v>32.840000000000003</v>
      </c>
      <c r="Z2443" s="171">
        <v>30.36</v>
      </c>
      <c r="AA2443" s="171">
        <v>27.23</v>
      </c>
      <c r="AB2443" s="171">
        <v>24.93</v>
      </c>
      <c r="AC2443" s="171">
        <v>28.05</v>
      </c>
      <c r="AD2443" s="171">
        <v>35.630000000000003</v>
      </c>
      <c r="AF2443" s="171">
        <f t="shared" si="116"/>
        <v>2016</v>
      </c>
      <c r="AG2443" s="171">
        <f t="shared" si="117"/>
        <v>24</v>
      </c>
      <c r="AH2443" s="700">
        <f>SUMIF(D$3:$AA2443,"&lt;="&amp;$AH$1)/COUNTIF(D$3:$AA2443,"&lt;="&amp;$AH$1)</f>
        <v>31.17047226679292</v>
      </c>
    </row>
    <row r="2444" spans="2:34" x14ac:dyDescent="0.25">
      <c r="B2444" s="910">
        <v>42648</v>
      </c>
      <c r="C2444" s="581">
        <f t="shared" si="115"/>
        <v>10</v>
      </c>
      <c r="D2444" s="171">
        <v>28.93</v>
      </c>
      <c r="E2444" s="171">
        <v>25.060000000000002</v>
      </c>
      <c r="F2444" s="171">
        <v>23.67</v>
      </c>
      <c r="G2444" s="171">
        <v>22.45</v>
      </c>
      <c r="H2444" s="171">
        <v>22.23</v>
      </c>
      <c r="I2444" s="171">
        <v>22.71</v>
      </c>
      <c r="J2444" s="171">
        <v>24.3</v>
      </c>
      <c r="K2444" s="171">
        <v>31.17</v>
      </c>
      <c r="L2444" s="171">
        <v>38.300000000000004</v>
      </c>
      <c r="M2444" s="171">
        <v>29.38</v>
      </c>
      <c r="N2444" s="171">
        <v>30.14</v>
      </c>
      <c r="O2444" s="171">
        <v>27.580000000000002</v>
      </c>
      <c r="P2444" s="171">
        <v>27.51</v>
      </c>
      <c r="Q2444" s="171">
        <v>26.330000000000002</v>
      </c>
      <c r="R2444" s="171">
        <v>27.57</v>
      </c>
      <c r="S2444" s="171">
        <v>28.28</v>
      </c>
      <c r="T2444" s="171">
        <v>28.18</v>
      </c>
      <c r="U2444" s="171">
        <v>29.990000000000002</v>
      </c>
      <c r="V2444" s="171">
        <v>35</v>
      </c>
      <c r="W2444" s="171">
        <v>38.300000000000004</v>
      </c>
      <c r="X2444" s="171">
        <v>41.08</v>
      </c>
      <c r="Y2444" s="171">
        <v>33.369999999999997</v>
      </c>
      <c r="Z2444" s="171">
        <v>27.67</v>
      </c>
      <c r="AA2444" s="171">
        <v>27.36</v>
      </c>
      <c r="AB2444" s="171">
        <v>26.6</v>
      </c>
      <c r="AC2444" s="171">
        <v>27.07</v>
      </c>
      <c r="AD2444" s="171">
        <v>30.78</v>
      </c>
      <c r="AF2444" s="171">
        <f t="shared" si="116"/>
        <v>2016</v>
      </c>
      <c r="AG2444" s="171">
        <f t="shared" si="117"/>
        <v>24</v>
      </c>
      <c r="AH2444" s="700">
        <f>SUMIF(D$3:$AA2444,"&lt;="&amp;$AH$1)/COUNTIF(D$3:$AA2444,"&lt;="&amp;$AH$1)</f>
        <v>31.168239830177104</v>
      </c>
    </row>
    <row r="2445" spans="2:34" x14ac:dyDescent="0.25">
      <c r="B2445" s="910">
        <v>42649</v>
      </c>
      <c r="C2445" s="581">
        <f t="shared" si="115"/>
        <v>10</v>
      </c>
      <c r="D2445" s="171">
        <v>34.71</v>
      </c>
      <c r="E2445" s="171">
        <v>25.96</v>
      </c>
      <c r="F2445" s="171">
        <v>24.54</v>
      </c>
      <c r="G2445" s="171">
        <v>24.34</v>
      </c>
      <c r="H2445" s="171">
        <v>24.35</v>
      </c>
      <c r="I2445" s="171">
        <v>24.73</v>
      </c>
      <c r="J2445" s="171">
        <v>24.94</v>
      </c>
      <c r="K2445" s="171">
        <v>29.310000000000002</v>
      </c>
      <c r="L2445" s="171">
        <v>37.49</v>
      </c>
      <c r="M2445" s="171">
        <v>36.44</v>
      </c>
      <c r="N2445" s="171">
        <v>40.660000000000004</v>
      </c>
      <c r="O2445" s="171">
        <v>40.29</v>
      </c>
      <c r="P2445" s="171">
        <v>40</v>
      </c>
      <c r="Q2445" s="171">
        <v>37.9</v>
      </c>
      <c r="R2445" s="171">
        <v>37.9</v>
      </c>
      <c r="S2445" s="171">
        <v>37.369999999999997</v>
      </c>
      <c r="T2445" s="171">
        <v>37.01</v>
      </c>
      <c r="U2445" s="171">
        <v>36.53</v>
      </c>
      <c r="V2445" s="171">
        <v>42.69</v>
      </c>
      <c r="W2445" s="171">
        <v>43.19</v>
      </c>
      <c r="X2445" s="171">
        <v>48.19</v>
      </c>
      <c r="Y2445" s="171">
        <v>42.14</v>
      </c>
      <c r="Z2445" s="171">
        <v>35.340000000000003</v>
      </c>
      <c r="AA2445" s="171">
        <v>32.15</v>
      </c>
      <c r="AB2445" s="171">
        <v>29.580000000000002</v>
      </c>
      <c r="AC2445" s="171">
        <v>29.57</v>
      </c>
      <c r="AD2445" s="171">
        <v>39.85</v>
      </c>
      <c r="AF2445" s="171">
        <f t="shared" si="116"/>
        <v>2016</v>
      </c>
      <c r="AG2445" s="171">
        <f t="shared" si="117"/>
        <v>21</v>
      </c>
      <c r="AH2445" s="700">
        <f>SUMIF(D$3:$AA2445,"&lt;="&amp;$AH$1)/COUNTIF(D$3:$AA2445,"&lt;="&amp;$AH$1)</f>
        <v>31.17038521468049</v>
      </c>
    </row>
    <row r="2446" spans="2:34" x14ac:dyDescent="0.25">
      <c r="B2446" s="910">
        <v>42650</v>
      </c>
      <c r="C2446" s="581">
        <f t="shared" si="115"/>
        <v>10</v>
      </c>
      <c r="D2446" s="171">
        <v>37.119999999999997</v>
      </c>
      <c r="E2446" s="171">
        <v>26.060000000000002</v>
      </c>
      <c r="F2446" s="171">
        <v>27.990000000000002</v>
      </c>
      <c r="G2446" s="171">
        <v>27.95</v>
      </c>
      <c r="H2446" s="171">
        <v>27.67</v>
      </c>
      <c r="I2446" s="171">
        <v>27.96</v>
      </c>
      <c r="J2446" s="171">
        <v>28.76</v>
      </c>
      <c r="K2446" s="171">
        <v>28.05</v>
      </c>
      <c r="L2446" s="171">
        <v>47.94</v>
      </c>
      <c r="M2446" s="171">
        <v>49.620000000000005</v>
      </c>
      <c r="N2446" s="171">
        <v>50.26</v>
      </c>
      <c r="O2446" s="171">
        <v>49.36</v>
      </c>
      <c r="P2446" s="171">
        <v>54.54</v>
      </c>
      <c r="Q2446" s="171">
        <v>40</v>
      </c>
      <c r="R2446" s="171">
        <v>32.93</v>
      </c>
      <c r="S2446" s="171">
        <v>29.2</v>
      </c>
      <c r="T2446" s="171">
        <v>31.1</v>
      </c>
      <c r="U2446" s="171">
        <v>42.78</v>
      </c>
      <c r="V2446" s="171">
        <v>40.35</v>
      </c>
      <c r="W2446" s="171">
        <v>45</v>
      </c>
      <c r="X2446" s="171">
        <v>46.4</v>
      </c>
      <c r="Y2446" s="171">
        <v>36.74</v>
      </c>
      <c r="Z2446" s="171">
        <v>34.04</v>
      </c>
      <c r="AA2446" s="171">
        <v>34.380000000000003</v>
      </c>
      <c r="AB2446" s="171">
        <v>31.82</v>
      </c>
      <c r="AC2446" s="171">
        <v>31.61</v>
      </c>
      <c r="AD2446" s="171">
        <v>42.63</v>
      </c>
      <c r="AF2446" s="171">
        <f t="shared" si="116"/>
        <v>2016</v>
      </c>
      <c r="AG2446" s="171">
        <f t="shared" si="117"/>
        <v>16</v>
      </c>
      <c r="AH2446" s="700">
        <f>SUMIF(D$3:$AA2446,"&lt;="&amp;$AH$1)/COUNTIF(D$3:$AA2446,"&lt;="&amp;$AH$1)</f>
        <v>31.170885813147841</v>
      </c>
    </row>
    <row r="2447" spans="2:34" x14ac:dyDescent="0.25">
      <c r="B2447" s="910">
        <v>42653</v>
      </c>
      <c r="C2447" s="581">
        <f t="shared" si="115"/>
        <v>10</v>
      </c>
      <c r="D2447" s="171">
        <v>47.53</v>
      </c>
      <c r="E2447" s="171">
        <v>31.990000000000002</v>
      </c>
      <c r="F2447" s="171">
        <v>29.98</v>
      </c>
      <c r="G2447" s="171">
        <v>29.8</v>
      </c>
      <c r="H2447" s="171">
        <v>29.85</v>
      </c>
      <c r="I2447" s="171">
        <v>29.900000000000002</v>
      </c>
      <c r="J2447" s="171">
        <v>29.61</v>
      </c>
      <c r="K2447" s="171">
        <v>30.21</v>
      </c>
      <c r="L2447" s="171">
        <v>50</v>
      </c>
      <c r="M2447" s="171">
        <v>74.180000000000007</v>
      </c>
      <c r="N2447" s="171">
        <v>70.16</v>
      </c>
      <c r="O2447" s="171">
        <v>54.72</v>
      </c>
      <c r="P2447" s="171">
        <v>49.42</v>
      </c>
      <c r="Q2447" s="171">
        <v>42.7</v>
      </c>
      <c r="R2447" s="171">
        <v>45.79</v>
      </c>
      <c r="S2447" s="171">
        <v>46.37</v>
      </c>
      <c r="T2447" s="171">
        <v>48.33</v>
      </c>
      <c r="U2447" s="171">
        <v>55</v>
      </c>
      <c r="V2447" s="171">
        <v>57.24</v>
      </c>
      <c r="W2447" s="171">
        <v>69.94</v>
      </c>
      <c r="X2447" s="171">
        <v>81.93</v>
      </c>
      <c r="Y2447" s="171">
        <v>60.11</v>
      </c>
      <c r="Z2447" s="171">
        <v>48.59</v>
      </c>
      <c r="AA2447" s="171">
        <v>40.619999999999997</v>
      </c>
      <c r="AB2447" s="171">
        <v>34.200000000000003</v>
      </c>
      <c r="AC2447" s="171">
        <v>37.07</v>
      </c>
      <c r="AD2447" s="171">
        <v>57.980000000000004</v>
      </c>
      <c r="AF2447" s="171">
        <f t="shared" si="116"/>
        <v>2016</v>
      </c>
      <c r="AG2447" s="171">
        <f t="shared" si="117"/>
        <v>8</v>
      </c>
      <c r="AH2447" s="700">
        <f>SUMIF(D$3:$AA2447,"&lt;="&amp;$AH$1)/COUNTIF(D$3:$AA2447,"&lt;="&amp;$AH$1)</f>
        <v>31.170997924592619</v>
      </c>
    </row>
    <row r="2448" spans="2:34" x14ac:dyDescent="0.25">
      <c r="B2448" s="910">
        <v>42654</v>
      </c>
      <c r="C2448" s="581">
        <f t="shared" si="115"/>
        <v>10</v>
      </c>
      <c r="D2448" s="171">
        <v>36.58</v>
      </c>
      <c r="E2448" s="171">
        <v>29.400000000000002</v>
      </c>
      <c r="F2448" s="171">
        <v>29.57</v>
      </c>
      <c r="G2448" s="171">
        <v>29.490000000000002</v>
      </c>
      <c r="H2448" s="171">
        <v>29.51</v>
      </c>
      <c r="I2448" s="171">
        <v>29.740000000000002</v>
      </c>
      <c r="J2448" s="171">
        <v>30.01</v>
      </c>
      <c r="K2448" s="171">
        <v>30.19</v>
      </c>
      <c r="L2448" s="171">
        <v>40</v>
      </c>
      <c r="M2448" s="171">
        <v>53.88</v>
      </c>
      <c r="N2448" s="171">
        <v>52.6</v>
      </c>
      <c r="O2448" s="171">
        <v>44</v>
      </c>
      <c r="P2448" s="171">
        <v>40</v>
      </c>
      <c r="Q2448" s="171">
        <v>35</v>
      </c>
      <c r="R2448" s="171">
        <v>37.74</v>
      </c>
      <c r="S2448" s="171">
        <v>37.06</v>
      </c>
      <c r="T2448" s="171">
        <v>36.96</v>
      </c>
      <c r="U2448" s="171">
        <v>42.69</v>
      </c>
      <c r="V2448" s="171">
        <v>43.4</v>
      </c>
      <c r="W2448" s="171">
        <v>40</v>
      </c>
      <c r="X2448" s="171">
        <v>46.25</v>
      </c>
      <c r="Y2448" s="171">
        <v>32.44</v>
      </c>
      <c r="Z2448" s="171">
        <v>30.41</v>
      </c>
      <c r="AA2448" s="171">
        <v>29.62</v>
      </c>
      <c r="AB2448" s="171">
        <v>28.05</v>
      </c>
      <c r="AC2448" s="171">
        <v>30.7</v>
      </c>
      <c r="AD2448" s="171">
        <v>42.47</v>
      </c>
      <c r="AF2448" s="171">
        <f t="shared" si="116"/>
        <v>2016</v>
      </c>
      <c r="AG2448" s="171">
        <f t="shared" si="117"/>
        <v>18</v>
      </c>
      <c r="AH2448" s="700">
        <f>SUMIF(D$3:$AA2448,"&lt;="&amp;$AH$1)/COUNTIF(D$3:$AA2448,"&lt;="&amp;$AH$1)</f>
        <v>31.172840231572536</v>
      </c>
    </row>
    <row r="2449" spans="2:34" x14ac:dyDescent="0.25">
      <c r="B2449" s="910">
        <v>42655</v>
      </c>
      <c r="C2449" s="581">
        <f t="shared" si="115"/>
        <v>10</v>
      </c>
      <c r="D2449" s="171">
        <v>40.340000000000003</v>
      </c>
      <c r="E2449" s="171">
        <v>26.400000000000002</v>
      </c>
      <c r="F2449" s="171">
        <v>27.52</v>
      </c>
      <c r="G2449" s="171">
        <v>27.34</v>
      </c>
      <c r="H2449" s="171">
        <v>27.52</v>
      </c>
      <c r="I2449" s="171">
        <v>27.84</v>
      </c>
      <c r="J2449" s="171">
        <v>28.04</v>
      </c>
      <c r="K2449" s="171">
        <v>30.01</v>
      </c>
      <c r="L2449" s="171">
        <v>33</v>
      </c>
      <c r="M2449" s="171">
        <v>58.730000000000004</v>
      </c>
      <c r="N2449" s="171">
        <v>58.410000000000004</v>
      </c>
      <c r="O2449" s="171">
        <v>53.910000000000004</v>
      </c>
      <c r="P2449" s="171">
        <v>54.96</v>
      </c>
      <c r="Q2449" s="171">
        <v>49.550000000000004</v>
      </c>
      <c r="R2449" s="171">
        <v>44.92</v>
      </c>
      <c r="S2449" s="171">
        <v>40.6</v>
      </c>
      <c r="T2449" s="171">
        <v>40.6</v>
      </c>
      <c r="U2449" s="171">
        <v>43.21</v>
      </c>
      <c r="V2449" s="171">
        <v>48.370000000000005</v>
      </c>
      <c r="W2449" s="171">
        <v>50.03</v>
      </c>
      <c r="X2449" s="171">
        <v>53.31</v>
      </c>
      <c r="Y2449" s="171">
        <v>45.34</v>
      </c>
      <c r="Z2449" s="171">
        <v>35</v>
      </c>
      <c r="AA2449" s="171">
        <v>33.54</v>
      </c>
      <c r="AB2449" s="171">
        <v>29.94</v>
      </c>
      <c r="AC2449" s="171">
        <v>30.96</v>
      </c>
      <c r="AD2449" s="171">
        <v>49.72</v>
      </c>
      <c r="AF2449" s="171">
        <f t="shared" si="116"/>
        <v>2016</v>
      </c>
      <c r="AG2449" s="171">
        <f t="shared" si="117"/>
        <v>13</v>
      </c>
      <c r="AH2449" s="700">
        <f>SUMIF(D$3:$AA2449,"&lt;="&amp;$AH$1)/COUNTIF(D$3:$AA2449,"&lt;="&amp;$AH$1)</f>
        <v>31.173380111402821</v>
      </c>
    </row>
    <row r="2450" spans="2:34" x14ac:dyDescent="0.25">
      <c r="B2450" s="910">
        <v>42656</v>
      </c>
      <c r="C2450" s="581">
        <f t="shared" si="115"/>
        <v>10</v>
      </c>
      <c r="D2450" s="171">
        <v>35.31</v>
      </c>
      <c r="E2450" s="171">
        <v>29.8</v>
      </c>
      <c r="F2450" s="171">
        <v>29.59</v>
      </c>
      <c r="G2450" s="171">
        <v>29.25</v>
      </c>
      <c r="H2450" s="171">
        <v>28.98</v>
      </c>
      <c r="I2450" s="171">
        <v>28.79</v>
      </c>
      <c r="J2450" s="171">
        <v>28.23</v>
      </c>
      <c r="K2450" s="171">
        <v>31.7</v>
      </c>
      <c r="L2450" s="171">
        <v>44.22</v>
      </c>
      <c r="M2450" s="171">
        <v>58.86</v>
      </c>
      <c r="N2450" s="171">
        <v>55.21</v>
      </c>
      <c r="O2450" s="171">
        <v>35.01</v>
      </c>
      <c r="P2450" s="171">
        <v>31.36</v>
      </c>
      <c r="Q2450" s="171">
        <v>35.450000000000003</v>
      </c>
      <c r="R2450" s="171">
        <v>35.1</v>
      </c>
      <c r="S2450" s="171">
        <v>32.92</v>
      </c>
      <c r="T2450" s="171">
        <v>33.79</v>
      </c>
      <c r="U2450" s="171">
        <v>33.520000000000003</v>
      </c>
      <c r="V2450" s="171">
        <v>41.5</v>
      </c>
      <c r="W2450" s="171">
        <v>31.650000000000002</v>
      </c>
      <c r="X2450" s="171">
        <v>35.01</v>
      </c>
      <c r="Y2450" s="171">
        <v>30.92</v>
      </c>
      <c r="Z2450" s="171">
        <v>38.950000000000003</v>
      </c>
      <c r="AA2450" s="171">
        <v>37.76</v>
      </c>
      <c r="AB2450" s="171">
        <v>29.79</v>
      </c>
      <c r="AC2450" s="171">
        <v>32.33</v>
      </c>
      <c r="AD2450" s="171">
        <v>38.28</v>
      </c>
      <c r="AF2450" s="171">
        <f t="shared" si="116"/>
        <v>2016</v>
      </c>
      <c r="AG2450" s="171">
        <f t="shared" si="117"/>
        <v>21</v>
      </c>
      <c r="AH2450" s="700">
        <f>SUMIF(D$3:$AA2450,"&lt;="&amp;$AH$1)/COUNTIF(D$3:$AA2450,"&lt;="&amp;$AH$1)</f>
        <v>31.175103537531406</v>
      </c>
    </row>
    <row r="2451" spans="2:34" x14ac:dyDescent="0.25">
      <c r="B2451" s="910">
        <v>42657</v>
      </c>
      <c r="C2451" s="581">
        <f t="shared" si="115"/>
        <v>10</v>
      </c>
      <c r="D2451" s="171">
        <v>33.770000000000003</v>
      </c>
      <c r="E2451" s="171">
        <v>28.44</v>
      </c>
      <c r="F2451" s="171">
        <v>23.09</v>
      </c>
      <c r="G2451" s="171">
        <v>18</v>
      </c>
      <c r="H2451" s="171">
        <v>22.34</v>
      </c>
      <c r="I2451" s="171">
        <v>24.85</v>
      </c>
      <c r="J2451" s="171">
        <v>28.69</v>
      </c>
      <c r="K2451" s="171">
        <v>30.47</v>
      </c>
      <c r="L2451" s="171">
        <v>42.44</v>
      </c>
      <c r="M2451" s="171">
        <v>42.86</v>
      </c>
      <c r="N2451" s="171">
        <v>50.89</v>
      </c>
      <c r="O2451" s="171">
        <v>46.38</v>
      </c>
      <c r="P2451" s="171">
        <v>43</v>
      </c>
      <c r="Q2451" s="171">
        <v>35.550000000000004</v>
      </c>
      <c r="R2451" s="171">
        <v>35.15</v>
      </c>
      <c r="S2451" s="171">
        <v>40.520000000000003</v>
      </c>
      <c r="T2451" s="171">
        <v>35</v>
      </c>
      <c r="U2451" s="171">
        <v>32.29</v>
      </c>
      <c r="V2451" s="171">
        <v>31.36</v>
      </c>
      <c r="W2451" s="171">
        <v>31.41</v>
      </c>
      <c r="X2451" s="171">
        <v>38.520000000000003</v>
      </c>
      <c r="Y2451" s="171">
        <v>31.5</v>
      </c>
      <c r="Z2451" s="171">
        <v>30.8</v>
      </c>
      <c r="AA2451" s="171">
        <v>35</v>
      </c>
      <c r="AB2451" s="171">
        <v>32</v>
      </c>
      <c r="AC2451" s="171">
        <v>28.97</v>
      </c>
      <c r="AD2451" s="171">
        <v>38.58</v>
      </c>
      <c r="AF2451" s="171">
        <f t="shared" si="116"/>
        <v>2016</v>
      </c>
      <c r="AG2451" s="171">
        <f t="shared" si="117"/>
        <v>20</v>
      </c>
      <c r="AH2451" s="700">
        <f>SUMIF(D$3:$AA2451,"&lt;="&amp;$AH$1)/COUNTIF(D$3:$AA2451,"&lt;="&amp;$AH$1)</f>
        <v>31.175348706895601</v>
      </c>
    </row>
    <row r="2452" spans="2:34" x14ac:dyDescent="0.25">
      <c r="B2452" s="910">
        <v>42660</v>
      </c>
      <c r="C2452" s="581">
        <f t="shared" si="115"/>
        <v>10</v>
      </c>
      <c r="D2452" s="171">
        <v>42.04</v>
      </c>
      <c r="E2452" s="171">
        <v>32.35</v>
      </c>
      <c r="F2452" s="171">
        <v>29.44</v>
      </c>
      <c r="G2452" s="171">
        <v>29.05</v>
      </c>
      <c r="H2452" s="171">
        <v>28.44</v>
      </c>
      <c r="I2452" s="171">
        <v>28.53</v>
      </c>
      <c r="J2452" s="171">
        <v>30.46</v>
      </c>
      <c r="K2452" s="171">
        <v>35</v>
      </c>
      <c r="L2452" s="171">
        <v>42.44</v>
      </c>
      <c r="M2452" s="171">
        <v>48.34</v>
      </c>
      <c r="N2452" s="171">
        <v>47.25</v>
      </c>
      <c r="O2452" s="171">
        <v>57.39</v>
      </c>
      <c r="P2452" s="171">
        <v>50.88</v>
      </c>
      <c r="Q2452" s="171">
        <v>50.230000000000004</v>
      </c>
      <c r="R2452" s="171">
        <v>43.22</v>
      </c>
      <c r="S2452" s="171">
        <v>40.03</v>
      </c>
      <c r="T2452" s="171">
        <v>41.89</v>
      </c>
      <c r="U2452" s="171">
        <v>47.26</v>
      </c>
      <c r="V2452" s="171">
        <v>50.480000000000004</v>
      </c>
      <c r="W2452" s="171">
        <v>64.05</v>
      </c>
      <c r="X2452" s="171">
        <v>58.120000000000005</v>
      </c>
      <c r="Y2452" s="171">
        <v>50.870000000000005</v>
      </c>
      <c r="Z2452" s="171">
        <v>40.89</v>
      </c>
      <c r="AA2452" s="171">
        <v>31.93</v>
      </c>
      <c r="AB2452" s="171">
        <v>30.37</v>
      </c>
      <c r="AC2452" s="171">
        <v>34.15</v>
      </c>
      <c r="AD2452" s="171">
        <v>49.93</v>
      </c>
      <c r="AF2452" s="171">
        <f t="shared" si="116"/>
        <v>2016</v>
      </c>
      <c r="AG2452" s="171">
        <f t="shared" si="117"/>
        <v>13</v>
      </c>
      <c r="AH2452" s="700">
        <f>SUMIF(D$3:$AA2452,"&lt;="&amp;$AH$1)/COUNTIF(D$3:$AA2452,"&lt;="&amp;$AH$1)</f>
        <v>31.177382501183732</v>
      </c>
    </row>
    <row r="2453" spans="2:34" x14ac:dyDescent="0.25">
      <c r="B2453" s="910">
        <v>42661</v>
      </c>
      <c r="C2453" s="581">
        <f t="shared" si="115"/>
        <v>10</v>
      </c>
      <c r="D2453" s="171">
        <v>41.7</v>
      </c>
      <c r="E2453" s="171">
        <v>32.130000000000003</v>
      </c>
      <c r="F2453" s="171">
        <v>31.53</v>
      </c>
      <c r="G2453" s="171">
        <v>30.46</v>
      </c>
      <c r="H2453" s="171">
        <v>30.5</v>
      </c>
      <c r="I2453" s="171">
        <v>31.11</v>
      </c>
      <c r="J2453" s="171">
        <v>29.95</v>
      </c>
      <c r="K2453" s="171">
        <v>34.78</v>
      </c>
      <c r="L2453" s="171">
        <v>51.33</v>
      </c>
      <c r="M2453" s="171">
        <v>59.24</v>
      </c>
      <c r="N2453" s="171">
        <v>59</v>
      </c>
      <c r="O2453" s="171">
        <v>50.35</v>
      </c>
      <c r="P2453" s="171">
        <v>42.44</v>
      </c>
      <c r="Q2453" s="171">
        <v>41.65</v>
      </c>
      <c r="R2453" s="171">
        <v>41.160000000000004</v>
      </c>
      <c r="S2453" s="171">
        <v>37.590000000000003</v>
      </c>
      <c r="T2453" s="171">
        <v>39.090000000000003</v>
      </c>
      <c r="U2453" s="171">
        <v>39.910000000000004</v>
      </c>
      <c r="V2453" s="171">
        <v>49.4</v>
      </c>
      <c r="W2453" s="171">
        <v>53.76</v>
      </c>
      <c r="X2453" s="171">
        <v>59.67</v>
      </c>
      <c r="Y2453" s="171">
        <v>45.74</v>
      </c>
      <c r="Z2453" s="171">
        <v>40.39</v>
      </c>
      <c r="AA2453" s="171">
        <v>38.17</v>
      </c>
      <c r="AB2453" s="171">
        <v>31.560000000000002</v>
      </c>
      <c r="AC2453" s="171">
        <v>35.64</v>
      </c>
      <c r="AD2453" s="171">
        <v>47.77</v>
      </c>
      <c r="AF2453" s="171">
        <f t="shared" si="116"/>
        <v>2016</v>
      </c>
      <c r="AG2453" s="171">
        <f t="shared" si="117"/>
        <v>16</v>
      </c>
      <c r="AH2453" s="700">
        <f>SUMIF(D$3:$AA2453,"&lt;="&amp;$AH$1)/COUNTIF(D$3:$AA2453,"&lt;="&amp;$AH$1)</f>
        <v>31.180986697661453</v>
      </c>
    </row>
    <row r="2454" spans="2:34" x14ac:dyDescent="0.25">
      <c r="B2454" s="910">
        <v>42662</v>
      </c>
      <c r="C2454" s="581">
        <f t="shared" si="115"/>
        <v>10</v>
      </c>
      <c r="D2454" s="171">
        <v>43.84</v>
      </c>
      <c r="E2454" s="171">
        <v>30.150000000000002</v>
      </c>
      <c r="F2454" s="171">
        <v>29.5</v>
      </c>
      <c r="G2454" s="171">
        <v>29.82</v>
      </c>
      <c r="H2454" s="171">
        <v>30.01</v>
      </c>
      <c r="I2454" s="171">
        <v>30.32</v>
      </c>
      <c r="J2454" s="171">
        <v>30.85</v>
      </c>
      <c r="K2454" s="171">
        <v>31.720000000000002</v>
      </c>
      <c r="L2454" s="171">
        <v>48.52</v>
      </c>
      <c r="M2454" s="171">
        <v>50.25</v>
      </c>
      <c r="N2454" s="171">
        <v>57.65</v>
      </c>
      <c r="O2454" s="171">
        <v>57.86</v>
      </c>
      <c r="P2454" s="171">
        <v>53.480000000000004</v>
      </c>
      <c r="Q2454" s="171">
        <v>50.86</v>
      </c>
      <c r="R2454" s="171">
        <v>48.550000000000004</v>
      </c>
      <c r="S2454" s="171">
        <v>45.31</v>
      </c>
      <c r="T2454" s="171">
        <v>44.77</v>
      </c>
      <c r="U2454" s="171">
        <v>43.11</v>
      </c>
      <c r="V2454" s="171">
        <v>52.54</v>
      </c>
      <c r="W2454" s="171">
        <v>54.57</v>
      </c>
      <c r="X2454" s="171">
        <v>60.370000000000005</v>
      </c>
      <c r="Y2454" s="171">
        <v>54.43</v>
      </c>
      <c r="Z2454" s="171">
        <v>41.5</v>
      </c>
      <c r="AA2454" s="171">
        <v>42.28</v>
      </c>
      <c r="AB2454" s="171">
        <v>33.730000000000004</v>
      </c>
      <c r="AC2454" s="171">
        <v>36.07</v>
      </c>
      <c r="AD2454" s="171">
        <v>51.61</v>
      </c>
      <c r="AF2454" s="171">
        <f t="shared" si="116"/>
        <v>2016</v>
      </c>
      <c r="AG2454" s="171">
        <f t="shared" si="117"/>
        <v>9</v>
      </c>
      <c r="AH2454" s="700">
        <f>SUMIF(D$3:$AA2454,"&lt;="&amp;$AH$1)/COUNTIF(D$3:$AA2454,"&lt;="&amp;$AH$1)</f>
        <v>31.181654617436003</v>
      </c>
    </row>
    <row r="2455" spans="2:34" x14ac:dyDescent="0.25">
      <c r="B2455" s="910">
        <v>42663</v>
      </c>
      <c r="C2455" s="581">
        <f t="shared" si="115"/>
        <v>10</v>
      </c>
      <c r="D2455" s="171">
        <v>44.32</v>
      </c>
      <c r="E2455" s="171">
        <v>31.77</v>
      </c>
      <c r="F2455" s="171">
        <v>32.56</v>
      </c>
      <c r="G2455" s="171">
        <v>29.97</v>
      </c>
      <c r="H2455" s="171">
        <v>30.03</v>
      </c>
      <c r="I2455" s="171">
        <v>30.560000000000002</v>
      </c>
      <c r="J2455" s="171">
        <v>31.310000000000002</v>
      </c>
      <c r="K2455" s="171">
        <v>34.130000000000003</v>
      </c>
      <c r="L2455" s="171">
        <v>43.59</v>
      </c>
      <c r="M2455" s="171">
        <v>47.050000000000004</v>
      </c>
      <c r="N2455" s="171">
        <v>66.349999999999994</v>
      </c>
      <c r="O2455" s="171">
        <v>60.980000000000004</v>
      </c>
      <c r="P2455" s="171">
        <v>49.32</v>
      </c>
      <c r="Q2455" s="171">
        <v>46.34</v>
      </c>
      <c r="R2455" s="171">
        <v>50.03</v>
      </c>
      <c r="S2455" s="171">
        <v>48.7</v>
      </c>
      <c r="T2455" s="171">
        <v>48.7</v>
      </c>
      <c r="U2455" s="171">
        <v>53.64</v>
      </c>
      <c r="V2455" s="171">
        <v>55.07</v>
      </c>
      <c r="W2455" s="171">
        <v>51.620000000000005</v>
      </c>
      <c r="X2455" s="171">
        <v>59.35</v>
      </c>
      <c r="Y2455" s="171">
        <v>50.04</v>
      </c>
      <c r="Z2455" s="171">
        <v>36.78</v>
      </c>
      <c r="AA2455" s="171">
        <v>41.81</v>
      </c>
      <c r="AB2455" s="171">
        <v>33.96</v>
      </c>
      <c r="AC2455" s="171">
        <v>35.54</v>
      </c>
      <c r="AD2455" s="171">
        <v>53.1</v>
      </c>
      <c r="AF2455" s="171">
        <f t="shared" si="116"/>
        <v>2016</v>
      </c>
      <c r="AG2455" s="171">
        <f t="shared" si="117"/>
        <v>9</v>
      </c>
      <c r="AH2455" s="700">
        <f>SUMIF(D$3:$AA2455,"&lt;="&amp;$AH$1)/COUNTIF(D$3:$AA2455,"&lt;="&amp;$AH$1)</f>
        <v>31.18244117520446</v>
      </c>
    </row>
    <row r="2456" spans="2:34" x14ac:dyDescent="0.25">
      <c r="B2456" s="910">
        <v>42664</v>
      </c>
      <c r="C2456" s="581">
        <f t="shared" si="115"/>
        <v>10</v>
      </c>
      <c r="D2456" s="171">
        <v>41.86</v>
      </c>
      <c r="E2456" s="171">
        <v>34.04</v>
      </c>
      <c r="F2456" s="171">
        <v>32.94</v>
      </c>
      <c r="G2456" s="171">
        <v>31.8</v>
      </c>
      <c r="H2456" s="171">
        <v>31.78</v>
      </c>
      <c r="I2456" s="171">
        <v>33.4</v>
      </c>
      <c r="J2456" s="171">
        <v>34.119999999999997</v>
      </c>
      <c r="K2456" s="171">
        <v>36.51</v>
      </c>
      <c r="L2456" s="171">
        <v>37.69</v>
      </c>
      <c r="M2456" s="171">
        <v>48.980000000000004</v>
      </c>
      <c r="N2456" s="171">
        <v>59.99</v>
      </c>
      <c r="O2456" s="171">
        <v>50</v>
      </c>
      <c r="P2456" s="171">
        <v>53.71</v>
      </c>
      <c r="Q2456" s="171">
        <v>45</v>
      </c>
      <c r="R2456" s="171">
        <v>51.300000000000004</v>
      </c>
      <c r="S2456" s="171">
        <v>50.03</v>
      </c>
      <c r="T2456" s="171">
        <v>47.99</v>
      </c>
      <c r="U2456" s="171">
        <v>48.92</v>
      </c>
      <c r="V2456" s="171">
        <v>45</v>
      </c>
      <c r="W2456" s="171">
        <v>49.800000000000004</v>
      </c>
      <c r="X2456" s="171">
        <v>34.83</v>
      </c>
      <c r="Y2456" s="171">
        <v>34.46</v>
      </c>
      <c r="Z2456" s="171">
        <v>38</v>
      </c>
      <c r="AA2456" s="171">
        <v>38.410000000000004</v>
      </c>
      <c r="AB2456" s="171">
        <v>35.97</v>
      </c>
      <c r="AC2456" s="171">
        <v>34.93</v>
      </c>
      <c r="AD2456" s="171">
        <v>48.800000000000004</v>
      </c>
      <c r="AF2456" s="171">
        <f t="shared" si="116"/>
        <v>2016</v>
      </c>
      <c r="AG2456" s="171">
        <f t="shared" si="117"/>
        <v>13</v>
      </c>
      <c r="AH2456" s="700">
        <f>SUMIF(D$3:$AA2456,"&lt;="&amp;$AH$1)/COUNTIF(D$3:$AA2456,"&lt;="&amp;$AH$1)</f>
        <v>31.18478288907902</v>
      </c>
    </row>
    <row r="2457" spans="2:34" x14ac:dyDescent="0.25">
      <c r="B2457" s="910">
        <v>42667</v>
      </c>
      <c r="C2457" s="581">
        <f t="shared" si="115"/>
        <v>10</v>
      </c>
      <c r="D2457" s="171">
        <v>41.03</v>
      </c>
      <c r="E2457" s="171">
        <v>32.630000000000003</v>
      </c>
      <c r="F2457" s="171">
        <v>32.29</v>
      </c>
      <c r="G2457" s="171">
        <v>32.25</v>
      </c>
      <c r="H2457" s="171">
        <v>31.62</v>
      </c>
      <c r="I2457" s="171">
        <v>31.44</v>
      </c>
      <c r="J2457" s="171">
        <v>31.68</v>
      </c>
      <c r="K2457" s="171">
        <v>40.76</v>
      </c>
      <c r="L2457" s="171">
        <v>40.01</v>
      </c>
      <c r="M2457" s="171">
        <v>50</v>
      </c>
      <c r="N2457" s="171">
        <v>59.22</v>
      </c>
      <c r="O2457" s="171">
        <v>40.36</v>
      </c>
      <c r="P2457" s="171">
        <v>43.7</v>
      </c>
      <c r="Q2457" s="171">
        <v>37.07</v>
      </c>
      <c r="R2457" s="171">
        <v>46.7</v>
      </c>
      <c r="S2457" s="171">
        <v>45.49</v>
      </c>
      <c r="T2457" s="171">
        <v>51.83</v>
      </c>
      <c r="U2457" s="171">
        <v>57.68</v>
      </c>
      <c r="V2457" s="171">
        <v>53.43</v>
      </c>
      <c r="W2457" s="171">
        <v>37</v>
      </c>
      <c r="X2457" s="171">
        <v>36.6</v>
      </c>
      <c r="Y2457" s="171">
        <v>36.410000000000004</v>
      </c>
      <c r="Z2457" s="171">
        <v>42</v>
      </c>
      <c r="AA2457" s="171">
        <v>37.44</v>
      </c>
      <c r="AB2457" s="171">
        <v>37.1</v>
      </c>
      <c r="AC2457" s="171">
        <v>35.47</v>
      </c>
      <c r="AD2457" s="171">
        <v>46.59</v>
      </c>
      <c r="AF2457" s="171">
        <f t="shared" si="116"/>
        <v>2016</v>
      </c>
      <c r="AG2457" s="171">
        <f t="shared" si="117"/>
        <v>16</v>
      </c>
      <c r="AH2457" s="700">
        <f>SUMIF(D$3:$AA2457,"&lt;="&amp;$AH$1)/COUNTIF(D$3:$AA2457,"&lt;="&amp;$AH$1)</f>
        <v>31.188290084205963</v>
      </c>
    </row>
    <row r="2458" spans="2:34" x14ac:dyDescent="0.25">
      <c r="B2458" s="910">
        <v>42668</v>
      </c>
      <c r="C2458" s="581">
        <f t="shared" si="115"/>
        <v>10</v>
      </c>
      <c r="D2458" s="171">
        <v>43.45</v>
      </c>
      <c r="E2458" s="171">
        <v>30.310000000000002</v>
      </c>
      <c r="F2458" s="171">
        <v>31.6</v>
      </c>
      <c r="G2458" s="171">
        <v>32.49</v>
      </c>
      <c r="H2458" s="171">
        <v>32.57</v>
      </c>
      <c r="I2458" s="171">
        <v>35.26</v>
      </c>
      <c r="J2458" s="171">
        <v>36.65</v>
      </c>
      <c r="K2458" s="171">
        <v>42.27</v>
      </c>
      <c r="L2458" s="171">
        <v>37</v>
      </c>
      <c r="M2458" s="171">
        <v>36.82</v>
      </c>
      <c r="N2458" s="171">
        <v>44.94</v>
      </c>
      <c r="O2458" s="171">
        <v>41.88</v>
      </c>
      <c r="P2458" s="171">
        <v>46.28</v>
      </c>
      <c r="Q2458" s="171">
        <v>41.88</v>
      </c>
      <c r="R2458" s="171">
        <v>36.26</v>
      </c>
      <c r="S2458" s="171">
        <v>37.08</v>
      </c>
      <c r="T2458" s="171">
        <v>65.55</v>
      </c>
      <c r="U2458" s="171">
        <v>65.84</v>
      </c>
      <c r="V2458" s="171">
        <v>76.69</v>
      </c>
      <c r="W2458" s="171">
        <v>59.61</v>
      </c>
      <c r="X2458" s="171">
        <v>46.28</v>
      </c>
      <c r="Y2458" s="171">
        <v>38.97</v>
      </c>
      <c r="Z2458" s="171">
        <v>48.68</v>
      </c>
      <c r="AA2458" s="171">
        <v>40</v>
      </c>
      <c r="AB2458" s="171">
        <v>37.880000000000003</v>
      </c>
      <c r="AC2458" s="171">
        <v>36.97</v>
      </c>
      <c r="AD2458" s="171">
        <v>49.93</v>
      </c>
      <c r="AF2458" s="171">
        <f t="shared" si="116"/>
        <v>2016</v>
      </c>
      <c r="AG2458" s="171">
        <f t="shared" si="117"/>
        <v>15</v>
      </c>
      <c r="AH2458" s="700">
        <f>SUMIF(D$3:$AA2458,"&lt;="&amp;$AH$1)/COUNTIF(D$3:$AA2458,"&lt;="&amp;$AH$1)</f>
        <v>31.191862951353652</v>
      </c>
    </row>
    <row r="2459" spans="2:34" x14ac:dyDescent="0.25">
      <c r="B2459" s="910">
        <v>42669</v>
      </c>
      <c r="C2459" s="581">
        <f t="shared" si="115"/>
        <v>10</v>
      </c>
      <c r="D2459" s="171">
        <v>45.06</v>
      </c>
      <c r="E2459" s="171">
        <v>35.81</v>
      </c>
      <c r="F2459" s="171">
        <v>34.6</v>
      </c>
      <c r="G2459" s="171">
        <v>34.6</v>
      </c>
      <c r="H2459" s="171">
        <v>34.6</v>
      </c>
      <c r="I2459" s="171">
        <v>35</v>
      </c>
      <c r="J2459" s="171">
        <v>33.660000000000004</v>
      </c>
      <c r="K2459" s="171">
        <v>36.450000000000003</v>
      </c>
      <c r="L2459" s="171">
        <v>50.68</v>
      </c>
      <c r="M2459" s="171">
        <v>64.5</v>
      </c>
      <c r="N2459" s="171">
        <v>66.599999999999994</v>
      </c>
      <c r="O2459" s="171">
        <v>66.91</v>
      </c>
      <c r="P2459" s="171">
        <v>59.63</v>
      </c>
      <c r="Q2459" s="171">
        <v>52.75</v>
      </c>
      <c r="R2459" s="171">
        <v>50.01</v>
      </c>
      <c r="S2459" s="171">
        <v>45.9</v>
      </c>
      <c r="T2459" s="171">
        <v>43.62</v>
      </c>
      <c r="U2459" s="171">
        <v>50.730000000000004</v>
      </c>
      <c r="V2459" s="171">
        <v>54.83</v>
      </c>
      <c r="W2459" s="171">
        <v>41.26</v>
      </c>
      <c r="X2459" s="171">
        <v>37.11</v>
      </c>
      <c r="Y2459" s="171">
        <v>40.01</v>
      </c>
      <c r="Z2459" s="171">
        <v>42.44</v>
      </c>
      <c r="AA2459" s="171">
        <v>35.58</v>
      </c>
      <c r="AB2459" s="171">
        <v>34.1</v>
      </c>
      <c r="AC2459" s="171">
        <v>37.29</v>
      </c>
      <c r="AD2459" s="171">
        <v>52.82</v>
      </c>
      <c r="AF2459" s="171">
        <f t="shared" si="116"/>
        <v>2016</v>
      </c>
      <c r="AG2459" s="171">
        <f t="shared" si="117"/>
        <v>12</v>
      </c>
      <c r="AH2459" s="700">
        <f>SUMIF(D$3:$AA2459,"&lt;="&amp;$AH$1)/COUNTIF(D$3:$AA2459,"&lt;="&amp;$AH$1)</f>
        <v>31.194730292236098</v>
      </c>
    </row>
    <row r="2460" spans="2:34" x14ac:dyDescent="0.25">
      <c r="B2460" s="910">
        <v>42670</v>
      </c>
      <c r="C2460" s="581">
        <f t="shared" si="115"/>
        <v>10</v>
      </c>
      <c r="D2460" s="171">
        <v>41.67</v>
      </c>
      <c r="E2460" s="171">
        <v>32.840000000000003</v>
      </c>
      <c r="F2460" s="171">
        <v>32.980000000000004</v>
      </c>
      <c r="G2460" s="171">
        <v>32.83</v>
      </c>
      <c r="H2460" s="171">
        <v>32.049999999999997</v>
      </c>
      <c r="I2460" s="171">
        <v>33.08</v>
      </c>
      <c r="J2460" s="171">
        <v>33.950000000000003</v>
      </c>
      <c r="K2460" s="171">
        <v>39.08</v>
      </c>
      <c r="L2460" s="171">
        <v>50.39</v>
      </c>
      <c r="M2460" s="171">
        <v>56.620000000000005</v>
      </c>
      <c r="N2460" s="171">
        <v>54.74</v>
      </c>
      <c r="O2460" s="171">
        <v>53.95</v>
      </c>
      <c r="P2460" s="171">
        <v>52</v>
      </c>
      <c r="Q2460" s="171">
        <v>45.58</v>
      </c>
      <c r="R2460" s="171">
        <v>43.24</v>
      </c>
      <c r="S2460" s="171">
        <v>40.67</v>
      </c>
      <c r="T2460" s="171">
        <v>39.910000000000004</v>
      </c>
      <c r="U2460" s="171">
        <v>42.28</v>
      </c>
      <c r="V2460" s="171">
        <v>45</v>
      </c>
      <c r="W2460" s="171">
        <v>50.01</v>
      </c>
      <c r="X2460" s="171">
        <v>42.28</v>
      </c>
      <c r="Y2460" s="171">
        <v>38.35</v>
      </c>
      <c r="Z2460" s="171">
        <v>38.450000000000003</v>
      </c>
      <c r="AA2460" s="171">
        <v>37.76</v>
      </c>
      <c r="AB2460" s="171">
        <v>32.07</v>
      </c>
      <c r="AC2460" s="171">
        <v>36.15</v>
      </c>
      <c r="AD2460" s="171">
        <v>47.19</v>
      </c>
      <c r="AF2460" s="171">
        <f t="shared" si="116"/>
        <v>2016</v>
      </c>
      <c r="AG2460" s="171">
        <f t="shared" si="117"/>
        <v>15</v>
      </c>
      <c r="AH2460" s="700">
        <f>SUMIF(D$3:$AA2460,"&lt;="&amp;$AH$1)/COUNTIF(D$3:$AA2460,"&lt;="&amp;$AH$1)</f>
        <v>31.198601080709228</v>
      </c>
    </row>
    <row r="2461" spans="2:34" x14ac:dyDescent="0.25">
      <c r="B2461" s="910">
        <v>42671</v>
      </c>
      <c r="C2461" s="581">
        <f t="shared" si="115"/>
        <v>10</v>
      </c>
      <c r="D2461" s="171">
        <v>40.18</v>
      </c>
      <c r="E2461" s="171">
        <v>30.51</v>
      </c>
      <c r="F2461" s="171">
        <v>26.93</v>
      </c>
      <c r="G2461" s="171">
        <v>26.45</v>
      </c>
      <c r="H2461" s="171">
        <v>26.650000000000002</v>
      </c>
      <c r="I2461" s="171">
        <v>26.310000000000002</v>
      </c>
      <c r="J2461" s="171">
        <v>30.22</v>
      </c>
      <c r="K2461" s="171">
        <v>32.76</v>
      </c>
      <c r="L2461" s="171">
        <v>44.94</v>
      </c>
      <c r="M2461" s="171">
        <v>43.52</v>
      </c>
      <c r="N2461" s="171">
        <v>41.4</v>
      </c>
      <c r="O2461" s="171">
        <v>46.52</v>
      </c>
      <c r="P2461" s="171">
        <v>47.1</v>
      </c>
      <c r="Q2461" s="171">
        <v>43.07</v>
      </c>
      <c r="R2461" s="171">
        <v>42.69</v>
      </c>
      <c r="S2461" s="171">
        <v>41.34</v>
      </c>
      <c r="T2461" s="171">
        <v>41.660000000000004</v>
      </c>
      <c r="U2461" s="171">
        <v>42.25</v>
      </c>
      <c r="V2461" s="171">
        <v>50</v>
      </c>
      <c r="W2461" s="171">
        <v>58.35</v>
      </c>
      <c r="X2461" s="171">
        <v>56.64</v>
      </c>
      <c r="Y2461" s="171">
        <v>49.99</v>
      </c>
      <c r="Z2461" s="171">
        <v>45.92</v>
      </c>
      <c r="AA2461" s="171">
        <v>36.03</v>
      </c>
      <c r="AB2461" s="171">
        <v>33.01</v>
      </c>
      <c r="AC2461" s="171">
        <v>34.14</v>
      </c>
      <c r="AD2461" s="171">
        <v>46.21</v>
      </c>
      <c r="AF2461" s="171">
        <f t="shared" si="116"/>
        <v>2016</v>
      </c>
      <c r="AG2461" s="171">
        <f t="shared" si="117"/>
        <v>13</v>
      </c>
      <c r="AH2461" s="700">
        <f>SUMIF(D$3:$AA2461,"&lt;="&amp;$AH$1)/COUNTIF(D$3:$AA2461,"&lt;="&amp;$AH$1)</f>
        <v>31.200191590586684</v>
      </c>
    </row>
    <row r="2462" spans="2:34" x14ac:dyDescent="0.25">
      <c r="B2462" s="910">
        <v>42674</v>
      </c>
      <c r="C2462" s="581">
        <f t="shared" si="115"/>
        <v>10</v>
      </c>
      <c r="D2462" s="171">
        <v>43.46</v>
      </c>
      <c r="E2462" s="171">
        <v>35.36</v>
      </c>
      <c r="F2462" s="171">
        <v>34.94</v>
      </c>
      <c r="G2462" s="171">
        <v>34.660000000000004</v>
      </c>
      <c r="H2462" s="171">
        <v>33.92</v>
      </c>
      <c r="I2462" s="171">
        <v>34.39</v>
      </c>
      <c r="J2462" s="171">
        <v>38.4</v>
      </c>
      <c r="K2462" s="171">
        <v>39.94</v>
      </c>
      <c r="L2462" s="171">
        <v>51.68</v>
      </c>
      <c r="M2462" s="171">
        <v>50.47</v>
      </c>
      <c r="N2462" s="171">
        <v>47.38</v>
      </c>
      <c r="O2462" s="171">
        <v>45.1</v>
      </c>
      <c r="P2462" s="171">
        <v>44</v>
      </c>
      <c r="Q2462" s="171">
        <v>39</v>
      </c>
      <c r="R2462" s="171">
        <v>44.980000000000004</v>
      </c>
      <c r="S2462" s="171">
        <v>44.050000000000004</v>
      </c>
      <c r="T2462" s="171">
        <v>46.480000000000004</v>
      </c>
      <c r="U2462" s="171">
        <v>49.730000000000004</v>
      </c>
      <c r="V2462" s="171">
        <v>59.69</v>
      </c>
      <c r="W2462" s="171">
        <v>63.5</v>
      </c>
      <c r="X2462" s="171">
        <v>48.96</v>
      </c>
      <c r="Y2462" s="171">
        <v>44.13</v>
      </c>
      <c r="Z2462" s="171">
        <v>40.26</v>
      </c>
      <c r="AA2462" s="171">
        <v>38.619999999999997</v>
      </c>
      <c r="AB2462" s="171">
        <v>33.47</v>
      </c>
      <c r="AC2462" s="171">
        <v>38.31</v>
      </c>
      <c r="AD2462" s="171">
        <v>48.61</v>
      </c>
      <c r="AF2462" s="171">
        <f t="shared" si="116"/>
        <v>2016</v>
      </c>
      <c r="AG2462" s="171">
        <f t="shared" si="117"/>
        <v>10</v>
      </c>
      <c r="AH2462" s="700">
        <f>SUMIF(D$3:$AA2462,"&lt;="&amp;$AH$1)/COUNTIF(D$3:$AA2462,"&lt;="&amp;$AH$1)</f>
        <v>31.202654556359107</v>
      </c>
    </row>
    <row r="2463" spans="2:34" x14ac:dyDescent="0.25">
      <c r="B2463" s="910">
        <v>42675</v>
      </c>
      <c r="C2463" s="581">
        <f t="shared" si="115"/>
        <v>11</v>
      </c>
      <c r="D2463" s="171">
        <v>38.300000000000004</v>
      </c>
      <c r="E2463" s="171">
        <v>33.31</v>
      </c>
      <c r="F2463" s="171">
        <v>33.68</v>
      </c>
      <c r="G2463" s="171">
        <v>33.31</v>
      </c>
      <c r="H2463" s="171">
        <v>32.520000000000003</v>
      </c>
      <c r="I2463" s="171">
        <v>32.99</v>
      </c>
      <c r="J2463" s="171">
        <v>33.31</v>
      </c>
      <c r="K2463" s="171">
        <v>36.980000000000004</v>
      </c>
      <c r="L2463" s="171">
        <v>41.93</v>
      </c>
      <c r="M2463" s="171">
        <v>41.09</v>
      </c>
      <c r="N2463" s="171">
        <v>40</v>
      </c>
      <c r="O2463" s="171">
        <v>39.94</v>
      </c>
      <c r="P2463" s="171">
        <v>42.300000000000004</v>
      </c>
      <c r="Q2463" s="171">
        <v>40.01</v>
      </c>
      <c r="R2463" s="171">
        <v>38.9</v>
      </c>
      <c r="S2463" s="171">
        <v>35.630000000000003</v>
      </c>
      <c r="T2463" s="171">
        <v>35.410000000000004</v>
      </c>
      <c r="U2463" s="171">
        <v>39.340000000000003</v>
      </c>
      <c r="V2463" s="171">
        <v>54.02</v>
      </c>
      <c r="W2463" s="171">
        <v>49.99</v>
      </c>
      <c r="X2463" s="171">
        <v>39.94</v>
      </c>
      <c r="Y2463" s="171">
        <v>37.700000000000003</v>
      </c>
      <c r="Z2463" s="171">
        <v>35.64</v>
      </c>
      <c r="AA2463" s="171">
        <v>37.090000000000003</v>
      </c>
      <c r="AB2463" s="171">
        <v>34.14</v>
      </c>
      <c r="AC2463" s="171">
        <v>35.22</v>
      </c>
      <c r="AD2463" s="171">
        <v>41.38</v>
      </c>
      <c r="AF2463" s="171">
        <f t="shared" si="116"/>
        <v>2016</v>
      </c>
      <c r="AG2463" s="171">
        <f t="shared" si="117"/>
        <v>22</v>
      </c>
      <c r="AH2463" s="700">
        <f>SUMIF(D$3:$AA2463,"&lt;="&amp;$AH$1)/COUNTIF(D$3:$AA2463,"&lt;="&amp;$AH$1)</f>
        <v>31.208341394511752</v>
      </c>
    </row>
    <row r="2464" spans="2:34" x14ac:dyDescent="0.25">
      <c r="B2464" s="910">
        <v>42676</v>
      </c>
      <c r="C2464" s="581">
        <f t="shared" si="115"/>
        <v>11</v>
      </c>
      <c r="D2464" s="171">
        <v>40.51</v>
      </c>
      <c r="E2464" s="171">
        <v>32.17</v>
      </c>
      <c r="F2464" s="171">
        <v>32.28</v>
      </c>
      <c r="G2464" s="171">
        <v>31.400000000000002</v>
      </c>
      <c r="H2464" s="171">
        <v>31.25</v>
      </c>
      <c r="I2464" s="171">
        <v>31.6</v>
      </c>
      <c r="J2464" s="171">
        <v>32.17</v>
      </c>
      <c r="K2464" s="171">
        <v>37.44</v>
      </c>
      <c r="L2464" s="171">
        <v>40.33</v>
      </c>
      <c r="M2464" s="171">
        <v>44.94</v>
      </c>
      <c r="N2464" s="171">
        <v>47.300000000000004</v>
      </c>
      <c r="O2464" s="171">
        <v>47.300000000000004</v>
      </c>
      <c r="P2464" s="171">
        <v>39.94</v>
      </c>
      <c r="Q2464" s="171">
        <v>39.49</v>
      </c>
      <c r="R2464" s="171">
        <v>39.61</v>
      </c>
      <c r="S2464" s="171">
        <v>39.94</v>
      </c>
      <c r="T2464" s="171">
        <v>40.01</v>
      </c>
      <c r="U2464" s="171">
        <v>55</v>
      </c>
      <c r="V2464" s="171">
        <v>57.89</v>
      </c>
      <c r="W2464" s="171">
        <v>52.46</v>
      </c>
      <c r="X2464" s="171">
        <v>47.300000000000004</v>
      </c>
      <c r="Y2464" s="171">
        <v>40.19</v>
      </c>
      <c r="Z2464" s="171">
        <v>37.520000000000003</v>
      </c>
      <c r="AA2464" s="171">
        <v>39.1</v>
      </c>
      <c r="AB2464" s="171">
        <v>35.67</v>
      </c>
      <c r="AC2464" s="171">
        <v>35.090000000000003</v>
      </c>
      <c r="AD2464" s="171">
        <v>45.93</v>
      </c>
      <c r="AF2464" s="171">
        <f t="shared" si="116"/>
        <v>2016</v>
      </c>
      <c r="AG2464" s="171">
        <f t="shared" si="117"/>
        <v>17</v>
      </c>
      <c r="AH2464" s="700">
        <f>SUMIF(D$3:$AA2464,"&lt;="&amp;$AH$1)/COUNTIF(D$3:$AA2464,"&lt;="&amp;$AH$1)</f>
        <v>31.21237938408802</v>
      </c>
    </row>
    <row r="2465" spans="2:34" x14ac:dyDescent="0.25">
      <c r="B2465" s="910">
        <v>42677</v>
      </c>
      <c r="C2465" s="581">
        <f t="shared" si="115"/>
        <v>11</v>
      </c>
      <c r="D2465" s="171">
        <v>47.24</v>
      </c>
      <c r="E2465" s="171">
        <v>35.050000000000004</v>
      </c>
      <c r="F2465" s="171">
        <v>35.07</v>
      </c>
      <c r="G2465" s="171">
        <v>34.74</v>
      </c>
      <c r="H2465" s="171">
        <v>35.869999999999997</v>
      </c>
      <c r="I2465" s="171">
        <v>36.74</v>
      </c>
      <c r="J2465" s="171">
        <v>39.78</v>
      </c>
      <c r="K2465" s="171">
        <v>35.92</v>
      </c>
      <c r="L2465" s="171">
        <v>50.01</v>
      </c>
      <c r="M2465" s="171">
        <v>56.06</v>
      </c>
      <c r="N2465" s="171">
        <v>65.489999999999995</v>
      </c>
      <c r="O2465" s="171">
        <v>54.99</v>
      </c>
      <c r="P2465" s="171">
        <v>62.43</v>
      </c>
      <c r="Q2465" s="171">
        <v>42.4</v>
      </c>
      <c r="R2465" s="171">
        <v>50.79</v>
      </c>
      <c r="S2465" s="171">
        <v>50.660000000000004</v>
      </c>
      <c r="T2465" s="171">
        <v>50.34</v>
      </c>
      <c r="U2465" s="171">
        <v>57.7</v>
      </c>
      <c r="V2465" s="171">
        <v>65.56</v>
      </c>
      <c r="W2465" s="171">
        <v>66.570000000000007</v>
      </c>
      <c r="X2465" s="171">
        <v>51.54</v>
      </c>
      <c r="Y2465" s="171">
        <v>42.410000000000004</v>
      </c>
      <c r="Z2465" s="171">
        <v>40.14</v>
      </c>
      <c r="AA2465" s="171">
        <v>40.01</v>
      </c>
      <c r="AB2465" s="171">
        <v>33.549999999999997</v>
      </c>
      <c r="AC2465" s="171">
        <v>38.270000000000003</v>
      </c>
      <c r="AD2465" s="171">
        <v>56.21</v>
      </c>
      <c r="AF2465" s="171">
        <f t="shared" si="116"/>
        <v>2016</v>
      </c>
      <c r="AG2465" s="171">
        <f t="shared" si="117"/>
        <v>11</v>
      </c>
      <c r="AH2465" s="700">
        <f>SUMIF(D$3:$AA2465,"&lt;="&amp;$AH$1)/COUNTIF(D$3:$AA2465,"&lt;="&amp;$AH$1)</f>
        <v>31.215576931297424</v>
      </c>
    </row>
    <row r="2466" spans="2:34" x14ac:dyDescent="0.25">
      <c r="B2466" s="910">
        <v>42678</v>
      </c>
      <c r="C2466" s="581">
        <f t="shared" si="115"/>
        <v>11</v>
      </c>
      <c r="D2466" s="171">
        <v>40.54</v>
      </c>
      <c r="E2466" s="171">
        <v>32.4</v>
      </c>
      <c r="F2466" s="171">
        <v>32.42</v>
      </c>
      <c r="G2466" s="171">
        <v>30.96</v>
      </c>
      <c r="H2466" s="171">
        <v>30.8</v>
      </c>
      <c r="I2466" s="171">
        <v>31.98</v>
      </c>
      <c r="J2466" s="171">
        <v>34.43</v>
      </c>
      <c r="K2466" s="171">
        <v>37.200000000000003</v>
      </c>
      <c r="L2466" s="171">
        <v>41.72</v>
      </c>
      <c r="M2466" s="171">
        <v>41.39</v>
      </c>
      <c r="N2466" s="171">
        <v>41.96</v>
      </c>
      <c r="O2466" s="171">
        <v>40.86</v>
      </c>
      <c r="P2466" s="171">
        <v>41.44</v>
      </c>
      <c r="Q2466" s="171">
        <v>38.050000000000004</v>
      </c>
      <c r="R2466" s="171">
        <v>40.49</v>
      </c>
      <c r="S2466" s="171">
        <v>43.15</v>
      </c>
      <c r="T2466" s="171">
        <v>49.910000000000004</v>
      </c>
      <c r="U2466" s="171">
        <v>52.980000000000004</v>
      </c>
      <c r="V2466" s="171">
        <v>55.63</v>
      </c>
      <c r="W2466" s="171">
        <v>49.6</v>
      </c>
      <c r="X2466" s="171">
        <v>49.730000000000004</v>
      </c>
      <c r="Y2466" s="171">
        <v>39.230000000000004</v>
      </c>
      <c r="Z2466" s="171">
        <v>41.84</v>
      </c>
      <c r="AA2466" s="171">
        <v>39.99</v>
      </c>
      <c r="AB2466" s="171">
        <v>34.9</v>
      </c>
      <c r="AC2466" s="171">
        <v>35.660000000000004</v>
      </c>
      <c r="AD2466" s="171">
        <v>45.43</v>
      </c>
      <c r="AF2466" s="171">
        <f t="shared" si="116"/>
        <v>2016</v>
      </c>
      <c r="AG2466" s="171">
        <f t="shared" si="117"/>
        <v>18</v>
      </c>
      <c r="AH2466" s="700">
        <f>SUMIF(D$3:$AA2466,"&lt;="&amp;$AH$1)/COUNTIF(D$3:$AA2466,"&lt;="&amp;$AH$1)</f>
        <v>31.220524584560554</v>
      </c>
    </row>
    <row r="2467" spans="2:34" x14ac:dyDescent="0.25">
      <c r="B2467" s="910">
        <v>42681</v>
      </c>
      <c r="C2467" s="581">
        <f t="shared" si="115"/>
        <v>11</v>
      </c>
      <c r="D2467" s="171">
        <v>41.230000000000004</v>
      </c>
      <c r="E2467" s="171">
        <v>10.72</v>
      </c>
      <c r="F2467" s="171">
        <v>32.480000000000004</v>
      </c>
      <c r="G2467" s="171">
        <v>32.79</v>
      </c>
      <c r="H2467" s="171">
        <v>30.8</v>
      </c>
      <c r="I2467" s="171">
        <v>30.240000000000002</v>
      </c>
      <c r="J2467" s="171">
        <v>18.03</v>
      </c>
      <c r="K2467" s="171">
        <v>34.36</v>
      </c>
      <c r="L2467" s="171">
        <v>40.81</v>
      </c>
      <c r="M2467" s="171">
        <v>38.25</v>
      </c>
      <c r="N2467" s="171">
        <v>39.14</v>
      </c>
      <c r="O2467" s="171">
        <v>39.93</v>
      </c>
      <c r="P2467" s="171">
        <v>40.15</v>
      </c>
      <c r="Q2467" s="171">
        <v>41.76</v>
      </c>
      <c r="R2467" s="171">
        <v>42.67</v>
      </c>
      <c r="S2467" s="171">
        <v>47</v>
      </c>
      <c r="T2467" s="171">
        <v>53.28</v>
      </c>
      <c r="U2467" s="171">
        <v>59.18</v>
      </c>
      <c r="V2467" s="171">
        <v>69.83</v>
      </c>
      <c r="W2467" s="171">
        <v>65.94</v>
      </c>
      <c r="X2467" s="171">
        <v>59.93</v>
      </c>
      <c r="Y2467" s="171">
        <v>49.99</v>
      </c>
      <c r="Z2467" s="171">
        <v>37.85</v>
      </c>
      <c r="AA2467" s="171">
        <v>39.700000000000003</v>
      </c>
      <c r="AB2467" s="171">
        <v>34.78</v>
      </c>
      <c r="AC2467" s="171">
        <v>32.71</v>
      </c>
      <c r="AD2467" s="171">
        <v>49.76</v>
      </c>
      <c r="AF2467" s="171">
        <f t="shared" si="116"/>
        <v>2016</v>
      </c>
      <c r="AG2467" s="171">
        <f t="shared" si="117"/>
        <v>16</v>
      </c>
      <c r="AH2467" s="700">
        <f>SUMIF(D$3:$AA2467,"&lt;="&amp;$AH$1)/COUNTIF(D$3:$AA2467,"&lt;="&amp;$AH$1)</f>
        <v>31.222604055495331</v>
      </c>
    </row>
    <row r="2468" spans="2:34" x14ac:dyDescent="0.25">
      <c r="B2468" s="910">
        <v>42682</v>
      </c>
      <c r="C2468" s="581">
        <f t="shared" si="115"/>
        <v>11</v>
      </c>
      <c r="D2468" s="171">
        <v>52.730000000000004</v>
      </c>
      <c r="E2468" s="171">
        <v>37.47</v>
      </c>
      <c r="F2468" s="171">
        <v>36.65</v>
      </c>
      <c r="G2468" s="171">
        <v>36.090000000000003</v>
      </c>
      <c r="H2468" s="171">
        <v>36.17</v>
      </c>
      <c r="I2468" s="171">
        <v>37.130000000000003</v>
      </c>
      <c r="J2468" s="171">
        <v>35.300000000000004</v>
      </c>
      <c r="K2468" s="171">
        <v>35.300000000000004</v>
      </c>
      <c r="L2468" s="171">
        <v>44.99</v>
      </c>
      <c r="M2468" s="171">
        <v>57.44</v>
      </c>
      <c r="N2468" s="171">
        <v>60.120000000000005</v>
      </c>
      <c r="O2468" s="171">
        <v>61.89</v>
      </c>
      <c r="P2468" s="171">
        <v>60.01</v>
      </c>
      <c r="Q2468" s="171">
        <v>50.03</v>
      </c>
      <c r="R2468" s="171">
        <v>55</v>
      </c>
      <c r="S2468" s="171">
        <v>65</v>
      </c>
      <c r="T2468" s="171">
        <v>67.09</v>
      </c>
      <c r="U2468" s="171">
        <v>84.55</v>
      </c>
      <c r="V2468" s="171">
        <v>121.31</v>
      </c>
      <c r="W2468" s="171">
        <v>70.03</v>
      </c>
      <c r="X2468" s="171">
        <v>56.43</v>
      </c>
      <c r="Y2468" s="171">
        <v>44.15</v>
      </c>
      <c r="Z2468" s="171">
        <v>37.450000000000003</v>
      </c>
      <c r="AA2468" s="171">
        <v>40</v>
      </c>
      <c r="AB2468" s="171">
        <v>35.980000000000004</v>
      </c>
      <c r="AC2468" s="171">
        <v>38.06</v>
      </c>
      <c r="AD2468" s="171">
        <v>67.41</v>
      </c>
      <c r="AF2468" s="171">
        <f t="shared" si="116"/>
        <v>2016</v>
      </c>
      <c r="AG2468" s="171">
        <f t="shared" si="117"/>
        <v>9</v>
      </c>
      <c r="AH2468" s="700">
        <f>SUMIF(D$3:$AA2468,"&lt;="&amp;$AH$1)/COUNTIF(D$3:$AA2468,"&lt;="&amp;$AH$1)</f>
        <v>31.224761457710088</v>
      </c>
    </row>
    <row r="2469" spans="2:34" x14ac:dyDescent="0.25">
      <c r="B2469" s="910">
        <v>42683</v>
      </c>
      <c r="C2469" s="581">
        <f t="shared" si="115"/>
        <v>11</v>
      </c>
      <c r="D2469" s="171">
        <v>47.44</v>
      </c>
      <c r="E2469" s="171">
        <v>34.980000000000004</v>
      </c>
      <c r="F2469" s="171">
        <v>34.660000000000004</v>
      </c>
      <c r="G2469" s="171">
        <v>33.450000000000003</v>
      </c>
      <c r="H2469" s="171">
        <v>32.68</v>
      </c>
      <c r="I2469" s="171">
        <v>34.11</v>
      </c>
      <c r="J2469" s="171">
        <v>33.6</v>
      </c>
      <c r="K2469" s="171">
        <v>32.75</v>
      </c>
      <c r="L2469" s="171">
        <v>51.89</v>
      </c>
      <c r="M2469" s="171">
        <v>55.2</v>
      </c>
      <c r="N2469" s="171">
        <v>54.96</v>
      </c>
      <c r="O2469" s="171">
        <v>49.72</v>
      </c>
      <c r="P2469" s="171">
        <v>56.92</v>
      </c>
      <c r="Q2469" s="171">
        <v>55.82</v>
      </c>
      <c r="R2469" s="171">
        <v>55.58</v>
      </c>
      <c r="S2469" s="171">
        <v>54.28</v>
      </c>
      <c r="T2469" s="171">
        <v>55.08</v>
      </c>
      <c r="U2469" s="171">
        <v>62.21</v>
      </c>
      <c r="V2469" s="171">
        <v>78.44</v>
      </c>
      <c r="W2469" s="171">
        <v>60.93</v>
      </c>
      <c r="X2469" s="171">
        <v>56.96</v>
      </c>
      <c r="Y2469" s="171">
        <v>38.04</v>
      </c>
      <c r="Z2469" s="171">
        <v>40.85</v>
      </c>
      <c r="AA2469" s="171">
        <v>39.5</v>
      </c>
      <c r="AB2469" s="171">
        <v>35.910000000000004</v>
      </c>
      <c r="AC2469" s="171">
        <v>36.869999999999997</v>
      </c>
      <c r="AD2469" s="171">
        <v>58.01</v>
      </c>
      <c r="AF2469" s="171">
        <f t="shared" si="116"/>
        <v>2016</v>
      </c>
      <c r="AG2469" s="171">
        <f t="shared" si="117"/>
        <v>10</v>
      </c>
      <c r="AH2469" s="700">
        <f>SUMIF(D$3:$AA2469,"&lt;="&amp;$AH$1)/COUNTIF(D$3:$AA2469,"&lt;="&amp;$AH$1)</f>
        <v>31.22656884490608</v>
      </c>
    </row>
    <row r="2470" spans="2:34" x14ac:dyDescent="0.25">
      <c r="B2470" s="910">
        <v>42684</v>
      </c>
      <c r="C2470" s="581">
        <f t="shared" si="115"/>
        <v>11</v>
      </c>
      <c r="D2470" s="171">
        <v>54.370000000000005</v>
      </c>
      <c r="E2470" s="171">
        <v>33.53</v>
      </c>
      <c r="F2470" s="171">
        <v>33.25</v>
      </c>
      <c r="G2470" s="171">
        <v>31.69</v>
      </c>
      <c r="H2470" s="171">
        <v>33.200000000000003</v>
      </c>
      <c r="I2470" s="171">
        <v>33.53</v>
      </c>
      <c r="J2470" s="171">
        <v>35</v>
      </c>
      <c r="K2470" s="171">
        <v>44.32</v>
      </c>
      <c r="L2470" s="171">
        <v>59.050000000000004</v>
      </c>
      <c r="M2470" s="171">
        <v>68.25</v>
      </c>
      <c r="N2470" s="171">
        <v>66.05</v>
      </c>
      <c r="O2470" s="171">
        <v>67.81</v>
      </c>
      <c r="P2470" s="171">
        <v>67.91</v>
      </c>
      <c r="Q2470" s="171">
        <v>65.44</v>
      </c>
      <c r="R2470" s="171">
        <v>67.97</v>
      </c>
      <c r="S2470" s="171">
        <v>65.75</v>
      </c>
      <c r="T2470" s="171">
        <v>65.37</v>
      </c>
      <c r="U2470" s="171">
        <v>66.11</v>
      </c>
      <c r="V2470" s="171">
        <v>98.15</v>
      </c>
      <c r="W2470" s="171">
        <v>73.570000000000007</v>
      </c>
      <c r="X2470" s="171">
        <v>61.03</v>
      </c>
      <c r="Y2470" s="171">
        <v>50.01</v>
      </c>
      <c r="Z2470" s="171">
        <v>41.86</v>
      </c>
      <c r="AA2470" s="171">
        <v>39.94</v>
      </c>
      <c r="AB2470" s="171">
        <v>36.03</v>
      </c>
      <c r="AC2470" s="171">
        <v>39.28</v>
      </c>
      <c r="AD2470" s="171">
        <v>69.45</v>
      </c>
      <c r="AF2470" s="171">
        <f t="shared" si="116"/>
        <v>2016</v>
      </c>
      <c r="AG2470" s="171">
        <f t="shared" si="117"/>
        <v>8</v>
      </c>
      <c r="AH2470" s="700">
        <f>SUMIF(D$3:$AA2470,"&lt;="&amp;$AH$1)/COUNTIF(D$3:$AA2470,"&lt;="&amp;$AH$1)</f>
        <v>31.227941326964782</v>
      </c>
    </row>
    <row r="2471" spans="2:34" x14ac:dyDescent="0.25">
      <c r="B2471" s="910">
        <v>42685</v>
      </c>
      <c r="C2471" s="581">
        <f t="shared" si="115"/>
        <v>11</v>
      </c>
      <c r="D2471" s="171">
        <v>46.74</v>
      </c>
      <c r="E2471" s="171">
        <v>33.910000000000004</v>
      </c>
      <c r="F2471" s="171">
        <v>33</v>
      </c>
      <c r="G2471" s="171">
        <v>34</v>
      </c>
      <c r="H2471" s="171">
        <v>34</v>
      </c>
      <c r="I2471" s="171">
        <v>34</v>
      </c>
      <c r="J2471" s="171">
        <v>35.450000000000003</v>
      </c>
      <c r="K2471" s="171">
        <v>36.78</v>
      </c>
      <c r="L2471" s="171">
        <v>47.96</v>
      </c>
      <c r="M2471" s="171">
        <v>55.45</v>
      </c>
      <c r="N2471" s="171">
        <v>55.44</v>
      </c>
      <c r="O2471" s="171">
        <v>56.42</v>
      </c>
      <c r="P2471" s="171">
        <v>56.410000000000004</v>
      </c>
      <c r="Q2471" s="171">
        <v>55.69</v>
      </c>
      <c r="R2471" s="171">
        <v>54.7</v>
      </c>
      <c r="S2471" s="171">
        <v>51.84</v>
      </c>
      <c r="T2471" s="171">
        <v>52</v>
      </c>
      <c r="U2471" s="171">
        <v>58.46</v>
      </c>
      <c r="V2471" s="171">
        <v>64.92</v>
      </c>
      <c r="W2471" s="171">
        <v>56.94</v>
      </c>
      <c r="X2471" s="171">
        <v>55</v>
      </c>
      <c r="Y2471" s="171">
        <v>42.56</v>
      </c>
      <c r="Z2471" s="171">
        <v>41.54</v>
      </c>
      <c r="AA2471" s="171">
        <v>40.92</v>
      </c>
      <c r="AB2471" s="171">
        <v>34.4</v>
      </c>
      <c r="AC2471" s="171">
        <v>37.380000000000003</v>
      </c>
      <c r="AD2471" s="171">
        <v>56.11</v>
      </c>
      <c r="AF2471" s="171">
        <f t="shared" si="116"/>
        <v>2016</v>
      </c>
      <c r="AG2471" s="171">
        <f t="shared" si="117"/>
        <v>9</v>
      </c>
      <c r="AH2471" s="700">
        <f>SUMIF(D$3:$AA2471,"&lt;="&amp;$AH$1)/COUNTIF(D$3:$AA2471,"&lt;="&amp;$AH$1)</f>
        <v>31.229754912406893</v>
      </c>
    </row>
    <row r="2472" spans="2:34" x14ac:dyDescent="0.25">
      <c r="B2472" s="910">
        <v>42688</v>
      </c>
      <c r="C2472" s="581">
        <f t="shared" si="115"/>
        <v>11</v>
      </c>
      <c r="D2472" s="171">
        <v>54.34</v>
      </c>
      <c r="E2472" s="171">
        <v>36.19</v>
      </c>
      <c r="F2472" s="171">
        <v>33.119999999999997</v>
      </c>
      <c r="G2472" s="171">
        <v>33.4</v>
      </c>
      <c r="H2472" s="171">
        <v>33.85</v>
      </c>
      <c r="I2472" s="171">
        <v>34.08</v>
      </c>
      <c r="J2472" s="171">
        <v>34.65</v>
      </c>
      <c r="K2472" s="171">
        <v>42.94</v>
      </c>
      <c r="L2472" s="171">
        <v>60.39</v>
      </c>
      <c r="M2472" s="171">
        <v>64.180000000000007</v>
      </c>
      <c r="N2472" s="171">
        <v>74.94</v>
      </c>
      <c r="O2472" s="171">
        <v>80.010000000000005</v>
      </c>
      <c r="P2472" s="171">
        <v>89.54</v>
      </c>
      <c r="Q2472" s="171">
        <v>77.5</v>
      </c>
      <c r="R2472" s="171">
        <v>88.78</v>
      </c>
      <c r="S2472" s="171">
        <v>62.53</v>
      </c>
      <c r="T2472" s="171">
        <v>56.28</v>
      </c>
      <c r="U2472" s="171">
        <v>60.54</v>
      </c>
      <c r="V2472" s="171">
        <v>61.58</v>
      </c>
      <c r="W2472" s="171">
        <v>80.010000000000005</v>
      </c>
      <c r="X2472" s="171">
        <v>48.19</v>
      </c>
      <c r="Y2472" s="171">
        <v>42.44</v>
      </c>
      <c r="Z2472" s="171">
        <v>37.410000000000004</v>
      </c>
      <c r="AA2472" s="171">
        <v>40</v>
      </c>
      <c r="AB2472" s="171">
        <v>31.720000000000002</v>
      </c>
      <c r="AC2472" s="171">
        <v>38.35</v>
      </c>
      <c r="AD2472" s="171">
        <v>70.34</v>
      </c>
      <c r="AF2472" s="171">
        <f t="shared" si="116"/>
        <v>2016</v>
      </c>
      <c r="AG2472" s="171">
        <f t="shared" si="117"/>
        <v>9</v>
      </c>
      <c r="AH2472" s="700">
        <f>SUMIF(D$3:$AA2472,"&lt;="&amp;$AH$1)/COUNTIF(D$3:$AA2472,"&lt;="&amp;$AH$1)</f>
        <v>31.23163272262369</v>
      </c>
    </row>
    <row r="2473" spans="2:34" x14ac:dyDescent="0.25">
      <c r="B2473" s="910">
        <v>42689</v>
      </c>
      <c r="C2473" s="581">
        <f t="shared" si="115"/>
        <v>11</v>
      </c>
      <c r="D2473" s="171">
        <v>52.04</v>
      </c>
      <c r="E2473" s="171">
        <v>32.369999999999997</v>
      </c>
      <c r="F2473" s="171">
        <v>32.07</v>
      </c>
      <c r="G2473" s="171">
        <v>30.94</v>
      </c>
      <c r="H2473" s="171">
        <v>29.2</v>
      </c>
      <c r="I2473" s="171">
        <v>30.07</v>
      </c>
      <c r="J2473" s="171">
        <v>32.18</v>
      </c>
      <c r="K2473" s="171">
        <v>36.6</v>
      </c>
      <c r="L2473" s="171">
        <v>44.65</v>
      </c>
      <c r="M2473" s="171">
        <v>58.63</v>
      </c>
      <c r="N2473" s="171">
        <v>60.74</v>
      </c>
      <c r="O2473" s="171">
        <v>58.24</v>
      </c>
      <c r="P2473" s="171">
        <v>52.2</v>
      </c>
      <c r="Q2473" s="171">
        <v>55.02</v>
      </c>
      <c r="R2473" s="171">
        <v>55.4</v>
      </c>
      <c r="S2473" s="171">
        <v>57.08</v>
      </c>
      <c r="T2473" s="171">
        <v>58.1</v>
      </c>
      <c r="U2473" s="171">
        <v>74.94</v>
      </c>
      <c r="V2473" s="171">
        <v>119.16</v>
      </c>
      <c r="W2473" s="171">
        <v>94.41</v>
      </c>
      <c r="X2473" s="171">
        <v>67.13</v>
      </c>
      <c r="Y2473" s="171">
        <v>54.29</v>
      </c>
      <c r="Z2473" s="171">
        <v>39.840000000000003</v>
      </c>
      <c r="AA2473" s="171">
        <v>38.42</v>
      </c>
      <c r="AB2473" s="171">
        <v>37.29</v>
      </c>
      <c r="AC2473" s="171">
        <v>36.49</v>
      </c>
      <c r="AD2473" s="171">
        <v>67.59</v>
      </c>
      <c r="AF2473" s="171">
        <f t="shared" si="116"/>
        <v>2016</v>
      </c>
      <c r="AG2473" s="171">
        <f t="shared" si="117"/>
        <v>9</v>
      </c>
      <c r="AH2473" s="700">
        <f>SUMIF(D$3:$AA2473,"&lt;="&amp;$AH$1)/COUNTIF(D$3:$AA2473,"&lt;="&amp;$AH$1)</f>
        <v>31.232510328377607</v>
      </c>
    </row>
    <row r="2474" spans="2:34" x14ac:dyDescent="0.25">
      <c r="B2474" s="910">
        <v>42690</v>
      </c>
      <c r="C2474" s="581">
        <f t="shared" si="115"/>
        <v>11</v>
      </c>
      <c r="D2474" s="171">
        <v>43.35</v>
      </c>
      <c r="E2474" s="171">
        <v>35.550000000000004</v>
      </c>
      <c r="F2474" s="171">
        <v>34.14</v>
      </c>
      <c r="G2474" s="171">
        <v>33.4</v>
      </c>
      <c r="H2474" s="171">
        <v>33.450000000000003</v>
      </c>
      <c r="I2474" s="171">
        <v>33.049999999999997</v>
      </c>
      <c r="J2474" s="171">
        <v>34.19</v>
      </c>
      <c r="K2474" s="171">
        <v>42.13</v>
      </c>
      <c r="L2474" s="171">
        <v>51.92</v>
      </c>
      <c r="M2474" s="171">
        <v>56.36</v>
      </c>
      <c r="N2474" s="171">
        <v>58.06</v>
      </c>
      <c r="O2474" s="171">
        <v>56.36</v>
      </c>
      <c r="P2474" s="171">
        <v>53.96</v>
      </c>
      <c r="Q2474" s="171">
        <v>46.79</v>
      </c>
      <c r="R2474" s="171">
        <v>45.63</v>
      </c>
      <c r="S2474" s="171">
        <v>41.25</v>
      </c>
      <c r="T2474" s="171">
        <v>41.6</v>
      </c>
      <c r="U2474" s="171">
        <v>44.89</v>
      </c>
      <c r="V2474" s="171">
        <v>53.050000000000004</v>
      </c>
      <c r="W2474" s="171">
        <v>51.81</v>
      </c>
      <c r="X2474" s="171">
        <v>46.94</v>
      </c>
      <c r="Y2474" s="171">
        <v>39.619999999999997</v>
      </c>
      <c r="Z2474" s="171">
        <v>37.44</v>
      </c>
      <c r="AA2474" s="171">
        <v>37</v>
      </c>
      <c r="AB2474" s="171">
        <v>31.830000000000002</v>
      </c>
      <c r="AC2474" s="171">
        <v>36.980000000000004</v>
      </c>
      <c r="AD2474" s="171">
        <v>49.72</v>
      </c>
      <c r="AF2474" s="171">
        <f t="shared" si="116"/>
        <v>2016</v>
      </c>
      <c r="AG2474" s="171">
        <f t="shared" si="117"/>
        <v>12</v>
      </c>
      <c r="AH2474" s="700">
        <f>SUMIF(D$3:$AA2474,"&lt;="&amp;$AH$1)/COUNTIF(D$3:$AA2474,"&lt;="&amp;$AH$1)</f>
        <v>31.235406325825966</v>
      </c>
    </row>
    <row r="2475" spans="2:34" x14ac:dyDescent="0.25">
      <c r="B2475" s="910">
        <v>42691</v>
      </c>
      <c r="C2475" s="581">
        <f t="shared" si="115"/>
        <v>11</v>
      </c>
      <c r="D2475" s="171">
        <v>38.78</v>
      </c>
      <c r="E2475" s="171">
        <v>30.57</v>
      </c>
      <c r="F2475" s="171">
        <v>30.01</v>
      </c>
      <c r="G2475" s="171">
        <v>29.85</v>
      </c>
      <c r="H2475" s="171">
        <v>30.73</v>
      </c>
      <c r="I2475" s="171">
        <v>30.86</v>
      </c>
      <c r="J2475" s="171">
        <v>30.85</v>
      </c>
      <c r="K2475" s="171">
        <v>38.54</v>
      </c>
      <c r="L2475" s="171">
        <v>48.92</v>
      </c>
      <c r="M2475" s="171">
        <v>51.79</v>
      </c>
      <c r="N2475" s="171">
        <v>46.09</v>
      </c>
      <c r="O2475" s="171">
        <v>45.6</v>
      </c>
      <c r="P2475" s="171">
        <v>46.37</v>
      </c>
      <c r="Q2475" s="171">
        <v>45.660000000000004</v>
      </c>
      <c r="R2475" s="171">
        <v>44.71</v>
      </c>
      <c r="S2475" s="171">
        <v>40.910000000000004</v>
      </c>
      <c r="T2475" s="171">
        <v>38.270000000000003</v>
      </c>
      <c r="U2475" s="171">
        <v>41.730000000000004</v>
      </c>
      <c r="V2475" s="171">
        <v>46.51</v>
      </c>
      <c r="W2475" s="171">
        <v>37.76</v>
      </c>
      <c r="X2475" s="171">
        <v>36.020000000000003</v>
      </c>
      <c r="Y2475" s="171">
        <v>35.64</v>
      </c>
      <c r="Z2475" s="171">
        <v>35.619999999999997</v>
      </c>
      <c r="AA2475" s="171">
        <v>33.6</v>
      </c>
      <c r="AB2475" s="171">
        <v>34.01</v>
      </c>
      <c r="AC2475" s="171">
        <v>34.1</v>
      </c>
      <c r="AD2475" s="171">
        <v>43.45</v>
      </c>
      <c r="AF2475" s="171">
        <f t="shared" si="116"/>
        <v>2016</v>
      </c>
      <c r="AG2475" s="171">
        <f t="shared" si="117"/>
        <v>16</v>
      </c>
      <c r="AH2475" s="700">
        <f>SUMIF(D$3:$AA2475,"&lt;="&amp;$AH$1)/COUNTIF(D$3:$AA2475,"&lt;="&amp;$AH$1)</f>
        <v>31.23795762964129</v>
      </c>
    </row>
    <row r="2476" spans="2:34" x14ac:dyDescent="0.25">
      <c r="B2476" s="910">
        <v>42692</v>
      </c>
      <c r="C2476" s="581">
        <f t="shared" si="115"/>
        <v>11</v>
      </c>
      <c r="D2476" s="171">
        <v>40.630000000000003</v>
      </c>
      <c r="E2476" s="171">
        <v>32.950000000000003</v>
      </c>
      <c r="F2476" s="171">
        <v>31.02</v>
      </c>
      <c r="G2476" s="171">
        <v>29.75</v>
      </c>
      <c r="H2476" s="171">
        <v>30.35</v>
      </c>
      <c r="I2476" s="171">
        <v>31.400000000000002</v>
      </c>
      <c r="J2476" s="171">
        <v>31.5</v>
      </c>
      <c r="K2476" s="171">
        <v>35</v>
      </c>
      <c r="L2476" s="171">
        <v>45.6</v>
      </c>
      <c r="M2476" s="171">
        <v>45.6</v>
      </c>
      <c r="N2476" s="171">
        <v>45.99</v>
      </c>
      <c r="O2476" s="171">
        <v>45.6</v>
      </c>
      <c r="P2476" s="171">
        <v>45</v>
      </c>
      <c r="Q2476" s="171">
        <v>45.6</v>
      </c>
      <c r="R2476" s="171">
        <v>45.6</v>
      </c>
      <c r="S2476" s="171">
        <v>44.99</v>
      </c>
      <c r="T2476" s="171">
        <v>37.44</v>
      </c>
      <c r="U2476" s="171">
        <v>51.32</v>
      </c>
      <c r="V2476" s="171">
        <v>56</v>
      </c>
      <c r="W2476" s="171">
        <v>41.71</v>
      </c>
      <c r="X2476" s="171">
        <v>44.99</v>
      </c>
      <c r="Y2476" s="171">
        <v>53.4</v>
      </c>
      <c r="Z2476" s="171">
        <v>38</v>
      </c>
      <c r="AA2476" s="171">
        <v>34.94</v>
      </c>
      <c r="AB2476" s="171">
        <v>31.44</v>
      </c>
      <c r="AC2476" s="171">
        <v>35.450000000000003</v>
      </c>
      <c r="AD2476" s="171">
        <v>45.82</v>
      </c>
      <c r="AF2476" s="171">
        <f t="shared" si="116"/>
        <v>2016</v>
      </c>
      <c r="AG2476" s="171">
        <f t="shared" si="117"/>
        <v>12</v>
      </c>
      <c r="AH2476" s="700">
        <f>SUMIF(D$3:$AA2476,"&lt;="&amp;$AH$1)/COUNTIF(D$3:$AA2476,"&lt;="&amp;$AH$1)</f>
        <v>31.23965134571953</v>
      </c>
    </row>
    <row r="2477" spans="2:34" x14ac:dyDescent="0.25">
      <c r="B2477" s="910">
        <v>42695</v>
      </c>
      <c r="C2477" s="581">
        <f t="shared" ref="C2477:C2540" si="118">MONTH(B2477)</f>
        <v>11</v>
      </c>
      <c r="D2477" s="171">
        <v>40.020000000000003</v>
      </c>
      <c r="E2477" s="171">
        <v>34.68</v>
      </c>
      <c r="F2477" s="171">
        <v>32.119999999999997</v>
      </c>
      <c r="G2477" s="171">
        <v>32.69</v>
      </c>
      <c r="H2477" s="171">
        <v>31.05</v>
      </c>
      <c r="I2477" s="171">
        <v>10.88</v>
      </c>
      <c r="J2477" s="171">
        <v>20</v>
      </c>
      <c r="K2477" s="171">
        <v>38.71</v>
      </c>
      <c r="L2477" s="171">
        <v>49.86</v>
      </c>
      <c r="M2477" s="171">
        <v>49.4</v>
      </c>
      <c r="N2477" s="171">
        <v>48.04</v>
      </c>
      <c r="O2477" s="171">
        <v>48.7</v>
      </c>
      <c r="P2477" s="171">
        <v>48.7</v>
      </c>
      <c r="Q2477" s="171">
        <v>48.29</v>
      </c>
      <c r="R2477" s="171">
        <v>48.5</v>
      </c>
      <c r="S2477" s="171">
        <v>48.7</v>
      </c>
      <c r="T2477" s="171">
        <v>48.1</v>
      </c>
      <c r="U2477" s="171">
        <v>50.050000000000004</v>
      </c>
      <c r="V2477" s="171">
        <v>59.94</v>
      </c>
      <c r="W2477" s="171">
        <v>39.99</v>
      </c>
      <c r="X2477" s="171">
        <v>36.300000000000004</v>
      </c>
      <c r="Y2477" s="171">
        <v>35.75</v>
      </c>
      <c r="Z2477" s="171">
        <v>35.1</v>
      </c>
      <c r="AA2477" s="171">
        <v>32.53</v>
      </c>
      <c r="AB2477" s="171">
        <v>32.36</v>
      </c>
      <c r="AC2477" s="171">
        <v>32.14</v>
      </c>
      <c r="AD2477" s="171">
        <v>47.89</v>
      </c>
      <c r="AF2477" s="171">
        <f t="shared" si="116"/>
        <v>2016</v>
      </c>
      <c r="AG2477" s="171">
        <f t="shared" si="117"/>
        <v>13</v>
      </c>
      <c r="AH2477" s="700">
        <f>SUMIF(D$3:$AA2477,"&lt;="&amp;$AH$1)/COUNTIF(D$3:$AA2477,"&lt;="&amp;$AH$1)</f>
        <v>31.240233724289382</v>
      </c>
    </row>
    <row r="2478" spans="2:34" x14ac:dyDescent="0.25">
      <c r="B2478" s="910">
        <v>42696</v>
      </c>
      <c r="C2478" s="581">
        <f t="shared" si="118"/>
        <v>11</v>
      </c>
      <c r="D2478" s="171">
        <v>39.83</v>
      </c>
      <c r="E2478" s="171">
        <v>31.89</v>
      </c>
      <c r="F2478" s="171">
        <v>31.21</v>
      </c>
      <c r="G2478" s="171">
        <v>29.28</v>
      </c>
      <c r="H2478" s="171">
        <v>27.16</v>
      </c>
      <c r="I2478" s="171">
        <v>19.990000000000002</v>
      </c>
      <c r="J2478" s="171">
        <v>29.38</v>
      </c>
      <c r="K2478" s="171">
        <v>33.89</v>
      </c>
      <c r="L2478" s="171">
        <v>40.89</v>
      </c>
      <c r="M2478" s="171">
        <v>39.43</v>
      </c>
      <c r="N2478" s="171">
        <v>37.160000000000004</v>
      </c>
      <c r="O2478" s="171">
        <v>35.85</v>
      </c>
      <c r="P2478" s="171">
        <v>36.35</v>
      </c>
      <c r="Q2478" s="171">
        <v>37</v>
      </c>
      <c r="R2478" s="171">
        <v>38.46</v>
      </c>
      <c r="S2478" s="171">
        <v>46.02</v>
      </c>
      <c r="T2478" s="171">
        <v>50.92</v>
      </c>
      <c r="U2478" s="171">
        <v>51.51</v>
      </c>
      <c r="V2478" s="171">
        <v>68.960000000000008</v>
      </c>
      <c r="W2478" s="171">
        <v>55.54</v>
      </c>
      <c r="X2478" s="171">
        <v>52.81</v>
      </c>
      <c r="Y2478" s="171">
        <v>47.59</v>
      </c>
      <c r="Z2478" s="171">
        <v>37.15</v>
      </c>
      <c r="AA2478" s="171">
        <v>37.480000000000004</v>
      </c>
      <c r="AB2478" s="171">
        <v>39.94</v>
      </c>
      <c r="AC2478" s="171">
        <v>33.82</v>
      </c>
      <c r="AD2478" s="171">
        <v>45.83</v>
      </c>
      <c r="AF2478" s="171">
        <f t="shared" si="116"/>
        <v>2016</v>
      </c>
      <c r="AG2478" s="171">
        <f t="shared" si="117"/>
        <v>17</v>
      </c>
      <c r="AH2478" s="700">
        <f>SUMIF(D$3:$AA2478,"&lt;="&amp;$AH$1)/COUNTIF(D$3:$AA2478,"&lt;="&amp;$AH$1)</f>
        <v>31.242412841308663</v>
      </c>
    </row>
    <row r="2479" spans="2:34" x14ac:dyDescent="0.25">
      <c r="B2479" s="910">
        <v>42697</v>
      </c>
      <c r="C2479" s="581">
        <f t="shared" si="118"/>
        <v>11</v>
      </c>
      <c r="D2479" s="171">
        <v>46.31</v>
      </c>
      <c r="E2479" s="171">
        <v>34.9</v>
      </c>
      <c r="F2479" s="171">
        <v>34.21</v>
      </c>
      <c r="G2479" s="171">
        <v>33.46</v>
      </c>
      <c r="H2479" s="171">
        <v>32.08</v>
      </c>
      <c r="I2479" s="171">
        <v>33.54</v>
      </c>
      <c r="J2479" s="171">
        <v>35.380000000000003</v>
      </c>
      <c r="K2479" s="171">
        <v>46.1</v>
      </c>
      <c r="L2479" s="171">
        <v>48.81</v>
      </c>
      <c r="M2479" s="171">
        <v>51.58</v>
      </c>
      <c r="N2479" s="171">
        <v>57.660000000000004</v>
      </c>
      <c r="O2479" s="171">
        <v>57.660000000000004</v>
      </c>
      <c r="P2479" s="171">
        <v>57.660000000000004</v>
      </c>
      <c r="Q2479" s="171">
        <v>50.76</v>
      </c>
      <c r="R2479" s="171">
        <v>52.51</v>
      </c>
      <c r="S2479" s="171">
        <v>55.04</v>
      </c>
      <c r="T2479" s="171">
        <v>58.52</v>
      </c>
      <c r="U2479" s="171">
        <v>55.38</v>
      </c>
      <c r="V2479" s="171">
        <v>62.11</v>
      </c>
      <c r="W2479" s="171">
        <v>53.65</v>
      </c>
      <c r="X2479" s="171">
        <v>51.08</v>
      </c>
      <c r="Y2479" s="171">
        <v>39.22</v>
      </c>
      <c r="Z2479" s="171">
        <v>38.21</v>
      </c>
      <c r="AA2479" s="171">
        <v>37.880000000000003</v>
      </c>
      <c r="AB2479" s="171">
        <v>33.99</v>
      </c>
      <c r="AC2479" s="171">
        <v>37.31</v>
      </c>
      <c r="AD2479" s="171">
        <v>55.300000000000004</v>
      </c>
      <c r="AF2479" s="171">
        <f t="shared" si="116"/>
        <v>2016</v>
      </c>
      <c r="AG2479" s="171">
        <f t="shared" si="117"/>
        <v>9</v>
      </c>
      <c r="AH2479" s="700">
        <f>SUMIF(D$3:$AA2479,"&lt;="&amp;$AH$1)/COUNTIF(D$3:$AA2479,"&lt;="&amp;$AH$1)</f>
        <v>31.244013074114001</v>
      </c>
    </row>
    <row r="2480" spans="2:34" x14ac:dyDescent="0.25">
      <c r="B2480" s="910">
        <v>42698</v>
      </c>
      <c r="C2480" s="581">
        <f t="shared" si="118"/>
        <v>11</v>
      </c>
      <c r="D2480" s="171">
        <v>39.85</v>
      </c>
      <c r="E2480" s="171">
        <v>32.660000000000004</v>
      </c>
      <c r="F2480" s="171">
        <v>31.61</v>
      </c>
      <c r="G2480" s="171">
        <v>30.8</v>
      </c>
      <c r="H2480" s="171">
        <v>29.580000000000002</v>
      </c>
      <c r="I2480" s="171">
        <v>29.76</v>
      </c>
      <c r="J2480" s="171">
        <v>32.44</v>
      </c>
      <c r="K2480" s="171">
        <v>35.590000000000003</v>
      </c>
      <c r="L2480" s="171">
        <v>43.9</v>
      </c>
      <c r="M2480" s="171">
        <v>46.27</v>
      </c>
      <c r="N2480" s="171">
        <v>45.5</v>
      </c>
      <c r="O2480" s="171">
        <v>44.25</v>
      </c>
      <c r="P2480" s="171">
        <v>44.14</v>
      </c>
      <c r="Q2480" s="171">
        <v>43.1</v>
      </c>
      <c r="R2480" s="171">
        <v>43.14</v>
      </c>
      <c r="S2480" s="171">
        <v>42.82</v>
      </c>
      <c r="T2480" s="171">
        <v>44.85</v>
      </c>
      <c r="U2480" s="171">
        <v>49.730000000000004</v>
      </c>
      <c r="V2480" s="171">
        <v>51.27</v>
      </c>
      <c r="W2480" s="171">
        <v>45.230000000000004</v>
      </c>
      <c r="X2480" s="171">
        <v>44.01</v>
      </c>
      <c r="Y2480" s="171">
        <v>38.200000000000003</v>
      </c>
      <c r="Z2480" s="171">
        <v>37.92</v>
      </c>
      <c r="AA2480" s="171">
        <v>36.4</v>
      </c>
      <c r="AB2480" s="171">
        <v>33.33</v>
      </c>
      <c r="AC2480" s="171">
        <v>34.35</v>
      </c>
      <c r="AD2480" s="171">
        <v>45.36</v>
      </c>
      <c r="AF2480" s="171">
        <f t="shared" si="116"/>
        <v>2016</v>
      </c>
      <c r="AG2480" s="171">
        <f t="shared" si="117"/>
        <v>11</v>
      </c>
      <c r="AH2480" s="700">
        <f>SUMIF(D$3:$AA2480,"&lt;="&amp;$AH$1)/COUNTIF(D$3:$AA2480,"&lt;="&amp;$AH$1)</f>
        <v>31.245333701047034</v>
      </c>
    </row>
    <row r="2481" spans="2:34" x14ac:dyDescent="0.25">
      <c r="B2481" s="910">
        <v>42699</v>
      </c>
      <c r="C2481" s="581">
        <f t="shared" si="118"/>
        <v>11</v>
      </c>
      <c r="D2481" s="171">
        <v>42.74</v>
      </c>
      <c r="E2481" s="171">
        <v>35.230000000000004</v>
      </c>
      <c r="F2481" s="171">
        <v>32.99</v>
      </c>
      <c r="G2481" s="171">
        <v>32.020000000000003</v>
      </c>
      <c r="H2481" s="171">
        <v>31.05</v>
      </c>
      <c r="I2481" s="171">
        <v>31.18</v>
      </c>
      <c r="J2481" s="171">
        <v>34.85</v>
      </c>
      <c r="K2481" s="171">
        <v>35.75</v>
      </c>
      <c r="L2481" s="171">
        <v>47.1</v>
      </c>
      <c r="M2481" s="171">
        <v>50.01</v>
      </c>
      <c r="N2481" s="171">
        <v>49.620000000000005</v>
      </c>
      <c r="O2481" s="171">
        <v>47.660000000000004</v>
      </c>
      <c r="P2481" s="171">
        <v>48.82</v>
      </c>
      <c r="Q2481" s="171">
        <v>47.44</v>
      </c>
      <c r="R2481" s="171">
        <v>47.52</v>
      </c>
      <c r="S2481" s="171">
        <v>47.4</v>
      </c>
      <c r="T2481" s="171">
        <v>48.33</v>
      </c>
      <c r="U2481" s="171">
        <v>50.04</v>
      </c>
      <c r="V2481" s="171">
        <v>54.94</v>
      </c>
      <c r="W2481" s="171">
        <v>48.33</v>
      </c>
      <c r="X2481" s="171">
        <v>49.44</v>
      </c>
      <c r="Y2481" s="171">
        <v>43.52</v>
      </c>
      <c r="Z2481" s="171">
        <v>39.119999999999997</v>
      </c>
      <c r="AA2481" s="171">
        <v>38.61</v>
      </c>
      <c r="AB2481" s="171">
        <v>34.68</v>
      </c>
      <c r="AC2481" s="171">
        <v>36.340000000000003</v>
      </c>
      <c r="AD2481" s="171">
        <v>49.13</v>
      </c>
      <c r="AF2481" s="171">
        <f t="shared" si="116"/>
        <v>2016</v>
      </c>
      <c r="AG2481" s="171">
        <f t="shared" si="117"/>
        <v>9</v>
      </c>
      <c r="AH2481" s="700">
        <f>SUMIF(D$3:$AA2481,"&lt;="&amp;$AH$1)/COUNTIF(D$3:$AA2481,"&lt;="&amp;$AH$1)</f>
        <v>31.246588769190669</v>
      </c>
    </row>
    <row r="2482" spans="2:34" x14ac:dyDescent="0.25">
      <c r="B2482" s="910">
        <v>42702</v>
      </c>
      <c r="C2482" s="581">
        <f t="shared" si="118"/>
        <v>11</v>
      </c>
      <c r="D2482" s="171">
        <v>42.61</v>
      </c>
      <c r="E2482" s="171">
        <v>27.060000000000002</v>
      </c>
      <c r="F2482" s="171">
        <v>29.6</v>
      </c>
      <c r="G2482" s="171">
        <v>25.12</v>
      </c>
      <c r="H2482" s="171">
        <v>29.6</v>
      </c>
      <c r="I2482" s="171">
        <v>26.810000000000002</v>
      </c>
      <c r="J2482" s="171">
        <v>31.96</v>
      </c>
      <c r="K2482" s="171">
        <v>37.94</v>
      </c>
      <c r="L2482" s="171">
        <v>49</v>
      </c>
      <c r="M2482" s="171">
        <v>48.96</v>
      </c>
      <c r="N2482" s="171">
        <v>46.5</v>
      </c>
      <c r="O2482" s="171">
        <v>40.51</v>
      </c>
      <c r="P2482" s="171">
        <v>45.01</v>
      </c>
      <c r="Q2482" s="171">
        <v>38.800000000000004</v>
      </c>
      <c r="R2482" s="171">
        <v>45.61</v>
      </c>
      <c r="S2482" s="171">
        <v>47.06</v>
      </c>
      <c r="T2482" s="171">
        <v>52.160000000000004</v>
      </c>
      <c r="U2482" s="171">
        <v>59.7</v>
      </c>
      <c r="V2482" s="171">
        <v>66.42</v>
      </c>
      <c r="W2482" s="171">
        <v>57.4</v>
      </c>
      <c r="X2482" s="171">
        <v>54.13</v>
      </c>
      <c r="Y2482" s="171">
        <v>51.4</v>
      </c>
      <c r="Z2482" s="171">
        <v>39.94</v>
      </c>
      <c r="AA2482" s="171">
        <v>37.44</v>
      </c>
      <c r="AB2482" s="171">
        <v>34.590000000000003</v>
      </c>
      <c r="AC2482" s="171">
        <v>35.04</v>
      </c>
      <c r="AD2482" s="171">
        <v>50.19</v>
      </c>
      <c r="AF2482" s="171">
        <f t="shared" si="116"/>
        <v>2016</v>
      </c>
      <c r="AG2482" s="171">
        <f t="shared" si="117"/>
        <v>11</v>
      </c>
      <c r="AH2482" s="700">
        <f>SUMIF(D$3:$AA2482,"&lt;="&amp;$AH$1)/COUNTIF(D$3:$AA2482,"&lt;="&amp;$AH$1)</f>
        <v>31.247481877145173</v>
      </c>
    </row>
    <row r="2483" spans="2:34" x14ac:dyDescent="0.25">
      <c r="B2483" s="910">
        <v>42703</v>
      </c>
      <c r="C2483" s="581">
        <f t="shared" si="118"/>
        <v>11</v>
      </c>
      <c r="D2483" s="171">
        <v>44.61</v>
      </c>
      <c r="E2483" s="171">
        <v>36.92</v>
      </c>
      <c r="F2483" s="171">
        <v>42.2</v>
      </c>
      <c r="G2483" s="171">
        <v>34.81</v>
      </c>
      <c r="H2483" s="171">
        <v>34.43</v>
      </c>
      <c r="I2483" s="171">
        <v>34.89</v>
      </c>
      <c r="J2483" s="171">
        <v>35</v>
      </c>
      <c r="K2483" s="171">
        <v>33.450000000000003</v>
      </c>
      <c r="L2483" s="171">
        <v>45</v>
      </c>
      <c r="M2483" s="171">
        <v>55.21</v>
      </c>
      <c r="N2483" s="171">
        <v>50.45</v>
      </c>
      <c r="O2483" s="171">
        <v>46.01</v>
      </c>
      <c r="P2483" s="171">
        <v>45.94</v>
      </c>
      <c r="Q2483" s="171">
        <v>44.050000000000004</v>
      </c>
      <c r="R2483" s="171">
        <v>44.76</v>
      </c>
      <c r="S2483" s="171">
        <v>46.53</v>
      </c>
      <c r="T2483" s="171">
        <v>53.910000000000004</v>
      </c>
      <c r="U2483" s="171">
        <v>57.26</v>
      </c>
      <c r="V2483" s="171">
        <v>59.050000000000004</v>
      </c>
      <c r="W2483" s="171">
        <v>67.61</v>
      </c>
      <c r="X2483" s="171">
        <v>57.97</v>
      </c>
      <c r="Y2483" s="171">
        <v>44.49</v>
      </c>
      <c r="Z2483" s="171">
        <v>35.9</v>
      </c>
      <c r="AA2483" s="171">
        <v>34.340000000000003</v>
      </c>
      <c r="AB2483" s="171">
        <v>30.38</v>
      </c>
      <c r="AC2483" s="171">
        <v>36.82</v>
      </c>
      <c r="AD2483" s="171">
        <v>52.4</v>
      </c>
      <c r="AF2483" s="171">
        <f t="shared" si="116"/>
        <v>2016</v>
      </c>
      <c r="AG2483" s="171">
        <f t="shared" si="117"/>
        <v>9</v>
      </c>
      <c r="AH2483" s="700">
        <f>SUMIF(D$3:$AA2483,"&lt;="&amp;$AH$1)/COUNTIF(D$3:$AA2483,"&lt;="&amp;$AH$1)</f>
        <v>31.249207136197032</v>
      </c>
    </row>
    <row r="2484" spans="2:34" x14ac:dyDescent="0.25">
      <c r="B2484" s="910">
        <v>42704</v>
      </c>
      <c r="C2484" s="581">
        <f t="shared" si="118"/>
        <v>11</v>
      </c>
      <c r="D2484" s="171">
        <v>40.72</v>
      </c>
      <c r="E2484" s="171">
        <v>33.04</v>
      </c>
      <c r="F2484" s="171">
        <v>30.53</v>
      </c>
      <c r="G2484" s="171">
        <v>31.720000000000002</v>
      </c>
      <c r="H2484" s="171">
        <v>30.330000000000002</v>
      </c>
      <c r="I2484" s="171">
        <v>30.23</v>
      </c>
      <c r="J2484" s="171">
        <v>29.93</v>
      </c>
      <c r="K2484" s="171">
        <v>40.590000000000003</v>
      </c>
      <c r="L2484" s="171">
        <v>35</v>
      </c>
      <c r="M2484" s="171">
        <v>46.9</v>
      </c>
      <c r="N2484" s="171">
        <v>52.07</v>
      </c>
      <c r="O2484" s="171">
        <v>52.36</v>
      </c>
      <c r="P2484" s="171">
        <v>44.46</v>
      </c>
      <c r="Q2484" s="171">
        <v>47.300000000000004</v>
      </c>
      <c r="R2484" s="171">
        <v>46.9</v>
      </c>
      <c r="S2484" s="171">
        <v>48.300000000000004</v>
      </c>
      <c r="T2484" s="171">
        <v>43.480000000000004</v>
      </c>
      <c r="U2484" s="171">
        <v>51.300000000000004</v>
      </c>
      <c r="V2484" s="171">
        <v>54.74</v>
      </c>
      <c r="W2484" s="171">
        <v>46.9</v>
      </c>
      <c r="X2484" s="171">
        <v>48</v>
      </c>
      <c r="Y2484" s="171">
        <v>36.119999999999997</v>
      </c>
      <c r="Z2484" s="171">
        <v>34.94</v>
      </c>
      <c r="AA2484" s="171">
        <v>31.95</v>
      </c>
      <c r="AB2484" s="171">
        <v>30.19</v>
      </c>
      <c r="AC2484" s="171">
        <v>32.880000000000003</v>
      </c>
      <c r="AD2484" s="171">
        <v>48.56</v>
      </c>
      <c r="AF2484" s="171">
        <f t="shared" si="116"/>
        <v>2016</v>
      </c>
      <c r="AG2484" s="171">
        <f t="shared" si="117"/>
        <v>12</v>
      </c>
      <c r="AH2484" s="700">
        <f>SUMIF(D$3:$AA2484,"&lt;="&amp;$AH$1)/COUNTIF(D$3:$AA2484,"&lt;="&amp;$AH$1)</f>
        <v>31.250482422701289</v>
      </c>
    </row>
    <row r="2485" spans="2:34" x14ac:dyDescent="0.25">
      <c r="B2485" s="910">
        <v>42705</v>
      </c>
      <c r="C2485" s="581">
        <f t="shared" si="118"/>
        <v>12</v>
      </c>
      <c r="D2485" s="171">
        <v>39.53</v>
      </c>
      <c r="E2485" s="171">
        <v>32.42</v>
      </c>
      <c r="F2485" s="171">
        <v>29.76</v>
      </c>
      <c r="G2485" s="171">
        <v>29.76</v>
      </c>
      <c r="H2485" s="171">
        <v>29.88</v>
      </c>
      <c r="I2485" s="171">
        <v>30.69</v>
      </c>
      <c r="J2485" s="171">
        <v>30.66</v>
      </c>
      <c r="K2485" s="171">
        <v>32.44</v>
      </c>
      <c r="L2485" s="171">
        <v>35.39</v>
      </c>
      <c r="M2485" s="171">
        <v>58.49</v>
      </c>
      <c r="N2485" s="171">
        <v>62.29</v>
      </c>
      <c r="O2485" s="171">
        <v>59.1</v>
      </c>
      <c r="P2485" s="171">
        <v>60.28</v>
      </c>
      <c r="Q2485" s="171">
        <v>33.99</v>
      </c>
      <c r="R2485" s="171">
        <v>45.83</v>
      </c>
      <c r="S2485" s="171">
        <v>33.54</v>
      </c>
      <c r="T2485" s="171">
        <v>33.619999999999997</v>
      </c>
      <c r="U2485" s="171">
        <v>47</v>
      </c>
      <c r="V2485" s="171">
        <v>50</v>
      </c>
      <c r="W2485" s="171">
        <v>34.03</v>
      </c>
      <c r="X2485" s="171">
        <v>34.03</v>
      </c>
      <c r="Y2485" s="171">
        <v>39.94</v>
      </c>
      <c r="Z2485" s="171">
        <v>40.1</v>
      </c>
      <c r="AA2485" s="171">
        <v>33.5</v>
      </c>
      <c r="AB2485" s="171">
        <v>32.07</v>
      </c>
      <c r="AC2485" s="171">
        <v>33.049999999999997</v>
      </c>
      <c r="AD2485" s="171">
        <v>46.02</v>
      </c>
      <c r="AF2485" s="171">
        <f t="shared" si="116"/>
        <v>2016</v>
      </c>
      <c r="AG2485" s="171">
        <f t="shared" si="117"/>
        <v>17</v>
      </c>
      <c r="AH2485" s="700">
        <f>SUMIF(D$3:$AA2485,"&lt;="&amp;$AH$1)/COUNTIF(D$3:$AA2485,"&lt;="&amp;$AH$1)</f>
        <v>31.252260972615122</v>
      </c>
    </row>
    <row r="2486" spans="2:34" x14ac:dyDescent="0.25">
      <c r="B2486" s="910">
        <v>42706</v>
      </c>
      <c r="C2486" s="581">
        <f t="shared" si="118"/>
        <v>12</v>
      </c>
      <c r="D2486" s="171">
        <v>53.93</v>
      </c>
      <c r="E2486" s="171">
        <v>32.39</v>
      </c>
      <c r="F2486" s="171">
        <v>31.71</v>
      </c>
      <c r="G2486" s="171">
        <v>30.150000000000002</v>
      </c>
      <c r="H2486" s="171">
        <v>29.94</v>
      </c>
      <c r="I2486" s="171">
        <v>29.990000000000002</v>
      </c>
      <c r="J2486" s="171">
        <v>31.44</v>
      </c>
      <c r="K2486" s="171">
        <v>31.87</v>
      </c>
      <c r="L2486" s="171">
        <v>46.06</v>
      </c>
      <c r="M2486" s="171">
        <v>63.75</v>
      </c>
      <c r="N2486" s="171">
        <v>79.66</v>
      </c>
      <c r="O2486" s="171">
        <v>74.510000000000005</v>
      </c>
      <c r="P2486" s="171">
        <v>69.94</v>
      </c>
      <c r="Q2486" s="171">
        <v>68.11</v>
      </c>
      <c r="R2486" s="171">
        <v>68.260000000000005</v>
      </c>
      <c r="S2486" s="171">
        <v>67.17</v>
      </c>
      <c r="T2486" s="171">
        <v>56</v>
      </c>
      <c r="U2486" s="171">
        <v>65</v>
      </c>
      <c r="V2486" s="171">
        <v>135</v>
      </c>
      <c r="W2486" s="171">
        <v>80</v>
      </c>
      <c r="X2486" s="171">
        <v>42.44</v>
      </c>
      <c r="Y2486" s="171">
        <v>36.840000000000003</v>
      </c>
      <c r="Z2486" s="171">
        <v>47.910000000000004</v>
      </c>
      <c r="AA2486" s="171">
        <v>40.1</v>
      </c>
      <c r="AB2486" s="171">
        <v>36.03</v>
      </c>
      <c r="AC2486" s="171">
        <v>35.369999999999997</v>
      </c>
      <c r="AD2486" s="171">
        <v>72.489999999999995</v>
      </c>
      <c r="AF2486" s="171">
        <f t="shared" si="116"/>
        <v>2016</v>
      </c>
      <c r="AG2486" s="171">
        <f t="shared" si="117"/>
        <v>10</v>
      </c>
      <c r="AH2486" s="700">
        <f>SUMIF(D$3:$AA2486,"&lt;="&amp;$AH$1)/COUNTIF(D$3:$AA2486,"&lt;="&amp;$AH$1)</f>
        <v>31.253291026779085</v>
      </c>
    </row>
    <row r="2487" spans="2:34" x14ac:dyDescent="0.25">
      <c r="B2487" s="910">
        <v>42709</v>
      </c>
      <c r="C2487" s="581">
        <f t="shared" si="118"/>
        <v>12</v>
      </c>
      <c r="D2487" s="171">
        <v>47.86</v>
      </c>
      <c r="E2487" s="171">
        <v>32.840000000000003</v>
      </c>
      <c r="F2487" s="171">
        <v>32.26</v>
      </c>
      <c r="G2487" s="171">
        <v>31.98</v>
      </c>
      <c r="H2487" s="171">
        <v>31.96</v>
      </c>
      <c r="I2487" s="171">
        <v>31.7</v>
      </c>
      <c r="J2487" s="171">
        <v>33.85</v>
      </c>
      <c r="K2487" s="171">
        <v>41.59</v>
      </c>
      <c r="L2487" s="171">
        <v>62.67</v>
      </c>
      <c r="M2487" s="171">
        <v>65</v>
      </c>
      <c r="N2487" s="171">
        <v>59.26</v>
      </c>
      <c r="O2487" s="171">
        <v>51.69</v>
      </c>
      <c r="P2487" s="171">
        <v>48.71</v>
      </c>
      <c r="Q2487" s="171">
        <v>41.83</v>
      </c>
      <c r="R2487" s="171">
        <v>41.1</v>
      </c>
      <c r="S2487" s="171">
        <v>60.33</v>
      </c>
      <c r="T2487" s="171">
        <v>62.54</v>
      </c>
      <c r="U2487" s="171">
        <v>63.550000000000004</v>
      </c>
      <c r="V2487" s="171">
        <v>78.61</v>
      </c>
      <c r="W2487" s="171">
        <v>59.5</v>
      </c>
      <c r="X2487" s="171">
        <v>57.52</v>
      </c>
      <c r="Y2487" s="171">
        <v>49.4</v>
      </c>
      <c r="Z2487" s="171">
        <v>42.230000000000004</v>
      </c>
      <c r="AA2487" s="171">
        <v>34.99</v>
      </c>
      <c r="AB2487" s="171">
        <v>33.51</v>
      </c>
      <c r="AC2487" s="171">
        <v>38.25</v>
      </c>
      <c r="AD2487" s="171">
        <v>57.47</v>
      </c>
      <c r="AF2487" s="171">
        <f t="shared" si="116"/>
        <v>2016</v>
      </c>
      <c r="AG2487" s="171">
        <f t="shared" si="117"/>
        <v>11</v>
      </c>
      <c r="AH2487" s="700">
        <f>SUMIF(D$3:$AA2487,"&lt;="&amp;$AH$1)/COUNTIF(D$3:$AA2487,"&lt;="&amp;$AH$1)</f>
        <v>31.255512939782516</v>
      </c>
    </row>
    <row r="2488" spans="2:34" x14ac:dyDescent="0.25">
      <c r="B2488" s="910">
        <v>42710</v>
      </c>
      <c r="C2488" s="581">
        <f t="shared" si="118"/>
        <v>12</v>
      </c>
      <c r="D2488" s="171">
        <v>53.51</v>
      </c>
      <c r="E2488" s="171">
        <v>33.049999999999997</v>
      </c>
      <c r="F2488" s="171">
        <v>31.3</v>
      </c>
      <c r="G2488" s="171">
        <v>31.53</v>
      </c>
      <c r="H2488" s="171">
        <v>31.39</v>
      </c>
      <c r="I2488" s="171">
        <v>31.2</v>
      </c>
      <c r="J2488" s="171">
        <v>31.39</v>
      </c>
      <c r="K2488" s="171">
        <v>34.049999999999997</v>
      </c>
      <c r="L2488" s="171">
        <v>53.07</v>
      </c>
      <c r="M2488" s="171">
        <v>80.09</v>
      </c>
      <c r="N2488" s="171">
        <v>76</v>
      </c>
      <c r="O2488" s="171">
        <v>67.210000000000008</v>
      </c>
      <c r="P2488" s="171">
        <v>58.99</v>
      </c>
      <c r="Q2488" s="171">
        <v>56.77</v>
      </c>
      <c r="R2488" s="171">
        <v>58.120000000000005</v>
      </c>
      <c r="S2488" s="171">
        <v>60.120000000000005</v>
      </c>
      <c r="T2488" s="171">
        <v>65.38</v>
      </c>
      <c r="U2488" s="171">
        <v>72.97</v>
      </c>
      <c r="V2488" s="171">
        <v>89.25</v>
      </c>
      <c r="W2488" s="171">
        <v>82.710000000000008</v>
      </c>
      <c r="X2488" s="171">
        <v>75</v>
      </c>
      <c r="Y2488" s="171">
        <v>55.86</v>
      </c>
      <c r="Z2488" s="171">
        <v>39.82</v>
      </c>
      <c r="AA2488" s="171">
        <v>35</v>
      </c>
      <c r="AB2488" s="171">
        <v>34.08</v>
      </c>
      <c r="AC2488" s="171">
        <v>36.81</v>
      </c>
      <c r="AD2488" s="171">
        <v>70.22</v>
      </c>
      <c r="AF2488" s="171">
        <f t="shared" si="116"/>
        <v>2016</v>
      </c>
      <c r="AG2488" s="171">
        <f t="shared" si="117"/>
        <v>9</v>
      </c>
      <c r="AH2488" s="700">
        <f>SUMIF(D$3:$AA2488,"&lt;="&amp;$AH$1)/COUNTIF(D$3:$AA2488,"&lt;="&amp;$AH$1)</f>
        <v>31.256249735806612</v>
      </c>
    </row>
    <row r="2489" spans="2:34" x14ac:dyDescent="0.25">
      <c r="B2489" s="910">
        <v>42711</v>
      </c>
      <c r="C2489" s="581">
        <f t="shared" si="118"/>
        <v>12</v>
      </c>
      <c r="D2489" s="171">
        <v>38.08</v>
      </c>
      <c r="E2489" s="171">
        <v>32.54</v>
      </c>
      <c r="F2489" s="171">
        <v>32.200000000000003</v>
      </c>
      <c r="G2489" s="171">
        <v>31.400000000000002</v>
      </c>
      <c r="H2489" s="171">
        <v>30.05</v>
      </c>
      <c r="I2489" s="171">
        <v>30.57</v>
      </c>
      <c r="J2489" s="171">
        <v>31.53</v>
      </c>
      <c r="K2489" s="171">
        <v>32.96</v>
      </c>
      <c r="L2489" s="171">
        <v>45.28</v>
      </c>
      <c r="M2489" s="171">
        <v>47.96</v>
      </c>
      <c r="N2489" s="171">
        <v>46.95</v>
      </c>
      <c r="O2489" s="171">
        <v>46.980000000000004</v>
      </c>
      <c r="P2489" s="171">
        <v>44.89</v>
      </c>
      <c r="Q2489" s="171">
        <v>43.94</v>
      </c>
      <c r="R2489" s="171">
        <v>43.06</v>
      </c>
      <c r="S2489" s="171">
        <v>43.54</v>
      </c>
      <c r="T2489" s="171">
        <v>41.12</v>
      </c>
      <c r="U2489" s="171">
        <v>44.47</v>
      </c>
      <c r="V2489" s="171">
        <v>45.28</v>
      </c>
      <c r="W2489" s="171">
        <v>37.6</v>
      </c>
      <c r="X2489" s="171">
        <v>36.03</v>
      </c>
      <c r="Y2489" s="171">
        <v>34.14</v>
      </c>
      <c r="Z2489" s="171">
        <v>32.18</v>
      </c>
      <c r="AA2489" s="171">
        <v>31.05</v>
      </c>
      <c r="AB2489" s="171">
        <v>28.32</v>
      </c>
      <c r="AC2489" s="171">
        <v>32.69</v>
      </c>
      <c r="AD2489" s="171">
        <v>43.49</v>
      </c>
      <c r="AF2489" s="171">
        <f t="shared" si="116"/>
        <v>2016</v>
      </c>
      <c r="AG2489" s="171">
        <f t="shared" si="117"/>
        <v>14</v>
      </c>
      <c r="AH2489" s="700">
        <f>SUMIF(D$3:$AA2489,"&lt;="&amp;$AH$1)/COUNTIF(D$3:$AA2489,"&lt;="&amp;$AH$1)</f>
        <v>31.257680283890714</v>
      </c>
    </row>
    <row r="2490" spans="2:34" x14ac:dyDescent="0.25">
      <c r="B2490" s="910">
        <v>42712</v>
      </c>
      <c r="C2490" s="581">
        <f t="shared" si="118"/>
        <v>12</v>
      </c>
      <c r="D2490" s="171">
        <v>35.17</v>
      </c>
      <c r="E2490" s="171">
        <v>27.55</v>
      </c>
      <c r="F2490" s="171">
        <v>26.35</v>
      </c>
      <c r="G2490" s="171">
        <v>26.080000000000002</v>
      </c>
      <c r="H2490" s="171">
        <v>26.25</v>
      </c>
      <c r="I2490" s="171">
        <v>26.92</v>
      </c>
      <c r="J2490" s="171">
        <v>28.2</v>
      </c>
      <c r="K2490" s="171">
        <v>30</v>
      </c>
      <c r="L2490" s="171">
        <v>35.980000000000004</v>
      </c>
      <c r="M2490" s="171">
        <v>38.369999999999997</v>
      </c>
      <c r="N2490" s="171">
        <v>39.22</v>
      </c>
      <c r="O2490" s="171">
        <v>36.590000000000003</v>
      </c>
      <c r="P2490" s="171">
        <v>34.090000000000003</v>
      </c>
      <c r="Q2490" s="171">
        <v>35</v>
      </c>
      <c r="R2490" s="171">
        <v>35.19</v>
      </c>
      <c r="S2490" s="171">
        <v>37.96</v>
      </c>
      <c r="T2490" s="171">
        <v>43.21</v>
      </c>
      <c r="U2490" s="171">
        <v>45.11</v>
      </c>
      <c r="V2490" s="171">
        <v>48.86</v>
      </c>
      <c r="W2490" s="171">
        <v>48.58</v>
      </c>
      <c r="X2490" s="171">
        <v>44.69</v>
      </c>
      <c r="Y2490" s="171">
        <v>35</v>
      </c>
      <c r="Z2490" s="171">
        <v>34.94</v>
      </c>
      <c r="AA2490" s="171">
        <v>31</v>
      </c>
      <c r="AB2490" s="171">
        <v>28.990000000000002</v>
      </c>
      <c r="AC2490" s="171">
        <v>29.77</v>
      </c>
      <c r="AD2490" s="171">
        <v>40.57</v>
      </c>
      <c r="AF2490" s="171">
        <f t="shared" si="116"/>
        <v>2016</v>
      </c>
      <c r="AG2490" s="171">
        <f t="shared" si="117"/>
        <v>19</v>
      </c>
      <c r="AH2490" s="700">
        <f>SUMIF(D$3:$AA2490,"&lt;="&amp;$AH$1)/COUNTIF(D$3:$AA2490,"&lt;="&amp;$AH$1)</f>
        <v>31.258776276909114</v>
      </c>
    </row>
    <row r="2491" spans="2:34" x14ac:dyDescent="0.25">
      <c r="B2491" s="910">
        <v>42713</v>
      </c>
      <c r="C2491" s="581">
        <f t="shared" si="118"/>
        <v>12</v>
      </c>
      <c r="D2491" s="171">
        <v>36.65</v>
      </c>
      <c r="E2491" s="171">
        <v>27.59</v>
      </c>
      <c r="F2491" s="171">
        <v>27.21</v>
      </c>
      <c r="G2491" s="171">
        <v>27.02</v>
      </c>
      <c r="H2491" s="171">
        <v>27.03</v>
      </c>
      <c r="I2491" s="171">
        <v>27.46</v>
      </c>
      <c r="J2491" s="171">
        <v>28.46</v>
      </c>
      <c r="K2491" s="171">
        <v>31.57</v>
      </c>
      <c r="L2491" s="171">
        <v>44.47</v>
      </c>
      <c r="M2491" s="171">
        <v>49.94</v>
      </c>
      <c r="N2491" s="171">
        <v>50.04</v>
      </c>
      <c r="O2491" s="171">
        <v>49.01</v>
      </c>
      <c r="P2491" s="171">
        <v>47.01</v>
      </c>
      <c r="Q2491" s="171">
        <v>39.94</v>
      </c>
      <c r="R2491" s="171">
        <v>39.94</v>
      </c>
      <c r="S2491" s="171">
        <v>37.44</v>
      </c>
      <c r="T2491" s="171">
        <v>40.82</v>
      </c>
      <c r="U2491" s="171">
        <v>50</v>
      </c>
      <c r="V2491" s="171">
        <v>41.96</v>
      </c>
      <c r="W2491" s="171">
        <v>32.6</v>
      </c>
      <c r="X2491" s="171">
        <v>35</v>
      </c>
      <c r="Y2491" s="171">
        <v>35</v>
      </c>
      <c r="Z2491" s="171">
        <v>32.46</v>
      </c>
      <c r="AA2491" s="171">
        <v>30.02</v>
      </c>
      <c r="AB2491" s="171">
        <v>27.62</v>
      </c>
      <c r="AC2491" s="171">
        <v>30.490000000000002</v>
      </c>
      <c r="AD2491" s="171">
        <v>42.81</v>
      </c>
      <c r="AF2491" s="171">
        <f t="shared" si="116"/>
        <v>2016</v>
      </c>
      <c r="AG2491" s="171">
        <f t="shared" si="117"/>
        <v>18</v>
      </c>
      <c r="AH2491" s="700">
        <f>SUMIF(D$3:$AA2491,"&lt;="&amp;$AH$1)/COUNTIF(D$3:$AA2491,"&lt;="&amp;$AH$1)</f>
        <v>31.260274169055865</v>
      </c>
    </row>
    <row r="2492" spans="2:34" x14ac:dyDescent="0.25">
      <c r="B2492" s="910">
        <v>42716</v>
      </c>
      <c r="C2492" s="581">
        <f t="shared" si="118"/>
        <v>12</v>
      </c>
      <c r="D2492" s="171">
        <v>49.58</v>
      </c>
      <c r="E2492" s="171">
        <v>23.98</v>
      </c>
      <c r="F2492" s="171">
        <v>29.77</v>
      </c>
      <c r="G2492" s="171">
        <v>28.240000000000002</v>
      </c>
      <c r="H2492" s="171">
        <v>27.490000000000002</v>
      </c>
      <c r="I2492" s="171">
        <v>26.6</v>
      </c>
      <c r="J2492" s="171">
        <v>28.78</v>
      </c>
      <c r="K2492" s="171">
        <v>41.08</v>
      </c>
      <c r="L2492" s="171">
        <v>60</v>
      </c>
      <c r="M2492" s="171">
        <v>56.6</v>
      </c>
      <c r="N2492" s="171">
        <v>57.33</v>
      </c>
      <c r="O2492" s="171">
        <v>58.42</v>
      </c>
      <c r="P2492" s="171">
        <v>62.74</v>
      </c>
      <c r="Q2492" s="171">
        <v>59.300000000000004</v>
      </c>
      <c r="R2492" s="171">
        <v>65.349999999999994</v>
      </c>
      <c r="S2492" s="171">
        <v>65.260000000000005</v>
      </c>
      <c r="T2492" s="171">
        <v>61.18</v>
      </c>
      <c r="U2492" s="171">
        <v>70.25</v>
      </c>
      <c r="V2492" s="171">
        <v>80.62</v>
      </c>
      <c r="W2492" s="171">
        <v>71.180000000000007</v>
      </c>
      <c r="X2492" s="171">
        <v>61.18</v>
      </c>
      <c r="Y2492" s="171">
        <v>46.96</v>
      </c>
      <c r="Z2492" s="171">
        <v>37.730000000000004</v>
      </c>
      <c r="AA2492" s="171">
        <v>38</v>
      </c>
      <c r="AB2492" s="171">
        <v>32</v>
      </c>
      <c r="AC2492" s="171">
        <v>35.050000000000004</v>
      </c>
      <c r="AD2492" s="171">
        <v>64.12</v>
      </c>
      <c r="AF2492" s="171">
        <f t="shared" si="116"/>
        <v>2016</v>
      </c>
      <c r="AG2492" s="171">
        <f t="shared" si="117"/>
        <v>9</v>
      </c>
      <c r="AH2492" s="700">
        <f>SUMIF(D$3:$AA2492,"&lt;="&amp;$AH$1)/COUNTIF(D$3:$AA2492,"&lt;="&amp;$AH$1)</f>
        <v>31.260287979085735</v>
      </c>
    </row>
    <row r="2493" spans="2:34" x14ac:dyDescent="0.25">
      <c r="B2493" s="910">
        <v>42717</v>
      </c>
      <c r="C2493" s="581">
        <f t="shared" si="118"/>
        <v>12</v>
      </c>
      <c r="D2493" s="171">
        <v>49.49</v>
      </c>
      <c r="E2493" s="171">
        <v>34.24</v>
      </c>
      <c r="F2493" s="171">
        <v>31.6</v>
      </c>
      <c r="G2493" s="171">
        <v>31.82</v>
      </c>
      <c r="H2493" s="171">
        <v>31.89</v>
      </c>
      <c r="I2493" s="171">
        <v>32.32</v>
      </c>
      <c r="J2493" s="171">
        <v>32.410000000000004</v>
      </c>
      <c r="K2493" s="171">
        <v>32.81</v>
      </c>
      <c r="L2493" s="171">
        <v>49.9</v>
      </c>
      <c r="M2493" s="171">
        <v>57.63</v>
      </c>
      <c r="N2493" s="171">
        <v>61.26</v>
      </c>
      <c r="O2493" s="171">
        <v>65.08</v>
      </c>
      <c r="P2493" s="171">
        <v>63.1</v>
      </c>
      <c r="Q2493" s="171">
        <v>60.32</v>
      </c>
      <c r="R2493" s="171">
        <v>61.730000000000004</v>
      </c>
      <c r="S2493" s="171">
        <v>62.230000000000004</v>
      </c>
      <c r="T2493" s="171">
        <v>64.02</v>
      </c>
      <c r="U2493" s="171">
        <v>64.63</v>
      </c>
      <c r="V2493" s="171">
        <v>71.900000000000006</v>
      </c>
      <c r="W2493" s="171">
        <v>65.48</v>
      </c>
      <c r="X2493" s="171">
        <v>58.04</v>
      </c>
      <c r="Y2493" s="171">
        <v>46.68</v>
      </c>
      <c r="Z2493" s="171">
        <v>39.89</v>
      </c>
      <c r="AA2493" s="171">
        <v>36.450000000000003</v>
      </c>
      <c r="AB2493" s="171">
        <v>32.230000000000004</v>
      </c>
      <c r="AC2493" s="171">
        <v>36.020000000000003</v>
      </c>
      <c r="AD2493" s="171">
        <v>62.95</v>
      </c>
      <c r="AF2493" s="171">
        <f t="shared" si="116"/>
        <v>2016</v>
      </c>
      <c r="AG2493" s="171">
        <f t="shared" si="117"/>
        <v>9</v>
      </c>
      <c r="AH2493" s="700">
        <f>SUMIF(D$3:$AA2493,"&lt;="&amp;$AH$1)/COUNTIF(D$3:$AA2493,"&lt;="&amp;$AH$1)</f>
        <v>31.261218915956178</v>
      </c>
    </row>
    <row r="2494" spans="2:34" x14ac:dyDescent="0.25">
      <c r="B2494" s="910">
        <v>42718</v>
      </c>
      <c r="C2494" s="581">
        <f t="shared" si="118"/>
        <v>12</v>
      </c>
      <c r="D2494" s="171">
        <v>59.160000000000004</v>
      </c>
      <c r="E2494" s="171">
        <v>32.44</v>
      </c>
      <c r="F2494" s="171">
        <v>31.740000000000002</v>
      </c>
      <c r="G2494" s="171">
        <v>31.27</v>
      </c>
      <c r="H2494" s="171">
        <v>31.91</v>
      </c>
      <c r="I2494" s="171">
        <v>32.340000000000003</v>
      </c>
      <c r="J2494" s="171">
        <v>35.99</v>
      </c>
      <c r="K2494" s="171">
        <v>43.93</v>
      </c>
      <c r="L2494" s="171">
        <v>68.08</v>
      </c>
      <c r="M2494" s="171">
        <v>82.26</v>
      </c>
      <c r="N2494" s="171">
        <v>78.58</v>
      </c>
      <c r="O2494" s="171">
        <v>77.17</v>
      </c>
      <c r="P2494" s="171">
        <v>75.94</v>
      </c>
      <c r="Q2494" s="171">
        <v>70.55</v>
      </c>
      <c r="R2494" s="171">
        <v>69.91</v>
      </c>
      <c r="S2494" s="171">
        <v>69.69</v>
      </c>
      <c r="T2494" s="171">
        <v>72.52</v>
      </c>
      <c r="U2494" s="171">
        <v>75.150000000000006</v>
      </c>
      <c r="V2494" s="171">
        <v>91.81</v>
      </c>
      <c r="W2494" s="171">
        <v>81.94</v>
      </c>
      <c r="X2494" s="171">
        <v>78.61</v>
      </c>
      <c r="Y2494" s="171">
        <v>67.47</v>
      </c>
      <c r="Z2494" s="171">
        <v>47.92</v>
      </c>
      <c r="AA2494" s="171">
        <v>39.57</v>
      </c>
      <c r="AB2494" s="171">
        <v>33.08</v>
      </c>
      <c r="AC2494" s="171">
        <v>41.31</v>
      </c>
      <c r="AD2494" s="171">
        <v>77.010000000000005</v>
      </c>
      <c r="AF2494" s="171">
        <f t="shared" si="116"/>
        <v>2016</v>
      </c>
      <c r="AG2494" s="171">
        <f t="shared" si="117"/>
        <v>7</v>
      </c>
      <c r="AH2494" s="700">
        <f>SUMIF(D$3:$AA2494,"&lt;="&amp;$AH$1)/COUNTIF(D$3:$AA2494,"&lt;="&amp;$AH$1)</f>
        <v>31.261911262797632</v>
      </c>
    </row>
    <row r="2495" spans="2:34" x14ac:dyDescent="0.25">
      <c r="B2495" s="910">
        <v>42719</v>
      </c>
      <c r="C2495" s="581">
        <f t="shared" si="118"/>
        <v>12</v>
      </c>
      <c r="D2495" s="171">
        <v>48.52</v>
      </c>
      <c r="E2495" s="171">
        <v>32.78</v>
      </c>
      <c r="F2495" s="171">
        <v>32.630000000000003</v>
      </c>
      <c r="G2495" s="171">
        <v>32.799999999999997</v>
      </c>
      <c r="H2495" s="171">
        <v>33.450000000000003</v>
      </c>
      <c r="I2495" s="171">
        <v>34.19</v>
      </c>
      <c r="J2495" s="171">
        <v>33.6</v>
      </c>
      <c r="K2495" s="171">
        <v>40.47</v>
      </c>
      <c r="L2495" s="171">
        <v>48.94</v>
      </c>
      <c r="M2495" s="171">
        <v>60</v>
      </c>
      <c r="N2495" s="171">
        <v>62.27</v>
      </c>
      <c r="O2495" s="171">
        <v>59.13</v>
      </c>
      <c r="P2495" s="171">
        <v>57.69</v>
      </c>
      <c r="Q2495" s="171">
        <v>53.72</v>
      </c>
      <c r="R2495" s="171">
        <v>54.95</v>
      </c>
      <c r="S2495" s="171">
        <v>54.61</v>
      </c>
      <c r="T2495" s="171">
        <v>59.94</v>
      </c>
      <c r="U2495" s="171">
        <v>62.050000000000004</v>
      </c>
      <c r="V2495" s="171">
        <v>74.94</v>
      </c>
      <c r="W2495" s="171">
        <v>62.6</v>
      </c>
      <c r="X2495" s="171">
        <v>56.32</v>
      </c>
      <c r="Y2495" s="171">
        <v>45.72</v>
      </c>
      <c r="Z2495" s="171">
        <v>39.64</v>
      </c>
      <c r="AA2495" s="171">
        <v>38.119999999999997</v>
      </c>
      <c r="AB2495" s="171">
        <v>33.980000000000004</v>
      </c>
      <c r="AC2495" s="171">
        <v>37.19</v>
      </c>
      <c r="AD2495" s="171">
        <v>59.85</v>
      </c>
      <c r="AF2495" s="171">
        <f t="shared" si="116"/>
        <v>2016</v>
      </c>
      <c r="AG2495" s="171">
        <f t="shared" si="117"/>
        <v>9</v>
      </c>
      <c r="AH2495" s="700">
        <f>SUMIF(D$3:$AA2495,"&lt;="&amp;$AH$1)/COUNTIF(D$3:$AA2495,"&lt;="&amp;$AH$1)</f>
        <v>31.26344115912628</v>
      </c>
    </row>
    <row r="2496" spans="2:34" x14ac:dyDescent="0.25">
      <c r="B2496" s="910">
        <v>42720</v>
      </c>
      <c r="C2496" s="581">
        <f t="shared" si="118"/>
        <v>12</v>
      </c>
      <c r="D2496" s="171">
        <v>53.84</v>
      </c>
      <c r="E2496" s="171">
        <v>33.33</v>
      </c>
      <c r="F2496" s="171">
        <v>33.119999999999997</v>
      </c>
      <c r="G2496" s="171">
        <v>32.15</v>
      </c>
      <c r="H2496" s="171">
        <v>32.11</v>
      </c>
      <c r="I2496" s="171">
        <v>33.15</v>
      </c>
      <c r="J2496" s="171">
        <v>33.19</v>
      </c>
      <c r="K2496" s="171">
        <v>41.82</v>
      </c>
      <c r="L2496" s="171">
        <v>54.94</v>
      </c>
      <c r="M2496" s="171">
        <v>66.73</v>
      </c>
      <c r="N2496" s="171">
        <v>64.070000000000007</v>
      </c>
      <c r="O2496" s="171">
        <v>63.15</v>
      </c>
      <c r="P2496" s="171">
        <v>63.03</v>
      </c>
      <c r="Q2496" s="171">
        <v>56.96</v>
      </c>
      <c r="R2496" s="171">
        <v>57</v>
      </c>
      <c r="S2496" s="171">
        <v>64.88</v>
      </c>
      <c r="T2496" s="171">
        <v>65.099999999999994</v>
      </c>
      <c r="U2496" s="171">
        <v>69.460000000000008</v>
      </c>
      <c r="V2496" s="171">
        <v>84.94</v>
      </c>
      <c r="W2496" s="171">
        <v>79.070000000000007</v>
      </c>
      <c r="X2496" s="171">
        <v>71.710000000000008</v>
      </c>
      <c r="Y2496" s="171">
        <v>63.63</v>
      </c>
      <c r="Z2496" s="171">
        <v>49.76</v>
      </c>
      <c r="AA2496" s="171">
        <v>42.49</v>
      </c>
      <c r="AB2496" s="171">
        <v>36.32</v>
      </c>
      <c r="AC2496" s="171">
        <v>40.5</v>
      </c>
      <c r="AD2496" s="171">
        <v>67.180000000000007</v>
      </c>
      <c r="AF2496" s="171">
        <f t="shared" si="116"/>
        <v>2016</v>
      </c>
      <c r="AG2496" s="171">
        <f t="shared" si="117"/>
        <v>8</v>
      </c>
      <c r="AH2496" s="700">
        <f>SUMIF(D$3:$AA2496,"&lt;="&amp;$AH$1)/COUNTIF(D$3:$AA2496,"&lt;="&amp;$AH$1)</f>
        <v>31.264757052630568</v>
      </c>
    </row>
    <row r="2497" spans="2:34" x14ac:dyDescent="0.25">
      <c r="B2497" s="910">
        <v>42723</v>
      </c>
      <c r="C2497" s="581">
        <f t="shared" si="118"/>
        <v>12</v>
      </c>
      <c r="D2497" s="171">
        <v>54.7</v>
      </c>
      <c r="E2497" s="171">
        <v>31.42</v>
      </c>
      <c r="F2497" s="171">
        <v>31.78</v>
      </c>
      <c r="G2497" s="171">
        <v>33.160000000000004</v>
      </c>
      <c r="H2497" s="171">
        <v>32.44</v>
      </c>
      <c r="I2497" s="171">
        <v>34.28</v>
      </c>
      <c r="J2497" s="171">
        <v>32.950000000000003</v>
      </c>
      <c r="K2497" s="171">
        <v>40.1</v>
      </c>
      <c r="L2497" s="171">
        <v>55.300000000000004</v>
      </c>
      <c r="M2497" s="171">
        <v>67.44</v>
      </c>
      <c r="N2497" s="171">
        <v>75.100000000000009</v>
      </c>
      <c r="O2497" s="171">
        <v>74.989999999999995</v>
      </c>
      <c r="P2497" s="171">
        <v>73.03</v>
      </c>
      <c r="Q2497" s="171">
        <v>71.56</v>
      </c>
      <c r="R2497" s="171">
        <v>71.48</v>
      </c>
      <c r="S2497" s="171">
        <v>71.260000000000005</v>
      </c>
      <c r="T2497" s="171">
        <v>72.989999999999995</v>
      </c>
      <c r="U2497" s="171">
        <v>69.239999999999995</v>
      </c>
      <c r="V2497" s="171">
        <v>79.86</v>
      </c>
      <c r="W2497" s="171">
        <v>66</v>
      </c>
      <c r="X2497" s="171">
        <v>60.53</v>
      </c>
      <c r="Y2497" s="171">
        <v>46.5</v>
      </c>
      <c r="Z2497" s="171">
        <v>46.17</v>
      </c>
      <c r="AA2497" s="171">
        <v>40.1</v>
      </c>
      <c r="AB2497" s="171">
        <v>35.19</v>
      </c>
      <c r="AC2497" s="171">
        <v>38.28</v>
      </c>
      <c r="AD2497" s="171">
        <v>71.12</v>
      </c>
      <c r="AF2497" s="171">
        <f t="shared" si="116"/>
        <v>2016</v>
      </c>
      <c r="AG2497" s="171">
        <f t="shared" si="117"/>
        <v>8</v>
      </c>
      <c r="AH2497" s="700">
        <f>SUMIF(D$3:$AA2497,"&lt;="&amp;$AH$1)/COUNTIF(D$3:$AA2497,"&lt;="&amp;$AH$1)</f>
        <v>31.265856132670088</v>
      </c>
    </row>
    <row r="2498" spans="2:34" x14ac:dyDescent="0.25">
      <c r="B2498" s="910">
        <v>42724</v>
      </c>
      <c r="C2498" s="581">
        <f t="shared" si="118"/>
        <v>12</v>
      </c>
      <c r="D2498" s="171">
        <v>50.6</v>
      </c>
      <c r="E2498" s="171">
        <v>32.9</v>
      </c>
      <c r="F2498" s="171">
        <v>34.6</v>
      </c>
      <c r="G2498" s="171">
        <v>34.26</v>
      </c>
      <c r="H2498" s="171">
        <v>32.049999999999997</v>
      </c>
      <c r="I2498" s="171">
        <v>34.76</v>
      </c>
      <c r="J2498" s="171">
        <v>38.340000000000003</v>
      </c>
      <c r="K2498" s="171">
        <v>43.27</v>
      </c>
      <c r="L2498" s="171">
        <v>55.34</v>
      </c>
      <c r="M2498" s="171">
        <v>60.93</v>
      </c>
      <c r="N2498" s="171">
        <v>64.820000000000007</v>
      </c>
      <c r="O2498" s="171">
        <v>63.75</v>
      </c>
      <c r="P2498" s="171">
        <v>58.92</v>
      </c>
      <c r="Q2498" s="171">
        <v>54.49</v>
      </c>
      <c r="R2498" s="171">
        <v>47.6</v>
      </c>
      <c r="S2498" s="171">
        <v>47.95</v>
      </c>
      <c r="T2498" s="171">
        <v>59.89</v>
      </c>
      <c r="U2498" s="171">
        <v>61.86</v>
      </c>
      <c r="V2498" s="171">
        <v>75.55</v>
      </c>
      <c r="W2498" s="171">
        <v>74.52</v>
      </c>
      <c r="X2498" s="171">
        <v>62.53</v>
      </c>
      <c r="Y2498" s="171">
        <v>53.43</v>
      </c>
      <c r="Z2498" s="171">
        <v>43.25</v>
      </c>
      <c r="AA2498" s="171">
        <v>43.2</v>
      </c>
      <c r="AB2498" s="171">
        <v>36.28</v>
      </c>
      <c r="AC2498" s="171">
        <v>40.14</v>
      </c>
      <c r="AD2498" s="171">
        <v>61.07</v>
      </c>
      <c r="AF2498" s="171">
        <f t="shared" si="116"/>
        <v>2016</v>
      </c>
      <c r="AG2498" s="171">
        <f t="shared" si="117"/>
        <v>6</v>
      </c>
      <c r="AH2498" s="700">
        <f>SUMIF(D$3:$AA2498,"&lt;="&amp;$AH$1)/COUNTIF(D$3:$AA2498,"&lt;="&amp;$AH$1)</f>
        <v>31.266668910956742</v>
      </c>
    </row>
    <row r="2499" spans="2:34" x14ac:dyDescent="0.25">
      <c r="B2499" s="910">
        <v>42725</v>
      </c>
      <c r="C2499" s="581">
        <f t="shared" si="118"/>
        <v>12</v>
      </c>
      <c r="D2499" s="171">
        <v>39.020000000000003</v>
      </c>
      <c r="E2499" s="171">
        <v>31.7</v>
      </c>
      <c r="F2499" s="171">
        <v>31.35</v>
      </c>
      <c r="G2499" s="171">
        <v>31.740000000000002</v>
      </c>
      <c r="H2499" s="171">
        <v>31.35</v>
      </c>
      <c r="I2499" s="171">
        <v>30.560000000000002</v>
      </c>
      <c r="J2499" s="171">
        <v>31.34</v>
      </c>
      <c r="K2499" s="171">
        <v>35.630000000000003</v>
      </c>
      <c r="L2499" s="171">
        <v>46.97</v>
      </c>
      <c r="M2499" s="171">
        <v>38.880000000000003</v>
      </c>
      <c r="N2499" s="171">
        <v>46.27</v>
      </c>
      <c r="O2499" s="171">
        <v>46.9</v>
      </c>
      <c r="P2499" s="171">
        <v>40.68</v>
      </c>
      <c r="Q2499" s="171">
        <v>35</v>
      </c>
      <c r="R2499" s="171">
        <v>35.35</v>
      </c>
      <c r="S2499" s="171">
        <v>35.82</v>
      </c>
      <c r="T2499" s="171">
        <v>46.65</v>
      </c>
      <c r="U2499" s="171">
        <v>47.95</v>
      </c>
      <c r="V2499" s="171">
        <v>49.94</v>
      </c>
      <c r="W2499" s="171">
        <v>47</v>
      </c>
      <c r="X2499" s="171">
        <v>46.65</v>
      </c>
      <c r="Y2499" s="171">
        <v>40.1</v>
      </c>
      <c r="Z2499" s="171">
        <v>37.22</v>
      </c>
      <c r="AA2499" s="171">
        <v>37.58</v>
      </c>
      <c r="AB2499" s="171">
        <v>33.94</v>
      </c>
      <c r="AC2499" s="171">
        <v>34.96</v>
      </c>
      <c r="AD2499" s="171">
        <v>43.09</v>
      </c>
      <c r="AF2499" s="171">
        <f t="shared" si="116"/>
        <v>2016</v>
      </c>
      <c r="AG2499" s="171">
        <f t="shared" si="117"/>
        <v>16</v>
      </c>
      <c r="AH2499" s="700">
        <f>SUMIF(D$3:$AA2499,"&lt;="&amp;$AH$1)/COUNTIF(D$3:$AA2499,"&lt;="&amp;$AH$1)</f>
        <v>31.269320437341289</v>
      </c>
    </row>
    <row r="2500" spans="2:34" x14ac:dyDescent="0.25">
      <c r="B2500" s="910">
        <v>42726</v>
      </c>
      <c r="C2500" s="581">
        <f t="shared" si="118"/>
        <v>12</v>
      </c>
      <c r="D2500" s="171">
        <v>45.57</v>
      </c>
      <c r="E2500" s="171">
        <v>34.340000000000003</v>
      </c>
      <c r="F2500" s="171">
        <v>32.72</v>
      </c>
      <c r="G2500" s="171">
        <v>31.7</v>
      </c>
      <c r="H2500" s="171">
        <v>32.07</v>
      </c>
      <c r="I2500" s="171">
        <v>34.9</v>
      </c>
      <c r="J2500" s="171">
        <v>33.33</v>
      </c>
      <c r="K2500" s="171">
        <v>39.24</v>
      </c>
      <c r="L2500" s="171">
        <v>51.84</v>
      </c>
      <c r="M2500" s="171">
        <v>50.15</v>
      </c>
      <c r="N2500" s="171">
        <v>52.67</v>
      </c>
      <c r="O2500" s="171">
        <v>57.77</v>
      </c>
      <c r="P2500" s="171">
        <v>56.5</v>
      </c>
      <c r="Q2500" s="171">
        <v>55.24</v>
      </c>
      <c r="R2500" s="171">
        <v>53.7</v>
      </c>
      <c r="S2500" s="171">
        <v>52.78</v>
      </c>
      <c r="T2500" s="171">
        <v>55.6</v>
      </c>
      <c r="U2500" s="171">
        <v>58.19</v>
      </c>
      <c r="V2500" s="171">
        <v>55.7</v>
      </c>
      <c r="W2500" s="171">
        <v>59.02</v>
      </c>
      <c r="X2500" s="171">
        <v>45</v>
      </c>
      <c r="Y2500" s="171">
        <v>39.94</v>
      </c>
      <c r="Z2500" s="171">
        <v>37.660000000000004</v>
      </c>
      <c r="AA2500" s="171">
        <v>38.619999999999997</v>
      </c>
      <c r="AB2500" s="171">
        <v>34.950000000000003</v>
      </c>
      <c r="AC2500" s="171">
        <v>36.78</v>
      </c>
      <c r="AD2500" s="171">
        <v>54.36</v>
      </c>
      <c r="AF2500" s="171">
        <f t="shared" ref="AF2500:AF2563" si="119">YEAR(B2500)</f>
        <v>2016</v>
      </c>
      <c r="AG2500" s="171">
        <f t="shared" ref="AG2500:AG2563" si="120">COUNTIF(D2500:AA2500,"&lt;="&amp;$AH$1)</f>
        <v>10</v>
      </c>
      <c r="AH2500" s="700">
        <f>SUMIF(D$3:$AA2500,"&lt;="&amp;$AH$1)/COUNTIF(D$3:$AA2500,"&lt;="&amp;$AH$1)</f>
        <v>31.27107860445463</v>
      </c>
    </row>
    <row r="2501" spans="2:34" x14ac:dyDescent="0.25">
      <c r="B2501" s="910">
        <v>42727</v>
      </c>
      <c r="C2501" s="581">
        <f t="shared" si="118"/>
        <v>12</v>
      </c>
      <c r="D2501" s="171">
        <v>39.31</v>
      </c>
      <c r="E2501" s="171">
        <v>29.02</v>
      </c>
      <c r="F2501" s="171">
        <v>29.580000000000002</v>
      </c>
      <c r="G2501" s="171">
        <v>31.2</v>
      </c>
      <c r="H2501" s="171">
        <v>29.94</v>
      </c>
      <c r="I2501" s="171">
        <v>29.72</v>
      </c>
      <c r="J2501" s="171">
        <v>30</v>
      </c>
      <c r="K2501" s="171">
        <v>36.300000000000004</v>
      </c>
      <c r="L2501" s="171">
        <v>44.86</v>
      </c>
      <c r="M2501" s="171">
        <v>50.910000000000004</v>
      </c>
      <c r="N2501" s="171">
        <v>51.1</v>
      </c>
      <c r="O2501" s="171">
        <v>50.870000000000005</v>
      </c>
      <c r="P2501" s="171">
        <v>48.89</v>
      </c>
      <c r="Q2501" s="171">
        <v>45.09</v>
      </c>
      <c r="R2501" s="171">
        <v>44.31</v>
      </c>
      <c r="S2501" s="171">
        <v>40.42</v>
      </c>
      <c r="T2501" s="171">
        <v>38.619999999999997</v>
      </c>
      <c r="U2501" s="171">
        <v>46.53</v>
      </c>
      <c r="V2501" s="171">
        <v>48.39</v>
      </c>
      <c r="W2501" s="171">
        <v>40.840000000000003</v>
      </c>
      <c r="X2501" s="171">
        <v>38.15</v>
      </c>
      <c r="Y2501" s="171">
        <v>36.28</v>
      </c>
      <c r="Z2501" s="171">
        <v>33</v>
      </c>
      <c r="AA2501" s="171">
        <v>35</v>
      </c>
      <c r="AB2501" s="171">
        <v>34.380000000000003</v>
      </c>
      <c r="AC2501" s="171">
        <v>33.270000000000003</v>
      </c>
      <c r="AD2501" s="171">
        <v>45.34</v>
      </c>
      <c r="AF2501" s="171">
        <f t="shared" si="119"/>
        <v>2016</v>
      </c>
      <c r="AG2501" s="171">
        <f t="shared" si="120"/>
        <v>15</v>
      </c>
      <c r="AH2501" s="700">
        <f>SUMIF(D$3:$AA2501,"&lt;="&amp;$AH$1)/COUNTIF(D$3:$AA2501,"&lt;="&amp;$AH$1)</f>
        <v>31.273108170551382</v>
      </c>
    </row>
    <row r="2502" spans="2:34" x14ac:dyDescent="0.25">
      <c r="B2502" s="910">
        <v>42730</v>
      </c>
      <c r="C2502" s="581">
        <f t="shared" si="118"/>
        <v>12</v>
      </c>
      <c r="D2502" s="171">
        <v>36.410000000000004</v>
      </c>
      <c r="E2502" s="171">
        <v>29.55</v>
      </c>
      <c r="F2502" s="171">
        <v>25.7</v>
      </c>
      <c r="G2502" s="171">
        <v>26.310000000000002</v>
      </c>
      <c r="H2502" s="171">
        <v>21.97</v>
      </c>
      <c r="I2502" s="171">
        <v>15.35</v>
      </c>
      <c r="J2502" s="171">
        <v>22.66</v>
      </c>
      <c r="K2502" s="171">
        <v>25.54</v>
      </c>
      <c r="L2502" s="171">
        <v>30.44</v>
      </c>
      <c r="M2502" s="171">
        <v>31.94</v>
      </c>
      <c r="N2502" s="171">
        <v>37.44</v>
      </c>
      <c r="O2502" s="171">
        <v>45.67</v>
      </c>
      <c r="P2502" s="171">
        <v>47.83</v>
      </c>
      <c r="Q2502" s="171">
        <v>45.730000000000004</v>
      </c>
      <c r="R2502" s="171">
        <v>35.99</v>
      </c>
      <c r="S2502" s="171">
        <v>34.94</v>
      </c>
      <c r="T2502" s="171">
        <v>35</v>
      </c>
      <c r="U2502" s="171">
        <v>49.02</v>
      </c>
      <c r="V2502" s="171">
        <v>56.120000000000005</v>
      </c>
      <c r="W2502" s="171">
        <v>56.19</v>
      </c>
      <c r="X2502" s="171">
        <v>50.03</v>
      </c>
      <c r="Y2502" s="171">
        <v>44.72</v>
      </c>
      <c r="Z2502" s="171">
        <v>37.99</v>
      </c>
      <c r="AA2502" s="171">
        <v>35</v>
      </c>
      <c r="AB2502" s="171">
        <v>32.6</v>
      </c>
      <c r="AC2502" s="171">
        <v>28.990000000000002</v>
      </c>
      <c r="AD2502" s="171">
        <v>43.83</v>
      </c>
      <c r="AF2502" s="171">
        <f t="shared" si="119"/>
        <v>2016</v>
      </c>
      <c r="AG2502" s="171">
        <f t="shared" si="120"/>
        <v>16</v>
      </c>
      <c r="AH2502" s="700">
        <f>SUMIF(D$3:$AA2502,"&lt;="&amp;$AH$1)/COUNTIF(D$3:$AA2502,"&lt;="&amp;$AH$1)</f>
        <v>31.272346668904561</v>
      </c>
    </row>
    <row r="2503" spans="2:34" x14ac:dyDescent="0.25">
      <c r="B2503" s="910">
        <v>42731</v>
      </c>
      <c r="C2503" s="581">
        <f t="shared" si="118"/>
        <v>12</v>
      </c>
      <c r="D2503" s="171">
        <v>37.99</v>
      </c>
      <c r="E2503" s="171">
        <v>31.8</v>
      </c>
      <c r="F2503" s="171">
        <v>28.76</v>
      </c>
      <c r="G2503" s="171">
        <v>29.94</v>
      </c>
      <c r="H2503" s="171">
        <v>31.990000000000002</v>
      </c>
      <c r="I2503" s="171">
        <v>29.69</v>
      </c>
      <c r="J2503" s="171">
        <v>28.35</v>
      </c>
      <c r="K2503" s="171">
        <v>30.990000000000002</v>
      </c>
      <c r="L2503" s="171">
        <v>42.08</v>
      </c>
      <c r="M2503" s="171">
        <v>33.630000000000003</v>
      </c>
      <c r="N2503" s="171">
        <v>42.44</v>
      </c>
      <c r="O2503" s="171">
        <v>44.43</v>
      </c>
      <c r="P2503" s="171">
        <v>35.119999999999997</v>
      </c>
      <c r="Q2503" s="171">
        <v>34.94</v>
      </c>
      <c r="R2503" s="171">
        <v>39.94</v>
      </c>
      <c r="S2503" s="171">
        <v>39.99</v>
      </c>
      <c r="T2503" s="171">
        <v>44.94</v>
      </c>
      <c r="U2503" s="171">
        <v>49.06</v>
      </c>
      <c r="V2503" s="171">
        <v>43.410000000000004</v>
      </c>
      <c r="W2503" s="171">
        <v>40.910000000000004</v>
      </c>
      <c r="X2503" s="171">
        <v>41.99</v>
      </c>
      <c r="Y2503" s="171">
        <v>40.1</v>
      </c>
      <c r="Z2503" s="171">
        <v>44</v>
      </c>
      <c r="AA2503" s="171">
        <v>42.44</v>
      </c>
      <c r="AB2503" s="171">
        <v>40.840000000000003</v>
      </c>
      <c r="AC2503" s="171">
        <v>35.08</v>
      </c>
      <c r="AD2503" s="171">
        <v>40.9</v>
      </c>
      <c r="AF2503" s="171">
        <f t="shared" si="119"/>
        <v>2016</v>
      </c>
      <c r="AG2503" s="171">
        <f t="shared" si="120"/>
        <v>19</v>
      </c>
      <c r="AH2503" s="700">
        <f>SUMIF(D$3:$AA2503,"&lt;="&amp;$AH$1)/COUNTIF(D$3:$AA2503,"&lt;="&amp;$AH$1)</f>
        <v>31.276076342280835</v>
      </c>
    </row>
    <row r="2504" spans="2:34" x14ac:dyDescent="0.25">
      <c r="B2504" s="910">
        <v>42732</v>
      </c>
      <c r="C2504" s="581">
        <f t="shared" si="118"/>
        <v>12</v>
      </c>
      <c r="D2504" s="171">
        <v>47</v>
      </c>
      <c r="E2504" s="171">
        <v>31.94</v>
      </c>
      <c r="F2504" s="171">
        <v>32.6</v>
      </c>
      <c r="G2504" s="171">
        <v>29.98</v>
      </c>
      <c r="H2504" s="171">
        <v>28.7</v>
      </c>
      <c r="I2504" s="171">
        <v>30.94</v>
      </c>
      <c r="J2504" s="171">
        <v>30.96</v>
      </c>
      <c r="K2504" s="171">
        <v>34.03</v>
      </c>
      <c r="L2504" s="171">
        <v>47.6</v>
      </c>
      <c r="M2504" s="171">
        <v>47.25</v>
      </c>
      <c r="N2504" s="171">
        <v>56.5</v>
      </c>
      <c r="O2504" s="171">
        <v>57.95</v>
      </c>
      <c r="P2504" s="171">
        <v>59.13</v>
      </c>
      <c r="Q2504" s="171">
        <v>59.2</v>
      </c>
      <c r="R2504" s="171">
        <v>55.82</v>
      </c>
      <c r="S2504" s="171">
        <v>50.77</v>
      </c>
      <c r="T2504" s="171">
        <v>51.6</v>
      </c>
      <c r="U2504" s="171">
        <v>55.2</v>
      </c>
      <c r="V2504" s="171">
        <v>63.83</v>
      </c>
      <c r="W2504" s="171">
        <v>63.7</v>
      </c>
      <c r="X2504" s="171">
        <v>59.82</v>
      </c>
      <c r="Y2504" s="171">
        <v>52.06</v>
      </c>
      <c r="Z2504" s="171">
        <v>50</v>
      </c>
      <c r="AA2504" s="171">
        <v>43.18</v>
      </c>
      <c r="AB2504" s="171">
        <v>35.230000000000004</v>
      </c>
      <c r="AC2504" s="171">
        <v>37.270000000000003</v>
      </c>
      <c r="AD2504" s="171">
        <v>56.730000000000004</v>
      </c>
      <c r="AF2504" s="171">
        <f t="shared" si="119"/>
        <v>2016</v>
      </c>
      <c r="AG2504" s="171">
        <f t="shared" si="120"/>
        <v>7</v>
      </c>
      <c r="AH2504" s="700">
        <f>SUMIF(D$3:$AA2504,"&lt;="&amp;$AH$1)/COUNTIF(D$3:$AA2504,"&lt;="&amp;$AH$1)</f>
        <v>31.276085461482573</v>
      </c>
    </row>
    <row r="2505" spans="2:34" x14ac:dyDescent="0.25">
      <c r="B2505" s="910">
        <v>42733</v>
      </c>
      <c r="C2505" s="581">
        <f t="shared" si="118"/>
        <v>12</v>
      </c>
      <c r="D2505" s="171">
        <v>44.800000000000004</v>
      </c>
      <c r="E2505" s="171">
        <v>42.2</v>
      </c>
      <c r="F2505" s="171">
        <v>39.300000000000004</v>
      </c>
      <c r="G2505" s="171">
        <v>36.83</v>
      </c>
      <c r="H2505" s="171">
        <v>34.11</v>
      </c>
      <c r="I2505" s="171">
        <v>34.99</v>
      </c>
      <c r="J2505" s="171">
        <v>37.64</v>
      </c>
      <c r="K2505" s="171">
        <v>41.050000000000004</v>
      </c>
      <c r="L2505" s="171">
        <v>49.300000000000004</v>
      </c>
      <c r="M2505" s="171">
        <v>50.43</v>
      </c>
      <c r="N2505" s="171">
        <v>51.1</v>
      </c>
      <c r="O2505" s="171">
        <v>51.14</v>
      </c>
      <c r="P2505" s="171">
        <v>50.96</v>
      </c>
      <c r="Q2505" s="171">
        <v>40.72</v>
      </c>
      <c r="R2505" s="171">
        <v>43.230000000000004</v>
      </c>
      <c r="S2505" s="171">
        <v>49.6</v>
      </c>
      <c r="T2505" s="171">
        <v>51.63</v>
      </c>
      <c r="U2505" s="171">
        <v>54.43</v>
      </c>
      <c r="V2505" s="171">
        <v>63.95</v>
      </c>
      <c r="W2505" s="171">
        <v>57.2</v>
      </c>
      <c r="X2505" s="171">
        <v>48.07</v>
      </c>
      <c r="Y2505" s="171">
        <v>40</v>
      </c>
      <c r="Z2505" s="171">
        <v>39.94</v>
      </c>
      <c r="AA2505" s="171">
        <v>34.83</v>
      </c>
      <c r="AB2505" s="171">
        <v>32.44</v>
      </c>
      <c r="AC2505" s="171">
        <v>38.550000000000004</v>
      </c>
      <c r="AD2505" s="171">
        <v>51.04</v>
      </c>
      <c r="AF2505" s="171">
        <f t="shared" si="119"/>
        <v>2016</v>
      </c>
      <c r="AG2505" s="171">
        <f t="shared" si="120"/>
        <v>11</v>
      </c>
      <c r="AH2505" s="700">
        <f>SUMIF(D$3:$AA2505,"&lt;="&amp;$AH$1)/COUNTIF(D$3:$AA2505,"&lt;="&amp;$AH$1)</f>
        <v>31.27933691005008</v>
      </c>
    </row>
    <row r="2506" spans="2:34" x14ac:dyDescent="0.25">
      <c r="B2506" s="910">
        <v>42734</v>
      </c>
      <c r="C2506" s="581">
        <f t="shared" si="118"/>
        <v>12</v>
      </c>
      <c r="D2506" s="171">
        <v>41.5</v>
      </c>
      <c r="E2506" s="171">
        <v>36.01</v>
      </c>
      <c r="F2506" s="171">
        <v>35.96</v>
      </c>
      <c r="G2506" s="171">
        <v>32.06</v>
      </c>
      <c r="H2506" s="171">
        <v>32.54</v>
      </c>
      <c r="I2506" s="171">
        <v>33.090000000000003</v>
      </c>
      <c r="J2506" s="171">
        <v>33.090000000000003</v>
      </c>
      <c r="K2506" s="171">
        <v>33.94</v>
      </c>
      <c r="L2506" s="171">
        <v>46</v>
      </c>
      <c r="M2506" s="171">
        <v>47.04</v>
      </c>
      <c r="N2506" s="171">
        <v>47.19</v>
      </c>
      <c r="O2506" s="171">
        <v>43</v>
      </c>
      <c r="P2506" s="171">
        <v>37.270000000000003</v>
      </c>
      <c r="Q2506" s="171">
        <v>36.300000000000004</v>
      </c>
      <c r="R2506" s="171">
        <v>36.72</v>
      </c>
      <c r="S2506" s="171">
        <v>46</v>
      </c>
      <c r="T2506" s="171">
        <v>52.63</v>
      </c>
      <c r="U2506" s="171">
        <v>54.38</v>
      </c>
      <c r="V2506" s="171">
        <v>56.04</v>
      </c>
      <c r="W2506" s="171">
        <v>49.94</v>
      </c>
      <c r="X2506" s="171">
        <v>45</v>
      </c>
      <c r="Y2506" s="171">
        <v>43.32</v>
      </c>
      <c r="Z2506" s="171">
        <v>41.03</v>
      </c>
      <c r="AA2506" s="171">
        <v>40.550000000000004</v>
      </c>
      <c r="AB2506" s="171">
        <v>36.800000000000004</v>
      </c>
      <c r="AC2506" s="171">
        <v>37.03</v>
      </c>
      <c r="AD2506" s="171">
        <v>45.96</v>
      </c>
      <c r="AF2506" s="171">
        <f t="shared" si="119"/>
        <v>2016</v>
      </c>
      <c r="AG2506" s="171">
        <f t="shared" si="120"/>
        <v>13</v>
      </c>
      <c r="AH2506" s="700">
        <f>SUMIF(D$3:$AA2506,"&lt;="&amp;$AH$1)/COUNTIF(D$3:$AA2506,"&lt;="&amp;$AH$1)</f>
        <v>31.281994051358335</v>
      </c>
    </row>
    <row r="2507" spans="2:34" x14ac:dyDescent="0.25">
      <c r="B2507" s="910">
        <v>42737</v>
      </c>
      <c r="C2507" s="581">
        <f t="shared" si="118"/>
        <v>1</v>
      </c>
      <c r="D2507" s="171">
        <v>45.15</v>
      </c>
      <c r="E2507" s="171">
        <v>30.54</v>
      </c>
      <c r="F2507" s="171">
        <v>30</v>
      </c>
      <c r="G2507" s="171">
        <v>33.21</v>
      </c>
      <c r="H2507" s="171">
        <v>32.049999999999997</v>
      </c>
      <c r="I2507" s="171">
        <v>31.28</v>
      </c>
      <c r="J2507" s="171">
        <v>31.43</v>
      </c>
      <c r="K2507" s="171">
        <v>37.99</v>
      </c>
      <c r="L2507" s="171">
        <v>45.2</v>
      </c>
      <c r="M2507" s="171">
        <v>46.31</v>
      </c>
      <c r="N2507" s="171">
        <v>48.84</v>
      </c>
      <c r="O2507" s="171">
        <v>53.32</v>
      </c>
      <c r="P2507" s="171">
        <v>54.53</v>
      </c>
      <c r="Q2507" s="171">
        <v>53.82</v>
      </c>
      <c r="R2507" s="171">
        <v>55.67</v>
      </c>
      <c r="S2507" s="171">
        <v>55.980000000000004</v>
      </c>
      <c r="T2507" s="171">
        <v>56</v>
      </c>
      <c r="U2507" s="171">
        <v>57.77</v>
      </c>
      <c r="V2507" s="171">
        <v>67.66</v>
      </c>
      <c r="W2507" s="171">
        <v>55.1</v>
      </c>
      <c r="X2507" s="171">
        <v>47.94</v>
      </c>
      <c r="Y2507" s="171">
        <v>40.99</v>
      </c>
      <c r="Z2507" s="171">
        <v>40.25</v>
      </c>
      <c r="AA2507" s="171">
        <v>40.99</v>
      </c>
      <c r="AB2507" s="171">
        <v>36.840000000000003</v>
      </c>
      <c r="AC2507" s="171">
        <v>35.9</v>
      </c>
      <c r="AD2507" s="171">
        <v>54.410000000000004</v>
      </c>
      <c r="AF2507" s="171">
        <f t="shared" si="119"/>
        <v>2017</v>
      </c>
      <c r="AG2507" s="171">
        <f t="shared" si="120"/>
        <v>10</v>
      </c>
      <c r="AH2507" s="700">
        <f>SUMIF(D$3:$AA2507,"&lt;="&amp;$AH$1)/COUNTIF(D$3:$AA2507,"&lt;="&amp;$AH$1)</f>
        <v>31.283497759724256</v>
      </c>
    </row>
    <row r="2508" spans="2:34" x14ac:dyDescent="0.25">
      <c r="B2508" s="910">
        <v>42738</v>
      </c>
      <c r="C2508" s="581">
        <f t="shared" si="118"/>
        <v>1</v>
      </c>
      <c r="D2508" s="171">
        <v>41.04</v>
      </c>
      <c r="E2508" s="171">
        <v>36.020000000000003</v>
      </c>
      <c r="F2508" s="171">
        <v>34.980000000000004</v>
      </c>
      <c r="G2508" s="171">
        <v>33.64</v>
      </c>
      <c r="H2508" s="171">
        <v>33.619999999999997</v>
      </c>
      <c r="I2508" s="171">
        <v>33.5</v>
      </c>
      <c r="J2508" s="171">
        <v>33.910000000000004</v>
      </c>
      <c r="K2508" s="171">
        <v>40.9</v>
      </c>
      <c r="L2508" s="171">
        <v>43.72</v>
      </c>
      <c r="M2508" s="171">
        <v>54.120000000000005</v>
      </c>
      <c r="N2508" s="171">
        <v>54.94</v>
      </c>
      <c r="O2508" s="171">
        <v>52.27</v>
      </c>
      <c r="P2508" s="171">
        <v>49.94</v>
      </c>
      <c r="Q2508" s="171">
        <v>46.300000000000004</v>
      </c>
      <c r="R2508" s="171">
        <v>41.51</v>
      </c>
      <c r="S2508" s="171">
        <v>40.9</v>
      </c>
      <c r="T2508" s="171">
        <v>40.9</v>
      </c>
      <c r="U2508" s="171">
        <v>40.9</v>
      </c>
      <c r="V2508" s="171">
        <v>45</v>
      </c>
      <c r="W2508" s="171">
        <v>36.67</v>
      </c>
      <c r="X2508" s="171">
        <v>40</v>
      </c>
      <c r="Y2508" s="171">
        <v>40.9</v>
      </c>
      <c r="Z2508" s="171">
        <v>40.9</v>
      </c>
      <c r="AA2508" s="171">
        <v>37.300000000000004</v>
      </c>
      <c r="AB2508" s="171">
        <v>32.22</v>
      </c>
      <c r="AC2508" s="171">
        <v>36.800000000000004</v>
      </c>
      <c r="AD2508" s="171">
        <v>45.29</v>
      </c>
      <c r="AF2508" s="171">
        <f t="shared" si="119"/>
        <v>2017</v>
      </c>
      <c r="AG2508" s="171">
        <f t="shared" si="120"/>
        <v>17</v>
      </c>
      <c r="AH2508" s="700">
        <f>SUMIF(D$3:$AA2508,"&lt;="&amp;$AH$1)/COUNTIF(D$3:$AA2508,"&lt;="&amp;$AH$1)</f>
        <v>31.288342120678518</v>
      </c>
    </row>
    <row r="2509" spans="2:34" x14ac:dyDescent="0.25">
      <c r="B2509" s="910">
        <v>42739</v>
      </c>
      <c r="C2509" s="581">
        <f t="shared" si="118"/>
        <v>1</v>
      </c>
      <c r="D2509" s="171">
        <v>38.119999999999997</v>
      </c>
      <c r="E2509" s="171">
        <v>28.900000000000002</v>
      </c>
      <c r="F2509" s="171">
        <v>28.88</v>
      </c>
      <c r="G2509" s="171">
        <v>28.68</v>
      </c>
      <c r="H2509" s="171">
        <v>28.67</v>
      </c>
      <c r="I2509" s="171">
        <v>28.52</v>
      </c>
      <c r="J2509" s="171">
        <v>28.79</v>
      </c>
      <c r="K2509" s="171">
        <v>31.330000000000002</v>
      </c>
      <c r="L2509" s="171">
        <v>32.6</v>
      </c>
      <c r="M2509" s="171">
        <v>42</v>
      </c>
      <c r="N2509" s="171">
        <v>44</v>
      </c>
      <c r="O2509" s="171">
        <v>44</v>
      </c>
      <c r="P2509" s="171">
        <v>44</v>
      </c>
      <c r="Q2509" s="171">
        <v>39.94</v>
      </c>
      <c r="R2509" s="171">
        <v>39.9</v>
      </c>
      <c r="S2509" s="171">
        <v>38.090000000000003</v>
      </c>
      <c r="T2509" s="171">
        <v>39.94</v>
      </c>
      <c r="U2509" s="171">
        <v>44.94</v>
      </c>
      <c r="V2509" s="171">
        <v>66.010000000000005</v>
      </c>
      <c r="W2509" s="171">
        <v>49.45</v>
      </c>
      <c r="X2509" s="171">
        <v>48.370000000000005</v>
      </c>
      <c r="Y2509" s="171">
        <v>38.020000000000003</v>
      </c>
      <c r="Z2509" s="171">
        <v>34.550000000000004</v>
      </c>
      <c r="AA2509" s="171">
        <v>33.33</v>
      </c>
      <c r="AB2509" s="171">
        <v>32.049999999999997</v>
      </c>
      <c r="AC2509" s="171">
        <v>31.19</v>
      </c>
      <c r="AD2509" s="171">
        <v>45.050000000000004</v>
      </c>
      <c r="AF2509" s="171">
        <f t="shared" si="119"/>
        <v>2017</v>
      </c>
      <c r="AG2509" s="171">
        <f t="shared" si="120"/>
        <v>17</v>
      </c>
      <c r="AH2509" s="700">
        <f>SUMIF(D$3:$AA2509,"&lt;="&amp;$AH$1)/COUNTIF(D$3:$AA2509,"&lt;="&amp;$AH$1)</f>
        <v>31.290364206563883</v>
      </c>
    </row>
    <row r="2510" spans="2:34" x14ac:dyDescent="0.25">
      <c r="B2510" s="910">
        <v>42740</v>
      </c>
      <c r="C2510" s="581">
        <f t="shared" si="118"/>
        <v>1</v>
      </c>
      <c r="D2510" s="171">
        <v>51.63</v>
      </c>
      <c r="E2510" s="171">
        <v>42.7</v>
      </c>
      <c r="F2510" s="171">
        <v>36.32</v>
      </c>
      <c r="G2510" s="171">
        <v>30.990000000000002</v>
      </c>
      <c r="H2510" s="171">
        <v>31.060000000000002</v>
      </c>
      <c r="I2510" s="171">
        <v>35.64</v>
      </c>
      <c r="J2510" s="171">
        <v>35.730000000000004</v>
      </c>
      <c r="K2510" s="171">
        <v>39.03</v>
      </c>
      <c r="L2510" s="171">
        <v>41.27</v>
      </c>
      <c r="M2510" s="171">
        <v>57.980000000000004</v>
      </c>
      <c r="N2510" s="171">
        <v>54.11</v>
      </c>
      <c r="O2510" s="171">
        <v>53.13</v>
      </c>
      <c r="P2510" s="171">
        <v>50.06</v>
      </c>
      <c r="Q2510" s="171">
        <v>49.97</v>
      </c>
      <c r="R2510" s="171">
        <v>49</v>
      </c>
      <c r="S2510" s="171">
        <v>50.99</v>
      </c>
      <c r="T2510" s="171">
        <v>57.480000000000004</v>
      </c>
      <c r="U2510" s="171">
        <v>69.7</v>
      </c>
      <c r="V2510" s="171">
        <v>74.8</v>
      </c>
      <c r="W2510" s="171">
        <v>126.60000000000001</v>
      </c>
      <c r="X2510" s="171">
        <v>65.150000000000006</v>
      </c>
      <c r="Y2510" s="171">
        <v>64.239999999999995</v>
      </c>
      <c r="Z2510" s="171">
        <v>43.09</v>
      </c>
      <c r="AA2510" s="171">
        <v>43.12</v>
      </c>
      <c r="AB2510" s="171">
        <v>37.08</v>
      </c>
      <c r="AC2510" s="171">
        <v>40.020000000000003</v>
      </c>
      <c r="AD2510" s="171">
        <v>63.25</v>
      </c>
      <c r="AF2510" s="171">
        <f t="shared" si="119"/>
        <v>2017</v>
      </c>
      <c r="AG2510" s="171">
        <f t="shared" si="120"/>
        <v>7</v>
      </c>
      <c r="AH2510" s="700">
        <f>SUMIF(D$3:$AA2510,"&lt;="&amp;$AH$1)/COUNTIF(D$3:$AA2510,"&lt;="&amp;$AH$1)</f>
        <v>31.291660396286904</v>
      </c>
    </row>
    <row r="2511" spans="2:34" x14ac:dyDescent="0.25">
      <c r="B2511" s="910">
        <v>42741</v>
      </c>
      <c r="C2511" s="581">
        <f t="shared" si="118"/>
        <v>1</v>
      </c>
      <c r="D2511" s="171">
        <v>47.77</v>
      </c>
      <c r="E2511" s="171">
        <v>40.840000000000003</v>
      </c>
      <c r="F2511" s="171">
        <v>37.230000000000004</v>
      </c>
      <c r="G2511" s="171">
        <v>37.44</v>
      </c>
      <c r="H2511" s="171">
        <v>38</v>
      </c>
      <c r="I2511" s="171">
        <v>36.06</v>
      </c>
      <c r="J2511" s="171">
        <v>38.869999999999997</v>
      </c>
      <c r="K2511" s="171">
        <v>39.46</v>
      </c>
      <c r="L2511" s="171">
        <v>49.49</v>
      </c>
      <c r="M2511" s="171">
        <v>53.09</v>
      </c>
      <c r="N2511" s="171">
        <v>66.47</v>
      </c>
      <c r="O2511" s="171">
        <v>64.94</v>
      </c>
      <c r="P2511" s="171">
        <v>57.7</v>
      </c>
      <c r="Q2511" s="171">
        <v>52.86</v>
      </c>
      <c r="R2511" s="171">
        <v>54.99</v>
      </c>
      <c r="S2511" s="171">
        <v>53.01</v>
      </c>
      <c r="T2511" s="171">
        <v>52.4</v>
      </c>
      <c r="U2511" s="171">
        <v>55.06</v>
      </c>
      <c r="V2511" s="171">
        <v>66.820000000000007</v>
      </c>
      <c r="W2511" s="171">
        <v>49</v>
      </c>
      <c r="X2511" s="171">
        <v>40</v>
      </c>
      <c r="Y2511" s="171">
        <v>43.01</v>
      </c>
      <c r="Z2511" s="171">
        <v>38.04</v>
      </c>
      <c r="AA2511" s="171">
        <v>42</v>
      </c>
      <c r="AB2511" s="171">
        <v>39.64</v>
      </c>
      <c r="AC2511" s="171">
        <v>40.01</v>
      </c>
      <c r="AD2511" s="171">
        <v>55.53</v>
      </c>
      <c r="AF2511" s="171">
        <f t="shared" si="119"/>
        <v>2017</v>
      </c>
      <c r="AG2511" s="171">
        <f t="shared" si="120"/>
        <v>10</v>
      </c>
      <c r="AH2511" s="700">
        <f>SUMIF(D$3:$AA2511,"&lt;="&amp;$AH$1)/COUNTIF(D$3:$AA2511,"&lt;="&amp;$AH$1)</f>
        <v>31.294795253216414</v>
      </c>
    </row>
    <row r="2512" spans="2:34" x14ac:dyDescent="0.25">
      <c r="B2512" s="910">
        <v>42744</v>
      </c>
      <c r="C2512" s="581">
        <f t="shared" si="118"/>
        <v>1</v>
      </c>
      <c r="D2512" s="171">
        <v>47.99</v>
      </c>
      <c r="E2512" s="171">
        <v>40</v>
      </c>
      <c r="F2512" s="171">
        <v>39.050000000000004</v>
      </c>
      <c r="G2512" s="171">
        <v>39.21</v>
      </c>
      <c r="H2512" s="171">
        <v>39.24</v>
      </c>
      <c r="I2512" s="171">
        <v>36.619999999999997</v>
      </c>
      <c r="J2512" s="171">
        <v>37.450000000000003</v>
      </c>
      <c r="K2512" s="171">
        <v>42.61</v>
      </c>
      <c r="L2512" s="171">
        <v>57.67</v>
      </c>
      <c r="M2512" s="171">
        <v>58</v>
      </c>
      <c r="N2512" s="171">
        <v>67.88</v>
      </c>
      <c r="O2512" s="171">
        <v>66.58</v>
      </c>
      <c r="P2512" s="171">
        <v>61.980000000000004</v>
      </c>
      <c r="Q2512" s="171">
        <v>60.54</v>
      </c>
      <c r="R2512" s="171">
        <v>56.63</v>
      </c>
      <c r="S2512" s="171">
        <v>52.51</v>
      </c>
      <c r="T2512" s="171">
        <v>50</v>
      </c>
      <c r="U2512" s="171">
        <v>52.5</v>
      </c>
      <c r="V2512" s="171">
        <v>73.45</v>
      </c>
      <c r="W2512" s="171">
        <v>38.76</v>
      </c>
      <c r="X2512" s="171">
        <v>36.51</v>
      </c>
      <c r="Y2512" s="171">
        <v>39.1</v>
      </c>
      <c r="Z2512" s="171">
        <v>36.619999999999997</v>
      </c>
      <c r="AA2512" s="171">
        <v>36.08</v>
      </c>
      <c r="AB2512" s="171">
        <v>32.76</v>
      </c>
      <c r="AC2512" s="171">
        <v>39.700000000000003</v>
      </c>
      <c r="AD2512" s="171">
        <v>56.28</v>
      </c>
      <c r="AF2512" s="171">
        <f t="shared" si="119"/>
        <v>2017</v>
      </c>
      <c r="AG2512" s="171">
        <f t="shared" si="120"/>
        <v>11</v>
      </c>
      <c r="AH2512" s="700">
        <f>SUMIF(D$3:$AA2512,"&lt;="&amp;$AH$1)/COUNTIF(D$3:$AA2512,"&lt;="&amp;$AH$1)</f>
        <v>31.297902518480356</v>
      </c>
    </row>
    <row r="2513" spans="2:34" x14ac:dyDescent="0.25">
      <c r="B2513" s="910">
        <v>42745</v>
      </c>
      <c r="C2513" s="581">
        <f t="shared" si="118"/>
        <v>1</v>
      </c>
      <c r="D2513" s="171">
        <v>53.160000000000004</v>
      </c>
      <c r="E2513" s="171">
        <v>32.450000000000003</v>
      </c>
      <c r="F2513" s="171">
        <v>31.52</v>
      </c>
      <c r="G2513" s="171">
        <v>29.080000000000002</v>
      </c>
      <c r="H2513" s="171">
        <v>28.92</v>
      </c>
      <c r="I2513" s="171">
        <v>31.490000000000002</v>
      </c>
      <c r="J2513" s="171">
        <v>33.06</v>
      </c>
      <c r="K2513" s="171">
        <v>36.32</v>
      </c>
      <c r="L2513" s="171">
        <v>51.68</v>
      </c>
      <c r="M2513" s="171">
        <v>50.25</v>
      </c>
      <c r="N2513" s="171">
        <v>58.99</v>
      </c>
      <c r="O2513" s="171">
        <v>58.550000000000004</v>
      </c>
      <c r="P2513" s="171">
        <v>57.02</v>
      </c>
      <c r="Q2513" s="171">
        <v>65.62</v>
      </c>
      <c r="R2513" s="171">
        <v>67.3</v>
      </c>
      <c r="S2513" s="171">
        <v>61.29</v>
      </c>
      <c r="T2513" s="171">
        <v>64.94</v>
      </c>
      <c r="U2513" s="171">
        <v>68.790000000000006</v>
      </c>
      <c r="V2513" s="171">
        <v>88.38</v>
      </c>
      <c r="W2513" s="171">
        <v>100.02</v>
      </c>
      <c r="X2513" s="171">
        <v>73.260000000000005</v>
      </c>
      <c r="Y2513" s="171">
        <v>61.79</v>
      </c>
      <c r="Z2513" s="171">
        <v>47.63</v>
      </c>
      <c r="AA2513" s="171">
        <v>39.94</v>
      </c>
      <c r="AB2513" s="171">
        <v>37.64</v>
      </c>
      <c r="AC2513" s="171">
        <v>38.46</v>
      </c>
      <c r="AD2513" s="171">
        <v>67.87</v>
      </c>
      <c r="AF2513" s="171">
        <f t="shared" si="119"/>
        <v>2017</v>
      </c>
      <c r="AG2513" s="171">
        <f t="shared" si="120"/>
        <v>8</v>
      </c>
      <c r="AH2513" s="700">
        <f>SUMIF(D$3:$AA2513,"&lt;="&amp;$AH$1)/COUNTIF(D$3:$AA2513,"&lt;="&amp;$AH$1)</f>
        <v>31.298420107718886</v>
      </c>
    </row>
    <row r="2514" spans="2:34" x14ac:dyDescent="0.25">
      <c r="B2514" s="910">
        <v>42746</v>
      </c>
      <c r="C2514" s="581">
        <f t="shared" si="118"/>
        <v>1</v>
      </c>
      <c r="D2514" s="171">
        <v>39.200000000000003</v>
      </c>
      <c r="E2514" s="171">
        <v>38.99</v>
      </c>
      <c r="F2514" s="171">
        <v>37.200000000000003</v>
      </c>
      <c r="G2514" s="171">
        <v>34.03</v>
      </c>
      <c r="H2514" s="171">
        <v>34.78</v>
      </c>
      <c r="I2514" s="171">
        <v>32.700000000000003</v>
      </c>
      <c r="J2514" s="171">
        <v>31.21</v>
      </c>
      <c r="K2514" s="171">
        <v>37.200000000000003</v>
      </c>
      <c r="L2514" s="171">
        <v>51.13</v>
      </c>
      <c r="M2514" s="171">
        <v>55</v>
      </c>
      <c r="N2514" s="171">
        <v>54.35</v>
      </c>
      <c r="O2514" s="171">
        <v>44.410000000000004</v>
      </c>
      <c r="P2514" s="171">
        <v>41.06</v>
      </c>
      <c r="Q2514" s="171">
        <v>36.94</v>
      </c>
      <c r="R2514" s="171">
        <v>36</v>
      </c>
      <c r="S2514" s="171">
        <v>34.94</v>
      </c>
      <c r="T2514" s="171">
        <v>34.93</v>
      </c>
      <c r="U2514" s="171">
        <v>37.450000000000003</v>
      </c>
      <c r="V2514" s="171">
        <v>55</v>
      </c>
      <c r="W2514" s="171">
        <v>37.4</v>
      </c>
      <c r="X2514" s="171">
        <v>40.1</v>
      </c>
      <c r="Y2514" s="171">
        <v>40</v>
      </c>
      <c r="Z2514" s="171">
        <v>36.200000000000003</v>
      </c>
      <c r="AA2514" s="171">
        <v>32.44</v>
      </c>
      <c r="AB2514" s="171">
        <v>27.36</v>
      </c>
      <c r="AC2514" s="171">
        <v>36.1</v>
      </c>
      <c r="AD2514" s="171">
        <v>42.300000000000004</v>
      </c>
      <c r="AF2514" s="171">
        <f t="shared" si="119"/>
        <v>2017</v>
      </c>
      <c r="AG2514" s="171">
        <f t="shared" si="120"/>
        <v>19</v>
      </c>
      <c r="AH2514" s="700">
        <f>SUMIF(D$3:$AA2514,"&lt;="&amp;$AH$1)/COUNTIF(D$3:$AA2514,"&lt;="&amp;$AH$1)</f>
        <v>31.302512724237577</v>
      </c>
    </row>
    <row r="2515" spans="2:34" x14ac:dyDescent="0.25">
      <c r="B2515" s="910">
        <v>42747</v>
      </c>
      <c r="C2515" s="581">
        <f t="shared" si="118"/>
        <v>1</v>
      </c>
      <c r="D2515" s="171">
        <v>39.81</v>
      </c>
      <c r="E2515" s="171">
        <v>26.43</v>
      </c>
      <c r="F2515" s="171">
        <v>26.09</v>
      </c>
      <c r="G2515" s="171">
        <v>27.94</v>
      </c>
      <c r="H2515" s="171">
        <v>28.03</v>
      </c>
      <c r="I2515" s="171">
        <v>25.87</v>
      </c>
      <c r="J2515" s="171">
        <v>23.75</v>
      </c>
      <c r="K2515" s="171">
        <v>31.28</v>
      </c>
      <c r="L2515" s="171">
        <v>40.020000000000003</v>
      </c>
      <c r="M2515" s="171">
        <v>40.07</v>
      </c>
      <c r="N2515" s="171">
        <v>38.200000000000003</v>
      </c>
      <c r="O2515" s="171">
        <v>39.64</v>
      </c>
      <c r="P2515" s="171">
        <v>39.86</v>
      </c>
      <c r="Q2515" s="171">
        <v>38</v>
      </c>
      <c r="R2515" s="171">
        <v>50.03</v>
      </c>
      <c r="S2515" s="171">
        <v>48.85</v>
      </c>
      <c r="T2515" s="171">
        <v>38.300000000000004</v>
      </c>
      <c r="U2515" s="171">
        <v>50.31</v>
      </c>
      <c r="V2515" s="171">
        <v>75.78</v>
      </c>
      <c r="W2515" s="171">
        <v>51.6</v>
      </c>
      <c r="X2515" s="171">
        <v>45</v>
      </c>
      <c r="Y2515" s="171">
        <v>49.94</v>
      </c>
      <c r="Z2515" s="171">
        <v>47.44</v>
      </c>
      <c r="AA2515" s="171">
        <v>37.9</v>
      </c>
      <c r="AB2515" s="171">
        <v>35</v>
      </c>
      <c r="AC2515" s="171">
        <v>33.31</v>
      </c>
      <c r="AD2515" s="171">
        <v>46.300000000000004</v>
      </c>
      <c r="AF2515" s="171">
        <f t="shared" si="119"/>
        <v>2017</v>
      </c>
      <c r="AG2515" s="171">
        <f t="shared" si="120"/>
        <v>16</v>
      </c>
      <c r="AH2515" s="700">
        <f>SUMIF(D$3:$AA2515,"&lt;="&amp;$AH$1)/COUNTIF(D$3:$AA2515,"&lt;="&amp;$AH$1)</f>
        <v>31.304194947051396</v>
      </c>
    </row>
    <row r="2516" spans="2:34" x14ac:dyDescent="0.25">
      <c r="B2516" s="910">
        <v>42748</v>
      </c>
      <c r="C2516" s="581">
        <f t="shared" si="118"/>
        <v>1</v>
      </c>
      <c r="D2516" s="171">
        <v>42.47</v>
      </c>
      <c r="E2516" s="171">
        <v>38.480000000000004</v>
      </c>
      <c r="F2516" s="171">
        <v>36.92</v>
      </c>
      <c r="G2516" s="171">
        <v>32.44</v>
      </c>
      <c r="H2516" s="171">
        <v>30.05</v>
      </c>
      <c r="I2516" s="171">
        <v>30.22</v>
      </c>
      <c r="J2516" s="171">
        <v>34.08</v>
      </c>
      <c r="K2516" s="171">
        <v>37.270000000000003</v>
      </c>
      <c r="L2516" s="171">
        <v>46.980000000000004</v>
      </c>
      <c r="M2516" s="171">
        <v>63</v>
      </c>
      <c r="N2516" s="171">
        <v>64.94</v>
      </c>
      <c r="O2516" s="171">
        <v>51.4</v>
      </c>
      <c r="P2516" s="171">
        <v>57</v>
      </c>
      <c r="Q2516" s="171">
        <v>43.07</v>
      </c>
      <c r="R2516" s="171">
        <v>42.06</v>
      </c>
      <c r="S2516" s="171">
        <v>41.980000000000004</v>
      </c>
      <c r="T2516" s="171">
        <v>43.03</v>
      </c>
      <c r="U2516" s="171">
        <v>44.87</v>
      </c>
      <c r="V2516" s="171">
        <v>48.72</v>
      </c>
      <c r="W2516" s="171">
        <v>45.17</v>
      </c>
      <c r="X2516" s="171">
        <v>44.94</v>
      </c>
      <c r="Y2516" s="171">
        <v>39.94</v>
      </c>
      <c r="Z2516" s="171">
        <v>36.700000000000003</v>
      </c>
      <c r="AA2516" s="171">
        <v>34.94</v>
      </c>
      <c r="AB2516" s="171">
        <v>30.990000000000002</v>
      </c>
      <c r="AC2516" s="171">
        <v>35.75</v>
      </c>
      <c r="AD2516" s="171">
        <v>49.18</v>
      </c>
      <c r="AF2516" s="171">
        <f t="shared" si="119"/>
        <v>2017</v>
      </c>
      <c r="AG2516" s="171">
        <f t="shared" si="120"/>
        <v>13</v>
      </c>
      <c r="AH2516" s="700">
        <f>SUMIF(D$3:$AA2516,"&lt;="&amp;$AH$1)/COUNTIF(D$3:$AA2516,"&lt;="&amp;$AH$1)</f>
        <v>31.307136547355082</v>
      </c>
    </row>
    <row r="2517" spans="2:34" x14ac:dyDescent="0.25">
      <c r="B2517" s="910">
        <v>42751</v>
      </c>
      <c r="C2517" s="581">
        <f t="shared" si="118"/>
        <v>1</v>
      </c>
      <c r="D2517" s="171">
        <v>62.74</v>
      </c>
      <c r="E2517" s="171">
        <v>45.07</v>
      </c>
      <c r="F2517" s="171">
        <v>43.25</v>
      </c>
      <c r="G2517" s="171">
        <v>39.08</v>
      </c>
      <c r="H2517" s="171">
        <v>37.57</v>
      </c>
      <c r="I2517" s="171">
        <v>38.24</v>
      </c>
      <c r="J2517" s="171">
        <v>39.06</v>
      </c>
      <c r="K2517" s="171">
        <v>49.21</v>
      </c>
      <c r="L2517" s="171">
        <v>70.100000000000009</v>
      </c>
      <c r="M2517" s="171">
        <v>55.14</v>
      </c>
      <c r="N2517" s="171">
        <v>60.78</v>
      </c>
      <c r="O2517" s="171">
        <v>64.989999999999995</v>
      </c>
      <c r="P2517" s="171">
        <v>60.94</v>
      </c>
      <c r="Q2517" s="171">
        <v>68.260000000000005</v>
      </c>
      <c r="R2517" s="171">
        <v>71.94</v>
      </c>
      <c r="S2517" s="171">
        <v>71.47</v>
      </c>
      <c r="T2517" s="171">
        <v>85.08</v>
      </c>
      <c r="U2517" s="171">
        <v>76.81</v>
      </c>
      <c r="V2517" s="171">
        <v>120</v>
      </c>
      <c r="W2517" s="171">
        <v>124.83</v>
      </c>
      <c r="X2517" s="171">
        <v>113.04</v>
      </c>
      <c r="Y2517" s="171">
        <v>50</v>
      </c>
      <c r="Z2517" s="171">
        <v>44.94</v>
      </c>
      <c r="AA2517" s="171">
        <v>38.47</v>
      </c>
      <c r="AB2517" s="171">
        <v>37.57</v>
      </c>
      <c r="AC2517" s="171">
        <v>44.38</v>
      </c>
      <c r="AD2517" s="171">
        <v>81.11</v>
      </c>
      <c r="AF2517" s="171">
        <f t="shared" si="119"/>
        <v>2017</v>
      </c>
      <c r="AG2517" s="171">
        <f t="shared" si="120"/>
        <v>5</v>
      </c>
      <c r="AH2517" s="700">
        <f>SUMIF(D$3:$AA2517,"&lt;="&amp;$AH$1)/COUNTIF(D$3:$AA2517,"&lt;="&amp;$AH$1)</f>
        <v>31.308631478085925</v>
      </c>
    </row>
    <row r="2518" spans="2:34" x14ac:dyDescent="0.25">
      <c r="B2518" s="910">
        <v>42752</v>
      </c>
      <c r="C2518" s="581">
        <f t="shared" si="118"/>
        <v>1</v>
      </c>
      <c r="D2518" s="171">
        <v>68.13</v>
      </c>
      <c r="E2518" s="171">
        <v>32.04</v>
      </c>
      <c r="F2518" s="171">
        <v>31.62</v>
      </c>
      <c r="G2518" s="171">
        <v>33</v>
      </c>
      <c r="H2518" s="171">
        <v>36</v>
      </c>
      <c r="I2518" s="171">
        <v>37.14</v>
      </c>
      <c r="J2518" s="171">
        <v>38.65</v>
      </c>
      <c r="K2518" s="171">
        <v>38.270000000000003</v>
      </c>
      <c r="L2518" s="171">
        <v>52.75</v>
      </c>
      <c r="M2518" s="171">
        <v>75</v>
      </c>
      <c r="N2518" s="171">
        <v>90.100000000000009</v>
      </c>
      <c r="O2518" s="171">
        <v>93.75</v>
      </c>
      <c r="P2518" s="171">
        <v>93.69</v>
      </c>
      <c r="Q2518" s="171">
        <v>87.94</v>
      </c>
      <c r="R2518" s="171">
        <v>87.3</v>
      </c>
      <c r="S2518" s="171">
        <v>70.13</v>
      </c>
      <c r="T2518" s="171">
        <v>70</v>
      </c>
      <c r="U2518" s="171">
        <v>77.37</v>
      </c>
      <c r="V2518" s="171">
        <v>142.78</v>
      </c>
      <c r="W2518" s="171">
        <v>147.55000000000001</v>
      </c>
      <c r="X2518" s="171">
        <v>114.55</v>
      </c>
      <c r="Y2518" s="171">
        <v>60.1</v>
      </c>
      <c r="Z2518" s="171">
        <v>47.5</v>
      </c>
      <c r="AA2518" s="171">
        <v>40.119999999999997</v>
      </c>
      <c r="AB2518" s="171">
        <v>37.74</v>
      </c>
      <c r="AC2518" s="171">
        <v>40.410000000000004</v>
      </c>
      <c r="AD2518" s="171">
        <v>95.850000000000009</v>
      </c>
      <c r="AF2518" s="171">
        <f t="shared" si="119"/>
        <v>2017</v>
      </c>
      <c r="AG2518" s="171">
        <f t="shared" si="120"/>
        <v>8</v>
      </c>
      <c r="AH2518" s="700">
        <f>SUMIF(D$3:$AA2518,"&lt;="&amp;$AH$1)/COUNTIF(D$3:$AA2518,"&lt;="&amp;$AH$1)</f>
        <v>31.310146176910486</v>
      </c>
    </row>
    <row r="2519" spans="2:34" x14ac:dyDescent="0.25">
      <c r="B2519" s="910">
        <v>42753</v>
      </c>
      <c r="C2519" s="581">
        <f t="shared" si="118"/>
        <v>1</v>
      </c>
      <c r="D2519" s="171">
        <v>63.9</v>
      </c>
      <c r="E2519" s="171">
        <v>39.71</v>
      </c>
      <c r="F2519" s="171">
        <v>35.46</v>
      </c>
      <c r="G2519" s="171">
        <v>35.700000000000003</v>
      </c>
      <c r="H2519" s="171">
        <v>34.18</v>
      </c>
      <c r="I2519" s="171">
        <v>35.07</v>
      </c>
      <c r="J2519" s="171">
        <v>34.99</v>
      </c>
      <c r="K2519" s="171">
        <v>42</v>
      </c>
      <c r="L2519" s="171">
        <v>55.21</v>
      </c>
      <c r="M2519" s="171">
        <v>60.01</v>
      </c>
      <c r="N2519" s="171">
        <v>76.31</v>
      </c>
      <c r="O2519" s="171">
        <v>69.89</v>
      </c>
      <c r="P2519" s="171">
        <v>70.48</v>
      </c>
      <c r="Q2519" s="171">
        <v>74.94</v>
      </c>
      <c r="R2519" s="171">
        <v>91.02</v>
      </c>
      <c r="S2519" s="171">
        <v>89.92</v>
      </c>
      <c r="T2519" s="171">
        <v>86.7</v>
      </c>
      <c r="U2519" s="171">
        <v>92.45</v>
      </c>
      <c r="V2519" s="171">
        <v>116.05</v>
      </c>
      <c r="W2519" s="171">
        <v>100.10000000000001</v>
      </c>
      <c r="X2519" s="171">
        <v>84.92</v>
      </c>
      <c r="Y2519" s="171">
        <v>77.09</v>
      </c>
      <c r="Z2519" s="171">
        <v>54.4</v>
      </c>
      <c r="AA2519" s="171">
        <v>40.1</v>
      </c>
      <c r="AB2519" s="171">
        <v>37</v>
      </c>
      <c r="AC2519" s="171">
        <v>43.410000000000004</v>
      </c>
      <c r="AD2519" s="171">
        <v>84.4</v>
      </c>
      <c r="AF2519" s="171">
        <f t="shared" si="119"/>
        <v>2017</v>
      </c>
      <c r="AG2519" s="171">
        <f t="shared" si="120"/>
        <v>8</v>
      </c>
      <c r="AH2519" s="700">
        <f>SUMIF(D$3:$AA2519,"&lt;="&amp;$AH$1)/COUNTIF(D$3:$AA2519,"&lt;="&amp;$AH$1)</f>
        <v>31.312091590340319</v>
      </c>
    </row>
    <row r="2520" spans="2:34" x14ac:dyDescent="0.25">
      <c r="B2520" s="910">
        <v>42754</v>
      </c>
      <c r="C2520" s="581">
        <f t="shared" si="118"/>
        <v>1</v>
      </c>
      <c r="D2520" s="171">
        <v>63.82</v>
      </c>
      <c r="E2520" s="171">
        <v>38.53</v>
      </c>
      <c r="F2520" s="171">
        <v>36.99</v>
      </c>
      <c r="G2520" s="171">
        <v>36.4</v>
      </c>
      <c r="H2520" s="171">
        <v>36.32</v>
      </c>
      <c r="I2520" s="171">
        <v>36.450000000000003</v>
      </c>
      <c r="J2520" s="171">
        <v>37.6</v>
      </c>
      <c r="K2520" s="171">
        <v>47.5</v>
      </c>
      <c r="L2520" s="171">
        <v>56.230000000000004</v>
      </c>
      <c r="M2520" s="171">
        <v>69.94</v>
      </c>
      <c r="N2520" s="171">
        <v>91</v>
      </c>
      <c r="O2520" s="171">
        <v>84.68</v>
      </c>
      <c r="P2520" s="171">
        <v>84.59</v>
      </c>
      <c r="Q2520" s="171">
        <v>70</v>
      </c>
      <c r="R2520" s="171">
        <v>79.92</v>
      </c>
      <c r="S2520" s="171">
        <v>73.95</v>
      </c>
      <c r="T2520" s="171">
        <v>72.42</v>
      </c>
      <c r="U2520" s="171">
        <v>73.98</v>
      </c>
      <c r="V2520" s="171">
        <v>100.10000000000001</v>
      </c>
      <c r="W2520" s="171">
        <v>115.01</v>
      </c>
      <c r="X2520" s="171">
        <v>91.37</v>
      </c>
      <c r="Y2520" s="171">
        <v>65.27</v>
      </c>
      <c r="Z2520" s="171">
        <v>51.97</v>
      </c>
      <c r="AA2520" s="171">
        <v>45.68</v>
      </c>
      <c r="AB2520" s="171">
        <v>35.76</v>
      </c>
      <c r="AC2520" s="171">
        <v>43.72</v>
      </c>
      <c r="AD2520" s="171">
        <v>83.91</v>
      </c>
      <c r="AF2520" s="171">
        <f t="shared" si="119"/>
        <v>2017</v>
      </c>
      <c r="AG2520" s="171">
        <f t="shared" si="120"/>
        <v>6</v>
      </c>
      <c r="AH2520" s="700">
        <f>SUMIF(D$3:$AA2520,"&lt;="&amp;$AH$1)/COUNTIF(D$3:$AA2520,"&lt;="&amp;$AH$1)</f>
        <v>31.313524098891801</v>
      </c>
    </row>
    <row r="2521" spans="2:34" x14ac:dyDescent="0.25">
      <c r="B2521" s="910">
        <v>42755</v>
      </c>
      <c r="C2521" s="581">
        <f t="shared" si="118"/>
        <v>1</v>
      </c>
      <c r="D2521" s="171">
        <v>58.07</v>
      </c>
      <c r="E2521" s="171">
        <v>37.6</v>
      </c>
      <c r="F2521" s="171">
        <v>38.270000000000003</v>
      </c>
      <c r="G2521" s="171">
        <v>37.520000000000003</v>
      </c>
      <c r="H2521" s="171">
        <v>36.6</v>
      </c>
      <c r="I2521" s="171">
        <v>37.67</v>
      </c>
      <c r="J2521" s="171">
        <v>38.730000000000004</v>
      </c>
      <c r="K2521" s="171">
        <v>49.35</v>
      </c>
      <c r="L2521" s="171">
        <v>51.300000000000004</v>
      </c>
      <c r="M2521" s="171">
        <v>70.600000000000009</v>
      </c>
      <c r="N2521" s="171">
        <v>98.77</v>
      </c>
      <c r="O2521" s="171">
        <v>79.989999999999995</v>
      </c>
      <c r="P2521" s="171">
        <v>86.710000000000008</v>
      </c>
      <c r="Q2521" s="171">
        <v>54.31</v>
      </c>
      <c r="R2521" s="171">
        <v>54.120000000000005</v>
      </c>
      <c r="S2521" s="171">
        <v>70.600000000000009</v>
      </c>
      <c r="T2521" s="171">
        <v>72.930000000000007</v>
      </c>
      <c r="U2521" s="171">
        <v>72.600000000000009</v>
      </c>
      <c r="V2521" s="171">
        <v>92.08</v>
      </c>
      <c r="W2521" s="171">
        <v>95.34</v>
      </c>
      <c r="X2521" s="171">
        <v>59.9</v>
      </c>
      <c r="Y2521" s="171">
        <v>46.04</v>
      </c>
      <c r="Z2521" s="171">
        <v>38.61</v>
      </c>
      <c r="AA2521" s="171">
        <v>41.17</v>
      </c>
      <c r="AB2521" s="171">
        <v>32.81</v>
      </c>
      <c r="AC2521" s="171">
        <v>40.47</v>
      </c>
      <c r="AD2521" s="171">
        <v>75.66</v>
      </c>
      <c r="AF2521" s="171">
        <f t="shared" si="119"/>
        <v>2017</v>
      </c>
      <c r="AG2521" s="171">
        <f t="shared" si="120"/>
        <v>8</v>
      </c>
      <c r="AH2521" s="700">
        <f>SUMIF(D$3:$AA2521,"&lt;="&amp;$AH$1)/COUNTIF(D$3:$AA2521,"&lt;="&amp;$AH$1)</f>
        <v>31.315840059914056</v>
      </c>
    </row>
    <row r="2522" spans="2:34" x14ac:dyDescent="0.25">
      <c r="B2522" s="910">
        <v>42758</v>
      </c>
      <c r="C2522" s="581">
        <f t="shared" si="118"/>
        <v>1</v>
      </c>
      <c r="D2522" s="171">
        <v>59.99</v>
      </c>
      <c r="E2522" s="171">
        <v>39.1</v>
      </c>
      <c r="F2522" s="171">
        <v>38.28</v>
      </c>
      <c r="G2522" s="171">
        <v>39.43</v>
      </c>
      <c r="H2522" s="171">
        <v>37.29</v>
      </c>
      <c r="I2522" s="171">
        <v>36.65</v>
      </c>
      <c r="J2522" s="171">
        <v>44.84</v>
      </c>
      <c r="K2522" s="171">
        <v>40.119999999999997</v>
      </c>
      <c r="L2522" s="171">
        <v>60</v>
      </c>
      <c r="M2522" s="171">
        <v>59.45</v>
      </c>
      <c r="N2522" s="171">
        <v>68.83</v>
      </c>
      <c r="O2522" s="171">
        <v>73.040000000000006</v>
      </c>
      <c r="P2522" s="171">
        <v>62.690000000000005</v>
      </c>
      <c r="Q2522" s="171">
        <v>64.3</v>
      </c>
      <c r="R2522" s="171">
        <v>61.76</v>
      </c>
      <c r="S2522" s="171">
        <v>66.08</v>
      </c>
      <c r="T2522" s="171">
        <v>65.61</v>
      </c>
      <c r="U2522" s="171">
        <v>69.94</v>
      </c>
      <c r="V2522" s="171">
        <v>109.98</v>
      </c>
      <c r="W2522" s="171">
        <v>124.44</v>
      </c>
      <c r="X2522" s="171">
        <v>89.67</v>
      </c>
      <c r="Y2522" s="171">
        <v>64.98</v>
      </c>
      <c r="Z2522" s="171">
        <v>40.090000000000003</v>
      </c>
      <c r="AA2522" s="171">
        <v>40.119999999999997</v>
      </c>
      <c r="AB2522" s="171">
        <v>43.08</v>
      </c>
      <c r="AC2522" s="171">
        <v>43.67</v>
      </c>
      <c r="AD2522" s="171">
        <v>76.320000000000007</v>
      </c>
      <c r="AF2522" s="171">
        <f t="shared" si="119"/>
        <v>2017</v>
      </c>
      <c r="AG2522" s="171">
        <f t="shared" si="120"/>
        <v>8</v>
      </c>
      <c r="AH2522" s="700">
        <f>SUMIF(D$3:$AA2522,"&lt;="&amp;$AH$1)/COUNTIF(D$3:$AA2522,"&lt;="&amp;$AH$1)</f>
        <v>31.318358705597475</v>
      </c>
    </row>
    <row r="2523" spans="2:34" x14ac:dyDescent="0.25">
      <c r="B2523" s="910">
        <v>42759</v>
      </c>
      <c r="C2523" s="581">
        <f t="shared" si="118"/>
        <v>1</v>
      </c>
      <c r="D2523" s="171">
        <v>85.59</v>
      </c>
      <c r="E2523" s="171">
        <v>35.130000000000003</v>
      </c>
      <c r="F2523" s="171">
        <v>38.5</v>
      </c>
      <c r="G2523" s="171">
        <v>36.880000000000003</v>
      </c>
      <c r="H2523" s="171">
        <v>42.44</v>
      </c>
      <c r="I2523" s="171">
        <v>35.99</v>
      </c>
      <c r="J2523" s="171">
        <v>36.880000000000003</v>
      </c>
      <c r="K2523" s="171">
        <v>49.800000000000004</v>
      </c>
      <c r="L2523" s="171">
        <v>66.53</v>
      </c>
      <c r="M2523" s="171">
        <v>113.05</v>
      </c>
      <c r="N2523" s="171">
        <v>144.4</v>
      </c>
      <c r="O2523" s="171">
        <v>151.07</v>
      </c>
      <c r="P2523" s="171">
        <v>135</v>
      </c>
      <c r="Q2523" s="171">
        <v>121.58</v>
      </c>
      <c r="R2523" s="171">
        <v>117.68</v>
      </c>
      <c r="S2523" s="171">
        <v>112.21000000000001</v>
      </c>
      <c r="T2523" s="171">
        <v>117.18</v>
      </c>
      <c r="U2523" s="171">
        <v>120</v>
      </c>
      <c r="V2523" s="171">
        <v>131.01</v>
      </c>
      <c r="W2523" s="171">
        <v>134.80000000000001</v>
      </c>
      <c r="X2523" s="171">
        <v>92.94</v>
      </c>
      <c r="Y2523" s="171">
        <v>73.5</v>
      </c>
      <c r="Z2523" s="171">
        <v>60.07</v>
      </c>
      <c r="AA2523" s="171">
        <v>48.75</v>
      </c>
      <c r="AB2523" s="171">
        <v>38.660000000000004</v>
      </c>
      <c r="AC2523" s="171">
        <v>46.93</v>
      </c>
      <c r="AD2523" s="171">
        <v>124.24000000000001</v>
      </c>
      <c r="AF2523" s="171">
        <f t="shared" si="119"/>
        <v>2017</v>
      </c>
      <c r="AG2523" s="171">
        <f t="shared" si="120"/>
        <v>6</v>
      </c>
      <c r="AH2523" s="700">
        <f>SUMIF(D$3:$AA2523,"&lt;="&amp;$AH$1)/COUNTIF(D$3:$AA2523,"&lt;="&amp;$AH$1)</f>
        <v>31.319935129739456</v>
      </c>
    </row>
    <row r="2524" spans="2:34" x14ac:dyDescent="0.25">
      <c r="B2524" s="910">
        <v>42760</v>
      </c>
      <c r="C2524" s="581">
        <f t="shared" si="118"/>
        <v>1</v>
      </c>
      <c r="D2524" s="171">
        <v>65.960000000000008</v>
      </c>
      <c r="E2524" s="171">
        <v>39</v>
      </c>
      <c r="F2524" s="171">
        <v>36.700000000000003</v>
      </c>
      <c r="G2524" s="171">
        <v>39.89</v>
      </c>
      <c r="H2524" s="171">
        <v>38.17</v>
      </c>
      <c r="I2524" s="171">
        <v>40.450000000000003</v>
      </c>
      <c r="J2524" s="171">
        <v>44.64</v>
      </c>
      <c r="K2524" s="171">
        <v>42.4</v>
      </c>
      <c r="L2524" s="171">
        <v>66.92</v>
      </c>
      <c r="M2524" s="171">
        <v>61.79</v>
      </c>
      <c r="N2524" s="171">
        <v>84.2</v>
      </c>
      <c r="O2524" s="171">
        <v>90.8</v>
      </c>
      <c r="P2524" s="171">
        <v>94.5</v>
      </c>
      <c r="Q2524" s="171">
        <v>74.900000000000006</v>
      </c>
      <c r="R2524" s="171">
        <v>64.3</v>
      </c>
      <c r="S2524" s="171">
        <v>64.2</v>
      </c>
      <c r="T2524" s="171">
        <v>74.3</v>
      </c>
      <c r="U2524" s="171">
        <v>118</v>
      </c>
      <c r="V2524" s="171">
        <v>122.9</v>
      </c>
      <c r="W2524" s="171">
        <v>105</v>
      </c>
      <c r="X2524" s="171">
        <v>78.75</v>
      </c>
      <c r="Y2524" s="171">
        <v>71.850000000000009</v>
      </c>
      <c r="Z2524" s="171">
        <v>47.29</v>
      </c>
      <c r="AA2524" s="171">
        <v>42.4</v>
      </c>
      <c r="AB2524" s="171">
        <v>39.800000000000004</v>
      </c>
      <c r="AC2524" s="171">
        <v>45.79</v>
      </c>
      <c r="AD2524" s="171">
        <v>86.14</v>
      </c>
      <c r="AF2524" s="171">
        <f t="shared" si="119"/>
        <v>2017</v>
      </c>
      <c r="AG2524" s="171">
        <f t="shared" si="120"/>
        <v>7</v>
      </c>
      <c r="AH2524" s="700">
        <f>SUMIF(D$3:$AA2524,"&lt;="&amp;$AH$1)/COUNTIF(D$3:$AA2524,"&lt;="&amp;$AH$1)</f>
        <v>31.3224198711276</v>
      </c>
    </row>
    <row r="2525" spans="2:34" x14ac:dyDescent="0.25">
      <c r="B2525" s="910">
        <v>42761</v>
      </c>
      <c r="C2525" s="581">
        <f t="shared" si="118"/>
        <v>1</v>
      </c>
      <c r="D2525" s="171">
        <v>51.27</v>
      </c>
      <c r="E2525" s="171">
        <v>43.85</v>
      </c>
      <c r="F2525" s="171">
        <v>42.06</v>
      </c>
      <c r="G2525" s="171">
        <v>40.020000000000003</v>
      </c>
      <c r="H2525" s="171">
        <v>37.92</v>
      </c>
      <c r="I2525" s="171">
        <v>38.49</v>
      </c>
      <c r="J2525" s="171">
        <v>41.410000000000004</v>
      </c>
      <c r="K2525" s="171">
        <v>44.71</v>
      </c>
      <c r="L2525" s="171">
        <v>59.03</v>
      </c>
      <c r="M2525" s="171">
        <v>60.46</v>
      </c>
      <c r="N2525" s="171">
        <v>68.44</v>
      </c>
      <c r="O2525" s="171">
        <v>69.95</v>
      </c>
      <c r="P2525" s="171">
        <v>60</v>
      </c>
      <c r="Q2525" s="171">
        <v>54.1</v>
      </c>
      <c r="R2525" s="171">
        <v>53.11</v>
      </c>
      <c r="S2525" s="171">
        <v>52.1</v>
      </c>
      <c r="T2525" s="171">
        <v>55.43</v>
      </c>
      <c r="U2525" s="171">
        <v>58.300000000000004</v>
      </c>
      <c r="V2525" s="171">
        <v>71.42</v>
      </c>
      <c r="W2525" s="171">
        <v>59.9</v>
      </c>
      <c r="X2525" s="171">
        <v>44.9</v>
      </c>
      <c r="Y2525" s="171">
        <v>45.87</v>
      </c>
      <c r="Z2525" s="171">
        <v>45.02</v>
      </c>
      <c r="AA2525" s="171">
        <v>45.1</v>
      </c>
      <c r="AB2525" s="171">
        <v>38.85</v>
      </c>
      <c r="AC2525" s="171">
        <v>43.53</v>
      </c>
      <c r="AD2525" s="171">
        <v>59.01</v>
      </c>
      <c r="AF2525" s="171">
        <f t="shared" si="119"/>
        <v>2017</v>
      </c>
      <c r="AG2525" s="171">
        <f t="shared" si="120"/>
        <v>5</v>
      </c>
      <c r="AH2525" s="700">
        <f>SUMIF(D$3:$AA2525,"&lt;="&amp;$AH$1)/COUNTIF(D$3:$AA2525,"&lt;="&amp;$AH$1)</f>
        <v>31.324219035742917</v>
      </c>
    </row>
    <row r="2526" spans="2:34" x14ac:dyDescent="0.25">
      <c r="B2526" s="910">
        <v>42762</v>
      </c>
      <c r="C2526" s="581">
        <f t="shared" si="118"/>
        <v>1</v>
      </c>
      <c r="D2526" s="171">
        <v>44.27</v>
      </c>
      <c r="E2526" s="171">
        <v>39.119999999999997</v>
      </c>
      <c r="F2526" s="171">
        <v>35</v>
      </c>
      <c r="G2526" s="171">
        <v>36.29</v>
      </c>
      <c r="H2526" s="171">
        <v>35.950000000000003</v>
      </c>
      <c r="I2526" s="171">
        <v>32.520000000000003</v>
      </c>
      <c r="J2526" s="171">
        <v>33.1</v>
      </c>
      <c r="K2526" s="171">
        <v>36.700000000000003</v>
      </c>
      <c r="L2526" s="171">
        <v>46.39</v>
      </c>
      <c r="M2526" s="171">
        <v>47.4</v>
      </c>
      <c r="N2526" s="171">
        <v>45.82</v>
      </c>
      <c r="O2526" s="171">
        <v>45.85</v>
      </c>
      <c r="P2526" s="171">
        <v>47.09</v>
      </c>
      <c r="Q2526" s="171">
        <v>44.92</v>
      </c>
      <c r="R2526" s="171">
        <v>45.18</v>
      </c>
      <c r="S2526" s="171">
        <v>49.300000000000004</v>
      </c>
      <c r="T2526" s="171">
        <v>53.67</v>
      </c>
      <c r="U2526" s="171">
        <v>55.83</v>
      </c>
      <c r="V2526" s="171">
        <v>63.93</v>
      </c>
      <c r="W2526" s="171">
        <v>52.9</v>
      </c>
      <c r="X2526" s="171">
        <v>50</v>
      </c>
      <c r="Y2526" s="171">
        <v>47.65</v>
      </c>
      <c r="Z2526" s="171">
        <v>39.9</v>
      </c>
      <c r="AA2526" s="171">
        <v>39.9</v>
      </c>
      <c r="AB2526" s="171">
        <v>38.03</v>
      </c>
      <c r="AC2526" s="171">
        <v>38.380000000000003</v>
      </c>
      <c r="AD2526" s="171">
        <v>50.160000000000004</v>
      </c>
      <c r="AF2526" s="171">
        <f t="shared" si="119"/>
        <v>2017</v>
      </c>
      <c r="AG2526" s="171">
        <f t="shared" si="120"/>
        <v>9</v>
      </c>
      <c r="AH2526" s="700">
        <f>SUMIF(D$3:$AA2526,"&lt;="&amp;$AH$1)/COUNTIF(D$3:$AA2526,"&lt;="&amp;$AH$1)</f>
        <v>31.3261535585182</v>
      </c>
    </row>
    <row r="2527" spans="2:34" x14ac:dyDescent="0.25">
      <c r="B2527" s="910">
        <v>42765</v>
      </c>
      <c r="C2527" s="581">
        <f t="shared" si="118"/>
        <v>1</v>
      </c>
      <c r="D2527" s="171">
        <v>50.9</v>
      </c>
      <c r="E2527" s="171">
        <v>36.51</v>
      </c>
      <c r="F2527" s="171">
        <v>36.49</v>
      </c>
      <c r="G2527" s="171">
        <v>36.36</v>
      </c>
      <c r="H2527" s="171">
        <v>36.050000000000004</v>
      </c>
      <c r="I2527" s="171">
        <v>35.11</v>
      </c>
      <c r="J2527" s="171">
        <v>35.72</v>
      </c>
      <c r="K2527" s="171">
        <v>45.45</v>
      </c>
      <c r="L2527" s="171">
        <v>49</v>
      </c>
      <c r="M2527" s="171">
        <v>60.65</v>
      </c>
      <c r="N2527" s="171">
        <v>65.02</v>
      </c>
      <c r="O2527" s="171">
        <v>68.77</v>
      </c>
      <c r="P2527" s="171">
        <v>69.91</v>
      </c>
      <c r="Q2527" s="171">
        <v>60.160000000000004</v>
      </c>
      <c r="R2527" s="171">
        <v>59.9</v>
      </c>
      <c r="S2527" s="171">
        <v>61.32</v>
      </c>
      <c r="T2527" s="171">
        <v>55.980000000000004</v>
      </c>
      <c r="U2527" s="171">
        <v>55.94</v>
      </c>
      <c r="V2527" s="171">
        <v>78.53</v>
      </c>
      <c r="W2527" s="171">
        <v>59.980000000000004</v>
      </c>
      <c r="X2527" s="171">
        <v>56</v>
      </c>
      <c r="Y2527" s="171">
        <v>42.4</v>
      </c>
      <c r="Z2527" s="171">
        <v>39.9</v>
      </c>
      <c r="AA2527" s="171">
        <v>39.9</v>
      </c>
      <c r="AB2527" s="171">
        <v>36.590000000000003</v>
      </c>
      <c r="AC2527" s="171">
        <v>39.119999999999997</v>
      </c>
      <c r="AD2527" s="171">
        <v>62.68</v>
      </c>
      <c r="AF2527" s="171">
        <f t="shared" si="119"/>
        <v>2017</v>
      </c>
      <c r="AG2527" s="171">
        <f t="shared" si="120"/>
        <v>9</v>
      </c>
      <c r="AH2527" s="700">
        <f>SUMIF(D$3:$AA2527,"&lt;="&amp;$AH$1)/COUNTIF(D$3:$AA2527,"&lt;="&amp;$AH$1)</f>
        <v>31.328500290720768</v>
      </c>
    </row>
    <row r="2528" spans="2:34" x14ac:dyDescent="0.25">
      <c r="B2528" s="910">
        <v>42766</v>
      </c>
      <c r="C2528" s="581">
        <f t="shared" si="118"/>
        <v>1</v>
      </c>
      <c r="D2528" s="171">
        <v>66.95</v>
      </c>
      <c r="E2528" s="171">
        <v>35.270000000000003</v>
      </c>
      <c r="F2528" s="171">
        <v>35.75</v>
      </c>
      <c r="G2528" s="171">
        <v>35.82</v>
      </c>
      <c r="H2528" s="171">
        <v>35</v>
      </c>
      <c r="I2528" s="171">
        <v>38.200000000000003</v>
      </c>
      <c r="J2528" s="171">
        <v>37.53</v>
      </c>
      <c r="K2528" s="171">
        <v>47.07</v>
      </c>
      <c r="L2528" s="171">
        <v>62.92</v>
      </c>
      <c r="M2528" s="171">
        <v>81.820000000000007</v>
      </c>
      <c r="N2528" s="171">
        <v>83.38</v>
      </c>
      <c r="O2528" s="171">
        <v>89.8</v>
      </c>
      <c r="P2528" s="171">
        <v>89.820000000000007</v>
      </c>
      <c r="Q2528" s="171">
        <v>82.36</v>
      </c>
      <c r="R2528" s="171">
        <v>82.02</v>
      </c>
      <c r="S2528" s="171">
        <v>90.36</v>
      </c>
      <c r="T2528" s="171">
        <v>89.75</v>
      </c>
      <c r="U2528" s="171">
        <v>90.2</v>
      </c>
      <c r="V2528" s="171">
        <v>95</v>
      </c>
      <c r="W2528" s="171">
        <v>104.33</v>
      </c>
      <c r="X2528" s="171">
        <v>90</v>
      </c>
      <c r="Y2528" s="171">
        <v>71.150000000000006</v>
      </c>
      <c r="Z2528" s="171">
        <v>56.9</v>
      </c>
      <c r="AA2528" s="171">
        <v>42.4</v>
      </c>
      <c r="AB2528" s="171">
        <v>39.9</v>
      </c>
      <c r="AC2528" s="171">
        <v>44.83</v>
      </c>
      <c r="AD2528" s="171">
        <v>89.070000000000007</v>
      </c>
      <c r="AF2528" s="171">
        <f t="shared" si="119"/>
        <v>2017</v>
      </c>
      <c r="AG2528" s="171">
        <f t="shared" si="120"/>
        <v>7</v>
      </c>
      <c r="AH2528" s="700">
        <f>SUMIF(D$3:$AA2528,"&lt;="&amp;$AH$1)/COUNTIF(D$3:$AA2528,"&lt;="&amp;$AH$1)</f>
        <v>31.330188914260933</v>
      </c>
    </row>
    <row r="2529" spans="2:34" x14ac:dyDescent="0.25">
      <c r="B2529" s="910">
        <v>42767</v>
      </c>
      <c r="C2529" s="581">
        <f t="shared" si="118"/>
        <v>2</v>
      </c>
      <c r="D2529" s="171">
        <v>49.83</v>
      </c>
      <c r="E2529" s="171">
        <v>39.619999999999997</v>
      </c>
      <c r="F2529" s="171">
        <v>36.4</v>
      </c>
      <c r="G2529" s="171">
        <v>35.800000000000004</v>
      </c>
      <c r="H2529" s="171">
        <v>36.4</v>
      </c>
      <c r="I2529" s="171">
        <v>36.4</v>
      </c>
      <c r="J2529" s="171">
        <v>37</v>
      </c>
      <c r="K2529" s="171">
        <v>42.4</v>
      </c>
      <c r="L2529" s="171">
        <v>60.410000000000004</v>
      </c>
      <c r="M2529" s="171">
        <v>72.850000000000009</v>
      </c>
      <c r="N2529" s="171">
        <v>65.89</v>
      </c>
      <c r="O2529" s="171">
        <v>65</v>
      </c>
      <c r="P2529" s="171">
        <v>62.89</v>
      </c>
      <c r="Q2529" s="171">
        <v>56.61</v>
      </c>
      <c r="R2529" s="171">
        <v>53.77</v>
      </c>
      <c r="S2529" s="171">
        <v>50.11</v>
      </c>
      <c r="T2529" s="171">
        <v>52.1</v>
      </c>
      <c r="U2529" s="171">
        <v>56.980000000000004</v>
      </c>
      <c r="V2529" s="171">
        <v>62.58</v>
      </c>
      <c r="W2529" s="171">
        <v>56.02</v>
      </c>
      <c r="X2529" s="171">
        <v>50.1</v>
      </c>
      <c r="Y2529" s="171">
        <v>41.050000000000004</v>
      </c>
      <c r="Z2529" s="171">
        <v>44.2</v>
      </c>
      <c r="AA2529" s="171">
        <v>43.24</v>
      </c>
      <c r="AB2529" s="171">
        <v>38.1</v>
      </c>
      <c r="AC2529" s="171">
        <v>40.92</v>
      </c>
      <c r="AD2529" s="171">
        <v>58.74</v>
      </c>
      <c r="AF2529" s="171">
        <f t="shared" si="119"/>
        <v>2017</v>
      </c>
      <c r="AG2529" s="171">
        <f t="shared" si="120"/>
        <v>8</v>
      </c>
      <c r="AH2529" s="700">
        <f>SUMIF(D$3:$AA2529,"&lt;="&amp;$AH$1)/COUNTIF(D$3:$AA2529,"&lt;="&amp;$AH$1)</f>
        <v>31.332448013944912</v>
      </c>
    </row>
    <row r="2530" spans="2:34" x14ac:dyDescent="0.25">
      <c r="B2530" s="910">
        <v>42768</v>
      </c>
      <c r="C2530" s="581">
        <f t="shared" si="118"/>
        <v>2</v>
      </c>
      <c r="D2530" s="171">
        <v>45.18</v>
      </c>
      <c r="E2530" s="171">
        <v>31.17</v>
      </c>
      <c r="F2530" s="171">
        <v>30.14</v>
      </c>
      <c r="G2530" s="171">
        <v>32.86</v>
      </c>
      <c r="H2530" s="171">
        <v>32.299999999999997</v>
      </c>
      <c r="I2530" s="171">
        <v>31.05</v>
      </c>
      <c r="J2530" s="171">
        <v>32.660000000000004</v>
      </c>
      <c r="K2530" s="171">
        <v>39.910000000000004</v>
      </c>
      <c r="L2530" s="171">
        <v>55.58</v>
      </c>
      <c r="M2530" s="171">
        <v>57.19</v>
      </c>
      <c r="N2530" s="171">
        <v>59.1</v>
      </c>
      <c r="O2530" s="171">
        <v>58.550000000000004</v>
      </c>
      <c r="P2530" s="171">
        <v>57.660000000000004</v>
      </c>
      <c r="Q2530" s="171">
        <v>57.660000000000004</v>
      </c>
      <c r="R2530" s="171">
        <v>54.44</v>
      </c>
      <c r="S2530" s="171">
        <v>50.9</v>
      </c>
      <c r="T2530" s="171">
        <v>47.1</v>
      </c>
      <c r="U2530" s="171">
        <v>45.980000000000004</v>
      </c>
      <c r="V2530" s="171">
        <v>48.800000000000004</v>
      </c>
      <c r="W2530" s="171">
        <v>53.65</v>
      </c>
      <c r="X2530" s="171">
        <v>50</v>
      </c>
      <c r="Y2530" s="171">
        <v>42.51</v>
      </c>
      <c r="Z2530" s="171">
        <v>39.04</v>
      </c>
      <c r="AA2530" s="171">
        <v>39.200000000000003</v>
      </c>
      <c r="AB2530" s="171">
        <v>36.770000000000003</v>
      </c>
      <c r="AC2530" s="171">
        <v>36.93</v>
      </c>
      <c r="AD2530" s="171">
        <v>53.42</v>
      </c>
      <c r="AF2530" s="171">
        <f t="shared" si="119"/>
        <v>2017</v>
      </c>
      <c r="AG2530" s="171">
        <f t="shared" si="120"/>
        <v>10</v>
      </c>
      <c r="AH2530" s="700">
        <f>SUMIF(D$3:$AA2530,"&lt;="&amp;$AH$1)/COUNTIF(D$3:$AA2530,"&lt;="&amp;$AH$1)</f>
        <v>31.334004480768989</v>
      </c>
    </row>
    <row r="2531" spans="2:34" x14ac:dyDescent="0.25">
      <c r="B2531" s="910">
        <v>42769</v>
      </c>
      <c r="C2531" s="581">
        <f t="shared" si="118"/>
        <v>2</v>
      </c>
      <c r="D2531" s="171">
        <v>45.410000000000004</v>
      </c>
      <c r="E2531" s="171">
        <v>37.04</v>
      </c>
      <c r="F2531" s="171">
        <v>34.96</v>
      </c>
      <c r="G2531" s="171">
        <v>34.01</v>
      </c>
      <c r="H2531" s="171">
        <v>31.93</v>
      </c>
      <c r="I2531" s="171">
        <v>31.89</v>
      </c>
      <c r="J2531" s="171">
        <v>32.090000000000003</v>
      </c>
      <c r="K2531" s="171">
        <v>33.82</v>
      </c>
      <c r="L2531" s="171">
        <v>37.04</v>
      </c>
      <c r="M2531" s="171">
        <v>42.32</v>
      </c>
      <c r="N2531" s="171">
        <v>49.58</v>
      </c>
      <c r="O2531" s="171">
        <v>51.97</v>
      </c>
      <c r="P2531" s="171">
        <v>50</v>
      </c>
      <c r="Q2531" s="171">
        <v>50</v>
      </c>
      <c r="R2531" s="171">
        <v>49.120000000000005</v>
      </c>
      <c r="S2531" s="171">
        <v>47.22</v>
      </c>
      <c r="T2531" s="171">
        <v>45.22</v>
      </c>
      <c r="U2531" s="171">
        <v>46.26</v>
      </c>
      <c r="V2531" s="171">
        <v>56.370000000000005</v>
      </c>
      <c r="W2531" s="171">
        <v>66.180000000000007</v>
      </c>
      <c r="X2531" s="171">
        <v>61.61</v>
      </c>
      <c r="Y2531" s="171">
        <v>55.49</v>
      </c>
      <c r="Z2531" s="171">
        <v>50</v>
      </c>
      <c r="AA2531" s="171">
        <v>50</v>
      </c>
      <c r="AB2531" s="171">
        <v>45.7</v>
      </c>
      <c r="AC2531" s="171">
        <v>40.340000000000003</v>
      </c>
      <c r="AD2531" s="171">
        <v>54.59</v>
      </c>
      <c r="AF2531" s="171">
        <f t="shared" si="119"/>
        <v>2017</v>
      </c>
      <c r="AG2531" s="171">
        <f t="shared" si="120"/>
        <v>9</v>
      </c>
      <c r="AH2531" s="700">
        <f>SUMIF(D$3:$AA2531,"&lt;="&amp;$AH$1)/COUNTIF(D$3:$AA2531,"&lt;="&amp;$AH$1)</f>
        <v>31.33537699070898</v>
      </c>
    </row>
    <row r="2532" spans="2:34" x14ac:dyDescent="0.25">
      <c r="B2532" s="910">
        <v>42772</v>
      </c>
      <c r="C2532" s="581">
        <f t="shared" si="118"/>
        <v>2</v>
      </c>
      <c r="D2532" s="171">
        <v>61.79</v>
      </c>
      <c r="E2532" s="171">
        <v>43.31</v>
      </c>
      <c r="F2532" s="171">
        <v>41.4</v>
      </c>
      <c r="G2532" s="171">
        <v>38.270000000000003</v>
      </c>
      <c r="H2532" s="171">
        <v>35.1</v>
      </c>
      <c r="I2532" s="171">
        <v>36.300000000000004</v>
      </c>
      <c r="J2532" s="171">
        <v>39.5</v>
      </c>
      <c r="K2532" s="171">
        <v>55.21</v>
      </c>
      <c r="L2532" s="171">
        <v>74.95</v>
      </c>
      <c r="M2532" s="171">
        <v>82.06</v>
      </c>
      <c r="N2532" s="171">
        <v>84.01</v>
      </c>
      <c r="O2532" s="171">
        <v>80.44</v>
      </c>
      <c r="P2532" s="171">
        <v>79.61</v>
      </c>
      <c r="Q2532" s="171">
        <v>80.37</v>
      </c>
      <c r="R2532" s="171">
        <v>77.75</v>
      </c>
      <c r="S2532" s="171">
        <v>72.930000000000007</v>
      </c>
      <c r="T2532" s="171">
        <v>69.5</v>
      </c>
      <c r="U2532" s="171">
        <v>67.040000000000006</v>
      </c>
      <c r="V2532" s="171">
        <v>69.94</v>
      </c>
      <c r="W2532" s="171">
        <v>86.37</v>
      </c>
      <c r="X2532" s="171">
        <v>77.290000000000006</v>
      </c>
      <c r="Y2532" s="171">
        <v>64.69</v>
      </c>
      <c r="Z2532" s="171">
        <v>44.63</v>
      </c>
      <c r="AA2532" s="171">
        <v>43.27</v>
      </c>
      <c r="AB2532" s="171">
        <v>38.93</v>
      </c>
      <c r="AC2532" s="171">
        <v>46.300000000000004</v>
      </c>
      <c r="AD2532" s="171">
        <v>77.28</v>
      </c>
      <c r="AF2532" s="171">
        <f t="shared" si="119"/>
        <v>2017</v>
      </c>
      <c r="AG2532" s="171">
        <f t="shared" si="120"/>
        <v>5</v>
      </c>
      <c r="AH2532" s="700">
        <f>SUMIF(D$3:$AA2532,"&lt;="&amp;$AH$1)/COUNTIF(D$3:$AA2532,"&lt;="&amp;$AH$1)</f>
        <v>31.336782352696233</v>
      </c>
    </row>
    <row r="2533" spans="2:34" x14ac:dyDescent="0.25">
      <c r="B2533" s="910">
        <v>42773</v>
      </c>
      <c r="C2533" s="581">
        <f t="shared" si="118"/>
        <v>2</v>
      </c>
      <c r="D2533" s="171">
        <v>53.79</v>
      </c>
      <c r="E2533" s="171">
        <v>42.01</v>
      </c>
      <c r="F2533" s="171">
        <v>40.4</v>
      </c>
      <c r="G2533" s="171">
        <v>39.01</v>
      </c>
      <c r="H2533" s="171">
        <v>37.78</v>
      </c>
      <c r="I2533" s="171">
        <v>38.03</v>
      </c>
      <c r="J2533" s="171">
        <v>38.090000000000003</v>
      </c>
      <c r="K2533" s="171">
        <v>45</v>
      </c>
      <c r="L2533" s="171">
        <v>64.900000000000006</v>
      </c>
      <c r="M2533" s="171">
        <v>63</v>
      </c>
      <c r="N2533" s="171">
        <v>62.92</v>
      </c>
      <c r="O2533" s="171">
        <v>65.540000000000006</v>
      </c>
      <c r="P2533" s="171">
        <v>66.8</v>
      </c>
      <c r="Q2533" s="171">
        <v>63.49</v>
      </c>
      <c r="R2533" s="171">
        <v>61.410000000000004</v>
      </c>
      <c r="S2533" s="171">
        <v>61.29</v>
      </c>
      <c r="T2533" s="171">
        <v>59.9</v>
      </c>
      <c r="U2533" s="171">
        <v>62.42</v>
      </c>
      <c r="V2533" s="171">
        <v>67.34</v>
      </c>
      <c r="W2533" s="171">
        <v>67.67</v>
      </c>
      <c r="X2533" s="171">
        <v>65.05</v>
      </c>
      <c r="Y2533" s="171">
        <v>46.44</v>
      </c>
      <c r="Z2533" s="171">
        <v>44.300000000000004</v>
      </c>
      <c r="AA2533" s="171">
        <v>46.480000000000004</v>
      </c>
      <c r="AB2533" s="171">
        <v>41.800000000000004</v>
      </c>
      <c r="AC2533" s="171">
        <v>43.69</v>
      </c>
      <c r="AD2533" s="171">
        <v>63.9</v>
      </c>
      <c r="AF2533" s="171">
        <f t="shared" si="119"/>
        <v>2017</v>
      </c>
      <c r="AG2533" s="171">
        <f t="shared" si="120"/>
        <v>6</v>
      </c>
      <c r="AH2533" s="700">
        <f>SUMIF(D$3:$AA2533,"&lt;="&amp;$AH$1)/COUNTIF(D$3:$AA2533,"&lt;="&amp;$AH$1)</f>
        <v>31.338743108235921</v>
      </c>
    </row>
    <row r="2534" spans="2:34" x14ac:dyDescent="0.25">
      <c r="B2534" s="910">
        <v>42774</v>
      </c>
      <c r="C2534" s="581">
        <f t="shared" si="118"/>
        <v>2</v>
      </c>
      <c r="D2534" s="171">
        <v>57.7</v>
      </c>
      <c r="E2534" s="171">
        <v>36.270000000000003</v>
      </c>
      <c r="F2534" s="171">
        <v>34.590000000000003</v>
      </c>
      <c r="G2534" s="171">
        <v>34.35</v>
      </c>
      <c r="H2534" s="171">
        <v>34.660000000000004</v>
      </c>
      <c r="I2534" s="171">
        <v>35.340000000000003</v>
      </c>
      <c r="J2534" s="171">
        <v>37</v>
      </c>
      <c r="K2534" s="171">
        <v>50.07</v>
      </c>
      <c r="L2534" s="171">
        <v>58.51</v>
      </c>
      <c r="M2534" s="171">
        <v>64.94</v>
      </c>
      <c r="N2534" s="171">
        <v>70.930000000000007</v>
      </c>
      <c r="O2534" s="171">
        <v>72.510000000000005</v>
      </c>
      <c r="P2534" s="171">
        <v>71.489999999999995</v>
      </c>
      <c r="Q2534" s="171">
        <v>70.34</v>
      </c>
      <c r="R2534" s="171">
        <v>66.94</v>
      </c>
      <c r="S2534" s="171">
        <v>65.69</v>
      </c>
      <c r="T2534" s="171">
        <v>60</v>
      </c>
      <c r="U2534" s="171">
        <v>65.680000000000007</v>
      </c>
      <c r="V2534" s="171">
        <v>73.850000000000009</v>
      </c>
      <c r="W2534" s="171">
        <v>88.18</v>
      </c>
      <c r="X2534" s="171">
        <v>84.04</v>
      </c>
      <c r="Y2534" s="171">
        <v>72.010000000000005</v>
      </c>
      <c r="Z2534" s="171">
        <v>50</v>
      </c>
      <c r="AA2534" s="171">
        <v>45</v>
      </c>
      <c r="AB2534" s="171">
        <v>42.4</v>
      </c>
      <c r="AC2534" s="171">
        <v>44.18</v>
      </c>
      <c r="AD2534" s="171">
        <v>71.22</v>
      </c>
      <c r="AF2534" s="171">
        <f t="shared" si="119"/>
        <v>2017</v>
      </c>
      <c r="AG2534" s="171">
        <f t="shared" si="120"/>
        <v>6</v>
      </c>
      <c r="AH2534" s="700">
        <f>SUMIF(D$3:$AA2534,"&lt;="&amp;$AH$1)/COUNTIF(D$3:$AA2534,"&lt;="&amp;$AH$1)</f>
        <v>31.339745119979074</v>
      </c>
    </row>
    <row r="2535" spans="2:34" x14ac:dyDescent="0.25">
      <c r="B2535" s="910">
        <v>42775</v>
      </c>
      <c r="C2535" s="581">
        <f t="shared" si="118"/>
        <v>2</v>
      </c>
      <c r="D2535" s="171">
        <v>55.02</v>
      </c>
      <c r="E2535" s="171">
        <v>42.4</v>
      </c>
      <c r="F2535" s="171">
        <v>47.28</v>
      </c>
      <c r="G2535" s="171">
        <v>42</v>
      </c>
      <c r="H2535" s="171">
        <v>38.700000000000003</v>
      </c>
      <c r="I2535" s="171">
        <v>38.700000000000003</v>
      </c>
      <c r="J2535" s="171">
        <v>39.9</v>
      </c>
      <c r="K2535" s="171">
        <v>40.5</v>
      </c>
      <c r="L2535" s="171">
        <v>62.09</v>
      </c>
      <c r="M2535" s="171">
        <v>60.44</v>
      </c>
      <c r="N2535" s="171">
        <v>72.790000000000006</v>
      </c>
      <c r="O2535" s="171">
        <v>70.97</v>
      </c>
      <c r="P2535" s="171">
        <v>68.97</v>
      </c>
      <c r="Q2535" s="171">
        <v>64.400000000000006</v>
      </c>
      <c r="R2535" s="171">
        <v>62.47</v>
      </c>
      <c r="S2535" s="171">
        <v>61.7</v>
      </c>
      <c r="T2535" s="171">
        <v>61.79</v>
      </c>
      <c r="U2535" s="171">
        <v>64.2</v>
      </c>
      <c r="V2535" s="171">
        <v>70.430000000000007</v>
      </c>
      <c r="W2535" s="171">
        <v>73.33</v>
      </c>
      <c r="X2535" s="171">
        <v>64.2</v>
      </c>
      <c r="Y2535" s="171">
        <v>49.47</v>
      </c>
      <c r="Z2535" s="171">
        <v>41.4</v>
      </c>
      <c r="AA2535" s="171">
        <v>44.11</v>
      </c>
      <c r="AB2535" s="171">
        <v>38.35</v>
      </c>
      <c r="AC2535" s="171">
        <v>43.74</v>
      </c>
      <c r="AD2535" s="171">
        <v>66.31</v>
      </c>
      <c r="AF2535" s="171">
        <f t="shared" si="119"/>
        <v>2017</v>
      </c>
      <c r="AG2535" s="171">
        <f t="shared" si="120"/>
        <v>7</v>
      </c>
      <c r="AH2535" s="700">
        <f>SUMIF(D$3:$AA2535,"&lt;="&amp;$AH$1)/COUNTIF(D$3:$AA2535,"&lt;="&amp;$AH$1)</f>
        <v>31.342405949617792</v>
      </c>
    </row>
    <row r="2536" spans="2:34" x14ac:dyDescent="0.25">
      <c r="B2536" s="910">
        <v>42776</v>
      </c>
      <c r="C2536" s="581">
        <f t="shared" si="118"/>
        <v>2</v>
      </c>
      <c r="D2536" s="171">
        <v>49.32</v>
      </c>
      <c r="E2536" s="171">
        <v>39.83</v>
      </c>
      <c r="F2536" s="171">
        <v>37.71</v>
      </c>
      <c r="G2536" s="171">
        <v>37</v>
      </c>
      <c r="H2536" s="171">
        <v>36.090000000000003</v>
      </c>
      <c r="I2536" s="171">
        <v>33.630000000000003</v>
      </c>
      <c r="J2536" s="171">
        <v>34.74</v>
      </c>
      <c r="K2536" s="171">
        <v>39.17</v>
      </c>
      <c r="L2536" s="171">
        <v>57</v>
      </c>
      <c r="M2536" s="171">
        <v>63.08</v>
      </c>
      <c r="N2536" s="171">
        <v>68.210000000000008</v>
      </c>
      <c r="O2536" s="171">
        <v>69.900000000000006</v>
      </c>
      <c r="P2536" s="171">
        <v>70.600000000000009</v>
      </c>
      <c r="Q2536" s="171">
        <v>59.9</v>
      </c>
      <c r="R2536" s="171">
        <v>62.300000000000004</v>
      </c>
      <c r="S2536" s="171">
        <v>52</v>
      </c>
      <c r="T2536" s="171">
        <v>52</v>
      </c>
      <c r="U2536" s="171">
        <v>52</v>
      </c>
      <c r="V2536" s="171">
        <v>56.99</v>
      </c>
      <c r="W2536" s="171">
        <v>54.27</v>
      </c>
      <c r="X2536" s="171">
        <v>46.37</v>
      </c>
      <c r="Y2536" s="171">
        <v>39.11</v>
      </c>
      <c r="Z2536" s="171">
        <v>37.08</v>
      </c>
      <c r="AA2536" s="171">
        <v>44.9</v>
      </c>
      <c r="AB2536" s="171">
        <v>39.9</v>
      </c>
      <c r="AC2536" s="171">
        <v>39.68</v>
      </c>
      <c r="AD2536" s="171">
        <v>58.97</v>
      </c>
      <c r="AF2536" s="171">
        <f t="shared" si="119"/>
        <v>2017</v>
      </c>
      <c r="AG2536" s="171">
        <f t="shared" si="120"/>
        <v>9</v>
      </c>
      <c r="AH2536" s="700">
        <f>SUMIF(D$3:$AA2536,"&lt;="&amp;$AH$1)/COUNTIF(D$3:$AA2536,"&lt;="&amp;$AH$1)</f>
        <v>31.344571132738658</v>
      </c>
    </row>
    <row r="2537" spans="2:34" x14ac:dyDescent="0.25">
      <c r="B2537" s="910">
        <v>42779</v>
      </c>
      <c r="C2537" s="581">
        <f t="shared" si="118"/>
        <v>2</v>
      </c>
      <c r="D2537" s="171">
        <v>40.480000000000004</v>
      </c>
      <c r="E2537" s="171">
        <v>29.89</v>
      </c>
      <c r="F2537" s="171">
        <v>29.68</v>
      </c>
      <c r="G2537" s="171">
        <v>31.38</v>
      </c>
      <c r="H2537" s="171">
        <v>29.85</v>
      </c>
      <c r="I2537" s="171">
        <v>30.76</v>
      </c>
      <c r="J2537" s="171">
        <v>33.01</v>
      </c>
      <c r="K2537" s="171">
        <v>40</v>
      </c>
      <c r="L2537" s="171">
        <v>56.980000000000004</v>
      </c>
      <c r="M2537" s="171">
        <v>58.95</v>
      </c>
      <c r="N2537" s="171">
        <v>57.9</v>
      </c>
      <c r="O2537" s="171">
        <v>50.58</v>
      </c>
      <c r="P2537" s="171">
        <v>38.83</v>
      </c>
      <c r="Q2537" s="171">
        <v>36</v>
      </c>
      <c r="R2537" s="171">
        <v>35.06</v>
      </c>
      <c r="S2537" s="171">
        <v>37.4</v>
      </c>
      <c r="T2537" s="171">
        <v>39.770000000000003</v>
      </c>
      <c r="U2537" s="171">
        <v>49.17</v>
      </c>
      <c r="V2537" s="171">
        <v>53.57</v>
      </c>
      <c r="W2537" s="171">
        <v>51</v>
      </c>
      <c r="X2537" s="171">
        <v>39.96</v>
      </c>
      <c r="Y2537" s="171">
        <v>35.81</v>
      </c>
      <c r="Z2537" s="171">
        <v>36.11</v>
      </c>
      <c r="AA2537" s="171">
        <v>37</v>
      </c>
      <c r="AB2537" s="171">
        <v>32.799999999999997</v>
      </c>
      <c r="AC2537" s="171">
        <v>35.270000000000003</v>
      </c>
      <c r="AD2537" s="171">
        <v>45.68</v>
      </c>
      <c r="AF2537" s="171">
        <f t="shared" si="119"/>
        <v>2017</v>
      </c>
      <c r="AG2537" s="171">
        <f t="shared" si="120"/>
        <v>17</v>
      </c>
      <c r="AH2537" s="700">
        <f>SUMIF(D$3:$AA2537,"&lt;="&amp;$AH$1)/COUNTIF(D$3:$AA2537,"&lt;="&amp;$AH$1)</f>
        <v>31.347390944457207</v>
      </c>
    </row>
    <row r="2538" spans="2:34" x14ac:dyDescent="0.25">
      <c r="B2538" s="910">
        <v>42780</v>
      </c>
      <c r="C2538" s="581">
        <f t="shared" si="118"/>
        <v>2</v>
      </c>
      <c r="D2538" s="171">
        <v>40.550000000000004</v>
      </c>
      <c r="E2538" s="171">
        <v>31.5</v>
      </c>
      <c r="F2538" s="171">
        <v>31.02</v>
      </c>
      <c r="G2538" s="171">
        <v>31.09</v>
      </c>
      <c r="H2538" s="171">
        <v>31.88</v>
      </c>
      <c r="I2538" s="171">
        <v>30</v>
      </c>
      <c r="J2538" s="171">
        <v>32.01</v>
      </c>
      <c r="K2538" s="171">
        <v>34.14</v>
      </c>
      <c r="L2538" s="171">
        <v>49.38</v>
      </c>
      <c r="M2538" s="171">
        <v>50.7</v>
      </c>
      <c r="N2538" s="171">
        <v>48.07</v>
      </c>
      <c r="O2538" s="171">
        <v>38.39</v>
      </c>
      <c r="P2538" s="171">
        <v>36.64</v>
      </c>
      <c r="Q2538" s="171">
        <v>35.86</v>
      </c>
      <c r="R2538" s="171">
        <v>37</v>
      </c>
      <c r="S2538" s="171">
        <v>36.300000000000004</v>
      </c>
      <c r="T2538" s="171">
        <v>43.84</v>
      </c>
      <c r="U2538" s="171">
        <v>54.24</v>
      </c>
      <c r="V2538" s="171">
        <v>61.03</v>
      </c>
      <c r="W2538" s="171">
        <v>60.1</v>
      </c>
      <c r="X2538" s="171">
        <v>50.7</v>
      </c>
      <c r="Y2538" s="171">
        <v>40</v>
      </c>
      <c r="Z2538" s="171">
        <v>37.660000000000004</v>
      </c>
      <c r="AA2538" s="171">
        <v>37.4</v>
      </c>
      <c r="AB2538" s="171">
        <v>34.200000000000003</v>
      </c>
      <c r="AC2538" s="171">
        <v>35.020000000000003</v>
      </c>
      <c r="AD2538" s="171">
        <v>46.07</v>
      </c>
      <c r="AF2538" s="171">
        <f t="shared" si="119"/>
        <v>2017</v>
      </c>
      <c r="AG2538" s="171">
        <f t="shared" si="120"/>
        <v>16</v>
      </c>
      <c r="AH2538" s="700">
        <f>SUMIF(D$3:$AA2538,"&lt;="&amp;$AH$1)/COUNTIF(D$3:$AA2538,"&lt;="&amp;$AH$1)</f>
        <v>31.349867648274266</v>
      </c>
    </row>
    <row r="2539" spans="2:34" x14ac:dyDescent="0.25">
      <c r="B2539" s="910">
        <v>42781</v>
      </c>
      <c r="C2539" s="581">
        <f t="shared" si="118"/>
        <v>2</v>
      </c>
      <c r="D2539" s="171">
        <v>44.36</v>
      </c>
      <c r="E2539" s="171">
        <v>33.17</v>
      </c>
      <c r="F2539" s="171">
        <v>35.200000000000003</v>
      </c>
      <c r="G2539" s="171">
        <v>35</v>
      </c>
      <c r="H2539" s="171">
        <v>35.72</v>
      </c>
      <c r="I2539" s="171">
        <v>36.51</v>
      </c>
      <c r="J2539" s="171">
        <v>37.869999999999997</v>
      </c>
      <c r="K2539" s="171">
        <v>42.77</v>
      </c>
      <c r="L2539" s="171">
        <v>59.21</v>
      </c>
      <c r="M2539" s="171">
        <v>62.89</v>
      </c>
      <c r="N2539" s="171">
        <v>60.76</v>
      </c>
      <c r="O2539" s="171">
        <v>55.03</v>
      </c>
      <c r="P2539" s="171">
        <v>35.1</v>
      </c>
      <c r="Q2539" s="171">
        <v>34.9</v>
      </c>
      <c r="R2539" s="171">
        <v>35.1</v>
      </c>
      <c r="S2539" s="171">
        <v>42.53</v>
      </c>
      <c r="T2539" s="171">
        <v>50.6</v>
      </c>
      <c r="U2539" s="171">
        <v>54.04</v>
      </c>
      <c r="V2539" s="171">
        <v>58.730000000000004</v>
      </c>
      <c r="W2539" s="171">
        <v>64.48</v>
      </c>
      <c r="X2539" s="171">
        <v>49.9</v>
      </c>
      <c r="Y2539" s="171">
        <v>45</v>
      </c>
      <c r="Z2539" s="171">
        <v>36</v>
      </c>
      <c r="AA2539" s="171">
        <v>33.53</v>
      </c>
      <c r="AB2539" s="171">
        <v>30.57</v>
      </c>
      <c r="AC2539" s="171">
        <v>38.380000000000003</v>
      </c>
      <c r="AD2539" s="171">
        <v>50.34</v>
      </c>
      <c r="AF2539" s="171">
        <f t="shared" si="119"/>
        <v>2017</v>
      </c>
      <c r="AG2539" s="171">
        <f t="shared" si="120"/>
        <v>12</v>
      </c>
      <c r="AH2539" s="700">
        <f>SUMIF(D$3:$AA2539,"&lt;="&amp;$AH$1)/COUNTIF(D$3:$AA2539,"&lt;="&amp;$AH$1)</f>
        <v>31.352117817278842</v>
      </c>
    </row>
    <row r="2540" spans="2:34" x14ac:dyDescent="0.25">
      <c r="B2540" s="910">
        <v>42782</v>
      </c>
      <c r="C2540" s="581">
        <f t="shared" si="118"/>
        <v>2</v>
      </c>
      <c r="D2540" s="171">
        <v>40.119999999999997</v>
      </c>
      <c r="E2540" s="171">
        <v>30.900000000000002</v>
      </c>
      <c r="F2540" s="171">
        <v>31</v>
      </c>
      <c r="G2540" s="171">
        <v>31.240000000000002</v>
      </c>
      <c r="H2540" s="171">
        <v>32</v>
      </c>
      <c r="I2540" s="171">
        <v>31.29</v>
      </c>
      <c r="J2540" s="171">
        <v>33.28</v>
      </c>
      <c r="K2540" s="171">
        <v>36.119999999999997</v>
      </c>
      <c r="L2540" s="171">
        <v>49.83</v>
      </c>
      <c r="M2540" s="171">
        <v>50.660000000000004</v>
      </c>
      <c r="N2540" s="171">
        <v>43.35</v>
      </c>
      <c r="O2540" s="171">
        <v>38.6</v>
      </c>
      <c r="P2540" s="171">
        <v>38.160000000000004</v>
      </c>
      <c r="Q2540" s="171">
        <v>38.82</v>
      </c>
      <c r="R2540" s="171">
        <v>37.6</v>
      </c>
      <c r="S2540" s="171">
        <v>37.4</v>
      </c>
      <c r="T2540" s="171">
        <v>43.26</v>
      </c>
      <c r="U2540" s="171">
        <v>50.71</v>
      </c>
      <c r="V2540" s="171">
        <v>53.120000000000005</v>
      </c>
      <c r="W2540" s="171">
        <v>54.59</v>
      </c>
      <c r="X2540" s="171">
        <v>50</v>
      </c>
      <c r="Y2540" s="171">
        <v>40.83</v>
      </c>
      <c r="Z2540" s="171">
        <v>38.950000000000003</v>
      </c>
      <c r="AA2540" s="171">
        <v>37.980000000000004</v>
      </c>
      <c r="AB2540" s="171">
        <v>33.299999999999997</v>
      </c>
      <c r="AC2540" s="171">
        <v>35.56</v>
      </c>
      <c r="AD2540" s="171">
        <v>44.69</v>
      </c>
      <c r="AF2540" s="171">
        <f t="shared" si="119"/>
        <v>2017</v>
      </c>
      <c r="AG2540" s="171">
        <f t="shared" si="120"/>
        <v>16</v>
      </c>
      <c r="AH2540" s="700">
        <f>SUMIF(D$3:$AA2540,"&lt;="&amp;$AH$1)/COUNTIF(D$3:$AA2540,"&lt;="&amp;$AH$1)</f>
        <v>31.355119391885282</v>
      </c>
    </row>
    <row r="2541" spans="2:34" x14ac:dyDescent="0.25">
      <c r="B2541" s="910">
        <v>42783</v>
      </c>
      <c r="C2541" s="581">
        <f t="shared" ref="C2541:C2604" si="121">MONTH(B2541)</f>
        <v>2</v>
      </c>
      <c r="D2541" s="171">
        <v>41.94</v>
      </c>
      <c r="E2541" s="171">
        <v>32.520000000000003</v>
      </c>
      <c r="F2541" s="171">
        <v>31.69</v>
      </c>
      <c r="G2541" s="171">
        <v>31.13</v>
      </c>
      <c r="H2541" s="171">
        <v>31.35</v>
      </c>
      <c r="I2541" s="171">
        <v>31.69</v>
      </c>
      <c r="J2541" s="171">
        <v>32.5</v>
      </c>
      <c r="K2541" s="171">
        <v>35.43</v>
      </c>
      <c r="L2541" s="171">
        <v>47.95</v>
      </c>
      <c r="M2541" s="171">
        <v>43.81</v>
      </c>
      <c r="N2541" s="171">
        <v>42.910000000000004</v>
      </c>
      <c r="O2541" s="171">
        <v>45</v>
      </c>
      <c r="P2541" s="171">
        <v>50.19</v>
      </c>
      <c r="Q2541" s="171">
        <v>41.7</v>
      </c>
      <c r="R2541" s="171">
        <v>40.82</v>
      </c>
      <c r="S2541" s="171">
        <v>43.42</v>
      </c>
      <c r="T2541" s="171">
        <v>48.53</v>
      </c>
      <c r="U2541" s="171">
        <v>48.81</v>
      </c>
      <c r="V2541" s="171">
        <v>51.730000000000004</v>
      </c>
      <c r="W2541" s="171">
        <v>55.1</v>
      </c>
      <c r="X2541" s="171">
        <v>53.49</v>
      </c>
      <c r="Y2541" s="171">
        <v>49.9</v>
      </c>
      <c r="Z2541" s="171">
        <v>38.619999999999997</v>
      </c>
      <c r="AA2541" s="171">
        <v>41.300000000000004</v>
      </c>
      <c r="AB2541" s="171">
        <v>37</v>
      </c>
      <c r="AC2541" s="171">
        <v>36.76</v>
      </c>
      <c r="AD2541" s="171">
        <v>47.13</v>
      </c>
      <c r="AF2541" s="171">
        <f t="shared" si="119"/>
        <v>2017</v>
      </c>
      <c r="AG2541" s="171">
        <f t="shared" si="120"/>
        <v>12</v>
      </c>
      <c r="AH2541" s="700">
        <f>SUMIF(D$3:$AA2541,"&lt;="&amp;$AH$1)/COUNTIF(D$3:$AA2541,"&lt;="&amp;$AH$1)</f>
        <v>31.357366834584809</v>
      </c>
    </row>
    <row r="2542" spans="2:34" x14ac:dyDescent="0.25">
      <c r="B2542" s="910">
        <v>42786</v>
      </c>
      <c r="C2542" s="581">
        <f t="shared" si="121"/>
        <v>2</v>
      </c>
      <c r="D2542" s="171">
        <v>38.380000000000003</v>
      </c>
      <c r="E2542" s="171">
        <v>30.75</v>
      </c>
      <c r="F2542" s="171">
        <v>28.740000000000002</v>
      </c>
      <c r="G2542" s="171">
        <v>30.77</v>
      </c>
      <c r="H2542" s="171">
        <v>30.69</v>
      </c>
      <c r="I2542" s="171">
        <v>30.64</v>
      </c>
      <c r="J2542" s="171">
        <v>30.560000000000002</v>
      </c>
      <c r="K2542" s="171">
        <v>38.49</v>
      </c>
      <c r="L2542" s="171">
        <v>48.7</v>
      </c>
      <c r="M2542" s="171">
        <v>45.82</v>
      </c>
      <c r="N2542" s="171">
        <v>45</v>
      </c>
      <c r="O2542" s="171">
        <v>44.9</v>
      </c>
      <c r="P2542" s="171">
        <v>54.85</v>
      </c>
      <c r="Q2542" s="171">
        <v>48.7</v>
      </c>
      <c r="R2542" s="171">
        <v>48.7</v>
      </c>
      <c r="S2542" s="171">
        <v>38.200000000000003</v>
      </c>
      <c r="T2542" s="171">
        <v>38</v>
      </c>
      <c r="U2542" s="171">
        <v>37.1</v>
      </c>
      <c r="V2542" s="171">
        <v>38</v>
      </c>
      <c r="W2542" s="171">
        <v>37.94</v>
      </c>
      <c r="X2542" s="171">
        <v>38</v>
      </c>
      <c r="Y2542" s="171">
        <v>38</v>
      </c>
      <c r="Z2542" s="171">
        <v>35.9</v>
      </c>
      <c r="AA2542" s="171">
        <v>31.55</v>
      </c>
      <c r="AB2542" s="171">
        <v>31</v>
      </c>
      <c r="AC2542" s="171">
        <v>33.82</v>
      </c>
      <c r="AD2542" s="171">
        <v>42.93</v>
      </c>
      <c r="AF2542" s="171">
        <f t="shared" si="119"/>
        <v>2017</v>
      </c>
      <c r="AG2542" s="171">
        <f t="shared" si="120"/>
        <v>17</v>
      </c>
      <c r="AH2542" s="700">
        <f>SUMIF(D$3:$AA2542,"&lt;="&amp;$AH$1)/COUNTIF(D$3:$AA2542,"&lt;="&amp;$AH$1)</f>
        <v>31.35978625954095</v>
      </c>
    </row>
    <row r="2543" spans="2:34" x14ac:dyDescent="0.25">
      <c r="B2543" s="910">
        <v>42787</v>
      </c>
      <c r="C2543" s="581">
        <f t="shared" si="121"/>
        <v>2</v>
      </c>
      <c r="D2543" s="171">
        <v>38.58</v>
      </c>
      <c r="E2543" s="171">
        <v>30.27</v>
      </c>
      <c r="F2543" s="171">
        <v>29.7</v>
      </c>
      <c r="G2543" s="171">
        <v>29.7</v>
      </c>
      <c r="H2543" s="171">
        <v>27.64</v>
      </c>
      <c r="I2543" s="171">
        <v>26.89</v>
      </c>
      <c r="J2543" s="171">
        <v>31.5</v>
      </c>
      <c r="K2543" s="171">
        <v>38.200000000000003</v>
      </c>
      <c r="L2543" s="171">
        <v>38.96</v>
      </c>
      <c r="M2543" s="171">
        <v>48.2</v>
      </c>
      <c r="N2543" s="171">
        <v>39.9</v>
      </c>
      <c r="O2543" s="171">
        <v>48.2</v>
      </c>
      <c r="P2543" s="171">
        <v>42.4</v>
      </c>
      <c r="Q2543" s="171">
        <v>39.9</v>
      </c>
      <c r="R2543" s="171">
        <v>39.9</v>
      </c>
      <c r="S2543" s="171">
        <v>38.200000000000003</v>
      </c>
      <c r="T2543" s="171">
        <v>42.4</v>
      </c>
      <c r="U2543" s="171">
        <v>40.82</v>
      </c>
      <c r="V2543" s="171">
        <v>39.9</v>
      </c>
      <c r="W2543" s="171">
        <v>57.42</v>
      </c>
      <c r="X2543" s="171">
        <v>45.800000000000004</v>
      </c>
      <c r="Y2543" s="171">
        <v>45.800000000000004</v>
      </c>
      <c r="Z2543" s="171">
        <v>40</v>
      </c>
      <c r="AA2543" s="171">
        <v>34.25</v>
      </c>
      <c r="AB2543" s="171">
        <v>30.03</v>
      </c>
      <c r="AC2543" s="171">
        <v>33.58</v>
      </c>
      <c r="AD2543" s="171">
        <v>43.59</v>
      </c>
      <c r="AF2543" s="171">
        <f t="shared" si="119"/>
        <v>2017</v>
      </c>
      <c r="AG2543" s="171">
        <f t="shared" si="120"/>
        <v>19</v>
      </c>
      <c r="AH2543" s="700">
        <f>SUMIF(D$3:$AA2543,"&lt;="&amp;$AH$1)/COUNTIF(D$3:$AA2543,"&lt;="&amp;$AH$1)</f>
        <v>31.363631978229353</v>
      </c>
    </row>
    <row r="2544" spans="2:34" x14ac:dyDescent="0.25">
      <c r="B2544" s="910">
        <v>42788</v>
      </c>
      <c r="C2544" s="581">
        <f t="shared" si="121"/>
        <v>2</v>
      </c>
      <c r="D2544" s="171">
        <v>37.300000000000004</v>
      </c>
      <c r="E2544" s="171">
        <v>28.39</v>
      </c>
      <c r="F2544" s="171">
        <v>11.42</v>
      </c>
      <c r="G2544" s="171">
        <v>29.12</v>
      </c>
      <c r="H2544" s="171">
        <v>27.35</v>
      </c>
      <c r="I2544" s="171">
        <v>27.26</v>
      </c>
      <c r="J2544" s="171">
        <v>27.57</v>
      </c>
      <c r="K2544" s="171">
        <v>30.400000000000002</v>
      </c>
      <c r="L2544" s="171">
        <v>31.86</v>
      </c>
      <c r="M2544" s="171">
        <v>38.1</v>
      </c>
      <c r="N2544" s="171">
        <v>43</v>
      </c>
      <c r="O2544" s="171">
        <v>43</v>
      </c>
      <c r="P2544" s="171">
        <v>43</v>
      </c>
      <c r="Q2544" s="171">
        <v>48.1</v>
      </c>
      <c r="R2544" s="171">
        <v>48</v>
      </c>
      <c r="S2544" s="171">
        <v>46.9</v>
      </c>
      <c r="T2544" s="171">
        <v>46.01</v>
      </c>
      <c r="U2544" s="171">
        <v>43.800000000000004</v>
      </c>
      <c r="V2544" s="171">
        <v>44.94</v>
      </c>
      <c r="W2544" s="171">
        <v>46.44</v>
      </c>
      <c r="X2544" s="171">
        <v>45.01</v>
      </c>
      <c r="Y2544" s="171">
        <v>38.1</v>
      </c>
      <c r="Z2544" s="171">
        <v>37.6</v>
      </c>
      <c r="AA2544" s="171">
        <v>37.4</v>
      </c>
      <c r="AB2544" s="171">
        <v>32.5</v>
      </c>
      <c r="AC2544" s="171">
        <v>29.91</v>
      </c>
      <c r="AD2544" s="171">
        <v>44.69</v>
      </c>
      <c r="AF2544" s="171">
        <f t="shared" si="119"/>
        <v>2017</v>
      </c>
      <c r="AG2544" s="171">
        <f t="shared" si="120"/>
        <v>13</v>
      </c>
      <c r="AH2544" s="700">
        <f>SUMIF(D$3:$AA2544,"&lt;="&amp;$AH$1)/COUNTIF(D$3:$AA2544,"&lt;="&amp;$AH$1)</f>
        <v>31.363390612765269</v>
      </c>
    </row>
    <row r="2545" spans="2:34" x14ac:dyDescent="0.25">
      <c r="B2545" s="910">
        <v>42789</v>
      </c>
      <c r="C2545" s="581">
        <f t="shared" si="121"/>
        <v>2</v>
      </c>
      <c r="D2545" s="171">
        <v>35.97</v>
      </c>
      <c r="E2545" s="171">
        <v>31</v>
      </c>
      <c r="F2545" s="171">
        <v>30.73</v>
      </c>
      <c r="G2545" s="171">
        <v>28.490000000000002</v>
      </c>
      <c r="H2545" s="171">
        <v>30</v>
      </c>
      <c r="I2545" s="171">
        <v>32.64</v>
      </c>
      <c r="J2545" s="171">
        <v>25.53</v>
      </c>
      <c r="K2545" s="171">
        <v>35</v>
      </c>
      <c r="L2545" s="171">
        <v>46.01</v>
      </c>
      <c r="M2545" s="171">
        <v>48.300000000000004</v>
      </c>
      <c r="N2545" s="171">
        <v>46.410000000000004</v>
      </c>
      <c r="O2545" s="171">
        <v>43.36</v>
      </c>
      <c r="P2545" s="171">
        <v>40.61</v>
      </c>
      <c r="Q2545" s="171">
        <v>32.910000000000004</v>
      </c>
      <c r="R2545" s="171">
        <v>35</v>
      </c>
      <c r="S2545" s="171">
        <v>35</v>
      </c>
      <c r="T2545" s="171">
        <v>34.9</v>
      </c>
      <c r="U2545" s="171">
        <v>35</v>
      </c>
      <c r="V2545" s="171">
        <v>37.64</v>
      </c>
      <c r="W2545" s="171">
        <v>40</v>
      </c>
      <c r="X2545" s="171">
        <v>39</v>
      </c>
      <c r="Y2545" s="171">
        <v>40</v>
      </c>
      <c r="Z2545" s="171">
        <v>35</v>
      </c>
      <c r="AA2545" s="171">
        <v>30.75</v>
      </c>
      <c r="AB2545" s="171">
        <v>29.900000000000002</v>
      </c>
      <c r="AC2545" s="171">
        <v>32.92</v>
      </c>
      <c r="AD2545" s="171">
        <v>39.01</v>
      </c>
      <c r="AF2545" s="171">
        <f t="shared" si="119"/>
        <v>2017</v>
      </c>
      <c r="AG2545" s="171">
        <f t="shared" si="120"/>
        <v>20</v>
      </c>
      <c r="AH2545" s="700">
        <f>SUMIF(D$3:$AA2545,"&lt;="&amp;$AH$1)/COUNTIF(D$3:$AA2545,"&lt;="&amp;$AH$1)</f>
        <v>31.365774694279853</v>
      </c>
    </row>
    <row r="2546" spans="2:34" x14ac:dyDescent="0.25">
      <c r="B2546" s="910">
        <v>42790</v>
      </c>
      <c r="C2546" s="581">
        <f t="shared" si="121"/>
        <v>2</v>
      </c>
      <c r="D2546" s="171">
        <v>39.29</v>
      </c>
      <c r="E2546" s="171">
        <v>30.07</v>
      </c>
      <c r="F2546" s="171">
        <v>30</v>
      </c>
      <c r="G2546" s="171">
        <v>29</v>
      </c>
      <c r="H2546" s="171">
        <v>29.900000000000002</v>
      </c>
      <c r="I2546" s="171">
        <v>30</v>
      </c>
      <c r="J2546" s="171">
        <v>29.87</v>
      </c>
      <c r="K2546" s="171">
        <v>32.980000000000004</v>
      </c>
      <c r="L2546" s="171">
        <v>40</v>
      </c>
      <c r="M2546" s="171">
        <v>47.24</v>
      </c>
      <c r="N2546" s="171">
        <v>39.99</v>
      </c>
      <c r="O2546" s="171">
        <v>39.619999999999997</v>
      </c>
      <c r="P2546" s="171">
        <v>39.39</v>
      </c>
      <c r="Q2546" s="171">
        <v>36.700000000000003</v>
      </c>
      <c r="R2546" s="171">
        <v>36.4</v>
      </c>
      <c r="S2546" s="171">
        <v>35</v>
      </c>
      <c r="T2546" s="171">
        <v>34.9</v>
      </c>
      <c r="U2546" s="171">
        <v>44.92</v>
      </c>
      <c r="V2546" s="171">
        <v>50.1</v>
      </c>
      <c r="W2546" s="171">
        <v>57.52</v>
      </c>
      <c r="X2546" s="171">
        <v>58.19</v>
      </c>
      <c r="Y2546" s="171">
        <v>53.42</v>
      </c>
      <c r="Z2546" s="171">
        <v>38.06</v>
      </c>
      <c r="AA2546" s="171">
        <v>39.68</v>
      </c>
      <c r="AB2546" s="171">
        <v>39.9</v>
      </c>
      <c r="AC2546" s="171">
        <v>35.24</v>
      </c>
      <c r="AD2546" s="171">
        <v>43.33</v>
      </c>
      <c r="AF2546" s="171">
        <f t="shared" si="119"/>
        <v>2017</v>
      </c>
      <c r="AG2546" s="171">
        <f t="shared" si="120"/>
        <v>18</v>
      </c>
      <c r="AH2546" s="700">
        <f>SUMIF(D$3:$AA2546,"&lt;="&amp;$AH$1)/COUNTIF(D$3:$AA2546,"&lt;="&amp;$AH$1)</f>
        <v>31.368501131453399</v>
      </c>
    </row>
    <row r="2547" spans="2:34" x14ac:dyDescent="0.25">
      <c r="B2547" s="910">
        <v>42793</v>
      </c>
      <c r="C2547" s="581">
        <f t="shared" si="121"/>
        <v>2</v>
      </c>
      <c r="D2547" s="171">
        <v>37.700000000000003</v>
      </c>
      <c r="E2547" s="171">
        <v>29.900000000000002</v>
      </c>
      <c r="F2547" s="171">
        <v>30</v>
      </c>
      <c r="G2547" s="171">
        <v>29.900000000000002</v>
      </c>
      <c r="H2547" s="171">
        <v>28.51</v>
      </c>
      <c r="I2547" s="171">
        <v>24</v>
      </c>
      <c r="J2547" s="171">
        <v>30.11</v>
      </c>
      <c r="K2547" s="171">
        <v>38.660000000000004</v>
      </c>
      <c r="L2547" s="171">
        <v>47.29</v>
      </c>
      <c r="M2547" s="171">
        <v>47.52</v>
      </c>
      <c r="N2547" s="171">
        <v>46.44</v>
      </c>
      <c r="O2547" s="171">
        <v>50.49</v>
      </c>
      <c r="P2547" s="171">
        <v>50</v>
      </c>
      <c r="Q2547" s="171">
        <v>37.47</v>
      </c>
      <c r="R2547" s="171">
        <v>40.71</v>
      </c>
      <c r="S2547" s="171">
        <v>38.480000000000004</v>
      </c>
      <c r="T2547" s="171">
        <v>36.450000000000003</v>
      </c>
      <c r="U2547" s="171">
        <v>36.97</v>
      </c>
      <c r="V2547" s="171">
        <v>37.25</v>
      </c>
      <c r="W2547" s="171">
        <v>42.980000000000004</v>
      </c>
      <c r="X2547" s="171">
        <v>40</v>
      </c>
      <c r="Y2547" s="171">
        <v>37.4</v>
      </c>
      <c r="Z2547" s="171">
        <v>34.9</v>
      </c>
      <c r="AA2547" s="171">
        <v>37.200000000000003</v>
      </c>
      <c r="AB2547" s="171">
        <v>32.1</v>
      </c>
      <c r="AC2547" s="171">
        <v>33.33</v>
      </c>
      <c r="AD2547" s="171">
        <v>42.06</v>
      </c>
      <c r="AF2547" s="171">
        <f t="shared" si="119"/>
        <v>2017</v>
      </c>
      <c r="AG2547" s="171">
        <f t="shared" si="120"/>
        <v>18</v>
      </c>
      <c r="AH2547" s="700">
        <f>SUMIF(D$3:$AA2547,"&lt;="&amp;$AH$1)/COUNTIF(D$3:$AA2547,"&lt;="&amp;$AH$1)</f>
        <v>31.371008099328815</v>
      </c>
    </row>
    <row r="2548" spans="2:34" x14ac:dyDescent="0.25">
      <c r="B2548" s="910">
        <v>42794</v>
      </c>
      <c r="C2548" s="581">
        <f t="shared" si="121"/>
        <v>2</v>
      </c>
      <c r="D2548" s="171">
        <v>35.99</v>
      </c>
      <c r="E2548" s="171">
        <v>30.900000000000002</v>
      </c>
      <c r="F2548" s="171">
        <v>28.25</v>
      </c>
      <c r="G2548" s="171">
        <v>28.34</v>
      </c>
      <c r="H2548" s="171">
        <v>27.76</v>
      </c>
      <c r="I2548" s="171">
        <v>26</v>
      </c>
      <c r="J2548" s="171">
        <v>25.12</v>
      </c>
      <c r="K2548" s="171">
        <v>34</v>
      </c>
      <c r="L2548" s="171">
        <v>34</v>
      </c>
      <c r="M2548" s="171">
        <v>35.6</v>
      </c>
      <c r="N2548" s="171">
        <v>37.200000000000003</v>
      </c>
      <c r="O2548" s="171">
        <v>37.200000000000003</v>
      </c>
      <c r="P2548" s="171">
        <v>39.9</v>
      </c>
      <c r="Q2548" s="171">
        <v>37.160000000000004</v>
      </c>
      <c r="R2548" s="171">
        <v>39.800000000000004</v>
      </c>
      <c r="S2548" s="171">
        <v>39.86</v>
      </c>
      <c r="T2548" s="171">
        <v>39.17</v>
      </c>
      <c r="U2548" s="171">
        <v>39.520000000000003</v>
      </c>
      <c r="V2548" s="171">
        <v>40.130000000000003</v>
      </c>
      <c r="W2548" s="171">
        <v>49.2</v>
      </c>
      <c r="X2548" s="171">
        <v>53.120000000000005</v>
      </c>
      <c r="Y2548" s="171">
        <v>39.11</v>
      </c>
      <c r="Z2548" s="171">
        <v>38.78</v>
      </c>
      <c r="AA2548" s="171">
        <v>31.400000000000002</v>
      </c>
      <c r="AB2548" s="171">
        <v>32.200000000000003</v>
      </c>
      <c r="AC2548" s="171">
        <v>31.32</v>
      </c>
      <c r="AD2548" s="171">
        <v>40.65</v>
      </c>
      <c r="AF2548" s="171">
        <f t="shared" si="119"/>
        <v>2017</v>
      </c>
      <c r="AG2548" s="171">
        <f t="shared" si="120"/>
        <v>22</v>
      </c>
      <c r="AH2548" s="700">
        <f>SUMIF(D$3:$AA2548,"&lt;="&amp;$AH$1)/COUNTIF(D$3:$AA2548,"&lt;="&amp;$AH$1)</f>
        <v>31.374089956868961</v>
      </c>
    </row>
    <row r="2549" spans="2:34" x14ac:dyDescent="0.25">
      <c r="B2549" s="910">
        <v>42795</v>
      </c>
      <c r="C2549" s="581">
        <f t="shared" si="121"/>
        <v>3</v>
      </c>
      <c r="D2549" s="171">
        <v>37.36</v>
      </c>
      <c r="E2549" s="171">
        <v>36</v>
      </c>
      <c r="F2549" s="171">
        <v>31.34</v>
      </c>
      <c r="G2549" s="171">
        <v>30</v>
      </c>
      <c r="H2549" s="171">
        <v>30.63</v>
      </c>
      <c r="I2549" s="171">
        <v>29.900000000000002</v>
      </c>
      <c r="J2549" s="171">
        <v>29.98</v>
      </c>
      <c r="K2549" s="171">
        <v>32.4</v>
      </c>
      <c r="L2549" s="171">
        <v>41.96</v>
      </c>
      <c r="M2549" s="171">
        <v>42.08</v>
      </c>
      <c r="N2549" s="171">
        <v>41.71</v>
      </c>
      <c r="O2549" s="171">
        <v>39.9</v>
      </c>
      <c r="P2549" s="171">
        <v>37.4</v>
      </c>
      <c r="Q2549" s="171">
        <v>35.1</v>
      </c>
      <c r="R2549" s="171">
        <v>35</v>
      </c>
      <c r="S2549" s="171">
        <v>35.1</v>
      </c>
      <c r="T2549" s="171">
        <v>36.6</v>
      </c>
      <c r="U2549" s="171">
        <v>40</v>
      </c>
      <c r="V2549" s="171">
        <v>46.82</v>
      </c>
      <c r="W2549" s="171">
        <v>51.99</v>
      </c>
      <c r="X2549" s="171">
        <v>49.68</v>
      </c>
      <c r="Y2549" s="171">
        <v>39.93</v>
      </c>
      <c r="Z2549" s="171">
        <v>34.9</v>
      </c>
      <c r="AA2549" s="171">
        <v>35.619999999999997</v>
      </c>
      <c r="AB2549" s="171">
        <v>32.549999999999997</v>
      </c>
      <c r="AC2549" s="171">
        <v>33.770000000000003</v>
      </c>
      <c r="AD2549" s="171">
        <v>40.950000000000003</v>
      </c>
      <c r="AF2549" s="171">
        <f t="shared" si="119"/>
        <v>2017</v>
      </c>
      <c r="AG2549" s="171">
        <f t="shared" si="120"/>
        <v>21</v>
      </c>
      <c r="AH2549" s="700">
        <f>SUMIF(D$3:$AA2549,"&lt;="&amp;$AH$1)/COUNTIF(D$3:$AA2549,"&lt;="&amp;$AH$1)</f>
        <v>31.377950012311203</v>
      </c>
    </row>
    <row r="2550" spans="2:34" x14ac:dyDescent="0.25">
      <c r="B2550" s="910">
        <v>42796</v>
      </c>
      <c r="C2550" s="581">
        <f t="shared" si="121"/>
        <v>3</v>
      </c>
      <c r="D2550" s="171">
        <v>34.47</v>
      </c>
      <c r="E2550" s="171">
        <v>29.73</v>
      </c>
      <c r="F2550" s="171">
        <v>31.2</v>
      </c>
      <c r="G2550" s="171">
        <v>25.990000000000002</v>
      </c>
      <c r="H2550" s="171">
        <v>27.62</v>
      </c>
      <c r="I2550" s="171">
        <v>28.080000000000002</v>
      </c>
      <c r="J2550" s="171">
        <v>29.01</v>
      </c>
      <c r="K2550" s="171">
        <v>32.06</v>
      </c>
      <c r="L2550" s="171">
        <v>33.57</v>
      </c>
      <c r="M2550" s="171">
        <v>36.72</v>
      </c>
      <c r="N2550" s="171">
        <v>45.1</v>
      </c>
      <c r="O2550" s="171">
        <v>39.9</v>
      </c>
      <c r="P2550" s="171">
        <v>37.4</v>
      </c>
      <c r="Q2550" s="171">
        <v>33.1</v>
      </c>
      <c r="R2550" s="171">
        <v>32.75</v>
      </c>
      <c r="S2550" s="171">
        <v>32.21</v>
      </c>
      <c r="T2550" s="171">
        <v>34.9</v>
      </c>
      <c r="U2550" s="171">
        <v>35</v>
      </c>
      <c r="V2550" s="171">
        <v>40</v>
      </c>
      <c r="W2550" s="171">
        <v>40</v>
      </c>
      <c r="X2550" s="171">
        <v>45</v>
      </c>
      <c r="Y2550" s="171">
        <v>40.1</v>
      </c>
      <c r="Z2550" s="171">
        <v>32.6</v>
      </c>
      <c r="AA2550" s="171">
        <v>32.9</v>
      </c>
      <c r="AB2550" s="171">
        <v>32.4</v>
      </c>
      <c r="AC2550" s="171">
        <v>31.27</v>
      </c>
      <c r="AD2550" s="171">
        <v>37.67</v>
      </c>
      <c r="AF2550" s="171">
        <f t="shared" si="119"/>
        <v>2017</v>
      </c>
      <c r="AG2550" s="171">
        <f t="shared" si="120"/>
        <v>22</v>
      </c>
      <c r="AH2550" s="700">
        <f>SUMIF(D$3:$AA2550,"&lt;="&amp;$AH$1)/COUNTIF(D$3:$AA2550,"&lt;="&amp;$AH$1)</f>
        <v>31.379958996226609</v>
      </c>
    </row>
    <row r="2551" spans="2:34" x14ac:dyDescent="0.25">
      <c r="B2551" s="910">
        <v>42797</v>
      </c>
      <c r="C2551" s="581">
        <f t="shared" si="121"/>
        <v>3</v>
      </c>
      <c r="D2551" s="171">
        <v>38.89</v>
      </c>
      <c r="E2551" s="171">
        <v>30.87</v>
      </c>
      <c r="F2551" s="171">
        <v>31.6</v>
      </c>
      <c r="G2551" s="171">
        <v>32.6</v>
      </c>
      <c r="H2551" s="171">
        <v>30.55</v>
      </c>
      <c r="I2551" s="171">
        <v>30.91</v>
      </c>
      <c r="J2551" s="171">
        <v>32.36</v>
      </c>
      <c r="K2551" s="171">
        <v>41.910000000000004</v>
      </c>
      <c r="L2551" s="171">
        <v>48</v>
      </c>
      <c r="M2551" s="171">
        <v>47.57</v>
      </c>
      <c r="N2551" s="171">
        <v>46.5</v>
      </c>
      <c r="O2551" s="171">
        <v>43.49</v>
      </c>
      <c r="P2551" s="171">
        <v>43.47</v>
      </c>
      <c r="Q2551" s="171">
        <v>41.02</v>
      </c>
      <c r="R2551" s="171">
        <v>39.83</v>
      </c>
      <c r="S2551" s="171">
        <v>39.1</v>
      </c>
      <c r="T2551" s="171">
        <v>38.25</v>
      </c>
      <c r="U2551" s="171">
        <v>39.630000000000003</v>
      </c>
      <c r="V2551" s="171">
        <v>41.44</v>
      </c>
      <c r="W2551" s="171">
        <v>42.18</v>
      </c>
      <c r="X2551" s="171">
        <v>44.95</v>
      </c>
      <c r="Y2551" s="171">
        <v>41.01</v>
      </c>
      <c r="Z2551" s="171">
        <v>35.29</v>
      </c>
      <c r="AA2551" s="171">
        <v>36.25</v>
      </c>
      <c r="AB2551" s="171">
        <v>34.56</v>
      </c>
      <c r="AC2551" s="171">
        <v>35.49</v>
      </c>
      <c r="AD2551" s="171">
        <v>42.29</v>
      </c>
      <c r="AF2551" s="171">
        <f t="shared" si="119"/>
        <v>2017</v>
      </c>
      <c r="AG2551" s="171">
        <f t="shared" si="120"/>
        <v>18</v>
      </c>
      <c r="AH2551" s="700">
        <f>SUMIF(D$3:$AA2551,"&lt;="&amp;$AH$1)/COUNTIF(D$3:$AA2551,"&lt;="&amp;$AH$1)</f>
        <v>31.384009260016988</v>
      </c>
    </row>
    <row r="2552" spans="2:34" x14ac:dyDescent="0.25">
      <c r="B2552" s="910">
        <v>42800</v>
      </c>
      <c r="C2552" s="581">
        <f t="shared" si="121"/>
        <v>3</v>
      </c>
      <c r="D2552" s="171">
        <v>38.590000000000003</v>
      </c>
      <c r="E2552" s="171">
        <v>31.48</v>
      </c>
      <c r="F2552" s="171">
        <v>29.04</v>
      </c>
      <c r="G2552" s="171">
        <v>27.990000000000002</v>
      </c>
      <c r="H2552" s="171">
        <v>25.35</v>
      </c>
      <c r="I2552" s="171">
        <v>27.3</v>
      </c>
      <c r="J2552" s="171">
        <v>29.07</v>
      </c>
      <c r="K2552" s="171">
        <v>34.980000000000004</v>
      </c>
      <c r="L2552" s="171">
        <v>42.4</v>
      </c>
      <c r="M2552" s="171">
        <v>44.28</v>
      </c>
      <c r="N2552" s="171">
        <v>47.03</v>
      </c>
      <c r="O2552" s="171">
        <v>46.58</v>
      </c>
      <c r="P2552" s="171">
        <v>46.36</v>
      </c>
      <c r="Q2552" s="171">
        <v>43.92</v>
      </c>
      <c r="R2552" s="171">
        <v>39.9</v>
      </c>
      <c r="S2552" s="171">
        <v>36.07</v>
      </c>
      <c r="T2552" s="171">
        <v>39.9</v>
      </c>
      <c r="U2552" s="171">
        <v>42.910000000000004</v>
      </c>
      <c r="V2552" s="171">
        <v>46.15</v>
      </c>
      <c r="W2552" s="171">
        <v>49.59</v>
      </c>
      <c r="X2552" s="171">
        <v>49.06</v>
      </c>
      <c r="Y2552" s="171">
        <v>42.28</v>
      </c>
      <c r="Z2552" s="171">
        <v>37.4</v>
      </c>
      <c r="AA2552" s="171">
        <v>35</v>
      </c>
      <c r="AB2552" s="171">
        <v>32.19</v>
      </c>
      <c r="AC2552" s="171">
        <v>32.869999999999997</v>
      </c>
      <c r="AD2552" s="171">
        <v>44.31</v>
      </c>
      <c r="AF2552" s="171">
        <f t="shared" si="119"/>
        <v>2017</v>
      </c>
      <c r="AG2552" s="171">
        <f t="shared" si="120"/>
        <v>15</v>
      </c>
      <c r="AH2552" s="700">
        <f>SUMIF(D$3:$AA2552,"&lt;="&amp;$AH$1)/COUNTIF(D$3:$AA2552,"&lt;="&amp;$AH$1)</f>
        <v>31.385892469594801</v>
      </c>
    </row>
    <row r="2553" spans="2:34" x14ac:dyDescent="0.25">
      <c r="B2553" s="910">
        <v>42801</v>
      </c>
      <c r="C2553" s="581">
        <f t="shared" si="121"/>
        <v>3</v>
      </c>
      <c r="D2553" s="171">
        <v>44.58</v>
      </c>
      <c r="E2553" s="171">
        <v>31.07</v>
      </c>
      <c r="F2553" s="171">
        <v>30.01</v>
      </c>
      <c r="G2553" s="171">
        <v>29.990000000000002</v>
      </c>
      <c r="H2553" s="171">
        <v>29.64</v>
      </c>
      <c r="I2553" s="171">
        <v>30.6</v>
      </c>
      <c r="J2553" s="171">
        <v>32.980000000000004</v>
      </c>
      <c r="K2553" s="171">
        <v>36</v>
      </c>
      <c r="L2553" s="171">
        <v>50.19</v>
      </c>
      <c r="M2553" s="171">
        <v>54.25</v>
      </c>
      <c r="N2553" s="171">
        <v>54.1</v>
      </c>
      <c r="O2553" s="171">
        <v>53.93</v>
      </c>
      <c r="P2553" s="171">
        <v>51.620000000000005</v>
      </c>
      <c r="Q2553" s="171">
        <v>49.9</v>
      </c>
      <c r="R2553" s="171">
        <v>49.07</v>
      </c>
      <c r="S2553" s="171">
        <v>48.69</v>
      </c>
      <c r="T2553" s="171">
        <v>47.75</v>
      </c>
      <c r="U2553" s="171">
        <v>48</v>
      </c>
      <c r="V2553" s="171">
        <v>50.31</v>
      </c>
      <c r="W2553" s="171">
        <v>57.52</v>
      </c>
      <c r="X2553" s="171">
        <v>61.050000000000004</v>
      </c>
      <c r="Y2553" s="171">
        <v>51.93</v>
      </c>
      <c r="Z2553" s="171">
        <v>44.77</v>
      </c>
      <c r="AA2553" s="171">
        <v>42.7</v>
      </c>
      <c r="AB2553" s="171">
        <v>33.92</v>
      </c>
      <c r="AC2553" s="171">
        <v>36.980000000000004</v>
      </c>
      <c r="AD2553" s="171">
        <v>52.18</v>
      </c>
      <c r="AF2553" s="171">
        <f t="shared" si="119"/>
        <v>2017</v>
      </c>
      <c r="AG2553" s="171">
        <f t="shared" si="120"/>
        <v>7</v>
      </c>
      <c r="AH2553" s="700">
        <f>SUMIF(D$3:$AA2553,"&lt;="&amp;$AH$1)/COUNTIF(D$3:$AA2553,"&lt;="&amp;$AH$1)</f>
        <v>31.385916571146822</v>
      </c>
    </row>
    <row r="2554" spans="2:34" x14ac:dyDescent="0.25">
      <c r="B2554" s="910">
        <v>42802</v>
      </c>
      <c r="C2554" s="581">
        <f t="shared" si="121"/>
        <v>3</v>
      </c>
      <c r="D2554" s="171">
        <v>36.32</v>
      </c>
      <c r="E2554" s="171">
        <v>33.58</v>
      </c>
      <c r="F2554" s="171">
        <v>32.76</v>
      </c>
      <c r="G2554" s="171">
        <v>32</v>
      </c>
      <c r="H2554" s="171">
        <v>31.38</v>
      </c>
      <c r="I2554" s="171">
        <v>31.2</v>
      </c>
      <c r="J2554" s="171">
        <v>32.06</v>
      </c>
      <c r="K2554" s="171">
        <v>40.75</v>
      </c>
      <c r="L2554" s="171">
        <v>49.34</v>
      </c>
      <c r="M2554" s="171">
        <v>49.78</v>
      </c>
      <c r="N2554" s="171">
        <v>38.410000000000004</v>
      </c>
      <c r="O2554" s="171">
        <v>39.72</v>
      </c>
      <c r="P2554" s="171">
        <v>38.1</v>
      </c>
      <c r="Q2554" s="171">
        <v>34.160000000000004</v>
      </c>
      <c r="R2554" s="171">
        <v>33.65</v>
      </c>
      <c r="S2554" s="171">
        <v>35.01</v>
      </c>
      <c r="T2554" s="171">
        <v>33.700000000000003</v>
      </c>
      <c r="U2554" s="171">
        <v>34.03</v>
      </c>
      <c r="V2554" s="171">
        <v>35.74</v>
      </c>
      <c r="W2554" s="171">
        <v>42.050000000000004</v>
      </c>
      <c r="X2554" s="171">
        <v>42</v>
      </c>
      <c r="Y2554" s="171">
        <v>35</v>
      </c>
      <c r="Z2554" s="171">
        <v>32.9</v>
      </c>
      <c r="AA2554" s="171">
        <v>32.6</v>
      </c>
      <c r="AB2554" s="171">
        <v>31.85</v>
      </c>
      <c r="AC2554" s="171">
        <v>34.619999999999997</v>
      </c>
      <c r="AD2554" s="171">
        <v>38.03</v>
      </c>
      <c r="AF2554" s="171">
        <f t="shared" si="119"/>
        <v>2017</v>
      </c>
      <c r="AG2554" s="171">
        <f t="shared" si="120"/>
        <v>22</v>
      </c>
      <c r="AH2554" s="700">
        <f>SUMIF(D$3:$AA2554,"&lt;="&amp;$AH$1)/COUNTIF(D$3:$AA2554,"&lt;="&amp;$AH$1)</f>
        <v>31.38945971370039</v>
      </c>
    </row>
    <row r="2555" spans="2:34" x14ac:dyDescent="0.25">
      <c r="B2555" s="910">
        <v>42803</v>
      </c>
      <c r="C2555" s="581">
        <f t="shared" si="121"/>
        <v>3</v>
      </c>
      <c r="D2555" s="171">
        <v>37.67</v>
      </c>
      <c r="E2555" s="171">
        <v>30.66</v>
      </c>
      <c r="F2555" s="171">
        <v>30.66</v>
      </c>
      <c r="G2555" s="171">
        <v>30.12</v>
      </c>
      <c r="H2555" s="171">
        <v>29.3</v>
      </c>
      <c r="I2555" s="171">
        <v>29.28</v>
      </c>
      <c r="J2555" s="171">
        <v>31.12</v>
      </c>
      <c r="K2555" s="171">
        <v>41.59</v>
      </c>
      <c r="L2555" s="171">
        <v>48.67</v>
      </c>
      <c r="M2555" s="171">
        <v>50.02</v>
      </c>
      <c r="N2555" s="171">
        <v>49.02</v>
      </c>
      <c r="O2555" s="171">
        <v>48.620000000000005</v>
      </c>
      <c r="P2555" s="171">
        <v>47.160000000000004</v>
      </c>
      <c r="Q2555" s="171">
        <v>43.69</v>
      </c>
      <c r="R2555" s="171">
        <v>41.72</v>
      </c>
      <c r="S2555" s="171">
        <v>35</v>
      </c>
      <c r="T2555" s="171">
        <v>36.47</v>
      </c>
      <c r="U2555" s="171">
        <v>35.300000000000004</v>
      </c>
      <c r="V2555" s="171">
        <v>40</v>
      </c>
      <c r="W2555" s="171">
        <v>40</v>
      </c>
      <c r="X2555" s="171">
        <v>33.950000000000003</v>
      </c>
      <c r="Y2555" s="171">
        <v>33.340000000000003</v>
      </c>
      <c r="Z2555" s="171">
        <v>35</v>
      </c>
      <c r="AA2555" s="171">
        <v>32.14</v>
      </c>
      <c r="AB2555" s="171">
        <v>31.2</v>
      </c>
      <c r="AC2555" s="171">
        <v>33.590000000000003</v>
      </c>
      <c r="AD2555" s="171">
        <v>41.75</v>
      </c>
      <c r="AF2555" s="171">
        <f t="shared" si="119"/>
        <v>2017</v>
      </c>
      <c r="AG2555" s="171">
        <f t="shared" si="120"/>
        <v>18</v>
      </c>
      <c r="AH2555" s="700">
        <f>SUMIF(D$3:$AA2555,"&lt;="&amp;$AH$1)/COUNTIF(D$3:$AA2555,"&lt;="&amp;$AH$1)</f>
        <v>31.391842815104408</v>
      </c>
    </row>
    <row r="2556" spans="2:34" x14ac:dyDescent="0.25">
      <c r="B2556" s="910">
        <v>42804</v>
      </c>
      <c r="C2556" s="581">
        <f t="shared" si="121"/>
        <v>3</v>
      </c>
      <c r="D2556" s="171">
        <v>37.01</v>
      </c>
      <c r="E2556" s="171">
        <v>30.1</v>
      </c>
      <c r="F2556" s="171">
        <v>29.67</v>
      </c>
      <c r="G2556" s="171">
        <v>30.66</v>
      </c>
      <c r="H2556" s="171">
        <v>30.64</v>
      </c>
      <c r="I2556" s="171">
        <v>28.67</v>
      </c>
      <c r="J2556" s="171">
        <v>30.13</v>
      </c>
      <c r="K2556" s="171">
        <v>36.980000000000004</v>
      </c>
      <c r="L2556" s="171">
        <v>41.980000000000004</v>
      </c>
      <c r="M2556" s="171">
        <v>45.56</v>
      </c>
      <c r="N2556" s="171">
        <v>44.11</v>
      </c>
      <c r="O2556" s="171">
        <v>39.17</v>
      </c>
      <c r="P2556" s="171">
        <v>35</v>
      </c>
      <c r="Q2556" s="171">
        <v>32.56</v>
      </c>
      <c r="R2556" s="171">
        <v>32.270000000000003</v>
      </c>
      <c r="S2556" s="171">
        <v>31.66</v>
      </c>
      <c r="T2556" s="171">
        <v>32.4</v>
      </c>
      <c r="U2556" s="171">
        <v>36.07</v>
      </c>
      <c r="V2556" s="171">
        <v>40.369999999999997</v>
      </c>
      <c r="W2556" s="171">
        <v>49.17</v>
      </c>
      <c r="X2556" s="171">
        <v>53.56</v>
      </c>
      <c r="Y2556" s="171">
        <v>45.88</v>
      </c>
      <c r="Z2556" s="171">
        <v>39.67</v>
      </c>
      <c r="AA2556" s="171">
        <v>37.71</v>
      </c>
      <c r="AB2556" s="171">
        <v>34.25</v>
      </c>
      <c r="AC2556" s="171">
        <v>34.69</v>
      </c>
      <c r="AD2556" s="171">
        <v>39.33</v>
      </c>
      <c r="AF2556" s="171">
        <f t="shared" si="119"/>
        <v>2017</v>
      </c>
      <c r="AG2556" s="171">
        <f t="shared" si="120"/>
        <v>19</v>
      </c>
      <c r="AH2556" s="700">
        <f>SUMIF(D$3:$AA2556,"&lt;="&amp;$AH$1)/COUNTIF(D$3:$AA2556,"&lt;="&amp;$AH$1)</f>
        <v>31.394140972760027</v>
      </c>
    </row>
    <row r="2557" spans="2:34" x14ac:dyDescent="0.25">
      <c r="B2557" s="910">
        <v>42807</v>
      </c>
      <c r="C2557" s="581">
        <f t="shared" si="121"/>
        <v>3</v>
      </c>
      <c r="D2557" s="171">
        <v>36.47</v>
      </c>
      <c r="E2557" s="171">
        <v>27.04</v>
      </c>
      <c r="F2557" s="171">
        <v>27.810000000000002</v>
      </c>
      <c r="G2557" s="171">
        <v>27.93</v>
      </c>
      <c r="H2557" s="171">
        <v>28.17</v>
      </c>
      <c r="I2557" s="171">
        <v>28.34</v>
      </c>
      <c r="J2557" s="171">
        <v>29.64</v>
      </c>
      <c r="K2557" s="171">
        <v>33.83</v>
      </c>
      <c r="L2557" s="171">
        <v>41</v>
      </c>
      <c r="M2557" s="171">
        <v>42.86</v>
      </c>
      <c r="N2557" s="171">
        <v>40</v>
      </c>
      <c r="O2557" s="171">
        <v>34.57</v>
      </c>
      <c r="P2557" s="171">
        <v>32.89</v>
      </c>
      <c r="Q2557" s="171">
        <v>31.970000000000002</v>
      </c>
      <c r="R2557" s="171">
        <v>32.200000000000003</v>
      </c>
      <c r="S2557" s="171">
        <v>31.7</v>
      </c>
      <c r="T2557" s="171">
        <v>32</v>
      </c>
      <c r="U2557" s="171">
        <v>36.61</v>
      </c>
      <c r="V2557" s="171">
        <v>41.82</v>
      </c>
      <c r="W2557" s="171">
        <v>49.9</v>
      </c>
      <c r="X2557" s="171">
        <v>56.99</v>
      </c>
      <c r="Y2557" s="171">
        <v>49.51</v>
      </c>
      <c r="Z2557" s="171">
        <v>44.94</v>
      </c>
      <c r="AA2557" s="171">
        <v>39.96</v>
      </c>
      <c r="AB2557" s="171">
        <v>33.549999999999997</v>
      </c>
      <c r="AC2557" s="171">
        <v>34.31</v>
      </c>
      <c r="AD2557" s="171">
        <v>38.630000000000003</v>
      </c>
      <c r="AF2557" s="171">
        <f t="shared" si="119"/>
        <v>2017</v>
      </c>
      <c r="AG2557" s="171">
        <f t="shared" si="120"/>
        <v>19</v>
      </c>
      <c r="AH2557" s="700">
        <f>SUMIF(D$3:$AA2557,"&lt;="&amp;$AH$1)/COUNTIF(D$3:$AA2557,"&lt;="&amp;$AH$1)</f>
        <v>31.395669631925841</v>
      </c>
    </row>
    <row r="2558" spans="2:34" x14ac:dyDescent="0.25">
      <c r="B2558" s="910">
        <v>42808</v>
      </c>
      <c r="C2558" s="581">
        <f t="shared" si="121"/>
        <v>3</v>
      </c>
      <c r="D2558" s="171">
        <v>35.01</v>
      </c>
      <c r="E2558" s="171">
        <v>29.580000000000002</v>
      </c>
      <c r="F2558" s="171">
        <v>28.61</v>
      </c>
      <c r="G2558" s="171">
        <v>27.73</v>
      </c>
      <c r="H2558" s="171">
        <v>27.75</v>
      </c>
      <c r="I2558" s="171">
        <v>28.43</v>
      </c>
      <c r="J2558" s="171">
        <v>29.490000000000002</v>
      </c>
      <c r="K2558" s="171">
        <v>37.72</v>
      </c>
      <c r="L2558" s="171">
        <v>44.92</v>
      </c>
      <c r="M2558" s="171">
        <v>47.1</v>
      </c>
      <c r="N2558" s="171">
        <v>46.36</v>
      </c>
      <c r="O2558" s="171">
        <v>43</v>
      </c>
      <c r="P2558" s="171">
        <v>35</v>
      </c>
      <c r="Q2558" s="171">
        <v>31.080000000000002</v>
      </c>
      <c r="R2558" s="171">
        <v>30.080000000000002</v>
      </c>
      <c r="S2558" s="171">
        <v>30.080000000000002</v>
      </c>
      <c r="T2558" s="171">
        <v>30.16</v>
      </c>
      <c r="U2558" s="171">
        <v>35</v>
      </c>
      <c r="V2558" s="171">
        <v>41.15</v>
      </c>
      <c r="W2558" s="171">
        <v>45.58</v>
      </c>
      <c r="X2558" s="171">
        <v>45.46</v>
      </c>
      <c r="Y2558" s="171">
        <v>35.85</v>
      </c>
      <c r="Z2558" s="171">
        <v>30.86</v>
      </c>
      <c r="AA2558" s="171">
        <v>30.740000000000002</v>
      </c>
      <c r="AB2558" s="171">
        <v>28.42</v>
      </c>
      <c r="AC2558" s="171">
        <v>31.67</v>
      </c>
      <c r="AD2558" s="171">
        <v>38.340000000000003</v>
      </c>
      <c r="AF2558" s="171">
        <f t="shared" si="119"/>
        <v>2017</v>
      </c>
      <c r="AG2558" s="171">
        <f t="shared" si="120"/>
        <v>18</v>
      </c>
      <c r="AH2558" s="700">
        <f>SUMIF(D$3:$AA2558,"&lt;="&amp;$AH$1)/COUNTIF(D$3:$AA2558,"&lt;="&amp;$AH$1)</f>
        <v>31.396044690913982</v>
      </c>
    </row>
    <row r="2559" spans="2:34" x14ac:dyDescent="0.25">
      <c r="B2559" s="910">
        <v>42809</v>
      </c>
      <c r="C2559" s="581">
        <f t="shared" si="121"/>
        <v>3</v>
      </c>
      <c r="D2559" s="171">
        <v>35.69</v>
      </c>
      <c r="E2559" s="171">
        <v>28.45</v>
      </c>
      <c r="F2559" s="171">
        <v>28.21</v>
      </c>
      <c r="G2559" s="171">
        <v>28.16</v>
      </c>
      <c r="H2559" s="171">
        <v>30</v>
      </c>
      <c r="I2559" s="171">
        <v>30.490000000000002</v>
      </c>
      <c r="J2559" s="171">
        <v>28.400000000000002</v>
      </c>
      <c r="K2559" s="171">
        <v>34.96</v>
      </c>
      <c r="L2559" s="171">
        <v>40.980000000000004</v>
      </c>
      <c r="M2559" s="171">
        <v>43</v>
      </c>
      <c r="N2559" s="171">
        <v>42.4</v>
      </c>
      <c r="O2559" s="171">
        <v>34.94</v>
      </c>
      <c r="P2559" s="171">
        <v>33.07</v>
      </c>
      <c r="Q2559" s="171">
        <v>32.14</v>
      </c>
      <c r="R2559" s="171">
        <v>32.14</v>
      </c>
      <c r="S2559" s="171">
        <v>31.84</v>
      </c>
      <c r="T2559" s="171">
        <v>32.4</v>
      </c>
      <c r="U2559" s="171">
        <v>33.06</v>
      </c>
      <c r="V2559" s="171">
        <v>41</v>
      </c>
      <c r="W2559" s="171">
        <v>47.97</v>
      </c>
      <c r="X2559" s="171">
        <v>52.09</v>
      </c>
      <c r="Y2559" s="171">
        <v>46.27</v>
      </c>
      <c r="Z2559" s="171">
        <v>38.1</v>
      </c>
      <c r="AA2559" s="171">
        <v>34.82</v>
      </c>
      <c r="AB2559" s="171">
        <v>31.59</v>
      </c>
      <c r="AC2559" s="171">
        <v>33.369999999999997</v>
      </c>
      <c r="AD2559" s="171">
        <v>38</v>
      </c>
      <c r="AF2559" s="171">
        <f t="shared" si="119"/>
        <v>2017</v>
      </c>
      <c r="AG2559" s="171">
        <f t="shared" si="120"/>
        <v>20</v>
      </c>
      <c r="AH2559" s="700">
        <f>SUMIF(D$3:$AA2559,"&lt;="&amp;$AH$1)/COUNTIF(D$3:$AA2559,"&lt;="&amp;$AH$1)</f>
        <v>31.397810055409643</v>
      </c>
    </row>
    <row r="2560" spans="2:34" x14ac:dyDescent="0.25">
      <c r="B2560" s="910">
        <v>42810</v>
      </c>
      <c r="C2560" s="581">
        <f t="shared" si="121"/>
        <v>3</v>
      </c>
      <c r="D2560" s="171">
        <v>35.44</v>
      </c>
      <c r="E2560" s="171">
        <v>30.7</v>
      </c>
      <c r="F2560" s="171">
        <v>30.57</v>
      </c>
      <c r="G2560" s="171">
        <v>30.490000000000002</v>
      </c>
      <c r="H2560" s="171">
        <v>28.29</v>
      </c>
      <c r="I2560" s="171">
        <v>29.37</v>
      </c>
      <c r="J2560" s="171">
        <v>30.68</v>
      </c>
      <c r="K2560" s="171">
        <v>38.480000000000004</v>
      </c>
      <c r="L2560" s="171">
        <v>45.18</v>
      </c>
      <c r="M2560" s="171">
        <v>43.56</v>
      </c>
      <c r="N2560" s="171">
        <v>41.28</v>
      </c>
      <c r="O2560" s="171">
        <v>34.03</v>
      </c>
      <c r="P2560" s="171">
        <v>34.75</v>
      </c>
      <c r="Q2560" s="171">
        <v>31.89</v>
      </c>
      <c r="R2560" s="171">
        <v>31.02</v>
      </c>
      <c r="S2560" s="171">
        <v>30.19</v>
      </c>
      <c r="T2560" s="171">
        <v>30.28</v>
      </c>
      <c r="U2560" s="171">
        <v>33.5</v>
      </c>
      <c r="V2560" s="171">
        <v>39.9</v>
      </c>
      <c r="W2560" s="171">
        <v>45.59</v>
      </c>
      <c r="X2560" s="171">
        <v>50.1</v>
      </c>
      <c r="Y2560" s="171">
        <v>42.910000000000004</v>
      </c>
      <c r="Z2560" s="171">
        <v>34.81</v>
      </c>
      <c r="AA2560" s="171">
        <v>32.4</v>
      </c>
      <c r="AB2560" s="171">
        <v>30.61</v>
      </c>
      <c r="AC2560" s="171">
        <v>33.71</v>
      </c>
      <c r="AD2560" s="171">
        <v>37.17</v>
      </c>
      <c r="AF2560" s="171">
        <f t="shared" si="119"/>
        <v>2017</v>
      </c>
      <c r="AG2560" s="171">
        <f t="shared" si="120"/>
        <v>19</v>
      </c>
      <c r="AH2560" s="700">
        <f>SUMIF(D$3:$AA2560,"&lt;="&amp;$AH$1)/COUNTIF(D$3:$AA2560,"&lt;="&amp;$AH$1)</f>
        <v>31.399092944671835</v>
      </c>
    </row>
    <row r="2561" spans="2:34" x14ac:dyDescent="0.25">
      <c r="B2561" s="910">
        <v>42811</v>
      </c>
      <c r="C2561" s="581">
        <f t="shared" si="121"/>
        <v>3</v>
      </c>
      <c r="D2561" s="171">
        <v>34.619999999999997</v>
      </c>
      <c r="E2561" s="171">
        <v>30.36</v>
      </c>
      <c r="F2561" s="171">
        <v>29.96</v>
      </c>
      <c r="G2561" s="171">
        <v>29.900000000000002</v>
      </c>
      <c r="H2561" s="171">
        <v>29.88</v>
      </c>
      <c r="I2561" s="171">
        <v>29.84</v>
      </c>
      <c r="J2561" s="171">
        <v>29.310000000000002</v>
      </c>
      <c r="K2561" s="171">
        <v>39.97</v>
      </c>
      <c r="L2561" s="171">
        <v>43.18</v>
      </c>
      <c r="M2561" s="171">
        <v>48.38</v>
      </c>
      <c r="N2561" s="171">
        <v>48.1</v>
      </c>
      <c r="O2561" s="171">
        <v>39.9</v>
      </c>
      <c r="P2561" s="171">
        <v>33.369999999999997</v>
      </c>
      <c r="Q2561" s="171">
        <v>34.230000000000004</v>
      </c>
      <c r="R2561" s="171">
        <v>32.230000000000004</v>
      </c>
      <c r="S2561" s="171">
        <v>30.16</v>
      </c>
      <c r="T2561" s="171">
        <v>29.990000000000002</v>
      </c>
      <c r="U2561" s="171">
        <v>30.14</v>
      </c>
      <c r="V2561" s="171">
        <v>30.96</v>
      </c>
      <c r="W2561" s="171">
        <v>38.1</v>
      </c>
      <c r="X2561" s="171">
        <v>43.7</v>
      </c>
      <c r="Y2561" s="171">
        <v>35.1</v>
      </c>
      <c r="Z2561" s="171">
        <v>32.4</v>
      </c>
      <c r="AA2561" s="171">
        <v>31.7</v>
      </c>
      <c r="AB2561" s="171">
        <v>29.900000000000002</v>
      </c>
      <c r="AC2561" s="171">
        <v>32.630000000000003</v>
      </c>
      <c r="AD2561" s="171">
        <v>36.6</v>
      </c>
      <c r="AF2561" s="171">
        <f t="shared" si="119"/>
        <v>2017</v>
      </c>
      <c r="AG2561" s="171">
        <f t="shared" si="120"/>
        <v>20</v>
      </c>
      <c r="AH2561" s="700">
        <f>SUMIF(D$3:$AA2561,"&lt;="&amp;$AH$1)/COUNTIF(D$3:$AA2561,"&lt;="&amp;$AH$1)</f>
        <v>31.400074848471473</v>
      </c>
    </row>
    <row r="2562" spans="2:34" x14ac:dyDescent="0.25">
      <c r="B2562" s="910">
        <v>42814</v>
      </c>
      <c r="C2562" s="581">
        <f t="shared" si="121"/>
        <v>3</v>
      </c>
      <c r="D2562" s="171">
        <v>33.58</v>
      </c>
      <c r="E2562" s="171">
        <v>25.3</v>
      </c>
      <c r="F2562" s="171">
        <v>28.3</v>
      </c>
      <c r="G2562" s="171">
        <v>30.2</v>
      </c>
      <c r="H2562" s="171">
        <v>26.150000000000002</v>
      </c>
      <c r="I2562" s="171">
        <v>22.06</v>
      </c>
      <c r="J2562" s="171">
        <v>26.080000000000002</v>
      </c>
      <c r="K2562" s="171">
        <v>36.300000000000004</v>
      </c>
      <c r="L2562" s="171">
        <v>40.980000000000004</v>
      </c>
      <c r="M2562" s="171">
        <v>42.31</v>
      </c>
      <c r="N2562" s="171">
        <v>42</v>
      </c>
      <c r="O2562" s="171">
        <v>40.1</v>
      </c>
      <c r="P2562" s="171">
        <v>42</v>
      </c>
      <c r="Q2562" s="171">
        <v>35</v>
      </c>
      <c r="R2562" s="171">
        <v>33.01</v>
      </c>
      <c r="S2562" s="171">
        <v>32.19</v>
      </c>
      <c r="T2562" s="171">
        <v>30.82</v>
      </c>
      <c r="U2562" s="171">
        <v>30.560000000000002</v>
      </c>
      <c r="V2562" s="171">
        <v>32</v>
      </c>
      <c r="W2562" s="171">
        <v>38.380000000000003</v>
      </c>
      <c r="X2562" s="171">
        <v>41.94</v>
      </c>
      <c r="Y2562" s="171">
        <v>34.9</v>
      </c>
      <c r="Z2562" s="171">
        <v>33.57</v>
      </c>
      <c r="AA2562" s="171">
        <v>31.38</v>
      </c>
      <c r="AB2562" s="171">
        <v>30.36</v>
      </c>
      <c r="AC2562" s="171">
        <v>30.47</v>
      </c>
      <c r="AD2562" s="171">
        <v>36.69</v>
      </c>
      <c r="AF2562" s="171">
        <f t="shared" si="119"/>
        <v>2017</v>
      </c>
      <c r="AG2562" s="171">
        <f t="shared" si="120"/>
        <v>24</v>
      </c>
      <c r="AH2562" s="700">
        <f>SUMIF(D$3:$AA2562,"&lt;="&amp;$AH$1)/COUNTIF(D$3:$AA2562,"&lt;="&amp;$AH$1)</f>
        <v>31.402330637622391</v>
      </c>
    </row>
    <row r="2563" spans="2:34" x14ac:dyDescent="0.25">
      <c r="B2563" s="910">
        <v>42815</v>
      </c>
      <c r="C2563" s="581">
        <f t="shared" si="121"/>
        <v>3</v>
      </c>
      <c r="D2563" s="171">
        <v>34.06</v>
      </c>
      <c r="E2563" s="171">
        <v>30</v>
      </c>
      <c r="F2563" s="171">
        <v>30.1</v>
      </c>
      <c r="G2563" s="171">
        <v>28.39</v>
      </c>
      <c r="H2563" s="171">
        <v>25.3</v>
      </c>
      <c r="I2563" s="171">
        <v>22.6</v>
      </c>
      <c r="J2563" s="171">
        <v>28.3</v>
      </c>
      <c r="K2563" s="171">
        <v>31.01</v>
      </c>
      <c r="L2563" s="171">
        <v>35.96</v>
      </c>
      <c r="M2563" s="171">
        <v>43.2</v>
      </c>
      <c r="N2563" s="171">
        <v>35</v>
      </c>
      <c r="O2563" s="171">
        <v>30.96</v>
      </c>
      <c r="P2563" s="171">
        <v>30.67</v>
      </c>
      <c r="Q2563" s="171">
        <v>29.900000000000002</v>
      </c>
      <c r="R2563" s="171">
        <v>30</v>
      </c>
      <c r="S2563" s="171">
        <v>30.3</v>
      </c>
      <c r="T2563" s="171">
        <v>30.34</v>
      </c>
      <c r="U2563" s="171">
        <v>30.61</v>
      </c>
      <c r="V2563" s="171">
        <v>36.65</v>
      </c>
      <c r="W2563" s="171">
        <v>42.980000000000004</v>
      </c>
      <c r="X2563" s="171">
        <v>51.08</v>
      </c>
      <c r="Y2563" s="171">
        <v>46.7</v>
      </c>
      <c r="Z2563" s="171">
        <v>37.75</v>
      </c>
      <c r="AA2563" s="171">
        <v>44.56</v>
      </c>
      <c r="AB2563" s="171">
        <v>35</v>
      </c>
      <c r="AC2563" s="171">
        <v>32.97</v>
      </c>
      <c r="AD2563" s="171">
        <v>35.14</v>
      </c>
      <c r="AF2563" s="171">
        <f t="shared" si="119"/>
        <v>2017</v>
      </c>
      <c r="AG2563" s="171">
        <f t="shared" si="120"/>
        <v>19</v>
      </c>
      <c r="AH2563" s="700">
        <f>SUMIF(D$3:$AA2563,"&lt;="&amp;$AH$1)/COUNTIF(D$3:$AA2563,"&lt;="&amp;$AH$1)</f>
        <v>31.40197555429117</v>
      </c>
    </row>
    <row r="2564" spans="2:34" x14ac:dyDescent="0.25">
      <c r="B2564" s="910">
        <v>42816</v>
      </c>
      <c r="C2564" s="581">
        <f t="shared" si="121"/>
        <v>3</v>
      </c>
      <c r="D2564" s="171">
        <v>35.5</v>
      </c>
      <c r="E2564" s="171">
        <v>30.45</v>
      </c>
      <c r="F2564" s="171">
        <v>29.98</v>
      </c>
      <c r="G2564" s="171">
        <v>29.2</v>
      </c>
      <c r="H2564" s="171">
        <v>29.05</v>
      </c>
      <c r="I2564" s="171">
        <v>29.05</v>
      </c>
      <c r="J2564" s="171">
        <v>30.41</v>
      </c>
      <c r="K2564" s="171">
        <v>35.19</v>
      </c>
      <c r="L2564" s="171">
        <v>40.19</v>
      </c>
      <c r="M2564" s="171">
        <v>43.02</v>
      </c>
      <c r="N2564" s="171">
        <v>41.74</v>
      </c>
      <c r="O2564" s="171">
        <v>37.54</v>
      </c>
      <c r="P2564" s="171">
        <v>36.69</v>
      </c>
      <c r="Q2564" s="171">
        <v>36.25</v>
      </c>
      <c r="R2564" s="171">
        <v>35.950000000000003</v>
      </c>
      <c r="S2564" s="171">
        <v>35.020000000000003</v>
      </c>
      <c r="T2564" s="171">
        <v>36.35</v>
      </c>
      <c r="U2564" s="171">
        <v>36.9</v>
      </c>
      <c r="V2564" s="171">
        <v>39.6</v>
      </c>
      <c r="W2564" s="171">
        <v>42.4</v>
      </c>
      <c r="X2564" s="171">
        <v>45</v>
      </c>
      <c r="Y2564" s="171">
        <v>38.980000000000004</v>
      </c>
      <c r="Z2564" s="171">
        <v>32.18</v>
      </c>
      <c r="AA2564" s="171">
        <v>31.650000000000002</v>
      </c>
      <c r="AB2564" s="171">
        <v>29.17</v>
      </c>
      <c r="AC2564" s="171">
        <v>32.130000000000003</v>
      </c>
      <c r="AD2564" s="171">
        <v>38.869999999999997</v>
      </c>
      <c r="AF2564" s="171">
        <f t="shared" ref="AF2564:AF2615" si="122">YEAR(B2564)</f>
        <v>2017</v>
      </c>
      <c r="AG2564" s="171">
        <f t="shared" ref="AG2564:AG2615" si="123">COUNTIF(D2564:AA2564,"&lt;="&amp;$AH$1)</f>
        <v>22</v>
      </c>
      <c r="AH2564" s="700">
        <f>SUMIF(D$3:$AA2564,"&lt;="&amp;$AH$1)/COUNTIF(D$3:$AA2564,"&lt;="&amp;$AH$1)</f>
        <v>31.405197987665296</v>
      </c>
    </row>
    <row r="2565" spans="2:34" x14ac:dyDescent="0.25">
      <c r="B2565" s="910">
        <v>42817</v>
      </c>
      <c r="C2565" s="581">
        <f t="shared" si="121"/>
        <v>3</v>
      </c>
      <c r="D2565" s="171">
        <v>33.44</v>
      </c>
      <c r="E2565" s="171">
        <v>29.45</v>
      </c>
      <c r="F2565" s="171">
        <v>29.1</v>
      </c>
      <c r="G2565" s="171">
        <v>28.91</v>
      </c>
      <c r="H2565" s="171">
        <v>28.650000000000002</v>
      </c>
      <c r="I2565" s="171">
        <v>28.53</v>
      </c>
      <c r="J2565" s="171">
        <v>30.72</v>
      </c>
      <c r="K2565" s="171">
        <v>32.380000000000003</v>
      </c>
      <c r="L2565" s="171">
        <v>39.61</v>
      </c>
      <c r="M2565" s="171">
        <v>40.5</v>
      </c>
      <c r="N2565" s="171">
        <v>38.910000000000004</v>
      </c>
      <c r="O2565" s="171">
        <v>37.1</v>
      </c>
      <c r="P2565" s="171">
        <v>32.78</v>
      </c>
      <c r="Q2565" s="171">
        <v>30.1</v>
      </c>
      <c r="R2565" s="171">
        <v>30</v>
      </c>
      <c r="S2565" s="171">
        <v>30</v>
      </c>
      <c r="T2565" s="171">
        <v>31.85</v>
      </c>
      <c r="U2565" s="171">
        <v>31.92</v>
      </c>
      <c r="V2565" s="171">
        <v>37.92</v>
      </c>
      <c r="W2565" s="171">
        <v>40</v>
      </c>
      <c r="X2565" s="171">
        <v>39.9</v>
      </c>
      <c r="Y2565" s="171">
        <v>37.4</v>
      </c>
      <c r="Z2565" s="171">
        <v>34.53</v>
      </c>
      <c r="AA2565" s="171">
        <v>31.63</v>
      </c>
      <c r="AB2565" s="171">
        <v>30.560000000000002</v>
      </c>
      <c r="AC2565" s="171">
        <v>31.79</v>
      </c>
      <c r="AD2565" s="171">
        <v>35.08</v>
      </c>
      <c r="AF2565" s="171">
        <f t="shared" si="122"/>
        <v>2017</v>
      </c>
      <c r="AG2565" s="171">
        <f t="shared" si="123"/>
        <v>24</v>
      </c>
      <c r="AH2565" s="700">
        <f>SUMIF(D$3:$AA2565,"&lt;="&amp;$AH$1)/COUNTIF(D$3:$AA2565,"&lt;="&amp;$AH$1)</f>
        <v>31.40728964007678</v>
      </c>
    </row>
    <row r="2566" spans="2:34" x14ac:dyDescent="0.25">
      <c r="B2566" s="910">
        <v>42818</v>
      </c>
      <c r="C2566" s="581">
        <f t="shared" si="121"/>
        <v>3</v>
      </c>
      <c r="D2566" s="171">
        <v>34.270000000000003</v>
      </c>
      <c r="E2566" s="171">
        <v>28.7</v>
      </c>
      <c r="F2566" s="171">
        <v>28.89</v>
      </c>
      <c r="G2566" s="171">
        <v>29.2</v>
      </c>
      <c r="H2566" s="171">
        <v>28.87</v>
      </c>
      <c r="I2566" s="171">
        <v>29</v>
      </c>
      <c r="J2566" s="171">
        <v>30.14</v>
      </c>
      <c r="K2566" s="171">
        <v>37.910000000000004</v>
      </c>
      <c r="L2566" s="171">
        <v>41.69</v>
      </c>
      <c r="M2566" s="171">
        <v>43.79</v>
      </c>
      <c r="N2566" s="171">
        <v>41.09</v>
      </c>
      <c r="O2566" s="171">
        <v>35.71</v>
      </c>
      <c r="P2566" s="171">
        <v>33.07</v>
      </c>
      <c r="Q2566" s="171">
        <v>32.090000000000003</v>
      </c>
      <c r="R2566" s="171">
        <v>30.29</v>
      </c>
      <c r="S2566" s="171">
        <v>29.900000000000002</v>
      </c>
      <c r="T2566" s="171">
        <v>30.07</v>
      </c>
      <c r="U2566" s="171">
        <v>31.2</v>
      </c>
      <c r="V2566" s="171">
        <v>36.630000000000003</v>
      </c>
      <c r="W2566" s="171">
        <v>40.590000000000003</v>
      </c>
      <c r="X2566" s="171">
        <v>42.96</v>
      </c>
      <c r="Y2566" s="171">
        <v>38.92</v>
      </c>
      <c r="Z2566" s="171">
        <v>34.85</v>
      </c>
      <c r="AA2566" s="171">
        <v>34.369999999999997</v>
      </c>
      <c r="AB2566" s="171">
        <v>32.480000000000004</v>
      </c>
      <c r="AC2566" s="171">
        <v>32.92</v>
      </c>
      <c r="AD2566" s="171">
        <v>35.619999999999997</v>
      </c>
      <c r="AF2566" s="171">
        <f t="shared" si="122"/>
        <v>2017</v>
      </c>
      <c r="AG2566" s="171">
        <f t="shared" si="123"/>
        <v>22</v>
      </c>
      <c r="AH2566" s="700">
        <f>SUMIF(D$3:$AA2566,"&lt;="&amp;$AH$1)/COUNTIF(D$3:$AA2566,"&lt;="&amp;$AH$1)</f>
        <v>31.409172268566213</v>
      </c>
    </row>
    <row r="2567" spans="2:34" x14ac:dyDescent="0.25">
      <c r="B2567" s="910">
        <v>42821</v>
      </c>
      <c r="C2567" s="581">
        <f t="shared" si="121"/>
        <v>3</v>
      </c>
      <c r="D2567" s="171">
        <v>35.450000000000003</v>
      </c>
      <c r="E2567" s="171">
        <v>35.24</v>
      </c>
      <c r="F2567" s="171">
        <v>29.29</v>
      </c>
      <c r="G2567" s="171">
        <v>29.23</v>
      </c>
      <c r="H2567" s="171">
        <v>28.95</v>
      </c>
      <c r="I2567" s="171">
        <v>27.830000000000002</v>
      </c>
      <c r="J2567" s="171">
        <v>30.1</v>
      </c>
      <c r="K2567" s="171">
        <v>39.31</v>
      </c>
      <c r="L2567" s="171">
        <v>48</v>
      </c>
      <c r="M2567" s="171">
        <v>48.160000000000004</v>
      </c>
      <c r="N2567" s="171">
        <v>40.910000000000004</v>
      </c>
      <c r="O2567" s="171">
        <v>36.56</v>
      </c>
      <c r="P2567" s="171">
        <v>33.24</v>
      </c>
      <c r="Q2567" s="171">
        <v>30.48</v>
      </c>
      <c r="R2567" s="171">
        <v>29.67</v>
      </c>
      <c r="S2567" s="171">
        <v>29.11</v>
      </c>
      <c r="T2567" s="171">
        <v>28.92</v>
      </c>
      <c r="U2567" s="171">
        <v>29.900000000000002</v>
      </c>
      <c r="V2567" s="171">
        <v>32.35</v>
      </c>
      <c r="W2567" s="171">
        <v>40</v>
      </c>
      <c r="X2567" s="171">
        <v>46.99</v>
      </c>
      <c r="Y2567" s="171">
        <v>46.27</v>
      </c>
      <c r="Z2567" s="171">
        <v>39.980000000000004</v>
      </c>
      <c r="AA2567" s="171">
        <v>37.94</v>
      </c>
      <c r="AB2567" s="171">
        <v>32.4</v>
      </c>
      <c r="AC2567" s="171">
        <v>35.380000000000003</v>
      </c>
      <c r="AD2567" s="171">
        <v>35.520000000000003</v>
      </c>
      <c r="AF2567" s="171">
        <f t="shared" si="122"/>
        <v>2017</v>
      </c>
      <c r="AG2567" s="171">
        <f t="shared" si="123"/>
        <v>20</v>
      </c>
      <c r="AH2567" s="700">
        <f>SUMIF(D$3:$AA2567,"&lt;="&amp;$AH$1)/COUNTIF(D$3:$AA2567,"&lt;="&amp;$AH$1)</f>
        <v>31.41064012300615</v>
      </c>
    </row>
    <row r="2568" spans="2:34" x14ac:dyDescent="0.25">
      <c r="B2568" s="910">
        <v>42822</v>
      </c>
      <c r="C2568" s="581">
        <f t="shared" si="121"/>
        <v>3</v>
      </c>
      <c r="D2568" s="171">
        <v>34.480000000000004</v>
      </c>
      <c r="E2568" s="171">
        <v>28.71</v>
      </c>
      <c r="F2568" s="171">
        <v>28.07</v>
      </c>
      <c r="G2568" s="171">
        <v>27.43</v>
      </c>
      <c r="H2568" s="171">
        <v>27.240000000000002</v>
      </c>
      <c r="I2568" s="171">
        <v>27.72</v>
      </c>
      <c r="J2568" s="171">
        <v>29.060000000000002</v>
      </c>
      <c r="K2568" s="171">
        <v>38.910000000000004</v>
      </c>
      <c r="L2568" s="171">
        <v>46.13</v>
      </c>
      <c r="M2568" s="171">
        <v>50</v>
      </c>
      <c r="N2568" s="171">
        <v>43.03</v>
      </c>
      <c r="O2568" s="171">
        <v>39.950000000000003</v>
      </c>
      <c r="P2568" s="171">
        <v>37.4</v>
      </c>
      <c r="Q2568" s="171">
        <v>32.29</v>
      </c>
      <c r="R2568" s="171">
        <v>30.71</v>
      </c>
      <c r="S2568" s="171">
        <v>29.98</v>
      </c>
      <c r="T2568" s="171">
        <v>30</v>
      </c>
      <c r="U2568" s="171">
        <v>30.05</v>
      </c>
      <c r="V2568" s="171">
        <v>32.160000000000004</v>
      </c>
      <c r="W2568" s="171">
        <v>37.46</v>
      </c>
      <c r="X2568" s="171">
        <v>41.410000000000004</v>
      </c>
      <c r="Y2568" s="171">
        <v>41.01</v>
      </c>
      <c r="Z2568" s="171">
        <v>36.4</v>
      </c>
      <c r="AA2568" s="171">
        <v>33.56</v>
      </c>
      <c r="AB2568" s="171">
        <v>28.900000000000002</v>
      </c>
      <c r="AC2568" s="171">
        <v>32.76</v>
      </c>
      <c r="AD2568" s="171">
        <v>36.200000000000003</v>
      </c>
      <c r="AF2568" s="171">
        <f t="shared" si="122"/>
        <v>2017</v>
      </c>
      <c r="AG2568" s="171">
        <f t="shared" si="123"/>
        <v>21</v>
      </c>
      <c r="AH2568" s="700">
        <f>SUMIF(D$3:$AA2568,"&lt;="&amp;$AH$1)/COUNTIF(D$3:$AA2568,"&lt;="&amp;$AH$1)</f>
        <v>31.412029917120442</v>
      </c>
    </row>
    <row r="2569" spans="2:34" x14ac:dyDescent="0.25">
      <c r="B2569" s="910">
        <v>42823</v>
      </c>
      <c r="C2569" s="581">
        <f t="shared" si="121"/>
        <v>3</v>
      </c>
      <c r="D2569" s="171">
        <v>33.230000000000004</v>
      </c>
      <c r="E2569" s="171">
        <v>28.060000000000002</v>
      </c>
      <c r="F2569" s="171">
        <v>26.71</v>
      </c>
      <c r="G2569" s="171">
        <v>26.68</v>
      </c>
      <c r="H2569" s="171">
        <v>26.07</v>
      </c>
      <c r="I2569" s="171">
        <v>26.09</v>
      </c>
      <c r="J2569" s="171">
        <v>26.95</v>
      </c>
      <c r="K2569" s="171">
        <v>34.160000000000004</v>
      </c>
      <c r="L2569" s="171">
        <v>39.56</v>
      </c>
      <c r="M2569" s="171">
        <v>39.78</v>
      </c>
      <c r="N2569" s="171">
        <v>40</v>
      </c>
      <c r="O2569" s="171">
        <v>40.4</v>
      </c>
      <c r="P2569" s="171">
        <v>36.1</v>
      </c>
      <c r="Q2569" s="171">
        <v>32.4</v>
      </c>
      <c r="R2569" s="171">
        <v>31.32</v>
      </c>
      <c r="S2569" s="171">
        <v>30.94</v>
      </c>
      <c r="T2569" s="171">
        <v>29.52</v>
      </c>
      <c r="U2569" s="171">
        <v>30.650000000000002</v>
      </c>
      <c r="V2569" s="171">
        <v>31.23</v>
      </c>
      <c r="W2569" s="171">
        <v>35.19</v>
      </c>
      <c r="X2569" s="171">
        <v>40.47</v>
      </c>
      <c r="Y2569" s="171">
        <v>41.81</v>
      </c>
      <c r="Z2569" s="171">
        <v>37.660000000000004</v>
      </c>
      <c r="AA2569" s="171">
        <v>35.07</v>
      </c>
      <c r="AB2569" s="171">
        <v>30.72</v>
      </c>
      <c r="AC2569" s="171">
        <v>31.63</v>
      </c>
      <c r="AD2569" s="171">
        <v>34.83</v>
      </c>
      <c r="AF2569" s="171">
        <f t="shared" si="122"/>
        <v>2017</v>
      </c>
      <c r="AG2569" s="171">
        <f t="shared" si="123"/>
        <v>24</v>
      </c>
      <c r="AH2569" s="700">
        <f>SUMIF(D$3:$AA2569,"&lt;="&amp;$AH$1)/COUNTIF(D$3:$AA2569,"&lt;="&amp;$AH$1)</f>
        <v>31.413894341450543</v>
      </c>
    </row>
    <row r="2570" spans="2:34" x14ac:dyDescent="0.25">
      <c r="B2570" s="910">
        <v>42824</v>
      </c>
      <c r="C2570" s="581">
        <f t="shared" si="121"/>
        <v>3</v>
      </c>
      <c r="D2570" s="171">
        <v>33.549999999999997</v>
      </c>
      <c r="E2570" s="171">
        <v>28.73</v>
      </c>
      <c r="F2570" s="171">
        <v>28.02</v>
      </c>
      <c r="G2570" s="171">
        <v>27.3</v>
      </c>
      <c r="H2570" s="171">
        <v>26.38</v>
      </c>
      <c r="I2570" s="171">
        <v>26.78</v>
      </c>
      <c r="J2570" s="171">
        <v>28.52</v>
      </c>
      <c r="K2570" s="171">
        <v>34.29</v>
      </c>
      <c r="L2570" s="171">
        <v>43.06</v>
      </c>
      <c r="M2570" s="171">
        <v>46.01</v>
      </c>
      <c r="N2570" s="171">
        <v>42.86</v>
      </c>
      <c r="O2570" s="171">
        <v>39.93</v>
      </c>
      <c r="P2570" s="171">
        <v>38.42</v>
      </c>
      <c r="Q2570" s="171">
        <v>33.01</v>
      </c>
      <c r="R2570" s="171">
        <v>30.98</v>
      </c>
      <c r="S2570" s="171">
        <v>29.580000000000002</v>
      </c>
      <c r="T2570" s="171">
        <v>29.07</v>
      </c>
      <c r="U2570" s="171">
        <v>28.93</v>
      </c>
      <c r="V2570" s="171">
        <v>30.43</v>
      </c>
      <c r="W2570" s="171">
        <v>35.93</v>
      </c>
      <c r="X2570" s="171">
        <v>40.46</v>
      </c>
      <c r="Y2570" s="171">
        <v>40.07</v>
      </c>
      <c r="Z2570" s="171">
        <v>35</v>
      </c>
      <c r="AA2570" s="171">
        <v>32.47</v>
      </c>
      <c r="AB2570" s="171">
        <v>28.94</v>
      </c>
      <c r="AC2570" s="171">
        <v>31.63</v>
      </c>
      <c r="AD2570" s="171">
        <v>35.47</v>
      </c>
      <c r="AF2570" s="171">
        <f t="shared" si="122"/>
        <v>2017</v>
      </c>
      <c r="AG2570" s="171">
        <f t="shared" si="123"/>
        <v>21</v>
      </c>
      <c r="AH2570" s="700">
        <f>SUMIF(D$3:$AA2570,"&lt;="&amp;$AH$1)/COUNTIF(D$3:$AA2570,"&lt;="&amp;$AH$1)</f>
        <v>31.414627118643029</v>
      </c>
    </row>
    <row r="2571" spans="2:34" x14ac:dyDescent="0.25">
      <c r="B2571" s="910">
        <v>42825</v>
      </c>
      <c r="C2571" s="581">
        <f t="shared" si="121"/>
        <v>3</v>
      </c>
      <c r="D2571" s="171">
        <v>32.33</v>
      </c>
      <c r="E2571" s="171">
        <v>26.91</v>
      </c>
      <c r="F2571" s="171">
        <v>25.7</v>
      </c>
      <c r="G2571" s="171">
        <v>24.45</v>
      </c>
      <c r="H2571" s="171">
        <v>23.05</v>
      </c>
      <c r="I2571" s="171">
        <v>23.45</v>
      </c>
      <c r="J2571" s="171">
        <v>27.240000000000002</v>
      </c>
      <c r="K2571" s="171">
        <v>33.090000000000003</v>
      </c>
      <c r="L2571" s="171">
        <v>37.950000000000003</v>
      </c>
      <c r="M2571" s="171">
        <v>38.99</v>
      </c>
      <c r="N2571" s="171">
        <v>37.97</v>
      </c>
      <c r="O2571" s="171">
        <v>35.93</v>
      </c>
      <c r="P2571" s="171">
        <v>33.32</v>
      </c>
      <c r="Q2571" s="171">
        <v>32.22</v>
      </c>
      <c r="R2571" s="171">
        <v>30</v>
      </c>
      <c r="S2571" s="171">
        <v>29.6</v>
      </c>
      <c r="T2571" s="171">
        <v>29.39</v>
      </c>
      <c r="U2571" s="171">
        <v>29.1</v>
      </c>
      <c r="V2571" s="171">
        <v>30.43</v>
      </c>
      <c r="W2571" s="171">
        <v>34.67</v>
      </c>
      <c r="X2571" s="171">
        <v>38.980000000000004</v>
      </c>
      <c r="Y2571" s="171">
        <v>39.96</v>
      </c>
      <c r="Z2571" s="171">
        <v>39.31</v>
      </c>
      <c r="AA2571" s="171">
        <v>41.15</v>
      </c>
      <c r="AB2571" s="171">
        <v>33</v>
      </c>
      <c r="AC2571" s="171">
        <v>31.27</v>
      </c>
      <c r="AD2571" s="171">
        <v>33.380000000000003</v>
      </c>
      <c r="AF2571" s="171">
        <f t="shared" si="122"/>
        <v>2017</v>
      </c>
      <c r="AG2571" s="171">
        <f t="shared" si="123"/>
        <v>24</v>
      </c>
      <c r="AH2571" s="700">
        <f>SUMIF(D$3:$AA2571,"&lt;="&amp;$AH$1)/COUNTIF(D$3:$AA2571,"&lt;="&amp;$AH$1)</f>
        <v>31.415483389774796</v>
      </c>
    </row>
    <row r="2572" spans="2:34" x14ac:dyDescent="0.25">
      <c r="B2572" s="910">
        <v>42828</v>
      </c>
      <c r="C2572" s="581">
        <f t="shared" si="121"/>
        <v>4</v>
      </c>
      <c r="D2572" s="171">
        <v>38.130000000000003</v>
      </c>
      <c r="E2572" s="171">
        <v>44.480000000000004</v>
      </c>
      <c r="F2572" s="171">
        <v>31.95</v>
      </c>
      <c r="G2572" s="171">
        <v>29.88</v>
      </c>
      <c r="H2572" s="171">
        <v>28.75</v>
      </c>
      <c r="I2572" s="171">
        <v>28.44</v>
      </c>
      <c r="J2572" s="171">
        <v>31.64</v>
      </c>
      <c r="K2572" s="171">
        <v>41.77</v>
      </c>
      <c r="L2572" s="171">
        <v>49.28</v>
      </c>
      <c r="M2572" s="171">
        <v>54.02</v>
      </c>
      <c r="N2572" s="171">
        <v>50</v>
      </c>
      <c r="O2572" s="171">
        <v>48.43</v>
      </c>
      <c r="P2572" s="171">
        <v>44.95</v>
      </c>
      <c r="Q2572" s="171">
        <v>38.93</v>
      </c>
      <c r="R2572" s="171">
        <v>36.68</v>
      </c>
      <c r="S2572" s="171">
        <v>32.94</v>
      </c>
      <c r="T2572" s="171">
        <v>30.91</v>
      </c>
      <c r="U2572" s="171">
        <v>31.720000000000002</v>
      </c>
      <c r="V2572" s="171">
        <v>32.19</v>
      </c>
      <c r="W2572" s="171">
        <v>37.46</v>
      </c>
      <c r="X2572" s="171">
        <v>41.78</v>
      </c>
      <c r="Y2572" s="171">
        <v>43.59</v>
      </c>
      <c r="Z2572" s="171">
        <v>38.97</v>
      </c>
      <c r="AA2572" s="171">
        <v>35.18</v>
      </c>
      <c r="AB2572" s="171">
        <v>31.080000000000002</v>
      </c>
      <c r="AC2572" s="171">
        <v>36.25</v>
      </c>
      <c r="AD2572" s="171">
        <v>40</v>
      </c>
      <c r="AF2572" s="171">
        <f t="shared" si="122"/>
        <v>2017</v>
      </c>
      <c r="AG2572" s="171">
        <f t="shared" si="123"/>
        <v>17</v>
      </c>
      <c r="AH2572" s="700">
        <f>SUMIF(D$3:$AA2572,"&lt;="&amp;$AH$1)/COUNTIF(D$3:$AA2572,"&lt;="&amp;$AH$1)</f>
        <v>31.417629023809436</v>
      </c>
    </row>
    <row r="2573" spans="2:34" x14ac:dyDescent="0.25">
      <c r="B2573" s="910">
        <v>42829</v>
      </c>
      <c r="C2573" s="581">
        <f t="shared" si="121"/>
        <v>4</v>
      </c>
      <c r="D2573" s="171">
        <v>38.6</v>
      </c>
      <c r="E2573" s="171">
        <v>30.45</v>
      </c>
      <c r="F2573" s="171">
        <v>30.13</v>
      </c>
      <c r="G2573" s="171">
        <v>29.29</v>
      </c>
      <c r="H2573" s="171">
        <v>29.47</v>
      </c>
      <c r="I2573" s="171">
        <v>29.8</v>
      </c>
      <c r="J2573" s="171">
        <v>31.830000000000002</v>
      </c>
      <c r="K2573" s="171">
        <v>41.17</v>
      </c>
      <c r="L2573" s="171">
        <v>51.01</v>
      </c>
      <c r="M2573" s="171">
        <v>52.39</v>
      </c>
      <c r="N2573" s="171">
        <v>50.94</v>
      </c>
      <c r="O2573" s="171">
        <v>43.300000000000004</v>
      </c>
      <c r="P2573" s="171">
        <v>42.33</v>
      </c>
      <c r="Q2573" s="171">
        <v>39.160000000000004</v>
      </c>
      <c r="R2573" s="171">
        <v>37.72</v>
      </c>
      <c r="S2573" s="171">
        <v>34.6</v>
      </c>
      <c r="T2573" s="171">
        <v>34.450000000000003</v>
      </c>
      <c r="U2573" s="171">
        <v>34.450000000000003</v>
      </c>
      <c r="V2573" s="171">
        <v>37.49</v>
      </c>
      <c r="W2573" s="171">
        <v>41.59</v>
      </c>
      <c r="X2573" s="171">
        <v>45.26</v>
      </c>
      <c r="Y2573" s="171">
        <v>47.57</v>
      </c>
      <c r="Z2573" s="171">
        <v>40.07</v>
      </c>
      <c r="AA2573" s="171">
        <v>38.910000000000004</v>
      </c>
      <c r="AB2573" s="171">
        <v>33.04</v>
      </c>
      <c r="AC2573" s="171">
        <v>36.06</v>
      </c>
      <c r="AD2573" s="171">
        <v>41.14</v>
      </c>
      <c r="AF2573" s="171">
        <f t="shared" si="122"/>
        <v>2017</v>
      </c>
      <c r="AG2573" s="171">
        <f t="shared" si="123"/>
        <v>18</v>
      </c>
      <c r="AH2573" s="700">
        <f>SUMIF(D$3:$AA2573,"&lt;="&amp;$AH$1)/COUNTIF(D$3:$AA2573,"&lt;="&amp;$AH$1)</f>
        <v>31.420688433510762</v>
      </c>
    </row>
    <row r="2574" spans="2:34" x14ac:dyDescent="0.25">
      <c r="B2574" s="910">
        <v>42830</v>
      </c>
      <c r="C2574" s="581">
        <f t="shared" si="121"/>
        <v>4</v>
      </c>
      <c r="D2574" s="171">
        <v>34.56</v>
      </c>
      <c r="E2574" s="171">
        <v>30</v>
      </c>
      <c r="F2574" s="171">
        <v>29.64</v>
      </c>
      <c r="G2574" s="171">
        <v>28.39</v>
      </c>
      <c r="H2574" s="171">
        <v>27.94</v>
      </c>
      <c r="I2574" s="171">
        <v>27.490000000000002</v>
      </c>
      <c r="J2574" s="171">
        <v>29.650000000000002</v>
      </c>
      <c r="K2574" s="171">
        <v>37.1</v>
      </c>
      <c r="L2574" s="171">
        <v>44.2</v>
      </c>
      <c r="M2574" s="171">
        <v>48.1</v>
      </c>
      <c r="N2574" s="171">
        <v>46.19</v>
      </c>
      <c r="O2574" s="171">
        <v>43.7</v>
      </c>
      <c r="P2574" s="171">
        <v>43.45</v>
      </c>
      <c r="Q2574" s="171">
        <v>34.03</v>
      </c>
      <c r="R2574" s="171">
        <v>37.43</v>
      </c>
      <c r="S2574" s="171">
        <v>35</v>
      </c>
      <c r="T2574" s="171">
        <v>31.1</v>
      </c>
      <c r="U2574" s="171">
        <v>30.1</v>
      </c>
      <c r="V2574" s="171">
        <v>31.7</v>
      </c>
      <c r="W2574" s="171">
        <v>29.900000000000002</v>
      </c>
      <c r="X2574" s="171">
        <v>32.69</v>
      </c>
      <c r="Y2574" s="171">
        <v>35</v>
      </c>
      <c r="Z2574" s="171">
        <v>37.4</v>
      </c>
      <c r="AA2574" s="171">
        <v>30.1</v>
      </c>
      <c r="AB2574" s="171">
        <v>29.2</v>
      </c>
      <c r="AC2574" s="171">
        <v>32.18</v>
      </c>
      <c r="AD2574" s="171">
        <v>36.950000000000003</v>
      </c>
      <c r="AF2574" s="171">
        <f t="shared" si="122"/>
        <v>2017</v>
      </c>
      <c r="AG2574" s="171">
        <f t="shared" si="123"/>
        <v>19</v>
      </c>
      <c r="AH2574" s="700">
        <f>SUMIF(D$3:$AA2574,"&lt;="&amp;$AH$1)/COUNTIF(D$3:$AA2574,"&lt;="&amp;$AH$1)</f>
        <v>31.421180304126388</v>
      </c>
    </row>
    <row r="2575" spans="2:34" x14ac:dyDescent="0.25">
      <c r="B2575" s="910">
        <v>42831</v>
      </c>
      <c r="C2575" s="581">
        <f t="shared" si="121"/>
        <v>4</v>
      </c>
      <c r="D2575" s="171">
        <v>36.119999999999997</v>
      </c>
      <c r="E2575" s="171">
        <v>28.3</v>
      </c>
      <c r="F2575" s="171">
        <v>27.8</v>
      </c>
      <c r="G2575" s="171">
        <v>27.67</v>
      </c>
      <c r="H2575" s="171">
        <v>27.61</v>
      </c>
      <c r="I2575" s="171">
        <v>28.400000000000002</v>
      </c>
      <c r="J2575" s="171">
        <v>28.8</v>
      </c>
      <c r="K2575" s="171">
        <v>35.96</v>
      </c>
      <c r="L2575" s="171">
        <v>40.97</v>
      </c>
      <c r="M2575" s="171">
        <v>47.300000000000004</v>
      </c>
      <c r="N2575" s="171">
        <v>51.5</v>
      </c>
      <c r="O2575" s="171">
        <v>51.2</v>
      </c>
      <c r="P2575" s="171">
        <v>43.800000000000004</v>
      </c>
      <c r="Q2575" s="171">
        <v>34.9</v>
      </c>
      <c r="R2575" s="171">
        <v>34.9</v>
      </c>
      <c r="S2575" s="171">
        <v>33</v>
      </c>
      <c r="T2575" s="171">
        <v>32.4</v>
      </c>
      <c r="U2575" s="171">
        <v>35</v>
      </c>
      <c r="V2575" s="171">
        <v>32.119999999999997</v>
      </c>
      <c r="W2575" s="171">
        <v>38.050000000000004</v>
      </c>
      <c r="X2575" s="171">
        <v>40.980000000000004</v>
      </c>
      <c r="Y2575" s="171">
        <v>40.869999999999997</v>
      </c>
      <c r="Z2575" s="171">
        <v>38.04</v>
      </c>
      <c r="AA2575" s="171">
        <v>37.4</v>
      </c>
      <c r="AB2575" s="171">
        <v>30</v>
      </c>
      <c r="AC2575" s="171">
        <v>32.65</v>
      </c>
      <c r="AD2575" s="171">
        <v>39.6</v>
      </c>
      <c r="AF2575" s="171">
        <f t="shared" si="122"/>
        <v>2017</v>
      </c>
      <c r="AG2575" s="171">
        <f t="shared" si="123"/>
        <v>20</v>
      </c>
      <c r="AH2575" s="700">
        <f>SUMIF(D$3:$AA2575,"&lt;="&amp;$AH$1)/COUNTIF(D$3:$AA2575,"&lt;="&amp;$AH$1)</f>
        <v>31.423224937694911</v>
      </c>
    </row>
    <row r="2576" spans="2:34" x14ac:dyDescent="0.25">
      <c r="B2576" s="910">
        <v>42832</v>
      </c>
      <c r="C2576" s="581">
        <f t="shared" si="121"/>
        <v>4</v>
      </c>
      <c r="D2576" s="171">
        <v>39.300000000000004</v>
      </c>
      <c r="E2576" s="171">
        <v>35.19</v>
      </c>
      <c r="F2576" s="171">
        <v>29.1</v>
      </c>
      <c r="G2576" s="171">
        <v>29</v>
      </c>
      <c r="H2576" s="171">
        <v>29.900000000000002</v>
      </c>
      <c r="I2576" s="171">
        <v>29.900000000000002</v>
      </c>
      <c r="J2576" s="171">
        <v>29</v>
      </c>
      <c r="K2576" s="171">
        <v>32.049999999999997</v>
      </c>
      <c r="L2576" s="171">
        <v>39.97</v>
      </c>
      <c r="M2576" s="171">
        <v>54.89</v>
      </c>
      <c r="N2576" s="171">
        <v>71.010000000000005</v>
      </c>
      <c r="O2576" s="171">
        <v>55.57</v>
      </c>
      <c r="P2576" s="171">
        <v>52.43</v>
      </c>
      <c r="Q2576" s="171">
        <v>40.47</v>
      </c>
      <c r="R2576" s="171">
        <v>38.26</v>
      </c>
      <c r="S2576" s="171">
        <v>38.6</v>
      </c>
      <c r="T2576" s="171">
        <v>32.97</v>
      </c>
      <c r="U2576" s="171">
        <v>32.980000000000004</v>
      </c>
      <c r="V2576" s="171">
        <v>36.090000000000003</v>
      </c>
      <c r="W2576" s="171">
        <v>39.119999999999997</v>
      </c>
      <c r="X2576" s="171">
        <v>39.910000000000004</v>
      </c>
      <c r="Y2576" s="171">
        <v>39.96</v>
      </c>
      <c r="Z2576" s="171">
        <v>39.31</v>
      </c>
      <c r="AA2576" s="171">
        <v>39.660000000000004</v>
      </c>
      <c r="AB2576" s="171">
        <v>37.93</v>
      </c>
      <c r="AC2576" s="171">
        <v>34.25</v>
      </c>
      <c r="AD2576" s="171">
        <v>44.36</v>
      </c>
      <c r="AF2576" s="171">
        <f t="shared" si="122"/>
        <v>2017</v>
      </c>
      <c r="AG2576" s="171">
        <f t="shared" si="123"/>
        <v>20</v>
      </c>
      <c r="AH2576" s="700">
        <f>SUMIF(D$3:$AA2576,"&lt;="&amp;$AH$1)/COUNTIF(D$3:$AA2576,"&lt;="&amp;$AH$1)</f>
        <v>31.426529440114628</v>
      </c>
    </row>
    <row r="2577" spans="2:34" x14ac:dyDescent="0.25">
      <c r="B2577" s="910">
        <v>42835</v>
      </c>
      <c r="C2577" s="581">
        <f t="shared" si="121"/>
        <v>4</v>
      </c>
      <c r="D2577" s="171">
        <v>36.4</v>
      </c>
      <c r="E2577" s="171">
        <v>32</v>
      </c>
      <c r="F2577" s="171">
        <v>27.13</v>
      </c>
      <c r="G2577" s="171">
        <v>28.35</v>
      </c>
      <c r="H2577" s="171">
        <v>27.03</v>
      </c>
      <c r="I2577" s="171">
        <v>27.02</v>
      </c>
      <c r="J2577" s="171">
        <v>29</v>
      </c>
      <c r="K2577" s="171">
        <v>39.9</v>
      </c>
      <c r="L2577" s="171">
        <v>43.17</v>
      </c>
      <c r="M2577" s="171">
        <v>40.15</v>
      </c>
      <c r="N2577" s="171">
        <v>50.79</v>
      </c>
      <c r="O2577" s="171">
        <v>50</v>
      </c>
      <c r="P2577" s="171">
        <v>47.62</v>
      </c>
      <c r="Q2577" s="171">
        <v>40</v>
      </c>
      <c r="R2577" s="171">
        <v>37.200000000000003</v>
      </c>
      <c r="S2577" s="171">
        <v>34.93</v>
      </c>
      <c r="T2577" s="171">
        <v>31.6</v>
      </c>
      <c r="U2577" s="171">
        <v>30.16</v>
      </c>
      <c r="V2577" s="171">
        <v>33.299999999999997</v>
      </c>
      <c r="W2577" s="171">
        <v>32.26</v>
      </c>
      <c r="X2577" s="171">
        <v>38.32</v>
      </c>
      <c r="Y2577" s="171">
        <v>38.74</v>
      </c>
      <c r="Z2577" s="171">
        <v>38.160000000000004</v>
      </c>
      <c r="AA2577" s="171">
        <v>43.4</v>
      </c>
      <c r="AB2577" s="171">
        <v>33.299999999999997</v>
      </c>
      <c r="AC2577" s="171">
        <v>33.93</v>
      </c>
      <c r="AD2577" s="171">
        <v>38.86</v>
      </c>
      <c r="AF2577" s="171">
        <f t="shared" si="122"/>
        <v>2017</v>
      </c>
      <c r="AG2577" s="171">
        <f t="shared" si="123"/>
        <v>19</v>
      </c>
      <c r="AH2577" s="700">
        <f>SUMIF(D$3:$AA2577,"&lt;="&amp;$AH$1)/COUNTIF(D$3:$AA2577,"&lt;="&amp;$AH$1)</f>
        <v>31.428317213146613</v>
      </c>
    </row>
    <row r="2578" spans="2:34" x14ac:dyDescent="0.25">
      <c r="B2578" s="910">
        <v>42836</v>
      </c>
      <c r="C2578" s="581">
        <f t="shared" si="121"/>
        <v>4</v>
      </c>
      <c r="D2578" s="171">
        <v>38.43</v>
      </c>
      <c r="E2578" s="171">
        <v>39.9</v>
      </c>
      <c r="F2578" s="171">
        <v>30.68</v>
      </c>
      <c r="G2578" s="171">
        <v>29.5</v>
      </c>
      <c r="H2578" s="171">
        <v>29</v>
      </c>
      <c r="I2578" s="171">
        <v>27.02</v>
      </c>
      <c r="J2578" s="171">
        <v>28.8</v>
      </c>
      <c r="K2578" s="171">
        <v>37.910000000000004</v>
      </c>
      <c r="L2578" s="171">
        <v>44.9</v>
      </c>
      <c r="M2578" s="171">
        <v>51.97</v>
      </c>
      <c r="N2578" s="171">
        <v>65</v>
      </c>
      <c r="O2578" s="171">
        <v>49.33</v>
      </c>
      <c r="P2578" s="171">
        <v>44.51</v>
      </c>
      <c r="Q2578" s="171">
        <v>39.9</v>
      </c>
      <c r="R2578" s="171">
        <v>37.910000000000004</v>
      </c>
      <c r="S2578" s="171">
        <v>36.980000000000004</v>
      </c>
      <c r="T2578" s="171">
        <v>32.020000000000003</v>
      </c>
      <c r="U2578" s="171">
        <v>31.830000000000002</v>
      </c>
      <c r="V2578" s="171">
        <v>35.300000000000004</v>
      </c>
      <c r="W2578" s="171">
        <v>37.950000000000003</v>
      </c>
      <c r="X2578" s="171">
        <v>43.1</v>
      </c>
      <c r="Y2578" s="171">
        <v>43.27</v>
      </c>
      <c r="Z2578" s="171">
        <v>38.380000000000003</v>
      </c>
      <c r="AA2578" s="171">
        <v>37.08</v>
      </c>
      <c r="AB2578" s="171">
        <v>30.17</v>
      </c>
      <c r="AC2578" s="171">
        <v>34.72</v>
      </c>
      <c r="AD2578" s="171">
        <v>42.15</v>
      </c>
      <c r="AF2578" s="171">
        <f t="shared" si="122"/>
        <v>2017</v>
      </c>
      <c r="AG2578" s="171">
        <f t="shared" si="123"/>
        <v>17</v>
      </c>
      <c r="AH2578" s="700">
        <f>SUMIF(D$3:$AA2578,"&lt;="&amp;$AH$1)/COUNTIF(D$3:$AA2578,"&lt;="&amp;$AH$1)</f>
        <v>31.430495307611068</v>
      </c>
    </row>
    <row r="2579" spans="2:34" x14ac:dyDescent="0.25">
      <c r="B2579" s="910">
        <v>42837</v>
      </c>
      <c r="C2579" s="581">
        <f t="shared" si="121"/>
        <v>4</v>
      </c>
      <c r="D2579" s="171">
        <v>34.11</v>
      </c>
      <c r="E2579" s="171">
        <v>26.85</v>
      </c>
      <c r="F2579" s="171">
        <v>26.71</v>
      </c>
      <c r="G2579" s="171">
        <v>28.900000000000002</v>
      </c>
      <c r="H2579" s="171">
        <v>26.89</v>
      </c>
      <c r="I2579" s="171">
        <v>27</v>
      </c>
      <c r="J2579" s="171">
        <v>26.6</v>
      </c>
      <c r="K2579" s="171">
        <v>31.02</v>
      </c>
      <c r="L2579" s="171">
        <v>36.44</v>
      </c>
      <c r="M2579" s="171">
        <v>44.9</v>
      </c>
      <c r="N2579" s="171">
        <v>50.04</v>
      </c>
      <c r="O2579" s="171">
        <v>41.2</v>
      </c>
      <c r="P2579" s="171">
        <v>32.4</v>
      </c>
      <c r="Q2579" s="171">
        <v>37.4</v>
      </c>
      <c r="R2579" s="171">
        <v>34.9</v>
      </c>
      <c r="S2579" s="171">
        <v>32.4</v>
      </c>
      <c r="T2579" s="171">
        <v>30</v>
      </c>
      <c r="U2579" s="171">
        <v>31.8</v>
      </c>
      <c r="V2579" s="171">
        <v>31.970000000000002</v>
      </c>
      <c r="W2579" s="171">
        <v>31.900000000000002</v>
      </c>
      <c r="X2579" s="171">
        <v>33.78</v>
      </c>
      <c r="Y2579" s="171">
        <v>40.26</v>
      </c>
      <c r="Z2579" s="171">
        <v>44.800000000000004</v>
      </c>
      <c r="AA2579" s="171">
        <v>39.9</v>
      </c>
      <c r="AB2579" s="171">
        <v>30.6</v>
      </c>
      <c r="AC2579" s="171">
        <v>32.160000000000004</v>
      </c>
      <c r="AD2579" s="171">
        <v>36.06</v>
      </c>
      <c r="AF2579" s="171">
        <f t="shared" si="122"/>
        <v>2017</v>
      </c>
      <c r="AG2579" s="171">
        <f t="shared" si="123"/>
        <v>21</v>
      </c>
      <c r="AH2579" s="700">
        <f>SUMIF(D$3:$AA2579,"&lt;="&amp;$AH$1)/COUNTIF(D$3:$AA2579,"&lt;="&amp;$AH$1)</f>
        <v>31.431392506510697</v>
      </c>
    </row>
    <row r="2580" spans="2:34" x14ac:dyDescent="0.25">
      <c r="B2580" s="910">
        <v>42838</v>
      </c>
      <c r="C2580" s="581">
        <f t="shared" si="121"/>
        <v>4</v>
      </c>
      <c r="D2580" s="171">
        <v>36.49</v>
      </c>
      <c r="E2580" s="171">
        <v>31</v>
      </c>
      <c r="F2580" s="171">
        <v>28.900000000000002</v>
      </c>
      <c r="G2580" s="171">
        <v>27</v>
      </c>
      <c r="H2580" s="171">
        <v>26.900000000000002</v>
      </c>
      <c r="I2580" s="171">
        <v>27</v>
      </c>
      <c r="J2580" s="171">
        <v>27.64</v>
      </c>
      <c r="K2580" s="171">
        <v>31.95</v>
      </c>
      <c r="L2580" s="171">
        <v>37.4</v>
      </c>
      <c r="M2580" s="171">
        <v>42.04</v>
      </c>
      <c r="N2580" s="171">
        <v>45</v>
      </c>
      <c r="O2580" s="171">
        <v>45</v>
      </c>
      <c r="P2580" s="171">
        <v>45.74</v>
      </c>
      <c r="Q2580" s="171">
        <v>40</v>
      </c>
      <c r="R2580" s="171">
        <v>40</v>
      </c>
      <c r="S2580" s="171">
        <v>37.4</v>
      </c>
      <c r="T2580" s="171">
        <v>37.200000000000003</v>
      </c>
      <c r="U2580" s="171">
        <v>33.67</v>
      </c>
      <c r="V2580" s="171">
        <v>34.83</v>
      </c>
      <c r="W2580" s="171">
        <v>35.93</v>
      </c>
      <c r="X2580" s="171">
        <v>40</v>
      </c>
      <c r="Y2580" s="171">
        <v>42.24</v>
      </c>
      <c r="Z2580" s="171">
        <v>39.9</v>
      </c>
      <c r="AA2580" s="171">
        <v>40.340000000000003</v>
      </c>
      <c r="AB2580" s="171">
        <v>38.770000000000003</v>
      </c>
      <c r="AC2580" s="171">
        <v>33.25</v>
      </c>
      <c r="AD2580" s="171">
        <v>39.730000000000004</v>
      </c>
      <c r="AF2580" s="171">
        <f t="shared" si="122"/>
        <v>2017</v>
      </c>
      <c r="AG2580" s="171">
        <f t="shared" si="123"/>
        <v>21</v>
      </c>
      <c r="AH2580" s="700">
        <f>SUMIF(D$3:$AA2580,"&lt;="&amp;$AH$1)/COUNTIF(D$3:$AA2580,"&lt;="&amp;$AH$1)</f>
        <v>31.434506326072007</v>
      </c>
    </row>
    <row r="2581" spans="2:34" x14ac:dyDescent="0.25">
      <c r="B2581" s="910">
        <v>42839</v>
      </c>
      <c r="C2581" s="581">
        <f t="shared" si="121"/>
        <v>4</v>
      </c>
      <c r="D2581" s="171">
        <v>38.85</v>
      </c>
      <c r="E2581" s="171">
        <v>30.6</v>
      </c>
      <c r="F2581" s="171">
        <v>31.17</v>
      </c>
      <c r="G2581" s="171">
        <v>29.73</v>
      </c>
      <c r="H2581" s="171">
        <v>29</v>
      </c>
      <c r="I2581" s="171">
        <v>27.740000000000002</v>
      </c>
      <c r="J2581" s="171">
        <v>30.900000000000002</v>
      </c>
      <c r="K2581" s="171">
        <v>35.1</v>
      </c>
      <c r="L2581" s="171">
        <v>42.33</v>
      </c>
      <c r="M2581" s="171">
        <v>44.980000000000004</v>
      </c>
      <c r="N2581" s="171">
        <v>60.51</v>
      </c>
      <c r="O2581" s="171">
        <v>62.83</v>
      </c>
      <c r="P2581" s="171">
        <v>61.04</v>
      </c>
      <c r="Q2581" s="171">
        <v>37.19</v>
      </c>
      <c r="R2581" s="171">
        <v>42.910000000000004</v>
      </c>
      <c r="S2581" s="171">
        <v>37.770000000000003</v>
      </c>
      <c r="T2581" s="171">
        <v>34.660000000000004</v>
      </c>
      <c r="U2581" s="171">
        <v>33.89</v>
      </c>
      <c r="V2581" s="171">
        <v>35.26</v>
      </c>
      <c r="W2581" s="171">
        <v>36.9</v>
      </c>
      <c r="X2581" s="171">
        <v>38.74</v>
      </c>
      <c r="Y2581" s="171">
        <v>38.369999999999997</v>
      </c>
      <c r="Z2581" s="171">
        <v>38.550000000000004</v>
      </c>
      <c r="AA2581" s="171">
        <v>37.450000000000003</v>
      </c>
      <c r="AB2581" s="171">
        <v>34.69</v>
      </c>
      <c r="AC2581" s="171">
        <v>33.799999999999997</v>
      </c>
      <c r="AD2581" s="171">
        <v>43.89</v>
      </c>
      <c r="AF2581" s="171">
        <f t="shared" si="122"/>
        <v>2017</v>
      </c>
      <c r="AG2581" s="171">
        <f t="shared" si="123"/>
        <v>19</v>
      </c>
      <c r="AH2581" s="700">
        <f>SUMIF(D$3:$AA2581,"&lt;="&amp;$AH$1)/COUNTIF(D$3:$AA2581,"&lt;="&amp;$AH$1)</f>
        <v>31.437184636926364</v>
      </c>
    </row>
    <row r="2582" spans="2:34" x14ac:dyDescent="0.25">
      <c r="B2582" s="910">
        <v>42842</v>
      </c>
      <c r="C2582" s="581">
        <f t="shared" si="121"/>
        <v>4</v>
      </c>
      <c r="D2582" s="171">
        <v>30.91</v>
      </c>
      <c r="E2582" s="171">
        <v>44.9</v>
      </c>
      <c r="F2582" s="171">
        <v>31.810000000000002</v>
      </c>
      <c r="G2582" s="171">
        <v>30</v>
      </c>
      <c r="H2582" s="171">
        <v>28.77</v>
      </c>
      <c r="I2582" s="171">
        <v>28.59</v>
      </c>
      <c r="J2582" s="171">
        <v>27.95</v>
      </c>
      <c r="K2582" s="171">
        <v>28.560000000000002</v>
      </c>
      <c r="L2582" s="171">
        <v>27.44</v>
      </c>
      <c r="M2582" s="171">
        <v>29.900000000000002</v>
      </c>
      <c r="N2582" s="171">
        <v>30.17</v>
      </c>
      <c r="O2582" s="171">
        <v>29.6</v>
      </c>
      <c r="P2582" s="171">
        <v>29</v>
      </c>
      <c r="Q2582" s="171">
        <v>27.42</v>
      </c>
      <c r="R2582" s="171">
        <v>26.1</v>
      </c>
      <c r="S2582" s="171">
        <v>20.740000000000002</v>
      </c>
      <c r="T2582" s="171">
        <v>27.6</v>
      </c>
      <c r="U2582" s="171">
        <v>27.16</v>
      </c>
      <c r="V2582" s="171">
        <v>24.900000000000002</v>
      </c>
      <c r="W2582" s="171">
        <v>30</v>
      </c>
      <c r="X2582" s="171">
        <v>32.15</v>
      </c>
      <c r="Y2582" s="171">
        <v>33.910000000000004</v>
      </c>
      <c r="Z2582" s="171">
        <v>42.22</v>
      </c>
      <c r="AA2582" s="171">
        <v>46.4</v>
      </c>
      <c r="AB2582" s="171">
        <v>36.619999999999997</v>
      </c>
      <c r="AC2582" s="171">
        <v>33.93</v>
      </c>
      <c r="AD2582" s="171">
        <v>27.900000000000002</v>
      </c>
      <c r="AF2582" s="171">
        <f t="shared" si="122"/>
        <v>2017</v>
      </c>
      <c r="AG2582" s="171">
        <f t="shared" si="123"/>
        <v>22</v>
      </c>
      <c r="AH2582" s="700">
        <f>SUMIF(D$3:$AA2582,"&lt;="&amp;$AH$1)/COUNTIF(D$3:$AA2582,"&lt;="&amp;$AH$1)</f>
        <v>31.43531718431365</v>
      </c>
    </row>
    <row r="2583" spans="2:34" x14ac:dyDescent="0.25">
      <c r="B2583" s="910">
        <v>42843</v>
      </c>
      <c r="C2583" s="581">
        <f t="shared" si="121"/>
        <v>4</v>
      </c>
      <c r="D2583" s="171">
        <v>35.81</v>
      </c>
      <c r="E2583" s="171">
        <v>45.79</v>
      </c>
      <c r="F2583" s="171">
        <v>30.990000000000002</v>
      </c>
      <c r="G2583" s="171">
        <v>32.130000000000003</v>
      </c>
      <c r="H2583" s="171">
        <v>28.54</v>
      </c>
      <c r="I2583" s="171">
        <v>28.86</v>
      </c>
      <c r="J2583" s="171">
        <v>30.91</v>
      </c>
      <c r="K2583" s="171">
        <v>39.94</v>
      </c>
      <c r="L2583" s="171">
        <v>43.35</v>
      </c>
      <c r="M2583" s="171">
        <v>46.89</v>
      </c>
      <c r="N2583" s="171">
        <v>46.69</v>
      </c>
      <c r="O2583" s="171">
        <v>43.300000000000004</v>
      </c>
      <c r="P2583" s="171">
        <v>39.590000000000003</v>
      </c>
      <c r="Q2583" s="171">
        <v>36.39</v>
      </c>
      <c r="R2583" s="171">
        <v>33.83</v>
      </c>
      <c r="S2583" s="171">
        <v>31.04</v>
      </c>
      <c r="T2583" s="171">
        <v>30.43</v>
      </c>
      <c r="U2583" s="171">
        <v>30.1</v>
      </c>
      <c r="V2583" s="171">
        <v>30.85</v>
      </c>
      <c r="W2583" s="171">
        <v>33.92</v>
      </c>
      <c r="X2583" s="171">
        <v>36.4</v>
      </c>
      <c r="Y2583" s="171">
        <v>38</v>
      </c>
      <c r="Z2583" s="171">
        <v>37.4</v>
      </c>
      <c r="AA2583" s="171">
        <v>32.950000000000003</v>
      </c>
      <c r="AB2583" s="171">
        <v>31.07</v>
      </c>
      <c r="AC2583" s="171">
        <v>34.99</v>
      </c>
      <c r="AD2583" s="171">
        <v>36.619999999999997</v>
      </c>
      <c r="AF2583" s="171">
        <f t="shared" si="122"/>
        <v>2017</v>
      </c>
      <c r="AG2583" s="171">
        <f t="shared" si="123"/>
        <v>19</v>
      </c>
      <c r="AH2583" s="700">
        <f>SUMIF(D$3:$AA2583,"&lt;="&amp;$AH$1)/COUNTIF(D$3:$AA2583,"&lt;="&amp;$AH$1)</f>
        <v>31.436947196036694</v>
      </c>
    </row>
    <row r="2584" spans="2:34" x14ac:dyDescent="0.25">
      <c r="B2584" s="910">
        <v>42844</v>
      </c>
      <c r="C2584" s="581">
        <f t="shared" si="121"/>
        <v>4</v>
      </c>
      <c r="D2584" s="171">
        <v>37.5</v>
      </c>
      <c r="E2584" s="171">
        <v>29.38</v>
      </c>
      <c r="F2584" s="171">
        <v>29.060000000000002</v>
      </c>
      <c r="G2584" s="171">
        <v>29.54</v>
      </c>
      <c r="H2584" s="171">
        <v>30.25</v>
      </c>
      <c r="I2584" s="171">
        <v>30.830000000000002</v>
      </c>
      <c r="J2584" s="171">
        <v>31.810000000000002</v>
      </c>
      <c r="K2584" s="171">
        <v>38.9</v>
      </c>
      <c r="L2584" s="171">
        <v>46.88</v>
      </c>
      <c r="M2584" s="171">
        <v>51.5</v>
      </c>
      <c r="N2584" s="171">
        <v>55</v>
      </c>
      <c r="O2584" s="171">
        <v>43.5</v>
      </c>
      <c r="P2584" s="171">
        <v>37.4</v>
      </c>
      <c r="Q2584" s="171">
        <v>37.1</v>
      </c>
      <c r="R2584" s="171">
        <v>36.61</v>
      </c>
      <c r="S2584" s="171">
        <v>34.47</v>
      </c>
      <c r="T2584" s="171">
        <v>33.07</v>
      </c>
      <c r="U2584" s="171">
        <v>33.730000000000004</v>
      </c>
      <c r="V2584" s="171">
        <v>36.89</v>
      </c>
      <c r="W2584" s="171">
        <v>38.92</v>
      </c>
      <c r="X2584" s="171">
        <v>41.19</v>
      </c>
      <c r="Y2584" s="171">
        <v>44.01</v>
      </c>
      <c r="Z2584" s="171">
        <v>43.06</v>
      </c>
      <c r="AA2584" s="171">
        <v>34.9</v>
      </c>
      <c r="AB2584" s="171">
        <v>32</v>
      </c>
      <c r="AC2584" s="171">
        <v>35.050000000000004</v>
      </c>
      <c r="AD2584" s="171">
        <v>39.950000000000003</v>
      </c>
      <c r="AF2584" s="171">
        <f t="shared" si="122"/>
        <v>2017</v>
      </c>
      <c r="AG2584" s="171">
        <f t="shared" si="123"/>
        <v>18</v>
      </c>
      <c r="AH2584" s="700">
        <f>SUMIF(D$3:$AA2584,"&lt;="&amp;$AH$1)/COUNTIF(D$3:$AA2584,"&lt;="&amp;$AH$1)</f>
        <v>31.439169793245579</v>
      </c>
    </row>
    <row r="2585" spans="2:34" x14ac:dyDescent="0.25">
      <c r="B2585" s="910">
        <v>42845</v>
      </c>
      <c r="C2585" s="581">
        <f t="shared" si="121"/>
        <v>4</v>
      </c>
      <c r="D2585" s="171">
        <v>35.85</v>
      </c>
      <c r="E2585" s="171">
        <v>30</v>
      </c>
      <c r="F2585" s="171">
        <v>29.94</v>
      </c>
      <c r="G2585" s="171">
        <v>30</v>
      </c>
      <c r="H2585" s="171">
        <v>31.240000000000002</v>
      </c>
      <c r="I2585" s="171">
        <v>30</v>
      </c>
      <c r="J2585" s="171">
        <v>30.48</v>
      </c>
      <c r="K2585" s="171">
        <v>42.03</v>
      </c>
      <c r="L2585" s="171">
        <v>48.410000000000004</v>
      </c>
      <c r="M2585" s="171">
        <v>52</v>
      </c>
      <c r="N2585" s="171">
        <v>44</v>
      </c>
      <c r="O2585" s="171">
        <v>33</v>
      </c>
      <c r="P2585" s="171">
        <v>32.1</v>
      </c>
      <c r="Q2585" s="171">
        <v>32.4</v>
      </c>
      <c r="R2585" s="171">
        <v>32.4</v>
      </c>
      <c r="S2585" s="171">
        <v>30.34</v>
      </c>
      <c r="T2585" s="171">
        <v>30.14</v>
      </c>
      <c r="U2585" s="171">
        <v>30.86</v>
      </c>
      <c r="V2585" s="171">
        <v>36.89</v>
      </c>
      <c r="W2585" s="171">
        <v>39.94</v>
      </c>
      <c r="X2585" s="171">
        <v>45.01</v>
      </c>
      <c r="Y2585" s="171">
        <v>46.61</v>
      </c>
      <c r="Z2585" s="171">
        <v>41.730000000000004</v>
      </c>
      <c r="AA2585" s="171">
        <v>30</v>
      </c>
      <c r="AB2585" s="171">
        <v>30.93</v>
      </c>
      <c r="AC2585" s="171">
        <v>35.11</v>
      </c>
      <c r="AD2585" s="171">
        <v>36.590000000000003</v>
      </c>
      <c r="AF2585" s="171">
        <f t="shared" si="122"/>
        <v>2017</v>
      </c>
      <c r="AG2585" s="171">
        <f t="shared" si="123"/>
        <v>19</v>
      </c>
      <c r="AH2585" s="700">
        <f>SUMIF(D$3:$AA2585,"&lt;="&amp;$AH$1)/COUNTIF(D$3:$AA2585,"&lt;="&amp;$AH$1)</f>
        <v>31.44044589797689</v>
      </c>
    </row>
    <row r="2586" spans="2:34" x14ac:dyDescent="0.25">
      <c r="B2586" s="910">
        <v>42846</v>
      </c>
      <c r="C2586" s="581">
        <f t="shared" si="121"/>
        <v>4</v>
      </c>
      <c r="D2586" s="171">
        <v>34.450000000000003</v>
      </c>
      <c r="E2586" s="171">
        <v>29.3</v>
      </c>
      <c r="F2586" s="171">
        <v>29.3</v>
      </c>
      <c r="G2586" s="171">
        <v>30</v>
      </c>
      <c r="H2586" s="171">
        <v>29.3</v>
      </c>
      <c r="I2586" s="171">
        <v>29.75</v>
      </c>
      <c r="J2586" s="171">
        <v>29.29</v>
      </c>
      <c r="K2586" s="171">
        <v>37.74</v>
      </c>
      <c r="L2586" s="171">
        <v>42.5</v>
      </c>
      <c r="M2586" s="171">
        <v>52.67</v>
      </c>
      <c r="N2586" s="171">
        <v>54</v>
      </c>
      <c r="O2586" s="171">
        <v>42.5</v>
      </c>
      <c r="P2586" s="171">
        <v>39</v>
      </c>
      <c r="Q2586" s="171">
        <v>32.4</v>
      </c>
      <c r="R2586" s="171">
        <v>34.9</v>
      </c>
      <c r="S2586" s="171">
        <v>35</v>
      </c>
      <c r="T2586" s="171">
        <v>29.900000000000002</v>
      </c>
      <c r="U2586" s="171">
        <v>29.75</v>
      </c>
      <c r="V2586" s="171">
        <v>30</v>
      </c>
      <c r="W2586" s="171">
        <v>30</v>
      </c>
      <c r="X2586" s="171">
        <v>31.02</v>
      </c>
      <c r="Y2586" s="171">
        <v>30.64</v>
      </c>
      <c r="Z2586" s="171">
        <v>30.8</v>
      </c>
      <c r="AA2586" s="171">
        <v>32</v>
      </c>
      <c r="AB2586" s="171">
        <v>35.1</v>
      </c>
      <c r="AC2586" s="171">
        <v>32.14</v>
      </c>
      <c r="AD2586" s="171">
        <v>36.76</v>
      </c>
      <c r="AF2586" s="171">
        <f t="shared" si="122"/>
        <v>2017</v>
      </c>
      <c r="AG2586" s="171">
        <f t="shared" si="123"/>
        <v>22</v>
      </c>
      <c r="AH2586" s="700">
        <f>SUMIF(D$3:$AA2586,"&lt;="&amp;$AH$1)/COUNTIF(D$3:$AA2586,"&lt;="&amp;$AH$1)</f>
        <v>31.441555688383136</v>
      </c>
    </row>
    <row r="2587" spans="2:34" x14ac:dyDescent="0.25">
      <c r="B2587" s="910">
        <v>42849</v>
      </c>
      <c r="C2587" s="581">
        <f t="shared" si="121"/>
        <v>4</v>
      </c>
      <c r="D2587" s="171">
        <v>35.770000000000003</v>
      </c>
      <c r="E2587" s="171">
        <v>41.64</v>
      </c>
      <c r="F2587" s="171">
        <v>34.67</v>
      </c>
      <c r="G2587" s="171">
        <v>32</v>
      </c>
      <c r="H2587" s="171">
        <v>30.2</v>
      </c>
      <c r="I2587" s="171">
        <v>29</v>
      </c>
      <c r="J2587" s="171">
        <v>30.26</v>
      </c>
      <c r="K2587" s="171">
        <v>38.83</v>
      </c>
      <c r="L2587" s="171">
        <v>40.89</v>
      </c>
      <c r="M2587" s="171">
        <v>40.86</v>
      </c>
      <c r="N2587" s="171">
        <v>31.8</v>
      </c>
      <c r="O2587" s="171">
        <v>30.1</v>
      </c>
      <c r="P2587" s="171">
        <v>30.060000000000002</v>
      </c>
      <c r="Q2587" s="171">
        <v>30</v>
      </c>
      <c r="R2587" s="171">
        <v>31.900000000000002</v>
      </c>
      <c r="S2587" s="171">
        <v>31.900000000000002</v>
      </c>
      <c r="T2587" s="171">
        <v>34.9</v>
      </c>
      <c r="U2587" s="171">
        <v>31.77</v>
      </c>
      <c r="V2587" s="171">
        <v>35</v>
      </c>
      <c r="W2587" s="171">
        <v>38.35</v>
      </c>
      <c r="X2587" s="171">
        <v>43.300000000000004</v>
      </c>
      <c r="Y2587" s="171">
        <v>43.59</v>
      </c>
      <c r="Z2587" s="171">
        <v>44.51</v>
      </c>
      <c r="AA2587" s="171">
        <v>44.38</v>
      </c>
      <c r="AB2587" s="171">
        <v>38.550000000000004</v>
      </c>
      <c r="AC2587" s="171">
        <v>37.380000000000003</v>
      </c>
      <c r="AD2587" s="171">
        <v>34.160000000000004</v>
      </c>
      <c r="AF2587" s="171">
        <f t="shared" si="122"/>
        <v>2017</v>
      </c>
      <c r="AG2587" s="171">
        <f t="shared" si="123"/>
        <v>20</v>
      </c>
      <c r="AH2587" s="700">
        <f>SUMIF(D$3:$AA2587,"&lt;="&amp;$AH$1)/COUNTIF(D$3:$AA2587,"&lt;="&amp;$AH$1)</f>
        <v>31.443589090184151</v>
      </c>
    </row>
    <row r="2588" spans="2:34" x14ac:dyDescent="0.25">
      <c r="B2588" s="910">
        <v>42850</v>
      </c>
      <c r="C2588" s="581">
        <f t="shared" si="121"/>
        <v>4</v>
      </c>
      <c r="D2588" s="171">
        <v>35.86</v>
      </c>
      <c r="E2588" s="171">
        <v>34.01</v>
      </c>
      <c r="F2588" s="171">
        <v>31.07</v>
      </c>
      <c r="G2588" s="171">
        <v>31.2</v>
      </c>
      <c r="H2588" s="171">
        <v>29.98</v>
      </c>
      <c r="I2588" s="171">
        <v>29.97</v>
      </c>
      <c r="J2588" s="171">
        <v>30.5</v>
      </c>
      <c r="K2588" s="171">
        <v>37.03</v>
      </c>
      <c r="L2588" s="171">
        <v>41.17</v>
      </c>
      <c r="M2588" s="171">
        <v>43</v>
      </c>
      <c r="N2588" s="171">
        <v>41.94</v>
      </c>
      <c r="O2588" s="171">
        <v>39.81</v>
      </c>
      <c r="P2588" s="171">
        <v>37.619999999999997</v>
      </c>
      <c r="Q2588" s="171">
        <v>34.910000000000004</v>
      </c>
      <c r="R2588" s="171">
        <v>33.910000000000004</v>
      </c>
      <c r="S2588" s="171">
        <v>31.720000000000002</v>
      </c>
      <c r="T2588" s="171">
        <v>31.59</v>
      </c>
      <c r="U2588" s="171">
        <v>32.4</v>
      </c>
      <c r="V2588" s="171">
        <v>36.550000000000004</v>
      </c>
      <c r="W2588" s="171">
        <v>39.93</v>
      </c>
      <c r="X2588" s="171">
        <v>42.56</v>
      </c>
      <c r="Y2588" s="171">
        <v>41.300000000000004</v>
      </c>
      <c r="Z2588" s="171">
        <v>40.61</v>
      </c>
      <c r="AA2588" s="171">
        <v>35.480000000000004</v>
      </c>
      <c r="AB2588" s="171">
        <v>32.4</v>
      </c>
      <c r="AC2588" s="171">
        <v>34.56</v>
      </c>
      <c r="AD2588" s="171">
        <v>37.160000000000004</v>
      </c>
      <c r="AF2588" s="171">
        <f t="shared" si="122"/>
        <v>2017</v>
      </c>
      <c r="AG2588" s="171">
        <f t="shared" si="123"/>
        <v>22</v>
      </c>
      <c r="AH2588" s="700">
        <f>SUMIF(D$3:$AA2588,"&lt;="&amp;$AH$1)/COUNTIF(D$3:$AA2588,"&lt;="&amp;$AH$1)</f>
        <v>31.44704220869535</v>
      </c>
    </row>
    <row r="2589" spans="2:34" x14ac:dyDescent="0.25">
      <c r="B2589" s="910">
        <v>42851</v>
      </c>
      <c r="C2589" s="581">
        <f t="shared" si="121"/>
        <v>4</v>
      </c>
      <c r="D2589" s="171">
        <v>38.4</v>
      </c>
      <c r="E2589" s="171">
        <v>31.55</v>
      </c>
      <c r="F2589" s="171">
        <v>30.990000000000002</v>
      </c>
      <c r="G2589" s="171">
        <v>30.95</v>
      </c>
      <c r="H2589" s="171">
        <v>30.54</v>
      </c>
      <c r="I2589" s="171">
        <v>30.44</v>
      </c>
      <c r="J2589" s="171">
        <v>33.1</v>
      </c>
      <c r="K2589" s="171">
        <v>42.300000000000004</v>
      </c>
      <c r="L2589" s="171">
        <v>47.18</v>
      </c>
      <c r="M2589" s="171">
        <v>52.45</v>
      </c>
      <c r="N2589" s="171">
        <v>42.07</v>
      </c>
      <c r="O2589" s="171">
        <v>40.72</v>
      </c>
      <c r="P2589" s="171">
        <v>39.9</v>
      </c>
      <c r="Q2589" s="171">
        <v>41.54</v>
      </c>
      <c r="R2589" s="171">
        <v>38.21</v>
      </c>
      <c r="S2589" s="171">
        <v>34.730000000000004</v>
      </c>
      <c r="T2589" s="171">
        <v>34.880000000000003</v>
      </c>
      <c r="U2589" s="171">
        <v>38.61</v>
      </c>
      <c r="V2589" s="171">
        <v>41.92</v>
      </c>
      <c r="W2589" s="171">
        <v>43.21</v>
      </c>
      <c r="X2589" s="171">
        <v>42.89</v>
      </c>
      <c r="Y2589" s="171">
        <v>43.72</v>
      </c>
      <c r="Z2589" s="171">
        <v>40.96</v>
      </c>
      <c r="AA2589" s="171">
        <v>37.17</v>
      </c>
      <c r="AB2589" s="171">
        <v>31.52</v>
      </c>
      <c r="AC2589" s="171">
        <v>35.869999999999997</v>
      </c>
      <c r="AD2589" s="171">
        <v>40.93</v>
      </c>
      <c r="AF2589" s="171">
        <f t="shared" si="122"/>
        <v>2017</v>
      </c>
      <c r="AG2589" s="171">
        <f t="shared" si="123"/>
        <v>19</v>
      </c>
      <c r="AH2589" s="700">
        <f>SUMIF(D$3:$AA2589,"&lt;="&amp;$AH$1)/COUNTIF(D$3:$AA2589,"&lt;="&amp;$AH$1)</f>
        <v>31.451076482746661</v>
      </c>
    </row>
    <row r="2590" spans="2:34" x14ac:dyDescent="0.25">
      <c r="B2590" s="910">
        <v>42852</v>
      </c>
      <c r="C2590" s="581">
        <f t="shared" si="121"/>
        <v>4</v>
      </c>
      <c r="D2590" s="171">
        <v>35.92</v>
      </c>
      <c r="E2590" s="171">
        <v>30.64</v>
      </c>
      <c r="F2590" s="171">
        <v>30.86</v>
      </c>
      <c r="G2590" s="171">
        <v>30</v>
      </c>
      <c r="H2590" s="171">
        <v>31.04</v>
      </c>
      <c r="I2590" s="171">
        <v>31.52</v>
      </c>
      <c r="J2590" s="171">
        <v>31.82</v>
      </c>
      <c r="K2590" s="171">
        <v>41.02</v>
      </c>
      <c r="L2590" s="171">
        <v>40.68</v>
      </c>
      <c r="M2590" s="171">
        <v>39.43</v>
      </c>
      <c r="N2590" s="171">
        <v>43.67</v>
      </c>
      <c r="O2590" s="171">
        <v>42.92</v>
      </c>
      <c r="P2590" s="171">
        <v>40.950000000000003</v>
      </c>
      <c r="Q2590" s="171">
        <v>35.83</v>
      </c>
      <c r="R2590" s="171">
        <v>33.58</v>
      </c>
      <c r="S2590" s="171">
        <v>32.01</v>
      </c>
      <c r="T2590" s="171">
        <v>31.76</v>
      </c>
      <c r="U2590" s="171">
        <v>32.03</v>
      </c>
      <c r="V2590" s="171">
        <v>35</v>
      </c>
      <c r="W2590" s="171">
        <v>37.96</v>
      </c>
      <c r="X2590" s="171">
        <v>38.11</v>
      </c>
      <c r="Y2590" s="171">
        <v>41.910000000000004</v>
      </c>
      <c r="Z2590" s="171">
        <v>41.300000000000004</v>
      </c>
      <c r="AA2590" s="171">
        <v>36.020000000000003</v>
      </c>
      <c r="AB2590" s="171">
        <v>32</v>
      </c>
      <c r="AC2590" s="171">
        <v>34.9</v>
      </c>
      <c r="AD2590" s="171">
        <v>36.94</v>
      </c>
      <c r="AF2590" s="171">
        <f t="shared" si="122"/>
        <v>2017</v>
      </c>
      <c r="AG2590" s="171">
        <f t="shared" si="123"/>
        <v>22</v>
      </c>
      <c r="AH2590" s="700">
        <f>SUMIF(D$3:$AA2590,"&lt;="&amp;$AH$1)/COUNTIF(D$3:$AA2590,"&lt;="&amp;$AH$1)</f>
        <v>31.454550401142868</v>
      </c>
    </row>
    <row r="2591" spans="2:34" x14ac:dyDescent="0.25">
      <c r="B2591" s="910">
        <v>42853</v>
      </c>
      <c r="C2591" s="581">
        <f t="shared" si="121"/>
        <v>4</v>
      </c>
      <c r="D2591" s="171">
        <v>36.270000000000003</v>
      </c>
      <c r="E2591" s="171">
        <v>31.38</v>
      </c>
      <c r="F2591" s="171">
        <v>31.23</v>
      </c>
      <c r="G2591" s="171">
        <v>30.61</v>
      </c>
      <c r="H2591" s="171">
        <v>30.92</v>
      </c>
      <c r="I2591" s="171">
        <v>31.41</v>
      </c>
      <c r="J2591" s="171">
        <v>32.76</v>
      </c>
      <c r="K2591" s="171">
        <v>34.57</v>
      </c>
      <c r="L2591" s="171">
        <v>42.910000000000004</v>
      </c>
      <c r="M2591" s="171">
        <v>44.89</v>
      </c>
      <c r="N2591" s="171">
        <v>42.87</v>
      </c>
      <c r="O2591" s="171">
        <v>40.9</v>
      </c>
      <c r="P2591" s="171">
        <v>40.22</v>
      </c>
      <c r="Q2591" s="171">
        <v>37.68</v>
      </c>
      <c r="R2591" s="171">
        <v>34.9</v>
      </c>
      <c r="S2591" s="171">
        <v>32.630000000000003</v>
      </c>
      <c r="T2591" s="171">
        <v>30.86</v>
      </c>
      <c r="U2591" s="171">
        <v>32.200000000000003</v>
      </c>
      <c r="V2591" s="171">
        <v>33.93</v>
      </c>
      <c r="W2591" s="171">
        <v>40.29</v>
      </c>
      <c r="X2591" s="171">
        <v>42.81</v>
      </c>
      <c r="Y2591" s="171">
        <v>42.99</v>
      </c>
      <c r="Z2591" s="171">
        <v>40.450000000000003</v>
      </c>
      <c r="AA2591" s="171">
        <v>34.730000000000004</v>
      </c>
      <c r="AB2591" s="171">
        <v>32.4</v>
      </c>
      <c r="AC2591" s="171">
        <v>34.700000000000003</v>
      </c>
      <c r="AD2591" s="171">
        <v>37.85</v>
      </c>
      <c r="AF2591" s="171">
        <f t="shared" si="122"/>
        <v>2017</v>
      </c>
      <c r="AG2591" s="171">
        <f t="shared" si="123"/>
        <v>19</v>
      </c>
      <c r="AH2591" s="700">
        <f>SUMIF(D$3:$AA2591,"&lt;="&amp;$AH$1)/COUNTIF(D$3:$AA2591,"&lt;="&amp;$AH$1)</f>
        <v>31.456943683770891</v>
      </c>
    </row>
    <row r="2592" spans="2:34" x14ac:dyDescent="0.25">
      <c r="B2592" s="910">
        <v>42856</v>
      </c>
      <c r="C2592" s="581">
        <f t="shared" si="121"/>
        <v>5</v>
      </c>
      <c r="D2592" s="171">
        <v>36.99</v>
      </c>
      <c r="E2592" s="171">
        <v>32</v>
      </c>
      <c r="F2592" s="171">
        <v>32</v>
      </c>
      <c r="G2592" s="171">
        <v>30</v>
      </c>
      <c r="H2592" s="171">
        <v>29.5</v>
      </c>
      <c r="I2592" s="171">
        <v>32.4</v>
      </c>
      <c r="J2592" s="171">
        <v>33</v>
      </c>
      <c r="K2592" s="171">
        <v>32.4</v>
      </c>
      <c r="L2592" s="171">
        <v>34.83</v>
      </c>
      <c r="M2592" s="171">
        <v>30</v>
      </c>
      <c r="N2592" s="171">
        <v>36</v>
      </c>
      <c r="O2592" s="171">
        <v>36</v>
      </c>
      <c r="P2592" s="171">
        <v>37.29</v>
      </c>
      <c r="Q2592" s="171">
        <v>36</v>
      </c>
      <c r="R2592" s="171">
        <v>36</v>
      </c>
      <c r="S2592" s="171">
        <v>36</v>
      </c>
      <c r="T2592" s="171">
        <v>40.36</v>
      </c>
      <c r="U2592" s="171">
        <v>39.9</v>
      </c>
      <c r="V2592" s="171">
        <v>40.950000000000003</v>
      </c>
      <c r="W2592" s="171">
        <v>39.65</v>
      </c>
      <c r="X2592" s="171">
        <v>42.01</v>
      </c>
      <c r="Y2592" s="171">
        <v>41.52</v>
      </c>
      <c r="Z2592" s="171">
        <v>44.5</v>
      </c>
      <c r="AA2592" s="171">
        <v>52.4</v>
      </c>
      <c r="AB2592" s="171">
        <v>42.97</v>
      </c>
      <c r="AC2592" s="171">
        <v>36.46</v>
      </c>
      <c r="AD2592" s="171">
        <v>37.51</v>
      </c>
      <c r="AF2592" s="171">
        <f t="shared" si="122"/>
        <v>2017</v>
      </c>
      <c r="AG2592" s="171">
        <f t="shared" si="123"/>
        <v>22</v>
      </c>
      <c r="AH2592" s="700">
        <f>SUMIF(D$3:$AA2592,"&lt;="&amp;$AH$1)/COUNTIF(D$3:$AA2592,"&lt;="&amp;$AH$1)</f>
        <v>31.460621356912455</v>
      </c>
    </row>
    <row r="2593" spans="2:34" x14ac:dyDescent="0.25">
      <c r="B2593" s="910">
        <v>42857</v>
      </c>
      <c r="C2593" s="581">
        <f t="shared" si="121"/>
        <v>5</v>
      </c>
      <c r="D2593" s="171">
        <v>35.89</v>
      </c>
      <c r="E2593" s="171">
        <v>29.89</v>
      </c>
      <c r="F2593" s="171">
        <v>35</v>
      </c>
      <c r="G2593" s="171">
        <v>32.4</v>
      </c>
      <c r="H2593" s="171">
        <v>29.52</v>
      </c>
      <c r="I2593" s="171">
        <v>29.28</v>
      </c>
      <c r="J2593" s="171">
        <v>28.400000000000002</v>
      </c>
      <c r="K2593" s="171">
        <v>33.950000000000003</v>
      </c>
      <c r="L2593" s="171">
        <v>38.97</v>
      </c>
      <c r="M2593" s="171">
        <v>39.980000000000004</v>
      </c>
      <c r="N2593" s="171">
        <v>61.7</v>
      </c>
      <c r="O2593" s="171">
        <v>56</v>
      </c>
      <c r="P2593" s="171">
        <v>49</v>
      </c>
      <c r="Q2593" s="171">
        <v>39.9</v>
      </c>
      <c r="R2593" s="171">
        <v>31.8</v>
      </c>
      <c r="S2593" s="171">
        <v>31.400000000000002</v>
      </c>
      <c r="T2593" s="171">
        <v>30.6</v>
      </c>
      <c r="U2593" s="171">
        <v>31.44</v>
      </c>
      <c r="V2593" s="171">
        <v>35</v>
      </c>
      <c r="W2593" s="171">
        <v>32.299999999999997</v>
      </c>
      <c r="X2593" s="171">
        <v>34.380000000000003</v>
      </c>
      <c r="Y2593" s="171">
        <v>36.61</v>
      </c>
      <c r="Z2593" s="171">
        <v>32.79</v>
      </c>
      <c r="AA2593" s="171">
        <v>31.580000000000002</v>
      </c>
      <c r="AB2593" s="171">
        <v>29.400000000000002</v>
      </c>
      <c r="AC2593" s="171">
        <v>32.32</v>
      </c>
      <c r="AD2593" s="171">
        <v>39.46</v>
      </c>
      <c r="AF2593" s="171">
        <f t="shared" si="122"/>
        <v>2017</v>
      </c>
      <c r="AG2593" s="171">
        <f t="shared" si="123"/>
        <v>21</v>
      </c>
      <c r="AH2593" s="700">
        <f>SUMIF(D$3:$AA2593,"&lt;="&amp;$AH$1)/COUNTIF(D$3:$AA2593,"&lt;="&amp;$AH$1)</f>
        <v>31.462222266243078</v>
      </c>
    </row>
    <row r="2594" spans="2:34" x14ac:dyDescent="0.25">
      <c r="B2594" s="910">
        <v>42858</v>
      </c>
      <c r="C2594" s="581">
        <f t="shared" si="121"/>
        <v>5</v>
      </c>
      <c r="D2594" s="171">
        <v>36.11</v>
      </c>
      <c r="E2594" s="171">
        <v>30</v>
      </c>
      <c r="F2594" s="171">
        <v>29.79</v>
      </c>
      <c r="G2594" s="171">
        <v>29.2</v>
      </c>
      <c r="H2594" s="171">
        <v>28.5</v>
      </c>
      <c r="I2594" s="171">
        <v>29.88</v>
      </c>
      <c r="J2594" s="171">
        <v>31.060000000000002</v>
      </c>
      <c r="K2594" s="171">
        <v>36.550000000000004</v>
      </c>
      <c r="L2594" s="171">
        <v>42.14</v>
      </c>
      <c r="M2594" s="171">
        <v>45</v>
      </c>
      <c r="N2594" s="171">
        <v>42.800000000000004</v>
      </c>
      <c r="O2594" s="171">
        <v>42.800000000000004</v>
      </c>
      <c r="P2594" s="171">
        <v>47.2</v>
      </c>
      <c r="Q2594" s="171">
        <v>39.9</v>
      </c>
      <c r="R2594" s="171">
        <v>38.5</v>
      </c>
      <c r="S2594" s="171">
        <v>34.5</v>
      </c>
      <c r="T2594" s="171">
        <v>34.5</v>
      </c>
      <c r="U2594" s="171">
        <v>31.79</v>
      </c>
      <c r="V2594" s="171">
        <v>44.46</v>
      </c>
      <c r="W2594" s="171">
        <v>34.9</v>
      </c>
      <c r="X2594" s="171">
        <v>37.660000000000004</v>
      </c>
      <c r="Y2594" s="171">
        <v>36.9</v>
      </c>
      <c r="Z2594" s="171">
        <v>36.97</v>
      </c>
      <c r="AA2594" s="171">
        <v>31.53</v>
      </c>
      <c r="AB2594" s="171">
        <v>30</v>
      </c>
      <c r="AC2594" s="171">
        <v>32.71</v>
      </c>
      <c r="AD2594" s="171">
        <v>39.5</v>
      </c>
      <c r="AF2594" s="171">
        <f t="shared" si="122"/>
        <v>2017</v>
      </c>
      <c r="AG2594" s="171">
        <f t="shared" si="123"/>
        <v>19</v>
      </c>
      <c r="AH2594" s="700">
        <f>SUMIF(D$3:$AA2594,"&lt;="&amp;$AH$1)/COUNTIF(D$3:$AA2594,"&lt;="&amp;$AH$1)</f>
        <v>31.464304604298491</v>
      </c>
    </row>
    <row r="2595" spans="2:34" x14ac:dyDescent="0.25">
      <c r="B2595" s="910">
        <v>42859</v>
      </c>
      <c r="C2595" s="581">
        <f t="shared" si="121"/>
        <v>5</v>
      </c>
      <c r="D2595" s="171">
        <v>38.840000000000003</v>
      </c>
      <c r="E2595" s="171">
        <v>37</v>
      </c>
      <c r="F2595" s="171">
        <v>28.6</v>
      </c>
      <c r="G2595" s="171">
        <v>28.37</v>
      </c>
      <c r="H2595" s="171">
        <v>28.29</v>
      </c>
      <c r="I2595" s="171">
        <v>28.3</v>
      </c>
      <c r="J2595" s="171">
        <v>27.57</v>
      </c>
      <c r="K2595" s="171">
        <v>33.230000000000004</v>
      </c>
      <c r="L2595" s="171">
        <v>38.94</v>
      </c>
      <c r="M2595" s="171">
        <v>49.9</v>
      </c>
      <c r="N2595" s="171">
        <v>63.050000000000004</v>
      </c>
      <c r="O2595" s="171">
        <v>57.2</v>
      </c>
      <c r="P2595" s="171">
        <v>50.870000000000005</v>
      </c>
      <c r="Q2595" s="171">
        <v>47.06</v>
      </c>
      <c r="R2595" s="171">
        <v>42.2</v>
      </c>
      <c r="S2595" s="171">
        <v>42.2</v>
      </c>
      <c r="T2595" s="171">
        <v>41.4</v>
      </c>
      <c r="U2595" s="171">
        <v>39.700000000000003</v>
      </c>
      <c r="V2595" s="171">
        <v>34.4</v>
      </c>
      <c r="W2595" s="171">
        <v>36.97</v>
      </c>
      <c r="X2595" s="171">
        <v>38.97</v>
      </c>
      <c r="Y2595" s="171">
        <v>35</v>
      </c>
      <c r="Z2595" s="171">
        <v>36.54</v>
      </c>
      <c r="AA2595" s="171">
        <v>32.230000000000004</v>
      </c>
      <c r="AB2595" s="171">
        <v>34.1</v>
      </c>
      <c r="AC2595" s="171">
        <v>32.35</v>
      </c>
      <c r="AD2595" s="171">
        <v>45.33</v>
      </c>
      <c r="AF2595" s="171">
        <f t="shared" si="122"/>
        <v>2017</v>
      </c>
      <c r="AG2595" s="171">
        <f t="shared" si="123"/>
        <v>19</v>
      </c>
      <c r="AH2595" s="700">
        <f>SUMIF(D$3:$AA2595,"&lt;="&amp;$AH$1)/COUNTIF(D$3:$AA2595,"&lt;="&amp;$AH$1)</f>
        <v>31.467110530895454</v>
      </c>
    </row>
    <row r="2596" spans="2:34" x14ac:dyDescent="0.25">
      <c r="B2596" s="910">
        <v>42860</v>
      </c>
      <c r="C2596" s="581">
        <f t="shared" si="121"/>
        <v>5</v>
      </c>
      <c r="D2596" s="171">
        <v>37.4</v>
      </c>
      <c r="E2596" s="171">
        <v>30.48</v>
      </c>
      <c r="F2596" s="171">
        <v>29.85</v>
      </c>
      <c r="G2596" s="171">
        <v>29.48</v>
      </c>
      <c r="H2596" s="171">
        <v>29.27</v>
      </c>
      <c r="I2596" s="171">
        <v>29.400000000000002</v>
      </c>
      <c r="J2596" s="171">
        <v>30.72</v>
      </c>
      <c r="K2596" s="171">
        <v>34.6</v>
      </c>
      <c r="L2596" s="171">
        <v>35.31</v>
      </c>
      <c r="M2596" s="171">
        <v>47</v>
      </c>
      <c r="N2596" s="171">
        <v>49.910000000000004</v>
      </c>
      <c r="O2596" s="171">
        <v>47.9</v>
      </c>
      <c r="P2596" s="171">
        <v>40</v>
      </c>
      <c r="Q2596" s="171">
        <v>42</v>
      </c>
      <c r="R2596" s="171">
        <v>40.090000000000003</v>
      </c>
      <c r="S2596" s="171">
        <v>36.880000000000003</v>
      </c>
      <c r="T2596" s="171">
        <v>35.369999999999997</v>
      </c>
      <c r="U2596" s="171">
        <v>34.9</v>
      </c>
      <c r="V2596" s="171">
        <v>37.67</v>
      </c>
      <c r="W2596" s="171">
        <v>40.33</v>
      </c>
      <c r="X2596" s="171">
        <v>42.09</v>
      </c>
      <c r="Y2596" s="171">
        <v>41.160000000000004</v>
      </c>
      <c r="Z2596" s="171">
        <v>38.980000000000004</v>
      </c>
      <c r="AA2596" s="171">
        <v>39.270000000000003</v>
      </c>
      <c r="AB2596" s="171">
        <v>34.9</v>
      </c>
      <c r="AC2596" s="171">
        <v>33.619999999999997</v>
      </c>
      <c r="AD2596" s="171">
        <v>41.18</v>
      </c>
      <c r="AF2596" s="171">
        <f t="shared" si="122"/>
        <v>2017</v>
      </c>
      <c r="AG2596" s="171">
        <f t="shared" si="123"/>
        <v>21</v>
      </c>
      <c r="AH2596" s="700">
        <f>SUMIF(D$3:$AA2596,"&lt;="&amp;$AH$1)/COUNTIF(D$3:$AA2596,"&lt;="&amp;$AH$1)</f>
        <v>31.470843511600272</v>
      </c>
    </row>
    <row r="2597" spans="2:34" x14ac:dyDescent="0.25">
      <c r="B2597" s="910">
        <v>42863</v>
      </c>
      <c r="C2597" s="581">
        <f t="shared" si="121"/>
        <v>5</v>
      </c>
      <c r="D2597" s="171">
        <v>34.82</v>
      </c>
      <c r="E2597" s="171">
        <v>27.48</v>
      </c>
      <c r="F2597" s="171">
        <v>26.1</v>
      </c>
      <c r="G2597" s="171">
        <v>25.810000000000002</v>
      </c>
      <c r="H2597" s="171">
        <v>25.01</v>
      </c>
      <c r="I2597" s="171">
        <v>25.14</v>
      </c>
      <c r="J2597" s="171">
        <v>28.57</v>
      </c>
      <c r="K2597" s="171">
        <v>32</v>
      </c>
      <c r="L2597" s="171">
        <v>36.06</v>
      </c>
      <c r="M2597" s="171">
        <v>40.020000000000003</v>
      </c>
      <c r="N2597" s="171">
        <v>44.9</v>
      </c>
      <c r="O2597" s="171">
        <v>48.800000000000004</v>
      </c>
      <c r="P2597" s="171">
        <v>46.62</v>
      </c>
      <c r="Q2597" s="171">
        <v>43.480000000000004</v>
      </c>
      <c r="R2597" s="171">
        <v>42.7</v>
      </c>
      <c r="S2597" s="171">
        <v>32.06</v>
      </c>
      <c r="T2597" s="171">
        <v>31.44</v>
      </c>
      <c r="U2597" s="171">
        <v>31.05</v>
      </c>
      <c r="V2597" s="171">
        <v>32.410000000000004</v>
      </c>
      <c r="W2597" s="171">
        <v>34</v>
      </c>
      <c r="X2597" s="171">
        <v>38.800000000000004</v>
      </c>
      <c r="Y2597" s="171">
        <v>37.619999999999997</v>
      </c>
      <c r="Z2597" s="171">
        <v>37.99</v>
      </c>
      <c r="AA2597" s="171">
        <v>35.07</v>
      </c>
      <c r="AB2597" s="171">
        <v>32.44</v>
      </c>
      <c r="AC2597" s="171">
        <v>30.77</v>
      </c>
      <c r="AD2597" s="171">
        <v>38.86</v>
      </c>
      <c r="AF2597" s="171">
        <f t="shared" si="122"/>
        <v>2017</v>
      </c>
      <c r="AG2597" s="171">
        <f t="shared" si="123"/>
        <v>19</v>
      </c>
      <c r="AH2597" s="700">
        <f>SUMIF(D$3:$AA2597,"&lt;="&amp;$AH$1)/COUNTIF(D$3:$AA2597,"&lt;="&amp;$AH$1)</f>
        <v>31.471376886008983</v>
      </c>
    </row>
    <row r="2598" spans="2:34" x14ac:dyDescent="0.25">
      <c r="B2598" s="910">
        <v>42864</v>
      </c>
      <c r="C2598" s="581">
        <f t="shared" si="121"/>
        <v>5</v>
      </c>
      <c r="D2598" s="171">
        <v>39.81</v>
      </c>
      <c r="E2598" s="171">
        <v>30.810000000000002</v>
      </c>
      <c r="F2598" s="171">
        <v>30.810000000000002</v>
      </c>
      <c r="G2598" s="171">
        <v>29.5</v>
      </c>
      <c r="H2598" s="171">
        <v>28.94</v>
      </c>
      <c r="I2598" s="171">
        <v>29.900000000000002</v>
      </c>
      <c r="J2598" s="171">
        <v>32.07</v>
      </c>
      <c r="K2598" s="171">
        <v>42.83</v>
      </c>
      <c r="L2598" s="171">
        <v>50.45</v>
      </c>
      <c r="M2598" s="171">
        <v>54.99</v>
      </c>
      <c r="N2598" s="171">
        <v>48.65</v>
      </c>
      <c r="O2598" s="171">
        <v>44.75</v>
      </c>
      <c r="P2598" s="171">
        <v>43.83</v>
      </c>
      <c r="Q2598" s="171">
        <v>40.630000000000003</v>
      </c>
      <c r="R2598" s="171">
        <v>38</v>
      </c>
      <c r="S2598" s="171">
        <v>35.57</v>
      </c>
      <c r="T2598" s="171">
        <v>36.200000000000003</v>
      </c>
      <c r="U2598" s="171">
        <v>34.44</v>
      </c>
      <c r="V2598" s="171">
        <v>39.64</v>
      </c>
      <c r="W2598" s="171">
        <v>44.9</v>
      </c>
      <c r="X2598" s="171">
        <v>47.45</v>
      </c>
      <c r="Y2598" s="171">
        <v>49.120000000000005</v>
      </c>
      <c r="Z2598" s="171">
        <v>46.93</v>
      </c>
      <c r="AA2598" s="171">
        <v>40.950000000000003</v>
      </c>
      <c r="AB2598" s="171">
        <v>34.06</v>
      </c>
      <c r="AC2598" s="171">
        <v>37.200000000000003</v>
      </c>
      <c r="AD2598" s="171">
        <v>42.42</v>
      </c>
      <c r="AF2598" s="171">
        <f t="shared" si="122"/>
        <v>2017</v>
      </c>
      <c r="AG2598" s="171">
        <f t="shared" si="123"/>
        <v>14</v>
      </c>
      <c r="AH2598" s="700">
        <f>SUMIF(D$3:$AA2598,"&lt;="&amp;$AH$1)/COUNTIF(D$3:$AA2598,"&lt;="&amp;$AH$1)</f>
        <v>31.47321924838052</v>
      </c>
    </row>
    <row r="2599" spans="2:34" x14ac:dyDescent="0.25">
      <c r="B2599" s="910">
        <v>42865</v>
      </c>
      <c r="C2599" s="581">
        <f t="shared" si="121"/>
        <v>5</v>
      </c>
      <c r="D2599" s="171">
        <v>41.67</v>
      </c>
      <c r="E2599" s="171">
        <v>32.33</v>
      </c>
      <c r="F2599" s="171">
        <v>31.63</v>
      </c>
      <c r="G2599" s="171">
        <v>31</v>
      </c>
      <c r="H2599" s="171">
        <v>30.72</v>
      </c>
      <c r="I2599" s="171">
        <v>31.03</v>
      </c>
      <c r="J2599" s="171">
        <v>33.46</v>
      </c>
      <c r="K2599" s="171">
        <v>42.04</v>
      </c>
      <c r="L2599" s="171">
        <v>49.980000000000004</v>
      </c>
      <c r="M2599" s="171">
        <v>65.87</v>
      </c>
      <c r="N2599" s="171">
        <v>58.85</v>
      </c>
      <c r="O2599" s="171">
        <v>58.11</v>
      </c>
      <c r="P2599" s="171">
        <v>45.89</v>
      </c>
      <c r="Q2599" s="171">
        <v>40.24</v>
      </c>
      <c r="R2599" s="171">
        <v>38.89</v>
      </c>
      <c r="S2599" s="171">
        <v>35.660000000000004</v>
      </c>
      <c r="T2599" s="171">
        <v>34.119999999999997</v>
      </c>
      <c r="U2599" s="171">
        <v>35.01</v>
      </c>
      <c r="V2599" s="171">
        <v>41.08</v>
      </c>
      <c r="W2599" s="171">
        <v>44.01</v>
      </c>
      <c r="X2599" s="171">
        <v>48.04</v>
      </c>
      <c r="Y2599" s="171">
        <v>47.35</v>
      </c>
      <c r="Z2599" s="171">
        <v>48.04</v>
      </c>
      <c r="AA2599" s="171">
        <v>42.94</v>
      </c>
      <c r="AB2599" s="171">
        <v>33.85</v>
      </c>
      <c r="AC2599" s="171">
        <v>37.86</v>
      </c>
      <c r="AD2599" s="171">
        <v>45.480000000000004</v>
      </c>
      <c r="AF2599" s="171">
        <f t="shared" si="122"/>
        <v>2017</v>
      </c>
      <c r="AG2599" s="171">
        <f t="shared" si="123"/>
        <v>14</v>
      </c>
      <c r="AH2599" s="700">
        <f>SUMIF(D$3:$AA2599,"&lt;="&amp;$AH$1)/COUNTIF(D$3:$AA2599,"&lt;="&amp;$AH$1)</f>
        <v>31.475517635917907</v>
      </c>
    </row>
    <row r="2600" spans="2:34" x14ac:dyDescent="0.25">
      <c r="B2600" s="910">
        <v>42866</v>
      </c>
      <c r="C2600" s="581">
        <f t="shared" si="121"/>
        <v>5</v>
      </c>
      <c r="D2600" s="171">
        <v>38.53</v>
      </c>
      <c r="E2600" s="171">
        <v>31.16</v>
      </c>
      <c r="F2600" s="171">
        <v>30.41</v>
      </c>
      <c r="G2600" s="171">
        <v>29.5</v>
      </c>
      <c r="H2600" s="171">
        <v>29.17</v>
      </c>
      <c r="I2600" s="171">
        <v>29.59</v>
      </c>
      <c r="J2600" s="171">
        <v>30.89</v>
      </c>
      <c r="K2600" s="171">
        <v>34.910000000000004</v>
      </c>
      <c r="L2600" s="171">
        <v>43.1</v>
      </c>
      <c r="M2600" s="171">
        <v>44.49</v>
      </c>
      <c r="N2600" s="171">
        <v>46.160000000000004</v>
      </c>
      <c r="O2600" s="171">
        <v>44.45</v>
      </c>
      <c r="P2600" s="171">
        <v>42.85</v>
      </c>
      <c r="Q2600" s="171">
        <v>39.26</v>
      </c>
      <c r="R2600" s="171">
        <v>39.9</v>
      </c>
      <c r="S2600" s="171">
        <v>38.9</v>
      </c>
      <c r="T2600" s="171">
        <v>33.82</v>
      </c>
      <c r="U2600" s="171">
        <v>33.79</v>
      </c>
      <c r="V2600" s="171">
        <v>42.29</v>
      </c>
      <c r="W2600" s="171">
        <v>43.1</v>
      </c>
      <c r="X2600" s="171">
        <v>44.24</v>
      </c>
      <c r="Y2600" s="171">
        <v>38.26</v>
      </c>
      <c r="Z2600" s="171">
        <v>40.200000000000003</v>
      </c>
      <c r="AA2600" s="171">
        <v>50.54</v>
      </c>
      <c r="AB2600" s="171">
        <v>43.75</v>
      </c>
      <c r="AC2600" s="171">
        <v>35.96</v>
      </c>
      <c r="AD2600" s="171">
        <v>41.1</v>
      </c>
      <c r="AF2600" s="171">
        <f t="shared" si="122"/>
        <v>2017</v>
      </c>
      <c r="AG2600" s="171">
        <f t="shared" si="123"/>
        <v>16</v>
      </c>
      <c r="AH2600" s="700">
        <f>SUMIF(D$3:$AA2600,"&lt;="&amp;$AH$1)/COUNTIF(D$3:$AA2600,"&lt;="&amp;$AH$1)</f>
        <v>31.477763977603324</v>
      </c>
    </row>
    <row r="2601" spans="2:34" x14ac:dyDescent="0.25">
      <c r="B2601" s="910">
        <v>42867</v>
      </c>
      <c r="C2601" s="581">
        <f t="shared" si="121"/>
        <v>5</v>
      </c>
      <c r="D2601" s="171">
        <v>38.74</v>
      </c>
      <c r="E2601" s="171">
        <v>41.46</v>
      </c>
      <c r="F2601" s="171">
        <v>28</v>
      </c>
      <c r="G2601" s="171">
        <v>28.2</v>
      </c>
      <c r="H2601" s="171">
        <v>28</v>
      </c>
      <c r="I2601" s="171">
        <v>27.080000000000002</v>
      </c>
      <c r="J2601" s="171">
        <v>29</v>
      </c>
      <c r="K2601" s="171">
        <v>34.369999999999997</v>
      </c>
      <c r="L2601" s="171">
        <v>42.4</v>
      </c>
      <c r="M2601" s="171">
        <v>51.49</v>
      </c>
      <c r="N2601" s="171">
        <v>50.9</v>
      </c>
      <c r="O2601" s="171">
        <v>46.88</v>
      </c>
      <c r="P2601" s="171">
        <v>45.5</v>
      </c>
      <c r="Q2601" s="171">
        <v>43</v>
      </c>
      <c r="R2601" s="171">
        <v>42.07</v>
      </c>
      <c r="S2601" s="171">
        <v>38.69</v>
      </c>
      <c r="T2601" s="171">
        <v>35.51</v>
      </c>
      <c r="U2601" s="171">
        <v>31.52</v>
      </c>
      <c r="V2601" s="171">
        <v>36.46</v>
      </c>
      <c r="W2601" s="171">
        <v>40.65</v>
      </c>
      <c r="X2601" s="171">
        <v>42</v>
      </c>
      <c r="Y2601" s="171">
        <v>42.62</v>
      </c>
      <c r="Z2601" s="171">
        <v>42.93</v>
      </c>
      <c r="AA2601" s="171">
        <v>42.93</v>
      </c>
      <c r="AB2601" s="171">
        <v>38.04</v>
      </c>
      <c r="AC2601" s="171">
        <v>35.42</v>
      </c>
      <c r="AD2601" s="171">
        <v>42.06</v>
      </c>
      <c r="AF2601" s="171">
        <f t="shared" si="122"/>
        <v>2017</v>
      </c>
      <c r="AG2601" s="171">
        <f t="shared" si="123"/>
        <v>16</v>
      </c>
      <c r="AH2601" s="700">
        <f>SUMIF(D$3:$AA2601,"&lt;="&amp;$AH$1)/COUNTIF(D$3:$AA2601,"&lt;="&amp;$AH$1)</f>
        <v>31.480148159822495</v>
      </c>
    </row>
    <row r="2602" spans="2:34" x14ac:dyDescent="0.25">
      <c r="B2602" s="910">
        <v>42870</v>
      </c>
      <c r="C2602" s="581">
        <f t="shared" si="121"/>
        <v>5</v>
      </c>
      <c r="D2602" s="171">
        <v>36.43</v>
      </c>
      <c r="E2602" s="171">
        <v>30.32</v>
      </c>
      <c r="F2602" s="171">
        <v>27.43</v>
      </c>
      <c r="G2602" s="171">
        <v>27.18</v>
      </c>
      <c r="H2602" s="171">
        <v>26.7</v>
      </c>
      <c r="I2602" s="171">
        <v>27.16</v>
      </c>
      <c r="J2602" s="171">
        <v>29.77</v>
      </c>
      <c r="K2602" s="171">
        <v>35.380000000000003</v>
      </c>
      <c r="L2602" s="171">
        <v>44.02</v>
      </c>
      <c r="M2602" s="171">
        <v>46.1</v>
      </c>
      <c r="N2602" s="171">
        <v>43.95</v>
      </c>
      <c r="O2602" s="171">
        <v>41.94</v>
      </c>
      <c r="P2602" s="171">
        <v>40.07</v>
      </c>
      <c r="Q2602" s="171">
        <v>35.660000000000004</v>
      </c>
      <c r="R2602" s="171">
        <v>35.04</v>
      </c>
      <c r="S2602" s="171">
        <v>33.480000000000004</v>
      </c>
      <c r="T2602" s="171">
        <v>32.980000000000004</v>
      </c>
      <c r="U2602" s="171">
        <v>33.14</v>
      </c>
      <c r="V2602" s="171">
        <v>37.74</v>
      </c>
      <c r="W2602" s="171">
        <v>42.82</v>
      </c>
      <c r="X2602" s="171">
        <v>45.730000000000004</v>
      </c>
      <c r="Y2602" s="171">
        <v>44.2</v>
      </c>
      <c r="Z2602" s="171">
        <v>42.29</v>
      </c>
      <c r="AA2602" s="171">
        <v>40.22</v>
      </c>
      <c r="AB2602" s="171">
        <v>31.080000000000002</v>
      </c>
      <c r="AC2602" s="171">
        <v>33.81</v>
      </c>
      <c r="AD2602" s="171">
        <v>39.050000000000004</v>
      </c>
      <c r="AF2602" s="171">
        <f t="shared" si="122"/>
        <v>2017</v>
      </c>
      <c r="AG2602" s="171">
        <f t="shared" si="123"/>
        <v>18</v>
      </c>
      <c r="AH2602" s="700">
        <f>SUMIF(D$3:$AA2602,"&lt;="&amp;$AH$1)/COUNTIF(D$3:$AA2602,"&lt;="&amp;$AH$1)</f>
        <v>31.481970782799468</v>
      </c>
    </row>
    <row r="2603" spans="2:34" x14ac:dyDescent="0.25">
      <c r="B2603" s="910">
        <v>42871</v>
      </c>
      <c r="C2603" s="581">
        <f t="shared" si="121"/>
        <v>5</v>
      </c>
      <c r="D2603" s="171">
        <v>35.22</v>
      </c>
      <c r="E2603" s="171">
        <v>29.5</v>
      </c>
      <c r="F2603" s="171">
        <v>28.01</v>
      </c>
      <c r="G2603" s="171">
        <v>26.7</v>
      </c>
      <c r="H2603" s="171">
        <v>26.53</v>
      </c>
      <c r="I2603" s="171">
        <v>26.38</v>
      </c>
      <c r="J2603" s="171">
        <v>27.93</v>
      </c>
      <c r="K2603" s="171">
        <v>31.810000000000002</v>
      </c>
      <c r="L2603" s="171">
        <v>39.96</v>
      </c>
      <c r="M2603" s="171">
        <v>41.35</v>
      </c>
      <c r="N2603" s="171">
        <v>38.42</v>
      </c>
      <c r="O2603" s="171">
        <v>41</v>
      </c>
      <c r="P2603" s="171">
        <v>41</v>
      </c>
      <c r="Q2603" s="171">
        <v>35.69</v>
      </c>
      <c r="R2603" s="171">
        <v>34.08</v>
      </c>
      <c r="S2603" s="171">
        <v>34.9</v>
      </c>
      <c r="T2603" s="171">
        <v>32.33</v>
      </c>
      <c r="U2603" s="171">
        <v>34.520000000000003</v>
      </c>
      <c r="V2603" s="171">
        <v>37.04</v>
      </c>
      <c r="W2603" s="171">
        <v>41</v>
      </c>
      <c r="X2603" s="171">
        <v>42.94</v>
      </c>
      <c r="Y2603" s="171">
        <v>42.77</v>
      </c>
      <c r="Z2603" s="171">
        <v>41.5</v>
      </c>
      <c r="AA2603" s="171">
        <v>37.01</v>
      </c>
      <c r="AB2603" s="171">
        <v>33</v>
      </c>
      <c r="AC2603" s="171">
        <v>32.590000000000003</v>
      </c>
      <c r="AD2603" s="171">
        <v>37.86</v>
      </c>
      <c r="AF2603" s="171">
        <f t="shared" si="122"/>
        <v>2017</v>
      </c>
      <c r="AG2603" s="171">
        <f t="shared" si="123"/>
        <v>22</v>
      </c>
      <c r="AH2603" s="700">
        <f>SUMIF(D$3:$AA2603,"&lt;="&amp;$AH$1)/COUNTIF(D$3:$AA2603,"&lt;="&amp;$AH$1)</f>
        <v>31.484696278227055</v>
      </c>
    </row>
    <row r="2604" spans="2:34" x14ac:dyDescent="0.25">
      <c r="B2604" s="910">
        <v>42872</v>
      </c>
      <c r="C2604" s="581">
        <f t="shared" si="121"/>
        <v>5</v>
      </c>
      <c r="D2604" s="171">
        <v>34.85</v>
      </c>
      <c r="E2604" s="171">
        <v>29.66</v>
      </c>
      <c r="F2604" s="171">
        <v>27.7</v>
      </c>
      <c r="G2604" s="171">
        <v>27.17</v>
      </c>
      <c r="H2604" s="171">
        <v>26.45</v>
      </c>
      <c r="I2604" s="171">
        <v>26.490000000000002</v>
      </c>
      <c r="J2604" s="171">
        <v>27.580000000000002</v>
      </c>
      <c r="K2604" s="171">
        <v>36.19</v>
      </c>
      <c r="L2604" s="171">
        <v>41</v>
      </c>
      <c r="M2604" s="171">
        <v>41</v>
      </c>
      <c r="N2604" s="171">
        <v>42</v>
      </c>
      <c r="O2604" s="171">
        <v>41</v>
      </c>
      <c r="P2604" s="171">
        <v>37.700000000000003</v>
      </c>
      <c r="Q2604" s="171">
        <v>38.5</v>
      </c>
      <c r="R2604" s="171">
        <v>39.76</v>
      </c>
      <c r="S2604" s="171">
        <v>36.700000000000003</v>
      </c>
      <c r="T2604" s="171">
        <v>36.200000000000003</v>
      </c>
      <c r="U2604" s="171">
        <v>34.590000000000003</v>
      </c>
      <c r="V2604" s="171">
        <v>34.770000000000003</v>
      </c>
      <c r="W2604" s="171">
        <v>38.340000000000003</v>
      </c>
      <c r="X2604" s="171">
        <v>40.980000000000004</v>
      </c>
      <c r="Y2604" s="171">
        <v>37.9</v>
      </c>
      <c r="Z2604" s="171">
        <v>34.020000000000003</v>
      </c>
      <c r="AA2604" s="171">
        <v>31.01</v>
      </c>
      <c r="AB2604" s="171">
        <v>29.77</v>
      </c>
      <c r="AC2604" s="171">
        <v>31.25</v>
      </c>
      <c r="AD2604" s="171">
        <v>38.46</v>
      </c>
      <c r="AF2604" s="171">
        <f t="shared" si="122"/>
        <v>2017</v>
      </c>
      <c r="AG2604" s="171">
        <f t="shared" si="123"/>
        <v>24</v>
      </c>
      <c r="AH2604" s="700">
        <f>SUMIF(D$3:$AA2604,"&lt;="&amp;$AH$1)/COUNTIF(D$3:$AA2604,"&lt;="&amp;$AH$1)</f>
        <v>31.488073657730329</v>
      </c>
    </row>
    <row r="2605" spans="2:34" x14ac:dyDescent="0.25">
      <c r="B2605" s="910">
        <v>42873</v>
      </c>
      <c r="C2605" s="581">
        <f t="shared" ref="C2605:C2615" si="124">MONTH(B2605)</f>
        <v>5</v>
      </c>
      <c r="D2605" s="171">
        <v>39.69</v>
      </c>
      <c r="E2605" s="171">
        <v>27.900000000000002</v>
      </c>
      <c r="F2605" s="171">
        <v>26.900000000000002</v>
      </c>
      <c r="G2605" s="171">
        <v>24.8</v>
      </c>
      <c r="H2605" s="171">
        <v>21.37</v>
      </c>
      <c r="I2605" s="171">
        <v>23.38</v>
      </c>
      <c r="J2605" s="171">
        <v>26.060000000000002</v>
      </c>
      <c r="K2605" s="171">
        <v>32.68</v>
      </c>
      <c r="L2605" s="171">
        <v>40.4</v>
      </c>
      <c r="M2605" s="171">
        <v>42.980000000000004</v>
      </c>
      <c r="N2605" s="171">
        <v>49.9</v>
      </c>
      <c r="O2605" s="171">
        <v>62.26</v>
      </c>
      <c r="P2605" s="171">
        <v>60.660000000000004</v>
      </c>
      <c r="Q2605" s="171">
        <v>51.53</v>
      </c>
      <c r="R2605" s="171">
        <v>51.120000000000005</v>
      </c>
      <c r="S2605" s="171">
        <v>44.19</v>
      </c>
      <c r="T2605" s="171">
        <v>39.9</v>
      </c>
      <c r="U2605" s="171">
        <v>43.92</v>
      </c>
      <c r="V2605" s="171">
        <v>41.230000000000004</v>
      </c>
      <c r="W2605" s="171">
        <v>42.910000000000004</v>
      </c>
      <c r="X2605" s="171">
        <v>42.4</v>
      </c>
      <c r="Y2605" s="171">
        <v>41.99</v>
      </c>
      <c r="Z2605" s="171">
        <v>41.07</v>
      </c>
      <c r="AA2605" s="171">
        <v>37.86</v>
      </c>
      <c r="AB2605" s="171">
        <v>35.050000000000004</v>
      </c>
      <c r="AC2605" s="171">
        <v>31.62</v>
      </c>
      <c r="AD2605" s="171">
        <v>47.75</v>
      </c>
      <c r="AF2605" s="171">
        <f t="shared" si="122"/>
        <v>2017</v>
      </c>
      <c r="AG2605" s="171">
        <f t="shared" si="123"/>
        <v>15</v>
      </c>
      <c r="AH2605" s="700">
        <f>SUMIF(D$3:$AA2605,"&lt;="&amp;$AH$1)/COUNTIF(D$3:$AA2605,"&lt;="&amp;$AH$1)</f>
        <v>31.489460659149749</v>
      </c>
    </row>
    <row r="2606" spans="2:34" x14ac:dyDescent="0.25">
      <c r="B2606" s="910">
        <v>42874</v>
      </c>
      <c r="C2606" s="581">
        <f t="shared" si="124"/>
        <v>5</v>
      </c>
      <c r="D2606" s="171">
        <v>34.660000000000004</v>
      </c>
      <c r="E2606" s="171">
        <v>30</v>
      </c>
      <c r="F2606" s="171">
        <v>28.6</v>
      </c>
      <c r="G2606" s="171">
        <v>26.67</v>
      </c>
      <c r="H2606" s="171">
        <v>26.310000000000002</v>
      </c>
      <c r="I2606" s="171">
        <v>25.97</v>
      </c>
      <c r="J2606" s="171">
        <v>27.6</v>
      </c>
      <c r="K2606" s="171">
        <v>30.900000000000002</v>
      </c>
      <c r="L2606" s="171">
        <v>39.910000000000004</v>
      </c>
      <c r="M2606" s="171">
        <v>41.550000000000004</v>
      </c>
      <c r="N2606" s="171">
        <v>39.9</v>
      </c>
      <c r="O2606" s="171">
        <v>38.950000000000003</v>
      </c>
      <c r="P2606" s="171">
        <v>39.800000000000004</v>
      </c>
      <c r="Q2606" s="171">
        <v>37.72</v>
      </c>
      <c r="R2606" s="171">
        <v>36.380000000000003</v>
      </c>
      <c r="S2606" s="171">
        <v>35.050000000000004</v>
      </c>
      <c r="T2606" s="171">
        <v>34.590000000000003</v>
      </c>
      <c r="U2606" s="171">
        <v>31.060000000000002</v>
      </c>
      <c r="V2606" s="171">
        <v>36.01</v>
      </c>
      <c r="W2606" s="171">
        <v>38.5</v>
      </c>
      <c r="X2606" s="171">
        <v>38.97</v>
      </c>
      <c r="Y2606" s="171">
        <v>36.04</v>
      </c>
      <c r="Z2606" s="171">
        <v>37</v>
      </c>
      <c r="AA2606" s="171">
        <v>36.980000000000004</v>
      </c>
      <c r="AB2606" s="171">
        <v>37.4</v>
      </c>
      <c r="AC2606" s="171">
        <v>31.95</v>
      </c>
      <c r="AD2606" s="171">
        <v>37.369999999999997</v>
      </c>
      <c r="AF2606" s="171">
        <f t="shared" si="122"/>
        <v>2017</v>
      </c>
      <c r="AG2606" s="171">
        <f t="shared" si="123"/>
        <v>24</v>
      </c>
      <c r="AH2606" s="700">
        <f>SUMIF(D$3:$AA2606,"&lt;="&amp;$AH$1)/COUNTIF(D$3:$AA2606,"&lt;="&amp;$AH$1)</f>
        <v>31.492340175031412</v>
      </c>
    </row>
    <row r="2607" spans="2:34" x14ac:dyDescent="0.25">
      <c r="B2607" s="910">
        <v>42877</v>
      </c>
      <c r="C2607" s="581">
        <f t="shared" si="124"/>
        <v>5</v>
      </c>
      <c r="D2607" s="171">
        <v>36.050000000000004</v>
      </c>
      <c r="E2607" s="171">
        <v>29.84</v>
      </c>
      <c r="F2607" s="171">
        <v>28.01</v>
      </c>
      <c r="G2607" s="171">
        <v>26.900000000000002</v>
      </c>
      <c r="H2607" s="171">
        <v>26.01</v>
      </c>
      <c r="I2607" s="171">
        <v>26.86</v>
      </c>
      <c r="J2607" s="171">
        <v>27.38</v>
      </c>
      <c r="K2607" s="171">
        <v>35.49</v>
      </c>
      <c r="L2607" s="171">
        <v>40</v>
      </c>
      <c r="M2607" s="171">
        <v>42.2</v>
      </c>
      <c r="N2607" s="171">
        <v>38.82</v>
      </c>
      <c r="O2607" s="171">
        <v>37.020000000000003</v>
      </c>
      <c r="P2607" s="171">
        <v>36.99</v>
      </c>
      <c r="Q2607" s="171">
        <v>36.96</v>
      </c>
      <c r="R2607" s="171">
        <v>37.910000000000004</v>
      </c>
      <c r="S2607" s="171">
        <v>36.93</v>
      </c>
      <c r="T2607" s="171">
        <v>36.94</v>
      </c>
      <c r="U2607" s="171">
        <v>36.200000000000003</v>
      </c>
      <c r="V2607" s="171">
        <v>38.71</v>
      </c>
      <c r="W2607" s="171">
        <v>43.65</v>
      </c>
      <c r="X2607" s="171">
        <v>44.36</v>
      </c>
      <c r="Y2607" s="171">
        <v>41.95</v>
      </c>
      <c r="Z2607" s="171">
        <v>41.21</v>
      </c>
      <c r="AA2607" s="171">
        <v>40.840000000000003</v>
      </c>
      <c r="AB2607" s="171">
        <v>34.07</v>
      </c>
      <c r="AC2607" s="171">
        <v>33.21</v>
      </c>
      <c r="AD2607" s="171">
        <v>38.89</v>
      </c>
      <c r="AF2607" s="171">
        <f t="shared" si="122"/>
        <v>2017</v>
      </c>
      <c r="AG2607" s="171">
        <f t="shared" si="123"/>
        <v>22</v>
      </c>
      <c r="AH2607" s="700">
        <f>SUMIF(D$3:$AA2607,"&lt;="&amp;$AH$1)/COUNTIF(D$3:$AA2607,"&lt;="&amp;$AH$1)</f>
        <v>31.495727561462381</v>
      </c>
    </row>
    <row r="2608" spans="2:34" x14ac:dyDescent="0.25">
      <c r="B2608" s="910">
        <v>42878</v>
      </c>
      <c r="C2608" s="581">
        <f t="shared" si="124"/>
        <v>5</v>
      </c>
      <c r="D2608" s="171">
        <v>34.119999999999997</v>
      </c>
      <c r="E2608" s="171">
        <v>32.24</v>
      </c>
      <c r="F2608" s="171">
        <v>32.17</v>
      </c>
      <c r="G2608" s="171">
        <v>29.72</v>
      </c>
      <c r="H2608" s="171">
        <v>28.05</v>
      </c>
      <c r="I2608" s="171">
        <v>28.04</v>
      </c>
      <c r="J2608" s="171">
        <v>29.71</v>
      </c>
      <c r="K2608" s="171">
        <v>36.99</v>
      </c>
      <c r="L2608" s="171">
        <v>41.78</v>
      </c>
      <c r="M2608" s="171">
        <v>41.4</v>
      </c>
      <c r="N2608" s="171">
        <v>41.89</v>
      </c>
      <c r="O2608" s="171">
        <v>38.050000000000004</v>
      </c>
      <c r="P2608" s="171">
        <v>36.94</v>
      </c>
      <c r="Q2608" s="171">
        <v>33.97</v>
      </c>
      <c r="R2608" s="171">
        <v>30.5</v>
      </c>
      <c r="S2608" s="171">
        <v>31.01</v>
      </c>
      <c r="T2608" s="171">
        <v>29.1</v>
      </c>
      <c r="U2608" s="171">
        <v>29.060000000000002</v>
      </c>
      <c r="V2608" s="171">
        <v>31.84</v>
      </c>
      <c r="W2608" s="171">
        <v>33.75</v>
      </c>
      <c r="X2608" s="171">
        <v>37.11</v>
      </c>
      <c r="Y2608" s="171">
        <v>35.64</v>
      </c>
      <c r="Z2608" s="171">
        <v>35</v>
      </c>
      <c r="AA2608" s="171">
        <v>39.9</v>
      </c>
      <c r="AB2608" s="171">
        <v>34.9</v>
      </c>
      <c r="AC2608" s="171">
        <v>33.68</v>
      </c>
      <c r="AD2608" s="171">
        <v>34.550000000000004</v>
      </c>
      <c r="AF2608" s="171">
        <f t="shared" si="122"/>
        <v>2017</v>
      </c>
      <c r="AG2608" s="171">
        <f t="shared" si="123"/>
        <v>24</v>
      </c>
      <c r="AH2608" s="700">
        <f>SUMIF(D$3:$AA2608,"&lt;="&amp;$AH$1)/COUNTIF(D$3:$AA2608,"&lt;="&amp;$AH$1)</f>
        <v>31.498159595721205</v>
      </c>
    </row>
    <row r="2609" spans="2:34" x14ac:dyDescent="0.25">
      <c r="B2609" s="910">
        <v>42879</v>
      </c>
      <c r="C2609" s="581">
        <f t="shared" si="124"/>
        <v>5</v>
      </c>
      <c r="D2609" s="171">
        <v>33.590000000000003</v>
      </c>
      <c r="E2609" s="171">
        <v>27.150000000000002</v>
      </c>
      <c r="F2609" s="171">
        <v>24.45</v>
      </c>
      <c r="G2609" s="171">
        <v>26</v>
      </c>
      <c r="H2609" s="171">
        <v>25.8</v>
      </c>
      <c r="I2609" s="171">
        <v>25</v>
      </c>
      <c r="J2609" s="171">
        <v>26.03</v>
      </c>
      <c r="K2609" s="171">
        <v>30.1</v>
      </c>
      <c r="L2609" s="171">
        <v>36.93</v>
      </c>
      <c r="M2609" s="171">
        <v>37.550000000000004</v>
      </c>
      <c r="N2609" s="171">
        <v>34.97</v>
      </c>
      <c r="O2609" s="171">
        <v>31.98</v>
      </c>
      <c r="P2609" s="171">
        <v>32.35</v>
      </c>
      <c r="Q2609" s="171">
        <v>34</v>
      </c>
      <c r="R2609" s="171">
        <v>38.08</v>
      </c>
      <c r="S2609" s="171">
        <v>33.71</v>
      </c>
      <c r="T2609" s="171">
        <v>33.71</v>
      </c>
      <c r="U2609" s="171">
        <v>32.130000000000003</v>
      </c>
      <c r="V2609" s="171">
        <v>36.910000000000004</v>
      </c>
      <c r="W2609" s="171">
        <v>39.92</v>
      </c>
      <c r="X2609" s="171">
        <v>40.57</v>
      </c>
      <c r="Y2609" s="171">
        <v>40.840000000000003</v>
      </c>
      <c r="Z2609" s="171">
        <v>40.06</v>
      </c>
      <c r="AA2609" s="171">
        <v>40.980000000000004</v>
      </c>
      <c r="AB2609" s="171">
        <v>36.910000000000004</v>
      </c>
      <c r="AC2609" s="171">
        <v>31.69</v>
      </c>
      <c r="AD2609" s="171">
        <v>35.49</v>
      </c>
      <c r="AF2609" s="171">
        <f t="shared" si="122"/>
        <v>2017</v>
      </c>
      <c r="AG2609" s="171">
        <f t="shared" si="123"/>
        <v>24</v>
      </c>
      <c r="AH2609" s="700">
        <f>SUMIF(D$3:$AA2609,"&lt;="&amp;$AH$1)/COUNTIF(D$3:$AA2609,"&lt;="&amp;$AH$1)</f>
        <v>31.49999334663908</v>
      </c>
    </row>
    <row r="2610" spans="2:34" x14ac:dyDescent="0.25">
      <c r="B2610" s="910">
        <v>42880</v>
      </c>
      <c r="C2610" s="581">
        <f t="shared" si="124"/>
        <v>5</v>
      </c>
      <c r="D2610" s="171">
        <v>29.57</v>
      </c>
      <c r="E2610" s="171">
        <v>33.410000000000004</v>
      </c>
      <c r="F2610" s="171">
        <v>31.98</v>
      </c>
      <c r="G2610" s="171">
        <v>28.07</v>
      </c>
      <c r="H2610" s="171">
        <v>28</v>
      </c>
      <c r="I2610" s="171">
        <v>27.97</v>
      </c>
      <c r="J2610" s="171">
        <v>26.97</v>
      </c>
      <c r="K2610" s="171">
        <v>24.92</v>
      </c>
      <c r="L2610" s="171">
        <v>25.76</v>
      </c>
      <c r="M2610" s="171">
        <v>27.69</v>
      </c>
      <c r="N2610" s="171">
        <v>26.64</v>
      </c>
      <c r="O2610" s="171">
        <v>26.43</v>
      </c>
      <c r="P2610" s="171">
        <v>28</v>
      </c>
      <c r="Q2610" s="171">
        <v>28.51</v>
      </c>
      <c r="R2610" s="171">
        <v>29.900000000000002</v>
      </c>
      <c r="S2610" s="171">
        <v>27</v>
      </c>
      <c r="T2610" s="171">
        <v>26</v>
      </c>
      <c r="U2610" s="171">
        <v>25</v>
      </c>
      <c r="V2610" s="171">
        <v>27.080000000000002</v>
      </c>
      <c r="W2610" s="171">
        <v>29.900000000000002</v>
      </c>
      <c r="X2610" s="171">
        <v>33.92</v>
      </c>
      <c r="Y2610" s="171">
        <v>36.700000000000003</v>
      </c>
      <c r="Z2610" s="171">
        <v>36.69</v>
      </c>
      <c r="AA2610" s="171">
        <v>36.980000000000004</v>
      </c>
      <c r="AB2610" s="171">
        <v>36.050000000000004</v>
      </c>
      <c r="AC2610" s="171">
        <v>31.13</v>
      </c>
      <c r="AD2610" s="171">
        <v>28.01</v>
      </c>
      <c r="AF2610" s="171">
        <f t="shared" si="122"/>
        <v>2017</v>
      </c>
      <c r="AG2610" s="171">
        <f t="shared" si="123"/>
        <v>24</v>
      </c>
      <c r="AH2610" s="700">
        <f>SUMIF(D$3:$AA2610,"&lt;="&amp;$AH$1)/COUNTIF(D$3:$AA2610,"&lt;="&amp;$AH$1)</f>
        <v>31.497924535678397</v>
      </c>
    </row>
    <row r="2611" spans="2:34" x14ac:dyDescent="0.25">
      <c r="B2611" s="910">
        <v>42881</v>
      </c>
      <c r="C2611" s="581">
        <f t="shared" si="124"/>
        <v>5</v>
      </c>
      <c r="D2611" s="171">
        <v>32.799999999999997</v>
      </c>
      <c r="E2611" s="171">
        <v>29</v>
      </c>
      <c r="F2611" s="171">
        <v>26.5</v>
      </c>
      <c r="G2611" s="171">
        <v>26.1</v>
      </c>
      <c r="H2611" s="171">
        <v>25.07</v>
      </c>
      <c r="I2611" s="171">
        <v>24.47</v>
      </c>
      <c r="J2611" s="171">
        <v>26.39</v>
      </c>
      <c r="K2611" s="171">
        <v>33.94</v>
      </c>
      <c r="L2611" s="171">
        <v>37.93</v>
      </c>
      <c r="M2611" s="171">
        <v>38.300000000000004</v>
      </c>
      <c r="N2611" s="171">
        <v>36.480000000000004</v>
      </c>
      <c r="O2611" s="171">
        <v>34.01</v>
      </c>
      <c r="P2611" s="171">
        <v>33.08</v>
      </c>
      <c r="Q2611" s="171">
        <v>30.86</v>
      </c>
      <c r="R2611" s="171">
        <v>29</v>
      </c>
      <c r="S2611" s="171">
        <v>28</v>
      </c>
      <c r="T2611" s="171">
        <v>27.53</v>
      </c>
      <c r="U2611" s="171">
        <v>29</v>
      </c>
      <c r="V2611" s="171">
        <v>34.64</v>
      </c>
      <c r="W2611" s="171">
        <v>38.85</v>
      </c>
      <c r="X2611" s="171">
        <v>41.97</v>
      </c>
      <c r="Y2611" s="171">
        <v>41.24</v>
      </c>
      <c r="Z2611" s="171">
        <v>39.660000000000004</v>
      </c>
      <c r="AA2611" s="171">
        <v>39.96</v>
      </c>
      <c r="AB2611" s="171">
        <v>35.200000000000003</v>
      </c>
      <c r="AC2611" s="171">
        <v>32.119999999999997</v>
      </c>
      <c r="AD2611" s="171">
        <v>33.480000000000004</v>
      </c>
      <c r="AF2611" s="171">
        <f t="shared" si="122"/>
        <v>2017</v>
      </c>
      <c r="AG2611" s="171">
        <f t="shared" si="123"/>
        <v>24</v>
      </c>
      <c r="AH2611" s="700">
        <f>SUMIF(D$3:$AA2611,"&lt;="&amp;$AH$1)/COUNTIF(D$3:$AA2611,"&lt;="&amp;$AH$1)</f>
        <v>31.499050744168713</v>
      </c>
    </row>
    <row r="2612" spans="2:34" x14ac:dyDescent="0.25">
      <c r="B2612" s="910">
        <v>42884</v>
      </c>
      <c r="C2612" s="581">
        <f t="shared" si="124"/>
        <v>5</v>
      </c>
      <c r="D2612" s="171">
        <v>38.01</v>
      </c>
      <c r="E2612" s="171">
        <v>29.02</v>
      </c>
      <c r="F2612" s="171">
        <v>28.3</v>
      </c>
      <c r="G2612" s="171">
        <v>26.27</v>
      </c>
      <c r="H2612" s="171">
        <v>25.6</v>
      </c>
      <c r="I2612" s="171">
        <v>25.6</v>
      </c>
      <c r="J2612" s="171">
        <v>26.400000000000002</v>
      </c>
      <c r="K2612" s="171">
        <v>35.97</v>
      </c>
      <c r="L2612" s="171">
        <v>42.7</v>
      </c>
      <c r="M2612" s="171">
        <v>43.06</v>
      </c>
      <c r="N2612" s="171">
        <v>42.71</v>
      </c>
      <c r="O2612" s="171">
        <v>42</v>
      </c>
      <c r="P2612" s="171">
        <v>44.67</v>
      </c>
      <c r="Q2612" s="171">
        <v>44.04</v>
      </c>
      <c r="R2612" s="171">
        <v>42.65</v>
      </c>
      <c r="S2612" s="171">
        <v>42.4</v>
      </c>
      <c r="T2612" s="171">
        <v>40.57</v>
      </c>
      <c r="U2612" s="171">
        <v>38.380000000000003</v>
      </c>
      <c r="V2612" s="171">
        <v>42.18</v>
      </c>
      <c r="W2612" s="171">
        <v>44.08</v>
      </c>
      <c r="X2612" s="171">
        <v>46.15</v>
      </c>
      <c r="Y2612" s="171">
        <v>43.76</v>
      </c>
      <c r="Z2612" s="171">
        <v>42.02</v>
      </c>
      <c r="AA2612" s="171">
        <v>40.910000000000004</v>
      </c>
      <c r="AB2612" s="171">
        <v>32.69</v>
      </c>
      <c r="AC2612" s="171">
        <v>33.270000000000003</v>
      </c>
      <c r="AD2612" s="171">
        <v>42.74</v>
      </c>
      <c r="AF2612" s="171">
        <f t="shared" si="122"/>
        <v>2017</v>
      </c>
      <c r="AG2612" s="171">
        <f t="shared" si="123"/>
        <v>15</v>
      </c>
      <c r="AH2612" s="700">
        <f>SUMIF(D$3:$AA2612,"&lt;="&amp;$AH$1)/COUNTIF(D$3:$AA2612,"&lt;="&amp;$AH$1)</f>
        <v>31.50104747403666</v>
      </c>
    </row>
    <row r="2613" spans="2:34" x14ac:dyDescent="0.25">
      <c r="B2613" s="910">
        <v>42885</v>
      </c>
      <c r="C2613" s="581">
        <f t="shared" si="124"/>
        <v>5</v>
      </c>
      <c r="D2613" s="171">
        <v>37.770000000000003</v>
      </c>
      <c r="E2613" s="171">
        <v>35.81</v>
      </c>
      <c r="F2613" s="171">
        <v>32.549999999999997</v>
      </c>
      <c r="G2613" s="171">
        <v>30.93</v>
      </c>
      <c r="H2613" s="171">
        <v>28.77</v>
      </c>
      <c r="I2613" s="171">
        <v>28.41</v>
      </c>
      <c r="J2613" s="171">
        <v>31.3</v>
      </c>
      <c r="K2613" s="171">
        <v>38.050000000000004</v>
      </c>
      <c r="L2613" s="171">
        <v>49.6</v>
      </c>
      <c r="M2613" s="171">
        <v>52.230000000000004</v>
      </c>
      <c r="N2613" s="171">
        <v>55.1</v>
      </c>
      <c r="O2613" s="171">
        <v>58.800000000000004</v>
      </c>
      <c r="P2613" s="171">
        <v>47</v>
      </c>
      <c r="Q2613" s="171">
        <v>35</v>
      </c>
      <c r="R2613" s="171">
        <v>31.09</v>
      </c>
      <c r="S2613" s="171">
        <v>30.3</v>
      </c>
      <c r="T2613" s="171">
        <v>30.95</v>
      </c>
      <c r="U2613" s="171">
        <v>31.57</v>
      </c>
      <c r="V2613" s="171">
        <v>35.1</v>
      </c>
      <c r="W2613" s="171">
        <v>39.910000000000004</v>
      </c>
      <c r="X2613" s="171">
        <v>41.96</v>
      </c>
      <c r="Y2613" s="171">
        <v>40.06</v>
      </c>
      <c r="Z2613" s="171">
        <v>39.21</v>
      </c>
      <c r="AA2613" s="171">
        <v>34.44</v>
      </c>
      <c r="AB2613" s="171">
        <v>28.44</v>
      </c>
      <c r="AC2613" s="171">
        <v>34.800000000000004</v>
      </c>
      <c r="AD2613" s="171">
        <v>40.75</v>
      </c>
      <c r="AF2613" s="171">
        <f t="shared" si="122"/>
        <v>2017</v>
      </c>
      <c r="AG2613" s="171">
        <f t="shared" si="123"/>
        <v>19</v>
      </c>
      <c r="AH2613" s="700">
        <f>SUMIF(D$3:$AA2613,"&lt;="&amp;$AH$1)/COUNTIF(D$3:$AA2613,"&lt;="&amp;$AH$1)</f>
        <v>31.503179885303133</v>
      </c>
    </row>
    <row r="2614" spans="2:34" x14ac:dyDescent="0.25">
      <c r="B2614" s="910">
        <v>42886</v>
      </c>
      <c r="C2614" s="581">
        <f t="shared" si="124"/>
        <v>5</v>
      </c>
      <c r="D2614" s="171">
        <v>33.76</v>
      </c>
      <c r="E2614" s="171">
        <v>27</v>
      </c>
      <c r="F2614" s="171">
        <v>28.38</v>
      </c>
      <c r="G2614" s="171">
        <v>27.28</v>
      </c>
      <c r="H2614" s="171">
        <v>27.09</v>
      </c>
      <c r="I2614" s="171">
        <v>27.37</v>
      </c>
      <c r="J2614" s="171">
        <v>28.330000000000002</v>
      </c>
      <c r="K2614" s="171">
        <v>32.090000000000003</v>
      </c>
      <c r="L2614" s="171">
        <v>39.07</v>
      </c>
      <c r="M2614" s="171">
        <v>39.94</v>
      </c>
      <c r="N2614" s="171">
        <v>35.130000000000003</v>
      </c>
      <c r="O2614" s="171">
        <v>30.080000000000002</v>
      </c>
      <c r="P2614" s="171">
        <v>29.61</v>
      </c>
      <c r="Q2614" s="171">
        <v>29.900000000000002</v>
      </c>
      <c r="R2614" s="171">
        <v>30.1</v>
      </c>
      <c r="S2614" s="171">
        <v>28.37</v>
      </c>
      <c r="T2614" s="171">
        <v>29.98</v>
      </c>
      <c r="U2614" s="171">
        <v>29.900000000000002</v>
      </c>
      <c r="V2614" s="171">
        <v>43</v>
      </c>
      <c r="W2614" s="171">
        <v>38.950000000000003</v>
      </c>
      <c r="X2614" s="171">
        <v>42.11</v>
      </c>
      <c r="Y2614" s="171">
        <v>41.45</v>
      </c>
      <c r="Z2614" s="171">
        <v>41.75</v>
      </c>
      <c r="AA2614" s="171">
        <v>44.96</v>
      </c>
      <c r="AB2614" s="171">
        <v>38.36</v>
      </c>
      <c r="AC2614" s="171">
        <v>33.590000000000003</v>
      </c>
      <c r="AD2614" s="171">
        <v>33.92</v>
      </c>
      <c r="AF2614" s="171">
        <f t="shared" si="122"/>
        <v>2017</v>
      </c>
      <c r="AG2614" s="171">
        <f t="shared" si="123"/>
        <v>22</v>
      </c>
      <c r="AH2614" s="700">
        <f>SUMIF(D$3:$AA2614,"&lt;="&amp;$AH$1)/COUNTIF(D$3:$AA2614,"&lt;="&amp;$AH$1)</f>
        <v>31.504137595009741</v>
      </c>
    </row>
    <row r="2615" spans="2:34" x14ac:dyDescent="0.25">
      <c r="B2615" s="910">
        <v>42887</v>
      </c>
      <c r="C2615" s="581">
        <f t="shared" si="124"/>
        <v>6</v>
      </c>
      <c r="D2615" s="171">
        <v>37.15</v>
      </c>
      <c r="E2615" s="171">
        <v>30.51</v>
      </c>
      <c r="F2615" s="171">
        <v>28.85</v>
      </c>
      <c r="G2615" s="171">
        <v>28.94</v>
      </c>
      <c r="H2615" s="171">
        <v>29.1</v>
      </c>
      <c r="I2615" s="171">
        <v>28.8</v>
      </c>
      <c r="J2615" s="171">
        <v>28.810000000000002</v>
      </c>
      <c r="K2615" s="171">
        <v>34.43</v>
      </c>
      <c r="L2615" s="171">
        <v>39.35</v>
      </c>
      <c r="M2615" s="171">
        <v>41.28</v>
      </c>
      <c r="N2615" s="171">
        <v>49.67</v>
      </c>
      <c r="O2615" s="171">
        <v>33.24</v>
      </c>
      <c r="P2615" s="171">
        <v>33</v>
      </c>
      <c r="Q2615" s="171">
        <v>31.01</v>
      </c>
      <c r="R2615" s="171">
        <v>31.86</v>
      </c>
      <c r="S2615" s="171">
        <v>31.34</v>
      </c>
      <c r="T2615" s="171">
        <v>34.08</v>
      </c>
      <c r="U2615" s="171">
        <v>35.08</v>
      </c>
      <c r="V2615" s="171">
        <v>42.5</v>
      </c>
      <c r="W2615" s="171">
        <v>50</v>
      </c>
      <c r="X2615" s="171">
        <v>50</v>
      </c>
      <c r="Y2615" s="171">
        <v>49.9</v>
      </c>
      <c r="Z2615" s="171">
        <v>44.910000000000004</v>
      </c>
      <c r="AA2615" s="171">
        <v>44.95</v>
      </c>
      <c r="AB2615" s="171">
        <v>39.94</v>
      </c>
      <c r="AC2615" s="171">
        <v>35.71</v>
      </c>
      <c r="AD2615" s="171">
        <v>38.590000000000003</v>
      </c>
      <c r="AF2615" s="171">
        <f t="shared" si="122"/>
        <v>2017</v>
      </c>
      <c r="AG2615" s="171">
        <f t="shared" si="123"/>
        <v>18</v>
      </c>
      <c r="AH2615" s="700">
        <f>SUMIF(D$3:$AA2615,"&lt;="&amp;$AH$1)/COUNTIF(D$3:$AA2615,"&lt;="&amp;$AH$1)</f>
        <v>31.505393993688887</v>
      </c>
    </row>
  </sheetData>
  <autoFilter ref="AF2:AF2615" xr:uid="{00000000-0009-0000-0000-000028000000}"/>
  <mergeCells count="2">
    <mergeCell ref="AK1:AM1"/>
    <mergeCell ref="AO1:AQ1"/>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51"/>
  <dimension ref="B1:BD19"/>
  <sheetViews>
    <sheetView workbookViewId="0">
      <selection activeCell="C4" sqref="C4"/>
    </sheetView>
  </sheetViews>
  <sheetFormatPr defaultColWidth="8.85546875" defaultRowHeight="15" x14ac:dyDescent="0.25"/>
  <cols>
    <col min="1" max="2" width="8.85546875" style="729"/>
    <col min="3" max="3" width="14.85546875" style="729" bestFit="1" customWidth="1"/>
    <col min="4" max="4" width="47.28515625" style="729" bestFit="1" customWidth="1"/>
    <col min="5" max="5" width="22.28515625" style="729" customWidth="1"/>
    <col min="6" max="13" width="8.85546875" style="729"/>
    <col min="14" max="20" width="9.5703125" style="729" bestFit="1" customWidth="1"/>
    <col min="21" max="50" width="9.28515625" style="729" bestFit="1" customWidth="1"/>
    <col min="51" max="16384" width="8.85546875" style="729"/>
  </cols>
  <sheetData>
    <row r="1" spans="2:56" ht="26.25" x14ac:dyDescent="0.4">
      <c r="B1" s="1298" t="s">
        <v>629</v>
      </c>
      <c r="R1" s="1299"/>
      <c r="S1" s="1299"/>
      <c r="T1" s="1299"/>
      <c r="U1" s="1299"/>
      <c r="V1" s="1299"/>
    </row>
    <row r="3" spans="2:56" x14ac:dyDescent="0.25">
      <c r="C3" s="1296" t="s">
        <v>593</v>
      </c>
      <c r="D3" s="1308" t="s">
        <v>138</v>
      </c>
      <c r="E3" s="1297" t="s">
        <v>597</v>
      </c>
      <c r="F3" s="1308" t="s">
        <v>148</v>
      </c>
      <c r="G3" s="1308" t="s">
        <v>148</v>
      </c>
      <c r="H3" s="1297">
        <v>2008</v>
      </c>
      <c r="I3" s="1297">
        <v>2009</v>
      </c>
      <c r="J3" s="1297">
        <v>2010</v>
      </c>
      <c r="K3" s="1297">
        <v>2011</v>
      </c>
      <c r="L3" s="1297">
        <v>2012</v>
      </c>
      <c r="M3" s="1297">
        <v>2013</v>
      </c>
      <c r="N3" s="1297">
        <v>2014</v>
      </c>
      <c r="O3" s="1297">
        <v>2015</v>
      </c>
      <c r="P3" s="1297">
        <v>2016</v>
      </c>
      <c r="Q3" s="1297">
        <v>2017</v>
      </c>
      <c r="R3" s="1297">
        <v>2018</v>
      </c>
      <c r="S3" s="1297">
        <v>2019</v>
      </c>
      <c r="T3" s="1297">
        <v>2020</v>
      </c>
      <c r="U3" s="1297">
        <v>2021</v>
      </c>
      <c r="V3" s="1297">
        <v>2022</v>
      </c>
      <c r="W3" s="1297">
        <v>2023</v>
      </c>
      <c r="X3" s="1297">
        <v>2024</v>
      </c>
      <c r="Y3" s="1297">
        <v>2025</v>
      </c>
      <c r="Z3" s="1297">
        <v>2026</v>
      </c>
      <c r="AA3" s="1297">
        <v>2027</v>
      </c>
      <c r="AB3" s="1297">
        <v>2028</v>
      </c>
      <c r="AC3" s="1297">
        <v>2029</v>
      </c>
      <c r="AD3" s="1297">
        <v>2030</v>
      </c>
      <c r="AE3" s="1297">
        <v>2031</v>
      </c>
      <c r="AF3" s="1297">
        <v>2032</v>
      </c>
      <c r="AG3" s="1297">
        <v>2033</v>
      </c>
      <c r="AH3" s="1297">
        <v>2034</v>
      </c>
      <c r="AI3" s="1297">
        <v>2035</v>
      </c>
      <c r="AJ3" s="1297">
        <v>2036</v>
      </c>
      <c r="AK3" s="1297">
        <v>2037</v>
      </c>
      <c r="AL3" s="1297">
        <v>2038</v>
      </c>
      <c r="AM3" s="1297">
        <v>2039</v>
      </c>
      <c r="AN3" s="1297">
        <v>2040</v>
      </c>
      <c r="AO3" s="1297">
        <v>2041</v>
      </c>
      <c r="AP3" s="1297">
        <v>2042</v>
      </c>
      <c r="AQ3" s="1297">
        <v>2043</v>
      </c>
      <c r="AR3" s="1297">
        <v>2044</v>
      </c>
      <c r="AS3" s="1297">
        <v>2045</v>
      </c>
      <c r="AT3" s="1297">
        <v>2046</v>
      </c>
      <c r="AU3" s="1297">
        <v>2047</v>
      </c>
      <c r="AV3" s="1297">
        <v>2048</v>
      </c>
      <c r="AW3" s="1297">
        <v>2049</v>
      </c>
      <c r="AX3" s="1297">
        <v>2050</v>
      </c>
      <c r="AY3" s="1297">
        <v>2051</v>
      </c>
      <c r="AZ3" s="1297">
        <v>2052</v>
      </c>
      <c r="BA3" s="1297">
        <v>2053</v>
      </c>
      <c r="BB3" s="1297">
        <v>2054</v>
      </c>
      <c r="BC3" s="1297">
        <v>2055</v>
      </c>
      <c r="BD3" s="1307">
        <v>2056</v>
      </c>
    </row>
    <row r="4" spans="2:56" ht="18" x14ac:dyDescent="0.35">
      <c r="C4" s="1300" t="s">
        <v>82</v>
      </c>
      <c r="D4" s="1309" t="s">
        <v>905</v>
      </c>
      <c r="E4" s="1301" t="s">
        <v>598</v>
      </c>
      <c r="F4" s="1309" t="s">
        <v>599</v>
      </c>
      <c r="G4" s="1309"/>
      <c r="H4" s="1301"/>
      <c r="I4" s="1301"/>
      <c r="J4" s="1301"/>
      <c r="K4" s="1301"/>
      <c r="L4" s="1301"/>
      <c r="M4" s="1301"/>
      <c r="N4" s="1301"/>
      <c r="O4" s="1301">
        <v>38</v>
      </c>
      <c r="P4" s="1301">
        <v>39.6</v>
      </c>
      <c r="Q4" s="1301">
        <v>41.2</v>
      </c>
      <c r="R4" s="1301">
        <v>42.8</v>
      </c>
      <c r="S4" s="1301">
        <v>44.4</v>
      </c>
      <c r="T4" s="1301">
        <v>46</v>
      </c>
      <c r="U4" s="1301">
        <v>48.2</v>
      </c>
      <c r="V4" s="1301">
        <v>50.4</v>
      </c>
      <c r="W4" s="1301">
        <v>52.6</v>
      </c>
      <c r="X4" s="1301">
        <v>52.614285714285714</v>
      </c>
      <c r="Y4" s="1301">
        <v>52.628571428571433</v>
      </c>
      <c r="Z4" s="1301">
        <v>52.642857142857146</v>
      </c>
      <c r="AA4" s="1301">
        <v>52.657142857142858</v>
      </c>
      <c r="AB4" s="1301">
        <v>52.671428571428571</v>
      </c>
      <c r="AC4" s="1301">
        <v>52.68571428571429</v>
      </c>
      <c r="AD4" s="1301">
        <v>52.7</v>
      </c>
      <c r="AE4" s="1301">
        <v>53.56</v>
      </c>
      <c r="AF4" s="1301">
        <v>54.42</v>
      </c>
      <c r="AG4" s="1301">
        <v>55.28</v>
      </c>
      <c r="AH4" s="1301">
        <v>56.14</v>
      </c>
      <c r="AI4" s="1301">
        <v>57</v>
      </c>
      <c r="AJ4" s="1301">
        <v>57.95</v>
      </c>
      <c r="AK4" s="1301">
        <v>58.9</v>
      </c>
      <c r="AL4" s="1301">
        <v>59.849999999999994</v>
      </c>
      <c r="AM4" s="1301">
        <v>60.8</v>
      </c>
      <c r="AN4" s="1301">
        <v>61.75</v>
      </c>
      <c r="AO4" s="1301">
        <v>62.7</v>
      </c>
      <c r="AP4" s="1301">
        <v>63.65</v>
      </c>
      <c r="AQ4" s="1301">
        <v>64.599999999999994</v>
      </c>
      <c r="AR4" s="1301">
        <v>65.55</v>
      </c>
      <c r="AS4" s="1301">
        <v>66.5</v>
      </c>
      <c r="AT4" s="1301">
        <v>67.45</v>
      </c>
      <c r="AU4" s="1301">
        <v>68.400000000000006</v>
      </c>
      <c r="AV4" s="1301">
        <v>69.349999999999994</v>
      </c>
      <c r="AW4" s="1301">
        <v>70.3</v>
      </c>
      <c r="AX4" s="1301">
        <v>71.25</v>
      </c>
      <c r="AY4" s="1301"/>
      <c r="AZ4" s="1301"/>
      <c r="BA4" s="1301"/>
      <c r="BB4" s="1301"/>
      <c r="BC4" s="1301"/>
      <c r="BD4" s="1302"/>
    </row>
    <row r="5" spans="2:56" ht="18" x14ac:dyDescent="0.35">
      <c r="C5" s="1303" t="s">
        <v>82</v>
      </c>
      <c r="D5" s="1310" t="s">
        <v>906</v>
      </c>
      <c r="E5" s="1100" t="s">
        <v>598</v>
      </c>
      <c r="F5" s="1310" t="s">
        <v>895</v>
      </c>
      <c r="G5" s="1310" t="s">
        <v>896</v>
      </c>
      <c r="H5" s="1100"/>
      <c r="I5" s="1100"/>
      <c r="J5" s="1100"/>
      <c r="K5" s="1100"/>
      <c r="L5" s="1100"/>
      <c r="M5" s="1100"/>
      <c r="N5" s="1100"/>
      <c r="O5" s="1100">
        <v>38</v>
      </c>
      <c r="P5" s="1100">
        <v>39.200000000000003</v>
      </c>
      <c r="Q5" s="1100">
        <v>40.4</v>
      </c>
      <c r="R5" s="1100">
        <v>41.6</v>
      </c>
      <c r="S5" s="1100">
        <v>42.8</v>
      </c>
      <c r="T5" s="1100">
        <v>44</v>
      </c>
      <c r="U5" s="1100">
        <v>45.833333333333336</v>
      </c>
      <c r="V5" s="1100">
        <v>47.666666666666664</v>
      </c>
      <c r="W5" s="1100">
        <v>49.5</v>
      </c>
      <c r="X5" s="1100">
        <v>49.057142857142857</v>
      </c>
      <c r="Y5" s="1100">
        <v>48.614285714285714</v>
      </c>
      <c r="Z5" s="1100">
        <v>48.171428571428571</v>
      </c>
      <c r="AA5" s="1100">
        <v>47.728571428571428</v>
      </c>
      <c r="AB5" s="1100">
        <v>47.285714285714285</v>
      </c>
      <c r="AC5" s="1100">
        <v>46.842857142857142</v>
      </c>
      <c r="AD5" s="1100">
        <v>46.4</v>
      </c>
      <c r="AE5" s="1100">
        <v>46.519999999999996</v>
      </c>
      <c r="AF5" s="1100">
        <v>46.64</v>
      </c>
      <c r="AG5" s="1100">
        <v>46.76</v>
      </c>
      <c r="AH5" s="1100">
        <v>46.88</v>
      </c>
      <c r="AI5" s="1100">
        <v>47</v>
      </c>
      <c r="AJ5" s="1100">
        <v>47.45</v>
      </c>
      <c r="AK5" s="1100">
        <v>47.9</v>
      </c>
      <c r="AL5" s="1100">
        <v>48.35</v>
      </c>
      <c r="AM5" s="1100">
        <v>48.8</v>
      </c>
      <c r="AN5" s="1100">
        <v>49.25</v>
      </c>
      <c r="AO5" s="1100">
        <v>49.7</v>
      </c>
      <c r="AP5" s="1100">
        <v>50.15</v>
      </c>
      <c r="AQ5" s="1100">
        <v>50.6</v>
      </c>
      <c r="AR5" s="1100">
        <v>51.05</v>
      </c>
      <c r="AS5" s="1100">
        <v>51.5</v>
      </c>
      <c r="AT5" s="1100">
        <v>51.95</v>
      </c>
      <c r="AU5" s="1100">
        <v>52.4</v>
      </c>
      <c r="AV5" s="1100">
        <v>52.85</v>
      </c>
      <c r="AW5" s="1100">
        <v>53.3</v>
      </c>
      <c r="AX5" s="1100">
        <v>53.75</v>
      </c>
      <c r="AY5" s="1100"/>
      <c r="AZ5" s="1100"/>
      <c r="BA5" s="1100"/>
      <c r="BB5" s="1100"/>
      <c r="BC5" s="1100"/>
      <c r="BD5" s="1304"/>
    </row>
    <row r="6" spans="2:56" ht="18" x14ac:dyDescent="0.35">
      <c r="C6" s="1303" t="s">
        <v>82</v>
      </c>
      <c r="D6" s="1310" t="s">
        <v>907</v>
      </c>
      <c r="E6" s="1100" t="s">
        <v>598</v>
      </c>
      <c r="F6" s="1310" t="s">
        <v>897</v>
      </c>
      <c r="G6" s="1310" t="s">
        <v>898</v>
      </c>
      <c r="H6" s="1100"/>
      <c r="I6" s="1100"/>
      <c r="J6" s="1100"/>
      <c r="K6" s="1100"/>
      <c r="L6" s="1100"/>
      <c r="M6" s="1100"/>
      <c r="N6" s="1100"/>
      <c r="O6" s="1100">
        <v>38.200000000000003</v>
      </c>
      <c r="P6" s="1100">
        <v>41.06</v>
      </c>
      <c r="Q6" s="1100">
        <v>43.92</v>
      </c>
      <c r="R6" s="1100">
        <v>46.78</v>
      </c>
      <c r="S6" s="1100">
        <v>49.64</v>
      </c>
      <c r="T6" s="1100">
        <v>52.5</v>
      </c>
      <c r="U6" s="1100">
        <v>55</v>
      </c>
      <c r="V6" s="1100">
        <v>57.5</v>
      </c>
      <c r="W6" s="1100">
        <v>60</v>
      </c>
      <c r="X6" s="1100">
        <v>60.228571428571428</v>
      </c>
      <c r="Y6" s="1100">
        <v>60.457142857142856</v>
      </c>
      <c r="Z6" s="1100">
        <v>60.685714285714283</v>
      </c>
      <c r="AA6" s="1100">
        <v>60.914285714285718</v>
      </c>
      <c r="AB6" s="1100">
        <v>61.142857142857146</v>
      </c>
      <c r="AC6" s="1100">
        <v>61.371428571428574</v>
      </c>
      <c r="AD6" s="1100">
        <v>61.6</v>
      </c>
      <c r="AE6" s="1100">
        <v>62.02</v>
      </c>
      <c r="AF6" s="1100">
        <v>62.440000000000005</v>
      </c>
      <c r="AG6" s="1100">
        <v>62.86</v>
      </c>
      <c r="AH6" s="1100">
        <v>63.28</v>
      </c>
      <c r="AI6" s="1100">
        <v>63.7</v>
      </c>
      <c r="AJ6" s="1100">
        <v>64.974999999999994</v>
      </c>
      <c r="AK6" s="1100">
        <v>66.25</v>
      </c>
      <c r="AL6" s="1100">
        <v>67.525000000000006</v>
      </c>
      <c r="AM6" s="1100">
        <v>68.8</v>
      </c>
      <c r="AN6" s="1100">
        <v>70.075000000000003</v>
      </c>
      <c r="AO6" s="1100">
        <v>71.349999999999994</v>
      </c>
      <c r="AP6" s="1100">
        <v>72.625</v>
      </c>
      <c r="AQ6" s="1100">
        <v>73.900000000000006</v>
      </c>
      <c r="AR6" s="1100">
        <v>75.174999999999997</v>
      </c>
      <c r="AS6" s="1100">
        <v>76.45</v>
      </c>
      <c r="AT6" s="1100">
        <v>77.724999999999994</v>
      </c>
      <c r="AU6" s="1100">
        <v>79</v>
      </c>
      <c r="AV6" s="1100">
        <v>80.275000000000006</v>
      </c>
      <c r="AW6" s="1100">
        <v>81.55</v>
      </c>
      <c r="AX6" s="1100">
        <v>82.825000000000003</v>
      </c>
      <c r="AY6" s="1100"/>
      <c r="AZ6" s="1100"/>
      <c r="BA6" s="1100"/>
      <c r="BB6" s="1100"/>
      <c r="BC6" s="1100"/>
      <c r="BD6" s="1304"/>
    </row>
    <row r="7" spans="2:56" ht="18" x14ac:dyDescent="0.35">
      <c r="C7" s="1303" t="s">
        <v>82</v>
      </c>
      <c r="D7" s="1310" t="s">
        <v>908</v>
      </c>
      <c r="E7" s="1100" t="s">
        <v>598</v>
      </c>
      <c r="F7" s="1310" t="s">
        <v>899</v>
      </c>
      <c r="G7" s="1310" t="s">
        <v>900</v>
      </c>
      <c r="H7" s="1100"/>
      <c r="I7" s="1100"/>
      <c r="J7" s="1100"/>
      <c r="K7" s="1100"/>
      <c r="L7" s="1100"/>
      <c r="M7" s="1100"/>
      <c r="N7" s="1100"/>
      <c r="O7" s="1100">
        <v>37.9</v>
      </c>
      <c r="P7" s="1100">
        <v>40.9</v>
      </c>
      <c r="Q7" s="1100">
        <v>43.9</v>
      </c>
      <c r="R7" s="1100">
        <v>46.9</v>
      </c>
      <c r="S7" s="1100">
        <v>49.9</v>
      </c>
      <c r="T7" s="1100">
        <v>52.9</v>
      </c>
      <c r="U7" s="1100">
        <v>56.1</v>
      </c>
      <c r="V7" s="1100">
        <v>59.3</v>
      </c>
      <c r="W7" s="1100">
        <v>62.5</v>
      </c>
      <c r="X7" s="1100">
        <v>62.4</v>
      </c>
      <c r="Y7" s="1100">
        <v>62.3</v>
      </c>
      <c r="Z7" s="1100">
        <v>62.199999999999996</v>
      </c>
      <c r="AA7" s="1100">
        <v>62.1</v>
      </c>
      <c r="AB7" s="1100">
        <v>62</v>
      </c>
      <c r="AC7" s="1100">
        <v>61.9</v>
      </c>
      <c r="AD7" s="1100">
        <v>61.8</v>
      </c>
      <c r="AE7" s="1100">
        <v>62.4</v>
      </c>
      <c r="AF7" s="1100">
        <v>63</v>
      </c>
      <c r="AG7" s="1100">
        <v>63.599999999999994</v>
      </c>
      <c r="AH7" s="1100">
        <v>64.2</v>
      </c>
      <c r="AI7" s="1100">
        <v>64.8</v>
      </c>
      <c r="AJ7" s="1100">
        <v>66.144999999999996</v>
      </c>
      <c r="AK7" s="1100">
        <v>67.489999999999995</v>
      </c>
      <c r="AL7" s="1100">
        <v>68.834999999999994</v>
      </c>
      <c r="AM7" s="1100">
        <v>70.180000000000007</v>
      </c>
      <c r="AN7" s="1100">
        <v>71.525000000000006</v>
      </c>
      <c r="AO7" s="1100">
        <v>72.87</v>
      </c>
      <c r="AP7" s="1100">
        <v>74.215000000000003</v>
      </c>
      <c r="AQ7" s="1100">
        <v>75.56</v>
      </c>
      <c r="AR7" s="1100">
        <v>76.905000000000001</v>
      </c>
      <c r="AS7" s="1100">
        <v>78.25</v>
      </c>
      <c r="AT7" s="1100">
        <v>79.594999999999999</v>
      </c>
      <c r="AU7" s="1100">
        <v>80.94</v>
      </c>
      <c r="AV7" s="1100">
        <v>82.284999999999997</v>
      </c>
      <c r="AW7" s="1100">
        <v>83.63</v>
      </c>
      <c r="AX7" s="1100">
        <v>84.974999999999994</v>
      </c>
      <c r="AY7" s="1100"/>
      <c r="AZ7" s="1100"/>
      <c r="BA7" s="1100"/>
      <c r="BB7" s="1100"/>
      <c r="BC7" s="1100"/>
      <c r="BD7" s="1304"/>
    </row>
    <row r="8" spans="2:56" ht="18" x14ac:dyDescent="0.35">
      <c r="C8" s="1303" t="s">
        <v>82</v>
      </c>
      <c r="D8" s="1310" t="s">
        <v>909</v>
      </c>
      <c r="E8" s="1100" t="s">
        <v>598</v>
      </c>
      <c r="F8" s="1310" t="s">
        <v>901</v>
      </c>
      <c r="G8" s="1310" t="s">
        <v>902</v>
      </c>
      <c r="H8" s="1100"/>
      <c r="I8" s="1100"/>
      <c r="J8" s="1100"/>
      <c r="K8" s="1100"/>
      <c r="L8" s="1100"/>
      <c r="M8" s="1100"/>
      <c r="N8" s="1100"/>
      <c r="O8" s="1100">
        <v>38</v>
      </c>
      <c r="P8" s="1100">
        <v>39.86</v>
      </c>
      <c r="Q8" s="1100">
        <v>41.72</v>
      </c>
      <c r="R8" s="1100">
        <v>43.58</v>
      </c>
      <c r="S8" s="1100">
        <v>45.44</v>
      </c>
      <c r="T8" s="1100">
        <v>47.3</v>
      </c>
      <c r="U8" s="1100">
        <v>49.5</v>
      </c>
      <c r="V8" s="1100">
        <v>51.699999999999996</v>
      </c>
      <c r="W8" s="1100">
        <v>53.9</v>
      </c>
      <c r="X8" s="1100">
        <v>53.871428571428574</v>
      </c>
      <c r="Y8" s="1100">
        <v>53.842857142857142</v>
      </c>
      <c r="Z8" s="1100">
        <v>53.814285714285717</v>
      </c>
      <c r="AA8" s="1100">
        <v>53.785714285714285</v>
      </c>
      <c r="AB8" s="1100">
        <v>53.75714285714286</v>
      </c>
      <c r="AC8" s="1100">
        <v>53.728571428571428</v>
      </c>
      <c r="AD8" s="1100">
        <v>53.7</v>
      </c>
      <c r="AE8" s="1100">
        <v>54.78</v>
      </c>
      <c r="AF8" s="1100">
        <v>55.86</v>
      </c>
      <c r="AG8" s="1100">
        <v>56.940000000000005</v>
      </c>
      <c r="AH8" s="1100">
        <v>58.02</v>
      </c>
      <c r="AI8" s="1100">
        <v>59.1</v>
      </c>
      <c r="AJ8" s="1100">
        <v>60.155000000000001</v>
      </c>
      <c r="AK8" s="1100">
        <v>61.210000000000008</v>
      </c>
      <c r="AL8" s="1100">
        <v>62.265000000000001</v>
      </c>
      <c r="AM8" s="1100">
        <v>63.320000000000007</v>
      </c>
      <c r="AN8" s="1100">
        <v>64.375</v>
      </c>
      <c r="AO8" s="1100">
        <v>65.430000000000007</v>
      </c>
      <c r="AP8" s="1100">
        <v>66.484999999999999</v>
      </c>
      <c r="AQ8" s="1100">
        <v>67.540000000000006</v>
      </c>
      <c r="AR8" s="1100">
        <v>68.594999999999999</v>
      </c>
      <c r="AS8" s="1100">
        <v>69.650000000000006</v>
      </c>
      <c r="AT8" s="1100">
        <v>70.705000000000013</v>
      </c>
      <c r="AU8" s="1100">
        <v>71.760000000000005</v>
      </c>
      <c r="AV8" s="1100">
        <v>72.814999999999998</v>
      </c>
      <c r="AW8" s="1100">
        <v>73.87</v>
      </c>
      <c r="AX8" s="1100">
        <v>74.925000000000011</v>
      </c>
      <c r="AY8" s="1100"/>
      <c r="AZ8" s="1100"/>
      <c r="BA8" s="1100"/>
      <c r="BB8" s="1100"/>
      <c r="BC8" s="1100"/>
      <c r="BD8" s="1304"/>
    </row>
    <row r="9" spans="2:56" ht="18" x14ac:dyDescent="0.35">
      <c r="C9" s="1303" t="s">
        <v>82</v>
      </c>
      <c r="D9" s="1310" t="s">
        <v>910</v>
      </c>
      <c r="E9" s="1100" t="s">
        <v>598</v>
      </c>
      <c r="F9" s="1310" t="s">
        <v>903</v>
      </c>
      <c r="G9" s="1310" t="s">
        <v>904</v>
      </c>
      <c r="H9" s="1100"/>
      <c r="I9" s="1100"/>
      <c r="J9" s="1100"/>
      <c r="K9" s="1100"/>
      <c r="L9" s="1100"/>
      <c r="M9" s="1100"/>
      <c r="N9" s="1100"/>
      <c r="O9" s="1100">
        <f t="shared" ref="O9:W9" si="0">O4-1</f>
        <v>37</v>
      </c>
      <c r="P9" s="1100">
        <f t="shared" si="0"/>
        <v>38.6</v>
      </c>
      <c r="Q9" s="1100">
        <f t="shared" si="0"/>
        <v>40.200000000000003</v>
      </c>
      <c r="R9" s="1100">
        <f t="shared" si="0"/>
        <v>41.8</v>
      </c>
      <c r="S9" s="1100">
        <f t="shared" si="0"/>
        <v>43.4</v>
      </c>
      <c r="T9" s="1100">
        <f t="shared" si="0"/>
        <v>45</v>
      </c>
      <c r="U9" s="1100">
        <f t="shared" si="0"/>
        <v>47.2</v>
      </c>
      <c r="V9" s="1100">
        <f t="shared" si="0"/>
        <v>49.4</v>
      </c>
      <c r="W9" s="1100">
        <f t="shared" si="0"/>
        <v>51.6</v>
      </c>
      <c r="X9" s="1100">
        <f t="shared" ref="X9:AD9" si="1">X4-1.3</f>
        <v>51.314285714285717</v>
      </c>
      <c r="Y9" s="1100">
        <f t="shared" si="1"/>
        <v>51.328571428571436</v>
      </c>
      <c r="Z9" s="1100">
        <f t="shared" si="1"/>
        <v>51.342857142857149</v>
      </c>
      <c r="AA9" s="1100">
        <f t="shared" si="1"/>
        <v>51.357142857142861</v>
      </c>
      <c r="AB9" s="1100">
        <f t="shared" si="1"/>
        <v>51.371428571428574</v>
      </c>
      <c r="AC9" s="1100">
        <f t="shared" si="1"/>
        <v>51.385714285714293</v>
      </c>
      <c r="AD9" s="1100">
        <f t="shared" si="1"/>
        <v>51.400000000000006</v>
      </c>
      <c r="AE9" s="1100">
        <f>AE4-4.9</f>
        <v>48.660000000000004</v>
      </c>
      <c r="AF9" s="1100">
        <f>AF4-4.9</f>
        <v>49.52</v>
      </c>
      <c r="AG9" s="1100">
        <f>AG4-4.9</f>
        <v>50.38</v>
      </c>
      <c r="AH9" s="1100">
        <f>AH4-4.9</f>
        <v>51.24</v>
      </c>
      <c r="AI9" s="1100">
        <f>AI4-4.9</f>
        <v>52.1</v>
      </c>
      <c r="AJ9" s="1100">
        <v>52.855000000000004</v>
      </c>
      <c r="AK9" s="1100">
        <v>53.61</v>
      </c>
      <c r="AL9" s="1100">
        <v>54.365000000000002</v>
      </c>
      <c r="AM9" s="1100">
        <v>55.120000000000005</v>
      </c>
      <c r="AN9" s="1100">
        <v>55.875</v>
      </c>
      <c r="AO9" s="1100">
        <v>56.63</v>
      </c>
      <c r="AP9" s="1100">
        <v>57.385000000000005</v>
      </c>
      <c r="AQ9" s="1100">
        <v>58.14</v>
      </c>
      <c r="AR9" s="1100">
        <v>58.895000000000003</v>
      </c>
      <c r="AS9" s="1100">
        <v>59.650000000000006</v>
      </c>
      <c r="AT9" s="1100">
        <v>60.405000000000001</v>
      </c>
      <c r="AU9" s="1100">
        <v>61.160000000000004</v>
      </c>
      <c r="AV9" s="1100">
        <v>61.915000000000006</v>
      </c>
      <c r="AW9" s="1100">
        <v>62.67</v>
      </c>
      <c r="AX9" s="1100">
        <v>63.425000000000004</v>
      </c>
      <c r="AY9" s="1100"/>
      <c r="AZ9" s="604"/>
      <c r="BA9" s="604"/>
      <c r="BB9" s="604"/>
      <c r="BC9" s="604"/>
      <c r="BD9" s="1079"/>
    </row>
    <row r="10" spans="2:56" ht="18" x14ac:dyDescent="0.35">
      <c r="C10" s="1303" t="s">
        <v>82</v>
      </c>
      <c r="D10" s="1310" t="s">
        <v>606</v>
      </c>
      <c r="E10" s="1100" t="s">
        <v>605</v>
      </c>
      <c r="F10" s="1310"/>
      <c r="G10" s="1310" t="s">
        <v>607</v>
      </c>
      <c r="H10" s="1100"/>
      <c r="I10" s="1100"/>
      <c r="J10" s="1100"/>
      <c r="K10" s="1100"/>
      <c r="L10" s="1100"/>
      <c r="M10" s="1100"/>
      <c r="N10" s="1100"/>
      <c r="O10" s="1100"/>
      <c r="P10" s="1100"/>
      <c r="Q10" s="1100">
        <v>33</v>
      </c>
      <c r="R10" s="1100">
        <v>32</v>
      </c>
      <c r="S10" s="1100">
        <v>31</v>
      </c>
      <c r="T10" s="1100">
        <v>32</v>
      </c>
      <c r="U10" s="1100">
        <v>35.333333333333336</v>
      </c>
      <c r="V10" s="1100">
        <v>38.666666666666664</v>
      </c>
      <c r="W10" s="1100">
        <v>42</v>
      </c>
      <c r="X10" s="1100">
        <v>45</v>
      </c>
      <c r="Y10" s="1100">
        <v>48</v>
      </c>
      <c r="Z10" s="1100">
        <v>47.2</v>
      </c>
      <c r="AA10" s="1100">
        <v>46.4</v>
      </c>
      <c r="AB10" s="1100">
        <v>45.6</v>
      </c>
      <c r="AC10" s="1100">
        <v>44.8</v>
      </c>
      <c r="AD10" s="1100">
        <v>44</v>
      </c>
      <c r="AE10" s="1100">
        <v>44.8</v>
      </c>
      <c r="AF10" s="1100">
        <v>45.6</v>
      </c>
      <c r="AG10" s="1100">
        <v>46.4</v>
      </c>
      <c r="AH10" s="1100">
        <v>47.2</v>
      </c>
      <c r="AI10" s="1100">
        <v>48</v>
      </c>
      <c r="AJ10" s="1100">
        <v>48.8</v>
      </c>
      <c r="AK10" s="1100">
        <v>49.6</v>
      </c>
      <c r="AL10" s="1100">
        <v>50.4</v>
      </c>
      <c r="AM10" s="1100">
        <v>51.2</v>
      </c>
      <c r="AN10" s="1100">
        <v>52</v>
      </c>
      <c r="AO10" s="1100">
        <v>52.8</v>
      </c>
      <c r="AP10" s="1100">
        <v>53.6</v>
      </c>
      <c r="AQ10" s="1100">
        <v>54.4</v>
      </c>
      <c r="AR10" s="1100">
        <v>55.2</v>
      </c>
      <c r="AS10" s="1100">
        <v>56</v>
      </c>
      <c r="AT10" s="1100">
        <v>56.8</v>
      </c>
      <c r="AU10" s="1100">
        <v>57.6</v>
      </c>
      <c r="AV10" s="1100">
        <v>58.4</v>
      </c>
      <c r="AW10" s="1100">
        <v>59.2</v>
      </c>
      <c r="AX10" s="1100">
        <v>60</v>
      </c>
      <c r="AY10" s="1100"/>
      <c r="AZ10" s="604"/>
      <c r="BA10" s="604"/>
      <c r="BB10" s="604"/>
      <c r="BC10" s="604"/>
      <c r="BD10" s="1079"/>
    </row>
    <row r="11" spans="2:56" ht="18" x14ac:dyDescent="0.35">
      <c r="C11" s="1303" t="s">
        <v>601</v>
      </c>
      <c r="D11" s="1310" t="s">
        <v>602</v>
      </c>
      <c r="E11" s="1100" t="s">
        <v>598</v>
      </c>
      <c r="F11" s="1310" t="s">
        <v>603</v>
      </c>
      <c r="G11" s="1310">
        <v>7.7478131436255371E-2</v>
      </c>
      <c r="H11" s="1100"/>
      <c r="I11" s="1100"/>
      <c r="J11" s="1100"/>
      <c r="K11" s="1100"/>
      <c r="L11" s="1100"/>
      <c r="M11" s="1100">
        <v>4</v>
      </c>
      <c r="N11" s="1100">
        <v>5.0999999999999996</v>
      </c>
      <c r="O11" s="1100">
        <v>7</v>
      </c>
      <c r="P11" s="1100">
        <v>7</v>
      </c>
      <c r="Q11" s="1100">
        <v>8</v>
      </c>
      <c r="R11" s="1100">
        <v>9</v>
      </c>
      <c r="S11" s="1100">
        <v>10</v>
      </c>
      <c r="T11" s="1100">
        <v>11</v>
      </c>
      <c r="U11" s="1100">
        <v>12</v>
      </c>
      <c r="V11" s="1100">
        <v>13</v>
      </c>
      <c r="W11" s="1100">
        <v>14</v>
      </c>
      <c r="X11" s="1100">
        <v>15</v>
      </c>
      <c r="Y11" s="1100">
        <v>16</v>
      </c>
      <c r="Z11" s="1100">
        <v>17</v>
      </c>
      <c r="AA11" s="1100">
        <v>18</v>
      </c>
      <c r="AB11" s="1100">
        <v>19</v>
      </c>
      <c r="AC11" s="1100">
        <v>20</v>
      </c>
      <c r="AD11" s="1100">
        <v>21</v>
      </c>
      <c r="AE11" s="1100">
        <v>23</v>
      </c>
      <c r="AF11" s="1100">
        <v>25</v>
      </c>
      <c r="AG11" s="1100">
        <v>27</v>
      </c>
      <c r="AH11" s="1100">
        <v>29</v>
      </c>
      <c r="AI11" s="1100">
        <v>31</v>
      </c>
      <c r="AJ11" s="1100">
        <f t="shared" ref="AJ11:AX11" si="2">AI11*(1+$G$11)</f>
        <v>33.401822074523913</v>
      </c>
      <c r="AK11" s="1100">
        <f t="shared" si="2"/>
        <v>35.989732835424292</v>
      </c>
      <c r="AL11" s="1100">
        <f t="shared" si="2"/>
        <v>38.778150086403009</v>
      </c>
      <c r="AM11" s="1100">
        <f t="shared" si="2"/>
        <v>41.782608695652179</v>
      </c>
      <c r="AN11" s="1100">
        <f t="shared" si="2"/>
        <v>45.019847143923542</v>
      </c>
      <c r="AO11" s="1100">
        <f t="shared" si="2"/>
        <v>48.507900778180577</v>
      </c>
      <c r="AP11" s="1100">
        <f t="shared" si="2"/>
        <v>52.266202290369286</v>
      </c>
      <c r="AQ11" s="1100">
        <f t="shared" si="2"/>
        <v>56.315689981096426</v>
      </c>
      <c r="AR11" s="1100">
        <f t="shared" si="2"/>
        <v>60.678924411375228</v>
      </c>
      <c r="AS11" s="1100">
        <f t="shared" si="2"/>
        <v>65.380214092330363</v>
      </c>
      <c r="AT11" s="1100">
        <f t="shared" si="2"/>
        <v>70.445750913106451</v>
      </c>
      <c r="AU11" s="1100">
        <f t="shared" si="2"/>
        <v>75.903756061477822</v>
      </c>
      <c r="AV11" s="1100">
        <f t="shared" si="2"/>
        <v>81.784637250114471</v>
      </c>
      <c r="AW11" s="1100">
        <f t="shared" si="2"/>
        <v>88.121158124445301</v>
      </c>
      <c r="AX11" s="1100">
        <f t="shared" si="2"/>
        <v>94.948620795926118</v>
      </c>
      <c r="AY11" s="1100"/>
      <c r="AZ11" s="604"/>
      <c r="BA11" s="604"/>
      <c r="BB11" s="604"/>
      <c r="BC11" s="604"/>
      <c r="BD11" s="1079"/>
    </row>
    <row r="12" spans="2:56" ht="18" x14ac:dyDescent="0.35">
      <c r="C12" s="1303" t="s">
        <v>601</v>
      </c>
      <c r="D12" s="1310" t="s">
        <v>604</v>
      </c>
      <c r="E12" s="1100" t="s">
        <v>605</v>
      </c>
      <c r="F12" s="1310"/>
      <c r="G12" s="1310"/>
      <c r="H12" s="1100"/>
      <c r="I12" s="1100"/>
      <c r="J12" s="1100"/>
      <c r="K12" s="1100"/>
      <c r="L12" s="1100"/>
      <c r="M12" s="1100"/>
      <c r="N12" s="1100"/>
      <c r="O12" s="1100"/>
      <c r="P12" s="1100"/>
      <c r="Q12" s="1100">
        <v>5</v>
      </c>
      <c r="R12" s="1100">
        <v>6</v>
      </c>
      <c r="S12" s="1100">
        <v>6</v>
      </c>
      <c r="T12" s="1100">
        <v>7</v>
      </c>
      <c r="U12" s="1100">
        <v>7.666666666666667</v>
      </c>
      <c r="V12" s="1100">
        <v>8.3333333333333339</v>
      </c>
      <c r="W12" s="1100">
        <v>9</v>
      </c>
      <c r="X12" s="1100">
        <v>10</v>
      </c>
      <c r="Y12" s="1100">
        <v>11</v>
      </c>
      <c r="Z12" s="1100">
        <v>12</v>
      </c>
      <c r="AA12" s="1100">
        <v>13</v>
      </c>
      <c r="AB12" s="1100">
        <v>14</v>
      </c>
      <c r="AC12" s="1100">
        <v>15</v>
      </c>
      <c r="AD12" s="1100">
        <v>16</v>
      </c>
      <c r="AE12" s="1100">
        <v>17.8</v>
      </c>
      <c r="AF12" s="1100">
        <v>19.600000000000001</v>
      </c>
      <c r="AG12" s="1100">
        <v>21.4</v>
      </c>
      <c r="AH12" s="1100">
        <v>23.2</v>
      </c>
      <c r="AI12" s="1100">
        <v>25</v>
      </c>
      <c r="AJ12" s="1100">
        <v>26.8</v>
      </c>
      <c r="AK12" s="1100">
        <v>28.6</v>
      </c>
      <c r="AL12" s="1100">
        <v>30.4</v>
      </c>
      <c r="AM12" s="1100">
        <v>32.200000000000003</v>
      </c>
      <c r="AN12" s="1100">
        <v>34</v>
      </c>
      <c r="AO12" s="1100">
        <v>35.799999999999997</v>
      </c>
      <c r="AP12" s="1100">
        <v>37.6</v>
      </c>
      <c r="AQ12" s="1100">
        <v>39.400000000000006</v>
      </c>
      <c r="AR12" s="1100">
        <v>41.2</v>
      </c>
      <c r="AS12" s="1100">
        <v>43</v>
      </c>
      <c r="AT12" s="1100">
        <v>44.8</v>
      </c>
      <c r="AU12" s="1100">
        <v>46.6</v>
      </c>
      <c r="AV12" s="1100">
        <v>48.4</v>
      </c>
      <c r="AW12" s="1100">
        <v>50.2</v>
      </c>
      <c r="AX12" s="1100">
        <v>52</v>
      </c>
      <c r="AY12" s="1100"/>
      <c r="AZ12" s="604"/>
      <c r="BA12" s="604"/>
      <c r="BB12" s="604"/>
      <c r="BC12" s="604"/>
      <c r="BD12" s="1079"/>
    </row>
    <row r="13" spans="2:56" ht="18" x14ac:dyDescent="0.35">
      <c r="C13" s="1303" t="s">
        <v>12</v>
      </c>
      <c r="D13" s="1310" t="s">
        <v>608</v>
      </c>
      <c r="E13" s="1100" t="s">
        <v>605</v>
      </c>
      <c r="F13" s="1310" t="s">
        <v>554</v>
      </c>
      <c r="G13" s="1310"/>
      <c r="H13" s="1100"/>
      <c r="I13" s="1100"/>
      <c r="J13" s="1100"/>
      <c r="K13" s="1100"/>
      <c r="L13" s="1100"/>
      <c r="M13" s="1100"/>
      <c r="N13" s="1100"/>
      <c r="O13" s="1100"/>
      <c r="P13" s="1100"/>
      <c r="Q13" s="1100">
        <v>0.15992309347453543</v>
      </c>
      <c r="R13" s="1100">
        <v>0.1589304829704154</v>
      </c>
      <c r="S13" s="1100">
        <v>0.15581976640254314</v>
      </c>
      <c r="T13" s="1100">
        <v>0.16985753853529995</v>
      </c>
      <c r="U13" s="1100">
        <v>0.18389531066805678</v>
      </c>
      <c r="V13" s="1100">
        <v>0.19793308280081365</v>
      </c>
      <c r="W13" s="1100">
        <v>0.21197085493357049</v>
      </c>
      <c r="X13" s="1100">
        <v>0.22600862706632729</v>
      </c>
      <c r="Y13" s="1100">
        <v>0.24004639919908413</v>
      </c>
      <c r="Z13" s="1100">
        <v>0.25408417133184097</v>
      </c>
      <c r="AA13" s="1100">
        <v>0.26812194346459783</v>
      </c>
      <c r="AB13" s="1100">
        <v>0.28215971559735464</v>
      </c>
      <c r="AC13" s="1100">
        <v>0.29619748773011145</v>
      </c>
      <c r="AD13" s="1100">
        <v>0.31023525986286832</v>
      </c>
      <c r="AE13" s="1100">
        <v>0.31384965123991143</v>
      </c>
      <c r="AF13" s="1100">
        <v>0.31746404261695454</v>
      </c>
      <c r="AG13" s="1100">
        <v>0.32107843399399771</v>
      </c>
      <c r="AH13" s="1100">
        <v>0.32469282537104083</v>
      </c>
      <c r="AI13" s="1100">
        <v>0.32830721674808394</v>
      </c>
      <c r="AJ13" s="1100">
        <v>0.33192160812512705</v>
      </c>
      <c r="AK13" s="1100">
        <v>0.33553599950217017</v>
      </c>
      <c r="AL13" s="1100">
        <v>0.33915039087921334</v>
      </c>
      <c r="AM13" s="1100">
        <v>0.34276478225625645</v>
      </c>
      <c r="AN13" s="1100">
        <v>0.34637917363329956</v>
      </c>
      <c r="AO13" s="1100">
        <v>0.34999356501034268</v>
      </c>
      <c r="AP13" s="1100">
        <v>0.35360795638738585</v>
      </c>
      <c r="AQ13" s="1100">
        <v>0.35722234776442896</v>
      </c>
      <c r="AR13" s="1100">
        <v>0.36083673914147207</v>
      </c>
      <c r="AS13" s="1100">
        <v>0.36445113051851519</v>
      </c>
      <c r="AT13" s="1100">
        <v>0.3680655218955583</v>
      </c>
      <c r="AU13" s="1100">
        <v>0.37167991327260141</v>
      </c>
      <c r="AV13" s="1100">
        <v>0.37529430464964458</v>
      </c>
      <c r="AW13" s="1100">
        <v>0.3789086960266877</v>
      </c>
      <c r="AX13" s="1100">
        <v>0.38252308740373081</v>
      </c>
      <c r="AY13" s="1100"/>
      <c r="AZ13" s="604"/>
      <c r="BA13" s="604"/>
      <c r="BB13" s="604"/>
      <c r="BC13" s="604"/>
      <c r="BD13" s="1079"/>
    </row>
    <row r="14" spans="2:56" x14ac:dyDescent="0.25">
      <c r="C14" s="1303" t="s">
        <v>600</v>
      </c>
      <c r="D14" s="1310" t="s">
        <v>609</v>
      </c>
      <c r="E14" s="1100" t="s">
        <v>605</v>
      </c>
      <c r="F14" s="1310" t="s">
        <v>612</v>
      </c>
      <c r="G14" s="1310" t="s">
        <v>547</v>
      </c>
      <c r="H14" s="1100"/>
      <c r="I14" s="1100"/>
      <c r="J14" s="1100">
        <v>92.359102244389035</v>
      </c>
      <c r="K14" s="1100">
        <v>93.837406483790531</v>
      </c>
      <c r="L14" s="1100">
        <v>95.315710723192026</v>
      </c>
      <c r="M14" s="1100">
        <v>96.794014962593522</v>
      </c>
      <c r="N14" s="1100">
        <v>98.272319201995018</v>
      </c>
      <c r="O14" s="1100">
        <v>99.750623441396513</v>
      </c>
      <c r="P14" s="1100">
        <v>100</v>
      </c>
      <c r="Q14" s="1100">
        <v>100.89999999999999</v>
      </c>
      <c r="R14" s="1100">
        <v>102.41349999999998</v>
      </c>
      <c r="S14" s="1100">
        <v>103.94970249999997</v>
      </c>
      <c r="T14" s="1100">
        <v>105.50894803749995</v>
      </c>
      <c r="U14" s="1100">
        <v>107.11544046893742</v>
      </c>
      <c r="V14" s="1100">
        <v>108.72193290037488</v>
      </c>
      <c r="W14" s="1100">
        <v>110.32842533181235</v>
      </c>
      <c r="X14" s="1100">
        <v>111.99576365963935</v>
      </c>
      <c r="Y14" s="1100">
        <v>113.66310198746636</v>
      </c>
      <c r="Z14" s="1100">
        <v>115.41996991056824</v>
      </c>
      <c r="AA14" s="1100">
        <v>117.17683783367012</v>
      </c>
      <c r="AB14" s="1100">
        <v>118.933705756772</v>
      </c>
      <c r="AC14" s="1100">
        <v>120.69057367987388</v>
      </c>
      <c r="AD14" s="1100">
        <v>122.44744160297576</v>
      </c>
      <c r="AE14" s="1100">
        <v>124.34008731347097</v>
      </c>
      <c r="AF14" s="1100">
        <v>126.2327330239662</v>
      </c>
      <c r="AG14" s="1100">
        <v>128.12537873446144</v>
      </c>
      <c r="AH14" s="1100">
        <v>130.01802444495664</v>
      </c>
      <c r="AI14" s="1100">
        <v>131.91067015545187</v>
      </c>
      <c r="AJ14" s="1100">
        <v>133.8033158659471</v>
      </c>
      <c r="AK14" s="1100">
        <v>135.6959615764423</v>
      </c>
      <c r="AL14" s="1100">
        <v>137.58860728693753</v>
      </c>
      <c r="AM14" s="1100">
        <v>139.48125299743276</v>
      </c>
      <c r="AN14" s="1100">
        <v>141.37389870792799</v>
      </c>
      <c r="AO14" s="1100">
        <v>143.26654441842319</v>
      </c>
      <c r="AP14" s="1100">
        <v>145.15919012891842</v>
      </c>
      <c r="AQ14" s="1100">
        <v>147.05183583941366</v>
      </c>
      <c r="AR14" s="1100">
        <v>148.94448154990886</v>
      </c>
      <c r="AS14" s="1100">
        <v>150.83712726040409</v>
      </c>
      <c r="AT14" s="1100">
        <v>152.72977297089932</v>
      </c>
      <c r="AU14" s="1100">
        <v>154.62241868139455</v>
      </c>
      <c r="AV14" s="1100">
        <v>156.51506439188975</v>
      </c>
      <c r="AW14" s="1100">
        <v>158.40771010238498</v>
      </c>
      <c r="AX14" s="1100">
        <v>160.30035581288018</v>
      </c>
      <c r="AY14" s="1100"/>
      <c r="AZ14" s="604"/>
      <c r="BA14" s="604"/>
      <c r="BB14" s="604"/>
      <c r="BC14" s="604"/>
      <c r="BD14" s="1079"/>
    </row>
    <row r="15" spans="2:56" x14ac:dyDescent="0.25">
      <c r="C15" s="1303" t="s">
        <v>610</v>
      </c>
      <c r="D15" s="1310" t="s">
        <v>611</v>
      </c>
      <c r="E15" s="1100" t="s">
        <v>605</v>
      </c>
      <c r="F15" s="1310"/>
      <c r="G15" s="1310"/>
      <c r="H15" s="1100"/>
      <c r="I15" s="1100"/>
      <c r="J15" s="1100"/>
      <c r="K15" s="1100"/>
      <c r="L15" s="1100"/>
      <c r="M15" s="1100"/>
      <c r="N15" s="1100"/>
      <c r="O15" s="1100">
        <v>1.1100000000000001</v>
      </c>
      <c r="P15" s="1100">
        <v>1.1100000000000001</v>
      </c>
      <c r="Q15" s="1100">
        <v>1.1299999999999999</v>
      </c>
      <c r="R15" s="1100">
        <v>1.1599999999999999</v>
      </c>
      <c r="S15" s="1100">
        <v>1.1599999999999999</v>
      </c>
      <c r="T15" s="1100">
        <v>1.1599999999999999</v>
      </c>
      <c r="U15" s="1100">
        <v>1.1433333333333333</v>
      </c>
      <c r="V15" s="1100">
        <v>1.1266666666666667</v>
      </c>
      <c r="W15" s="1100">
        <v>1.1100000000000001</v>
      </c>
      <c r="X15" s="1100">
        <v>1.1100000000000001</v>
      </c>
      <c r="Y15" s="1100">
        <v>1.1100000000000001</v>
      </c>
      <c r="Z15" s="1100">
        <v>1.1100000000000001</v>
      </c>
      <c r="AA15" s="1100">
        <v>1.1100000000000001</v>
      </c>
      <c r="AB15" s="1100">
        <v>1.1100000000000001</v>
      </c>
      <c r="AC15" s="1100">
        <v>1.1100000000000001</v>
      </c>
      <c r="AD15" s="1100">
        <v>1.1100000000000001</v>
      </c>
      <c r="AE15" s="1100">
        <v>1.1100000000000001</v>
      </c>
      <c r="AF15" s="1100">
        <v>1.1100000000000001</v>
      </c>
      <c r="AG15" s="1100">
        <v>1.1100000000000001</v>
      </c>
      <c r="AH15" s="1100">
        <v>1.1100000000000001</v>
      </c>
      <c r="AI15" s="1100">
        <v>1.1100000000000001</v>
      </c>
      <c r="AJ15" s="1100">
        <v>1.1100000000000001</v>
      </c>
      <c r="AK15" s="1100">
        <v>1.1100000000000001</v>
      </c>
      <c r="AL15" s="1100">
        <v>1.1100000000000001</v>
      </c>
      <c r="AM15" s="1100">
        <v>1.1100000000000001</v>
      </c>
      <c r="AN15" s="1100">
        <v>1.1100000000000001</v>
      </c>
      <c r="AO15" s="1100">
        <v>1.1100000000000001</v>
      </c>
      <c r="AP15" s="1100">
        <v>1.1100000000000001</v>
      </c>
      <c r="AQ15" s="1100">
        <v>1.1100000000000001</v>
      </c>
      <c r="AR15" s="1100">
        <v>1.1100000000000001</v>
      </c>
      <c r="AS15" s="1100">
        <v>1.1100000000000001</v>
      </c>
      <c r="AT15" s="1100">
        <v>1.1100000000000001</v>
      </c>
      <c r="AU15" s="1100">
        <v>1.1100000000000001</v>
      </c>
      <c r="AV15" s="1100">
        <v>1.1100000000000001</v>
      </c>
      <c r="AW15" s="1100">
        <v>1.1100000000000001</v>
      </c>
      <c r="AX15" s="1100">
        <v>1.1100000000000001</v>
      </c>
      <c r="AY15" s="1100"/>
      <c r="AZ15" s="604"/>
      <c r="BA15" s="604"/>
      <c r="BB15" s="604"/>
      <c r="BC15" s="604"/>
      <c r="BD15" s="1079"/>
    </row>
    <row r="16" spans="2:56" x14ac:dyDescent="0.25">
      <c r="C16" s="1078" t="s">
        <v>589</v>
      </c>
      <c r="D16" s="1311" t="s">
        <v>1658</v>
      </c>
      <c r="E16" s="604" t="s">
        <v>1656</v>
      </c>
      <c r="F16" s="1312"/>
      <c r="G16" s="1312"/>
      <c r="H16" s="604"/>
      <c r="I16" s="604"/>
      <c r="J16" s="604"/>
      <c r="K16" s="604"/>
      <c r="L16" s="604"/>
      <c r="M16" s="604"/>
      <c r="N16" s="1100">
        <v>2090</v>
      </c>
      <c r="O16" s="1100">
        <v>1570</v>
      </c>
      <c r="P16" s="1100">
        <v>1434.5633188630409</v>
      </c>
      <c r="Q16" s="1100">
        <v>1310.8101374696453</v>
      </c>
      <c r="R16" s="1100">
        <v>1197.73257401769</v>
      </c>
      <c r="S16" s="1100">
        <v>1094.4096920338791</v>
      </c>
      <c r="T16" s="1100">
        <v>1000</v>
      </c>
      <c r="U16" s="1100">
        <v>972.53188882002098</v>
      </c>
      <c r="V16" s="1100">
        <v>945.81827477183754</v>
      </c>
      <c r="W16" s="1100">
        <v>919.83843324434872</v>
      </c>
      <c r="X16" s="1100">
        <v>894.57220889237522</v>
      </c>
      <c r="Y16" s="1100">
        <v>870</v>
      </c>
      <c r="Z16" s="1100">
        <v>846.79467933035858</v>
      </c>
      <c r="AA16" s="1100">
        <v>824.20830912897088</v>
      </c>
      <c r="AB16" s="1100">
        <v>802.2243802646941</v>
      </c>
      <c r="AC16" s="1100">
        <v>780.82682395084748</v>
      </c>
      <c r="AD16" s="1100">
        <v>760</v>
      </c>
      <c r="AE16" s="1100">
        <v>739.72868539203739</v>
      </c>
      <c r="AF16" s="1100">
        <v>719.99806314714704</v>
      </c>
      <c r="AG16" s="1100">
        <v>700.79371149559506</v>
      </c>
      <c r="AH16" s="1100">
        <v>682.10159333637262</v>
      </c>
      <c r="AI16" s="1100">
        <v>663.90804597701174</v>
      </c>
      <c r="AJ16" s="1100">
        <v>646.19977114706739</v>
      </c>
      <c r="AK16" s="1100">
        <v>628.96382527796777</v>
      </c>
      <c r="AL16" s="1100">
        <v>612.18761004212922</v>
      </c>
      <c r="AM16" s="1100">
        <v>595.85886314441746</v>
      </c>
      <c r="AN16" s="1100">
        <v>579.96564935922868</v>
      </c>
      <c r="AO16" s="1100">
        <v>564.49635180663358</v>
      </c>
      <c r="AP16" s="1100">
        <v>549.43966346121329</v>
      </c>
      <c r="AQ16" s="1100">
        <v>534.78457888737728</v>
      </c>
      <c r="AR16" s="1100">
        <v>520.52038619512336</v>
      </c>
      <c r="AS16" s="1100">
        <v>506.63665921036085</v>
      </c>
      <c r="AT16" s="1100">
        <v>493.12324985407093</v>
      </c>
      <c r="AU16" s="1100">
        <v>479.97028072473813</v>
      </c>
      <c r="AV16" s="1100">
        <v>467.16813787862844</v>
      </c>
      <c r="AW16" s="1100">
        <v>454.70746380263671</v>
      </c>
      <c r="AX16" s="1100">
        <v>442.57915057456813</v>
      </c>
      <c r="AY16" s="604"/>
      <c r="AZ16" s="604"/>
      <c r="BA16" s="604"/>
      <c r="BB16" s="604"/>
      <c r="BC16" s="604"/>
      <c r="BD16" s="1079"/>
    </row>
    <row r="17" spans="3:56" x14ac:dyDescent="0.25">
      <c r="C17" s="1078" t="s">
        <v>589</v>
      </c>
      <c r="D17" s="1312" t="s">
        <v>1659</v>
      </c>
      <c r="E17" s="604" t="s">
        <v>1657</v>
      </c>
      <c r="F17" s="1312"/>
      <c r="G17" s="1312"/>
      <c r="H17" s="604"/>
      <c r="I17" s="604"/>
      <c r="J17" s="604"/>
      <c r="K17" s="604"/>
      <c r="L17" s="604"/>
      <c r="M17" s="604"/>
      <c r="N17" s="1100"/>
      <c r="O17" s="1100"/>
      <c r="P17" s="1100"/>
      <c r="Q17" s="1100">
        <v>1200</v>
      </c>
      <c r="R17" s="1100">
        <v>1121.8139733515268</v>
      </c>
      <c r="S17" s="1100">
        <v>1048.7221590056167</v>
      </c>
      <c r="T17" s="1100">
        <v>980.39264344656874</v>
      </c>
      <c r="U17" s="1100">
        <v>916.51513899116833</v>
      </c>
      <c r="V17" s="1100">
        <v>856.79957475709102</v>
      </c>
      <c r="W17" s="1100">
        <v>800.97477943679235</v>
      </c>
      <c r="X17" s="1100">
        <v>748.78724989529235</v>
      </c>
      <c r="Y17" s="1100">
        <v>700</v>
      </c>
      <c r="Z17" s="1100">
        <v>654.39148445505771</v>
      </c>
      <c r="AA17" s="1100">
        <v>611.75459275327671</v>
      </c>
      <c r="AB17" s="1100">
        <v>571.89570867716543</v>
      </c>
      <c r="AC17" s="1100">
        <v>534.63383107818186</v>
      </c>
      <c r="AD17" s="1100">
        <v>499.79975194163677</v>
      </c>
      <c r="AE17" s="1100">
        <v>467.2352880047959</v>
      </c>
      <c r="AF17" s="1100">
        <v>436.79256243892087</v>
      </c>
      <c r="AG17" s="1100">
        <v>408.33333333333388</v>
      </c>
      <c r="AH17" s="1100">
        <v>381.72836593211724</v>
      </c>
      <c r="AI17" s="1100">
        <v>356.85684577274509</v>
      </c>
      <c r="AJ17" s="1100">
        <v>333.60583006168008</v>
      </c>
      <c r="AK17" s="1100">
        <v>311.86973479560629</v>
      </c>
      <c r="AL17" s="1100">
        <v>291.54985529928831</v>
      </c>
      <c r="AM17" s="1100">
        <v>272.55391800279779</v>
      </c>
      <c r="AN17" s="1100">
        <v>254.795661422704</v>
      </c>
      <c r="AO17" s="1100">
        <v>238.19444444444491</v>
      </c>
      <c r="AP17" s="1100">
        <v>222.67488012706858</v>
      </c>
      <c r="AQ17" s="1100">
        <v>208.16649336743473</v>
      </c>
      <c r="AR17" s="1100">
        <v>194.60340086931348</v>
      </c>
      <c r="AS17" s="1100">
        <v>181.92401196410378</v>
      </c>
      <c r="AT17" s="1100">
        <v>170.07074892458496</v>
      </c>
      <c r="AU17" s="1100">
        <v>158.98978550163213</v>
      </c>
      <c r="AV17" s="1100">
        <v>148.63080249657742</v>
      </c>
      <c r="AW17" s="1100">
        <v>138.94675925925964</v>
      </c>
      <c r="AX17" s="1100">
        <v>129.89368007412341</v>
      </c>
      <c r="AY17" s="604"/>
      <c r="AZ17" s="604"/>
      <c r="BA17" s="604"/>
      <c r="BB17" s="604"/>
      <c r="BC17" s="604"/>
      <c r="BD17" s="1079"/>
    </row>
    <row r="18" spans="3:56" ht="18" x14ac:dyDescent="0.35">
      <c r="C18" s="1078" t="s">
        <v>589</v>
      </c>
      <c r="D18" s="1311" t="s">
        <v>1661</v>
      </c>
      <c r="E18" s="604" t="s">
        <v>1656</v>
      </c>
      <c r="F18" s="1312"/>
      <c r="G18" s="1312"/>
      <c r="H18" s="604"/>
      <c r="I18" s="604"/>
      <c r="J18" s="604"/>
      <c r="K18" s="604"/>
      <c r="L18" s="604"/>
      <c r="M18" s="604"/>
      <c r="N18" s="1100">
        <v>57</v>
      </c>
      <c r="O18" s="1100">
        <v>52</v>
      </c>
      <c r="P18" s="1100">
        <v>51.174183534943261</v>
      </c>
      <c r="Q18" s="1100">
        <v>50.361481932078036</v>
      </c>
      <c r="R18" s="1100">
        <v>49.561686913151739</v>
      </c>
      <c r="S18" s="1100">
        <v>48.774593507596592</v>
      </c>
      <c r="T18" s="1100">
        <v>48</v>
      </c>
      <c r="U18" s="1100">
        <v>48</v>
      </c>
      <c r="V18" s="1100">
        <v>48</v>
      </c>
      <c r="W18" s="1100">
        <v>48</v>
      </c>
      <c r="X18" s="1100">
        <v>48</v>
      </c>
      <c r="Y18" s="1100">
        <v>48</v>
      </c>
      <c r="Z18" s="1100">
        <v>47.798312191288503</v>
      </c>
      <c r="AA18" s="1100">
        <v>47.597471840330805</v>
      </c>
      <c r="AB18" s="1100">
        <v>47.397475386254058</v>
      </c>
      <c r="AC18" s="1100">
        <v>47.198319283147583</v>
      </c>
      <c r="AD18" s="1100">
        <v>47</v>
      </c>
      <c r="AE18" s="1207">
        <f>$AD$18</f>
        <v>47</v>
      </c>
      <c r="AF18" s="1207">
        <f t="shared" ref="AF18:AX18" si="3">$AD$18</f>
        <v>47</v>
      </c>
      <c r="AG18" s="1207">
        <f t="shared" si="3"/>
        <v>47</v>
      </c>
      <c r="AH18" s="1207">
        <f t="shared" si="3"/>
        <v>47</v>
      </c>
      <c r="AI18" s="1207">
        <f t="shared" si="3"/>
        <v>47</v>
      </c>
      <c r="AJ18" s="1207">
        <f t="shared" si="3"/>
        <v>47</v>
      </c>
      <c r="AK18" s="1207">
        <f t="shared" si="3"/>
        <v>47</v>
      </c>
      <c r="AL18" s="1207">
        <f t="shared" si="3"/>
        <v>47</v>
      </c>
      <c r="AM18" s="1207">
        <f t="shared" si="3"/>
        <v>47</v>
      </c>
      <c r="AN18" s="1207">
        <f t="shared" si="3"/>
        <v>47</v>
      </c>
      <c r="AO18" s="1207">
        <f t="shared" si="3"/>
        <v>47</v>
      </c>
      <c r="AP18" s="1207">
        <f t="shared" si="3"/>
        <v>47</v>
      </c>
      <c r="AQ18" s="1207">
        <f t="shared" si="3"/>
        <v>47</v>
      </c>
      <c r="AR18" s="1207">
        <f t="shared" si="3"/>
        <v>47</v>
      </c>
      <c r="AS18" s="1207">
        <f t="shared" si="3"/>
        <v>47</v>
      </c>
      <c r="AT18" s="1207">
        <f t="shared" si="3"/>
        <v>47</v>
      </c>
      <c r="AU18" s="1207">
        <f t="shared" si="3"/>
        <v>47</v>
      </c>
      <c r="AV18" s="1207">
        <f t="shared" si="3"/>
        <v>47</v>
      </c>
      <c r="AW18" s="1207">
        <f t="shared" si="3"/>
        <v>47</v>
      </c>
      <c r="AX18" s="1207">
        <f t="shared" si="3"/>
        <v>47</v>
      </c>
      <c r="AY18" s="604"/>
      <c r="AZ18" s="604"/>
      <c r="BA18" s="604"/>
      <c r="BB18" s="604"/>
      <c r="BC18" s="604"/>
      <c r="BD18" s="1079"/>
    </row>
    <row r="19" spans="3:56" ht="18" x14ac:dyDescent="0.35">
      <c r="C19" s="1080" t="s">
        <v>589</v>
      </c>
      <c r="D19" s="1313" t="s">
        <v>1662</v>
      </c>
      <c r="E19" s="1081" t="s">
        <v>1657</v>
      </c>
      <c r="F19" s="1314"/>
      <c r="G19" s="1314"/>
      <c r="H19" s="1081"/>
      <c r="I19" s="1081"/>
      <c r="J19" s="1081"/>
      <c r="K19" s="1081"/>
      <c r="L19" s="1081"/>
      <c r="M19" s="1081"/>
      <c r="N19" s="1081"/>
      <c r="O19" s="1081"/>
      <c r="P19" s="1081"/>
      <c r="Q19" s="1305">
        <v>58</v>
      </c>
      <c r="R19" s="1305">
        <v>57.213683914575952</v>
      </c>
      <c r="S19" s="1305">
        <v>56.438028053051852</v>
      </c>
      <c r="T19" s="1305">
        <v>55.67288789291861</v>
      </c>
      <c r="U19" s="1305">
        <v>54.918120870983927</v>
      </c>
      <c r="V19" s="1305">
        <v>54.173586356809501</v>
      </c>
      <c r="W19" s="1305">
        <v>53.439145626508335</v>
      </c>
      <c r="X19" s="1305">
        <v>52.714661836897271</v>
      </c>
      <c r="Y19" s="1305">
        <v>52</v>
      </c>
      <c r="Z19" s="1306">
        <f>$Y$19</f>
        <v>52</v>
      </c>
      <c r="AA19" s="1306">
        <f t="shared" ref="AA19:AX19" si="4">$Y$19</f>
        <v>52</v>
      </c>
      <c r="AB19" s="1306">
        <f t="shared" si="4"/>
        <v>52</v>
      </c>
      <c r="AC19" s="1306">
        <f t="shared" si="4"/>
        <v>52</v>
      </c>
      <c r="AD19" s="1306">
        <f t="shared" si="4"/>
        <v>52</v>
      </c>
      <c r="AE19" s="1306">
        <f t="shared" si="4"/>
        <v>52</v>
      </c>
      <c r="AF19" s="1306">
        <f t="shared" si="4"/>
        <v>52</v>
      </c>
      <c r="AG19" s="1306">
        <f t="shared" si="4"/>
        <v>52</v>
      </c>
      <c r="AH19" s="1306">
        <f t="shared" si="4"/>
        <v>52</v>
      </c>
      <c r="AI19" s="1306">
        <f t="shared" si="4"/>
        <v>52</v>
      </c>
      <c r="AJ19" s="1306">
        <f t="shared" si="4"/>
        <v>52</v>
      </c>
      <c r="AK19" s="1306">
        <f t="shared" si="4"/>
        <v>52</v>
      </c>
      <c r="AL19" s="1306">
        <f t="shared" si="4"/>
        <v>52</v>
      </c>
      <c r="AM19" s="1306">
        <f t="shared" si="4"/>
        <v>52</v>
      </c>
      <c r="AN19" s="1306">
        <f t="shared" si="4"/>
        <v>52</v>
      </c>
      <c r="AO19" s="1306">
        <f t="shared" si="4"/>
        <v>52</v>
      </c>
      <c r="AP19" s="1306">
        <f t="shared" si="4"/>
        <v>52</v>
      </c>
      <c r="AQ19" s="1306">
        <f t="shared" si="4"/>
        <v>52</v>
      </c>
      <c r="AR19" s="1306">
        <f t="shared" si="4"/>
        <v>52</v>
      </c>
      <c r="AS19" s="1306">
        <f t="shared" si="4"/>
        <v>52</v>
      </c>
      <c r="AT19" s="1306">
        <f t="shared" si="4"/>
        <v>52</v>
      </c>
      <c r="AU19" s="1306">
        <f t="shared" si="4"/>
        <v>52</v>
      </c>
      <c r="AV19" s="1306">
        <f t="shared" si="4"/>
        <v>52</v>
      </c>
      <c r="AW19" s="1306">
        <f t="shared" si="4"/>
        <v>52</v>
      </c>
      <c r="AX19" s="1306">
        <f t="shared" si="4"/>
        <v>52</v>
      </c>
      <c r="AY19" s="1081"/>
      <c r="AZ19" s="1081"/>
      <c r="BA19" s="1081"/>
      <c r="BB19" s="1081"/>
      <c r="BC19" s="1081"/>
      <c r="BD19" s="1082"/>
    </row>
  </sheetData>
  <pageMargins left="0.7" right="0.7" top="0.75" bottom="0.75" header="0.3" footer="0.3"/>
  <pageSetup paperSize="0" orientation="portrait" horizontalDpi="0" verticalDpi="0" copies="0"/>
  <drawing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5"/>
  <dimension ref="A1:U152"/>
  <sheetViews>
    <sheetView zoomScaleNormal="100" workbookViewId="0">
      <pane ySplit="3" topLeftCell="A4" activePane="bottomLeft" state="frozen"/>
      <selection activeCell="L18" sqref="L18"/>
      <selection pane="bottomLeft" activeCell="B1" sqref="B1"/>
    </sheetView>
  </sheetViews>
  <sheetFormatPr defaultColWidth="9.140625" defaultRowHeight="15" x14ac:dyDescent="0.25"/>
  <cols>
    <col min="1" max="1" width="9.140625" style="354"/>
    <col min="2" max="2" width="20.85546875" style="354" bestFit="1" customWidth="1"/>
    <col min="3" max="3" width="21.28515625" style="354" customWidth="1"/>
    <col min="4" max="4" width="25.140625" style="354" bestFit="1" customWidth="1"/>
    <col min="5" max="5" width="20.28515625" style="354" customWidth="1"/>
    <col min="6" max="6" width="20.28515625" style="354" bestFit="1" customWidth="1"/>
    <col min="7" max="9" width="40.7109375" style="354" customWidth="1"/>
    <col min="10" max="20" width="9.140625" style="354"/>
    <col min="21" max="21" width="12" style="354" bestFit="1" customWidth="1"/>
    <col min="22" max="22" width="10.140625" style="354" customWidth="1"/>
    <col min="23" max="16384" width="9.140625" style="354"/>
  </cols>
  <sheetData>
    <row r="1" spans="1:21" ht="45" customHeight="1" x14ac:dyDescent="0.4">
      <c r="B1" s="355"/>
      <c r="G1" s="356"/>
      <c r="H1" s="356"/>
      <c r="I1" s="356"/>
      <c r="J1" s="356"/>
      <c r="K1" s="356"/>
    </row>
    <row r="2" spans="1:21" s="358" customFormat="1" x14ac:dyDescent="0.25">
      <c r="A2" s="354"/>
    </row>
    <row r="3" spans="1:21" s="358" customFormat="1" x14ac:dyDescent="0.25">
      <c r="A3" s="354"/>
      <c r="C3" s="359" t="s">
        <v>614</v>
      </c>
      <c r="D3" s="360"/>
      <c r="E3" s="360"/>
      <c r="F3" s="360"/>
      <c r="G3" s="360"/>
      <c r="H3" s="360"/>
      <c r="I3" s="360"/>
      <c r="J3" s="361" t="s">
        <v>597</v>
      </c>
    </row>
    <row r="4" spans="1:21" s="358" customFormat="1" x14ac:dyDescent="0.25">
      <c r="A4" s="354"/>
      <c r="C4" s="358" t="s">
        <v>10</v>
      </c>
      <c r="D4" s="362" t="s">
        <v>844</v>
      </c>
    </row>
    <row r="5" spans="1:21" s="358" customFormat="1" x14ac:dyDescent="0.25">
      <c r="A5" s="354"/>
      <c r="C5" s="358" t="s">
        <v>10</v>
      </c>
      <c r="D5" s="357"/>
      <c r="E5" s="1339" t="s">
        <v>843</v>
      </c>
      <c r="F5" s="1340"/>
      <c r="G5" s="1340"/>
      <c r="H5" s="1341"/>
    </row>
    <row r="6" spans="1:21" s="358" customFormat="1" ht="15.75" thickBot="1" x14ac:dyDescent="0.3">
      <c r="A6" s="354"/>
      <c r="C6" s="358" t="s">
        <v>10</v>
      </c>
      <c r="D6" s="363" t="s">
        <v>85</v>
      </c>
      <c r="E6" s="364">
        <f>4.4+273</f>
        <v>277.39999999999998</v>
      </c>
      <c r="F6" s="365">
        <f>32.2+273</f>
        <v>305.2</v>
      </c>
      <c r="G6" s="365">
        <f>71.1+273</f>
        <v>344.1</v>
      </c>
      <c r="H6" s="366">
        <f>82.2+273</f>
        <v>355.2</v>
      </c>
    </row>
    <row r="7" spans="1:21" s="358" customFormat="1" x14ac:dyDescent="0.25">
      <c r="A7" s="354"/>
      <c r="C7" s="358" t="s">
        <v>10</v>
      </c>
      <c r="D7" s="367">
        <v>7.6</v>
      </c>
      <c r="E7" s="368">
        <v>933.1</v>
      </c>
      <c r="F7" s="369">
        <v>473.8</v>
      </c>
      <c r="G7" s="369">
        <v>159.19999999999999</v>
      </c>
      <c r="H7" s="370">
        <v>146.9</v>
      </c>
    </row>
    <row r="8" spans="1:21" s="358" customFormat="1" x14ac:dyDescent="0.25">
      <c r="A8" s="354"/>
      <c r="C8" s="358" t="s">
        <v>10</v>
      </c>
      <c r="D8" s="371">
        <v>8.3000000000000007</v>
      </c>
      <c r="E8" s="372">
        <v>938.4</v>
      </c>
      <c r="F8" s="363">
        <v>669.6</v>
      </c>
      <c r="G8" s="363">
        <v>180.7</v>
      </c>
      <c r="H8" s="373">
        <v>165.3</v>
      </c>
    </row>
    <row r="9" spans="1:21" s="358" customFormat="1" x14ac:dyDescent="0.25">
      <c r="A9" s="354"/>
      <c r="C9" s="358" t="s">
        <v>10</v>
      </c>
      <c r="D9" s="371">
        <v>9</v>
      </c>
      <c r="E9" s="372">
        <v>943.5</v>
      </c>
      <c r="F9" s="363">
        <v>710.4</v>
      </c>
      <c r="G9" s="363">
        <v>204.2</v>
      </c>
      <c r="H9" s="373">
        <v>184.9</v>
      </c>
    </row>
    <row r="10" spans="1:21" s="358" customFormat="1" x14ac:dyDescent="0.25">
      <c r="A10" s="354"/>
      <c r="C10" s="358" t="s">
        <v>10</v>
      </c>
      <c r="D10" s="371">
        <v>9.6999999999999993</v>
      </c>
      <c r="E10" s="372">
        <v>948.3</v>
      </c>
      <c r="F10" s="363">
        <v>736.5</v>
      </c>
      <c r="G10" s="363">
        <v>230</v>
      </c>
      <c r="H10" s="373">
        <v>205.8</v>
      </c>
      <c r="L10" s="374"/>
      <c r="M10" s="375"/>
      <c r="N10" s="375"/>
      <c r="O10" s="375"/>
      <c r="P10" s="375"/>
      <c r="Q10" s="375"/>
      <c r="R10" s="375"/>
      <c r="S10" s="375"/>
    </row>
    <row r="11" spans="1:21" s="358" customFormat="1" x14ac:dyDescent="0.25">
      <c r="A11" s="354"/>
      <c r="C11" s="358" t="s">
        <v>10</v>
      </c>
      <c r="D11" s="371">
        <v>10.3</v>
      </c>
      <c r="E11" s="372">
        <v>952.9</v>
      </c>
      <c r="F11" s="363">
        <v>756.2</v>
      </c>
      <c r="G11" s="363">
        <v>258.5</v>
      </c>
      <c r="H11" s="373">
        <v>228.1</v>
      </c>
      <c r="U11" s="376"/>
    </row>
    <row r="12" spans="1:21" s="358" customFormat="1" x14ac:dyDescent="0.25">
      <c r="A12" s="354"/>
      <c r="C12" s="358" t="s">
        <v>10</v>
      </c>
      <c r="D12" s="371">
        <v>11</v>
      </c>
      <c r="E12" s="372">
        <v>957.3</v>
      </c>
      <c r="F12" s="363">
        <v>772.4</v>
      </c>
      <c r="G12" s="363">
        <v>289.89999999999998</v>
      </c>
      <c r="H12" s="373">
        <v>252.1</v>
      </c>
      <c r="L12" s="375"/>
      <c r="M12" s="375"/>
      <c r="N12" s="375"/>
      <c r="O12" s="375"/>
      <c r="P12" s="375"/>
      <c r="Q12" s="375"/>
      <c r="R12" s="375"/>
      <c r="S12" s="375"/>
      <c r="U12" s="377"/>
    </row>
    <row r="13" spans="1:21" s="358" customFormat="1" x14ac:dyDescent="0.25">
      <c r="A13" s="354"/>
      <c r="C13" s="358" t="s">
        <v>10</v>
      </c>
      <c r="D13" s="371">
        <v>11.7</v>
      </c>
      <c r="E13" s="372">
        <v>961.4</v>
      </c>
      <c r="F13" s="363">
        <v>786</v>
      </c>
      <c r="G13" s="363">
        <v>324.10000000000002</v>
      </c>
      <c r="H13" s="378">
        <v>277.60000000000002</v>
      </c>
    </row>
    <row r="14" spans="1:21" s="358" customFormat="1" x14ac:dyDescent="0.25">
      <c r="A14" s="354"/>
      <c r="C14" s="358" t="s">
        <v>10</v>
      </c>
      <c r="D14" s="371">
        <v>12.4</v>
      </c>
      <c r="E14" s="372">
        <v>965.6</v>
      </c>
      <c r="F14" s="363">
        <v>798</v>
      </c>
      <c r="G14" s="363">
        <v>360.6</v>
      </c>
      <c r="H14" s="373">
        <v>304.5</v>
      </c>
    </row>
    <row r="15" spans="1:21" s="358" customFormat="1" x14ac:dyDescent="0.25">
      <c r="A15" s="354"/>
      <c r="C15" s="358" t="s">
        <v>10</v>
      </c>
      <c r="D15" s="371">
        <v>13.1</v>
      </c>
      <c r="E15" s="372">
        <v>696.4</v>
      </c>
      <c r="F15" s="363">
        <v>808.6</v>
      </c>
      <c r="G15" s="363">
        <v>398.4</v>
      </c>
      <c r="H15" s="373">
        <v>332.7</v>
      </c>
    </row>
    <row r="16" spans="1:21" s="358" customFormat="1" x14ac:dyDescent="0.25">
      <c r="A16" s="354"/>
      <c r="C16" s="358" t="s">
        <v>10</v>
      </c>
      <c r="D16" s="371">
        <v>13.8</v>
      </c>
      <c r="E16" s="372">
        <v>673.3</v>
      </c>
      <c r="F16" s="363">
        <v>818.2</v>
      </c>
      <c r="G16" s="363">
        <v>435.7</v>
      </c>
      <c r="H16" s="373">
        <v>361.7</v>
      </c>
    </row>
    <row r="17" spans="1:9" s="358" customFormat="1" x14ac:dyDescent="0.25">
      <c r="A17" s="354"/>
      <c r="C17" s="358" t="s">
        <v>10</v>
      </c>
      <c r="D17" s="371">
        <v>14.5</v>
      </c>
      <c r="E17" s="372">
        <v>977</v>
      </c>
      <c r="F17" s="363">
        <v>827</v>
      </c>
      <c r="G17" s="363">
        <v>471.3</v>
      </c>
      <c r="H17" s="373">
        <v>391</v>
      </c>
    </row>
    <row r="18" spans="1:9" s="358" customFormat="1" x14ac:dyDescent="0.25">
      <c r="A18" s="354"/>
      <c r="C18" s="358" t="s">
        <v>10</v>
      </c>
      <c r="D18" s="371">
        <v>15.2</v>
      </c>
      <c r="E18" s="372">
        <v>980.5</v>
      </c>
      <c r="F18" s="363">
        <v>835.2</v>
      </c>
      <c r="G18" s="363">
        <v>503.8</v>
      </c>
      <c r="H18" s="373">
        <v>420</v>
      </c>
      <c r="I18" s="376"/>
    </row>
    <row r="19" spans="1:9" s="358" customFormat="1" x14ac:dyDescent="0.25">
      <c r="A19" s="354"/>
      <c r="C19" s="358" t="s">
        <v>10</v>
      </c>
      <c r="D19" s="371">
        <v>15.9</v>
      </c>
      <c r="E19" s="379">
        <v>983.9</v>
      </c>
      <c r="F19" s="380">
        <v>842.7</v>
      </c>
      <c r="G19" s="380">
        <v>532.9</v>
      </c>
      <c r="H19" s="373">
        <v>447.9</v>
      </c>
    </row>
    <row r="20" spans="1:9" s="358" customFormat="1" x14ac:dyDescent="0.25">
      <c r="A20" s="354"/>
      <c r="C20" s="358" t="s">
        <v>10</v>
      </c>
      <c r="D20" s="371">
        <v>16.5</v>
      </c>
      <c r="E20" s="372">
        <v>987.2</v>
      </c>
      <c r="F20" s="363">
        <v>849.8</v>
      </c>
      <c r="G20" s="363">
        <v>558.9</v>
      </c>
      <c r="H20" s="373">
        <v>474.3</v>
      </c>
    </row>
    <row r="21" spans="1:9" s="358" customFormat="1" x14ac:dyDescent="0.25">
      <c r="A21" s="354"/>
      <c r="C21" s="358" t="s">
        <v>10</v>
      </c>
      <c r="D21" s="371">
        <v>17.2</v>
      </c>
      <c r="E21" s="372">
        <v>990.6</v>
      </c>
      <c r="F21" s="363">
        <v>856.5</v>
      </c>
      <c r="G21" s="363">
        <v>581.79999999999995</v>
      </c>
      <c r="H21" s="373">
        <v>499.1</v>
      </c>
    </row>
    <row r="22" spans="1:9" s="358" customFormat="1" x14ac:dyDescent="0.25">
      <c r="A22" s="354"/>
      <c r="C22" s="358" t="s">
        <v>10</v>
      </c>
      <c r="D22" s="371">
        <v>17.899999999999999</v>
      </c>
      <c r="E22" s="372">
        <v>993.8</v>
      </c>
      <c r="F22" s="363">
        <v>862.8</v>
      </c>
      <c r="G22" s="363">
        <v>602.1</v>
      </c>
      <c r="H22" s="373">
        <v>521.9</v>
      </c>
    </row>
    <row r="23" spans="1:9" s="358" customFormat="1" x14ac:dyDescent="0.25">
      <c r="A23" s="354"/>
      <c r="C23" s="358" t="s">
        <v>10</v>
      </c>
      <c r="D23" s="371">
        <v>18.600000000000001</v>
      </c>
      <c r="E23" s="372">
        <v>996.8</v>
      </c>
      <c r="F23" s="363">
        <v>868.7</v>
      </c>
      <c r="G23" s="363">
        <v>620.4</v>
      </c>
      <c r="H23" s="373">
        <v>543</v>
      </c>
    </row>
    <row r="24" spans="1:9" s="358" customFormat="1" x14ac:dyDescent="0.25">
      <c r="A24" s="354"/>
      <c r="C24" s="358" t="s">
        <v>10</v>
      </c>
      <c r="D24" s="371">
        <v>19.3</v>
      </c>
      <c r="E24" s="372">
        <v>999.9</v>
      </c>
      <c r="F24" s="363">
        <v>874.4</v>
      </c>
      <c r="G24" s="363">
        <v>636.9</v>
      </c>
      <c r="H24" s="373">
        <v>562.20000000000005</v>
      </c>
    </row>
    <row r="25" spans="1:9" s="358" customFormat="1" x14ac:dyDescent="0.25">
      <c r="A25" s="354"/>
      <c r="C25" s="358" t="s">
        <v>10</v>
      </c>
      <c r="D25" s="371">
        <v>20</v>
      </c>
      <c r="E25" s="372">
        <v>1002.8</v>
      </c>
      <c r="F25" s="363">
        <v>879.7</v>
      </c>
      <c r="G25" s="363">
        <v>651.79999999999995</v>
      </c>
      <c r="H25" s="373">
        <v>580</v>
      </c>
    </row>
    <row r="26" spans="1:9" s="358" customFormat="1" x14ac:dyDescent="0.25">
      <c r="A26" s="354"/>
      <c r="C26" s="358" t="s">
        <v>10</v>
      </c>
      <c r="D26" s="371">
        <v>20.7</v>
      </c>
      <c r="E26" s="372">
        <v>1005.6</v>
      </c>
      <c r="F26" s="363">
        <v>885</v>
      </c>
      <c r="G26" s="363">
        <v>665.6</v>
      </c>
      <c r="H26" s="373">
        <v>596.4</v>
      </c>
    </row>
    <row r="27" spans="1:9" s="358" customFormat="1" x14ac:dyDescent="0.25">
      <c r="A27" s="354"/>
      <c r="C27" s="358" t="s">
        <v>10</v>
      </c>
      <c r="D27" s="371">
        <v>21.4</v>
      </c>
      <c r="E27" s="372">
        <v>1008.5</v>
      </c>
      <c r="F27" s="363">
        <v>890</v>
      </c>
      <c r="G27" s="363">
        <v>678.1</v>
      </c>
      <c r="H27" s="373">
        <v>611.4</v>
      </c>
    </row>
    <row r="28" spans="1:9" s="358" customFormat="1" x14ac:dyDescent="0.25">
      <c r="A28" s="354"/>
      <c r="C28" s="358" t="s">
        <v>10</v>
      </c>
      <c r="D28" s="371">
        <v>22.1</v>
      </c>
      <c r="E28" s="372">
        <v>1011.2</v>
      </c>
      <c r="F28" s="363">
        <v>894.8</v>
      </c>
      <c r="G28" s="363">
        <v>689.8</v>
      </c>
      <c r="H28" s="373">
        <v>625.4</v>
      </c>
    </row>
    <row r="29" spans="1:9" s="358" customFormat="1" x14ac:dyDescent="0.25">
      <c r="A29" s="354"/>
      <c r="C29" s="358" t="s">
        <v>10</v>
      </c>
      <c r="D29" s="371">
        <v>22.8</v>
      </c>
      <c r="E29" s="372">
        <v>1014</v>
      </c>
      <c r="F29" s="363">
        <v>899.4</v>
      </c>
      <c r="G29" s="363">
        <v>700.5</v>
      </c>
      <c r="H29" s="373">
        <v>638.29999999999995</v>
      </c>
    </row>
    <row r="30" spans="1:9" s="358" customFormat="1" x14ac:dyDescent="0.25">
      <c r="A30" s="354"/>
      <c r="C30" s="358" t="s">
        <v>10</v>
      </c>
      <c r="D30" s="371">
        <v>23.4</v>
      </c>
      <c r="E30" s="372">
        <v>1016.5</v>
      </c>
      <c r="F30" s="363">
        <v>903.8</v>
      </c>
      <c r="G30" s="363">
        <v>710.7</v>
      </c>
      <c r="H30" s="373">
        <v>650.4</v>
      </c>
    </row>
    <row r="31" spans="1:9" s="358" customFormat="1" x14ac:dyDescent="0.25">
      <c r="A31" s="354"/>
      <c r="B31" s="381"/>
      <c r="C31" s="358" t="s">
        <v>10</v>
      </c>
      <c r="D31" s="371">
        <v>24.1</v>
      </c>
      <c r="E31" s="372">
        <v>1019.1</v>
      </c>
      <c r="F31" s="363">
        <v>908.1</v>
      </c>
      <c r="G31" s="363">
        <v>720.2</v>
      </c>
      <c r="H31" s="373">
        <v>661.7</v>
      </c>
      <c r="I31" s="382"/>
    </row>
    <row r="32" spans="1:9" s="358" customFormat="1" ht="15.75" thickBot="1" x14ac:dyDescent="0.3">
      <c r="A32" s="354"/>
      <c r="C32" s="358" t="s">
        <v>10</v>
      </c>
      <c r="D32" s="383">
        <v>24.8</v>
      </c>
      <c r="E32" s="384">
        <v>1021.7</v>
      </c>
      <c r="F32" s="385">
        <v>912.3</v>
      </c>
      <c r="G32" s="385">
        <v>729.2</v>
      </c>
      <c r="H32" s="386">
        <v>672.3</v>
      </c>
    </row>
    <row r="33" spans="1:8" s="358" customFormat="1" x14ac:dyDescent="0.25">
      <c r="A33" s="354"/>
      <c r="D33" s="387"/>
      <c r="E33" s="388"/>
      <c r="F33" s="389"/>
      <c r="H33" s="390"/>
    </row>
    <row r="34" spans="1:8" s="358" customFormat="1" x14ac:dyDescent="0.25">
      <c r="A34" s="354"/>
      <c r="D34" s="387"/>
      <c r="E34" s="391"/>
      <c r="F34" s="389"/>
      <c r="G34" s="390"/>
    </row>
    <row r="35" spans="1:8" s="358" customFormat="1" x14ac:dyDescent="0.25">
      <c r="A35" s="354"/>
      <c r="D35" s="387"/>
      <c r="E35" s="392"/>
      <c r="F35" s="387"/>
      <c r="G35" s="393"/>
    </row>
    <row r="36" spans="1:8" s="358" customFormat="1" x14ac:dyDescent="0.25">
      <c r="A36" s="354"/>
      <c r="D36" s="387"/>
      <c r="E36" s="392"/>
      <c r="F36" s="387"/>
      <c r="G36" s="393"/>
    </row>
    <row r="37" spans="1:8" s="358" customFormat="1" x14ac:dyDescent="0.25">
      <c r="A37" s="354"/>
      <c r="D37" s="362"/>
      <c r="E37" s="392"/>
      <c r="F37" s="387"/>
      <c r="G37" s="393"/>
    </row>
    <row r="38" spans="1:8" s="358" customFormat="1" x14ac:dyDescent="0.25">
      <c r="A38" s="354"/>
      <c r="D38" s="387"/>
      <c r="E38" s="392"/>
      <c r="F38" s="387"/>
    </row>
    <row r="39" spans="1:8" s="358" customFormat="1" x14ac:dyDescent="0.25">
      <c r="A39" s="354"/>
      <c r="D39" s="387"/>
      <c r="E39" s="392"/>
      <c r="F39" s="387"/>
      <c r="G39" s="382"/>
    </row>
    <row r="40" spans="1:8" s="358" customFormat="1" x14ac:dyDescent="0.25">
      <c r="A40" s="354"/>
      <c r="D40" s="387"/>
      <c r="E40" s="392"/>
      <c r="F40" s="387"/>
      <c r="G40" s="382"/>
    </row>
    <row r="41" spans="1:8" s="358" customFormat="1" x14ac:dyDescent="0.25">
      <c r="A41" s="354"/>
      <c r="D41" s="394"/>
      <c r="E41" s="392"/>
      <c r="F41" s="387"/>
      <c r="G41" s="382"/>
    </row>
    <row r="42" spans="1:8" s="358" customFormat="1" x14ac:dyDescent="0.25">
      <c r="A42" s="354"/>
      <c r="D42" s="382"/>
      <c r="E42" s="395"/>
      <c r="F42" s="387"/>
      <c r="G42" s="382"/>
    </row>
    <row r="43" spans="1:8" s="358" customFormat="1" x14ac:dyDescent="0.25">
      <c r="A43" s="354"/>
      <c r="D43" s="382"/>
      <c r="E43" s="395"/>
      <c r="F43" s="382"/>
      <c r="G43" s="382"/>
    </row>
    <row r="44" spans="1:8" s="358" customFormat="1" x14ac:dyDescent="0.25">
      <c r="A44" s="354"/>
      <c r="D44" s="387"/>
      <c r="E44" s="396"/>
      <c r="F44" s="387"/>
      <c r="G44" s="382"/>
    </row>
    <row r="45" spans="1:8" s="358" customFormat="1" x14ac:dyDescent="0.25">
      <c r="A45" s="354"/>
      <c r="D45" s="387"/>
      <c r="E45" s="396"/>
      <c r="F45" s="387"/>
      <c r="G45" s="382"/>
    </row>
    <row r="46" spans="1:8" s="358" customFormat="1" x14ac:dyDescent="0.25">
      <c r="A46" s="354"/>
      <c r="D46" s="397"/>
      <c r="E46" s="398"/>
      <c r="F46" s="399"/>
      <c r="G46" s="382"/>
    </row>
    <row r="47" spans="1:8" s="358" customFormat="1" x14ac:dyDescent="0.25">
      <c r="A47" s="354"/>
      <c r="D47" s="397"/>
      <c r="E47" s="398"/>
      <c r="F47" s="399"/>
      <c r="G47" s="382"/>
    </row>
    <row r="48" spans="1:8" s="358" customFormat="1" x14ac:dyDescent="0.25">
      <c r="A48" s="354"/>
      <c r="D48" s="400"/>
      <c r="E48" s="401"/>
      <c r="F48" s="399"/>
      <c r="G48" s="382"/>
    </row>
    <row r="49" spans="1:9" s="358" customFormat="1" x14ac:dyDescent="0.25">
      <c r="A49" s="354"/>
      <c r="D49" s="397"/>
      <c r="E49" s="398"/>
      <c r="F49" s="399"/>
      <c r="G49" s="382"/>
    </row>
    <row r="50" spans="1:9" s="358" customFormat="1" x14ac:dyDescent="0.25">
      <c r="A50" s="354"/>
      <c r="D50" s="397"/>
      <c r="E50" s="398"/>
      <c r="F50" s="399"/>
      <c r="G50" s="382"/>
    </row>
    <row r="51" spans="1:9" s="358" customFormat="1" x14ac:dyDescent="0.25">
      <c r="A51" s="354"/>
      <c r="D51" s="397"/>
      <c r="E51" s="402"/>
      <c r="F51" s="399"/>
      <c r="G51" s="382"/>
    </row>
    <row r="52" spans="1:9" s="358" customFormat="1" x14ac:dyDescent="0.25">
      <c r="A52" s="354"/>
      <c r="D52" s="397"/>
      <c r="E52" s="398"/>
      <c r="F52" s="399"/>
      <c r="G52" s="382"/>
    </row>
    <row r="53" spans="1:9" s="358" customFormat="1" x14ac:dyDescent="0.25">
      <c r="A53" s="354"/>
      <c r="D53" s="397"/>
      <c r="E53" s="403"/>
      <c r="F53" s="399"/>
      <c r="G53" s="382"/>
    </row>
    <row r="54" spans="1:9" s="358" customFormat="1" x14ac:dyDescent="0.25">
      <c r="A54" s="354"/>
      <c r="D54" s="397"/>
      <c r="E54" s="404"/>
      <c r="F54" s="399"/>
      <c r="G54" s="382"/>
    </row>
    <row r="55" spans="1:9" s="358" customFormat="1" x14ac:dyDescent="0.25">
      <c r="A55" s="354"/>
      <c r="D55" s="397"/>
      <c r="E55" s="404"/>
      <c r="F55" s="399"/>
      <c r="G55" s="382"/>
    </row>
    <row r="56" spans="1:9" s="358" customFormat="1" x14ac:dyDescent="0.25">
      <c r="A56" s="354"/>
      <c r="D56" s="397"/>
      <c r="E56" s="398"/>
      <c r="F56" s="399"/>
      <c r="G56" s="382"/>
    </row>
    <row r="57" spans="1:9" s="358" customFormat="1" x14ac:dyDescent="0.25">
      <c r="A57" s="354"/>
      <c r="D57" s="397"/>
      <c r="E57" s="405"/>
      <c r="F57" s="405"/>
      <c r="G57" s="382"/>
    </row>
    <row r="58" spans="1:9" s="358" customFormat="1" x14ac:dyDescent="0.25">
      <c r="A58" s="354"/>
      <c r="D58" s="382"/>
      <c r="E58" s="382"/>
      <c r="F58" s="382"/>
      <c r="G58" s="382"/>
    </row>
    <row r="59" spans="1:9" s="358" customFormat="1" x14ac:dyDescent="0.25">
      <c r="A59" s="354"/>
      <c r="D59" s="406"/>
      <c r="E59" s="393"/>
      <c r="F59" s="393"/>
      <c r="G59" s="393"/>
    </row>
    <row r="60" spans="1:9" s="358" customFormat="1" x14ac:dyDescent="0.25">
      <c r="A60" s="354"/>
      <c r="D60" s="382"/>
      <c r="E60" s="407"/>
      <c r="F60" s="382"/>
      <c r="G60" s="382"/>
      <c r="H60" s="382"/>
      <c r="I60" s="382"/>
    </row>
    <row r="61" spans="1:9" s="358" customFormat="1" x14ac:dyDescent="0.25">
      <c r="A61" s="354"/>
      <c r="D61" s="382"/>
      <c r="E61" s="407"/>
      <c r="F61" s="382"/>
      <c r="G61" s="382"/>
      <c r="H61" s="382"/>
      <c r="I61" s="382"/>
    </row>
    <row r="62" spans="1:9" s="358" customFormat="1" x14ac:dyDescent="0.25">
      <c r="A62" s="354"/>
      <c r="D62" s="382"/>
      <c r="E62" s="407"/>
      <c r="F62" s="382"/>
      <c r="G62" s="382"/>
      <c r="H62" s="382"/>
      <c r="I62" s="382"/>
    </row>
    <row r="63" spans="1:9" s="358" customFormat="1" x14ac:dyDescent="0.25">
      <c r="A63" s="354"/>
      <c r="D63" s="382"/>
      <c r="E63" s="407"/>
      <c r="F63" s="382"/>
      <c r="G63" s="382"/>
      <c r="H63" s="382"/>
      <c r="I63" s="382"/>
    </row>
    <row r="64" spans="1:9" s="358" customFormat="1" x14ac:dyDescent="0.25">
      <c r="A64" s="354"/>
      <c r="D64" s="382"/>
      <c r="E64" s="407"/>
      <c r="F64" s="382"/>
      <c r="G64" s="382"/>
      <c r="H64" s="382"/>
      <c r="I64" s="382"/>
    </row>
    <row r="65" spans="1:9" s="358" customFormat="1" x14ac:dyDescent="0.25">
      <c r="A65" s="354"/>
      <c r="D65" s="382"/>
      <c r="E65" s="407"/>
      <c r="F65" s="382"/>
      <c r="G65" s="382"/>
      <c r="H65" s="382"/>
      <c r="I65" s="382"/>
    </row>
    <row r="66" spans="1:9" s="358" customFormat="1" x14ac:dyDescent="0.25">
      <c r="A66" s="354"/>
      <c r="D66" s="382"/>
      <c r="E66" s="395"/>
      <c r="F66" s="382"/>
      <c r="G66" s="382"/>
    </row>
    <row r="67" spans="1:9" s="358" customFormat="1" x14ac:dyDescent="0.25">
      <c r="A67" s="354"/>
      <c r="D67" s="382"/>
      <c r="E67" s="382"/>
      <c r="F67" s="382"/>
      <c r="G67" s="382"/>
    </row>
    <row r="68" spans="1:9" s="358" customFormat="1" x14ac:dyDescent="0.25">
      <c r="A68" s="354"/>
      <c r="C68" s="382"/>
      <c r="D68" s="406"/>
      <c r="E68" s="382"/>
      <c r="F68" s="382"/>
      <c r="G68" s="382"/>
    </row>
    <row r="69" spans="1:9" s="358" customFormat="1" x14ac:dyDescent="0.25">
      <c r="A69" s="354"/>
      <c r="C69" s="382"/>
      <c r="G69" s="382"/>
    </row>
    <row r="70" spans="1:9" s="358" customFormat="1" x14ac:dyDescent="0.25">
      <c r="A70" s="354"/>
      <c r="C70" s="382"/>
      <c r="G70" s="382"/>
    </row>
    <row r="71" spans="1:9" s="358" customFormat="1" x14ac:dyDescent="0.25">
      <c r="A71" s="354"/>
      <c r="C71" s="382"/>
      <c r="D71" s="387"/>
      <c r="E71" s="375"/>
      <c r="G71" s="382"/>
    </row>
    <row r="72" spans="1:9" s="358" customFormat="1" x14ac:dyDescent="0.25">
      <c r="A72" s="354"/>
      <c r="C72" s="382"/>
      <c r="G72" s="382"/>
    </row>
    <row r="73" spans="1:9" s="358" customFormat="1" x14ac:dyDescent="0.25">
      <c r="A73" s="354"/>
      <c r="C73" s="382"/>
      <c r="F73" s="382"/>
      <c r="G73" s="382"/>
    </row>
    <row r="74" spans="1:9" s="358" customFormat="1" x14ac:dyDescent="0.25">
      <c r="A74" s="354"/>
      <c r="C74" s="382"/>
      <c r="E74" s="375"/>
      <c r="F74" s="382"/>
      <c r="G74" s="382"/>
    </row>
    <row r="75" spans="1:9" s="358" customFormat="1" x14ac:dyDescent="0.25">
      <c r="A75" s="354"/>
      <c r="C75" s="382"/>
      <c r="D75" s="382"/>
      <c r="E75" s="382"/>
      <c r="F75" s="382"/>
      <c r="G75" s="382"/>
    </row>
    <row r="76" spans="1:9" s="358" customFormat="1" x14ac:dyDescent="0.25">
      <c r="A76" s="354"/>
      <c r="C76" s="382"/>
      <c r="D76" s="406"/>
      <c r="E76" s="382"/>
      <c r="F76" s="382"/>
      <c r="G76" s="382"/>
    </row>
    <row r="77" spans="1:9" s="358" customFormat="1" x14ac:dyDescent="0.25">
      <c r="A77" s="354"/>
      <c r="C77" s="382"/>
      <c r="D77" s="382"/>
      <c r="E77" s="408"/>
      <c r="F77" s="382"/>
      <c r="G77" s="382"/>
    </row>
    <row r="78" spans="1:9" s="358" customFormat="1" x14ac:dyDescent="0.25">
      <c r="A78" s="354"/>
      <c r="C78" s="382"/>
      <c r="D78" s="382"/>
      <c r="E78" s="408"/>
      <c r="F78" s="382"/>
      <c r="G78" s="382"/>
    </row>
    <row r="79" spans="1:9" s="358" customFormat="1" x14ac:dyDescent="0.25">
      <c r="A79" s="354"/>
      <c r="C79" s="382"/>
      <c r="D79" s="382"/>
      <c r="E79" s="408"/>
      <c r="F79" s="382"/>
      <c r="G79" s="382"/>
    </row>
    <row r="80" spans="1:9" s="358" customFormat="1" x14ac:dyDescent="0.25">
      <c r="A80" s="354"/>
      <c r="C80" s="382"/>
      <c r="D80" s="382"/>
      <c r="E80" s="395"/>
      <c r="F80" s="382"/>
      <c r="G80" s="382"/>
    </row>
    <row r="81" spans="1:8" s="358" customFormat="1" x14ac:dyDescent="0.25">
      <c r="A81" s="354"/>
      <c r="C81" s="382"/>
      <c r="D81" s="382"/>
      <c r="E81" s="382"/>
      <c r="F81" s="382"/>
      <c r="G81" s="382"/>
    </row>
    <row r="82" spans="1:8" s="358" customFormat="1" x14ac:dyDescent="0.25">
      <c r="A82" s="354"/>
      <c r="C82" s="382"/>
      <c r="D82" s="382"/>
      <c r="E82" s="382"/>
      <c r="F82" s="382"/>
      <c r="G82" s="382"/>
    </row>
    <row r="83" spans="1:8" s="358" customFormat="1" x14ac:dyDescent="0.25">
      <c r="A83" s="354"/>
      <c r="C83" s="382"/>
      <c r="D83" s="406"/>
      <c r="E83" s="382"/>
      <c r="F83" s="382"/>
      <c r="G83" s="382"/>
    </row>
    <row r="84" spans="1:8" s="358" customFormat="1" x14ac:dyDescent="0.25">
      <c r="A84" s="354"/>
      <c r="C84" s="382"/>
      <c r="D84" s="382"/>
      <c r="E84" s="408"/>
      <c r="F84" s="382"/>
    </row>
    <row r="85" spans="1:8" s="358" customFormat="1" x14ac:dyDescent="0.25">
      <c r="A85" s="354"/>
      <c r="C85" s="382"/>
      <c r="D85" s="382"/>
      <c r="E85" s="408"/>
      <c r="F85" s="382"/>
      <c r="G85" s="381"/>
      <c r="H85" s="374"/>
    </row>
    <row r="86" spans="1:8" s="358" customFormat="1" x14ac:dyDescent="0.25">
      <c r="A86" s="354"/>
      <c r="C86" s="382"/>
      <c r="D86" s="406"/>
      <c r="E86" s="382"/>
      <c r="F86" s="382"/>
    </row>
    <row r="87" spans="1:8" s="358" customFormat="1" x14ac:dyDescent="0.25">
      <c r="A87" s="354"/>
      <c r="C87" s="382"/>
      <c r="D87" s="382"/>
      <c r="E87" s="409"/>
      <c r="F87" s="382"/>
    </row>
    <row r="88" spans="1:8" s="358" customFormat="1" x14ac:dyDescent="0.25">
      <c r="A88" s="354"/>
      <c r="C88" s="382"/>
      <c r="D88" s="382"/>
      <c r="E88" s="410"/>
      <c r="F88" s="382"/>
    </row>
    <row r="89" spans="1:8" s="358" customFormat="1" x14ac:dyDescent="0.25">
      <c r="A89" s="354"/>
      <c r="C89" s="382"/>
      <c r="D89" s="382"/>
      <c r="E89" s="408"/>
      <c r="F89" s="382"/>
    </row>
    <row r="90" spans="1:8" s="358" customFormat="1" x14ac:dyDescent="0.25">
      <c r="A90" s="354"/>
      <c r="C90" s="382"/>
      <c r="D90" s="382"/>
      <c r="E90" s="408"/>
      <c r="F90" s="382"/>
    </row>
    <row r="91" spans="1:8" s="358" customFormat="1" x14ac:dyDescent="0.25">
      <c r="A91" s="354"/>
      <c r="C91" s="382"/>
      <c r="D91" s="382"/>
      <c r="E91" s="382"/>
      <c r="F91" s="382"/>
      <c r="G91" s="382"/>
    </row>
    <row r="92" spans="1:8" s="358" customFormat="1" x14ac:dyDescent="0.25">
      <c r="A92" s="354"/>
      <c r="C92" s="382"/>
      <c r="D92" s="406"/>
      <c r="E92" s="382"/>
      <c r="F92" s="382"/>
      <c r="G92" s="382"/>
    </row>
    <row r="93" spans="1:8" s="358" customFormat="1" x14ac:dyDescent="0.25">
      <c r="A93" s="354"/>
      <c r="C93" s="382"/>
      <c r="D93" s="382"/>
      <c r="E93" s="408"/>
      <c r="F93" s="382"/>
    </row>
    <row r="94" spans="1:8" s="358" customFormat="1" x14ac:dyDescent="0.25">
      <c r="A94" s="354"/>
      <c r="C94" s="382"/>
      <c r="D94" s="382"/>
      <c r="E94" s="408"/>
      <c r="F94" s="382"/>
    </row>
    <row r="95" spans="1:8" s="358" customFormat="1" x14ac:dyDescent="0.25">
      <c r="A95" s="354"/>
      <c r="C95" s="382"/>
      <c r="D95" s="406"/>
      <c r="E95" s="382"/>
      <c r="F95" s="382"/>
    </row>
    <row r="96" spans="1:8" s="358" customFormat="1" x14ac:dyDescent="0.25">
      <c r="A96" s="354"/>
      <c r="C96" s="382"/>
      <c r="D96" s="382"/>
      <c r="E96" s="409"/>
      <c r="F96" s="382"/>
    </row>
    <row r="97" spans="1:6" s="358" customFormat="1" x14ac:dyDescent="0.25">
      <c r="A97" s="354"/>
      <c r="C97" s="382"/>
      <c r="D97" s="382"/>
      <c r="E97" s="410"/>
      <c r="F97" s="382"/>
    </row>
    <row r="98" spans="1:6" s="358" customFormat="1" x14ac:dyDescent="0.25">
      <c r="A98" s="354"/>
      <c r="C98" s="382"/>
      <c r="D98" s="382"/>
      <c r="E98" s="408"/>
      <c r="F98" s="382"/>
    </row>
    <row r="99" spans="1:6" s="358" customFormat="1" x14ac:dyDescent="0.25">
      <c r="A99" s="354"/>
      <c r="C99" s="382"/>
      <c r="D99" s="382"/>
      <c r="E99" s="408"/>
      <c r="F99" s="382"/>
    </row>
    <row r="100" spans="1:6" s="358" customFormat="1" x14ac:dyDescent="0.25">
      <c r="A100" s="354"/>
      <c r="C100" s="382"/>
    </row>
    <row r="101" spans="1:6" s="358" customFormat="1" x14ac:dyDescent="0.25">
      <c r="A101" s="354"/>
      <c r="C101" s="382"/>
      <c r="D101" s="362"/>
    </row>
    <row r="102" spans="1:6" s="358" customFormat="1" x14ac:dyDescent="0.25">
      <c r="A102" s="354"/>
      <c r="C102" s="382"/>
      <c r="E102" s="410"/>
    </row>
    <row r="103" spans="1:6" s="358" customFormat="1" x14ac:dyDescent="0.25">
      <c r="A103" s="354"/>
      <c r="C103" s="382"/>
    </row>
    <row r="104" spans="1:6" s="358" customFormat="1" x14ac:dyDescent="0.25">
      <c r="A104" s="354"/>
      <c r="C104" s="382"/>
      <c r="D104" s="382"/>
      <c r="E104" s="409"/>
    </row>
    <row r="105" spans="1:6" s="358" customFormat="1" x14ac:dyDescent="0.25">
      <c r="A105" s="354"/>
      <c r="C105" s="382"/>
      <c r="D105" s="382"/>
      <c r="E105" s="409"/>
    </row>
    <row r="106" spans="1:6" s="358" customFormat="1" x14ac:dyDescent="0.25">
      <c r="A106" s="354"/>
      <c r="C106" s="382"/>
      <c r="D106" s="382"/>
      <c r="E106" s="409"/>
    </row>
    <row r="107" spans="1:6" s="358" customFormat="1" x14ac:dyDescent="0.25">
      <c r="A107" s="354"/>
      <c r="C107" s="382"/>
      <c r="D107" s="382"/>
      <c r="E107" s="409"/>
    </row>
    <row r="108" spans="1:6" s="358" customFormat="1" x14ac:dyDescent="0.25">
      <c r="A108" s="354"/>
      <c r="C108" s="382"/>
      <c r="D108" s="382"/>
      <c r="E108" s="409"/>
    </row>
    <row r="109" spans="1:6" s="358" customFormat="1" x14ac:dyDescent="0.25">
      <c r="A109" s="354"/>
      <c r="C109" s="382"/>
      <c r="D109" s="382"/>
      <c r="E109" s="409"/>
    </row>
    <row r="110" spans="1:6" s="358" customFormat="1" x14ac:dyDescent="0.25">
      <c r="A110" s="354"/>
      <c r="C110" s="382"/>
      <c r="D110" s="382"/>
      <c r="E110" s="409"/>
    </row>
    <row r="111" spans="1:6" s="358" customFormat="1" x14ac:dyDescent="0.25">
      <c r="A111" s="354"/>
      <c r="C111" s="382"/>
      <c r="D111" s="382"/>
      <c r="E111" s="409"/>
    </row>
    <row r="112" spans="1:6" s="358" customFormat="1" x14ac:dyDescent="0.25">
      <c r="A112" s="354"/>
      <c r="C112" s="382"/>
      <c r="D112" s="382"/>
      <c r="E112" s="409"/>
    </row>
    <row r="113" spans="1:5" s="358" customFormat="1" x14ac:dyDescent="0.25">
      <c r="A113" s="354"/>
      <c r="C113" s="382"/>
      <c r="D113" s="382"/>
      <c r="E113" s="409"/>
    </row>
    <row r="114" spans="1:5" s="358" customFormat="1" x14ac:dyDescent="0.25">
      <c r="A114" s="354"/>
      <c r="C114" s="382"/>
      <c r="D114" s="382"/>
      <c r="E114" s="409"/>
    </row>
    <row r="115" spans="1:5" s="358" customFormat="1" x14ac:dyDescent="0.25">
      <c r="A115" s="354"/>
      <c r="C115" s="382"/>
      <c r="D115" s="382"/>
      <c r="E115" s="409"/>
    </row>
    <row r="116" spans="1:5" s="358" customFormat="1" x14ac:dyDescent="0.25">
      <c r="A116" s="354"/>
      <c r="C116" s="382"/>
      <c r="D116" s="382"/>
      <c r="E116" s="409"/>
    </row>
    <row r="117" spans="1:5" s="358" customFormat="1" x14ac:dyDescent="0.25">
      <c r="A117" s="354"/>
      <c r="C117" s="382"/>
      <c r="D117" s="382"/>
      <c r="E117" s="409"/>
    </row>
    <row r="118" spans="1:5" s="358" customFormat="1" x14ac:dyDescent="0.25">
      <c r="A118" s="354"/>
      <c r="C118" s="382"/>
      <c r="D118" s="382"/>
      <c r="E118" s="409"/>
    </row>
    <row r="119" spans="1:5" s="358" customFormat="1" x14ac:dyDescent="0.25">
      <c r="A119" s="354"/>
      <c r="C119" s="382"/>
      <c r="D119" s="382"/>
      <c r="E119" s="409"/>
    </row>
    <row r="120" spans="1:5" s="358" customFormat="1" x14ac:dyDescent="0.25">
      <c r="A120" s="354"/>
      <c r="C120" s="382"/>
      <c r="D120" s="382"/>
      <c r="E120" s="409"/>
    </row>
    <row r="121" spans="1:5" s="358" customFormat="1" x14ac:dyDescent="0.25">
      <c r="A121" s="354"/>
      <c r="C121" s="382"/>
      <c r="D121" s="382"/>
      <c r="E121" s="409"/>
    </row>
    <row r="122" spans="1:5" s="358" customFormat="1" x14ac:dyDescent="0.25">
      <c r="A122" s="354"/>
      <c r="C122" s="382"/>
      <c r="D122" s="382"/>
      <c r="E122" s="409"/>
    </row>
    <row r="123" spans="1:5" s="358" customFormat="1" x14ac:dyDescent="0.25">
      <c r="A123" s="354"/>
      <c r="C123" s="382"/>
      <c r="D123" s="382"/>
      <c r="E123" s="409"/>
    </row>
    <row r="124" spans="1:5" s="358" customFormat="1" x14ac:dyDescent="0.25">
      <c r="A124" s="354"/>
      <c r="C124" s="382"/>
      <c r="D124" s="382"/>
      <c r="E124" s="409"/>
    </row>
    <row r="125" spans="1:5" s="358" customFormat="1" x14ac:dyDescent="0.25">
      <c r="A125" s="354"/>
      <c r="C125" s="382"/>
      <c r="D125" s="382"/>
      <c r="E125" s="409"/>
    </row>
    <row r="126" spans="1:5" s="358" customFormat="1" x14ac:dyDescent="0.25">
      <c r="A126" s="354"/>
      <c r="C126" s="382"/>
      <c r="D126" s="382"/>
      <c r="E126" s="409"/>
    </row>
    <row r="127" spans="1:5" s="358" customFormat="1" x14ac:dyDescent="0.25">
      <c r="A127" s="354"/>
      <c r="C127" s="382"/>
      <c r="D127" s="382"/>
      <c r="E127" s="409"/>
    </row>
    <row r="128" spans="1:5" s="358" customFormat="1" x14ac:dyDescent="0.25">
      <c r="A128" s="354"/>
      <c r="C128" s="382"/>
      <c r="D128" s="382"/>
      <c r="E128" s="409"/>
    </row>
    <row r="129" spans="1:5" s="358" customFormat="1" x14ac:dyDescent="0.25">
      <c r="A129" s="354"/>
      <c r="C129" s="382"/>
      <c r="D129" s="382"/>
      <c r="E129" s="409"/>
    </row>
    <row r="130" spans="1:5" s="358" customFormat="1" x14ac:dyDescent="0.25">
      <c r="A130" s="354"/>
      <c r="C130" s="382"/>
      <c r="D130" s="382"/>
      <c r="E130" s="409"/>
    </row>
    <row r="131" spans="1:5" s="358" customFormat="1" x14ac:dyDescent="0.25">
      <c r="A131" s="354"/>
      <c r="C131" s="382"/>
      <c r="D131" s="382"/>
      <c r="E131" s="409"/>
    </row>
    <row r="132" spans="1:5" s="358" customFormat="1" x14ac:dyDescent="0.25">
      <c r="A132" s="354"/>
      <c r="C132" s="382"/>
      <c r="D132" s="382"/>
      <c r="E132" s="409"/>
    </row>
    <row r="133" spans="1:5" s="358" customFormat="1" x14ac:dyDescent="0.25">
      <c r="A133" s="354"/>
      <c r="C133" s="382"/>
      <c r="D133" s="382"/>
      <c r="E133" s="409"/>
    </row>
    <row r="134" spans="1:5" s="358" customFormat="1" x14ac:dyDescent="0.25">
      <c r="A134" s="354"/>
      <c r="C134" s="382"/>
      <c r="D134" s="382"/>
      <c r="E134" s="409"/>
    </row>
    <row r="135" spans="1:5" s="358" customFormat="1" x14ac:dyDescent="0.25">
      <c r="A135" s="354"/>
      <c r="C135" s="382"/>
      <c r="D135" s="382"/>
      <c r="E135" s="409"/>
    </row>
    <row r="136" spans="1:5" s="358" customFormat="1" x14ac:dyDescent="0.25">
      <c r="A136" s="354"/>
      <c r="C136" s="382"/>
      <c r="D136" s="382"/>
      <c r="E136" s="409"/>
    </row>
    <row r="137" spans="1:5" s="358" customFormat="1" x14ac:dyDescent="0.25">
      <c r="A137" s="354"/>
      <c r="C137" s="382"/>
      <c r="D137" s="382"/>
      <c r="E137" s="409"/>
    </row>
    <row r="138" spans="1:5" s="358" customFormat="1" x14ac:dyDescent="0.25">
      <c r="A138" s="354"/>
      <c r="C138" s="382"/>
      <c r="D138" s="382"/>
      <c r="E138" s="409"/>
    </row>
    <row r="139" spans="1:5" s="358" customFormat="1" x14ac:dyDescent="0.25">
      <c r="A139" s="354"/>
      <c r="C139" s="382"/>
      <c r="D139" s="382"/>
      <c r="E139" s="409"/>
    </row>
    <row r="140" spans="1:5" s="358" customFormat="1" x14ac:dyDescent="0.25">
      <c r="A140" s="354"/>
      <c r="C140" s="382"/>
      <c r="D140" s="382"/>
      <c r="E140" s="409"/>
    </row>
    <row r="141" spans="1:5" s="358" customFormat="1" x14ac:dyDescent="0.25">
      <c r="A141" s="354"/>
      <c r="C141" s="382"/>
      <c r="D141" s="382"/>
      <c r="E141" s="409"/>
    </row>
    <row r="142" spans="1:5" s="358" customFormat="1" x14ac:dyDescent="0.25">
      <c r="A142" s="354"/>
      <c r="C142" s="382"/>
      <c r="D142" s="382"/>
      <c r="E142" s="409"/>
    </row>
    <row r="143" spans="1:5" s="358" customFormat="1" x14ac:dyDescent="0.25">
      <c r="A143" s="354"/>
      <c r="C143" s="382"/>
      <c r="D143" s="382"/>
      <c r="E143" s="409"/>
    </row>
    <row r="144" spans="1:5" s="358" customFormat="1" x14ac:dyDescent="0.25">
      <c r="A144" s="354"/>
      <c r="C144" s="382"/>
      <c r="D144" s="382"/>
      <c r="E144" s="409"/>
    </row>
    <row r="145" spans="1:5" s="358" customFormat="1" x14ac:dyDescent="0.25">
      <c r="A145" s="354"/>
      <c r="C145" s="382"/>
      <c r="D145" s="382"/>
      <c r="E145" s="409"/>
    </row>
    <row r="146" spans="1:5" s="358" customFormat="1" x14ac:dyDescent="0.25">
      <c r="A146" s="354"/>
      <c r="C146" s="382"/>
      <c r="D146" s="382"/>
      <c r="E146" s="409"/>
    </row>
    <row r="147" spans="1:5" s="358" customFormat="1" x14ac:dyDescent="0.25">
      <c r="A147" s="354"/>
      <c r="C147" s="382"/>
      <c r="D147" s="382"/>
      <c r="E147" s="409"/>
    </row>
    <row r="148" spans="1:5" s="358" customFormat="1" x14ac:dyDescent="0.25">
      <c r="A148" s="354"/>
      <c r="D148" s="382"/>
      <c r="E148" s="409"/>
    </row>
    <row r="149" spans="1:5" s="358" customFormat="1" x14ac:dyDescent="0.25">
      <c r="A149" s="354"/>
      <c r="D149" s="382"/>
      <c r="E149" s="409"/>
    </row>
    <row r="150" spans="1:5" s="358" customFormat="1" x14ac:dyDescent="0.25">
      <c r="A150" s="354"/>
      <c r="D150" s="382"/>
      <c r="E150" s="409"/>
    </row>
    <row r="151" spans="1:5" s="358" customFormat="1" x14ac:dyDescent="0.25">
      <c r="A151" s="354"/>
    </row>
    <row r="152" spans="1:5" s="358" customFormat="1" x14ac:dyDescent="0.25">
      <c r="A152" s="354"/>
    </row>
  </sheetData>
  <autoFilter ref="C3" xr:uid="{00000000-0009-0000-0000-00002A000000}"/>
  <mergeCells count="1">
    <mergeCell ref="E5:H5"/>
  </mergeCells>
  <conditionalFormatting sqref="F19">
    <cfRule type="cellIs" dxfId="18" priority="1" operator="equal">
      <formula>#REF!</formula>
    </cfRule>
  </conditionalFormatting>
  <pageMargins left="0.7" right="0.7" top="0.75" bottom="0.75" header="0.3" footer="0.3"/>
  <pageSetup paperSize="9" orientation="portrait" horizontalDpi="4294967295" verticalDpi="4294967295"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6">
    <tabColor rgb="FFE60ECC"/>
  </sheetPr>
  <dimension ref="A1"/>
  <sheetViews>
    <sheetView workbookViewId="0">
      <selection activeCell="E26" sqref="E26"/>
    </sheetView>
  </sheetViews>
  <sheetFormatPr defaultColWidth="8.85546875" defaultRowHeight="15" x14ac:dyDescent="0.25"/>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8">
    <tabColor theme="3" tint="-0.249977111117893"/>
  </sheetPr>
  <dimension ref="B2:P75"/>
  <sheetViews>
    <sheetView showGridLines="0" zoomScale="85" zoomScaleNormal="85" workbookViewId="0">
      <pane xSplit="1" ySplit="3" topLeftCell="B22" activePane="bottomRight" state="frozen"/>
      <selection pane="topRight" activeCell="B1" sqref="B1"/>
      <selection pane="bottomLeft" activeCell="A4" sqref="A4"/>
      <selection pane="bottomRight" activeCell="E46" sqref="E46"/>
    </sheetView>
  </sheetViews>
  <sheetFormatPr defaultColWidth="9.140625" defaultRowHeight="15" x14ac:dyDescent="0.25"/>
  <cols>
    <col min="1" max="1" width="9.140625" style="437"/>
    <col min="2" max="2" width="48.140625" style="437" customWidth="1"/>
    <col min="3" max="3" width="17" style="437" customWidth="1"/>
    <col min="4" max="4" width="21.140625" style="437" customWidth="1"/>
    <col min="5" max="5" width="24.28515625" style="437" bestFit="1" customWidth="1"/>
    <col min="6" max="6" width="23.7109375" style="437" bestFit="1" customWidth="1"/>
    <col min="7" max="7" width="18.5703125" style="437" bestFit="1" customWidth="1"/>
    <col min="8" max="8" width="3.140625" style="437" customWidth="1"/>
    <col min="9" max="9" width="85" style="437" customWidth="1"/>
    <col min="10" max="10" width="3.140625" style="437" customWidth="1"/>
    <col min="11" max="11" width="9.140625" style="437"/>
    <col min="12" max="12" width="16.85546875" style="437" bestFit="1" customWidth="1"/>
    <col min="13" max="16384" width="9.140625" style="437"/>
  </cols>
  <sheetData>
    <row r="2" spans="2:16" ht="23.25" x14ac:dyDescent="0.35">
      <c r="B2" s="436" t="str">
        <f>"Electrification parameters ("&amp;Parameters!$D$6&amp;")"</f>
        <v>Electrification parameters (P15 Scenario 1)</v>
      </c>
      <c r="D2" s="438" t="s">
        <v>940</v>
      </c>
      <c r="E2" s="439" t="s">
        <v>941</v>
      </c>
    </row>
    <row r="3" spans="2:16" x14ac:dyDescent="0.25">
      <c r="B3" s="440"/>
      <c r="C3" s="441"/>
      <c r="D3" s="441"/>
      <c r="E3" s="442"/>
      <c r="F3" s="443"/>
      <c r="G3" s="442"/>
      <c r="H3" s="444"/>
      <c r="I3" s="441"/>
      <c r="J3" s="440"/>
    </row>
    <row r="4" spans="2:16" x14ac:dyDescent="0.25">
      <c r="B4" s="445" t="s">
        <v>942</v>
      </c>
      <c r="C4" s="446" t="s">
        <v>591</v>
      </c>
      <c r="D4" s="446" t="s">
        <v>592</v>
      </c>
      <c r="E4" s="446" t="s">
        <v>123</v>
      </c>
      <c r="F4" s="446" t="s">
        <v>943</v>
      </c>
      <c r="G4" s="446" t="s">
        <v>10</v>
      </c>
      <c r="H4" s="447"/>
      <c r="I4" s="446" t="s">
        <v>944</v>
      </c>
      <c r="J4" s="447"/>
    </row>
    <row r="5" spans="2:16" x14ac:dyDescent="0.25">
      <c r="B5" s="448" t="s">
        <v>945</v>
      </c>
      <c r="C5" s="449"/>
      <c r="D5" s="449"/>
      <c r="E5" s="449"/>
      <c r="F5" s="449"/>
      <c r="G5" s="449"/>
      <c r="H5" s="449"/>
      <c r="I5" s="449"/>
      <c r="J5" s="450"/>
    </row>
    <row r="6" spans="2:16" x14ac:dyDescent="0.25">
      <c r="B6" s="451" t="s">
        <v>946</v>
      </c>
      <c r="C6" s="452" t="s">
        <v>745</v>
      </c>
      <c r="D6" s="453">
        <f>DATE(Parameters!$G$10,1,1)</f>
        <v>43101</v>
      </c>
      <c r="E6" s="452"/>
      <c r="F6" s="452"/>
      <c r="H6" s="452"/>
      <c r="I6" s="454"/>
      <c r="J6" s="455"/>
    </row>
    <row r="7" spans="2:16" x14ac:dyDescent="0.25">
      <c r="B7" s="451" t="s">
        <v>947</v>
      </c>
      <c r="C7" s="452" t="s">
        <v>745</v>
      </c>
      <c r="D7" s="456">
        <f>$D$19</f>
        <v>47483</v>
      </c>
      <c r="E7" s="452"/>
      <c r="F7" s="452"/>
      <c r="H7" s="452"/>
      <c r="I7" s="457"/>
      <c r="J7" s="455"/>
    </row>
    <row r="8" spans="2:16" x14ac:dyDescent="0.25">
      <c r="B8" s="451" t="s">
        <v>948</v>
      </c>
      <c r="C8" s="452" t="s">
        <v>745</v>
      </c>
      <c r="D8" s="457">
        <f>YEAR(D7)-YEAR(D6)+1</f>
        <v>12</v>
      </c>
      <c r="E8" s="452"/>
      <c r="F8" s="452"/>
      <c r="H8" s="452"/>
      <c r="I8" s="457"/>
      <c r="J8" s="455"/>
      <c r="L8" s="165"/>
      <c r="M8" s="165"/>
      <c r="N8" s="165"/>
      <c r="O8" s="165"/>
      <c r="P8" s="458"/>
    </row>
    <row r="9" spans="2:16" s="1146" customFormat="1" x14ac:dyDescent="0.25">
      <c r="B9" s="1152" t="s">
        <v>1632</v>
      </c>
      <c r="C9" s="467" t="s">
        <v>745</v>
      </c>
      <c r="D9" s="453">
        <f>DATE(Parameters!$G$54,1,1)</f>
        <v>44197</v>
      </c>
      <c r="F9" s="1147"/>
      <c r="H9" s="1147"/>
      <c r="I9" s="1116"/>
      <c r="J9" s="1150"/>
      <c r="L9" s="1148"/>
      <c r="M9" s="1148"/>
      <c r="N9" s="1148"/>
      <c r="O9" s="1148"/>
      <c r="P9" s="1153"/>
    </row>
    <row r="10" spans="2:16" s="1146" customFormat="1" x14ac:dyDescent="0.25">
      <c r="B10" s="1152" t="s">
        <v>1633</v>
      </c>
      <c r="C10" s="1151" t="s">
        <v>745</v>
      </c>
      <c r="D10" s="1149">
        <f>DATE(Parameters!$G$55,1,1)</f>
        <v>44562</v>
      </c>
      <c r="F10" s="1147"/>
      <c r="H10" s="1147"/>
      <c r="I10" s="1116"/>
      <c r="J10" s="1150"/>
      <c r="L10" s="1148"/>
      <c r="M10" s="1148"/>
      <c r="N10" s="1148"/>
      <c r="O10" s="1148"/>
      <c r="P10" s="1153"/>
    </row>
    <row r="11" spans="2:16" s="1146" customFormat="1" x14ac:dyDescent="0.25">
      <c r="B11" s="1152" t="s">
        <v>1634</v>
      </c>
      <c r="C11" s="1151" t="s">
        <v>745</v>
      </c>
      <c r="D11" s="1122">
        <f>YEAR($D$10)-YEAR($D$9)</f>
        <v>1</v>
      </c>
      <c r="F11" s="1147"/>
      <c r="H11" s="1147"/>
      <c r="I11" s="1116"/>
      <c r="J11" s="1150"/>
      <c r="L11" s="1148"/>
      <c r="M11" s="1148"/>
      <c r="N11" s="1148"/>
      <c r="O11" s="1148"/>
      <c r="P11" s="1153"/>
    </row>
    <row r="12" spans="2:16" x14ac:dyDescent="0.25">
      <c r="B12" s="459" t="s">
        <v>949</v>
      </c>
      <c r="C12" s="452"/>
      <c r="D12" s="452"/>
      <c r="E12" s="452"/>
      <c r="F12" s="452"/>
      <c r="H12" s="452"/>
      <c r="I12" s="452"/>
      <c r="J12" s="455"/>
    </row>
    <row r="13" spans="2:16" x14ac:dyDescent="0.25">
      <c r="B13" s="451" t="s">
        <v>710</v>
      </c>
      <c r="C13" s="452" t="s">
        <v>711</v>
      </c>
      <c r="D13" s="460">
        <f>Parameters!$G$11</f>
        <v>0</v>
      </c>
      <c r="F13" s="452"/>
      <c r="H13" s="452"/>
      <c r="I13" s="454" t="s">
        <v>950</v>
      </c>
      <c r="J13" s="455"/>
    </row>
    <row r="14" spans="2:16" x14ac:dyDescent="0.25">
      <c r="B14" s="451" t="s">
        <v>712</v>
      </c>
      <c r="C14" s="452" t="s">
        <v>711</v>
      </c>
      <c r="D14" s="461">
        <f>Parameters!$G$12</f>
        <v>0.1</v>
      </c>
      <c r="E14" s="452"/>
      <c r="F14" s="452"/>
      <c r="H14" s="452"/>
      <c r="I14" s="454"/>
      <c r="J14" s="455"/>
    </row>
    <row r="15" spans="2:16" x14ac:dyDescent="0.25">
      <c r="B15" s="451" t="s">
        <v>600</v>
      </c>
      <c r="C15" s="452" t="s">
        <v>711</v>
      </c>
      <c r="D15" s="461">
        <f>Parameters!$G$13</f>
        <v>0.02</v>
      </c>
      <c r="E15" s="452"/>
      <c r="F15" s="452"/>
      <c r="H15" s="452"/>
      <c r="I15" s="454"/>
      <c r="J15" s="455"/>
    </row>
    <row r="16" spans="2:16" x14ac:dyDescent="0.25">
      <c r="B16" s="462" t="s">
        <v>714</v>
      </c>
      <c r="C16" s="458" t="s">
        <v>951</v>
      </c>
      <c r="E16" s="461" t="str">
        <f>Parameters!$G$16</f>
        <v>Frontier Base Case</v>
      </c>
      <c r="F16" s="461" t="str">
        <f>Parameters!$G$15</f>
        <v>Frontier Base Case</v>
      </c>
      <c r="G16" s="461" t="str">
        <f>Parameters!$G$17</f>
        <v>CO2 price Flat rate</v>
      </c>
      <c r="H16" s="452"/>
      <c r="I16" s="463" t="s">
        <v>953</v>
      </c>
      <c r="J16" s="455"/>
    </row>
    <row r="17" spans="2:13" x14ac:dyDescent="0.25">
      <c r="B17" s="451" t="s">
        <v>715</v>
      </c>
      <c r="C17" s="458" t="s">
        <v>954</v>
      </c>
      <c r="E17" s="464">
        <f>Parameters!$G$19</f>
        <v>30</v>
      </c>
      <c r="F17" s="464">
        <f>Parameters!$G$18</f>
        <v>30</v>
      </c>
      <c r="G17" s="464">
        <f>Parameters!$G$20</f>
        <v>50</v>
      </c>
      <c r="H17" s="452"/>
      <c r="I17" s="463" t="s">
        <v>955</v>
      </c>
      <c r="J17" s="455"/>
    </row>
    <row r="18" spans="2:13" x14ac:dyDescent="0.25">
      <c r="B18" s="459" t="s">
        <v>956</v>
      </c>
      <c r="C18" s="458"/>
      <c r="J18" s="455"/>
    </row>
    <row r="19" spans="2:13" x14ac:dyDescent="0.25">
      <c r="B19" s="465" t="s">
        <v>1128</v>
      </c>
      <c r="C19" s="466" t="s">
        <v>745</v>
      </c>
      <c r="D19" s="453">
        <f>DATE(Parameters!$G$54+Parameters!$G$58-1,12,31)</f>
        <v>47483</v>
      </c>
      <c r="E19" s="467"/>
      <c r="F19" s="467"/>
      <c r="G19" s="467"/>
      <c r="H19" s="467"/>
      <c r="I19" s="463"/>
      <c r="J19" s="455"/>
    </row>
    <row r="20" spans="2:13" x14ac:dyDescent="0.25">
      <c r="B20" s="465" t="s">
        <v>1526</v>
      </c>
      <c r="C20" s="466" t="s">
        <v>1525</v>
      </c>
      <c r="D20" s="453" t="str">
        <f>Parameters!$G$69</f>
        <v>TAQA Scenario 1</v>
      </c>
      <c r="E20" s="467"/>
      <c r="F20" s="467"/>
      <c r="G20" s="467"/>
      <c r="H20" s="467"/>
      <c r="I20" s="463"/>
      <c r="J20" s="455"/>
    </row>
    <row r="21" spans="2:13" x14ac:dyDescent="0.25">
      <c r="B21" s="462" t="s">
        <v>717</v>
      </c>
      <c r="C21" s="468" t="s">
        <v>718</v>
      </c>
      <c r="D21" s="1060">
        <f>Parameters!$G$70</f>
        <v>297370943</v>
      </c>
      <c r="E21" s="470"/>
      <c r="F21" s="452"/>
      <c r="H21" s="452"/>
      <c r="I21" s="463" t="s">
        <v>957</v>
      </c>
      <c r="J21" s="455"/>
    </row>
    <row r="22" spans="2:13" x14ac:dyDescent="0.25">
      <c r="B22" s="471"/>
      <c r="C22" s="472"/>
      <c r="D22" s="440"/>
      <c r="E22" s="440"/>
      <c r="F22" s="440"/>
      <c r="G22" s="440"/>
      <c r="H22" s="440"/>
      <c r="I22" s="440"/>
      <c r="J22" s="473"/>
    </row>
    <row r="23" spans="2:13" x14ac:dyDescent="0.25">
      <c r="B23" s="474"/>
    </row>
    <row r="24" spans="2:13" ht="31.5" customHeight="1" x14ac:dyDescent="0.25">
      <c r="B24" s="475" t="s">
        <v>958</v>
      </c>
      <c r="C24" s="446" t="s">
        <v>591</v>
      </c>
      <c r="D24" s="446" t="s">
        <v>592</v>
      </c>
      <c r="E24" s="476" t="str">
        <f>"Scenario: "&amp;Parameters!$D$6</f>
        <v>Scenario: P15 Scenario 1</v>
      </c>
      <c r="F24" s="476"/>
      <c r="G24" s="476"/>
      <c r="H24" s="477"/>
      <c r="I24" s="446" t="s">
        <v>944</v>
      </c>
      <c r="J24" s="450"/>
    </row>
    <row r="25" spans="2:13" x14ac:dyDescent="0.25">
      <c r="B25" s="459" t="s">
        <v>732</v>
      </c>
      <c r="C25" s="478"/>
      <c r="D25" s="478"/>
      <c r="E25" s="478"/>
      <c r="F25" s="478"/>
      <c r="G25" s="478"/>
      <c r="H25" s="478"/>
      <c r="I25" s="478"/>
      <c r="J25" s="455"/>
    </row>
    <row r="26" spans="2:13" x14ac:dyDescent="0.25">
      <c r="B26" s="462" t="s">
        <v>733</v>
      </c>
      <c r="C26" s="452" t="s">
        <v>734</v>
      </c>
      <c r="D26" s="479">
        <f>Parameters!$G$59</f>
        <v>131.4</v>
      </c>
      <c r="E26" s="452"/>
      <c r="H26" s="452"/>
      <c r="I26" s="463" t="s">
        <v>959</v>
      </c>
      <c r="J26" s="455"/>
    </row>
    <row r="27" spans="2:13" x14ac:dyDescent="0.25">
      <c r="B27" s="462" t="s">
        <v>735</v>
      </c>
      <c r="C27" s="466" t="s">
        <v>711</v>
      </c>
      <c r="D27" s="480">
        <f>Parameters!$G$60</f>
        <v>1</v>
      </c>
      <c r="E27" s="452"/>
      <c r="H27" s="452"/>
      <c r="I27" s="463"/>
      <c r="J27" s="455"/>
    </row>
    <row r="28" spans="2:13" x14ac:dyDescent="0.25">
      <c r="B28" s="462" t="s">
        <v>736</v>
      </c>
      <c r="C28" s="452" t="s">
        <v>734</v>
      </c>
      <c r="D28" s="716">
        <f>Parameters!$G$61</f>
        <v>131.4</v>
      </c>
      <c r="E28" s="452"/>
      <c r="H28" s="452"/>
      <c r="I28" s="463" t="s">
        <v>960</v>
      </c>
      <c r="J28" s="455"/>
    </row>
    <row r="29" spans="2:13" s="1190" customFormat="1" x14ac:dyDescent="0.25">
      <c r="B29" s="1193" t="s">
        <v>1675</v>
      </c>
      <c r="C29" s="1195" t="s">
        <v>711</v>
      </c>
      <c r="D29" s="1185">
        <f>Parameters!$G$62</f>
        <v>4.5230039562518705E-2</v>
      </c>
      <c r="E29" s="1191"/>
      <c r="H29" s="1191"/>
      <c r="I29" s="1194" t="s">
        <v>1677</v>
      </c>
      <c r="J29" s="1192"/>
    </row>
    <row r="30" spans="2:13" ht="30" x14ac:dyDescent="0.25">
      <c r="B30" s="481" t="s">
        <v>737</v>
      </c>
      <c r="C30" s="482" t="s">
        <v>711</v>
      </c>
      <c r="D30" s="483">
        <f>Parameters!$G$63</f>
        <v>0.01</v>
      </c>
      <c r="E30" s="484"/>
      <c r="H30" s="452"/>
      <c r="I30" s="485" t="s">
        <v>961</v>
      </c>
      <c r="J30" s="455"/>
    </row>
    <row r="31" spans="2:13" ht="30" x14ac:dyDescent="0.25">
      <c r="B31" s="465" t="s">
        <v>738</v>
      </c>
      <c r="C31" s="466" t="s">
        <v>739</v>
      </c>
      <c r="D31" s="469">
        <f>Parameters!$G$64</f>
        <v>14</v>
      </c>
      <c r="E31" s="467"/>
      <c r="H31" s="452"/>
      <c r="I31" s="485" t="s">
        <v>962</v>
      </c>
      <c r="J31" s="455"/>
      <c r="L31" s="486"/>
      <c r="M31" s="487"/>
    </row>
    <row r="32" spans="2:13" x14ac:dyDescent="0.25">
      <c r="B32" s="465" t="s">
        <v>740</v>
      </c>
      <c r="C32" s="466" t="s">
        <v>963</v>
      </c>
      <c r="D32" s="718">
        <f>Parameters!$G$65</f>
        <v>1500000</v>
      </c>
      <c r="E32" s="467"/>
      <c r="H32" s="452"/>
      <c r="I32" s="485" t="s">
        <v>964</v>
      </c>
      <c r="J32" s="455"/>
      <c r="L32" s="487"/>
      <c r="M32" s="487"/>
    </row>
    <row r="33" spans="2:13" x14ac:dyDescent="0.25">
      <c r="B33" s="465" t="s">
        <v>1141</v>
      </c>
      <c r="C33" s="466" t="s">
        <v>1144</v>
      </c>
      <c r="D33" s="718">
        <f>Parameters!$G$66</f>
        <v>0</v>
      </c>
      <c r="E33" s="467"/>
      <c r="H33" s="452"/>
      <c r="I33" s="485"/>
      <c r="J33" s="455"/>
      <c r="L33" s="487"/>
      <c r="M33" s="487"/>
    </row>
    <row r="34" spans="2:13" x14ac:dyDescent="0.25">
      <c r="B34" s="465" t="s">
        <v>1142</v>
      </c>
      <c r="C34" s="466" t="s">
        <v>745</v>
      </c>
      <c r="D34" s="469">
        <f>Parameters!$G$67</f>
        <v>4</v>
      </c>
      <c r="E34" s="467"/>
      <c r="H34" s="452"/>
      <c r="I34" s="485"/>
      <c r="J34" s="455"/>
      <c r="L34" s="487"/>
      <c r="M34" s="487"/>
    </row>
    <row r="35" spans="2:13" x14ac:dyDescent="0.25">
      <c r="B35" s="465" t="s">
        <v>741</v>
      </c>
      <c r="C35" s="466" t="s">
        <v>1621</v>
      </c>
      <c r="D35" s="1055">
        <f>Parameters!$G$37</f>
        <v>2</v>
      </c>
      <c r="E35" s="467"/>
      <c r="H35" s="452"/>
      <c r="I35" s="485" t="s">
        <v>965</v>
      </c>
      <c r="J35" s="455"/>
    </row>
    <row r="36" spans="2:13" x14ac:dyDescent="0.25">
      <c r="B36" s="488" t="s">
        <v>742</v>
      </c>
      <c r="C36" s="467"/>
      <c r="D36" s="467"/>
      <c r="E36" s="467"/>
      <c r="F36" s="467"/>
      <c r="H36" s="467"/>
      <c r="I36" s="467"/>
      <c r="J36" s="455"/>
      <c r="L36" s="489"/>
    </row>
    <row r="37" spans="2:13" x14ac:dyDescent="0.25">
      <c r="B37" s="1054" t="s">
        <v>1258</v>
      </c>
      <c r="C37" s="467" t="str">
        <f>Parameters!F150</f>
        <v>km</v>
      </c>
      <c r="D37" s="1056">
        <f>Parameters!$G$42</f>
        <v>37.799999999999997</v>
      </c>
      <c r="E37" s="467"/>
      <c r="F37" s="467"/>
      <c r="H37" s="467"/>
      <c r="I37" s="491"/>
      <c r="J37" s="455"/>
      <c r="L37" s="489"/>
    </row>
    <row r="38" spans="2:13" x14ac:dyDescent="0.25">
      <c r="B38" s="465" t="s">
        <v>1515</v>
      </c>
      <c r="C38" s="1195" t="s">
        <v>68</v>
      </c>
      <c r="D38" s="1056">
        <f>Parameters!$G$73</f>
        <v>20</v>
      </c>
      <c r="E38" s="467"/>
      <c r="F38" s="467"/>
      <c r="H38" s="467"/>
      <c r="I38" s="491"/>
      <c r="J38" s="455"/>
      <c r="L38" s="489"/>
    </row>
    <row r="39" spans="2:13" ht="30" x14ac:dyDescent="0.25">
      <c r="B39" s="465" t="s">
        <v>1517</v>
      </c>
      <c r="C39" s="1195" t="s">
        <v>68</v>
      </c>
      <c r="D39" s="1056">
        <f>Parameters!$G$76</f>
        <v>72</v>
      </c>
      <c r="E39" s="484"/>
      <c r="F39" s="467"/>
      <c r="H39" s="467"/>
      <c r="I39" s="485" t="s">
        <v>1518</v>
      </c>
      <c r="J39" s="455"/>
      <c r="L39" s="489"/>
    </row>
    <row r="40" spans="2:13" x14ac:dyDescent="0.25">
      <c r="B40" s="1054" t="str">
        <f>Parameters!E38</f>
        <v>Cable cost constant</v>
      </c>
      <c r="C40" s="467" t="str">
        <f>Parameters!F38</f>
        <v>EUR</v>
      </c>
      <c r="D40" s="467"/>
      <c r="E40" s="718">
        <f>ROUNDUP($D$39/E_cable_costs!$D$163,0)*Parameters!$G$38</f>
        <v>15706800</v>
      </c>
      <c r="F40" s="1121"/>
      <c r="G40" s="1120"/>
      <c r="H40" s="467"/>
      <c r="I40" s="491"/>
      <c r="J40" s="455"/>
      <c r="L40" s="489"/>
    </row>
    <row r="41" spans="2:13" x14ac:dyDescent="0.25">
      <c r="B41" s="1054" t="str">
        <f>Parameters!E39</f>
        <v>Cable supply coefficient 1</v>
      </c>
      <c r="C41" s="467" t="str">
        <f>Parameters!F39</f>
        <v>EUR/(MW*km)</v>
      </c>
      <c r="D41" s="467"/>
      <c r="E41" s="1055">
        <f>Parameters!$G$39</f>
        <v>2820</v>
      </c>
      <c r="F41" s="1119"/>
      <c r="H41" s="467"/>
      <c r="I41" s="491"/>
      <c r="J41" s="455"/>
      <c r="L41" s="489"/>
    </row>
    <row r="42" spans="2:13" x14ac:dyDescent="0.25">
      <c r="B42" s="1054" t="str">
        <f>Parameters!E40</f>
        <v>Cable supply coefficient 2</v>
      </c>
      <c r="C42" s="467" t="str">
        <f>Parameters!F40</f>
        <v>EUR/(MW*km)</v>
      </c>
      <c r="D42" s="467"/>
      <c r="E42" s="1055">
        <f>ROUNDUP($D$39/E_cable_costs!$D$163,0)*Parameters!$G$40</f>
        <v>280000</v>
      </c>
      <c r="F42" s="1119"/>
      <c r="H42" s="467"/>
      <c r="I42" s="491"/>
      <c r="J42" s="455"/>
      <c r="L42" s="489"/>
    </row>
    <row r="43" spans="2:13" x14ac:dyDescent="0.25">
      <c r="B43" s="1054" t="str">
        <f>Parameters!E41</f>
        <v>Cable cost coefficient 1</v>
      </c>
      <c r="C43" s="467" t="str">
        <f>Parameters!F41</f>
        <v>EUR/km</v>
      </c>
      <c r="D43" s="467"/>
      <c r="E43" s="1055">
        <f>ROUNDUP($D$39/E_cable_costs!$D$163,0)*Parameters!$G$41</f>
        <v>243204.27272727274</v>
      </c>
      <c r="F43" s="1119"/>
      <c r="H43" s="467"/>
      <c r="I43" s="491"/>
      <c r="J43" s="455"/>
      <c r="L43" s="489"/>
    </row>
    <row r="44" spans="2:13" x14ac:dyDescent="0.25">
      <c r="B44" s="1054" t="str">
        <f>Parameters!E483</f>
        <v>Relative opex cable</v>
      </c>
      <c r="C44" s="466" t="s">
        <v>711</v>
      </c>
      <c r="D44" s="467"/>
      <c r="E44" s="461">
        <f>Parameters!$G$79</f>
        <v>0</v>
      </c>
      <c r="F44" s="467"/>
      <c r="G44" s="467"/>
      <c r="H44" s="467"/>
      <c r="I44" s="491"/>
      <c r="J44" s="455"/>
      <c r="L44" s="489"/>
    </row>
    <row r="45" spans="2:13" x14ac:dyDescent="0.25">
      <c r="B45" s="465" t="s">
        <v>1520</v>
      </c>
      <c r="C45" s="467" t="s">
        <v>966</v>
      </c>
      <c r="D45" s="1151"/>
      <c r="E45" s="1118">
        <f>IF(Parameters!$D$6="K14 Scenario 1",(97+3+3+2)*10^6,IF(Parameters!$D$6="K14 Scenario 2",Parameters!$K$75/Parameters!$K$74,IF(Parameters!$D$6="K5 Scenario 1",(40+0.5)*10^6,IF(Parameters!$D$6="K5 Scenario 2",(40+0.5)*10^6,$E$40+$E$43*$D$37+(($E$42+$E$41*$D$39))*$D$37))))</f>
        <v>43158833.509090908</v>
      </c>
      <c r="F45" s="1199"/>
      <c r="H45" s="452"/>
      <c r="I45" s="485" t="s">
        <v>1700</v>
      </c>
      <c r="J45" s="455"/>
    </row>
    <row r="46" spans="2:13" s="1190" customFormat="1" x14ac:dyDescent="0.25">
      <c r="B46" s="1152" t="s">
        <v>1684</v>
      </c>
      <c r="C46" s="1151" t="s">
        <v>966</v>
      </c>
      <c r="D46" s="1151"/>
      <c r="E46" s="469">
        <f>IF(Parameters!$G$44&gt;0,Parameters!$G$44,'Cable implied fee'!$B$13)</f>
        <v>4606259.2073423667</v>
      </c>
      <c r="F46" s="1199"/>
      <c r="H46" s="1191"/>
      <c r="I46" s="485" t="s">
        <v>1685</v>
      </c>
      <c r="J46" s="1192"/>
    </row>
    <row r="47" spans="2:13" s="1190" customFormat="1" x14ac:dyDescent="0.25">
      <c r="B47" s="1152" t="s">
        <v>1683</v>
      </c>
      <c r="C47" s="1195" t="s">
        <v>1686</v>
      </c>
      <c r="D47" s="1151"/>
      <c r="E47" s="1056" t="str">
        <f>Parameters!$G$43</f>
        <v>Demand driven</v>
      </c>
      <c r="F47" s="1199"/>
      <c r="H47" s="1191"/>
      <c r="I47" s="485"/>
      <c r="J47" s="1192"/>
    </row>
    <row r="48" spans="2:13" s="1190" customFormat="1" x14ac:dyDescent="0.25">
      <c r="B48" s="1152" t="s">
        <v>1687</v>
      </c>
      <c r="C48" s="1195" t="s">
        <v>745</v>
      </c>
      <c r="D48" s="1151"/>
      <c r="E48" s="1203">
        <f>Parameters!$G$499</f>
        <v>2050</v>
      </c>
      <c r="F48" s="1199"/>
      <c r="H48" s="1191"/>
      <c r="I48" s="485"/>
      <c r="J48" s="1192"/>
    </row>
    <row r="49" spans="2:10" x14ac:dyDescent="0.25">
      <c r="B49" s="488" t="s">
        <v>120</v>
      </c>
      <c r="C49" s="467"/>
      <c r="D49" s="467"/>
      <c r="E49" s="467"/>
      <c r="H49" s="467"/>
      <c r="I49" s="467"/>
      <c r="J49" s="455"/>
    </row>
    <row r="50" spans="2:10" x14ac:dyDescent="0.25">
      <c r="B50" s="490" t="s">
        <v>749</v>
      </c>
      <c r="C50" s="467" t="s">
        <v>966</v>
      </c>
      <c r="D50" s="467"/>
      <c r="E50" s="492">
        <f>Parameters!$G$82</f>
        <v>14100000</v>
      </c>
      <c r="H50" s="467"/>
      <c r="I50" s="491"/>
      <c r="J50" s="455"/>
    </row>
    <row r="51" spans="2:10" x14ac:dyDescent="0.25">
      <c r="B51" s="462" t="s">
        <v>750</v>
      </c>
      <c r="C51" s="467" t="s">
        <v>745</v>
      </c>
      <c r="D51" s="467"/>
      <c r="E51" s="453">
        <f>DATE(Parameters!$G$83,1,1)</f>
        <v>44197</v>
      </c>
      <c r="F51" s="1201"/>
      <c r="H51" s="452"/>
      <c r="I51" s="491"/>
      <c r="J51" s="455"/>
    </row>
    <row r="52" spans="2:10" x14ac:dyDescent="0.25">
      <c r="B52" s="462" t="s">
        <v>751</v>
      </c>
      <c r="C52" s="467" t="s">
        <v>966</v>
      </c>
      <c r="D52" s="467"/>
      <c r="E52" s="718">
        <f>Parameters!$G$84</f>
        <v>3228296.9772372423</v>
      </c>
      <c r="H52" s="452"/>
      <c r="I52" s="457" t="s">
        <v>967</v>
      </c>
      <c r="J52" s="455"/>
    </row>
    <row r="53" spans="2:10" x14ac:dyDescent="0.25">
      <c r="B53" s="488" t="s">
        <v>543</v>
      </c>
      <c r="C53" s="467"/>
      <c r="D53" s="467"/>
      <c r="E53" s="467"/>
      <c r="H53" s="467"/>
      <c r="I53" s="467"/>
      <c r="J53" s="455"/>
    </row>
    <row r="54" spans="2:10" x14ac:dyDescent="0.25">
      <c r="B54" s="465" t="s">
        <v>4</v>
      </c>
      <c r="C54" s="466" t="s">
        <v>1624</v>
      </c>
      <c r="D54" s="467"/>
      <c r="E54" s="1117">
        <f>Parameters!$G$97</f>
        <v>0</v>
      </c>
      <c r="H54" s="452"/>
      <c r="I54" s="485" t="s">
        <v>1625</v>
      </c>
      <c r="J54" s="455"/>
    </row>
    <row r="55" spans="2:10" x14ac:dyDescent="0.25">
      <c r="B55" s="462" t="s">
        <v>752</v>
      </c>
      <c r="C55" s="467" t="s">
        <v>745</v>
      </c>
      <c r="D55" s="467"/>
      <c r="E55" s="1149">
        <f>DATE(Parameters!$G$56,1,1)</f>
        <v>44562</v>
      </c>
      <c r="H55" s="452"/>
      <c r="I55" s="457" t="s">
        <v>968</v>
      </c>
      <c r="J55" s="455"/>
    </row>
    <row r="56" spans="2:10" x14ac:dyDescent="0.25">
      <c r="B56" s="493"/>
      <c r="C56" s="440"/>
      <c r="D56" s="440"/>
      <c r="E56" s="440"/>
      <c r="F56" s="440"/>
      <c r="G56" s="440"/>
      <c r="H56" s="440"/>
      <c r="I56" s="440"/>
      <c r="J56" s="473"/>
    </row>
    <row r="57" spans="2:10" x14ac:dyDescent="0.25">
      <c r="B57" s="474"/>
    </row>
    <row r="58" spans="2:10" x14ac:dyDescent="0.25">
      <c r="B58" s="475" t="s">
        <v>720</v>
      </c>
      <c r="C58" s="446" t="s">
        <v>591</v>
      </c>
      <c r="D58" s="446" t="s">
        <v>592</v>
      </c>
      <c r="E58" s="476" t="str">
        <f>"Scenario: "&amp;Parameters!$D$6</f>
        <v>Scenario: P15 Scenario 1</v>
      </c>
      <c r="F58" s="476"/>
      <c r="G58" s="476"/>
      <c r="H58" s="477"/>
      <c r="I58" s="446" t="s">
        <v>944</v>
      </c>
      <c r="J58" s="450"/>
    </row>
    <row r="59" spans="2:10" x14ac:dyDescent="0.25">
      <c r="B59" s="494"/>
      <c r="C59" s="452"/>
      <c r="D59" s="452"/>
      <c r="E59" s="452"/>
      <c r="F59" s="452"/>
      <c r="G59" s="452"/>
      <c r="H59" s="452"/>
      <c r="I59" s="452"/>
      <c r="J59" s="455"/>
    </row>
    <row r="60" spans="2:10" x14ac:dyDescent="0.25">
      <c r="B60" s="462" t="s">
        <v>721</v>
      </c>
      <c r="C60" s="452" t="s">
        <v>722</v>
      </c>
      <c r="D60" s="469">
        <f>Parameters!$G$46</f>
        <v>33020845.768202711</v>
      </c>
      <c r="E60" s="452"/>
      <c r="F60" s="452"/>
      <c r="G60" s="452"/>
      <c r="H60" s="452"/>
      <c r="I60" s="454" t="s">
        <v>969</v>
      </c>
      <c r="J60" s="455"/>
    </row>
    <row r="61" spans="2:10" x14ac:dyDescent="0.25">
      <c r="B61" s="451" t="s">
        <v>723</v>
      </c>
      <c r="C61" s="452" t="s">
        <v>724</v>
      </c>
      <c r="D61" s="495">
        <f>Parameters!$G$47</f>
        <v>76.732659118856375</v>
      </c>
      <c r="E61" s="452"/>
      <c r="F61" s="452"/>
      <c r="G61" s="452"/>
      <c r="H61" s="452"/>
      <c r="I61" s="463" t="s">
        <v>970</v>
      </c>
      <c r="J61" s="455"/>
    </row>
    <row r="62" spans="2:10" x14ac:dyDescent="0.25">
      <c r="B62" s="462" t="s">
        <v>725</v>
      </c>
      <c r="C62" s="458" t="s">
        <v>726</v>
      </c>
      <c r="D62" s="495">
        <f>Parameters!$G$48</f>
        <v>129.6</v>
      </c>
      <c r="E62" s="452"/>
      <c r="F62" s="452"/>
      <c r="G62" s="452"/>
      <c r="H62" s="452"/>
      <c r="I62" s="463" t="s">
        <v>971</v>
      </c>
      <c r="J62" s="455"/>
    </row>
    <row r="63" spans="2:10" x14ac:dyDescent="0.25">
      <c r="B63" s="462" t="s">
        <v>727</v>
      </c>
      <c r="C63" s="458" t="s">
        <v>972</v>
      </c>
      <c r="D63" s="469">
        <f>Parameters!$G$22</f>
        <v>1000</v>
      </c>
      <c r="E63" s="452"/>
      <c r="F63" s="452"/>
      <c r="G63" s="452"/>
      <c r="H63" s="452"/>
      <c r="I63" s="463" t="s">
        <v>973</v>
      </c>
      <c r="J63" s="455"/>
    </row>
    <row r="64" spans="2:10" x14ac:dyDescent="0.25">
      <c r="B64" s="462" t="s">
        <v>728</v>
      </c>
      <c r="C64" s="458" t="s">
        <v>711</v>
      </c>
      <c r="D64" s="496">
        <f>Parameters!$G$49</f>
        <v>1</v>
      </c>
      <c r="E64" s="452"/>
      <c r="F64" s="452"/>
      <c r="G64" s="452"/>
      <c r="H64" s="452"/>
      <c r="I64" s="463" t="s">
        <v>974</v>
      </c>
      <c r="J64" s="455"/>
    </row>
    <row r="65" spans="2:10" x14ac:dyDescent="0.25">
      <c r="B65" s="462" t="s">
        <v>729</v>
      </c>
      <c r="C65" s="452" t="s">
        <v>724</v>
      </c>
      <c r="D65" s="469">
        <f>Parameters!$G$50</f>
        <v>76.732659118856375</v>
      </c>
      <c r="E65" s="452"/>
      <c r="F65" s="452"/>
      <c r="G65" s="452"/>
      <c r="H65" s="452"/>
      <c r="I65" s="463" t="s">
        <v>975</v>
      </c>
      <c r="J65" s="455"/>
    </row>
    <row r="66" spans="2:10" x14ac:dyDescent="0.25">
      <c r="B66" s="451" t="s">
        <v>730</v>
      </c>
      <c r="C66" s="452" t="s">
        <v>731</v>
      </c>
      <c r="D66" s="495">
        <f>Parameters!$G$51</f>
        <v>2.3237641960323674</v>
      </c>
      <c r="E66" s="452"/>
      <c r="F66" s="452"/>
      <c r="G66" s="452"/>
      <c r="H66" s="452"/>
      <c r="I66" s="463"/>
      <c r="J66" s="455"/>
    </row>
    <row r="67" spans="2:10" x14ac:dyDescent="0.25">
      <c r="B67" s="497"/>
      <c r="C67" s="440"/>
      <c r="D67" s="440"/>
      <c r="E67" s="440"/>
      <c r="F67" s="440"/>
      <c r="G67" s="440"/>
      <c r="H67" s="440"/>
      <c r="I67" s="440"/>
      <c r="J67" s="473"/>
    </row>
    <row r="69" spans="2:10" x14ac:dyDescent="0.25">
      <c r="B69" s="498"/>
    </row>
    <row r="70" spans="2:10" x14ac:dyDescent="0.25">
      <c r="B70" s="6" t="str">
        <f>Parameters!D60</f>
        <v>Consumption P&amp;L</v>
      </c>
      <c r="C70" s="348" t="str">
        <f>Parameters!F60</f>
        <v>[%]</v>
      </c>
      <c r="D70" s="704" t="str">
        <f>Parameters!E60</f>
        <v>Efficiency</v>
      </c>
      <c r="E70" s="5"/>
      <c r="F70" s="6" t="str">
        <f>Parameters!D376</f>
        <v>Decom &amp; refub</v>
      </c>
      <c r="G70" s="348" t="e">
        <f>C70+C73*C9+((C72+C71*#REF!)*C9)</f>
        <v>#VALUE!</v>
      </c>
      <c r="H70" s="701" t="str">
        <f>D70</f>
        <v>Efficiency</v>
      </c>
    </row>
    <row r="71" spans="2:10" x14ac:dyDescent="0.25">
      <c r="B71" s="6" t="str">
        <f>Parameters!D61</f>
        <v>Consumption P&amp;L</v>
      </c>
      <c r="C71" s="348" t="str">
        <f>Parameters!F61</f>
        <v>[GWh/y]</v>
      </c>
      <c r="D71" s="704" t="str">
        <f>Parameters!E61</f>
        <v>Annual effective energy consumption</v>
      </c>
      <c r="E71" s="5"/>
      <c r="F71" s="6" t="str">
        <f>Parameters!D377</f>
        <v>General</v>
      </c>
      <c r="G71" s="700" t="e">
        <f>C74*G70</f>
        <v>#VALUE!</v>
      </c>
      <c r="H71" s="702" t="str">
        <f>Parameters!E377</f>
        <v>Start investment</v>
      </c>
    </row>
    <row r="72" spans="2:10" x14ac:dyDescent="0.25">
      <c r="B72" s="6" t="str">
        <f>Parameters!D63</f>
        <v>Consumption P&amp;L</v>
      </c>
      <c r="C72" s="348" t="str">
        <f>Parameters!F63</f>
        <v>[%]</v>
      </c>
      <c r="D72" s="704" t="str">
        <f>Parameters!E63</f>
        <v>Expected increase in system availability</v>
      </c>
      <c r="E72" s="5"/>
      <c r="F72" s="6"/>
      <c r="G72" s="72"/>
      <c r="H72" s="35"/>
    </row>
    <row r="73" spans="2:10" x14ac:dyDescent="0.25">
      <c r="B73" s="6" t="str">
        <f>Parameters!D64</f>
        <v>Consumption P&amp;L</v>
      </c>
      <c r="C73" s="348" t="str">
        <f>Parameters!F64</f>
        <v>[d]</v>
      </c>
      <c r="D73" s="704" t="str">
        <f>Parameters!E64</f>
        <v>Expected days of downtime due to refurbishment</v>
      </c>
      <c r="E73" s="5"/>
      <c r="F73" s="6"/>
      <c r="G73" s="347"/>
      <c r="H73" s="703"/>
    </row>
    <row r="74" spans="2:10" x14ac:dyDescent="0.25">
      <c r="B74" s="6" t="str">
        <f>Parameters!D372</f>
        <v>Decom &amp; refub</v>
      </c>
      <c r="C74" s="978" t="str">
        <f>Parameters!F372</f>
        <v>Boolean</v>
      </c>
      <c r="D74" s="704" t="str">
        <f>Parameters!E372</f>
        <v>Boolean decommissioning wells required</v>
      </c>
      <c r="E74" s="5"/>
      <c r="F74" s="6"/>
      <c r="G74" s="43"/>
      <c r="H74" s="35"/>
    </row>
    <row r="75" spans="2:10" x14ac:dyDescent="0.25">
      <c r="B75" s="604"/>
      <c r="D75" s="171"/>
    </row>
  </sheetData>
  <conditionalFormatting sqref="F17">
    <cfRule type="expression" dxfId="17" priority="4">
      <formula>$F$16&lt;&gt;"Flat rate"</formula>
    </cfRule>
  </conditionalFormatting>
  <conditionalFormatting sqref="G17">
    <cfRule type="expression" dxfId="16" priority="3">
      <formula>$G$16&lt;&gt;"Flat rate"</formula>
    </cfRule>
  </conditionalFormatting>
  <conditionalFormatting sqref="E17">
    <cfRule type="expression" dxfId="15" priority="2">
      <formula>$F$16&lt;&gt;"Flat rate"</formula>
    </cfRule>
  </conditionalFormatting>
  <conditionalFormatting sqref="D21">
    <cfRule type="expression" dxfId="14" priority="1">
      <formula>$D$16&lt;&gt;"Flat rate"</formula>
    </cfRule>
  </conditionalFormatting>
  <pageMargins left="0.7" right="0.7" top="0.75" bottom="0.75" header="0.3" footer="0.3"/>
  <pageSetup paperSize="9" orientation="portrait" r:id="rId1"/>
  <drawing r:id="rId2"/>
  <legacyDrawing r:id="rId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
    <tabColor rgb="FFFFFF00"/>
  </sheetPr>
  <dimension ref="B2:BC28"/>
  <sheetViews>
    <sheetView showGridLines="0" zoomScale="80" zoomScaleNormal="80" workbookViewId="0">
      <pane xSplit="5" ySplit="3" topLeftCell="F4" activePane="bottomRight" state="frozen"/>
      <selection pane="topRight" activeCell="F1" sqref="F1"/>
      <selection pane="bottomLeft" activeCell="A4" sqref="A4"/>
      <selection pane="bottomRight" activeCell="J15" sqref="G15:J15"/>
    </sheetView>
  </sheetViews>
  <sheetFormatPr defaultColWidth="9.140625" defaultRowHeight="15" x14ac:dyDescent="0.25"/>
  <cols>
    <col min="1" max="1" width="3.7109375" style="171" customWidth="1"/>
    <col min="2" max="2" width="33.7109375" style="171" customWidth="1"/>
    <col min="3" max="3" width="7.5703125" style="171" customWidth="1"/>
    <col min="4" max="4" width="18.7109375" style="171" customWidth="1"/>
    <col min="5" max="5" width="6" style="171" customWidth="1"/>
    <col min="6" max="6" width="13.28515625" style="171" customWidth="1"/>
    <col min="7" max="8" width="11" style="171" bestFit="1" customWidth="1"/>
    <col min="9" max="9" width="13.42578125" style="171" customWidth="1"/>
    <col min="10" max="10" width="11.85546875" style="171" customWidth="1"/>
    <col min="11" max="11" width="11.28515625" style="171" customWidth="1"/>
    <col min="12" max="12" width="12.7109375" style="171" customWidth="1"/>
    <col min="13" max="13" width="11" style="171" bestFit="1" customWidth="1"/>
    <col min="14" max="14" width="9.85546875" style="171" customWidth="1"/>
    <col min="15" max="15" width="9.5703125" style="171" customWidth="1"/>
    <col min="16" max="16" width="10.28515625" style="171" customWidth="1"/>
    <col min="17" max="18" width="8.5703125" style="171" bestFit="1" customWidth="1"/>
    <col min="19" max="19" width="7.5703125" style="171" customWidth="1"/>
    <col min="20" max="20" width="8.42578125" style="171" customWidth="1"/>
    <col min="21" max="21" width="8.5703125" style="171" bestFit="1" customWidth="1"/>
    <col min="22" max="34" width="7.5703125" style="171" customWidth="1"/>
    <col min="35" max="35" width="8.5703125" style="171" bestFit="1" customWidth="1"/>
    <col min="36" max="41" width="7.5703125" style="171" customWidth="1"/>
    <col min="42" max="16384" width="9.140625" style="171"/>
  </cols>
  <sheetData>
    <row r="2" spans="2:55" ht="31.5" x14ac:dyDescent="0.5">
      <c r="B2" s="1266" t="str">
        <f>"Electrification Investments  ("&amp;Parameters!$D$6&amp;")"</f>
        <v>Electrification Investments  (P15 Scenario 1)</v>
      </c>
    </row>
    <row r="3" spans="2:55" x14ac:dyDescent="0.25">
      <c r="B3" s="566"/>
      <c r="C3" s="566"/>
      <c r="D3" s="566"/>
      <c r="E3" s="566"/>
      <c r="F3" s="563">
        <f>'Output E'!G5</f>
        <v>2018</v>
      </c>
      <c r="G3" s="563">
        <f>F3+1</f>
        <v>2019</v>
      </c>
      <c r="H3" s="563">
        <f t="shared" ref="H3:T3" si="0">G3+1</f>
        <v>2020</v>
      </c>
      <c r="I3" s="563">
        <f t="shared" si="0"/>
        <v>2021</v>
      </c>
      <c r="J3" s="563">
        <f t="shared" si="0"/>
        <v>2022</v>
      </c>
      <c r="K3" s="563">
        <f t="shared" si="0"/>
        <v>2023</v>
      </c>
      <c r="L3" s="563">
        <f t="shared" si="0"/>
        <v>2024</v>
      </c>
      <c r="M3" s="563">
        <f t="shared" si="0"/>
        <v>2025</v>
      </c>
      <c r="N3" s="563">
        <f t="shared" si="0"/>
        <v>2026</v>
      </c>
      <c r="O3" s="563">
        <f t="shared" si="0"/>
        <v>2027</v>
      </c>
      <c r="P3" s="563">
        <f t="shared" si="0"/>
        <v>2028</v>
      </c>
      <c r="Q3" s="563">
        <f t="shared" si="0"/>
        <v>2029</v>
      </c>
      <c r="R3" s="563">
        <f t="shared" si="0"/>
        <v>2030</v>
      </c>
      <c r="S3" s="563">
        <f t="shared" si="0"/>
        <v>2031</v>
      </c>
      <c r="T3" s="563">
        <f t="shared" si="0"/>
        <v>2032</v>
      </c>
      <c r="U3" s="563">
        <f>T3+1</f>
        <v>2033</v>
      </c>
      <c r="V3" s="563">
        <f t="shared" ref="V3:AT3" si="1">U3+1</f>
        <v>2034</v>
      </c>
      <c r="W3" s="563">
        <f t="shared" si="1"/>
        <v>2035</v>
      </c>
      <c r="X3" s="563">
        <f t="shared" si="1"/>
        <v>2036</v>
      </c>
      <c r="Y3" s="563">
        <f t="shared" si="1"/>
        <v>2037</v>
      </c>
      <c r="Z3" s="563">
        <f t="shared" si="1"/>
        <v>2038</v>
      </c>
      <c r="AA3" s="563">
        <f t="shared" si="1"/>
        <v>2039</v>
      </c>
      <c r="AB3" s="563">
        <f t="shared" si="1"/>
        <v>2040</v>
      </c>
      <c r="AC3" s="563">
        <f t="shared" si="1"/>
        <v>2041</v>
      </c>
      <c r="AD3" s="563">
        <f t="shared" si="1"/>
        <v>2042</v>
      </c>
      <c r="AE3" s="563">
        <f t="shared" si="1"/>
        <v>2043</v>
      </c>
      <c r="AF3" s="563">
        <f t="shared" si="1"/>
        <v>2044</v>
      </c>
      <c r="AG3" s="563">
        <f t="shared" si="1"/>
        <v>2045</v>
      </c>
      <c r="AH3" s="563">
        <f t="shared" si="1"/>
        <v>2046</v>
      </c>
      <c r="AI3" s="563">
        <f t="shared" si="1"/>
        <v>2047</v>
      </c>
      <c r="AJ3" s="563">
        <f t="shared" si="1"/>
        <v>2048</v>
      </c>
      <c r="AK3" s="563">
        <f t="shared" si="1"/>
        <v>2049</v>
      </c>
      <c r="AL3" s="563">
        <f t="shared" si="1"/>
        <v>2050</v>
      </c>
      <c r="AM3" s="563">
        <f t="shared" si="1"/>
        <v>2051</v>
      </c>
      <c r="AN3" s="563">
        <f t="shared" si="1"/>
        <v>2052</v>
      </c>
      <c r="AO3" s="563">
        <f t="shared" si="1"/>
        <v>2053</v>
      </c>
      <c r="AP3" s="563">
        <f t="shared" si="1"/>
        <v>2054</v>
      </c>
      <c r="AQ3" s="563">
        <f t="shared" si="1"/>
        <v>2055</v>
      </c>
      <c r="AR3" s="563">
        <f t="shared" si="1"/>
        <v>2056</v>
      </c>
      <c r="AS3" s="563">
        <f t="shared" si="1"/>
        <v>2057</v>
      </c>
      <c r="AT3" s="563">
        <f t="shared" si="1"/>
        <v>2058</v>
      </c>
      <c r="AU3" s="563">
        <f t="shared" ref="AU3" si="2">AT3+1</f>
        <v>2059</v>
      </c>
      <c r="AV3" s="563">
        <f t="shared" ref="AV3" si="3">AU3+1</f>
        <v>2060</v>
      </c>
      <c r="AW3" s="563">
        <f t="shared" ref="AW3" si="4">AV3+1</f>
        <v>2061</v>
      </c>
      <c r="AX3" s="563">
        <f t="shared" ref="AX3" si="5">AW3+1</f>
        <v>2062</v>
      </c>
      <c r="AY3" s="563">
        <f t="shared" ref="AY3" si="6">AX3+1</f>
        <v>2063</v>
      </c>
      <c r="AZ3" s="563">
        <f t="shared" ref="AZ3" si="7">AY3+1</f>
        <v>2064</v>
      </c>
      <c r="BA3" s="563">
        <f t="shared" ref="BA3" si="8">AZ3+1</f>
        <v>2065</v>
      </c>
      <c r="BB3" s="563"/>
      <c r="BC3" s="563"/>
    </row>
    <row r="4" spans="2:55" ht="15.75" x14ac:dyDescent="0.25">
      <c r="B4" s="501" t="s">
        <v>720</v>
      </c>
      <c r="C4" s="501"/>
      <c r="D4" s="561">
        <f>D5+D8</f>
        <v>0</v>
      </c>
      <c r="E4" s="502"/>
      <c r="F4" s="502">
        <f t="shared" ref="F4:AS4" si="9">F5+F8</f>
        <v>0</v>
      </c>
      <c r="G4" s="502">
        <f t="shared" si="9"/>
        <v>0</v>
      </c>
      <c r="H4" s="502">
        <f t="shared" si="9"/>
        <v>0</v>
      </c>
      <c r="I4" s="502">
        <f t="shared" si="9"/>
        <v>0</v>
      </c>
      <c r="J4" s="502">
        <f t="shared" si="9"/>
        <v>0</v>
      </c>
      <c r="K4" s="502">
        <f t="shared" si="9"/>
        <v>0</v>
      </c>
      <c r="L4" s="502">
        <f t="shared" si="9"/>
        <v>0</v>
      </c>
      <c r="M4" s="502">
        <f t="shared" si="9"/>
        <v>0</v>
      </c>
      <c r="N4" s="502">
        <f t="shared" si="9"/>
        <v>0</v>
      </c>
      <c r="O4" s="502">
        <f t="shared" si="9"/>
        <v>0</v>
      </c>
      <c r="P4" s="502">
        <f t="shared" si="9"/>
        <v>0</v>
      </c>
      <c r="Q4" s="502">
        <f t="shared" si="9"/>
        <v>0</v>
      </c>
      <c r="R4" s="502">
        <f t="shared" si="9"/>
        <v>0</v>
      </c>
      <c r="S4" s="502">
        <f t="shared" si="9"/>
        <v>0</v>
      </c>
      <c r="T4" s="502">
        <f t="shared" si="9"/>
        <v>0</v>
      </c>
      <c r="U4" s="502">
        <f t="shared" si="9"/>
        <v>0</v>
      </c>
      <c r="V4" s="502">
        <f t="shared" si="9"/>
        <v>0</v>
      </c>
      <c r="W4" s="502">
        <f t="shared" si="9"/>
        <v>0</v>
      </c>
      <c r="X4" s="502">
        <f t="shared" si="9"/>
        <v>0</v>
      </c>
      <c r="Y4" s="502">
        <f t="shared" si="9"/>
        <v>0</v>
      </c>
      <c r="Z4" s="502">
        <f t="shared" si="9"/>
        <v>0</v>
      </c>
      <c r="AA4" s="502">
        <f t="shared" si="9"/>
        <v>0</v>
      </c>
      <c r="AB4" s="502">
        <f t="shared" si="9"/>
        <v>0</v>
      </c>
      <c r="AC4" s="502">
        <f t="shared" si="9"/>
        <v>0</v>
      </c>
      <c r="AD4" s="502">
        <f t="shared" si="9"/>
        <v>0</v>
      </c>
      <c r="AE4" s="502">
        <f t="shared" si="9"/>
        <v>0</v>
      </c>
      <c r="AF4" s="502">
        <f t="shared" si="9"/>
        <v>0</v>
      </c>
      <c r="AG4" s="502">
        <f t="shared" si="9"/>
        <v>0</v>
      </c>
      <c r="AH4" s="502">
        <f t="shared" si="9"/>
        <v>0</v>
      </c>
      <c r="AI4" s="502">
        <f t="shared" si="9"/>
        <v>0</v>
      </c>
      <c r="AJ4" s="502">
        <f t="shared" si="9"/>
        <v>0</v>
      </c>
      <c r="AK4" s="502">
        <f t="shared" si="9"/>
        <v>0</v>
      </c>
      <c r="AL4" s="502">
        <f t="shared" si="9"/>
        <v>0</v>
      </c>
      <c r="AM4" s="502">
        <f t="shared" si="9"/>
        <v>0</v>
      </c>
      <c r="AN4" s="502">
        <f t="shared" si="9"/>
        <v>0</v>
      </c>
      <c r="AO4" s="502">
        <f t="shared" si="9"/>
        <v>0</v>
      </c>
      <c r="AP4" s="502">
        <f t="shared" si="9"/>
        <v>0</v>
      </c>
      <c r="AQ4" s="502">
        <f t="shared" si="9"/>
        <v>0</v>
      </c>
      <c r="AR4" s="502">
        <f t="shared" si="9"/>
        <v>0</v>
      </c>
      <c r="AS4" s="502">
        <f t="shared" si="9"/>
        <v>0</v>
      </c>
      <c r="AT4" s="502">
        <f t="shared" ref="AT4:BA4" si="10">AT5+AT8</f>
        <v>0</v>
      </c>
      <c r="AU4" s="502">
        <f t="shared" si="10"/>
        <v>0</v>
      </c>
      <c r="AV4" s="502">
        <f t="shared" si="10"/>
        <v>0</v>
      </c>
      <c r="AW4" s="502">
        <f t="shared" si="10"/>
        <v>0</v>
      </c>
      <c r="AX4" s="502">
        <f t="shared" si="10"/>
        <v>0</v>
      </c>
      <c r="AY4" s="502">
        <f t="shared" si="10"/>
        <v>0</v>
      </c>
      <c r="AZ4" s="502">
        <f t="shared" si="10"/>
        <v>0</v>
      </c>
      <c r="BA4" s="502">
        <f t="shared" si="10"/>
        <v>0</v>
      </c>
    </row>
    <row r="5" spans="2:55" x14ac:dyDescent="0.25">
      <c r="B5" s="567" t="s">
        <v>980</v>
      </c>
      <c r="C5" s="568" t="s">
        <v>979</v>
      </c>
      <c r="D5" s="569">
        <f t="shared" ref="D5:D6" si="11">SUM(F5:AT5)</f>
        <v>0</v>
      </c>
      <c r="E5" s="567"/>
      <c r="F5" s="570">
        <f t="shared" ref="F5:BA5" si="12">SUM(F6:F6)</f>
        <v>0</v>
      </c>
      <c r="G5" s="570">
        <f t="shared" si="12"/>
        <v>0</v>
      </c>
      <c r="H5" s="570">
        <f t="shared" si="12"/>
        <v>0</v>
      </c>
      <c r="I5" s="570">
        <f t="shared" si="12"/>
        <v>0</v>
      </c>
      <c r="J5" s="570">
        <f t="shared" si="12"/>
        <v>0</v>
      </c>
      <c r="K5" s="570">
        <f t="shared" si="12"/>
        <v>0</v>
      </c>
      <c r="L5" s="570">
        <f t="shared" si="12"/>
        <v>0</v>
      </c>
      <c r="M5" s="570">
        <f t="shared" si="12"/>
        <v>0</v>
      </c>
      <c r="N5" s="570">
        <f t="shared" si="12"/>
        <v>0</v>
      </c>
      <c r="O5" s="570">
        <f t="shared" si="12"/>
        <v>0</v>
      </c>
      <c r="P5" s="570">
        <f t="shared" si="12"/>
        <v>0</v>
      </c>
      <c r="Q5" s="570">
        <f t="shared" si="12"/>
        <v>0</v>
      </c>
      <c r="R5" s="570">
        <f t="shared" si="12"/>
        <v>0</v>
      </c>
      <c r="S5" s="570">
        <f t="shared" si="12"/>
        <v>0</v>
      </c>
      <c r="T5" s="570">
        <f t="shared" si="12"/>
        <v>0</v>
      </c>
      <c r="U5" s="570">
        <f t="shared" si="12"/>
        <v>0</v>
      </c>
      <c r="V5" s="570">
        <f t="shared" si="12"/>
        <v>0</v>
      </c>
      <c r="W5" s="570">
        <f t="shared" si="12"/>
        <v>0</v>
      </c>
      <c r="X5" s="570">
        <f t="shared" si="12"/>
        <v>0</v>
      </c>
      <c r="Y5" s="570">
        <f t="shared" si="12"/>
        <v>0</v>
      </c>
      <c r="Z5" s="570">
        <f t="shared" si="12"/>
        <v>0</v>
      </c>
      <c r="AA5" s="570">
        <f t="shared" si="12"/>
        <v>0</v>
      </c>
      <c r="AB5" s="570">
        <f t="shared" si="12"/>
        <v>0</v>
      </c>
      <c r="AC5" s="570">
        <f t="shared" si="12"/>
        <v>0</v>
      </c>
      <c r="AD5" s="570">
        <f t="shared" si="12"/>
        <v>0</v>
      </c>
      <c r="AE5" s="570">
        <f t="shared" si="12"/>
        <v>0</v>
      </c>
      <c r="AF5" s="570">
        <f t="shared" si="12"/>
        <v>0</v>
      </c>
      <c r="AG5" s="570">
        <f t="shared" si="12"/>
        <v>0</v>
      </c>
      <c r="AH5" s="570">
        <f t="shared" si="12"/>
        <v>0</v>
      </c>
      <c r="AI5" s="570">
        <f t="shared" si="12"/>
        <v>0</v>
      </c>
      <c r="AJ5" s="570">
        <f t="shared" si="12"/>
        <v>0</v>
      </c>
      <c r="AK5" s="570">
        <f t="shared" si="12"/>
        <v>0</v>
      </c>
      <c r="AL5" s="570">
        <f t="shared" si="12"/>
        <v>0</v>
      </c>
      <c r="AM5" s="570">
        <f t="shared" si="12"/>
        <v>0</v>
      </c>
      <c r="AN5" s="570">
        <f t="shared" si="12"/>
        <v>0</v>
      </c>
      <c r="AO5" s="570">
        <f t="shared" si="12"/>
        <v>0</v>
      </c>
      <c r="AP5" s="570">
        <f t="shared" si="12"/>
        <v>0</v>
      </c>
      <c r="AQ5" s="570">
        <f t="shared" si="12"/>
        <v>0</v>
      </c>
      <c r="AR5" s="570">
        <f t="shared" si="12"/>
        <v>0</v>
      </c>
      <c r="AS5" s="570">
        <f t="shared" si="12"/>
        <v>0</v>
      </c>
      <c r="AT5" s="570">
        <f t="shared" si="12"/>
        <v>0</v>
      </c>
      <c r="AU5" s="570">
        <f t="shared" si="12"/>
        <v>0</v>
      </c>
      <c r="AV5" s="570">
        <f t="shared" si="12"/>
        <v>0</v>
      </c>
      <c r="AW5" s="570">
        <f t="shared" si="12"/>
        <v>0</v>
      </c>
      <c r="AX5" s="570">
        <f t="shared" si="12"/>
        <v>0</v>
      </c>
      <c r="AY5" s="570">
        <f t="shared" si="12"/>
        <v>0</v>
      </c>
      <c r="AZ5" s="570">
        <f t="shared" si="12"/>
        <v>0</v>
      </c>
      <c r="BA5" s="570">
        <f t="shared" si="12"/>
        <v>0</v>
      </c>
    </row>
    <row r="6" spans="2:55" x14ac:dyDescent="0.25">
      <c r="B6" s="571" t="s">
        <v>120</v>
      </c>
      <c r="C6" s="171" t="s">
        <v>979</v>
      </c>
      <c r="D6" s="572">
        <f t="shared" si="11"/>
        <v>0</v>
      </c>
      <c r="E6" s="573"/>
      <c r="F6" s="574">
        <f>0</f>
        <v>0</v>
      </c>
      <c r="G6" s="574">
        <f>0</f>
        <v>0</v>
      </c>
      <c r="H6" s="574">
        <f>0</f>
        <v>0</v>
      </c>
      <c r="I6" s="574">
        <f>0</f>
        <v>0</v>
      </c>
      <c r="J6" s="574">
        <f>0</f>
        <v>0</v>
      </c>
      <c r="K6" s="574">
        <f>0</f>
        <v>0</v>
      </c>
      <c r="L6" s="574">
        <f>0</f>
        <v>0</v>
      </c>
      <c r="M6" s="574">
        <f>0</f>
        <v>0</v>
      </c>
      <c r="N6" s="574">
        <f>0</f>
        <v>0</v>
      </c>
      <c r="O6" s="574">
        <f>0</f>
        <v>0</v>
      </c>
      <c r="P6" s="574">
        <f>0</f>
        <v>0</v>
      </c>
      <c r="Q6" s="574">
        <f>0</f>
        <v>0</v>
      </c>
      <c r="R6" s="574">
        <f>0</f>
        <v>0</v>
      </c>
      <c r="S6" s="574">
        <f>0</f>
        <v>0</v>
      </c>
      <c r="T6" s="574">
        <f>0</f>
        <v>0</v>
      </c>
      <c r="U6" s="574">
        <f>0</f>
        <v>0</v>
      </c>
      <c r="V6" s="574">
        <f>0</f>
        <v>0</v>
      </c>
      <c r="W6" s="574">
        <f>0</f>
        <v>0</v>
      </c>
      <c r="X6" s="574">
        <f>0</f>
        <v>0</v>
      </c>
      <c r="Y6" s="574">
        <f>0</f>
        <v>0</v>
      </c>
      <c r="Z6" s="574">
        <f>0</f>
        <v>0</v>
      </c>
      <c r="AA6" s="574">
        <f>0</f>
        <v>0</v>
      </c>
      <c r="AB6" s="574">
        <f>0</f>
        <v>0</v>
      </c>
      <c r="AC6" s="574">
        <f>0</f>
        <v>0</v>
      </c>
      <c r="AD6" s="574">
        <f>0</f>
        <v>0</v>
      </c>
      <c r="AE6" s="574">
        <f>0</f>
        <v>0</v>
      </c>
      <c r="AF6" s="574">
        <f>0</f>
        <v>0</v>
      </c>
      <c r="AG6" s="574">
        <f>0</f>
        <v>0</v>
      </c>
      <c r="AH6" s="574">
        <f>0</f>
        <v>0</v>
      </c>
      <c r="AI6" s="574">
        <f>0</f>
        <v>0</v>
      </c>
      <c r="AJ6" s="574">
        <f>0</f>
        <v>0</v>
      </c>
      <c r="AK6" s="574">
        <f>0</f>
        <v>0</v>
      </c>
      <c r="AL6" s="574">
        <f>0</f>
        <v>0</v>
      </c>
      <c r="AM6" s="574">
        <f>0</f>
        <v>0</v>
      </c>
      <c r="AN6" s="574">
        <f>0</f>
        <v>0</v>
      </c>
      <c r="AO6" s="574">
        <f>0</f>
        <v>0</v>
      </c>
      <c r="AP6" s="574">
        <f>0</f>
        <v>0</v>
      </c>
      <c r="AQ6" s="574">
        <f>0</f>
        <v>0</v>
      </c>
      <c r="AR6" s="574">
        <f>0</f>
        <v>0</v>
      </c>
      <c r="AS6" s="574">
        <f>0</f>
        <v>0</v>
      </c>
      <c r="AT6" s="574">
        <f>0</f>
        <v>0</v>
      </c>
      <c r="AU6" s="574">
        <f>0</f>
        <v>0</v>
      </c>
      <c r="AV6" s="574">
        <f>0</f>
        <v>0</v>
      </c>
      <c r="AW6" s="574">
        <f>0</f>
        <v>0</v>
      </c>
      <c r="AX6" s="574">
        <f>0</f>
        <v>0</v>
      </c>
      <c r="AY6" s="574">
        <f>0</f>
        <v>0</v>
      </c>
      <c r="AZ6" s="574">
        <f>0</f>
        <v>0</v>
      </c>
      <c r="BA6" s="574">
        <f>0</f>
        <v>0</v>
      </c>
    </row>
    <row r="7" spans="2:55" x14ac:dyDescent="0.25">
      <c r="D7" s="575"/>
    </row>
    <row r="8" spans="2:55" x14ac:dyDescent="0.25">
      <c r="B8" s="567" t="s">
        <v>981</v>
      </c>
      <c r="C8" s="568" t="s">
        <v>979</v>
      </c>
      <c r="D8" s="569">
        <f>SUM(F8:AT8)</f>
        <v>0</v>
      </c>
      <c r="E8" s="567"/>
      <c r="F8" s="570">
        <f t="shared" ref="F8:BA8" si="13">SUM(F9:F9)</f>
        <v>0</v>
      </c>
      <c r="G8" s="570">
        <f t="shared" si="13"/>
        <v>0</v>
      </c>
      <c r="H8" s="570">
        <f t="shared" si="13"/>
        <v>0</v>
      </c>
      <c r="I8" s="570">
        <f t="shared" si="13"/>
        <v>0</v>
      </c>
      <c r="J8" s="570">
        <f t="shared" si="13"/>
        <v>0</v>
      </c>
      <c r="K8" s="570">
        <f t="shared" si="13"/>
        <v>0</v>
      </c>
      <c r="L8" s="570">
        <f t="shared" si="13"/>
        <v>0</v>
      </c>
      <c r="M8" s="570">
        <f t="shared" si="13"/>
        <v>0</v>
      </c>
      <c r="N8" s="570">
        <f t="shared" si="13"/>
        <v>0</v>
      </c>
      <c r="O8" s="570">
        <f t="shared" si="13"/>
        <v>0</v>
      </c>
      <c r="P8" s="570">
        <f t="shared" si="13"/>
        <v>0</v>
      </c>
      <c r="Q8" s="570">
        <f t="shared" si="13"/>
        <v>0</v>
      </c>
      <c r="R8" s="570">
        <f t="shared" si="13"/>
        <v>0</v>
      </c>
      <c r="S8" s="570">
        <f t="shared" si="13"/>
        <v>0</v>
      </c>
      <c r="T8" s="570">
        <f t="shared" si="13"/>
        <v>0</v>
      </c>
      <c r="U8" s="570">
        <f t="shared" si="13"/>
        <v>0</v>
      </c>
      <c r="V8" s="570">
        <f t="shared" si="13"/>
        <v>0</v>
      </c>
      <c r="W8" s="570">
        <f t="shared" si="13"/>
        <v>0</v>
      </c>
      <c r="X8" s="570">
        <f t="shared" si="13"/>
        <v>0</v>
      </c>
      <c r="Y8" s="570">
        <f t="shared" si="13"/>
        <v>0</v>
      </c>
      <c r="Z8" s="570">
        <f t="shared" si="13"/>
        <v>0</v>
      </c>
      <c r="AA8" s="570">
        <f t="shared" si="13"/>
        <v>0</v>
      </c>
      <c r="AB8" s="570">
        <f t="shared" si="13"/>
        <v>0</v>
      </c>
      <c r="AC8" s="570">
        <f t="shared" si="13"/>
        <v>0</v>
      </c>
      <c r="AD8" s="570">
        <f t="shared" si="13"/>
        <v>0</v>
      </c>
      <c r="AE8" s="570">
        <f t="shared" si="13"/>
        <v>0</v>
      </c>
      <c r="AF8" s="570">
        <f t="shared" si="13"/>
        <v>0</v>
      </c>
      <c r="AG8" s="570">
        <f t="shared" si="13"/>
        <v>0</v>
      </c>
      <c r="AH8" s="570">
        <f t="shared" si="13"/>
        <v>0</v>
      </c>
      <c r="AI8" s="570">
        <f t="shared" si="13"/>
        <v>0</v>
      </c>
      <c r="AJ8" s="570">
        <f t="shared" si="13"/>
        <v>0</v>
      </c>
      <c r="AK8" s="570">
        <f t="shared" si="13"/>
        <v>0</v>
      </c>
      <c r="AL8" s="570">
        <f t="shared" si="13"/>
        <v>0</v>
      </c>
      <c r="AM8" s="570">
        <f t="shared" si="13"/>
        <v>0</v>
      </c>
      <c r="AN8" s="570">
        <f t="shared" si="13"/>
        <v>0</v>
      </c>
      <c r="AO8" s="570">
        <f t="shared" si="13"/>
        <v>0</v>
      </c>
      <c r="AP8" s="570">
        <f t="shared" si="13"/>
        <v>0</v>
      </c>
      <c r="AQ8" s="570">
        <f t="shared" si="13"/>
        <v>0</v>
      </c>
      <c r="AR8" s="570">
        <f t="shared" si="13"/>
        <v>0</v>
      </c>
      <c r="AS8" s="570">
        <f t="shared" si="13"/>
        <v>0</v>
      </c>
      <c r="AT8" s="570">
        <f t="shared" si="13"/>
        <v>0</v>
      </c>
      <c r="AU8" s="570">
        <f t="shared" si="13"/>
        <v>0</v>
      </c>
      <c r="AV8" s="570">
        <f t="shared" si="13"/>
        <v>0</v>
      </c>
      <c r="AW8" s="570">
        <f t="shared" si="13"/>
        <v>0</v>
      </c>
      <c r="AX8" s="570">
        <f t="shared" si="13"/>
        <v>0</v>
      </c>
      <c r="AY8" s="570">
        <f t="shared" si="13"/>
        <v>0</v>
      </c>
      <c r="AZ8" s="570">
        <f t="shared" si="13"/>
        <v>0</v>
      </c>
      <c r="BA8" s="570">
        <f t="shared" si="13"/>
        <v>0</v>
      </c>
    </row>
    <row r="9" spans="2:55" x14ac:dyDescent="0.25">
      <c r="B9" s="571" t="s">
        <v>120</v>
      </c>
      <c r="C9" s="171" t="s">
        <v>979</v>
      </c>
      <c r="D9" s="572">
        <f>SUM(F9:AT9)</f>
        <v>0</v>
      </c>
      <c r="F9" s="574">
        <f>0</f>
        <v>0</v>
      </c>
      <c r="G9" s="574">
        <f>0</f>
        <v>0</v>
      </c>
      <c r="H9" s="574">
        <f>0</f>
        <v>0</v>
      </c>
      <c r="I9" s="574">
        <f>0</f>
        <v>0</v>
      </c>
      <c r="J9" s="574">
        <f>0</f>
        <v>0</v>
      </c>
      <c r="K9" s="574">
        <f>0</f>
        <v>0</v>
      </c>
      <c r="L9" s="574">
        <f>0</f>
        <v>0</v>
      </c>
      <c r="M9" s="574">
        <f>0</f>
        <v>0</v>
      </c>
      <c r="N9" s="574">
        <f>0</f>
        <v>0</v>
      </c>
      <c r="O9" s="574">
        <f>0</f>
        <v>0</v>
      </c>
      <c r="P9" s="574">
        <f>0</f>
        <v>0</v>
      </c>
      <c r="Q9" s="574">
        <f>0</f>
        <v>0</v>
      </c>
      <c r="R9" s="574">
        <f>0</f>
        <v>0</v>
      </c>
      <c r="S9" s="574">
        <f>0</f>
        <v>0</v>
      </c>
      <c r="T9" s="574">
        <f>0</f>
        <v>0</v>
      </c>
      <c r="U9" s="574">
        <f>0</f>
        <v>0</v>
      </c>
      <c r="V9" s="574">
        <f>0</f>
        <v>0</v>
      </c>
      <c r="W9" s="574">
        <f>0</f>
        <v>0</v>
      </c>
      <c r="X9" s="574">
        <f>0</f>
        <v>0</v>
      </c>
      <c r="Y9" s="574">
        <f>0</f>
        <v>0</v>
      </c>
      <c r="Z9" s="574">
        <f>0</f>
        <v>0</v>
      </c>
      <c r="AA9" s="574">
        <f>0</f>
        <v>0</v>
      </c>
      <c r="AB9" s="574">
        <f>0</f>
        <v>0</v>
      </c>
      <c r="AC9" s="574">
        <f>0</f>
        <v>0</v>
      </c>
      <c r="AD9" s="574">
        <f>0</f>
        <v>0</v>
      </c>
      <c r="AE9" s="574">
        <f>0</f>
        <v>0</v>
      </c>
      <c r="AF9" s="574">
        <f>0</f>
        <v>0</v>
      </c>
      <c r="AG9" s="574">
        <f>0</f>
        <v>0</v>
      </c>
      <c r="AH9" s="574">
        <f>0</f>
        <v>0</v>
      </c>
      <c r="AI9" s="574">
        <f>0</f>
        <v>0</v>
      </c>
      <c r="AJ9" s="574">
        <f>0</f>
        <v>0</v>
      </c>
      <c r="AK9" s="574">
        <f>0</f>
        <v>0</v>
      </c>
      <c r="AL9" s="574">
        <f>0</f>
        <v>0</v>
      </c>
      <c r="AM9" s="574">
        <f>0</f>
        <v>0</v>
      </c>
      <c r="AN9" s="574">
        <f>0</f>
        <v>0</v>
      </c>
      <c r="AO9" s="574">
        <f>0</f>
        <v>0</v>
      </c>
      <c r="AP9" s="574">
        <f>0</f>
        <v>0</v>
      </c>
      <c r="AQ9" s="574">
        <f>0</f>
        <v>0</v>
      </c>
      <c r="AR9" s="574">
        <f>0</f>
        <v>0</v>
      </c>
      <c r="AS9" s="574">
        <f>0</f>
        <v>0</v>
      </c>
      <c r="AT9" s="574">
        <f>0</f>
        <v>0</v>
      </c>
      <c r="AU9" s="574">
        <f>0</f>
        <v>0</v>
      </c>
      <c r="AV9" s="574">
        <f>0</f>
        <v>0</v>
      </c>
      <c r="AW9" s="574">
        <f>0</f>
        <v>0</v>
      </c>
      <c r="AX9" s="574">
        <f>0</f>
        <v>0</v>
      </c>
      <c r="AY9" s="574">
        <f>0</f>
        <v>0</v>
      </c>
      <c r="AZ9" s="574">
        <f>0</f>
        <v>0</v>
      </c>
      <c r="BA9" s="574">
        <f>0</f>
        <v>0</v>
      </c>
    </row>
    <row r="10" spans="2:55" x14ac:dyDescent="0.25">
      <c r="B10" s="566"/>
      <c r="C10" s="566"/>
      <c r="D10" s="576"/>
      <c r="E10" s="566"/>
      <c r="F10" s="577"/>
      <c r="G10" s="577"/>
      <c r="H10" s="577"/>
      <c r="I10" s="577"/>
      <c r="J10" s="577"/>
      <c r="K10" s="577"/>
      <c r="L10" s="577"/>
      <c r="M10" s="577"/>
      <c r="N10" s="577"/>
      <c r="O10" s="577"/>
      <c r="P10" s="577"/>
      <c r="Q10" s="577"/>
      <c r="R10" s="577"/>
      <c r="S10" s="577"/>
      <c r="T10" s="577"/>
      <c r="U10" s="577"/>
      <c r="V10" s="577"/>
      <c r="W10" s="577"/>
      <c r="X10" s="577"/>
      <c r="Y10" s="577"/>
      <c r="Z10" s="577"/>
      <c r="AA10" s="577"/>
      <c r="AB10" s="577"/>
      <c r="AC10" s="577"/>
      <c r="AD10" s="577"/>
      <c r="AE10" s="577"/>
      <c r="AF10" s="577"/>
      <c r="AG10" s="577"/>
      <c r="AH10" s="577"/>
      <c r="AI10" s="577"/>
      <c r="AJ10" s="577"/>
      <c r="AK10" s="577"/>
      <c r="AL10" s="577"/>
      <c r="AM10" s="577"/>
      <c r="AN10" s="577"/>
      <c r="AO10" s="577"/>
      <c r="AP10" s="577"/>
      <c r="AQ10" s="577"/>
      <c r="AR10" s="577"/>
      <c r="AS10" s="577"/>
      <c r="AT10" s="577"/>
      <c r="AU10" s="577"/>
      <c r="AV10" s="577"/>
      <c r="AW10" s="577"/>
      <c r="AX10" s="577"/>
      <c r="AY10" s="577"/>
      <c r="AZ10" s="577"/>
      <c r="BA10" s="577"/>
    </row>
    <row r="11" spans="2:55" x14ac:dyDescent="0.25">
      <c r="D11" s="575"/>
    </row>
    <row r="12" spans="2:55" ht="15.75" x14ac:dyDescent="0.25">
      <c r="B12" s="501" t="s">
        <v>1007</v>
      </c>
      <c r="C12" s="501"/>
      <c r="D12" s="561">
        <f>D13+D17</f>
        <v>-64189.426769135316</v>
      </c>
      <c r="E12" s="502"/>
      <c r="F12" s="561">
        <f>F13+F17</f>
        <v>0</v>
      </c>
      <c r="G12" s="561">
        <f t="shared" ref="G12:AS12" si="14">G13+G17</f>
        <v>0</v>
      </c>
      <c r="H12" s="561">
        <f t="shared" si="14"/>
        <v>0</v>
      </c>
      <c r="I12" s="561">
        <f t="shared" si="14"/>
        <v>-64189.426769135316</v>
      </c>
      <c r="J12" s="561">
        <f t="shared" si="14"/>
        <v>0</v>
      </c>
      <c r="K12" s="561">
        <f t="shared" si="14"/>
        <v>0</v>
      </c>
      <c r="L12" s="561">
        <f t="shared" si="14"/>
        <v>0</v>
      </c>
      <c r="M12" s="561">
        <f t="shared" si="14"/>
        <v>0</v>
      </c>
      <c r="N12" s="561">
        <f t="shared" si="14"/>
        <v>0</v>
      </c>
      <c r="O12" s="561">
        <f t="shared" si="14"/>
        <v>0</v>
      </c>
      <c r="P12" s="561">
        <f t="shared" si="14"/>
        <v>0</v>
      </c>
      <c r="Q12" s="561">
        <f t="shared" si="14"/>
        <v>0</v>
      </c>
      <c r="R12" s="561">
        <f t="shared" si="14"/>
        <v>0</v>
      </c>
      <c r="S12" s="561">
        <f t="shared" si="14"/>
        <v>0</v>
      </c>
      <c r="T12" s="561">
        <f t="shared" si="14"/>
        <v>0</v>
      </c>
      <c r="U12" s="561">
        <f t="shared" si="14"/>
        <v>0</v>
      </c>
      <c r="V12" s="561">
        <f t="shared" si="14"/>
        <v>0</v>
      </c>
      <c r="W12" s="561">
        <f t="shared" si="14"/>
        <v>0</v>
      </c>
      <c r="X12" s="561">
        <f t="shared" si="14"/>
        <v>0</v>
      </c>
      <c r="Y12" s="561">
        <f t="shared" si="14"/>
        <v>0</v>
      </c>
      <c r="Z12" s="561">
        <f t="shared" si="14"/>
        <v>0</v>
      </c>
      <c r="AA12" s="561">
        <f t="shared" si="14"/>
        <v>0</v>
      </c>
      <c r="AB12" s="561">
        <f t="shared" si="14"/>
        <v>0</v>
      </c>
      <c r="AC12" s="561">
        <f t="shared" si="14"/>
        <v>0</v>
      </c>
      <c r="AD12" s="561">
        <f t="shared" si="14"/>
        <v>0</v>
      </c>
      <c r="AE12" s="561">
        <f t="shared" si="14"/>
        <v>0</v>
      </c>
      <c r="AF12" s="561">
        <f t="shared" si="14"/>
        <v>0</v>
      </c>
      <c r="AG12" s="561">
        <f t="shared" si="14"/>
        <v>0</v>
      </c>
      <c r="AH12" s="561">
        <f t="shared" si="14"/>
        <v>0</v>
      </c>
      <c r="AI12" s="561">
        <f t="shared" si="14"/>
        <v>0</v>
      </c>
      <c r="AJ12" s="561">
        <f t="shared" si="14"/>
        <v>0</v>
      </c>
      <c r="AK12" s="561">
        <f t="shared" si="14"/>
        <v>0</v>
      </c>
      <c r="AL12" s="561">
        <f t="shared" si="14"/>
        <v>0</v>
      </c>
      <c r="AM12" s="561">
        <f t="shared" si="14"/>
        <v>0</v>
      </c>
      <c r="AN12" s="561">
        <f t="shared" si="14"/>
        <v>0</v>
      </c>
      <c r="AO12" s="561">
        <f t="shared" si="14"/>
        <v>0</v>
      </c>
      <c r="AP12" s="561">
        <f t="shared" si="14"/>
        <v>0</v>
      </c>
      <c r="AQ12" s="561">
        <f t="shared" si="14"/>
        <v>0</v>
      </c>
      <c r="AR12" s="561">
        <f t="shared" si="14"/>
        <v>0</v>
      </c>
      <c r="AS12" s="561">
        <f t="shared" si="14"/>
        <v>0</v>
      </c>
      <c r="AT12" s="561">
        <f t="shared" ref="AT12:BA12" si="15">AT13+AT17</f>
        <v>0</v>
      </c>
      <c r="AU12" s="561">
        <f t="shared" si="15"/>
        <v>0</v>
      </c>
      <c r="AV12" s="561">
        <f t="shared" si="15"/>
        <v>0</v>
      </c>
      <c r="AW12" s="561">
        <f t="shared" si="15"/>
        <v>0</v>
      </c>
      <c r="AX12" s="561">
        <f t="shared" si="15"/>
        <v>0</v>
      </c>
      <c r="AY12" s="561">
        <f t="shared" si="15"/>
        <v>0</v>
      </c>
      <c r="AZ12" s="561">
        <f t="shared" si="15"/>
        <v>0</v>
      </c>
      <c r="BA12" s="561">
        <f t="shared" si="15"/>
        <v>0</v>
      </c>
    </row>
    <row r="13" spans="2:55" x14ac:dyDescent="0.25">
      <c r="B13" s="567" t="s">
        <v>1008</v>
      </c>
      <c r="C13" s="568" t="s">
        <v>979</v>
      </c>
      <c r="D13" s="569">
        <f t="shared" ref="D13" si="16">SUM(F13:AE13)</f>
        <v>-60763.53219051534</v>
      </c>
      <c r="E13" s="567"/>
      <c r="F13" s="578">
        <f>SUM(F14:F15)</f>
        <v>0</v>
      </c>
      <c r="G13" s="578">
        <f t="shared" ref="G13:AS13" si="17">SUM(G14:G15)</f>
        <v>0</v>
      </c>
      <c r="H13" s="578">
        <f t="shared" si="17"/>
        <v>0</v>
      </c>
      <c r="I13" s="578">
        <f t="shared" si="17"/>
        <v>-60763.53219051534</v>
      </c>
      <c r="J13" s="578">
        <f t="shared" si="17"/>
        <v>0</v>
      </c>
      <c r="K13" s="578">
        <f t="shared" si="17"/>
        <v>0</v>
      </c>
      <c r="L13" s="578">
        <f t="shared" si="17"/>
        <v>0</v>
      </c>
      <c r="M13" s="578">
        <f>SUM(M14:M15)</f>
        <v>0</v>
      </c>
      <c r="N13" s="578">
        <f t="shared" si="17"/>
        <v>0</v>
      </c>
      <c r="O13" s="578">
        <f t="shared" si="17"/>
        <v>0</v>
      </c>
      <c r="P13" s="578">
        <f t="shared" si="17"/>
        <v>0</v>
      </c>
      <c r="Q13" s="578">
        <f t="shared" si="17"/>
        <v>0</v>
      </c>
      <c r="R13" s="578">
        <f t="shared" si="17"/>
        <v>0</v>
      </c>
      <c r="S13" s="578">
        <f t="shared" si="17"/>
        <v>0</v>
      </c>
      <c r="T13" s="578">
        <f t="shared" si="17"/>
        <v>0</v>
      </c>
      <c r="U13" s="578">
        <f t="shared" si="17"/>
        <v>0</v>
      </c>
      <c r="V13" s="578">
        <f t="shared" si="17"/>
        <v>0</v>
      </c>
      <c r="W13" s="578">
        <f t="shared" si="17"/>
        <v>0</v>
      </c>
      <c r="X13" s="578">
        <f t="shared" si="17"/>
        <v>0</v>
      </c>
      <c r="Y13" s="578">
        <f t="shared" si="17"/>
        <v>0</v>
      </c>
      <c r="Z13" s="578">
        <f t="shared" si="17"/>
        <v>0</v>
      </c>
      <c r="AA13" s="578">
        <f t="shared" si="17"/>
        <v>0</v>
      </c>
      <c r="AB13" s="578">
        <f t="shared" si="17"/>
        <v>0</v>
      </c>
      <c r="AC13" s="578">
        <f t="shared" si="17"/>
        <v>0</v>
      </c>
      <c r="AD13" s="578">
        <f t="shared" si="17"/>
        <v>0</v>
      </c>
      <c r="AE13" s="578">
        <f t="shared" si="17"/>
        <v>0</v>
      </c>
      <c r="AF13" s="578">
        <f t="shared" si="17"/>
        <v>0</v>
      </c>
      <c r="AG13" s="578">
        <f t="shared" si="17"/>
        <v>0</v>
      </c>
      <c r="AH13" s="578">
        <f t="shared" si="17"/>
        <v>0</v>
      </c>
      <c r="AI13" s="578">
        <f t="shared" si="17"/>
        <v>0</v>
      </c>
      <c r="AJ13" s="578">
        <f t="shared" si="17"/>
        <v>0</v>
      </c>
      <c r="AK13" s="578">
        <f t="shared" si="17"/>
        <v>0</v>
      </c>
      <c r="AL13" s="578">
        <f t="shared" si="17"/>
        <v>0</v>
      </c>
      <c r="AM13" s="578">
        <f t="shared" si="17"/>
        <v>0</v>
      </c>
      <c r="AN13" s="578">
        <f t="shared" si="17"/>
        <v>0</v>
      </c>
      <c r="AO13" s="578">
        <f t="shared" si="17"/>
        <v>0</v>
      </c>
      <c r="AP13" s="578">
        <f t="shared" si="17"/>
        <v>0</v>
      </c>
      <c r="AQ13" s="578">
        <f t="shared" si="17"/>
        <v>0</v>
      </c>
      <c r="AR13" s="578">
        <f t="shared" si="17"/>
        <v>0</v>
      </c>
      <c r="AS13" s="578">
        <f t="shared" si="17"/>
        <v>0</v>
      </c>
      <c r="AT13" s="578">
        <f t="shared" ref="AT13:BA13" si="18">SUM(AT14:AT15)</f>
        <v>0</v>
      </c>
      <c r="AU13" s="578">
        <f t="shared" si="18"/>
        <v>0</v>
      </c>
      <c r="AV13" s="578">
        <f t="shared" si="18"/>
        <v>0</v>
      </c>
      <c r="AW13" s="578">
        <f t="shared" si="18"/>
        <v>0</v>
      </c>
      <c r="AX13" s="578">
        <f t="shared" si="18"/>
        <v>0</v>
      </c>
      <c r="AY13" s="578">
        <f t="shared" si="18"/>
        <v>0</v>
      </c>
      <c r="AZ13" s="578">
        <f t="shared" si="18"/>
        <v>0</v>
      </c>
      <c r="BA13" s="578">
        <f t="shared" si="18"/>
        <v>0</v>
      </c>
    </row>
    <row r="14" spans="2:55" x14ac:dyDescent="0.25">
      <c r="B14" s="571" t="s">
        <v>1009</v>
      </c>
      <c r="C14" s="579" t="s">
        <v>979</v>
      </c>
      <c r="D14" s="572">
        <f>SUM(F14:AE14)</f>
        <v>-45800.499390515339</v>
      </c>
      <c r="E14" s="573"/>
      <c r="F14" s="1145">
        <f>-IF(OR(electrification_input!$E$47="One-off",electrification_input!$E$47="Demand driven"),IF(AND(F$3&gt;=YEAR(electrification_input!$D$9),F$3&lt;=YEAR(electrification_input!$D$10)-1),electrification_input!$E$45/electrification_input!$D$11*(1+electrification_input!$D$15)^(F$3-$F$3)/1000,0),0)</f>
        <v>0</v>
      </c>
      <c r="G14" s="1145">
        <f>-IF(OR(electrification_input!$E$47="One-off",electrification_input!$E$47="Demand driven"),IF(AND(G$3&gt;=YEAR(electrification_input!$D$9),G$3&lt;=YEAR(electrification_input!$D$10)-1),electrification_input!$E$45/electrification_input!$D$11*(1+electrification_input!$D$15)^(G$3-$F$3)/1000,0),0)</f>
        <v>0</v>
      </c>
      <c r="H14" s="1145">
        <f>-IF(OR(electrification_input!$E$47="One-off",electrification_input!$E$47="Demand driven"),IF(AND(H$3&gt;=YEAR(electrification_input!$D$9),H$3&lt;=YEAR(electrification_input!$D$10)-1),electrification_input!$E$45/electrification_input!$D$11*(1+electrification_input!$D$15)^(H$3-$F$3)/1000,0),0)</f>
        <v>0</v>
      </c>
      <c r="I14" s="1145">
        <f>-IF(OR(electrification_input!$E$47="One-off",electrification_input!$E$47="Demand driven"),IF(AND(I$3&gt;=YEAR(electrification_input!$D$9),I$3&lt;=YEAR(electrification_input!$D$10)-1),electrification_input!$E$45/electrification_input!$D$11*(1+electrification_input!$D$15)^(I$3-$F$3)/1000,0),0)</f>
        <v>-45800.499390515339</v>
      </c>
      <c r="J14" s="1145">
        <f>-IF(OR(electrification_input!$E$47="One-off",electrification_input!$E$47="Demand driven"),IF(AND(J$3&gt;=YEAR(electrification_input!$D$9),J$3&lt;=YEAR(electrification_input!$D$10)-1),electrification_input!$E$45/electrification_input!$D$11*(1+electrification_input!$D$15)^(J$3-$F$3)/1000,0),0)</f>
        <v>0</v>
      </c>
      <c r="K14" s="1145">
        <f>-IF(OR(electrification_input!$E$47="One-off",electrification_input!$E$47="Demand driven"),IF(AND(K$3&gt;=YEAR(electrification_input!$D$9),K$3&lt;=YEAR(electrification_input!$D$10)-1),electrification_input!$E$45/electrification_input!$D$11*(1+electrification_input!$D$15)^(K$3-$F$3)/1000,0),0)</f>
        <v>0</v>
      </c>
      <c r="L14" s="1145">
        <f>-IF(OR(electrification_input!$E$47="One-off",electrification_input!$E$47="Demand driven"),IF(AND(L$3&gt;=YEAR(electrification_input!$D$9),L$3&lt;=YEAR(electrification_input!$D$10)-1),electrification_input!$E$45/electrification_input!$D$11*(1+electrification_input!$D$15)^(L$3-$F$3)/1000,0),0)</f>
        <v>0</v>
      </c>
      <c r="M14" s="1145">
        <f>-IF(OR(electrification_input!$E$47="One-off",electrification_input!$E$47="Demand driven"),IF(AND(M$3&gt;=YEAR(electrification_input!$D$9),M$3&lt;=YEAR(electrification_input!$D$10)-1),electrification_input!$E$45/electrification_input!$D$11*(1+electrification_input!$D$15)^(M$3-$F$3)/1000,0),0)</f>
        <v>0</v>
      </c>
      <c r="N14" s="1145">
        <f>-IF(OR(electrification_input!$E$47="One-off",electrification_input!$E$47="Demand driven"),IF(AND(N$3&gt;=YEAR(electrification_input!$D$9),N$3&lt;=YEAR(electrification_input!$D$10)-1),electrification_input!$E$45/electrification_input!$D$11*(1+electrification_input!$D$15)^(N$3-$F$3)/1000,0),0)</f>
        <v>0</v>
      </c>
      <c r="O14" s="1145">
        <f>-IF(OR(electrification_input!$E$47="One-off",electrification_input!$E$47="Demand driven"),IF(AND(O$3&gt;=YEAR(electrification_input!$D$9),O$3&lt;=YEAR(electrification_input!$D$10)-1),electrification_input!$E$45/electrification_input!$D$11*(1+electrification_input!$D$15)^(O$3-$F$3)/1000,0),0)</f>
        <v>0</v>
      </c>
      <c r="P14" s="1145">
        <f>-IF(OR(electrification_input!$E$47="One-off",electrification_input!$E$47="Demand driven"),IF(AND(P$3&gt;=YEAR(electrification_input!$D$9),P$3&lt;=YEAR(electrification_input!$D$10)-1),electrification_input!$E$45/electrification_input!$D$11*(1+electrification_input!$D$15)^(P$3-$F$3)/1000,0),0)</f>
        <v>0</v>
      </c>
      <c r="Q14" s="1145">
        <f>-IF(OR(electrification_input!$E$47="One-off",electrification_input!$E$47="Demand driven"),IF(AND(Q$3&gt;=YEAR(electrification_input!$D$9),Q$3&lt;=YEAR(electrification_input!$D$10)-1),electrification_input!$E$45/electrification_input!$D$11*(1+electrification_input!$D$15)^(Q$3-$F$3)/1000,0),0)</f>
        <v>0</v>
      </c>
      <c r="R14" s="1145">
        <f>-IF(OR(electrification_input!$E$47="One-off",electrification_input!$E$47="Demand driven"),IF(AND(R$3&gt;=YEAR(electrification_input!$D$9),R$3&lt;=YEAR(electrification_input!$D$10)-1),electrification_input!$E$45/electrification_input!$D$11*(1+electrification_input!$D$15)^(R$3-$F$3)/1000,0),0)</f>
        <v>0</v>
      </c>
      <c r="S14" s="1145">
        <f>-IF(OR(electrification_input!$E$47="One-off",electrification_input!$E$47="Demand driven"),IF(AND(S$3&gt;=YEAR(electrification_input!$D$9),S$3&lt;=YEAR(electrification_input!$D$10)-1),electrification_input!$E$45/electrification_input!$D$11*(1+electrification_input!$D$15)^(S$3-$F$3)/1000,0),0)</f>
        <v>0</v>
      </c>
      <c r="T14" s="1145">
        <f>-IF(OR(electrification_input!$E$47="One-off",electrification_input!$E$47="Demand driven"),IF(AND(T$3&gt;=YEAR(electrification_input!$D$9),T$3&lt;=YEAR(electrification_input!$D$10)-1),electrification_input!$E$45/electrification_input!$D$11*(1+electrification_input!$D$15)^(T$3-$F$3)/1000,0),0)</f>
        <v>0</v>
      </c>
      <c r="U14" s="1145">
        <f>-IF(OR(electrification_input!$E$47="One-off",electrification_input!$E$47="Demand driven"),IF(AND(U$3&gt;=YEAR(electrification_input!$D$9),U$3&lt;=YEAR(electrification_input!$D$10)-1),electrification_input!$E$45/electrification_input!$D$11*(1+electrification_input!$D$15)^(U$3-$F$3)/1000,0),0)</f>
        <v>0</v>
      </c>
      <c r="V14" s="1145">
        <f>-IF(OR(electrification_input!$E$47="One-off",electrification_input!$E$47="Demand driven"),IF(AND(V$3&gt;=YEAR(electrification_input!$D$9),V$3&lt;=YEAR(electrification_input!$D$10)-1),electrification_input!$E$45/electrification_input!$D$11*(1+electrification_input!$D$15)^(V$3-$F$3)/1000,0),0)</f>
        <v>0</v>
      </c>
      <c r="W14" s="1145">
        <f>-IF(OR(electrification_input!$E$47="One-off",electrification_input!$E$47="Demand driven"),IF(AND(W$3&gt;=YEAR(electrification_input!$D$9),W$3&lt;=YEAR(electrification_input!$D$10)-1),electrification_input!$E$45/electrification_input!$D$11*(1+electrification_input!$D$15)^(W$3-$F$3)/1000,0),0)</f>
        <v>0</v>
      </c>
      <c r="X14" s="1145">
        <f>-IF(OR(electrification_input!$E$47="One-off",electrification_input!$E$47="Demand driven"),IF(AND(X$3&gt;=YEAR(electrification_input!$D$9),X$3&lt;=YEAR(electrification_input!$D$10)-1),electrification_input!$E$45/electrification_input!$D$11*(1+electrification_input!$D$15)^(X$3-$F$3)/1000,0),0)</f>
        <v>0</v>
      </c>
      <c r="Y14" s="1145">
        <f>-IF(OR(electrification_input!$E$47="One-off",electrification_input!$E$47="Demand driven"),IF(AND(Y$3&gt;=YEAR(electrification_input!$D$9),Y$3&lt;=YEAR(electrification_input!$D$10)-1),electrification_input!$E$45/electrification_input!$D$11*(1+electrification_input!$D$15)^(Y$3-$F$3)/1000,0),0)</f>
        <v>0</v>
      </c>
      <c r="Z14" s="1145">
        <f>-IF(OR(electrification_input!$E$47="One-off",electrification_input!$E$47="Demand driven"),IF(AND(Z$3&gt;=YEAR(electrification_input!$D$9),Z$3&lt;=YEAR(electrification_input!$D$10)-1),electrification_input!$E$45/electrification_input!$D$11*(1+electrification_input!$D$15)^(Z$3-$F$3)/1000,0),0)</f>
        <v>0</v>
      </c>
      <c r="AA14" s="1145">
        <f>-IF(OR(electrification_input!$E$47="One-off",electrification_input!$E$47="Demand driven"),IF(AND(AA$3&gt;=YEAR(electrification_input!$D$9),AA$3&lt;=YEAR(electrification_input!$D$10)-1),electrification_input!$E$45/electrification_input!$D$11*(1+electrification_input!$D$15)^(AA$3-$F$3)/1000,0),0)</f>
        <v>0</v>
      </c>
      <c r="AB14" s="1145">
        <f>-IF(OR(electrification_input!$E$47="One-off",electrification_input!$E$47="Demand driven"),IF(AND(AB$3&gt;=YEAR(electrification_input!$D$9),AB$3&lt;=YEAR(electrification_input!$D$10)-1),electrification_input!$E$45/electrification_input!$D$11*(1+electrification_input!$D$15)^(AB$3-$F$3)/1000,0),0)</f>
        <v>0</v>
      </c>
      <c r="AC14" s="1145">
        <f>-IF(OR(electrification_input!$E$47="One-off",electrification_input!$E$47="Demand driven"),IF(AND(AC$3&gt;=YEAR(electrification_input!$D$9),AC$3&lt;=YEAR(electrification_input!$D$10)-1),electrification_input!$E$45/electrification_input!$D$11*(1+electrification_input!$D$15)^(AC$3-$F$3)/1000,0),0)</f>
        <v>0</v>
      </c>
      <c r="AD14" s="1145">
        <f>-IF(OR(electrification_input!$E$47="One-off",electrification_input!$E$47="Demand driven"),IF(AND(AD$3&gt;=YEAR(electrification_input!$D$9),AD$3&lt;=YEAR(electrification_input!$D$10)-1),electrification_input!$E$45/electrification_input!$D$11*(1+electrification_input!$D$15)^(AD$3-$F$3)/1000,0),0)</f>
        <v>0</v>
      </c>
      <c r="AE14" s="1145">
        <f>-IF(OR(electrification_input!$E$47="One-off",electrification_input!$E$47="Demand driven"),IF(AND(AE$3&gt;=YEAR(electrification_input!$D$9),AE$3&lt;=YEAR(electrification_input!$D$10)-1),electrification_input!$E$45/electrification_input!$D$11*(1+electrification_input!$D$15)^(AE$3-$F$3)/1000,0),0)</f>
        <v>0</v>
      </c>
      <c r="AF14" s="1145">
        <f>-IF(OR(electrification_input!$E$47="One-off",electrification_input!$E$47="Demand driven"),IF(AND(AF$3&gt;=YEAR(electrification_input!$D$9),AF$3&lt;=YEAR(electrification_input!$D$10)-1),electrification_input!$E$45/electrification_input!$D$11*(1+electrification_input!$D$15)^(AF$3-$F$3)/1000,0),0)</f>
        <v>0</v>
      </c>
      <c r="AG14" s="1145">
        <f>-IF(OR(electrification_input!$E$47="One-off",electrification_input!$E$47="Demand driven"),IF(AND(AG$3&gt;=YEAR(electrification_input!$D$9),AG$3&lt;=YEAR(electrification_input!$D$10)-1),electrification_input!$E$45/electrification_input!$D$11*(1+electrification_input!$D$15)^(AG$3-$F$3)/1000,0),0)</f>
        <v>0</v>
      </c>
      <c r="AH14" s="1145">
        <f>-IF(OR(electrification_input!$E$47="One-off",electrification_input!$E$47="Demand driven"),IF(AND(AH$3&gt;=YEAR(electrification_input!$D$9),AH$3&lt;=YEAR(electrification_input!$D$10)-1),electrification_input!$E$45/electrification_input!$D$11*(1+electrification_input!$D$15)^(AH$3-$F$3)/1000,0),0)</f>
        <v>0</v>
      </c>
      <c r="AI14" s="1145">
        <f>-IF(OR(electrification_input!$E$47="One-off",electrification_input!$E$47="Demand driven"),IF(AND(AI$3&gt;=YEAR(electrification_input!$D$9),AI$3&lt;=YEAR(electrification_input!$D$10)-1),electrification_input!$E$45/electrification_input!$D$11*(1+electrification_input!$D$15)^(AI$3-$F$3)/1000,0),0)</f>
        <v>0</v>
      </c>
      <c r="AJ14" s="1145">
        <f>-IF(OR(electrification_input!$E$47="One-off",electrification_input!$E$47="Demand driven"),IF(AND(AJ$3&gt;=YEAR(electrification_input!$D$9),AJ$3&lt;=YEAR(electrification_input!$D$10)-1),electrification_input!$E$45/electrification_input!$D$11*(1+electrification_input!$D$15)^(AJ$3-$F$3)/1000,0),0)</f>
        <v>0</v>
      </c>
      <c r="AK14" s="1145">
        <f>-IF(OR(electrification_input!$E$47="One-off",electrification_input!$E$47="Demand driven"),IF(AND(AK$3&gt;=YEAR(electrification_input!$D$9),AK$3&lt;=YEAR(electrification_input!$D$10)-1),electrification_input!$E$45/electrification_input!$D$11*(1+electrification_input!$D$15)^(AK$3-$F$3)/1000,0),0)</f>
        <v>0</v>
      </c>
      <c r="AL14" s="1145">
        <f>-IF(OR(electrification_input!$E$47="One-off",electrification_input!$E$47="Demand driven"),IF(AND(AL$3&gt;=YEAR(electrification_input!$D$9),AL$3&lt;=YEAR(electrification_input!$D$10)-1),electrification_input!$E$45/electrification_input!$D$11*(1+electrification_input!$D$15)^(AL$3-$F$3)/1000,0),0)</f>
        <v>0</v>
      </c>
      <c r="AM14" s="1145">
        <f>-IF(OR(electrification_input!$E$47="One-off",electrification_input!$E$47="Demand driven"),IF(AND(AM$3&gt;=YEAR(electrification_input!$D$9),AM$3&lt;=YEAR(electrification_input!$D$10)-1),electrification_input!$E$45/electrification_input!$D$11*(1+electrification_input!$D$15)^(AM$3-$F$3)/1000,0),0)</f>
        <v>0</v>
      </c>
      <c r="AN14" s="1145">
        <f>-IF(OR(electrification_input!$E$47="One-off",electrification_input!$E$47="Demand driven"),IF(AND(AN$3&gt;=YEAR(electrification_input!$D$9),AN$3&lt;=YEAR(electrification_input!$D$10)-1),electrification_input!$E$45/electrification_input!$D$11*(1+electrification_input!$D$15)^(AN$3-$F$3)/1000,0),0)</f>
        <v>0</v>
      </c>
      <c r="AO14" s="1145">
        <f>-IF(OR(electrification_input!$E$47="One-off",electrification_input!$E$47="Demand driven"),IF(AND(AO$3&gt;=YEAR(electrification_input!$D$9),AO$3&lt;=YEAR(electrification_input!$D$10)-1),electrification_input!$E$45/electrification_input!$D$11*(1+electrification_input!$D$15)^(AO$3-$F$3)/1000,0),0)</f>
        <v>0</v>
      </c>
      <c r="AP14" s="1145">
        <f>-IF(OR(electrification_input!$E$47="One-off",electrification_input!$E$47="Demand driven"),IF(AND(AP$3&gt;=YEAR(electrification_input!$D$9),AP$3&lt;=YEAR(electrification_input!$D$10)-1),electrification_input!$E$45/electrification_input!$D$11*(1+electrification_input!$D$15)^(AP$3-$F$3)/1000,0),0)</f>
        <v>0</v>
      </c>
      <c r="AQ14" s="1145">
        <f>-IF(OR(electrification_input!$E$47="One-off",electrification_input!$E$47="Demand driven"),IF(AND(AQ$3&gt;=YEAR(electrification_input!$D$9),AQ$3&lt;=YEAR(electrification_input!$D$10)-1),electrification_input!$E$45/electrification_input!$D$11*(1+electrification_input!$D$15)^(AQ$3-$F$3)/1000,0),0)</f>
        <v>0</v>
      </c>
      <c r="AR14" s="1145">
        <f>-IF(OR(electrification_input!$E$47="One-off",electrification_input!$E$47="Demand driven"),IF(AND(AR$3&gt;=YEAR(electrification_input!$D$9),AR$3&lt;=YEAR(electrification_input!$D$10)-1),electrification_input!$E$45/electrification_input!$D$11*(1+electrification_input!$D$15)^(AR$3-$F$3)/1000,0),0)</f>
        <v>0</v>
      </c>
      <c r="AS14" s="1145">
        <f>-IF(OR(electrification_input!$E$47="One-off",electrification_input!$E$47="Demand driven"),IF(AND(AS$3&gt;=YEAR(electrification_input!$D$9),AS$3&lt;=YEAR(electrification_input!$D$10)-1),electrification_input!$E$45/electrification_input!$D$11*(1+electrification_input!$D$15)^(AS$3-$F$3)/1000,0),0)</f>
        <v>0</v>
      </c>
      <c r="AT14" s="1145">
        <f>-IF(OR(electrification_input!$E$47="One-off",electrification_input!$E$47="Demand driven"),IF(AND(AT$3&gt;=YEAR(electrification_input!$D$9),AT$3&lt;=YEAR(electrification_input!$D$10)-1),electrification_input!$E$45/electrification_input!$D$11*(1+electrification_input!$D$15)^(AT$3-$F$3)/1000,0),0)</f>
        <v>0</v>
      </c>
      <c r="AU14" s="1145">
        <f>-IF(OR(electrification_input!$E$47="One-off",electrification_input!$E$47="Demand driven"),IF(AND(AU$3&gt;=YEAR(electrification_input!$D$9),AU$3&lt;=YEAR(electrification_input!$D$10)-1),electrification_input!$E$45/electrification_input!$D$11*(1+electrification_input!$D$15)^(AU$3-$F$3)/1000,0),0)</f>
        <v>0</v>
      </c>
      <c r="AV14" s="1145">
        <f>-IF(OR(electrification_input!$E$47="One-off",electrification_input!$E$47="Demand driven"),IF(AND(AV$3&gt;=YEAR(electrification_input!$D$9),AV$3&lt;=YEAR(electrification_input!$D$10)-1),electrification_input!$E$45/electrification_input!$D$11*(1+electrification_input!$D$15)^(AV$3-$F$3)/1000,0),0)</f>
        <v>0</v>
      </c>
      <c r="AW14" s="1145">
        <f>-IF(OR(electrification_input!$E$47="One-off",electrification_input!$E$47="Demand driven"),IF(AND(AW$3&gt;=YEAR(electrification_input!$D$9),AW$3&lt;=YEAR(electrification_input!$D$10)-1),electrification_input!$E$45/electrification_input!$D$11*(1+electrification_input!$D$15)^(AW$3-$F$3)/1000,0),0)</f>
        <v>0</v>
      </c>
      <c r="AX14" s="1145">
        <f>-IF(OR(electrification_input!$E$47="One-off",electrification_input!$E$47="Demand driven"),IF(AND(AX$3&gt;=YEAR(electrification_input!$D$9),AX$3&lt;=YEAR(electrification_input!$D$10)-1),electrification_input!$E$45/electrification_input!$D$11*(1+electrification_input!$D$15)^(AX$3-$F$3)/1000,0),0)</f>
        <v>0</v>
      </c>
      <c r="AY14" s="1145">
        <f>-IF(OR(electrification_input!$E$47="One-off",electrification_input!$E$47="Demand driven"),IF(AND(AY$3&gt;=YEAR(electrification_input!$D$9),AY$3&lt;=YEAR(electrification_input!$D$10)-1),electrification_input!$E$45/electrification_input!$D$11*(1+electrification_input!$D$15)^(AY$3-$F$3)/1000,0),0)</f>
        <v>0</v>
      </c>
      <c r="AZ14" s="1145">
        <f>-IF(OR(electrification_input!$E$47="One-off",electrification_input!$E$47="Demand driven"),IF(AND(AZ$3&gt;=YEAR(electrification_input!$D$9),AZ$3&lt;=YEAR(electrification_input!$D$10)-1),electrification_input!$E$45/electrification_input!$D$11*(1+electrification_input!$D$15)^(AZ$3-$F$3)/1000,0),0)</f>
        <v>0</v>
      </c>
      <c r="BA14" s="1145">
        <f>-IF(OR(electrification_input!$E$47="One-off",electrification_input!$E$47="Demand driven"),IF(AND(BA$3&gt;=YEAR(electrification_input!$D$9),BA$3&lt;=YEAR(electrification_input!$D$10)-1),electrification_input!$E$45/electrification_input!$D$11*(1+electrification_input!$D$15)^(BA$3-$F$3)/1000,0),0)</f>
        <v>0</v>
      </c>
    </row>
    <row r="15" spans="2:55" x14ac:dyDescent="0.25">
      <c r="B15" s="571" t="s">
        <v>1010</v>
      </c>
      <c r="C15" s="579" t="s">
        <v>979</v>
      </c>
      <c r="D15" s="572">
        <f>SUM(F15:AE15)</f>
        <v>-14963.032799999999</v>
      </c>
      <c r="E15" s="573"/>
      <c r="F15" s="580">
        <f>-IF(AND(F$3&gt;=YEAR(electrification_input!$D$9),F$3&lt;=YEAR(electrification_input!$D$10)-1),electrification_input!$E$50/electrification_input!$D$11*(1+electrification_input!$D$15)^(F$3-$F$3)/1000,0)</f>
        <v>0</v>
      </c>
      <c r="G15" s="1145">
        <f>-IF(AND(G$3&gt;=YEAR(electrification_input!$D$9),G$3&lt;=YEAR(electrification_input!$D$10)-1),electrification_input!$E$50/electrification_input!$D$11*(1+electrification_input!$D$15)^(G$3-$F$3)/1000,0)</f>
        <v>0</v>
      </c>
      <c r="H15" s="1145">
        <f>-IF(AND(H$3&gt;=YEAR(electrification_input!$D$9),H$3&lt;=YEAR(electrification_input!$D$10)-1),electrification_input!$E$50/electrification_input!$D$11*(1+electrification_input!$D$15)^(H$3-$F$3)/1000,0)</f>
        <v>0</v>
      </c>
      <c r="I15" s="1145">
        <f>-IF(AND(I$3&gt;=YEAR(electrification_input!$D$9),I$3&lt;=YEAR(electrification_input!$D$10)-1),electrification_input!$E$50/electrification_input!$D$11*(1+electrification_input!$D$15)^(I$3-$F$3)/1000,0)</f>
        <v>-14963.032799999999</v>
      </c>
      <c r="J15" s="1145">
        <f>-IF(AND(J$3&gt;=YEAR(electrification_input!$D$9),J$3&lt;=YEAR(electrification_input!$D$10)-1),electrification_input!$E$50/electrification_input!$D$11*(1+electrification_input!$D$15)^(J$3-$F$3)/1000,0)</f>
        <v>0</v>
      </c>
      <c r="K15" s="1145">
        <f>-IF(AND(K$3&gt;=YEAR(electrification_input!$D$9),K$3&lt;=YEAR(electrification_input!$D$10)-1),electrification_input!$E$50/electrification_input!$D$11*(1+electrification_input!$D$15)^(K$3-$F$3)/1000,0)</f>
        <v>0</v>
      </c>
      <c r="L15" s="1145">
        <f>-IF(AND(L$3&gt;=YEAR(electrification_input!$D$9),L$3&lt;=YEAR(electrification_input!$D$10)-1),electrification_input!$E$50/electrification_input!$D$11*(1+electrification_input!$D$15)^(L$3-$F$3)/1000,0)</f>
        <v>0</v>
      </c>
      <c r="M15" s="1145">
        <f>-IF(AND(M$3&gt;=YEAR(electrification_input!$D$9),M$3&lt;=YEAR(electrification_input!$D$10)-1),electrification_input!$E$50/electrification_input!$D$11*(1+electrification_input!$D$15)^(M$3-$F$3)/1000,0)</f>
        <v>0</v>
      </c>
      <c r="N15" s="1145">
        <f>-IF(AND(N$3&gt;=YEAR(electrification_input!$D$9),N$3&lt;=YEAR(electrification_input!$D$10)-1),electrification_input!$E$50/electrification_input!$D$11*(1+electrification_input!$D$15)^(N$3-$F$3)/1000,0)</f>
        <v>0</v>
      </c>
      <c r="O15" s="1145">
        <f>-IF(AND(O$3&gt;=YEAR(electrification_input!$D$9),O$3&lt;=YEAR(electrification_input!$D$10)-1),electrification_input!$E$50/electrification_input!$D$11*(1+electrification_input!$D$15)^(O$3-$F$3)/1000,0)</f>
        <v>0</v>
      </c>
      <c r="P15" s="1145">
        <f>-IF(AND(P$3&gt;=YEAR(electrification_input!$D$9),P$3&lt;=YEAR(electrification_input!$D$10)-1),electrification_input!$E$50/electrification_input!$D$11*(1+electrification_input!$D$15)^(P$3-$F$3)/1000,0)</f>
        <v>0</v>
      </c>
      <c r="Q15" s="1145">
        <f>-IF(AND(Q$3&gt;=YEAR(electrification_input!$D$9),Q$3&lt;=YEAR(electrification_input!$D$10)-1),electrification_input!$E$50/electrification_input!$D$11*(1+electrification_input!$D$15)^(Q$3-$F$3)/1000,0)</f>
        <v>0</v>
      </c>
      <c r="R15" s="1145">
        <f>-IF(AND(R$3&gt;=YEAR(electrification_input!$D$9),R$3&lt;=YEAR(electrification_input!$D$10)-1),electrification_input!$E$50/electrification_input!$D$11*(1+electrification_input!$D$15)^(R$3-$F$3)/1000,0)</f>
        <v>0</v>
      </c>
      <c r="S15" s="1145">
        <f>-IF(AND(S$3&gt;=YEAR(electrification_input!$D$9),S$3&lt;=YEAR(electrification_input!$D$10)-1),electrification_input!$E$50/electrification_input!$D$11*(1+electrification_input!$D$15)^(S$3-$F$3)/1000,0)</f>
        <v>0</v>
      </c>
      <c r="T15" s="1145">
        <f>-IF(AND(T$3&gt;=YEAR(electrification_input!$D$9),T$3&lt;=YEAR(electrification_input!$D$10)-1),electrification_input!$E$50/electrification_input!$D$11*(1+electrification_input!$D$15)^(T$3-$F$3)/1000,0)</f>
        <v>0</v>
      </c>
      <c r="U15" s="1145">
        <f>-IF(AND(U$3&gt;=YEAR(electrification_input!$D$9),U$3&lt;=YEAR(electrification_input!$D$10)-1),electrification_input!$E$50/electrification_input!$D$11*(1+electrification_input!$D$15)^(U$3-$F$3)/1000,0)</f>
        <v>0</v>
      </c>
      <c r="V15" s="1145">
        <f>-IF(AND(V$3&gt;=YEAR(electrification_input!$D$9),V$3&lt;=YEAR(electrification_input!$D$10)-1),electrification_input!$E$50/electrification_input!$D$11*(1+electrification_input!$D$15)^(V$3-$F$3)/1000,0)</f>
        <v>0</v>
      </c>
      <c r="W15" s="1145">
        <f>-IF(AND(W$3&gt;=YEAR(electrification_input!$D$9),W$3&lt;=YEAR(electrification_input!$D$10)-1),electrification_input!$E$50/electrification_input!$D$11*(1+electrification_input!$D$15)^(W$3-$F$3)/1000,0)</f>
        <v>0</v>
      </c>
      <c r="X15" s="1145">
        <f>-IF(AND(X$3&gt;=YEAR(electrification_input!$D$9),X$3&lt;=YEAR(electrification_input!$D$10)-1),electrification_input!$E$50/electrification_input!$D$11*(1+electrification_input!$D$15)^(X$3-$F$3)/1000,0)</f>
        <v>0</v>
      </c>
      <c r="Y15" s="1145">
        <f>-IF(AND(Y$3&gt;=YEAR(electrification_input!$D$9),Y$3&lt;=YEAR(electrification_input!$D$10)-1),electrification_input!$E$50/electrification_input!$D$11*(1+electrification_input!$D$15)^(Y$3-$F$3)/1000,0)</f>
        <v>0</v>
      </c>
      <c r="Z15" s="1145">
        <f>-IF(AND(Z$3&gt;=YEAR(electrification_input!$D$9),Z$3&lt;=YEAR(electrification_input!$D$10)-1),electrification_input!$E$50/electrification_input!$D$11*(1+electrification_input!$D$15)^(Z$3-$F$3)/1000,0)</f>
        <v>0</v>
      </c>
      <c r="AA15" s="1145">
        <f>-IF(AND(AA$3&gt;=YEAR(electrification_input!$D$9),AA$3&lt;=YEAR(electrification_input!$D$10)-1),electrification_input!$E$50/electrification_input!$D$11*(1+electrification_input!$D$15)^(AA$3-$F$3)/1000,0)</f>
        <v>0</v>
      </c>
      <c r="AB15" s="1145">
        <f>-IF(AND(AB$3&gt;=YEAR(electrification_input!$D$9),AB$3&lt;=YEAR(electrification_input!$D$10)-1),electrification_input!$E$50/electrification_input!$D$11*(1+electrification_input!$D$15)^(AB$3-$F$3)/1000,0)</f>
        <v>0</v>
      </c>
      <c r="AC15" s="1145">
        <f>-IF(AND(AC$3&gt;=YEAR(electrification_input!$D$9),AC$3&lt;=YEAR(electrification_input!$D$10)-1),electrification_input!$E$50/electrification_input!$D$11*(1+electrification_input!$D$15)^(AC$3-$F$3)/1000,0)</f>
        <v>0</v>
      </c>
      <c r="AD15" s="1145">
        <f>-IF(AND(AD$3&gt;=YEAR(electrification_input!$D$9),AD$3&lt;=YEAR(electrification_input!$D$10)-1),electrification_input!$E$50/electrification_input!$D$11*(1+electrification_input!$D$15)^(AD$3-$F$3)/1000,0)</f>
        <v>0</v>
      </c>
      <c r="AE15" s="1145">
        <f>-IF(AND(AE$3&gt;=YEAR(electrification_input!$D$9),AE$3&lt;=YEAR(electrification_input!$D$10)-1),electrification_input!$E$50/electrification_input!$D$11*(1+electrification_input!$D$15)^(AE$3-$F$3)/1000,0)</f>
        <v>0</v>
      </c>
      <c r="AF15" s="1145">
        <f>-IF(AND(AF$3&gt;=YEAR(electrification_input!$D$9),AF$3&lt;=YEAR(electrification_input!$D$10)-1),electrification_input!$E$50/electrification_input!$D$11*(1+electrification_input!$D$15)^(AF$3-$F$3)/1000,0)</f>
        <v>0</v>
      </c>
      <c r="AG15" s="1145">
        <f>-IF(AND(AG$3&gt;=YEAR(electrification_input!$D$9),AG$3&lt;=YEAR(electrification_input!$D$10)-1),electrification_input!$E$50/electrification_input!$D$11*(1+electrification_input!$D$15)^(AG$3-$F$3)/1000,0)</f>
        <v>0</v>
      </c>
      <c r="AH15" s="1145">
        <f>-IF(AND(AH$3&gt;=YEAR(electrification_input!$D$9),AH$3&lt;=YEAR(electrification_input!$D$10)-1),electrification_input!$E$50/electrification_input!$D$11*(1+electrification_input!$D$15)^(AH$3-$F$3)/1000,0)</f>
        <v>0</v>
      </c>
      <c r="AI15" s="1145">
        <f>-IF(AND(AI$3&gt;=YEAR(electrification_input!$D$9),AI$3&lt;=YEAR(electrification_input!$D$10)-1),electrification_input!$E$50/electrification_input!$D$11*(1+electrification_input!$D$15)^(AI$3-$F$3)/1000,0)</f>
        <v>0</v>
      </c>
      <c r="AJ15" s="1145">
        <f>-IF(AND(AJ$3&gt;=YEAR(electrification_input!$D$9),AJ$3&lt;=YEAR(electrification_input!$D$10)-1),electrification_input!$E$50/electrification_input!$D$11*(1+electrification_input!$D$15)^(AJ$3-$F$3)/1000,0)</f>
        <v>0</v>
      </c>
      <c r="AK15" s="1145">
        <f>-IF(AND(AK$3&gt;=YEAR(electrification_input!$D$9),AK$3&lt;=YEAR(electrification_input!$D$10)-1),electrification_input!$E$50/electrification_input!$D$11*(1+electrification_input!$D$15)^(AK$3-$F$3)/1000,0)</f>
        <v>0</v>
      </c>
      <c r="AL15" s="1145">
        <f>-IF(AND(AL$3&gt;=YEAR(electrification_input!$D$9),AL$3&lt;=YEAR(electrification_input!$D$10)-1),electrification_input!$E$50/electrification_input!$D$11*(1+electrification_input!$D$15)^(AL$3-$F$3)/1000,0)</f>
        <v>0</v>
      </c>
      <c r="AM15" s="1145">
        <f>-IF(AND(AM$3&gt;=YEAR(electrification_input!$D$9),AM$3&lt;=YEAR(electrification_input!$D$10)-1),electrification_input!$E$50/electrification_input!$D$11*(1+electrification_input!$D$15)^(AM$3-$F$3)/1000,0)</f>
        <v>0</v>
      </c>
      <c r="AN15" s="1145">
        <f>-IF(AND(AN$3&gt;=YEAR(electrification_input!$D$9),AN$3&lt;=YEAR(electrification_input!$D$10)-1),electrification_input!$E$50/electrification_input!$D$11*(1+electrification_input!$D$15)^(AN$3-$F$3)/1000,0)</f>
        <v>0</v>
      </c>
      <c r="AO15" s="1145">
        <f>-IF(AND(AO$3&gt;=YEAR(electrification_input!$D$9),AO$3&lt;=YEAR(electrification_input!$D$10)-1),electrification_input!$E$50/electrification_input!$D$11*(1+electrification_input!$D$15)^(AO$3-$F$3)/1000,0)</f>
        <v>0</v>
      </c>
      <c r="AP15" s="1145">
        <f>-IF(AND(AP$3&gt;=YEAR(electrification_input!$D$9),AP$3&lt;=YEAR(electrification_input!$D$10)-1),electrification_input!$E$50/electrification_input!$D$11*(1+electrification_input!$D$15)^(AP$3-$F$3)/1000,0)</f>
        <v>0</v>
      </c>
      <c r="AQ15" s="1145">
        <f>-IF(AND(AQ$3&gt;=YEAR(electrification_input!$D$9),AQ$3&lt;=YEAR(electrification_input!$D$10)-1),electrification_input!$E$50/electrification_input!$D$11*(1+electrification_input!$D$15)^(AQ$3-$F$3)/1000,0)</f>
        <v>0</v>
      </c>
      <c r="AR15" s="1145">
        <f>-IF(AND(AR$3&gt;=YEAR(electrification_input!$D$9),AR$3&lt;=YEAR(electrification_input!$D$10)-1),electrification_input!$E$50/electrification_input!$D$11*(1+electrification_input!$D$15)^(AR$3-$F$3)/1000,0)</f>
        <v>0</v>
      </c>
      <c r="AS15" s="1145">
        <f>-IF(AND(AS$3&gt;=YEAR(electrification_input!$D$9),AS$3&lt;=YEAR(electrification_input!$D$10)-1),electrification_input!$E$50/electrification_input!$D$11*(1+electrification_input!$D$15)^(AS$3-$F$3)/1000,0)</f>
        <v>0</v>
      </c>
      <c r="AT15" s="1145">
        <f>-IF(AND(AT$3&gt;=YEAR(electrification_input!$D$9),AT$3&lt;=YEAR(electrification_input!$D$10)-1),electrification_input!$E$50/electrification_input!$D$11*(1+electrification_input!$D$15)^(AT$3-$F$3)/1000,0)</f>
        <v>0</v>
      </c>
      <c r="AU15" s="1145">
        <f>-IF(AND(AU$3&gt;=YEAR(electrification_input!$D$9),AU$3&lt;=YEAR(electrification_input!$D$10)-1),electrification_input!$E$50/electrification_input!$D$11*(1+electrification_input!$D$15)^(AU$3-$F$3)/1000,0)</f>
        <v>0</v>
      </c>
      <c r="AV15" s="1145">
        <f>-IF(AND(AV$3&gt;=YEAR(electrification_input!$D$9),AV$3&lt;=YEAR(electrification_input!$D$10)-1),electrification_input!$E$50/electrification_input!$D$11*(1+electrification_input!$D$15)^(AV$3-$F$3)/1000,0)</f>
        <v>0</v>
      </c>
      <c r="AW15" s="1145">
        <f>-IF(AND(AW$3&gt;=YEAR(electrification_input!$D$9),AW$3&lt;=YEAR(electrification_input!$D$10)-1),electrification_input!$E$50/electrification_input!$D$11*(1+electrification_input!$D$15)^(AW$3-$F$3)/1000,0)</f>
        <v>0</v>
      </c>
      <c r="AX15" s="1145">
        <f>-IF(AND(AX$3&gt;=YEAR(electrification_input!$D$9),AX$3&lt;=YEAR(electrification_input!$D$10)-1),electrification_input!$E$50/electrification_input!$D$11*(1+electrification_input!$D$15)^(AX$3-$F$3)/1000,0)</f>
        <v>0</v>
      </c>
      <c r="AY15" s="1145">
        <f>-IF(AND(AY$3&gt;=YEAR(electrification_input!$D$9),AY$3&lt;=YEAR(electrification_input!$D$10)-1),electrification_input!$E$50/electrification_input!$D$11*(1+electrification_input!$D$15)^(AY$3-$F$3)/1000,0)</f>
        <v>0</v>
      </c>
      <c r="AZ15" s="1145">
        <f>-IF(AND(AZ$3&gt;=YEAR(electrification_input!$D$9),AZ$3&lt;=YEAR(electrification_input!$D$10)-1),electrification_input!$E$50/electrification_input!$D$11*(1+electrification_input!$D$15)^(AZ$3-$F$3)/1000,0)</f>
        <v>0</v>
      </c>
      <c r="BA15" s="1145">
        <f>-IF(AND(BA$3&gt;=YEAR(electrification_input!$D$9),BA$3&lt;=YEAR(electrification_input!$D$10)-1),electrification_input!$E$50/electrification_input!$D$11*(1+electrification_input!$D$15)^(BA$3-$F$3)/1000,0)</f>
        <v>0</v>
      </c>
    </row>
    <row r="16" spans="2:55" x14ac:dyDescent="0.25">
      <c r="C16" s="579"/>
      <c r="D16" s="575"/>
      <c r="F16" s="575"/>
      <c r="G16" s="575"/>
      <c r="H16" s="575"/>
      <c r="I16" s="575"/>
      <c r="J16" s="575"/>
      <c r="K16" s="575"/>
      <c r="L16" s="575"/>
      <c r="M16" s="575"/>
      <c r="N16" s="575"/>
      <c r="O16" s="575"/>
      <c r="P16" s="575"/>
      <c r="Q16" s="575"/>
      <c r="R16" s="575"/>
      <c r="S16" s="575"/>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row>
    <row r="17" spans="2:53" x14ac:dyDescent="0.25">
      <c r="B17" s="567" t="s">
        <v>1011</v>
      </c>
      <c r="C17" s="568" t="s">
        <v>979</v>
      </c>
      <c r="D17" s="569">
        <f>SUM(F17:AE17)</f>
        <v>-3425.8945786199793</v>
      </c>
      <c r="E17" s="567"/>
      <c r="F17" s="578">
        <f t="shared" ref="F17:BA17" si="19">SUM(F18:F18)</f>
        <v>0</v>
      </c>
      <c r="G17" s="578">
        <f t="shared" si="19"/>
        <v>0</v>
      </c>
      <c r="H17" s="578">
        <f t="shared" si="19"/>
        <v>0</v>
      </c>
      <c r="I17" s="578">
        <f t="shared" si="19"/>
        <v>-3425.8945786199793</v>
      </c>
      <c r="J17" s="578">
        <f t="shared" si="19"/>
        <v>0</v>
      </c>
      <c r="K17" s="578">
        <f t="shared" si="19"/>
        <v>0</v>
      </c>
      <c r="L17" s="578">
        <f t="shared" si="19"/>
        <v>0</v>
      </c>
      <c r="M17" s="578">
        <f t="shared" si="19"/>
        <v>0</v>
      </c>
      <c r="N17" s="578">
        <f t="shared" si="19"/>
        <v>0</v>
      </c>
      <c r="O17" s="578">
        <f t="shared" si="19"/>
        <v>0</v>
      </c>
      <c r="P17" s="578">
        <f t="shared" si="19"/>
        <v>0</v>
      </c>
      <c r="Q17" s="578">
        <f t="shared" si="19"/>
        <v>0</v>
      </c>
      <c r="R17" s="578">
        <f t="shared" si="19"/>
        <v>0</v>
      </c>
      <c r="S17" s="578">
        <f t="shared" si="19"/>
        <v>0</v>
      </c>
      <c r="T17" s="578">
        <f t="shared" si="19"/>
        <v>0</v>
      </c>
      <c r="U17" s="578">
        <f t="shared" si="19"/>
        <v>0</v>
      </c>
      <c r="V17" s="578">
        <f t="shared" si="19"/>
        <v>0</v>
      </c>
      <c r="W17" s="578">
        <f t="shared" si="19"/>
        <v>0</v>
      </c>
      <c r="X17" s="578">
        <f t="shared" si="19"/>
        <v>0</v>
      </c>
      <c r="Y17" s="578">
        <f t="shared" si="19"/>
        <v>0</v>
      </c>
      <c r="Z17" s="578">
        <f t="shared" si="19"/>
        <v>0</v>
      </c>
      <c r="AA17" s="578">
        <f t="shared" si="19"/>
        <v>0</v>
      </c>
      <c r="AB17" s="578">
        <f t="shared" si="19"/>
        <v>0</v>
      </c>
      <c r="AC17" s="578">
        <f t="shared" si="19"/>
        <v>0</v>
      </c>
      <c r="AD17" s="578">
        <f t="shared" si="19"/>
        <v>0</v>
      </c>
      <c r="AE17" s="578">
        <f t="shared" si="19"/>
        <v>0</v>
      </c>
      <c r="AF17" s="578">
        <f t="shared" si="19"/>
        <v>0</v>
      </c>
      <c r="AG17" s="578">
        <f t="shared" si="19"/>
        <v>0</v>
      </c>
      <c r="AH17" s="578">
        <f t="shared" si="19"/>
        <v>0</v>
      </c>
      <c r="AI17" s="578">
        <f t="shared" si="19"/>
        <v>0</v>
      </c>
      <c r="AJ17" s="578">
        <f t="shared" si="19"/>
        <v>0</v>
      </c>
      <c r="AK17" s="578">
        <f t="shared" si="19"/>
        <v>0</v>
      </c>
      <c r="AL17" s="578">
        <f t="shared" si="19"/>
        <v>0</v>
      </c>
      <c r="AM17" s="578">
        <f t="shared" si="19"/>
        <v>0</v>
      </c>
      <c r="AN17" s="578">
        <f t="shared" si="19"/>
        <v>0</v>
      </c>
      <c r="AO17" s="578">
        <f t="shared" si="19"/>
        <v>0</v>
      </c>
      <c r="AP17" s="578">
        <f t="shared" si="19"/>
        <v>0</v>
      </c>
      <c r="AQ17" s="578">
        <f t="shared" si="19"/>
        <v>0</v>
      </c>
      <c r="AR17" s="578">
        <f t="shared" si="19"/>
        <v>0</v>
      </c>
      <c r="AS17" s="578">
        <f t="shared" si="19"/>
        <v>0</v>
      </c>
      <c r="AT17" s="578">
        <f t="shared" si="19"/>
        <v>0</v>
      </c>
      <c r="AU17" s="578">
        <f t="shared" si="19"/>
        <v>0</v>
      </c>
      <c r="AV17" s="578">
        <f t="shared" si="19"/>
        <v>0</v>
      </c>
      <c r="AW17" s="578">
        <f t="shared" si="19"/>
        <v>0</v>
      </c>
      <c r="AX17" s="578">
        <f t="shared" si="19"/>
        <v>0</v>
      </c>
      <c r="AY17" s="578">
        <f t="shared" si="19"/>
        <v>0</v>
      </c>
      <c r="AZ17" s="578">
        <f t="shared" si="19"/>
        <v>0</v>
      </c>
      <c r="BA17" s="578">
        <f t="shared" si="19"/>
        <v>0</v>
      </c>
    </row>
    <row r="18" spans="2:53" x14ac:dyDescent="0.25">
      <c r="B18" s="571" t="s">
        <v>1010</v>
      </c>
      <c r="C18" s="579" t="s">
        <v>979</v>
      </c>
      <c r="D18" s="572">
        <f t="shared" ref="D18" si="20">SUM(F18:AE18)</f>
        <v>-3425.8945786199793</v>
      </c>
      <c r="F18" s="580">
        <f>-IF(F$3=YEAR(electrification_input!$E$51),electrification_input!$E$52*(1+electrification_input!$D$15)^(F$3-$F$3)/1000,0)</f>
        <v>0</v>
      </c>
      <c r="G18" s="580">
        <f>-IF(G$3=YEAR(electrification_input!$E$51),electrification_input!$E$52*(1+electrification_input!$D$15)^(G$3-$F$3)/1000,0)</f>
        <v>0</v>
      </c>
      <c r="H18" s="580">
        <f>-IF(H$3=YEAR(electrification_input!$E$51),electrification_input!$E$52*(1+electrification_input!$D$15)^(H$3-$F$3)/1000,0)</f>
        <v>0</v>
      </c>
      <c r="I18" s="580">
        <f>-IF(I$3=YEAR(electrification_input!$E$51),electrification_input!$E$52*(1+electrification_input!$D$15)^(I$3-$F$3)/1000,0)</f>
        <v>-3425.8945786199793</v>
      </c>
      <c r="J18" s="580">
        <f>-IF(J$3=YEAR(electrification_input!$E$51),electrification_input!$E$52*(1+electrification_input!$D$15)^(J$3-$F$3)/1000,0)</f>
        <v>0</v>
      </c>
      <c r="K18" s="580">
        <f>-IF(K$3=YEAR(electrification_input!$E$51),electrification_input!$E$52*(1+electrification_input!$D$15)^(K$3-$F$3)/1000,0)</f>
        <v>0</v>
      </c>
      <c r="L18" s="580">
        <f>-IF(L$3=YEAR(electrification_input!$E$51),electrification_input!$E$52*(1+electrification_input!$D$15)^(L$3-$F$3)/1000,0)</f>
        <v>0</v>
      </c>
      <c r="M18" s="580">
        <f>-IF(M$3=YEAR(electrification_input!$E$51),electrification_input!$E$52*(1+electrification_input!$D$15)^(M$3-$F$3)/1000,0)</f>
        <v>0</v>
      </c>
      <c r="N18" s="580">
        <f>-IF(N$3=YEAR(electrification_input!$E$51),electrification_input!$E$52*(1+electrification_input!$D$15)^(N$3-$F$3)/1000,0)</f>
        <v>0</v>
      </c>
      <c r="O18" s="580">
        <f>-IF(O$3=YEAR(electrification_input!$E$51),electrification_input!$E$52*(1+electrification_input!$D$15)^(O$3-$F$3)/1000,0)</f>
        <v>0</v>
      </c>
      <c r="P18" s="580">
        <f>-IF(P$3=YEAR(electrification_input!$E$51),electrification_input!$E$52*(1+electrification_input!$D$15)^(P$3-$F$3)/1000,0)</f>
        <v>0</v>
      </c>
      <c r="Q18" s="580">
        <f>-IF(Q$3=YEAR(electrification_input!$E$51),electrification_input!$E$52*(1+electrification_input!$D$15)^(Q$3-$F$3)/1000,0)</f>
        <v>0</v>
      </c>
      <c r="R18" s="580">
        <f>-IF(R$3=YEAR(electrification_input!$E$51),electrification_input!$E$52*(1+electrification_input!$D$15)^(R$3-$F$3)/1000,0)</f>
        <v>0</v>
      </c>
      <c r="S18" s="580">
        <f>-IF(S$3=YEAR(electrification_input!$E$51),electrification_input!$E$52*(1+electrification_input!$D$15)^(S$3-$F$3)/1000,0)</f>
        <v>0</v>
      </c>
      <c r="T18" s="580">
        <f>-IF(T$3=YEAR(electrification_input!$E$51),electrification_input!$E$52*(1+electrification_input!$D$15)^(T$3-$F$3)/1000,0)</f>
        <v>0</v>
      </c>
      <c r="U18" s="580">
        <f>-IF(U$3=YEAR(electrification_input!$E$51),electrification_input!$E$52*(1+electrification_input!$D$15)^(U$3-$F$3)/1000,0)</f>
        <v>0</v>
      </c>
      <c r="V18" s="580">
        <f>-IF(V$3=YEAR(electrification_input!$E$51),electrification_input!$E$52*(1+electrification_input!$D$15)^(V$3-$F$3)/1000,0)</f>
        <v>0</v>
      </c>
      <c r="W18" s="580">
        <f>-IF(W$3=YEAR(electrification_input!$E$51),electrification_input!$E$52*(1+electrification_input!$D$15)^(W$3-$F$3)/1000,0)</f>
        <v>0</v>
      </c>
      <c r="X18" s="580">
        <f>-IF(X$3=YEAR(electrification_input!$E$51),electrification_input!$E$52*(1+electrification_input!$D$15)^(X$3-$F$3)/1000,0)</f>
        <v>0</v>
      </c>
      <c r="Y18" s="580">
        <f>-IF(Y$3=YEAR(electrification_input!$E$51),electrification_input!$E$52*(1+electrification_input!$D$15)^(Y$3-$F$3)/1000,0)</f>
        <v>0</v>
      </c>
      <c r="Z18" s="580">
        <f>-IF(Z$3=YEAR(electrification_input!$E$51),electrification_input!$E$52*(1+electrification_input!$D$15)^(Z$3-$F$3)/1000,0)</f>
        <v>0</v>
      </c>
      <c r="AA18" s="580">
        <f>-IF(AA$3=YEAR(electrification_input!$E$51),electrification_input!$E$52*(1+electrification_input!$D$15)^(AA$3-$F$3)/1000,0)</f>
        <v>0</v>
      </c>
      <c r="AB18" s="580">
        <f>-IF(AB$3=YEAR(electrification_input!$E$51),electrification_input!$E$52*(1+electrification_input!$D$15)^(AB$3-$F$3)/1000,0)</f>
        <v>0</v>
      </c>
      <c r="AC18" s="580">
        <f>-IF(AC$3=YEAR(electrification_input!$E$51),electrification_input!$E$52*(1+electrification_input!$D$15)^(AC$3-$F$3)/1000,0)</f>
        <v>0</v>
      </c>
      <c r="AD18" s="580">
        <f>-IF(AD$3=YEAR(electrification_input!$E$51),electrification_input!$E$52*(1+electrification_input!$D$15)^(AD$3-$F$3)/1000,0)</f>
        <v>0</v>
      </c>
      <c r="AE18" s="580">
        <f>-IF(AE$3=YEAR(electrification_input!$E$51),electrification_input!$E$52*(1+electrification_input!$D$15)^(AE$3-$F$3)/1000,0)</f>
        <v>0</v>
      </c>
      <c r="AF18" s="580">
        <f>-IF(AF$3=YEAR(electrification_input!$E$51),electrification_input!$E$52*(1+electrification_input!$D$15)^(AF$3-$F$3)/1000,0)</f>
        <v>0</v>
      </c>
      <c r="AG18" s="580">
        <f>-IF(AG$3=YEAR(electrification_input!$E$51),electrification_input!$E$52*(1+electrification_input!$D$15)^(AG$3-$F$3)/1000,0)</f>
        <v>0</v>
      </c>
      <c r="AH18" s="580">
        <f>-IF(AH$3=YEAR(electrification_input!$E$51),electrification_input!$E$52*(1+electrification_input!$D$15)^(AH$3-$F$3)/1000,0)</f>
        <v>0</v>
      </c>
      <c r="AI18" s="580">
        <f>-IF(AI$3=YEAR(electrification_input!$E$51),electrification_input!$E$52*(1+electrification_input!$D$15)^(AI$3-$F$3)/1000,0)</f>
        <v>0</v>
      </c>
      <c r="AJ18" s="580">
        <f>-IF(AJ$3=YEAR(electrification_input!$E$51),electrification_input!$E$52*(1+electrification_input!$D$15)^(AJ$3-$F$3)/1000,0)</f>
        <v>0</v>
      </c>
      <c r="AK18" s="580">
        <f>-IF(AK$3=YEAR(electrification_input!$E$51),electrification_input!$E$52*(1+electrification_input!$D$15)^(AK$3-$F$3)/1000,0)</f>
        <v>0</v>
      </c>
      <c r="AL18" s="580">
        <f>-IF(AL$3=YEAR(electrification_input!$E$51),electrification_input!$E$52*(1+electrification_input!$D$15)^(AL$3-$F$3)/1000,0)</f>
        <v>0</v>
      </c>
      <c r="AM18" s="580">
        <f>-IF(AM$3=YEAR(electrification_input!$E$51),electrification_input!$E$52*(1+electrification_input!$D$15)^(AM$3-$F$3)/1000,0)</f>
        <v>0</v>
      </c>
      <c r="AN18" s="580">
        <f>-IF(AN$3=YEAR(electrification_input!$E$51),electrification_input!$E$52*(1+electrification_input!$D$15)^(AN$3-$F$3)/1000,0)</f>
        <v>0</v>
      </c>
      <c r="AO18" s="580">
        <f>-IF(AO$3=YEAR(electrification_input!$E$51),electrification_input!$E$52*(1+electrification_input!$D$15)^(AO$3-$F$3)/1000,0)</f>
        <v>0</v>
      </c>
      <c r="AP18" s="580">
        <f>-IF(AP$3=YEAR(electrification_input!$E$51),electrification_input!$E$52*(1+electrification_input!$D$15)^(AP$3-$F$3)/1000,0)</f>
        <v>0</v>
      </c>
      <c r="AQ18" s="580">
        <f>-IF(AQ$3=YEAR(electrification_input!$E$51),electrification_input!$E$52*(1+electrification_input!$D$15)^(AQ$3-$F$3)/1000,0)</f>
        <v>0</v>
      </c>
      <c r="AR18" s="580">
        <f>-IF(AR$3=YEAR(electrification_input!$E$51),electrification_input!$E$52*(1+electrification_input!$D$15)^(AR$3-$F$3)/1000,0)</f>
        <v>0</v>
      </c>
      <c r="AS18" s="580">
        <f>-IF(AS$3=YEAR(electrification_input!$E$51),electrification_input!$E$52*(1+electrification_input!$D$15)^(AS$3-$F$3)/1000,0)</f>
        <v>0</v>
      </c>
      <c r="AT18" s="580">
        <f>-IF(AT$3=YEAR(electrification_input!$E$51),electrification_input!$E$52*(1+electrification_input!$D$15)^(AT$3-$F$3)/1000,0)</f>
        <v>0</v>
      </c>
      <c r="AU18" s="580">
        <f>-IF(AU$3=YEAR(electrification_input!$E$51),electrification_input!$E$52*(1+electrification_input!$D$15)^(AU$3-$F$3)/1000,0)</f>
        <v>0</v>
      </c>
      <c r="AV18" s="580">
        <f>-IF(AV$3=YEAR(electrification_input!$E$51),electrification_input!$E$52*(1+electrification_input!$D$15)^(AV$3-$F$3)/1000,0)</f>
        <v>0</v>
      </c>
      <c r="AW18" s="580">
        <f>-IF(AW$3=YEAR(electrification_input!$E$51),electrification_input!$E$52*(1+electrification_input!$D$15)^(AW$3-$F$3)/1000,0)</f>
        <v>0</v>
      </c>
      <c r="AX18" s="580">
        <f>-IF(AX$3=YEAR(electrification_input!$E$51),electrification_input!$E$52*(1+electrification_input!$D$15)^(AX$3-$F$3)/1000,0)</f>
        <v>0</v>
      </c>
      <c r="AY18" s="580">
        <f>-IF(AY$3=YEAR(electrification_input!$E$51),electrification_input!$E$52*(1+electrification_input!$D$15)^(AY$3-$F$3)/1000,0)</f>
        <v>0</v>
      </c>
      <c r="AZ18" s="580">
        <f>-IF(AZ$3=YEAR(electrification_input!$E$51),electrification_input!$E$52*(1+electrification_input!$D$15)^(AZ$3-$F$3)/1000,0)</f>
        <v>0</v>
      </c>
      <c r="BA18" s="580">
        <f>-IF(BA$3=YEAR(electrification_input!$E$51),electrification_input!$E$52*(1+electrification_input!$D$15)^(BA$3-$F$3)/1000,0)</f>
        <v>0</v>
      </c>
    </row>
    <row r="19" spans="2:53" x14ac:dyDescent="0.25">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c r="BA19" s="566"/>
    </row>
    <row r="28" spans="2:53" x14ac:dyDescent="0.25">
      <c r="G28" s="581"/>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
    <tabColor rgb="FFFFFF00"/>
  </sheetPr>
  <dimension ref="B2:BA17"/>
  <sheetViews>
    <sheetView showGridLines="0" zoomScale="80" zoomScaleNormal="80" workbookViewId="0">
      <pane xSplit="5" ySplit="3" topLeftCell="F4" activePane="bottomRight" state="frozen"/>
      <selection pane="topRight" activeCell="F1" sqref="F1"/>
      <selection pane="bottomLeft" activeCell="A4" sqref="A4"/>
      <selection pane="bottomRight" activeCell="J13" sqref="J13"/>
    </sheetView>
  </sheetViews>
  <sheetFormatPr defaultColWidth="9.140625" defaultRowHeight="15" x14ac:dyDescent="0.25"/>
  <cols>
    <col min="1" max="1" width="3.7109375" style="171" customWidth="1"/>
    <col min="2" max="2" width="45.7109375" style="171" customWidth="1"/>
    <col min="3" max="3" width="7.42578125" style="171" bestFit="1" customWidth="1"/>
    <col min="4" max="4" width="13.85546875" style="171" bestFit="1" customWidth="1"/>
    <col min="5" max="5" width="6" style="171" customWidth="1"/>
    <col min="6" max="6" width="11.28515625" style="171" bestFit="1" customWidth="1"/>
    <col min="7" max="10" width="10.28515625" style="171" bestFit="1" customWidth="1"/>
    <col min="11" max="11" width="12.7109375" style="171" bestFit="1" customWidth="1"/>
    <col min="12" max="12" width="13.85546875" style="171" bestFit="1" customWidth="1"/>
    <col min="13" max="23" width="12.7109375" style="171" bestFit="1" customWidth="1"/>
    <col min="24" max="28" width="10.28515625" style="171" bestFit="1" customWidth="1"/>
    <col min="29" max="29" width="12.85546875" style="171" bestFit="1" customWidth="1"/>
    <col min="30" max="33" width="11.5703125" style="171" bestFit="1" customWidth="1"/>
    <col min="34" max="36" width="12.85546875" style="171" bestFit="1" customWidth="1"/>
    <col min="37" max="39" width="14.85546875" style="171" bestFit="1" customWidth="1"/>
    <col min="40" max="41" width="16" style="171" bestFit="1" customWidth="1"/>
    <col min="42" max="16384" width="9.140625" style="171"/>
  </cols>
  <sheetData>
    <row r="2" spans="2:53" ht="31.5" x14ac:dyDescent="0.5">
      <c r="B2" s="1264" t="str">
        <f>"Electrification Exploitation ("&amp;Parameters!$D$6&amp;")"</f>
        <v>Electrification Exploitation (P15 Scenario 1)</v>
      </c>
      <c r="AC2" s="582"/>
    </row>
    <row r="3" spans="2:53" x14ac:dyDescent="0.25">
      <c r="B3" s="566"/>
      <c r="C3" s="566"/>
      <c r="D3" s="566"/>
      <c r="E3" s="566"/>
      <c r="F3" s="563">
        <f>'Output E'!G5</f>
        <v>2018</v>
      </c>
      <c r="G3" s="563">
        <f>F3+1</f>
        <v>2019</v>
      </c>
      <c r="H3" s="563">
        <f t="shared" ref="H3:T3" si="0">G3+1</f>
        <v>2020</v>
      </c>
      <c r="I3" s="563">
        <f t="shared" si="0"/>
        <v>2021</v>
      </c>
      <c r="J3" s="563">
        <f t="shared" si="0"/>
        <v>2022</v>
      </c>
      <c r="K3" s="563">
        <f t="shared" si="0"/>
        <v>2023</v>
      </c>
      <c r="L3" s="563">
        <f t="shared" si="0"/>
        <v>2024</v>
      </c>
      <c r="M3" s="563">
        <f t="shared" si="0"/>
        <v>2025</v>
      </c>
      <c r="N3" s="563">
        <f t="shared" si="0"/>
        <v>2026</v>
      </c>
      <c r="O3" s="563">
        <f t="shared" si="0"/>
        <v>2027</v>
      </c>
      <c r="P3" s="563">
        <f t="shared" si="0"/>
        <v>2028</v>
      </c>
      <c r="Q3" s="563">
        <f t="shared" si="0"/>
        <v>2029</v>
      </c>
      <c r="R3" s="563">
        <f t="shared" si="0"/>
        <v>2030</v>
      </c>
      <c r="S3" s="563">
        <f t="shared" si="0"/>
        <v>2031</v>
      </c>
      <c r="T3" s="563">
        <f t="shared" si="0"/>
        <v>2032</v>
      </c>
      <c r="U3" s="563">
        <f>T3+1</f>
        <v>2033</v>
      </c>
      <c r="V3" s="563">
        <f t="shared" ref="V3:AT3" si="1">U3+1</f>
        <v>2034</v>
      </c>
      <c r="W3" s="563">
        <f t="shared" si="1"/>
        <v>2035</v>
      </c>
      <c r="X3" s="563">
        <f t="shared" si="1"/>
        <v>2036</v>
      </c>
      <c r="Y3" s="563">
        <f t="shared" si="1"/>
        <v>2037</v>
      </c>
      <c r="Z3" s="563">
        <f t="shared" si="1"/>
        <v>2038</v>
      </c>
      <c r="AA3" s="563">
        <f t="shared" si="1"/>
        <v>2039</v>
      </c>
      <c r="AB3" s="563">
        <f t="shared" si="1"/>
        <v>2040</v>
      </c>
      <c r="AC3" s="563">
        <f t="shared" si="1"/>
        <v>2041</v>
      </c>
      <c r="AD3" s="563">
        <f t="shared" si="1"/>
        <v>2042</v>
      </c>
      <c r="AE3" s="563">
        <f t="shared" si="1"/>
        <v>2043</v>
      </c>
      <c r="AF3" s="563">
        <f t="shared" si="1"/>
        <v>2044</v>
      </c>
      <c r="AG3" s="563">
        <f t="shared" si="1"/>
        <v>2045</v>
      </c>
      <c r="AH3" s="563">
        <f t="shared" si="1"/>
        <v>2046</v>
      </c>
      <c r="AI3" s="563">
        <f t="shared" si="1"/>
        <v>2047</v>
      </c>
      <c r="AJ3" s="563">
        <f t="shared" si="1"/>
        <v>2048</v>
      </c>
      <c r="AK3" s="563">
        <f t="shared" si="1"/>
        <v>2049</v>
      </c>
      <c r="AL3" s="563">
        <f t="shared" si="1"/>
        <v>2050</v>
      </c>
      <c r="AM3" s="563">
        <f t="shared" si="1"/>
        <v>2051</v>
      </c>
      <c r="AN3" s="563">
        <f t="shared" si="1"/>
        <v>2052</v>
      </c>
      <c r="AO3" s="563">
        <f t="shared" si="1"/>
        <v>2053</v>
      </c>
      <c r="AP3" s="563">
        <f t="shared" si="1"/>
        <v>2054</v>
      </c>
      <c r="AQ3" s="563">
        <f t="shared" si="1"/>
        <v>2055</v>
      </c>
      <c r="AR3" s="563">
        <f t="shared" si="1"/>
        <v>2056</v>
      </c>
      <c r="AS3" s="563">
        <f t="shared" si="1"/>
        <v>2057</v>
      </c>
      <c r="AT3" s="563">
        <f t="shared" si="1"/>
        <v>2058</v>
      </c>
      <c r="AU3" s="563">
        <f t="shared" ref="AU3" si="2">AT3+1</f>
        <v>2059</v>
      </c>
      <c r="AV3" s="563">
        <f t="shared" ref="AV3" si="3">AU3+1</f>
        <v>2060</v>
      </c>
      <c r="AW3" s="563">
        <f t="shared" ref="AW3" si="4">AV3+1</f>
        <v>2061</v>
      </c>
      <c r="AX3" s="563">
        <f t="shared" ref="AX3" si="5">AW3+1</f>
        <v>2062</v>
      </c>
      <c r="AY3" s="563">
        <f t="shared" ref="AY3" si="6">AX3+1</f>
        <v>2063</v>
      </c>
      <c r="AZ3" s="563">
        <f t="shared" ref="AZ3" si="7">AY3+1</f>
        <v>2064</v>
      </c>
      <c r="BA3" s="563">
        <f t="shared" ref="BA3" si="8">AZ3+1</f>
        <v>2065</v>
      </c>
    </row>
    <row r="4" spans="2:53" ht="15.75" x14ac:dyDescent="0.25">
      <c r="B4" s="501" t="s">
        <v>720</v>
      </c>
      <c r="C4" s="501"/>
      <c r="D4" s="561">
        <f>SUM(F4:AT4)</f>
        <v>0</v>
      </c>
      <c r="E4" s="561"/>
      <c r="F4" s="561">
        <f>F5</f>
        <v>0</v>
      </c>
      <c r="G4" s="561">
        <f t="shared" ref="G4:BA4" si="9">G5</f>
        <v>0</v>
      </c>
      <c r="H4" s="561">
        <f t="shared" si="9"/>
        <v>0</v>
      </c>
      <c r="I4" s="561">
        <f t="shared" si="9"/>
        <v>0</v>
      </c>
      <c r="J4" s="561">
        <f t="shared" si="9"/>
        <v>0</v>
      </c>
      <c r="K4" s="561">
        <f t="shared" si="9"/>
        <v>0</v>
      </c>
      <c r="L4" s="561">
        <f t="shared" si="9"/>
        <v>0</v>
      </c>
      <c r="M4" s="561">
        <f t="shared" si="9"/>
        <v>0</v>
      </c>
      <c r="N4" s="561">
        <f t="shared" si="9"/>
        <v>0</v>
      </c>
      <c r="O4" s="561">
        <f t="shared" si="9"/>
        <v>0</v>
      </c>
      <c r="P4" s="561">
        <f t="shared" si="9"/>
        <v>0</v>
      </c>
      <c r="Q4" s="561">
        <f t="shared" si="9"/>
        <v>0</v>
      </c>
      <c r="R4" s="561">
        <f t="shared" si="9"/>
        <v>0</v>
      </c>
      <c r="S4" s="561">
        <f t="shared" si="9"/>
        <v>0</v>
      </c>
      <c r="T4" s="561">
        <f t="shared" si="9"/>
        <v>0</v>
      </c>
      <c r="U4" s="561">
        <f t="shared" si="9"/>
        <v>0</v>
      </c>
      <c r="V4" s="561">
        <f t="shared" si="9"/>
        <v>0</v>
      </c>
      <c r="W4" s="561">
        <f t="shared" si="9"/>
        <v>0</v>
      </c>
      <c r="X4" s="561">
        <f t="shared" si="9"/>
        <v>0</v>
      </c>
      <c r="Y4" s="561">
        <f t="shared" si="9"/>
        <v>0</v>
      </c>
      <c r="Z4" s="561">
        <f t="shared" si="9"/>
        <v>0</v>
      </c>
      <c r="AA4" s="561">
        <f t="shared" si="9"/>
        <v>0</v>
      </c>
      <c r="AB4" s="561">
        <f t="shared" si="9"/>
        <v>0</v>
      </c>
      <c r="AC4" s="561">
        <f t="shared" si="9"/>
        <v>0</v>
      </c>
      <c r="AD4" s="561">
        <f t="shared" si="9"/>
        <v>0</v>
      </c>
      <c r="AE4" s="561">
        <f t="shared" si="9"/>
        <v>0</v>
      </c>
      <c r="AF4" s="561">
        <f t="shared" si="9"/>
        <v>0</v>
      </c>
      <c r="AG4" s="561">
        <f t="shared" si="9"/>
        <v>0</v>
      </c>
      <c r="AH4" s="561">
        <f t="shared" si="9"/>
        <v>0</v>
      </c>
      <c r="AI4" s="561">
        <f t="shared" si="9"/>
        <v>0</v>
      </c>
      <c r="AJ4" s="561">
        <f t="shared" si="9"/>
        <v>0</v>
      </c>
      <c r="AK4" s="561">
        <f t="shared" si="9"/>
        <v>0</v>
      </c>
      <c r="AL4" s="561">
        <f t="shared" si="9"/>
        <v>0</v>
      </c>
      <c r="AM4" s="561">
        <f t="shared" si="9"/>
        <v>0</v>
      </c>
      <c r="AN4" s="561">
        <f t="shared" si="9"/>
        <v>0</v>
      </c>
      <c r="AO4" s="561">
        <f t="shared" si="9"/>
        <v>0</v>
      </c>
      <c r="AP4" s="561">
        <f t="shared" si="9"/>
        <v>0</v>
      </c>
      <c r="AQ4" s="561">
        <f t="shared" si="9"/>
        <v>0</v>
      </c>
      <c r="AR4" s="561">
        <f t="shared" si="9"/>
        <v>0</v>
      </c>
      <c r="AS4" s="561">
        <f t="shared" si="9"/>
        <v>0</v>
      </c>
      <c r="AT4" s="561">
        <f t="shared" si="9"/>
        <v>0</v>
      </c>
      <c r="AU4" s="561">
        <f t="shared" si="9"/>
        <v>0</v>
      </c>
      <c r="AV4" s="561">
        <f t="shared" si="9"/>
        <v>0</v>
      </c>
      <c r="AW4" s="561">
        <f t="shared" si="9"/>
        <v>0</v>
      </c>
      <c r="AX4" s="561">
        <f t="shared" si="9"/>
        <v>0</v>
      </c>
      <c r="AY4" s="561">
        <f t="shared" si="9"/>
        <v>0</v>
      </c>
      <c r="AZ4" s="561">
        <f t="shared" si="9"/>
        <v>0</v>
      </c>
      <c r="BA4" s="561">
        <f t="shared" si="9"/>
        <v>0</v>
      </c>
    </row>
    <row r="5" spans="2:53" x14ac:dyDescent="0.25">
      <c r="B5" s="567" t="s">
        <v>4</v>
      </c>
      <c r="C5" s="568" t="s">
        <v>979</v>
      </c>
      <c r="D5" s="569">
        <f>SUM(F5:AT5)</f>
        <v>0</v>
      </c>
      <c r="E5" s="583"/>
      <c r="F5" s="578">
        <f>SUM(F6)</f>
        <v>0</v>
      </c>
      <c r="G5" s="578">
        <f t="shared" ref="G5:BA5" si="10">SUM(G6)</f>
        <v>0</v>
      </c>
      <c r="H5" s="578">
        <f t="shared" si="10"/>
        <v>0</v>
      </c>
      <c r="I5" s="578">
        <f t="shared" si="10"/>
        <v>0</v>
      </c>
      <c r="J5" s="578">
        <f t="shared" si="10"/>
        <v>0</v>
      </c>
      <c r="K5" s="578">
        <f t="shared" si="10"/>
        <v>0</v>
      </c>
      <c r="L5" s="578">
        <f t="shared" si="10"/>
        <v>0</v>
      </c>
      <c r="M5" s="578">
        <f t="shared" si="10"/>
        <v>0</v>
      </c>
      <c r="N5" s="578">
        <f t="shared" si="10"/>
        <v>0</v>
      </c>
      <c r="O5" s="578">
        <f t="shared" si="10"/>
        <v>0</v>
      </c>
      <c r="P5" s="578">
        <f t="shared" si="10"/>
        <v>0</v>
      </c>
      <c r="Q5" s="578">
        <f t="shared" si="10"/>
        <v>0</v>
      </c>
      <c r="R5" s="578">
        <f t="shared" si="10"/>
        <v>0</v>
      </c>
      <c r="S5" s="578">
        <f t="shared" si="10"/>
        <v>0</v>
      </c>
      <c r="T5" s="578">
        <f t="shared" si="10"/>
        <v>0</v>
      </c>
      <c r="U5" s="578">
        <f t="shared" si="10"/>
        <v>0</v>
      </c>
      <c r="V5" s="578">
        <f t="shared" si="10"/>
        <v>0</v>
      </c>
      <c r="W5" s="578">
        <f t="shared" si="10"/>
        <v>0</v>
      </c>
      <c r="X5" s="578">
        <f t="shared" si="10"/>
        <v>0</v>
      </c>
      <c r="Y5" s="578">
        <f t="shared" si="10"/>
        <v>0</v>
      </c>
      <c r="Z5" s="578">
        <f t="shared" si="10"/>
        <v>0</v>
      </c>
      <c r="AA5" s="578">
        <f t="shared" si="10"/>
        <v>0</v>
      </c>
      <c r="AB5" s="578">
        <f t="shared" si="10"/>
        <v>0</v>
      </c>
      <c r="AC5" s="578">
        <f t="shared" si="10"/>
        <v>0</v>
      </c>
      <c r="AD5" s="578">
        <f t="shared" si="10"/>
        <v>0</v>
      </c>
      <c r="AE5" s="578">
        <f t="shared" si="10"/>
        <v>0</v>
      </c>
      <c r="AF5" s="578">
        <f t="shared" si="10"/>
        <v>0</v>
      </c>
      <c r="AG5" s="578">
        <f t="shared" si="10"/>
        <v>0</v>
      </c>
      <c r="AH5" s="578">
        <f t="shared" si="10"/>
        <v>0</v>
      </c>
      <c r="AI5" s="578">
        <f t="shared" si="10"/>
        <v>0</v>
      </c>
      <c r="AJ5" s="578">
        <f t="shared" si="10"/>
        <v>0</v>
      </c>
      <c r="AK5" s="578">
        <f t="shared" si="10"/>
        <v>0</v>
      </c>
      <c r="AL5" s="578">
        <f t="shared" si="10"/>
        <v>0</v>
      </c>
      <c r="AM5" s="578">
        <f t="shared" si="10"/>
        <v>0</v>
      </c>
      <c r="AN5" s="578">
        <f t="shared" si="10"/>
        <v>0</v>
      </c>
      <c r="AO5" s="578">
        <f t="shared" si="10"/>
        <v>0</v>
      </c>
      <c r="AP5" s="578">
        <f t="shared" si="10"/>
        <v>0</v>
      </c>
      <c r="AQ5" s="578">
        <f t="shared" si="10"/>
        <v>0</v>
      </c>
      <c r="AR5" s="578">
        <f t="shared" si="10"/>
        <v>0</v>
      </c>
      <c r="AS5" s="578">
        <f t="shared" si="10"/>
        <v>0</v>
      </c>
      <c r="AT5" s="578">
        <f t="shared" si="10"/>
        <v>0</v>
      </c>
      <c r="AU5" s="578">
        <f t="shared" si="10"/>
        <v>0</v>
      </c>
      <c r="AV5" s="578">
        <f t="shared" si="10"/>
        <v>0</v>
      </c>
      <c r="AW5" s="578">
        <f t="shared" si="10"/>
        <v>0</v>
      </c>
      <c r="AX5" s="578">
        <f t="shared" si="10"/>
        <v>0</v>
      </c>
      <c r="AY5" s="578">
        <f t="shared" si="10"/>
        <v>0</v>
      </c>
      <c r="AZ5" s="578">
        <f t="shared" si="10"/>
        <v>0</v>
      </c>
      <c r="BA5" s="578">
        <f t="shared" si="10"/>
        <v>0</v>
      </c>
    </row>
    <row r="6" spans="2:53" x14ac:dyDescent="0.25">
      <c r="B6" s="571"/>
      <c r="C6" s="579" t="s">
        <v>979</v>
      </c>
      <c r="D6" s="572">
        <f>SUM(F6:AT6)</f>
        <v>0</v>
      </c>
      <c r="E6" s="575"/>
    </row>
    <row r="7" spans="2:53" x14ac:dyDescent="0.25">
      <c r="B7" s="566"/>
      <c r="C7" s="566"/>
      <c r="D7" s="584"/>
      <c r="E7" s="566"/>
      <c r="F7" s="585"/>
      <c r="G7" s="585"/>
      <c r="H7" s="585"/>
      <c r="I7" s="585"/>
      <c r="J7" s="585"/>
      <c r="K7" s="585"/>
      <c r="L7" s="585"/>
      <c r="M7" s="585"/>
      <c r="N7" s="585"/>
      <c r="O7" s="585"/>
      <c r="P7" s="585"/>
      <c r="Q7" s="585"/>
      <c r="R7" s="585"/>
      <c r="S7" s="585"/>
      <c r="T7" s="585"/>
      <c r="U7" s="585"/>
      <c r="V7" s="585"/>
      <c r="W7" s="585"/>
      <c r="X7" s="585"/>
      <c r="Y7" s="585"/>
      <c r="Z7" s="585"/>
      <c r="AA7" s="585"/>
      <c r="AB7" s="585"/>
      <c r="AC7" s="585"/>
      <c r="AD7" s="585"/>
      <c r="AE7" s="585"/>
      <c r="AF7" s="585"/>
      <c r="AG7" s="585"/>
      <c r="AH7" s="585"/>
      <c r="AI7" s="585"/>
      <c r="AJ7" s="585"/>
      <c r="AK7" s="585"/>
      <c r="AL7" s="585"/>
      <c r="AM7" s="585"/>
      <c r="AN7" s="585"/>
      <c r="AO7" s="585"/>
      <c r="AP7" s="585"/>
      <c r="AQ7" s="585"/>
      <c r="AR7" s="585"/>
      <c r="AS7" s="585"/>
      <c r="AT7" s="585"/>
      <c r="AU7" s="585"/>
      <c r="AV7" s="585"/>
      <c r="AW7" s="585"/>
      <c r="AX7" s="585"/>
      <c r="AY7" s="585"/>
      <c r="AZ7" s="585"/>
      <c r="BA7" s="585"/>
    </row>
    <row r="9" spans="2:53" ht="15.75" x14ac:dyDescent="0.25">
      <c r="B9" s="501" t="s">
        <v>1007</v>
      </c>
      <c r="C9" s="501"/>
      <c r="D9" s="561">
        <f t="shared" ref="D9:D14" si="11">SUM(F9:AT9)</f>
        <v>-87615.313691758638</v>
      </c>
      <c r="E9" s="561"/>
      <c r="F9" s="561">
        <f>F10</f>
        <v>0</v>
      </c>
      <c r="G9" s="561">
        <f t="shared" ref="G9:BA9" si="12">G10</f>
        <v>0</v>
      </c>
      <c r="H9" s="561">
        <f t="shared" si="12"/>
        <v>0</v>
      </c>
      <c r="I9" s="561">
        <f t="shared" si="12"/>
        <v>0</v>
      </c>
      <c r="J9" s="561">
        <f t="shared" si="12"/>
        <v>-9432.7623533015321</v>
      </c>
      <c r="K9" s="561">
        <f t="shared" si="12"/>
        <v>-10111.232376921118</v>
      </c>
      <c r="L9" s="561">
        <f t="shared" si="12"/>
        <v>-10386.564255494277</v>
      </c>
      <c r="M9" s="561">
        <f t="shared" si="12"/>
        <v>-10746.766784760066</v>
      </c>
      <c r="N9" s="561">
        <f t="shared" si="12"/>
        <v>-11110.458208952203</v>
      </c>
      <c r="O9" s="561">
        <f t="shared" si="12"/>
        <v>-11496.246249075064</v>
      </c>
      <c r="P9" s="561">
        <f t="shared" si="12"/>
        <v>-11942.443214237437</v>
      </c>
      <c r="Q9" s="561">
        <f t="shared" si="12"/>
        <v>-12388.840249016941</v>
      </c>
      <c r="R9" s="561">
        <f t="shared" si="12"/>
        <v>0</v>
      </c>
      <c r="S9" s="561">
        <f t="shared" si="12"/>
        <v>0</v>
      </c>
      <c r="T9" s="561">
        <f t="shared" si="12"/>
        <v>0</v>
      </c>
      <c r="U9" s="561">
        <f t="shared" si="12"/>
        <v>0</v>
      </c>
      <c r="V9" s="561">
        <f t="shared" si="12"/>
        <v>0</v>
      </c>
      <c r="W9" s="561">
        <f t="shared" si="12"/>
        <v>0</v>
      </c>
      <c r="X9" s="502">
        <f t="shared" si="12"/>
        <v>0</v>
      </c>
      <c r="Y9" s="502">
        <f t="shared" si="12"/>
        <v>0</v>
      </c>
      <c r="Z9" s="502">
        <f t="shared" si="12"/>
        <v>0</v>
      </c>
      <c r="AA9" s="502">
        <f t="shared" si="12"/>
        <v>0</v>
      </c>
      <c r="AB9" s="502">
        <f t="shared" si="12"/>
        <v>0</v>
      </c>
      <c r="AC9" s="502">
        <f t="shared" si="12"/>
        <v>0</v>
      </c>
      <c r="AD9" s="502">
        <f t="shared" si="12"/>
        <v>0</v>
      </c>
      <c r="AE9" s="502">
        <f t="shared" si="12"/>
        <v>0</v>
      </c>
      <c r="AF9" s="502">
        <f t="shared" si="12"/>
        <v>0</v>
      </c>
      <c r="AG9" s="502">
        <f t="shared" si="12"/>
        <v>0</v>
      </c>
      <c r="AH9" s="502">
        <f t="shared" si="12"/>
        <v>0</v>
      </c>
      <c r="AI9" s="502">
        <f t="shared" si="12"/>
        <v>0</v>
      </c>
      <c r="AJ9" s="502">
        <f t="shared" si="12"/>
        <v>0</v>
      </c>
      <c r="AK9" s="502">
        <f t="shared" si="12"/>
        <v>0</v>
      </c>
      <c r="AL9" s="502">
        <f t="shared" si="12"/>
        <v>0</v>
      </c>
      <c r="AM9" s="502">
        <f t="shared" si="12"/>
        <v>0</v>
      </c>
      <c r="AN9" s="502">
        <f t="shared" si="12"/>
        <v>0</v>
      </c>
      <c r="AO9" s="502">
        <f t="shared" si="12"/>
        <v>0</v>
      </c>
      <c r="AP9" s="502">
        <f t="shared" si="12"/>
        <v>0</v>
      </c>
      <c r="AQ9" s="502">
        <f t="shared" si="12"/>
        <v>0</v>
      </c>
      <c r="AR9" s="502">
        <f t="shared" si="12"/>
        <v>0</v>
      </c>
      <c r="AS9" s="502">
        <f t="shared" si="12"/>
        <v>0</v>
      </c>
      <c r="AT9" s="502">
        <f t="shared" si="12"/>
        <v>0</v>
      </c>
      <c r="AU9" s="502">
        <f t="shared" si="12"/>
        <v>0</v>
      </c>
      <c r="AV9" s="502">
        <f t="shared" si="12"/>
        <v>0</v>
      </c>
      <c r="AW9" s="502">
        <f t="shared" si="12"/>
        <v>0</v>
      </c>
      <c r="AX9" s="502">
        <f t="shared" si="12"/>
        <v>0</v>
      </c>
      <c r="AY9" s="502">
        <f t="shared" si="12"/>
        <v>0</v>
      </c>
      <c r="AZ9" s="502">
        <f t="shared" si="12"/>
        <v>0</v>
      </c>
      <c r="BA9" s="502">
        <f t="shared" si="12"/>
        <v>0</v>
      </c>
    </row>
    <row r="10" spans="2:53" x14ac:dyDescent="0.25">
      <c r="B10" s="567" t="s">
        <v>4</v>
      </c>
      <c r="C10" s="568" t="s">
        <v>979</v>
      </c>
      <c r="D10" s="569">
        <f t="shared" si="11"/>
        <v>-87615.313691758638</v>
      </c>
      <c r="E10" s="583"/>
      <c r="F10" s="578">
        <f t="shared" ref="F10:BA10" si="13">SUM(F11:F14)</f>
        <v>0</v>
      </c>
      <c r="G10" s="578">
        <f t="shared" si="13"/>
        <v>0</v>
      </c>
      <c r="H10" s="578">
        <f t="shared" si="13"/>
        <v>0</v>
      </c>
      <c r="I10" s="578">
        <f t="shared" si="13"/>
        <v>0</v>
      </c>
      <c r="J10" s="578">
        <f t="shared" si="13"/>
        <v>-9432.7623533015321</v>
      </c>
      <c r="K10" s="578">
        <f t="shared" si="13"/>
        <v>-10111.232376921118</v>
      </c>
      <c r="L10" s="578">
        <f t="shared" si="13"/>
        <v>-10386.564255494277</v>
      </c>
      <c r="M10" s="578">
        <f t="shared" si="13"/>
        <v>-10746.766784760066</v>
      </c>
      <c r="N10" s="578">
        <f t="shared" si="13"/>
        <v>-11110.458208952203</v>
      </c>
      <c r="O10" s="578">
        <f t="shared" si="13"/>
        <v>-11496.246249075064</v>
      </c>
      <c r="P10" s="578">
        <f t="shared" si="13"/>
        <v>-11942.443214237437</v>
      </c>
      <c r="Q10" s="578">
        <f t="shared" si="13"/>
        <v>-12388.840249016941</v>
      </c>
      <c r="R10" s="578">
        <f t="shared" si="13"/>
        <v>0</v>
      </c>
      <c r="S10" s="578">
        <f t="shared" si="13"/>
        <v>0</v>
      </c>
      <c r="T10" s="578">
        <f t="shared" si="13"/>
        <v>0</v>
      </c>
      <c r="U10" s="578">
        <f t="shared" si="13"/>
        <v>0</v>
      </c>
      <c r="V10" s="578">
        <f t="shared" si="13"/>
        <v>0</v>
      </c>
      <c r="W10" s="578">
        <f t="shared" si="13"/>
        <v>0</v>
      </c>
      <c r="X10" s="578">
        <f t="shared" si="13"/>
        <v>0</v>
      </c>
      <c r="Y10" s="578">
        <f t="shared" si="13"/>
        <v>0</v>
      </c>
      <c r="Z10" s="578">
        <f t="shared" si="13"/>
        <v>0</v>
      </c>
      <c r="AA10" s="578">
        <f t="shared" si="13"/>
        <v>0</v>
      </c>
      <c r="AB10" s="578">
        <f t="shared" si="13"/>
        <v>0</v>
      </c>
      <c r="AC10" s="578">
        <f t="shared" si="13"/>
        <v>0</v>
      </c>
      <c r="AD10" s="578">
        <f t="shared" si="13"/>
        <v>0</v>
      </c>
      <c r="AE10" s="578">
        <f t="shared" si="13"/>
        <v>0</v>
      </c>
      <c r="AF10" s="578">
        <f t="shared" si="13"/>
        <v>0</v>
      </c>
      <c r="AG10" s="578">
        <f t="shared" si="13"/>
        <v>0</v>
      </c>
      <c r="AH10" s="578">
        <f t="shared" si="13"/>
        <v>0</v>
      </c>
      <c r="AI10" s="578">
        <f t="shared" si="13"/>
        <v>0</v>
      </c>
      <c r="AJ10" s="578">
        <f t="shared" si="13"/>
        <v>0</v>
      </c>
      <c r="AK10" s="578">
        <f t="shared" si="13"/>
        <v>0</v>
      </c>
      <c r="AL10" s="578">
        <f t="shared" si="13"/>
        <v>0</v>
      </c>
      <c r="AM10" s="578">
        <f t="shared" si="13"/>
        <v>0</v>
      </c>
      <c r="AN10" s="578">
        <f t="shared" si="13"/>
        <v>0</v>
      </c>
      <c r="AO10" s="578">
        <f t="shared" si="13"/>
        <v>0</v>
      </c>
      <c r="AP10" s="578">
        <f t="shared" si="13"/>
        <v>0</v>
      </c>
      <c r="AQ10" s="578">
        <f t="shared" si="13"/>
        <v>0</v>
      </c>
      <c r="AR10" s="578">
        <f t="shared" si="13"/>
        <v>0</v>
      </c>
      <c r="AS10" s="578">
        <f t="shared" si="13"/>
        <v>0</v>
      </c>
      <c r="AT10" s="578">
        <f t="shared" si="13"/>
        <v>0</v>
      </c>
      <c r="AU10" s="578">
        <f t="shared" si="13"/>
        <v>0</v>
      </c>
      <c r="AV10" s="578">
        <f t="shared" si="13"/>
        <v>0</v>
      </c>
      <c r="AW10" s="578">
        <f t="shared" si="13"/>
        <v>0</v>
      </c>
      <c r="AX10" s="578">
        <f t="shared" si="13"/>
        <v>0</v>
      </c>
      <c r="AY10" s="578">
        <f t="shared" si="13"/>
        <v>0</v>
      </c>
      <c r="AZ10" s="578">
        <f t="shared" si="13"/>
        <v>0</v>
      </c>
      <c r="BA10" s="578">
        <f t="shared" si="13"/>
        <v>0</v>
      </c>
    </row>
    <row r="11" spans="2:53" x14ac:dyDescent="0.25">
      <c r="B11" s="571" t="s">
        <v>991</v>
      </c>
      <c r="C11" s="579" t="s">
        <v>979</v>
      </c>
      <c r="D11" s="572">
        <f t="shared" si="11"/>
        <v>-66165.568083105667</v>
      </c>
      <c r="E11" s="575"/>
      <c r="F11" s="580">
        <f>-IF(AND(F$3&gt;=YEAR(electrification_input!$E$55),F$3&lt;=YEAR(electrification_input!$D$7)),OPEX_elec!C37*(1+electrification_input!$D$15)^(Exploitation_elec!F$3-Exploitation_elec!$F$3)/1000,0)</f>
        <v>0</v>
      </c>
      <c r="G11" s="580">
        <f>-IF(AND(G$3&gt;=YEAR(electrification_input!$E$55),G$3&lt;=YEAR(electrification_input!$D$7)),OPEX_elec!D37*(1+electrification_input!$D$15)^(Exploitation_elec!G$3-Exploitation_elec!$F$3)/1000,0)</f>
        <v>0</v>
      </c>
      <c r="H11" s="580">
        <f>-IF(AND(H$3&gt;=YEAR(electrification_input!$E$55),H$3&lt;=YEAR(electrification_input!$D$7)),OPEX_elec!E37*(1+electrification_input!$D$15)^(Exploitation_elec!H$3-Exploitation_elec!$F$3)/1000,0)</f>
        <v>0</v>
      </c>
      <c r="I11" s="580">
        <f>-IF(AND(I$3&gt;=YEAR(electrification_input!$E$55),I$3&lt;=YEAR(electrification_input!$D$7)),OPEX_elec!F37*(1+electrification_input!$D$15)^(Exploitation_elec!I$3-Exploitation_elec!$F$3)/1000,0)</f>
        <v>0</v>
      </c>
      <c r="J11" s="580">
        <f>-IF(AND(J$3&gt;=YEAR(electrification_input!$E$55),J$3&lt;=YEAR(electrification_input!$D$7)),OPEX_elec!G37*(1+electrification_input!$D$15)^(Exploitation_elec!J$3-Exploitation_elec!$F$3)/1000,0)</f>
        <v>-7417.1740127418498</v>
      </c>
      <c r="K11" s="580">
        <f>-IF(AND(K$3&gt;=YEAR(electrification_input!$E$55),K$3&lt;=YEAR(electrification_input!$D$7)),OPEX_elec!H37*(1+electrification_input!$D$15)^(Exploitation_elec!K$3-Exploitation_elec!$F$3)/1000,0)</f>
        <v>-7895.7583359449554</v>
      </c>
      <c r="L11" s="580">
        <f>-IF(AND(L$3&gt;=YEAR(electrification_input!$E$55),L$3&lt;=YEAR(electrification_input!$D$7)),OPEX_elec!I37*(1+electrification_input!$D$15)^(Exploitation_elec!L$3-Exploitation_elec!$F$3)/1000,0)</f>
        <v>-8055.8608121431243</v>
      </c>
      <c r="M11" s="580">
        <f>-IF(AND(M$3&gt;=YEAR(electrification_input!$E$55),M$3&lt;=YEAR(electrification_input!$D$7)),OPEX_elec!J37*(1+electrification_input!$D$15)^(Exploitation_elec!M$3-Exploitation_elec!$F$3)/1000,0)</f>
        <v>-8219.2090840548371</v>
      </c>
      <c r="N11" s="580">
        <f>-IF(AND(N$3&gt;=YEAR(electrification_input!$E$55),N$3&lt;=YEAR(electrification_input!$D$7)),OPEX_elec!K37*(1+electrification_input!$D$15)^(Exploitation_elec!N$3-Exploitation_elec!$F$3)/1000,0)</f>
        <v>-8385.8689425181656</v>
      </c>
      <c r="O11" s="580">
        <f>-IF(AND(O$3&gt;=YEAR(electrification_input!$E$55),O$3&lt;=YEAR(electrification_input!$D$7)),OPEX_elec!L37*(1+electrification_input!$D$15)^(Exploitation_elec!O$3-Exploitation_elec!$F$3)/1000,0)</f>
        <v>-8555.9075116864042</v>
      </c>
      <c r="P11" s="580">
        <f>-IF(AND(P$3&gt;=YEAR(electrification_input!$E$55),P$3&lt;=YEAR(electrification_input!$D$7)),OPEX_elec!M37*(1+electrification_input!$D$15)^(Exploitation_elec!P$3-Exploitation_elec!$F$3)/1000,0)</f>
        <v>-8729.3932760443604</v>
      </c>
      <c r="Q11" s="580">
        <f>-IF(AND(Q$3&gt;=YEAR(electrification_input!$E$55),Q$3&lt;=YEAR(electrification_input!$D$7)),OPEX_elec!N37*(1+electrification_input!$D$15)^(Exploitation_elec!Q$3-Exploitation_elec!$F$3)/1000,0)</f>
        <v>-8906.3961079719684</v>
      </c>
      <c r="R11" s="580">
        <f>-IF(AND(R$3&gt;=YEAR(electrification_input!$E$55),R$3&lt;=YEAR(electrification_input!$D$7)),OPEX_elec!O37*(1+electrification_input!$D$15)^(Exploitation_elec!R$3-Exploitation_elec!$F$3)/1000,0)</f>
        <v>0</v>
      </c>
      <c r="S11" s="580">
        <f>-IF(AND(S$3&gt;=YEAR(electrification_input!$E$55),S$3&lt;=YEAR(electrification_input!$D$7)),OPEX_elec!P37*(1+electrification_input!$D$15)^(Exploitation_elec!S$3-Exploitation_elec!$F$3)/1000,0)</f>
        <v>0</v>
      </c>
      <c r="T11" s="580">
        <f>-IF(AND(T$3&gt;=YEAR(electrification_input!$E$55),T$3&lt;=YEAR(electrification_input!$D$7)),OPEX_elec!Q37*(1+electrification_input!$D$15)^(Exploitation_elec!T$3-Exploitation_elec!$F$3)/1000,0)</f>
        <v>0</v>
      </c>
      <c r="U11" s="580">
        <f>-IF(AND(U$3&gt;=YEAR(electrification_input!$E$55),U$3&lt;=YEAR(electrification_input!$D$7)),OPEX_elec!R37*(1+electrification_input!$D$15)^(Exploitation_elec!U$3-Exploitation_elec!$F$3)/1000,0)</f>
        <v>0</v>
      </c>
      <c r="V11" s="580">
        <f>-IF(AND(V$3&gt;=YEAR(electrification_input!$E$55),V$3&lt;=YEAR(electrification_input!$D$7)),OPEX_elec!S37*(1+electrification_input!$D$15)^(Exploitation_elec!V$3-Exploitation_elec!$F$3)/1000,0)</f>
        <v>0</v>
      </c>
      <c r="W11" s="580">
        <f>-IF(AND(W$3&gt;=YEAR(electrification_input!$E$55),W$3&lt;=YEAR(electrification_input!$D$7)),OPEX_elec!T37*(1+electrification_input!$D$15)^(Exploitation_elec!W$3-Exploitation_elec!$F$3)/1000,0)</f>
        <v>0</v>
      </c>
      <c r="X11" s="580">
        <f>-IF(AND(X$3&gt;=YEAR(electrification_input!$E$55),X$3&lt;=YEAR(electrification_input!$D$7)),OPEX_elec!U37*(1+electrification_input!$D$15)^(Exploitation_elec!X$3-Exploitation_elec!$F$3)/1000,0)</f>
        <v>0</v>
      </c>
      <c r="Y11" s="580">
        <f>-IF(AND(Y$3&gt;=YEAR(electrification_input!$E$55),Y$3&lt;=YEAR(electrification_input!$D$7)),OPEX_elec!V37*(1+electrification_input!$D$15)^(Exploitation_elec!Y$3-Exploitation_elec!$F$3)/1000,0)</f>
        <v>0</v>
      </c>
      <c r="Z11" s="580">
        <f>-IF(AND(Z$3&gt;=YEAR(electrification_input!$E$55),Z$3&lt;=YEAR(electrification_input!$D$7)),OPEX_elec!W37*(1+electrification_input!$D$15)^(Exploitation_elec!Z$3-Exploitation_elec!$F$3)/1000,0)</f>
        <v>0</v>
      </c>
      <c r="AA11" s="580">
        <f>-IF(AND(AA$3&gt;=YEAR(electrification_input!$E$55),AA$3&lt;=YEAR(electrification_input!$D$7)),OPEX_elec!X37*(1+electrification_input!$D$15)^(Exploitation_elec!AA$3-Exploitation_elec!$F$3)/1000,0)</f>
        <v>0</v>
      </c>
      <c r="AB11" s="580">
        <f>-IF(AND(AB$3&gt;=YEAR(electrification_input!$E$55),AB$3&lt;=YEAR(electrification_input!$D$7)),OPEX_elec!Y37*(1+electrification_input!$D$15)^(Exploitation_elec!AB$3-Exploitation_elec!$F$3)/1000,0)</f>
        <v>0</v>
      </c>
      <c r="AC11" s="580">
        <f>-IF(AND(AC$3&gt;=YEAR(electrification_input!$E$55),AC$3&lt;=YEAR(electrification_input!$D$7)),OPEX_elec!Z37*(1+electrification_input!$D$15)^(Exploitation_elec!AC$3-Exploitation_elec!$F$3)/1000,0)</f>
        <v>0</v>
      </c>
      <c r="AD11" s="580">
        <f>-IF(AND(AD$3&gt;=YEAR(electrification_input!$E$55),AD$3&lt;=YEAR(electrification_input!$D$7)),OPEX_elec!AA37*(1+electrification_input!$D$15)^(Exploitation_elec!AD$3-Exploitation_elec!$F$3)/1000,0)</f>
        <v>0</v>
      </c>
      <c r="AE11" s="580">
        <f>-IF(AND(AE$3&gt;=YEAR(electrification_input!$E$55),AE$3&lt;=YEAR(electrification_input!$D$7)),OPEX_elec!AB37*(1+electrification_input!$D$15)^(Exploitation_elec!AE$3-Exploitation_elec!$F$3)/1000,0)</f>
        <v>0</v>
      </c>
      <c r="AF11" s="580">
        <f>-IF(AND(AF$3&gt;=YEAR(electrification_input!$E$55),AF$3&lt;=YEAR(electrification_input!$D$7)),OPEX_elec!AC37*(1+electrification_input!$D$15)^(Exploitation_elec!AF$3-Exploitation_elec!$F$3)/1000,0)</f>
        <v>0</v>
      </c>
      <c r="AG11" s="580">
        <f>-IF(AND(AG$3&gt;=YEAR(electrification_input!$E$55),AG$3&lt;=YEAR(electrification_input!$D$7)),OPEX_elec!AD37*(1+electrification_input!$D$15)^(Exploitation_elec!AG$3-Exploitation_elec!$F$3)/1000,0)</f>
        <v>0</v>
      </c>
      <c r="AH11" s="580">
        <f>-IF(AND(AH$3&gt;=YEAR(electrification_input!$E$55),AH$3&lt;=YEAR(electrification_input!$D$7)),OPEX_elec!AE37*(1+electrification_input!$D$15)^(Exploitation_elec!AH$3-Exploitation_elec!$F$3)/1000,0)</f>
        <v>0</v>
      </c>
      <c r="AI11" s="580">
        <f>-IF(AND(AI$3&gt;=YEAR(electrification_input!$E$55),AI$3&lt;=YEAR(electrification_input!$D$7)),OPEX_elec!AF37*(1+electrification_input!$D$15)^(Exploitation_elec!AI$3-Exploitation_elec!$F$3)/1000,0)</f>
        <v>0</v>
      </c>
      <c r="AJ11" s="580">
        <f>-IF(AND(AJ$3&gt;=YEAR(electrification_input!$E$55),AJ$3&lt;=YEAR(electrification_input!$D$7)),OPEX_elec!AG37*(1+electrification_input!$D$15)^(Exploitation_elec!AJ$3-Exploitation_elec!$F$3)/1000,0)</f>
        <v>0</v>
      </c>
      <c r="AK11" s="580">
        <f>-IF(AND(AK$3&gt;=YEAR(electrification_input!$E$55),AK$3&lt;=YEAR(electrification_input!$D$7)),OPEX_elec!AH37*(1+electrification_input!$D$15)^(Exploitation_elec!AK$3-Exploitation_elec!$F$3)/1000,0)</f>
        <v>0</v>
      </c>
      <c r="AL11" s="580">
        <f>-IF(AND(AL$3&gt;=YEAR(electrification_input!$E$55),AL$3&lt;=YEAR(electrification_input!$D$7)),OPEX_elec!AI37*(1+electrification_input!$D$15)^(Exploitation_elec!AL$3-Exploitation_elec!$F$3)/1000,0)</f>
        <v>0</v>
      </c>
      <c r="AM11" s="580">
        <f>-IF(AND(AM$3&gt;=YEAR(electrification_input!$E$55),AM$3&lt;=YEAR(electrification_input!$D$7)),OPEX_elec!AJ37*(1+electrification_input!$D$15)^(Exploitation_elec!AM$3-Exploitation_elec!$F$3)/1000,0)</f>
        <v>0</v>
      </c>
      <c r="AN11" s="580">
        <f>-IF(AND(AN$3&gt;=YEAR(electrification_input!$E$55),AN$3&lt;=YEAR(electrification_input!$D$7)),OPEX_elec!AK37*(1+electrification_input!$D$15)^(Exploitation_elec!AN$3-Exploitation_elec!$F$3)/1000,0)</f>
        <v>0</v>
      </c>
      <c r="AO11" s="580">
        <f>-IF(AND(AO$3&gt;=YEAR(electrification_input!$E$55),AO$3&lt;=YEAR(electrification_input!$D$7)),OPEX_elec!AL37*(1+electrification_input!$D$15)^(Exploitation_elec!AO$3-Exploitation_elec!$F$3)/1000,0)</f>
        <v>0</v>
      </c>
      <c r="AP11" s="580">
        <f>-IF(AND(AP$3&gt;=YEAR(electrification_input!$E$55),AP$3&lt;=YEAR(electrification_input!$D$7)),OPEX_elec!AM37*(1+electrification_input!$D$15)^(Exploitation_elec!AP$3-Exploitation_elec!$F$3)/1000,0)</f>
        <v>0</v>
      </c>
      <c r="AQ11" s="580">
        <f>-IF(AND(AQ$3&gt;=YEAR(electrification_input!$E$55),AQ$3&lt;=YEAR(electrification_input!$D$7)),OPEX_elec!AN37*(1+electrification_input!$D$15)^(Exploitation_elec!AQ$3-Exploitation_elec!$F$3)/1000,0)</f>
        <v>0</v>
      </c>
      <c r="AR11" s="580">
        <f>-IF(AND(AR$3&gt;=YEAR(electrification_input!$E$55),AR$3&lt;=YEAR(electrification_input!$D$7)),OPEX_elec!AO37*(1+electrification_input!$D$15)^(Exploitation_elec!AR$3-Exploitation_elec!$F$3)/1000,0)</f>
        <v>0</v>
      </c>
      <c r="AS11" s="580">
        <f>-IF(AND(AS$3&gt;=YEAR(electrification_input!$E$55),AS$3&lt;=YEAR(electrification_input!$D$7)),OPEX_elec!AP37*(1+electrification_input!$D$15)^(Exploitation_elec!AS$3-Exploitation_elec!$F$3)/1000,0)</f>
        <v>0</v>
      </c>
      <c r="AT11" s="580">
        <f>-IF(AND(AT$3&gt;=YEAR(electrification_input!$E$55),AT$3&lt;=YEAR(electrification_input!$D$7)),OPEX_elec!AQ37*(1+electrification_input!$D$15)^(Exploitation_elec!AT$3-Exploitation_elec!$F$3)/1000,0)</f>
        <v>0</v>
      </c>
      <c r="AU11" s="580">
        <f>-IF(AND(AU$3&gt;=YEAR(electrification_input!$E$55),AU$3&lt;=YEAR(electrification_input!$D$7)),OPEX_elec!AR37*(1+electrification_input!$D$15)^(Exploitation_elec!AU$3-Exploitation_elec!$F$3)/1000,0)</f>
        <v>0</v>
      </c>
      <c r="AV11" s="580">
        <f>-IF(AND(AV$3&gt;=YEAR(electrification_input!$E$55),AV$3&lt;=YEAR(electrification_input!$D$7)),OPEX_elec!AS37*(1+electrification_input!$D$15)^(Exploitation_elec!AV$3-Exploitation_elec!$F$3)/1000,0)</f>
        <v>0</v>
      </c>
      <c r="AW11" s="580">
        <f>-IF(AND(AW$3&gt;=YEAR(electrification_input!$E$55),AW$3&lt;=YEAR(electrification_input!$D$7)),OPEX_elec!AT37*(1+electrification_input!$D$15)^(Exploitation_elec!AW$3-Exploitation_elec!$F$3)/1000,0)</f>
        <v>0</v>
      </c>
      <c r="AX11" s="580">
        <f>-IF(AND(AX$3&gt;=YEAR(electrification_input!$E$55),AX$3&lt;=YEAR(electrification_input!$D$7)),OPEX_elec!AU37*(1+electrification_input!$D$15)^(Exploitation_elec!AX$3-Exploitation_elec!$F$3)/1000,0)</f>
        <v>0</v>
      </c>
      <c r="AY11" s="580">
        <f>-IF(AND(AY$3&gt;=YEAR(electrification_input!$E$55),AY$3&lt;=YEAR(electrification_input!$D$7)),OPEX_elec!AV37*(1+electrification_input!$D$15)^(Exploitation_elec!AY$3-Exploitation_elec!$F$3)/1000,0)</f>
        <v>0</v>
      </c>
      <c r="AZ11" s="580">
        <f>-IF(AND(AZ$3&gt;=YEAR(electrification_input!$E$55),AZ$3&lt;=YEAR(electrification_input!$D$7)),OPEX_elec!AW37*(1+electrification_input!$D$15)^(Exploitation_elec!AZ$3-Exploitation_elec!$F$3)/1000,0)</f>
        <v>0</v>
      </c>
      <c r="BA11" s="580">
        <f>-IF(AND(BA$3&gt;=YEAR(electrification_input!$E$55),BA$3&lt;=YEAR(electrification_input!$D$7)),OPEX_elec!AX37*(1+electrification_input!$D$15)^(Exploitation_elec!BA$3-Exploitation_elec!$F$3)/1000,0)</f>
        <v>0</v>
      </c>
    </row>
    <row r="12" spans="2:53" x14ac:dyDescent="0.25">
      <c r="B12" s="571" t="s">
        <v>1012</v>
      </c>
      <c r="C12" s="579" t="s">
        <v>979</v>
      </c>
      <c r="D12" s="572">
        <f t="shared" si="11"/>
        <v>-2441.5385981518452</v>
      </c>
      <c r="E12" s="575"/>
      <c r="F12" s="580">
        <f>-IF(AND(F$3&gt;=YEAR(electrification_input!$E$55),F$3&lt;=YEAR(electrification_input!$D$7)),OPEX_elec!C38*(1+electrification_input!$D$15)^(Exploitation_elec!F$3-Exploitation_elec!$F$3)/1000,0)</f>
        <v>0</v>
      </c>
      <c r="G12" s="580">
        <f>-IF(AND(G$3&gt;=YEAR(electrification_input!$E$55),G$3&lt;=YEAR(electrification_input!$D$7)),OPEX_elec!D38*(1+electrification_input!$D$15)^(Exploitation_elec!G$3-Exploitation_elec!$F$3)/1000,0)</f>
        <v>0</v>
      </c>
      <c r="H12" s="580">
        <f>-IF(AND(H$3&gt;=YEAR(electrification_input!$E$55),H$3&lt;=YEAR(electrification_input!$D$7)),OPEX_elec!E38*(1+electrification_input!$D$15)^(Exploitation_elec!H$3-Exploitation_elec!$F$3)/1000,0)</f>
        <v>0</v>
      </c>
      <c r="I12" s="580">
        <f>-IF(AND(I$3&gt;=YEAR(electrification_input!$E$55),I$3&lt;=YEAR(electrification_input!$D$7)),OPEX_elec!F38*(1+electrification_input!$D$15)^(Exploitation_elec!I$3-Exploitation_elec!$F$3)/1000,0)</f>
        <v>0</v>
      </c>
      <c r="J12" s="580">
        <f>-IF(AND(J$3&gt;=YEAR(electrification_input!$E$55),J$3&lt;=YEAR(electrification_input!$D$7)),OPEX_elec!G38*(1+electrification_input!$D$15)^(Exploitation_elec!J$3-Exploitation_elec!$F$3)/1000,0)</f>
        <v>-284.46317164800001</v>
      </c>
      <c r="K12" s="580">
        <f>-IF(AND(K$3&gt;=YEAR(electrification_input!$E$55),K$3&lt;=YEAR(electrification_input!$D$7)),OPEX_elec!H38*(1+electrification_input!$D$15)^(Exploitation_elec!K$3-Exploitation_elec!$F$3)/1000,0)</f>
        <v>-290.15243508096</v>
      </c>
      <c r="L12" s="580">
        <f>-IF(AND(L$3&gt;=YEAR(electrification_input!$E$55),L$3&lt;=YEAR(electrification_input!$D$7)),OPEX_elec!I38*(1+electrification_input!$D$15)^(Exploitation_elec!L$3-Exploitation_elec!$F$3)/1000,0)</f>
        <v>-295.95548378257917</v>
      </c>
      <c r="M12" s="580">
        <f>-IF(AND(M$3&gt;=YEAR(electrification_input!$E$55),M$3&lt;=YEAR(electrification_input!$D$7)),OPEX_elec!J38*(1+electrification_input!$D$15)^(Exploitation_elec!M$3-Exploitation_elec!$F$3)/1000,0)</f>
        <v>-301.87459345823072</v>
      </c>
      <c r="N12" s="580">
        <f>-IF(AND(N$3&gt;=YEAR(electrification_input!$E$55),N$3&lt;=YEAR(electrification_input!$D$7)),OPEX_elec!K38*(1+electrification_input!$D$15)^(Exploitation_elec!N$3-Exploitation_elec!$F$3)/1000,0)</f>
        <v>-307.91208532739535</v>
      </c>
      <c r="O12" s="580">
        <f>-IF(AND(O$3&gt;=YEAR(electrification_input!$E$55),O$3&lt;=YEAR(electrification_input!$D$7)),OPEX_elec!L38*(1+electrification_input!$D$15)^(Exploitation_elec!O$3-Exploitation_elec!$F$3)/1000,0)</f>
        <v>-314.07032703394327</v>
      </c>
      <c r="P12" s="580">
        <f>-IF(AND(P$3&gt;=YEAR(electrification_input!$E$55),P$3&lt;=YEAR(electrification_input!$D$7)),OPEX_elec!M38*(1+electrification_input!$D$15)^(Exploitation_elec!P$3-Exploitation_elec!$F$3)/1000,0)</f>
        <v>-320.35173357462219</v>
      </c>
      <c r="Q12" s="580">
        <f>-IF(AND(Q$3&gt;=YEAR(electrification_input!$E$55),Q$3&lt;=YEAR(electrification_input!$D$7)),OPEX_elec!N38*(1+electrification_input!$D$15)^(Exploitation_elec!Q$3-Exploitation_elec!$F$3)/1000,0)</f>
        <v>-326.75876824611453</v>
      </c>
      <c r="R12" s="580">
        <f>-IF(AND(R$3&gt;=YEAR(electrification_input!$E$55),R$3&lt;=YEAR(electrification_input!$D$7)),OPEX_elec!O38*(1+electrification_input!$D$15)^(Exploitation_elec!R$3-Exploitation_elec!$F$3)/1000,0)</f>
        <v>0</v>
      </c>
      <c r="S12" s="580">
        <f>-IF(AND(S$3&gt;=YEAR(electrification_input!$E$55),S$3&lt;=YEAR(electrification_input!$D$7)),OPEX_elec!P38*(1+electrification_input!$D$15)^(Exploitation_elec!S$3-Exploitation_elec!$F$3)/1000,0)</f>
        <v>0</v>
      </c>
      <c r="T12" s="580">
        <f>-IF(AND(T$3&gt;=YEAR(electrification_input!$E$55),T$3&lt;=YEAR(electrification_input!$D$7)),OPEX_elec!Q38*(1+electrification_input!$D$15)^(Exploitation_elec!T$3-Exploitation_elec!$F$3)/1000,0)</f>
        <v>0</v>
      </c>
      <c r="U12" s="580">
        <f>-IF(AND(U$3&gt;=YEAR(electrification_input!$E$55),U$3&lt;=YEAR(electrification_input!$D$7)),OPEX_elec!R38*(1+electrification_input!$D$15)^(Exploitation_elec!U$3-Exploitation_elec!$F$3)/1000,0)</f>
        <v>0</v>
      </c>
      <c r="V12" s="580">
        <f>-IF(AND(V$3&gt;=YEAR(electrification_input!$E$55),V$3&lt;=YEAR(electrification_input!$D$7)),OPEX_elec!S38*(1+electrification_input!$D$15)^(Exploitation_elec!V$3-Exploitation_elec!$F$3)/1000,0)</f>
        <v>0</v>
      </c>
      <c r="W12" s="580">
        <f>-IF(AND(W$3&gt;=YEAR(electrification_input!$E$55),W$3&lt;=YEAR(electrification_input!$D$7)),OPEX_elec!T38*(1+electrification_input!$D$15)^(Exploitation_elec!W$3-Exploitation_elec!$F$3)/1000,0)</f>
        <v>0</v>
      </c>
      <c r="X12" s="580">
        <f>-IF(AND(X$3&gt;=YEAR(electrification_input!$E$55),X$3&lt;=YEAR(electrification_input!$D$7)),OPEX_elec!U38*(1+electrification_input!$D$15)^(Exploitation_elec!X$3-Exploitation_elec!$F$3)/1000,0)</f>
        <v>0</v>
      </c>
      <c r="Y12" s="580">
        <f>-IF(AND(Y$3&gt;=YEAR(electrification_input!$E$55),Y$3&lt;=YEAR(electrification_input!$D$7)),OPEX_elec!V38*(1+electrification_input!$D$15)^(Exploitation_elec!Y$3-Exploitation_elec!$F$3)/1000,0)</f>
        <v>0</v>
      </c>
      <c r="Z12" s="580">
        <f>-IF(AND(Z$3&gt;=YEAR(electrification_input!$E$55),Z$3&lt;=YEAR(electrification_input!$D$7)),OPEX_elec!W38*(1+electrification_input!$D$15)^(Exploitation_elec!Z$3-Exploitation_elec!$F$3)/1000,0)</f>
        <v>0</v>
      </c>
      <c r="AA12" s="580">
        <f>-IF(AND(AA$3&gt;=YEAR(electrification_input!$E$55),AA$3&lt;=YEAR(electrification_input!$D$7)),OPEX_elec!X38*(1+electrification_input!$D$15)^(Exploitation_elec!AA$3-Exploitation_elec!$F$3)/1000,0)</f>
        <v>0</v>
      </c>
      <c r="AB12" s="580">
        <f>-IF(AND(AB$3&gt;=YEAR(electrification_input!$E$55),AB$3&lt;=YEAR(electrification_input!$D$7)),OPEX_elec!Y38*(1+electrification_input!$D$15)^(Exploitation_elec!AB$3-Exploitation_elec!$F$3)/1000,0)</f>
        <v>0</v>
      </c>
      <c r="AC12" s="580">
        <f>-IF(AND(AC$3&gt;=YEAR(electrification_input!$E$55),AC$3&lt;=YEAR(electrification_input!$D$7)),OPEX_elec!Z38*(1+electrification_input!$D$15)^(Exploitation_elec!AC$3-Exploitation_elec!$F$3)/1000,0)</f>
        <v>0</v>
      </c>
      <c r="AD12" s="580">
        <f>-IF(AND(AD$3&gt;=YEAR(electrification_input!$E$55),AD$3&lt;=YEAR(electrification_input!$D$7)),OPEX_elec!AA38*(1+electrification_input!$D$15)^(Exploitation_elec!AD$3-Exploitation_elec!$F$3)/1000,0)</f>
        <v>0</v>
      </c>
      <c r="AE12" s="580">
        <f>-IF(AND(AE$3&gt;=YEAR(electrification_input!$E$55),AE$3&lt;=YEAR(electrification_input!$D$7)),OPEX_elec!AB38*(1+electrification_input!$D$15)^(Exploitation_elec!AE$3-Exploitation_elec!$F$3)/1000,0)</f>
        <v>0</v>
      </c>
      <c r="AF12" s="580">
        <f>-IF(AND(AF$3&gt;=YEAR(electrification_input!$E$55),AF$3&lt;=YEAR(electrification_input!$D$7)),OPEX_elec!AC38*(1+electrification_input!$D$15)^(Exploitation_elec!AF$3-Exploitation_elec!$F$3)/1000,0)</f>
        <v>0</v>
      </c>
      <c r="AG12" s="580">
        <f>-IF(AND(AG$3&gt;=YEAR(electrification_input!$E$55),AG$3&lt;=YEAR(electrification_input!$D$7)),OPEX_elec!AD38*(1+electrification_input!$D$15)^(Exploitation_elec!AG$3-Exploitation_elec!$F$3)/1000,0)</f>
        <v>0</v>
      </c>
      <c r="AH12" s="580">
        <f>-IF(AND(AH$3&gt;=YEAR(electrification_input!$E$55),AH$3&lt;=YEAR(electrification_input!$D$7)),OPEX_elec!AE38*(1+electrification_input!$D$15)^(Exploitation_elec!AH$3-Exploitation_elec!$F$3)/1000,0)</f>
        <v>0</v>
      </c>
      <c r="AI12" s="580">
        <f>-IF(AND(AI$3&gt;=YEAR(electrification_input!$E$55),AI$3&lt;=YEAR(electrification_input!$D$7)),OPEX_elec!AF38*(1+electrification_input!$D$15)^(Exploitation_elec!AI$3-Exploitation_elec!$F$3)/1000,0)</f>
        <v>0</v>
      </c>
      <c r="AJ12" s="580">
        <f>-IF(AND(AJ$3&gt;=YEAR(electrification_input!$E$55),AJ$3&lt;=YEAR(electrification_input!$D$7)),OPEX_elec!AG38*(1+electrification_input!$D$15)^(Exploitation_elec!AJ$3-Exploitation_elec!$F$3)/1000,0)</f>
        <v>0</v>
      </c>
      <c r="AK12" s="580">
        <f>-IF(AND(AK$3&gt;=YEAR(electrification_input!$E$55),AK$3&lt;=YEAR(electrification_input!$D$7)),OPEX_elec!AH38*(1+electrification_input!$D$15)^(Exploitation_elec!AK$3-Exploitation_elec!$F$3)/1000,0)</f>
        <v>0</v>
      </c>
      <c r="AL12" s="580">
        <f>-IF(AND(AL$3&gt;=YEAR(electrification_input!$E$55),AL$3&lt;=YEAR(electrification_input!$D$7)),OPEX_elec!AI38*(1+electrification_input!$D$15)^(Exploitation_elec!AL$3-Exploitation_elec!$F$3)/1000,0)</f>
        <v>0</v>
      </c>
      <c r="AM12" s="580">
        <f>-IF(AND(AM$3&gt;=YEAR(electrification_input!$E$55),AM$3&lt;=YEAR(electrification_input!$D$7)),OPEX_elec!AJ38*(1+electrification_input!$D$15)^(Exploitation_elec!AM$3-Exploitation_elec!$F$3)/1000,0)</f>
        <v>0</v>
      </c>
      <c r="AN12" s="580">
        <f>-IF(AND(AN$3&gt;=YEAR(electrification_input!$E$55),AN$3&lt;=YEAR(electrification_input!$D$7)),OPEX_elec!AK38*(1+electrification_input!$D$15)^(Exploitation_elec!AN$3-Exploitation_elec!$F$3)/1000,0)</f>
        <v>0</v>
      </c>
      <c r="AO12" s="580">
        <f>-IF(AND(AO$3&gt;=YEAR(electrification_input!$E$55),AO$3&lt;=YEAR(electrification_input!$D$7)),OPEX_elec!AL38*(1+electrification_input!$D$15)^(Exploitation_elec!AO$3-Exploitation_elec!$F$3)/1000,0)</f>
        <v>0</v>
      </c>
      <c r="AP12" s="580">
        <f>-IF(AND(AP$3&gt;=YEAR(electrification_input!$E$55),AP$3&lt;=YEAR(electrification_input!$D$7)),OPEX_elec!AM38*(1+electrification_input!$D$15)^(Exploitation_elec!AP$3-Exploitation_elec!$F$3)/1000,0)</f>
        <v>0</v>
      </c>
      <c r="AQ12" s="580">
        <f>-IF(AND(AQ$3&gt;=YEAR(electrification_input!$E$55),AQ$3&lt;=YEAR(electrification_input!$D$7)),OPEX_elec!AN38*(1+electrification_input!$D$15)^(Exploitation_elec!AQ$3-Exploitation_elec!$F$3)/1000,0)</f>
        <v>0</v>
      </c>
      <c r="AR12" s="580">
        <f>-IF(AND(AR$3&gt;=YEAR(electrification_input!$E$55),AR$3&lt;=YEAR(electrification_input!$D$7)),OPEX_elec!AO38*(1+electrification_input!$D$15)^(Exploitation_elec!AR$3-Exploitation_elec!$F$3)/1000,0)</f>
        <v>0</v>
      </c>
      <c r="AS12" s="580">
        <f>-IF(AND(AS$3&gt;=YEAR(electrification_input!$E$55),AS$3&lt;=YEAR(electrification_input!$D$7)),OPEX_elec!AP38*(1+electrification_input!$D$15)^(Exploitation_elec!AS$3-Exploitation_elec!$F$3)/1000,0)</f>
        <v>0</v>
      </c>
      <c r="AT12" s="580">
        <f>-IF(AND(AT$3&gt;=YEAR(electrification_input!$E$55),AT$3&lt;=YEAR(electrification_input!$D$7)),OPEX_elec!AQ38*(1+electrification_input!$D$15)^(Exploitation_elec!AT$3-Exploitation_elec!$F$3)/1000,0)</f>
        <v>0</v>
      </c>
      <c r="AU12" s="580">
        <f>-IF(AND(AU$3&gt;=YEAR(electrification_input!$E$55),AU$3&lt;=YEAR(electrification_input!$D$7)),OPEX_elec!AR38*(1+electrification_input!$D$15)^(Exploitation_elec!AU$3-Exploitation_elec!$F$3)/1000,0)</f>
        <v>0</v>
      </c>
      <c r="AV12" s="580">
        <f>-IF(AND(AV$3&gt;=YEAR(electrification_input!$E$55),AV$3&lt;=YEAR(electrification_input!$D$7)),OPEX_elec!AS38*(1+electrification_input!$D$15)^(Exploitation_elec!AV$3-Exploitation_elec!$F$3)/1000,0)</f>
        <v>0</v>
      </c>
      <c r="AW12" s="580">
        <f>-IF(AND(AW$3&gt;=YEAR(electrification_input!$E$55),AW$3&lt;=YEAR(electrification_input!$D$7)),OPEX_elec!AT38*(1+electrification_input!$D$15)^(Exploitation_elec!AW$3-Exploitation_elec!$F$3)/1000,0)</f>
        <v>0</v>
      </c>
      <c r="AX12" s="580">
        <f>-IF(AND(AX$3&gt;=YEAR(electrification_input!$E$55),AX$3&lt;=YEAR(electrification_input!$D$7)),OPEX_elec!AU38*(1+electrification_input!$D$15)^(Exploitation_elec!AX$3-Exploitation_elec!$F$3)/1000,0)</f>
        <v>0</v>
      </c>
      <c r="AY12" s="580">
        <f>-IF(AND(AY$3&gt;=YEAR(electrification_input!$E$55),AY$3&lt;=YEAR(electrification_input!$D$7)),OPEX_elec!AV38*(1+electrification_input!$D$15)^(Exploitation_elec!AY$3-Exploitation_elec!$F$3)/1000,0)</f>
        <v>0</v>
      </c>
      <c r="AZ12" s="580">
        <f>-IF(AND(AZ$3&gt;=YEAR(electrification_input!$E$55),AZ$3&lt;=YEAR(electrification_input!$D$7)),OPEX_elec!AW38*(1+electrification_input!$D$15)^(Exploitation_elec!AZ$3-Exploitation_elec!$F$3)/1000,0)</f>
        <v>0</v>
      </c>
      <c r="BA12" s="580">
        <f>-IF(AND(BA$3&gt;=YEAR(electrification_input!$E$55),BA$3&lt;=YEAR(electrification_input!$D$7)),OPEX_elec!AX38*(1+electrification_input!$D$15)^(Exploitation_elec!BA$3-Exploitation_elec!$F$3)/1000,0)</f>
        <v>0</v>
      </c>
    </row>
    <row r="13" spans="2:53" s="1186" customFormat="1" x14ac:dyDescent="0.25">
      <c r="B13" s="571" t="s">
        <v>1713</v>
      </c>
      <c r="C13" s="579" t="s">
        <v>979</v>
      </c>
      <c r="D13" s="572">
        <f>SUM(F13:AT13)</f>
        <v>0</v>
      </c>
      <c r="E13" s="575"/>
      <c r="F13" s="1145">
        <f>-IF(electrification_input!$E$47="Lease contract",IF(AND(F$3&gt;=YEAR(electrification_input!$D$9),F$3&lt;=electrification_input!$E$48-1),electrification_input!$E$46/1000,0),0)</f>
        <v>0</v>
      </c>
      <c r="G13" s="1145">
        <f>-IF(electrification_input!$E$47="Lease contract",IF(AND(G$3&gt;=YEAR(electrification_input!$D$9),G$3&lt;=electrification_input!$E$48-1),electrification_input!$E$46/1000,0),0)</f>
        <v>0</v>
      </c>
      <c r="H13" s="1145">
        <f>-IF(electrification_input!$E$47="Lease contract",IF(AND(H$3&gt;=YEAR(electrification_input!$D$9),H$3&lt;=electrification_input!$E$48-1),electrification_input!$E$46/1000,0),0)</f>
        <v>0</v>
      </c>
      <c r="I13" s="1145">
        <f>-IF(electrification_input!$E$47="Lease contract",IF(AND(I$3&gt;=YEAR(electrification_input!$D$9),I$3&lt;=electrification_input!$E$48-1),electrification_input!$E$46/1000,0),0)</f>
        <v>0</v>
      </c>
      <c r="J13" s="1145">
        <f>-IF(electrification_input!$E$47="Lease contract",IF(AND(J$3&gt;=YEAR(electrification_input!$D$9),J$3&lt;=electrification_input!$E$48-1),electrification_input!$E$46/1000,0),0)</f>
        <v>0</v>
      </c>
      <c r="K13" s="1145">
        <f>-IF(electrification_input!$E$47="Lease contract",IF(AND(K$3&gt;=YEAR(electrification_input!$D$9),K$3&lt;=electrification_input!$E$48-1),electrification_input!$E$46/1000,0),0)</f>
        <v>0</v>
      </c>
      <c r="L13" s="1145">
        <f>-IF(electrification_input!$E$47="Lease contract",IF(AND(L$3&gt;=YEAR(electrification_input!$D$9),L$3&lt;=electrification_input!$E$48-1),electrification_input!$E$46/1000,0),0)</f>
        <v>0</v>
      </c>
      <c r="M13" s="1145">
        <f>-IF(electrification_input!$E$47="Lease contract",IF(AND(M$3&gt;=YEAR(electrification_input!$D$9),M$3&lt;=electrification_input!$E$48-1),electrification_input!$E$46/1000,0),0)</f>
        <v>0</v>
      </c>
      <c r="N13" s="1145">
        <f>-IF(electrification_input!$E$47="Lease contract",IF(AND(N$3&gt;=YEAR(electrification_input!$D$9),N$3&lt;=electrification_input!$E$48-1),electrification_input!$E$46/1000,0),0)</f>
        <v>0</v>
      </c>
      <c r="O13" s="1145">
        <f>-IF(electrification_input!$E$47="Lease contract",IF(AND(O$3&gt;=YEAR(electrification_input!$D$9),O$3&lt;=electrification_input!$E$48-1),electrification_input!$E$46/1000,0),0)</f>
        <v>0</v>
      </c>
      <c r="P13" s="1145">
        <f>-IF(electrification_input!$E$47="Lease contract",IF(AND(P$3&gt;=YEAR(electrification_input!$D$9),P$3&lt;=electrification_input!$E$48-1),electrification_input!$E$46/1000,0),0)</f>
        <v>0</v>
      </c>
      <c r="Q13" s="1145">
        <f>-IF(electrification_input!$E$47="Lease contract",IF(AND(Q$3&gt;=YEAR(electrification_input!$D$9),Q$3&lt;=electrification_input!$E$48-1),electrification_input!$E$46/1000,0),0)</f>
        <v>0</v>
      </c>
      <c r="R13" s="1145">
        <f>-IF(electrification_input!$E$47="Lease contract",IF(AND(R$3&gt;=YEAR(electrification_input!$D$9),R$3&lt;=electrification_input!$E$48-1),electrification_input!$E$46/1000,0),0)</f>
        <v>0</v>
      </c>
      <c r="S13" s="1145">
        <f>-IF(electrification_input!$E$47="Lease contract",IF(AND(S$3&gt;=YEAR(electrification_input!$D$9),S$3&lt;=electrification_input!$E$48-1),electrification_input!$E$46/1000,0),0)</f>
        <v>0</v>
      </c>
      <c r="T13" s="1145">
        <f>-IF(electrification_input!$E$47="Lease contract",IF(AND(T$3&gt;=YEAR(electrification_input!$D$9),T$3&lt;=electrification_input!$E$48-1),electrification_input!$E$46/1000,0),0)</f>
        <v>0</v>
      </c>
      <c r="U13" s="1145">
        <f>-IF(electrification_input!$E$47="Lease contract",IF(AND(U$3&gt;=YEAR(electrification_input!$D$9),U$3&lt;=electrification_input!$E$48-1),electrification_input!$E$46/1000,0),0)</f>
        <v>0</v>
      </c>
      <c r="V13" s="1145">
        <f>-IF(electrification_input!$E$47="Lease contract",IF(AND(V$3&gt;=YEAR(electrification_input!$D$9),V$3&lt;=electrification_input!$E$48-1),electrification_input!$E$46/1000,0),0)</f>
        <v>0</v>
      </c>
      <c r="W13" s="1145">
        <f>-IF(electrification_input!$E$47="Lease contract",IF(AND(W$3&gt;=YEAR(electrification_input!$D$9),W$3&lt;=electrification_input!$E$48-1),electrification_input!$E$46/1000,0),0)</f>
        <v>0</v>
      </c>
      <c r="X13" s="1145">
        <f>-IF(electrification_input!$E$47="Lease contract",IF(AND(X$3&gt;=YEAR(electrification_input!$D$9),X$3&lt;=electrification_input!$E$48-1),electrification_input!$E$46/1000,0),0)</f>
        <v>0</v>
      </c>
      <c r="Y13" s="1145">
        <f>-IF(electrification_input!$E$47="Lease contract",IF(AND(Y$3&gt;=YEAR(electrification_input!$D$9),Y$3&lt;=electrification_input!$E$48-1),electrification_input!$E$46/1000,0),0)</f>
        <v>0</v>
      </c>
      <c r="Z13" s="1145">
        <f>-IF(electrification_input!$E$47="Lease contract",IF(AND(Z$3&gt;=YEAR(electrification_input!$D$9),Z$3&lt;=electrification_input!$E$48-1),electrification_input!$E$46/1000,0),0)</f>
        <v>0</v>
      </c>
      <c r="AA13" s="1145">
        <f>-IF(electrification_input!$E$47="Lease contract",IF(AND(AA$3&gt;=YEAR(electrification_input!$D$9),AA$3&lt;=electrification_input!$E$48-1),electrification_input!$E$46/1000,0),0)</f>
        <v>0</v>
      </c>
      <c r="AB13" s="1145">
        <f>-IF(electrification_input!$E$47="Lease contract",IF(AND(AB$3&gt;=YEAR(electrification_input!$D$9),AB$3&lt;=electrification_input!$E$48-1),electrification_input!$E$46/1000,0),0)</f>
        <v>0</v>
      </c>
      <c r="AC13" s="1145">
        <f>-IF(electrification_input!$E$47="Lease contract",IF(AND(AC$3&gt;=YEAR(electrification_input!$D$9),AC$3&lt;=electrification_input!$E$48-1),electrification_input!$E$46/1000,0),0)</f>
        <v>0</v>
      </c>
      <c r="AD13" s="1145">
        <f>-IF(electrification_input!$E$47="Lease contract",IF(AND(AD$3&gt;=YEAR(electrification_input!$D$9),AD$3&lt;=electrification_input!$E$48-1),electrification_input!$E$46/1000,0),0)</f>
        <v>0</v>
      </c>
      <c r="AE13" s="1145">
        <f>-IF(electrification_input!$E$47="Lease contract",IF(AND(AE$3&gt;=YEAR(electrification_input!$D$9),AE$3&lt;=electrification_input!$E$48-1),electrification_input!$E$46/1000,0),0)</f>
        <v>0</v>
      </c>
      <c r="AF13" s="1145">
        <f>-IF(electrification_input!$E$47="Lease contract",IF(AND(AF$3&gt;=YEAR(electrification_input!$D$9),AF$3&lt;=electrification_input!$E$48-1),electrification_input!$E$46/1000,0),0)</f>
        <v>0</v>
      </c>
      <c r="AG13" s="1145">
        <f>-IF(electrification_input!$E$47="Lease contract",IF(AND(AG$3&gt;=YEAR(electrification_input!$D$9),AG$3&lt;=electrification_input!$E$48-1),electrification_input!$E$46/1000,0),0)</f>
        <v>0</v>
      </c>
      <c r="AH13" s="1145">
        <f>-IF(electrification_input!$E$47="Lease contract",IF(AND(AH$3&gt;=YEAR(electrification_input!$D$9),AH$3&lt;=electrification_input!$E$48-1),electrification_input!$E$46/1000,0),0)</f>
        <v>0</v>
      </c>
      <c r="AI13" s="1145">
        <f>-IF(electrification_input!$E$47="Lease contract",IF(AND(AI$3&gt;=YEAR(electrification_input!$D$9),AI$3&lt;=electrification_input!$E$48-1),electrification_input!$E$46/1000,0),0)</f>
        <v>0</v>
      </c>
      <c r="AJ13" s="1145">
        <f>-IF(electrification_input!$E$47="Lease contract",IF(AND(AJ$3&gt;=YEAR(electrification_input!$D$9),AJ$3&lt;=electrification_input!$E$48-1),electrification_input!$E$46/1000,0),0)</f>
        <v>0</v>
      </c>
      <c r="AK13" s="1145">
        <f>-IF(electrification_input!$E$47="Lease contract",IF(AND(AK$3&gt;=YEAR(electrification_input!$D$9),AK$3&lt;=electrification_input!$E$48-1),electrification_input!$E$46/1000,0),0)</f>
        <v>0</v>
      </c>
      <c r="AL13" s="1145">
        <f>-IF(electrification_input!$E$47="Lease contract",IF(AND(AL$3&gt;=YEAR(electrification_input!$D$9),AL$3&lt;=electrification_input!$E$48-1),electrification_input!$E$46/1000,0),0)</f>
        <v>0</v>
      </c>
      <c r="AM13" s="1145">
        <f>-IF(electrification_input!$E$47="Lease contract",IF(AND(AM$3&gt;=YEAR(electrification_input!$D$9),AM$3&lt;=electrification_input!$E$48-1),electrification_input!$E$46/1000,0),0)</f>
        <v>0</v>
      </c>
      <c r="AN13" s="1145">
        <f>-IF(electrification_input!$E$47="Lease contract",IF(AND(AN$3&gt;=YEAR(electrification_input!$D$9),AN$3&lt;=electrification_input!$E$48-1),electrification_input!$E$46/1000,0),0)</f>
        <v>0</v>
      </c>
      <c r="AO13" s="1145">
        <f>-IF(electrification_input!$E$47="Lease contract",IF(AND(AO$3&gt;=YEAR(electrification_input!$D$9),AO$3&lt;=electrification_input!$E$48-1),electrification_input!$E$46/1000,0),0)</f>
        <v>0</v>
      </c>
      <c r="AP13" s="1145">
        <f>-IF(electrification_input!$E$47="Lease contract",IF(AND(AP$3&gt;=YEAR(electrification_input!$D$9),AP$3&lt;=electrification_input!$E$48-1),electrification_input!$E$46/1000,0),0)</f>
        <v>0</v>
      </c>
      <c r="AQ13" s="1145">
        <f>-IF(electrification_input!$E$47="Lease contract",IF(AND(AQ$3&gt;=YEAR(electrification_input!$D$9),AQ$3&lt;=electrification_input!$E$48-1),electrification_input!$E$46/1000,0),0)</f>
        <v>0</v>
      </c>
      <c r="AR13" s="1145">
        <f>-IF(electrification_input!$E$47="Lease contract",IF(AND(AR$3&gt;=YEAR(electrification_input!$D$9),AR$3&lt;=electrification_input!$E$48-1),electrification_input!$E$46/1000,0),0)</f>
        <v>0</v>
      </c>
      <c r="AS13" s="1145">
        <f>-IF(electrification_input!$E$47="Lease contract",IF(AND(AS$3&gt;=YEAR(electrification_input!$D$9),AS$3&lt;=electrification_input!$E$48-1),electrification_input!$E$46/1000,0),0)</f>
        <v>0</v>
      </c>
      <c r="AT13" s="1145">
        <f>-IF(electrification_input!$E$47="Lease contract",IF(AND(AT$3&gt;=YEAR(electrification_input!$D$9),AT$3&lt;=electrification_input!$E$48-1),electrification_input!$E$46/1000,0),0)</f>
        <v>0</v>
      </c>
      <c r="AU13" s="1145">
        <f>-IF(electrification_input!$E$47="Lease contract",IF(AND(AU$3&gt;=YEAR(electrification_input!$D$9),AU$3&lt;=electrification_input!$E$48-1),electrification_input!$E$46/1000,0),0)</f>
        <v>0</v>
      </c>
      <c r="AV13" s="1145">
        <f>-IF(electrification_input!$E$47="Lease contract",IF(AND(AV$3&gt;=YEAR(electrification_input!$D$9),AV$3&lt;=electrification_input!$E$48-1),electrification_input!$E$46/1000,0),0)</f>
        <v>0</v>
      </c>
      <c r="AW13" s="1145">
        <f>-IF(electrification_input!$E$47="Lease contract",IF(AND(AW$3&gt;=YEAR(electrification_input!$D$9),AW$3&lt;=electrification_input!$E$48-1),electrification_input!$E$46/1000,0),0)</f>
        <v>0</v>
      </c>
      <c r="AX13" s="1145">
        <f>-IF(electrification_input!$E$47="Lease contract",IF(AND(AX$3&gt;=YEAR(electrification_input!$D$9),AX$3&lt;=electrification_input!$E$48-1),electrification_input!$E$46/1000,0),0)</f>
        <v>0</v>
      </c>
      <c r="AY13" s="1145">
        <f>-IF(electrification_input!$E$47="Lease contract",IF(AND(AY$3&gt;=YEAR(electrification_input!$D$9),AY$3&lt;=electrification_input!$E$48-1),electrification_input!$E$46/1000,0),0)</f>
        <v>0</v>
      </c>
      <c r="AZ13" s="1145">
        <f>-IF(electrification_input!$E$47="Lease contract",IF(AND(AZ$3&gt;=YEAR(electrification_input!$D$9),AZ$3&lt;=electrification_input!$E$48-1),electrification_input!$E$46/1000,0),0)</f>
        <v>0</v>
      </c>
      <c r="BA13" s="1145">
        <f>-IF(electrification_input!$E$47="Lease contract",IF(AND(BA$3&gt;=YEAR(electrification_input!$D$9),BA$3&lt;=electrification_input!$E$48-1),electrification_input!$E$46/1000,0),0)</f>
        <v>0</v>
      </c>
    </row>
    <row r="14" spans="2:53" x14ac:dyDescent="0.25">
      <c r="B14" s="571" t="s">
        <v>1380</v>
      </c>
      <c r="C14" s="579" t="s">
        <v>979</v>
      </c>
      <c r="D14" s="572">
        <f t="shared" si="11"/>
        <v>-19008.207010501123</v>
      </c>
      <c r="E14" s="575"/>
      <c r="F14" s="580">
        <f>-IF(AND(F$3&gt;=YEAR(electrification_input!$E$55),F$3&lt;=YEAR(electrification_input!$D$7)),Gas_production!F$5*IF(electrification_input!$E$54&gt;0,electrification_input!$E$54,HLOOKUP(Revenues_elec!F3,Pipeline_CAPEX_OPEX!$AY$51:$CG$54,4,FALSE)/1000)*(1+electrification_input!$D$15)^(Exploitation_elec!F$3-Exploitation_elec!$F$3)/1000,0)</f>
        <v>0</v>
      </c>
      <c r="G14" s="580">
        <f>-IF(AND(G$3&gt;=YEAR(electrification_input!$E$55),G$3&lt;=YEAR(electrification_input!$D$7)),Gas_production!G$5*IF(electrification_input!$E$54&gt;0,electrification_input!$E$54,HLOOKUP(Revenues_elec!G3,Pipeline_CAPEX_OPEX!$AY$51:$CG$54,4,FALSE)/1000)*(1+electrification_input!$D$15)^(Exploitation_elec!G$3-Exploitation_elec!$F$3)/1000,0)</f>
        <v>0</v>
      </c>
      <c r="H14" s="580">
        <f>-IF(AND(H$3&gt;=YEAR(electrification_input!$E$55),H$3&lt;=YEAR(electrification_input!$D$7)),Gas_production!H$5*IF(electrification_input!$E$54&gt;0,electrification_input!$E$54,HLOOKUP(Revenues_elec!H3,Pipeline_CAPEX_OPEX!$AY$51:$CG$54,4,FALSE)/1000)*(1+electrification_input!$D$15)^(Exploitation_elec!H$3-Exploitation_elec!$F$3)/1000,0)</f>
        <v>0</v>
      </c>
      <c r="I14" s="580">
        <f>-IF(AND(I$3&gt;=YEAR(electrification_input!$E$55),I$3&lt;=YEAR(electrification_input!$D$7)),Gas_production!I$5*IF(electrification_input!$E$54&gt;0,electrification_input!$E$54,HLOOKUP(Revenues_elec!I3,Pipeline_CAPEX_OPEX!$AY$51:$CG$54,4,FALSE)/1000)*(1+electrification_input!$D$15)^(Exploitation_elec!I$3-Exploitation_elec!$F$3)/1000,0)</f>
        <v>0</v>
      </c>
      <c r="J14" s="580">
        <f>-IF(AND(J$3&gt;=YEAR(electrification_input!$E$55),J$3&lt;=YEAR(electrification_input!$D$7)),Gas_production!J$5*IF(electrification_input!$E$54&gt;0,electrification_input!$E$54,HLOOKUP(Revenues_elec!J3,Pipeline_CAPEX_OPEX!$AY$51:$CG$54,4,FALSE)/1000)*(1+electrification_input!$D$15)^(Exploitation_elec!J$3-Exploitation_elec!$F$3)/1000,0)</f>
        <v>-1731.1251689116834</v>
      </c>
      <c r="K14" s="580">
        <f>-IF(AND(K$3&gt;=YEAR(electrification_input!$E$55),K$3&lt;=YEAR(electrification_input!$D$7)),Gas_production!K$5*IF(electrification_input!$E$54&gt;0,electrification_input!$E$54,HLOOKUP(Revenues_elec!K3,Pipeline_CAPEX_OPEX!$AY$51:$CG$54,4,FALSE)/1000)*(1+electrification_input!$D$15)^(Exploitation_elec!K$3-Exploitation_elec!$F$3)/1000,0)</f>
        <v>-1925.3216058952012</v>
      </c>
      <c r="L14" s="580">
        <f>-IF(AND(L$3&gt;=YEAR(electrification_input!$E$55),L$3&lt;=YEAR(electrification_input!$D$7)),Gas_production!L$5*IF(electrification_input!$E$54&gt;0,electrification_input!$E$54,HLOOKUP(Revenues_elec!L3,Pipeline_CAPEX_OPEX!$AY$51:$CG$54,4,FALSE)/1000)*(1+electrification_input!$D$15)^(Exploitation_elec!L$3-Exploitation_elec!$F$3)/1000,0)</f>
        <v>-2034.7479595685727</v>
      </c>
      <c r="M14" s="580">
        <f>-IF(AND(M$3&gt;=YEAR(electrification_input!$E$55),M$3&lt;=YEAR(electrification_input!$D$7)),Gas_production!M$5*IF(electrification_input!$E$54&gt;0,electrification_input!$E$54,HLOOKUP(Revenues_elec!M3,Pipeline_CAPEX_OPEX!$AY$51:$CG$54,4,FALSE)/1000)*(1+electrification_input!$D$15)^(Exploitation_elec!M$3-Exploitation_elec!$F$3)/1000,0)</f>
        <v>-2225.6831072469972</v>
      </c>
      <c r="N14" s="580">
        <f>-IF(AND(N$3&gt;=YEAR(electrification_input!$E$55),N$3&lt;=YEAR(electrification_input!$D$7)),Gas_production!N$5*IF(electrification_input!$E$54&gt;0,electrification_input!$E$54,HLOOKUP(Revenues_elec!N3,Pipeline_CAPEX_OPEX!$AY$51:$CG$54,4,FALSE)/1000)*(1+electrification_input!$D$15)^(Exploitation_elec!N$3-Exploitation_elec!$F$3)/1000,0)</f>
        <v>-2416.6771811066415</v>
      </c>
      <c r="O14" s="580">
        <f>-IF(AND(O$3&gt;=YEAR(electrification_input!$E$55),O$3&lt;=YEAR(electrification_input!$D$7)),Gas_production!O$5*IF(electrification_input!$E$54&gt;0,electrification_input!$E$54,HLOOKUP(Revenues_elec!O3,Pipeline_CAPEX_OPEX!$AY$51:$CG$54,4,FALSE)/1000)*(1+electrification_input!$D$15)^(Exploitation_elec!O$3-Exploitation_elec!$F$3)/1000,0)</f>
        <v>-2626.2684103547158</v>
      </c>
      <c r="P14" s="580">
        <f>-IF(AND(P$3&gt;=YEAR(electrification_input!$E$55),P$3&lt;=YEAR(electrification_input!$D$7)),Gas_production!P$5*IF(electrification_input!$E$54&gt;0,electrification_input!$E$54,HLOOKUP(Revenues_elec!P3,Pipeline_CAPEX_OPEX!$AY$51:$CG$54,4,FALSE)/1000)*(1+electrification_input!$D$15)^(Exploitation_elec!P$3-Exploitation_elec!$F$3)/1000,0)</f>
        <v>-2892.6982046184544</v>
      </c>
      <c r="Q14" s="580">
        <f>-IF(AND(Q$3&gt;=YEAR(electrification_input!$E$55),Q$3&lt;=YEAR(electrification_input!$D$7)),Gas_production!Q$5*IF(electrification_input!$E$54&gt;0,electrification_input!$E$54,HLOOKUP(Revenues_elec!Q3,Pipeline_CAPEX_OPEX!$AY$51:$CG$54,4,FALSE)/1000)*(1+electrification_input!$D$15)^(Exploitation_elec!Q$3-Exploitation_elec!$F$3)/1000,0)</f>
        <v>-3155.6853727988578</v>
      </c>
      <c r="R14" s="580">
        <f>-IF(AND(R$3&gt;=YEAR(electrification_input!$E$55),R$3&lt;=YEAR(electrification_input!$D$7)),Gas_production!R$5*IF(electrification_input!$E$54&gt;0,electrification_input!$E$54,HLOOKUP(Revenues_elec!R3,Pipeline_CAPEX_OPEX!$AY$51:$CG$54,4,FALSE)/1000)*(1+electrification_input!$D$15)^(Exploitation_elec!R$3-Exploitation_elec!$F$3)/1000,0)</f>
        <v>0</v>
      </c>
      <c r="S14" s="580">
        <f>-IF(AND(S$3&gt;=YEAR(electrification_input!$E$55),S$3&lt;=YEAR(electrification_input!$D$7)),Gas_production!S$5*IF(electrification_input!$E$54&gt;0,electrification_input!$E$54,HLOOKUP(Revenues_elec!S3,Pipeline_CAPEX_OPEX!$AY$51:$CG$54,4,FALSE)/1000)*(1+electrification_input!$D$15)^(Exploitation_elec!S$3-Exploitation_elec!$F$3)/1000,0)</f>
        <v>0</v>
      </c>
      <c r="T14" s="580">
        <f>-IF(AND(T$3&gt;=YEAR(electrification_input!$E$55),T$3&lt;=YEAR(electrification_input!$D$7)),Gas_production!T$5*IF(electrification_input!$E$54&gt;0,electrification_input!$E$54,HLOOKUP(Revenues_elec!T3,Pipeline_CAPEX_OPEX!$AY$51:$CG$54,4,FALSE)/1000)*(1+electrification_input!$D$15)^(Exploitation_elec!T$3-Exploitation_elec!$F$3)/1000,0)</f>
        <v>0</v>
      </c>
      <c r="U14" s="580">
        <f>-IF(AND(U$3&gt;=YEAR(electrification_input!$E$55),U$3&lt;=YEAR(electrification_input!$D$7)),Gas_production!U$5*IF(electrification_input!$E$54&gt;0,electrification_input!$E$54,HLOOKUP(Revenues_elec!U3,Pipeline_CAPEX_OPEX!$AY$51:$CG$54,4,FALSE)/1000)*(1+electrification_input!$D$15)^(Exploitation_elec!U$3-Exploitation_elec!$F$3)/1000,0)</f>
        <v>0</v>
      </c>
      <c r="V14" s="580">
        <f>-IF(AND(V$3&gt;=YEAR(electrification_input!$E$55),V$3&lt;=YEAR(electrification_input!$D$7)),Gas_production!V$5*IF(electrification_input!$E$54&gt;0,electrification_input!$E$54,HLOOKUP(Revenues_elec!V3,Pipeline_CAPEX_OPEX!$AY$51:$CG$54,4,FALSE)/1000)*(1+electrification_input!$D$15)^(Exploitation_elec!V$3-Exploitation_elec!$F$3)/1000,0)</f>
        <v>0</v>
      </c>
      <c r="W14" s="580">
        <f>-IF(AND(W$3&gt;=YEAR(electrification_input!$E$55),W$3&lt;=YEAR(electrification_input!$D$7)),Gas_production!W$5*IF(electrification_input!$E$54&gt;0,electrification_input!$E$54,HLOOKUP(Revenues_elec!W3,Pipeline_CAPEX_OPEX!$AY$51:$CG$54,4,FALSE)/1000)*(1+electrification_input!$D$15)^(Exploitation_elec!W$3-Exploitation_elec!$F$3)/1000,0)</f>
        <v>0</v>
      </c>
      <c r="X14" s="580">
        <f>-IF(AND(X$3&gt;=YEAR(electrification_input!$E$55),X$3&lt;=YEAR(electrification_input!$D$7)),Gas_production!X$5*IF(electrification_input!$E$54&gt;0,electrification_input!$E$54,HLOOKUP(Revenues_elec!X3,Pipeline_CAPEX_OPEX!$AY$51:$CG$54,4,FALSE)/1000)*(1+electrification_input!$D$15)^(Exploitation_elec!X$3-Exploitation_elec!$F$3)/1000,0)</f>
        <v>0</v>
      </c>
      <c r="Y14" s="580">
        <f>-IF(AND(Y$3&gt;=YEAR(electrification_input!$E$55),Y$3&lt;=YEAR(electrification_input!$D$7)),Gas_production!Y$5*IF(electrification_input!$E$54&gt;0,electrification_input!$E$54,HLOOKUP(Revenues_elec!Y3,Pipeline_CAPEX_OPEX!$AY$51:$CG$54,4,FALSE)/1000)*(1+electrification_input!$D$15)^(Exploitation_elec!Y$3-Exploitation_elec!$F$3)/1000,0)</f>
        <v>0</v>
      </c>
      <c r="Z14" s="580">
        <f>-IF(AND(Z$3&gt;=YEAR(electrification_input!$E$55),Z$3&lt;=YEAR(electrification_input!$D$7)),Gas_production!Z$5*IF(electrification_input!$E$54&gt;0,electrification_input!$E$54,HLOOKUP(Revenues_elec!Z3,Pipeline_CAPEX_OPEX!$AY$51:$CG$54,4,FALSE)/1000)*(1+electrification_input!$D$15)^(Exploitation_elec!Z$3-Exploitation_elec!$F$3)/1000,0)</f>
        <v>0</v>
      </c>
      <c r="AA14" s="580">
        <f>-IF(AND(AA$3&gt;=YEAR(electrification_input!$E$55),AA$3&lt;=YEAR(electrification_input!$D$7)),Gas_production!AA$5*IF(electrification_input!$E$54&gt;0,electrification_input!$E$54,HLOOKUP(Revenues_elec!AA3,Pipeline_CAPEX_OPEX!$AY$51:$CG$54,4,FALSE)/1000)*(1+electrification_input!$D$15)^(Exploitation_elec!AA$3-Exploitation_elec!$F$3)/1000,0)</f>
        <v>0</v>
      </c>
      <c r="AB14" s="580">
        <f>-IF(AND(AB$3&gt;=YEAR(electrification_input!$E$55),AB$3&lt;=YEAR(electrification_input!$D$7)),Gas_production!AB$5*IF(electrification_input!$E$54&gt;0,electrification_input!$E$54,HLOOKUP(Revenues_elec!AB3,Pipeline_CAPEX_OPEX!$AY$51:$CG$54,4,FALSE)/1000)*(1+electrification_input!$D$15)^(Exploitation_elec!AB$3-Exploitation_elec!$F$3)/1000,0)</f>
        <v>0</v>
      </c>
      <c r="AC14" s="580">
        <f>-IF(AND(AC$3&gt;=YEAR(electrification_input!$E$55),AC$3&lt;=YEAR(electrification_input!$D$7)),Gas_production!AC$5*IF(electrification_input!$E$54&gt;0,electrification_input!$E$54,HLOOKUP(Revenues_elec!AC3,Pipeline_CAPEX_OPEX!$AY$51:$CG$54,4,FALSE)/1000)*(1+electrification_input!$D$15)^(Exploitation_elec!AC$3-Exploitation_elec!$F$3)/1000,0)</f>
        <v>0</v>
      </c>
      <c r="AD14" s="580">
        <f>-IF(AND(AD$3&gt;=YEAR(electrification_input!$E$55),AD$3&lt;=YEAR(electrification_input!$D$7)),Gas_production!AD$5*IF(electrification_input!$E$54&gt;0,electrification_input!$E$54,HLOOKUP(Revenues_elec!AD3,Pipeline_CAPEX_OPEX!$AY$51:$CG$54,4,FALSE)/1000)*(1+electrification_input!$D$15)^(Exploitation_elec!AD$3-Exploitation_elec!$F$3)/1000,0)</f>
        <v>0</v>
      </c>
      <c r="AE14" s="580">
        <f>-IF(AND(AE$3&gt;=YEAR(electrification_input!$E$55),AE$3&lt;=YEAR(electrification_input!$D$7)),Gas_production!AE$5*IF(electrification_input!$E$54&gt;0,electrification_input!$E$54,HLOOKUP(Revenues_elec!AE3,Pipeline_CAPEX_OPEX!$AY$51:$CG$54,4,FALSE)/1000)*(1+electrification_input!$D$15)^(Exploitation_elec!AE$3-Exploitation_elec!$F$3)/1000,0)</f>
        <v>0</v>
      </c>
      <c r="AF14" s="580">
        <f>-IF(AND(AF$3&gt;=YEAR(electrification_input!$E$55),AF$3&lt;=YEAR(electrification_input!$D$7)),Gas_production!AF$5*IF(electrification_input!$E$54&gt;0,electrification_input!$E$54,HLOOKUP(Revenues_elec!AF3,Pipeline_CAPEX_OPEX!$AY$51:$CG$54,4,FALSE)/1000)*(1+electrification_input!$D$15)^(Exploitation_elec!AF$3-Exploitation_elec!$F$3)/1000,0)</f>
        <v>0</v>
      </c>
      <c r="AG14" s="580">
        <f>-IF(AND(AG$3&gt;=YEAR(electrification_input!$E$55),AG$3&lt;=YEAR(electrification_input!$D$7)),Gas_production!AG$5*IF(electrification_input!$E$54&gt;0,electrification_input!$E$54,HLOOKUP(Revenues_elec!AG3,Pipeline_CAPEX_OPEX!$AY$51:$CG$54,4,FALSE)/1000)*(1+electrification_input!$D$15)^(Exploitation_elec!AG$3-Exploitation_elec!$F$3)/1000,0)</f>
        <v>0</v>
      </c>
      <c r="AH14" s="580">
        <f>-IF(AND(AH$3&gt;=YEAR(electrification_input!$E$55),AH$3&lt;=YEAR(electrification_input!$D$7)),Gas_production!AH$5*IF(electrification_input!$E$54&gt;0,electrification_input!$E$54,HLOOKUP(Revenues_elec!AH3,Pipeline_CAPEX_OPEX!$AY$51:$CG$54,4,FALSE)/1000)*(1+electrification_input!$D$15)^(Exploitation_elec!AH$3-Exploitation_elec!$F$3)/1000,0)</f>
        <v>0</v>
      </c>
      <c r="AI14" s="580">
        <f>-IF(AND(AI$3&gt;=YEAR(electrification_input!$E$55),AI$3&lt;=YEAR(electrification_input!$D$7)),Gas_production!AI$5*IF(electrification_input!$E$54&gt;0,electrification_input!$E$54,HLOOKUP(Revenues_elec!AI3,Pipeline_CAPEX_OPEX!$AY$51:$CG$54,4,FALSE)/1000)*(1+electrification_input!$D$15)^(Exploitation_elec!AI$3-Exploitation_elec!$F$3)/1000,0)</f>
        <v>0</v>
      </c>
      <c r="AJ14" s="580">
        <f>-IF(AND(AJ$3&gt;=YEAR(electrification_input!$E$55),AJ$3&lt;=YEAR(electrification_input!$D$7)),Gas_production!AJ$5*IF(electrification_input!$E$54&gt;0,electrification_input!$E$54,HLOOKUP(Revenues_elec!AJ3,Pipeline_CAPEX_OPEX!$AY$51:$CG$54,4,FALSE)/1000)*(1+electrification_input!$D$15)^(Exploitation_elec!AJ$3-Exploitation_elec!$F$3)/1000,0)</f>
        <v>0</v>
      </c>
      <c r="AK14" s="580">
        <f>-IF(AND(AK$3&gt;=YEAR(electrification_input!$E$55),AK$3&lt;=YEAR(electrification_input!$D$7)),Gas_production!AK$5*IF(electrification_input!$E$54&gt;0,electrification_input!$E$54,HLOOKUP(Revenues_elec!AK3,Pipeline_CAPEX_OPEX!$AY$51:$CG$54,4,FALSE)/1000)*(1+electrification_input!$D$15)^(Exploitation_elec!AK$3-Exploitation_elec!$F$3)/1000,0)</f>
        <v>0</v>
      </c>
      <c r="AL14" s="580">
        <f>-IF(AND(AL$3&gt;=YEAR(electrification_input!$E$55),AL$3&lt;=YEAR(electrification_input!$D$7)),Gas_production!AL$5*IF(electrification_input!$E$54&gt;0,electrification_input!$E$54,HLOOKUP(Revenues_elec!AL3,Pipeline_CAPEX_OPEX!$AY$51:$CG$54,4,FALSE)/1000)*(1+electrification_input!$D$15)^(Exploitation_elec!AL$3-Exploitation_elec!$F$3)/1000,0)</f>
        <v>0</v>
      </c>
      <c r="AM14" s="580">
        <f>-IF(AND(AM$3&gt;=YEAR(electrification_input!$E$55),AM$3&lt;=YEAR(electrification_input!$D$7)),Gas_production!AM$5*IF(electrification_input!$E$54&gt;0,electrification_input!$E$54,HLOOKUP(Revenues_elec!AM3,Pipeline_CAPEX_OPEX!$AY$51:$CG$54,4,FALSE)/1000)*(1+electrification_input!$D$15)^(Exploitation_elec!AM$3-Exploitation_elec!$F$3)/1000,0)</f>
        <v>0</v>
      </c>
      <c r="AN14" s="580">
        <f>-IF(AND(AN$3&gt;=YEAR(electrification_input!$E$55),AN$3&lt;=YEAR(electrification_input!$D$7)),Gas_production!AN$5*IF(electrification_input!$E$54&gt;0,electrification_input!$E$54,HLOOKUP(Revenues_elec!AN3,Pipeline_CAPEX_OPEX!$AY$51:$CG$54,4,FALSE)/1000)*(1+electrification_input!$D$15)^(Exploitation_elec!AN$3-Exploitation_elec!$F$3)/1000,0)</f>
        <v>0</v>
      </c>
      <c r="AO14" s="580">
        <f>-IF(AND(AO$3&gt;=YEAR(electrification_input!$E$55),AO$3&lt;=YEAR(electrification_input!$D$7)),Gas_production!AO$5*IF(electrification_input!$E$54&gt;0,electrification_input!$E$54,HLOOKUP(Revenues_elec!AO3,Pipeline_CAPEX_OPEX!$AY$51:$CG$54,4,FALSE)/1000)*(1+electrification_input!$D$15)^(Exploitation_elec!AO$3-Exploitation_elec!$F$3)/1000,0)</f>
        <v>0</v>
      </c>
      <c r="AP14" s="580">
        <f>-IF(AND(AP$3&gt;=YEAR(electrification_input!$E$55),AP$3&lt;=YEAR(electrification_input!$D$7)),Gas_production!AP$5*IF(electrification_input!$E$54&gt;0,electrification_input!$E$54,HLOOKUP(Revenues_elec!AP3,Pipeline_CAPEX_OPEX!$AY$51:$CG$54,4,FALSE)/1000)*(1+electrification_input!$D$15)^(Exploitation_elec!AP$3-Exploitation_elec!$F$3)/1000,0)</f>
        <v>0</v>
      </c>
      <c r="AQ14" s="580">
        <f>-IF(AND(AQ$3&gt;=YEAR(electrification_input!$E$55),AQ$3&lt;=YEAR(electrification_input!$D$7)),Gas_production!AQ$5*IF(electrification_input!$E$54&gt;0,electrification_input!$E$54,HLOOKUP(Revenues_elec!AQ3,Pipeline_CAPEX_OPEX!$AY$51:$CG$54,4,FALSE)/1000)*(1+electrification_input!$D$15)^(Exploitation_elec!AQ$3-Exploitation_elec!$F$3)/1000,0)</f>
        <v>0</v>
      </c>
      <c r="AR14" s="580">
        <f>-IF(AND(AR$3&gt;=YEAR(electrification_input!$E$55),AR$3&lt;=YEAR(electrification_input!$D$7)),Gas_production!AR$5*IF(electrification_input!$E$54&gt;0,electrification_input!$E$54,HLOOKUP(Revenues_elec!AR3,Pipeline_CAPEX_OPEX!$AY$51:$CG$54,4,FALSE)/1000)*(1+electrification_input!$D$15)^(Exploitation_elec!AR$3-Exploitation_elec!$F$3)/1000,0)</f>
        <v>0</v>
      </c>
      <c r="AS14" s="580">
        <f>-IF(AND(AS$3&gt;=YEAR(electrification_input!$E$55),AS$3&lt;=YEAR(electrification_input!$D$7)),Gas_production!AS$5*IF(electrification_input!$E$54&gt;0,electrification_input!$E$54,HLOOKUP(Revenues_elec!AS3,Pipeline_CAPEX_OPEX!$AY$51:$CG$54,4,FALSE)/1000)*(1+electrification_input!$D$15)^(Exploitation_elec!AS$3-Exploitation_elec!$F$3)/1000,0)</f>
        <v>0</v>
      </c>
      <c r="AT14" s="580">
        <f>-IF(AND(AT$3&gt;=YEAR(electrification_input!$E$55),AT$3&lt;=YEAR(electrification_input!$D$7)),Gas_production!AT$5*IF(electrification_input!$E$54&gt;0,electrification_input!$E$54,HLOOKUP(Revenues_elec!AT3,Pipeline_CAPEX_OPEX!$AY$51:$CG$54,4,FALSE)/1000)*(1+electrification_input!$D$15)^(Exploitation_elec!AT$3-Exploitation_elec!$F$3)/1000,0)</f>
        <v>0</v>
      </c>
      <c r="AU14" s="580">
        <f>-IF(AND(AU$3&gt;=YEAR(electrification_input!$E$55),AU$3&lt;=YEAR(electrification_input!$D$7)),Gas_production!AU$5*IF(electrification_input!$E$54&gt;0,electrification_input!$E$54,HLOOKUP(Revenues_elec!AU3,Pipeline_CAPEX_OPEX!$AY$51:$CG$54,4,FALSE)/1000)*(1+electrification_input!$D$15)^(Exploitation_elec!AU$3-Exploitation_elec!$F$3)/1000,0)</f>
        <v>0</v>
      </c>
      <c r="AV14" s="580">
        <f>-IF(AND(AV$3&gt;=YEAR(electrification_input!$E$55),AV$3&lt;=YEAR(electrification_input!$D$7)),Gas_production!AV$5*IF(electrification_input!$E$54&gt;0,electrification_input!$E$54,HLOOKUP(Revenues_elec!AV3,Pipeline_CAPEX_OPEX!$AY$51:$CG$54,4,FALSE)/1000)*(1+electrification_input!$D$15)^(Exploitation_elec!AV$3-Exploitation_elec!$F$3)/1000,0)</f>
        <v>0</v>
      </c>
      <c r="AW14" s="580">
        <f>-IF(AND(AW$3&gt;=YEAR(electrification_input!$E$55),AW$3&lt;=YEAR(electrification_input!$D$7)),Gas_production!AW$5*IF(electrification_input!$E$54&gt;0,electrification_input!$E$54,HLOOKUP(Revenues_elec!AW3,Pipeline_CAPEX_OPEX!$AY$51:$CG$54,4,FALSE)/1000)*(1+electrification_input!$D$15)^(Exploitation_elec!AW$3-Exploitation_elec!$F$3)/1000,0)</f>
        <v>0</v>
      </c>
      <c r="AX14" s="580">
        <f>-IF(AND(AX$3&gt;=YEAR(electrification_input!$E$55),AX$3&lt;=YEAR(electrification_input!$D$7)),Gas_production!AX$5*IF(electrification_input!$E$54&gt;0,electrification_input!$E$54,HLOOKUP(Revenues_elec!AX3,Pipeline_CAPEX_OPEX!$AY$51:$CG$54,4,FALSE)/1000)*(1+electrification_input!$D$15)^(Exploitation_elec!AX$3-Exploitation_elec!$F$3)/1000,0)</f>
        <v>0</v>
      </c>
      <c r="AY14" s="580">
        <f>-IF(AND(AY$3&gt;=YEAR(electrification_input!$E$55),AY$3&lt;=YEAR(electrification_input!$D$7)),Gas_production!AY$5*IF(electrification_input!$E$54&gt;0,electrification_input!$E$54,HLOOKUP(Revenues_elec!AY3,Pipeline_CAPEX_OPEX!$AY$51:$CG$54,4,FALSE)/1000)*(1+electrification_input!$D$15)^(Exploitation_elec!AY$3-Exploitation_elec!$F$3)/1000,0)</f>
        <v>0</v>
      </c>
      <c r="AZ14" s="580">
        <f>-IF(AND(AZ$3&gt;=YEAR(electrification_input!$E$55),AZ$3&lt;=YEAR(electrification_input!$D$7)),Gas_production!AZ$5*IF(electrification_input!$E$54&gt;0,electrification_input!$E$54,HLOOKUP(Revenues_elec!AZ3,Pipeline_CAPEX_OPEX!$AY$51:$CG$54,4,FALSE)/1000)*(1+electrification_input!$D$15)^(Exploitation_elec!AZ$3-Exploitation_elec!$F$3)/1000,0)</f>
        <v>0</v>
      </c>
      <c r="BA14" s="580">
        <f>-IF(AND(BA$3&gt;=YEAR(electrification_input!$E$55),BA$3&lt;=YEAR(electrification_input!$D$7)),Gas_production!BA$5*IF(electrification_input!$E$54&gt;0,electrification_input!$E$54,HLOOKUP(Revenues_elec!BA3,Pipeline_CAPEX_OPEX!$AY$51:$CG$54,4,FALSE)/1000)*(1+electrification_input!$D$15)^(Exploitation_elec!BA$3-Exploitation_elec!$F$3)/1000,0)</f>
        <v>0</v>
      </c>
    </row>
    <row r="15" spans="2:53" x14ac:dyDescent="0.25">
      <c r="B15" s="566"/>
      <c r="C15" s="566"/>
      <c r="D15" s="584"/>
      <c r="E15" s="566"/>
      <c r="F15" s="585"/>
      <c r="G15" s="585"/>
      <c r="H15" s="585"/>
      <c r="I15" s="585"/>
      <c r="J15" s="585"/>
      <c r="K15" s="585"/>
      <c r="L15" s="585"/>
      <c r="M15" s="585"/>
      <c r="N15" s="585"/>
      <c r="O15" s="585"/>
      <c r="P15" s="585"/>
      <c r="Q15" s="585"/>
      <c r="R15" s="585"/>
      <c r="S15" s="585"/>
      <c r="T15" s="585"/>
      <c r="U15" s="585"/>
      <c r="V15" s="585"/>
      <c r="W15" s="585"/>
      <c r="X15" s="585"/>
      <c r="Y15" s="585"/>
      <c r="Z15" s="585"/>
      <c r="AA15" s="585"/>
      <c r="AB15" s="585"/>
      <c r="AC15" s="585"/>
      <c r="AD15" s="585"/>
      <c r="AE15" s="585"/>
      <c r="AF15" s="585"/>
      <c r="AG15" s="585"/>
      <c r="AH15" s="585"/>
      <c r="AI15" s="585"/>
      <c r="AJ15" s="585"/>
      <c r="AK15" s="585"/>
      <c r="AL15" s="585"/>
      <c r="AM15" s="585"/>
      <c r="AN15" s="585"/>
      <c r="AO15" s="585"/>
      <c r="AP15" s="585"/>
      <c r="AQ15" s="585"/>
      <c r="AR15" s="585"/>
      <c r="AS15" s="585"/>
      <c r="AT15" s="585"/>
      <c r="AU15" s="585"/>
      <c r="AV15" s="585"/>
      <c r="AW15" s="585"/>
      <c r="AX15" s="585"/>
      <c r="AY15" s="585"/>
      <c r="AZ15" s="585"/>
      <c r="BA15" s="585"/>
    </row>
    <row r="17" spans="12:12" x14ac:dyDescent="0.25">
      <c r="L17" s="913"/>
    </row>
  </sheetData>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
    <tabColor rgb="FFFFFF00"/>
  </sheetPr>
  <dimension ref="B2:BA15"/>
  <sheetViews>
    <sheetView showGridLines="0" zoomScale="85" zoomScaleNormal="85" workbookViewId="0">
      <pane xSplit="5" ySplit="3" topLeftCell="F4" activePane="bottomRight" state="frozen"/>
      <selection pane="topRight" activeCell="F1" sqref="F1"/>
      <selection pane="bottomLeft" activeCell="A4" sqref="A4"/>
      <selection pane="bottomRight" activeCell="J12" sqref="J12"/>
    </sheetView>
  </sheetViews>
  <sheetFormatPr defaultColWidth="9.140625" defaultRowHeight="15" x14ac:dyDescent="0.25"/>
  <cols>
    <col min="1" max="1" width="3.7109375" style="171" customWidth="1"/>
    <col min="2" max="2" width="33.7109375" style="171" customWidth="1"/>
    <col min="3" max="3" width="7.42578125" style="171" customWidth="1"/>
    <col min="4" max="4" width="13.140625" style="171" customWidth="1"/>
    <col min="5" max="5" width="6" style="171" customWidth="1"/>
    <col min="6" max="6" width="12.28515625" style="171" bestFit="1" customWidth="1"/>
    <col min="7" max="7" width="9.140625" style="171" bestFit="1" customWidth="1"/>
    <col min="8" max="11" width="10.28515625" style="171" bestFit="1" customWidth="1"/>
    <col min="12" max="12" width="11.28515625" style="171" customWidth="1"/>
    <col min="13" max="14" width="9.28515625" style="171" bestFit="1" customWidth="1"/>
    <col min="15" max="15" width="9.140625" style="171" bestFit="1" customWidth="1"/>
    <col min="16" max="23" width="10.28515625" style="171" bestFit="1" customWidth="1"/>
    <col min="24" max="28" width="8.7109375" style="171" bestFit="1" customWidth="1"/>
    <col min="29" max="41" width="7.5703125" style="171" customWidth="1"/>
    <col min="42" max="16384" width="9.140625" style="171"/>
  </cols>
  <sheetData>
    <row r="2" spans="2:53" ht="31.5" x14ac:dyDescent="0.5">
      <c r="B2" s="1265" t="str">
        <f>"Electrification revenues ("&amp;Parameters!$D$6&amp;")"</f>
        <v>Electrification revenues (P15 Scenario 1)</v>
      </c>
    </row>
    <row r="3" spans="2:53" x14ac:dyDescent="0.25">
      <c r="B3" s="566"/>
      <c r="C3" s="566"/>
      <c r="D3" s="566"/>
      <c r="E3" s="566"/>
      <c r="F3" s="563">
        <f>'Output E'!G5</f>
        <v>2018</v>
      </c>
      <c r="G3" s="563">
        <f>F3+1</f>
        <v>2019</v>
      </c>
      <c r="H3" s="563">
        <f t="shared" ref="H3:T3" si="0">G3+1</f>
        <v>2020</v>
      </c>
      <c r="I3" s="563">
        <f t="shared" si="0"/>
        <v>2021</v>
      </c>
      <c r="J3" s="563">
        <f t="shared" si="0"/>
        <v>2022</v>
      </c>
      <c r="K3" s="563">
        <f t="shared" si="0"/>
        <v>2023</v>
      </c>
      <c r="L3" s="563">
        <f t="shared" si="0"/>
        <v>2024</v>
      </c>
      <c r="M3" s="563">
        <f t="shared" si="0"/>
        <v>2025</v>
      </c>
      <c r="N3" s="563">
        <f t="shared" si="0"/>
        <v>2026</v>
      </c>
      <c r="O3" s="563">
        <f t="shared" si="0"/>
        <v>2027</v>
      </c>
      <c r="P3" s="563">
        <f t="shared" si="0"/>
        <v>2028</v>
      </c>
      <c r="Q3" s="563">
        <f t="shared" si="0"/>
        <v>2029</v>
      </c>
      <c r="R3" s="563">
        <f t="shared" si="0"/>
        <v>2030</v>
      </c>
      <c r="S3" s="563">
        <f t="shared" si="0"/>
        <v>2031</v>
      </c>
      <c r="T3" s="563">
        <f t="shared" si="0"/>
        <v>2032</v>
      </c>
      <c r="U3" s="563">
        <f>T3+1</f>
        <v>2033</v>
      </c>
      <c r="V3" s="563">
        <f t="shared" ref="V3:AT3" si="1">U3+1</f>
        <v>2034</v>
      </c>
      <c r="W3" s="563">
        <f t="shared" si="1"/>
        <v>2035</v>
      </c>
      <c r="X3" s="563">
        <f t="shared" si="1"/>
        <v>2036</v>
      </c>
      <c r="Y3" s="563">
        <f t="shared" si="1"/>
        <v>2037</v>
      </c>
      <c r="Z3" s="563">
        <f t="shared" si="1"/>
        <v>2038</v>
      </c>
      <c r="AA3" s="563">
        <f t="shared" si="1"/>
        <v>2039</v>
      </c>
      <c r="AB3" s="563">
        <f t="shared" si="1"/>
        <v>2040</v>
      </c>
      <c r="AC3" s="563">
        <f t="shared" si="1"/>
        <v>2041</v>
      </c>
      <c r="AD3" s="563">
        <f t="shared" si="1"/>
        <v>2042</v>
      </c>
      <c r="AE3" s="563">
        <f t="shared" si="1"/>
        <v>2043</v>
      </c>
      <c r="AF3" s="563">
        <f t="shared" si="1"/>
        <v>2044</v>
      </c>
      <c r="AG3" s="563">
        <f t="shared" si="1"/>
        <v>2045</v>
      </c>
      <c r="AH3" s="563">
        <f t="shared" si="1"/>
        <v>2046</v>
      </c>
      <c r="AI3" s="563">
        <f t="shared" si="1"/>
        <v>2047</v>
      </c>
      <c r="AJ3" s="563">
        <f t="shared" si="1"/>
        <v>2048</v>
      </c>
      <c r="AK3" s="563">
        <f t="shared" si="1"/>
        <v>2049</v>
      </c>
      <c r="AL3" s="563">
        <f t="shared" si="1"/>
        <v>2050</v>
      </c>
      <c r="AM3" s="563">
        <f t="shared" si="1"/>
        <v>2051</v>
      </c>
      <c r="AN3" s="563">
        <f t="shared" si="1"/>
        <v>2052</v>
      </c>
      <c r="AO3" s="563">
        <f t="shared" si="1"/>
        <v>2053</v>
      </c>
      <c r="AP3" s="563">
        <f t="shared" si="1"/>
        <v>2054</v>
      </c>
      <c r="AQ3" s="563">
        <f t="shared" si="1"/>
        <v>2055</v>
      </c>
      <c r="AR3" s="563">
        <f t="shared" si="1"/>
        <v>2056</v>
      </c>
      <c r="AS3" s="563">
        <f t="shared" si="1"/>
        <v>2057</v>
      </c>
      <c r="AT3" s="563">
        <f t="shared" si="1"/>
        <v>2058</v>
      </c>
      <c r="AU3" s="563">
        <f t="shared" ref="AU3" si="2">AT3+1</f>
        <v>2059</v>
      </c>
      <c r="AV3" s="563">
        <f t="shared" ref="AV3" si="3">AU3+1</f>
        <v>2060</v>
      </c>
      <c r="AW3" s="563">
        <f t="shared" ref="AW3" si="4">AV3+1</f>
        <v>2061</v>
      </c>
      <c r="AX3" s="563">
        <f t="shared" ref="AX3" si="5">AW3+1</f>
        <v>2062</v>
      </c>
      <c r="AY3" s="563">
        <f t="shared" ref="AY3" si="6">AX3+1</f>
        <v>2063</v>
      </c>
      <c r="AZ3" s="563">
        <f t="shared" ref="AZ3" si="7">AY3+1</f>
        <v>2064</v>
      </c>
      <c r="BA3" s="563">
        <f t="shared" ref="BA3" si="8">AZ3+1</f>
        <v>2065</v>
      </c>
    </row>
    <row r="4" spans="2:53" ht="15.75" x14ac:dyDescent="0.25">
      <c r="B4" s="501" t="s">
        <v>720</v>
      </c>
      <c r="C4" s="501"/>
      <c r="D4" s="561">
        <f>SUM(F4:AT4)</f>
        <v>0</v>
      </c>
      <c r="E4" s="502"/>
      <c r="F4" s="502">
        <f t="shared" ref="F4:BA4" si="9">SUM(F5:F5)</f>
        <v>0</v>
      </c>
      <c r="G4" s="502">
        <f t="shared" si="9"/>
        <v>0</v>
      </c>
      <c r="H4" s="502">
        <f t="shared" si="9"/>
        <v>0</v>
      </c>
      <c r="I4" s="502">
        <f t="shared" si="9"/>
        <v>0</v>
      </c>
      <c r="J4" s="502">
        <f t="shared" si="9"/>
        <v>0</v>
      </c>
      <c r="K4" s="502">
        <f t="shared" si="9"/>
        <v>0</v>
      </c>
      <c r="L4" s="502">
        <f t="shared" si="9"/>
        <v>0</v>
      </c>
      <c r="M4" s="502">
        <f t="shared" si="9"/>
        <v>0</v>
      </c>
      <c r="N4" s="502">
        <f t="shared" si="9"/>
        <v>0</v>
      </c>
      <c r="O4" s="502">
        <f t="shared" si="9"/>
        <v>0</v>
      </c>
      <c r="P4" s="502">
        <f t="shared" si="9"/>
        <v>0</v>
      </c>
      <c r="Q4" s="502">
        <f t="shared" si="9"/>
        <v>0</v>
      </c>
      <c r="R4" s="502">
        <f t="shared" si="9"/>
        <v>0</v>
      </c>
      <c r="S4" s="502">
        <f t="shared" si="9"/>
        <v>0</v>
      </c>
      <c r="T4" s="502">
        <f t="shared" si="9"/>
        <v>0</v>
      </c>
      <c r="U4" s="502">
        <f t="shared" si="9"/>
        <v>0</v>
      </c>
      <c r="V4" s="502">
        <f t="shared" si="9"/>
        <v>0</v>
      </c>
      <c r="W4" s="502">
        <f t="shared" si="9"/>
        <v>0</v>
      </c>
      <c r="X4" s="502">
        <f t="shared" si="9"/>
        <v>0</v>
      </c>
      <c r="Y4" s="502">
        <f t="shared" si="9"/>
        <v>0</v>
      </c>
      <c r="Z4" s="502">
        <f t="shared" si="9"/>
        <v>0</v>
      </c>
      <c r="AA4" s="502">
        <f t="shared" si="9"/>
        <v>0</v>
      </c>
      <c r="AB4" s="502">
        <f t="shared" si="9"/>
        <v>0</v>
      </c>
      <c r="AC4" s="502">
        <f t="shared" si="9"/>
        <v>0</v>
      </c>
      <c r="AD4" s="502">
        <f t="shared" si="9"/>
        <v>0</v>
      </c>
      <c r="AE4" s="502">
        <f t="shared" si="9"/>
        <v>0</v>
      </c>
      <c r="AF4" s="502">
        <f t="shared" si="9"/>
        <v>0</v>
      </c>
      <c r="AG4" s="502">
        <f t="shared" si="9"/>
        <v>0</v>
      </c>
      <c r="AH4" s="502">
        <f t="shared" si="9"/>
        <v>0</v>
      </c>
      <c r="AI4" s="502">
        <f t="shared" si="9"/>
        <v>0</v>
      </c>
      <c r="AJ4" s="502">
        <f t="shared" si="9"/>
        <v>0</v>
      </c>
      <c r="AK4" s="502">
        <f t="shared" si="9"/>
        <v>0</v>
      </c>
      <c r="AL4" s="502">
        <f t="shared" si="9"/>
        <v>0</v>
      </c>
      <c r="AM4" s="502">
        <f t="shared" si="9"/>
        <v>0</v>
      </c>
      <c r="AN4" s="502">
        <f t="shared" si="9"/>
        <v>0</v>
      </c>
      <c r="AO4" s="502">
        <f t="shared" si="9"/>
        <v>0</v>
      </c>
      <c r="AP4" s="502">
        <f t="shared" si="9"/>
        <v>0</v>
      </c>
      <c r="AQ4" s="502">
        <f t="shared" si="9"/>
        <v>0</v>
      </c>
      <c r="AR4" s="502">
        <f t="shared" si="9"/>
        <v>0</v>
      </c>
      <c r="AS4" s="502">
        <f t="shared" si="9"/>
        <v>0</v>
      </c>
      <c r="AT4" s="502">
        <f t="shared" si="9"/>
        <v>0</v>
      </c>
      <c r="AU4" s="502">
        <f t="shared" si="9"/>
        <v>0</v>
      </c>
      <c r="AV4" s="502">
        <f t="shared" si="9"/>
        <v>0</v>
      </c>
      <c r="AW4" s="502">
        <f t="shared" si="9"/>
        <v>0</v>
      </c>
      <c r="AX4" s="502">
        <f t="shared" si="9"/>
        <v>0</v>
      </c>
      <c r="AY4" s="502">
        <f t="shared" si="9"/>
        <v>0</v>
      </c>
      <c r="AZ4" s="502">
        <f t="shared" si="9"/>
        <v>0</v>
      </c>
      <c r="BA4" s="502">
        <f t="shared" si="9"/>
        <v>0</v>
      </c>
    </row>
    <row r="5" spans="2:53" x14ac:dyDescent="0.25">
      <c r="B5" s="586" t="s">
        <v>984</v>
      </c>
      <c r="C5" s="543" t="s">
        <v>979</v>
      </c>
      <c r="D5" s="587">
        <f>SUM(F5:AT5)</f>
        <v>0</v>
      </c>
      <c r="E5" s="586"/>
      <c r="F5" s="574">
        <f>0</f>
        <v>0</v>
      </c>
      <c r="G5" s="574">
        <f>0</f>
        <v>0</v>
      </c>
      <c r="H5" s="574">
        <f>0</f>
        <v>0</v>
      </c>
      <c r="I5" s="574">
        <f>0</f>
        <v>0</v>
      </c>
      <c r="J5" s="574">
        <f>0</f>
        <v>0</v>
      </c>
      <c r="K5" s="574">
        <f>0</f>
        <v>0</v>
      </c>
      <c r="L5" s="574">
        <f>0</f>
        <v>0</v>
      </c>
      <c r="M5" s="574">
        <f>0</f>
        <v>0</v>
      </c>
      <c r="N5" s="574">
        <f>0</f>
        <v>0</v>
      </c>
      <c r="O5" s="574">
        <f>0</f>
        <v>0</v>
      </c>
      <c r="P5" s="574">
        <f>0</f>
        <v>0</v>
      </c>
      <c r="Q5" s="574">
        <f>0</f>
        <v>0</v>
      </c>
      <c r="R5" s="574">
        <f>0</f>
        <v>0</v>
      </c>
      <c r="S5" s="574">
        <f>0</f>
        <v>0</v>
      </c>
      <c r="T5" s="574">
        <f>0</f>
        <v>0</v>
      </c>
      <c r="U5" s="574">
        <f>0</f>
        <v>0</v>
      </c>
      <c r="V5" s="574">
        <f>0</f>
        <v>0</v>
      </c>
      <c r="W5" s="574">
        <f>0</f>
        <v>0</v>
      </c>
      <c r="X5" s="574">
        <f>0</f>
        <v>0</v>
      </c>
      <c r="Y5" s="574">
        <f>0</f>
        <v>0</v>
      </c>
      <c r="Z5" s="574">
        <f>0</f>
        <v>0</v>
      </c>
      <c r="AA5" s="574">
        <f>0</f>
        <v>0</v>
      </c>
      <c r="AB5" s="574">
        <f>0</f>
        <v>0</v>
      </c>
      <c r="AC5" s="574">
        <f>0</f>
        <v>0</v>
      </c>
      <c r="AD5" s="574">
        <f>0</f>
        <v>0</v>
      </c>
      <c r="AE5" s="574">
        <f>0</f>
        <v>0</v>
      </c>
      <c r="AF5" s="574">
        <f>0</f>
        <v>0</v>
      </c>
      <c r="AG5" s="574">
        <f>0</f>
        <v>0</v>
      </c>
      <c r="AH5" s="574">
        <f>0</f>
        <v>0</v>
      </c>
      <c r="AI5" s="574">
        <f>0</f>
        <v>0</v>
      </c>
      <c r="AJ5" s="574">
        <f>0</f>
        <v>0</v>
      </c>
      <c r="AK5" s="574">
        <f>0</f>
        <v>0</v>
      </c>
      <c r="AL5" s="574">
        <f>0</f>
        <v>0</v>
      </c>
      <c r="AM5" s="574">
        <f>0</f>
        <v>0</v>
      </c>
      <c r="AN5" s="574">
        <f>0</f>
        <v>0</v>
      </c>
      <c r="AO5" s="574">
        <f>0</f>
        <v>0</v>
      </c>
      <c r="AP5" s="574">
        <f>0</f>
        <v>0</v>
      </c>
      <c r="AQ5" s="574">
        <f>0</f>
        <v>0</v>
      </c>
      <c r="AR5" s="574">
        <f>0</f>
        <v>0</v>
      </c>
      <c r="AS5" s="574">
        <f>0</f>
        <v>0</v>
      </c>
      <c r="AT5" s="574">
        <f>0</f>
        <v>0</v>
      </c>
      <c r="AU5" s="574">
        <f>0</f>
        <v>0</v>
      </c>
      <c r="AV5" s="574">
        <f>0</f>
        <v>0</v>
      </c>
      <c r="AW5" s="574">
        <f>0</f>
        <v>0</v>
      </c>
      <c r="AX5" s="574">
        <f>0</f>
        <v>0</v>
      </c>
      <c r="AY5" s="574">
        <f>0</f>
        <v>0</v>
      </c>
      <c r="AZ5" s="574">
        <f>0</f>
        <v>0</v>
      </c>
      <c r="BA5" s="574">
        <f>0</f>
        <v>0</v>
      </c>
    </row>
    <row r="6" spans="2:53" x14ac:dyDescent="0.25">
      <c r="B6" s="566"/>
      <c r="C6" s="566"/>
      <c r="D6" s="576"/>
      <c r="E6" s="566"/>
      <c r="F6" s="585"/>
      <c r="G6" s="585"/>
      <c r="H6" s="585"/>
      <c r="I6" s="585"/>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row>
    <row r="7" spans="2:53" x14ac:dyDescent="0.25">
      <c r="D7" s="575"/>
    </row>
    <row r="8" spans="2:53" ht="15.75" x14ac:dyDescent="0.25">
      <c r="B8" s="501" t="s">
        <v>1007</v>
      </c>
      <c r="C8" s="501"/>
      <c r="D8" s="561">
        <f t="shared" ref="D8:D13" si="10">SUM(F8:AT8)</f>
        <v>976238.27798200888</v>
      </c>
      <c r="E8" s="502"/>
      <c r="F8" s="561">
        <f>SUM(F9:F13)</f>
        <v>0</v>
      </c>
      <c r="G8" s="561">
        <f t="shared" ref="G8:AT8" si="11">SUM(G9:G13)</f>
        <v>0</v>
      </c>
      <c r="H8" s="561">
        <f t="shared" si="11"/>
        <v>0</v>
      </c>
      <c r="I8" s="561">
        <f t="shared" si="11"/>
        <v>0</v>
      </c>
      <c r="J8" s="561">
        <f t="shared" si="11"/>
        <v>107683.61047554664</v>
      </c>
      <c r="K8" s="561">
        <f t="shared" si="11"/>
        <v>113557.79936561163</v>
      </c>
      <c r="L8" s="561">
        <f t="shared" si="11"/>
        <v>116913.22021411391</v>
      </c>
      <c r="M8" s="561">
        <f t="shared" si="11"/>
        <v>120357.43477681003</v>
      </c>
      <c r="N8" s="561">
        <f t="shared" si="11"/>
        <v>123892.65263392834</v>
      </c>
      <c r="O8" s="561">
        <f t="shared" si="11"/>
        <v>127521.13623142066</v>
      </c>
      <c r="P8" s="561">
        <f t="shared" si="11"/>
        <v>131245.20211175911</v>
      </c>
      <c r="Q8" s="561">
        <f t="shared" si="11"/>
        <v>135067.22217281855</v>
      </c>
      <c r="R8" s="561">
        <f t="shared" si="11"/>
        <v>0</v>
      </c>
      <c r="S8" s="561">
        <f t="shared" si="11"/>
        <v>0</v>
      </c>
      <c r="T8" s="561">
        <f t="shared" si="11"/>
        <v>0</v>
      </c>
      <c r="U8" s="561">
        <f t="shared" si="11"/>
        <v>0</v>
      </c>
      <c r="V8" s="561">
        <f t="shared" si="11"/>
        <v>0</v>
      </c>
      <c r="W8" s="561">
        <f t="shared" si="11"/>
        <v>0</v>
      </c>
      <c r="X8" s="561">
        <f t="shared" si="11"/>
        <v>0</v>
      </c>
      <c r="Y8" s="561">
        <f t="shared" si="11"/>
        <v>0</v>
      </c>
      <c r="Z8" s="561">
        <f t="shared" si="11"/>
        <v>0</v>
      </c>
      <c r="AA8" s="561">
        <f t="shared" si="11"/>
        <v>0</v>
      </c>
      <c r="AB8" s="561">
        <f t="shared" si="11"/>
        <v>0</v>
      </c>
      <c r="AC8" s="561">
        <f t="shared" si="11"/>
        <v>0</v>
      </c>
      <c r="AD8" s="561">
        <f t="shared" si="11"/>
        <v>0</v>
      </c>
      <c r="AE8" s="561">
        <f t="shared" si="11"/>
        <v>0</v>
      </c>
      <c r="AF8" s="561">
        <f t="shared" si="11"/>
        <v>0</v>
      </c>
      <c r="AG8" s="561">
        <f t="shared" si="11"/>
        <v>0</v>
      </c>
      <c r="AH8" s="561">
        <f t="shared" si="11"/>
        <v>0</v>
      </c>
      <c r="AI8" s="561">
        <f t="shared" si="11"/>
        <v>0</v>
      </c>
      <c r="AJ8" s="561">
        <f t="shared" si="11"/>
        <v>0</v>
      </c>
      <c r="AK8" s="561">
        <f t="shared" si="11"/>
        <v>0</v>
      </c>
      <c r="AL8" s="561">
        <f t="shared" si="11"/>
        <v>0</v>
      </c>
      <c r="AM8" s="561">
        <f t="shared" si="11"/>
        <v>0</v>
      </c>
      <c r="AN8" s="561">
        <f t="shared" si="11"/>
        <v>0</v>
      </c>
      <c r="AO8" s="561">
        <f t="shared" si="11"/>
        <v>0</v>
      </c>
      <c r="AP8" s="561">
        <f t="shared" si="11"/>
        <v>0</v>
      </c>
      <c r="AQ8" s="561">
        <f t="shared" si="11"/>
        <v>0</v>
      </c>
      <c r="AR8" s="561">
        <f t="shared" si="11"/>
        <v>0</v>
      </c>
      <c r="AS8" s="561">
        <f t="shared" si="11"/>
        <v>0</v>
      </c>
      <c r="AT8" s="561">
        <f t="shared" si="11"/>
        <v>0</v>
      </c>
      <c r="AU8" s="561">
        <f t="shared" ref="AU8:BA8" si="12">SUM(AU9:AU13)</f>
        <v>0</v>
      </c>
      <c r="AV8" s="561">
        <f t="shared" si="12"/>
        <v>0</v>
      </c>
      <c r="AW8" s="561">
        <f t="shared" si="12"/>
        <v>0</v>
      </c>
      <c r="AX8" s="561">
        <f t="shared" si="12"/>
        <v>0</v>
      </c>
      <c r="AY8" s="561">
        <f t="shared" si="12"/>
        <v>0</v>
      </c>
      <c r="AZ8" s="561">
        <f t="shared" si="12"/>
        <v>0</v>
      </c>
      <c r="BA8" s="561">
        <f t="shared" si="12"/>
        <v>0</v>
      </c>
    </row>
    <row r="9" spans="2:53" x14ac:dyDescent="0.25">
      <c r="B9" s="571" t="s">
        <v>992</v>
      </c>
      <c r="C9" s="543" t="s">
        <v>979</v>
      </c>
      <c r="D9" s="587">
        <f t="shared" si="10"/>
        <v>8562.5154086008606</v>
      </c>
      <c r="E9" s="586"/>
      <c r="F9" s="588">
        <f>IF(AND(F3&gt;=YEAR(electrification_input!$E$55),F3&lt;=YEAR(electrification_input!$D$7)),electrification_input!$D$21*electrification_input!$D$30*HLOOKUP(F3,'Gas price scenarios'!$C$22:$BB$23,2,FALSE)*(1+electrification_input!$D$15)^(F$3-$F$3)/1000,0)</f>
        <v>0</v>
      </c>
      <c r="G9" s="588">
        <f>IF(AND(G3&gt;=YEAR(electrification_input!$E$55),G3&lt;=YEAR(electrification_input!$D$7)),electrification_input!$D$21*electrification_input!$D$30*HLOOKUP(G3,'Gas price scenarios'!$C$22:$BB$23,2,FALSE)*(1+electrification_input!$D$15)^(G$3-$F$3)/1000,0)</f>
        <v>0</v>
      </c>
      <c r="H9" s="588">
        <f>IF(AND(H3&gt;=YEAR(electrification_input!$E$55),H3&lt;=YEAR(electrification_input!$D$7)),electrification_input!$D$21*electrification_input!$D$30*HLOOKUP(H3,'Gas price scenarios'!$C$22:$BB$23,2,FALSE)*(1+electrification_input!$D$15)^(H$3-$F$3)/1000,0)</f>
        <v>0</v>
      </c>
      <c r="I9" s="588">
        <f>IF(AND(I3&gt;=YEAR(electrification_input!$E$55),I3&lt;=YEAR(electrification_input!$D$7)),electrification_input!$D$21*electrification_input!$D$30*HLOOKUP(I3,'Gas price scenarios'!$C$22:$BB$23,2,FALSE)*(1+electrification_input!$D$15)^(I$3-$F$3)/1000,0)</f>
        <v>0</v>
      </c>
      <c r="J9" s="588">
        <f>IF(AND(J3&gt;=YEAR(electrification_input!$E$55),J3&lt;=YEAR(electrification_input!$D$7)),electrification_input!$D$21*electrification_input!$D$30*HLOOKUP(J3,'Gas price scenarios'!$C$22:$BB$23,2,FALSE)*(1+electrification_input!$D$15)^(J$3-$F$3)/1000,0)</f>
        <v>943.58051012720239</v>
      </c>
      <c r="K9" s="588">
        <f>IF(AND(K3&gt;=YEAR(electrification_input!$E$55),K3&lt;=YEAR(electrification_input!$D$7)),electrification_input!$D$21*electrification_input!$D$30*HLOOKUP(K3,'Gas price scenarios'!$C$22:$BB$23,2,FALSE)*(1+electrification_input!$D$15)^(K$3-$F$3)/1000,0)</f>
        <v>995.64012447904781</v>
      </c>
      <c r="L9" s="588">
        <f>IF(AND(L3&gt;=YEAR(electrification_input!$E$55),L3&lt;=YEAR(electrification_input!$D$7)),electrification_input!$D$21*electrification_input!$D$30*HLOOKUP(L3,'Gas price scenarios'!$C$22:$BB$23,2,FALSE)*(1+electrification_input!$D$15)^(L$3-$F$3)/1000,0)</f>
        <v>1025.2248596064253</v>
      </c>
      <c r="M9" s="588">
        <f>IF(AND(M3&gt;=YEAR(electrification_input!$E$55),M3&lt;=YEAR(electrification_input!$D$7)),electrification_input!$D$21*electrification_input!$D$30*HLOOKUP(M3,'Gas price scenarios'!$C$22:$BB$23,2,FALSE)*(1+electrification_input!$D$15)^(M$3-$F$3)/1000,0)</f>
        <v>1055.5947280891062</v>
      </c>
      <c r="N9" s="588">
        <f>IF(AND(N3&gt;=YEAR(electrification_input!$E$55),N3&lt;=YEAR(electrification_input!$D$7)),electrification_input!$D$21*electrification_input!$D$30*HLOOKUP(N3,'Gas price scenarios'!$C$22:$BB$23,2,FALSE)*(1+electrification_input!$D$15)^(N$3-$F$3)/1000,0)</f>
        <v>1086.7693013672517</v>
      </c>
      <c r="O9" s="588">
        <f>IF(AND(O3&gt;=YEAR(electrification_input!$E$55),O3&lt;=YEAR(electrification_input!$D$7)),electrification_input!$D$21*electrification_input!$D$30*HLOOKUP(O3,'Gas price scenarios'!$C$22:$BB$23,2,FALSE)*(1+electrification_input!$D$15)^(O$3-$F$3)/1000,0)</f>
        <v>1118.7686196852874</v>
      </c>
      <c r="P9" s="588">
        <f>IF(AND(P3&gt;=YEAR(electrification_input!$E$55),P3&lt;=YEAR(electrification_input!$D$7)),electrification_input!$D$21*electrification_input!$D$30*HLOOKUP(P3,'Gas price scenarios'!$C$22:$BB$23,2,FALSE)*(1+electrification_input!$D$15)^(P$3-$F$3)/1000,0)</f>
        <v>1151.6132030154977</v>
      </c>
      <c r="Q9" s="588">
        <f>IF(AND(Q3&gt;=YEAR(electrification_input!$E$55),Q3&lt;=YEAR(electrification_input!$D$7)),electrification_input!$D$21*electrification_input!$D$30*HLOOKUP(Q3,'Gas price scenarios'!$C$22:$BB$23,2,FALSE)*(1+electrification_input!$D$15)^(Q$3-$F$3)/1000,0)</f>
        <v>1185.3240622310425</v>
      </c>
      <c r="R9" s="588">
        <f>IF(AND(R3&gt;=YEAR(electrification_input!$E$55),R3&lt;=YEAR(electrification_input!$D$7)),electrification_input!$D$21*electrification_input!$D$30*HLOOKUP(R3,'Gas price scenarios'!$C$22:$BB$23,2,FALSE)*(1+electrification_input!$D$15)^(R$3-$F$3)/1000,0)</f>
        <v>0</v>
      </c>
      <c r="S9" s="588">
        <f>IF(AND(S3&gt;=YEAR(electrification_input!$E$55),S3&lt;=YEAR(electrification_input!$D$7)),electrification_input!$D$21*electrification_input!$D$30*HLOOKUP(S3,'Gas price scenarios'!$C$22:$BB$23,2,FALSE)*(1+electrification_input!$D$15)^(S$3-$F$3)/1000,0)</f>
        <v>0</v>
      </c>
      <c r="T9" s="588">
        <f>IF(AND(T3&gt;=YEAR(electrification_input!$E$55),T3&lt;=YEAR(electrification_input!$D$7)),electrification_input!$D$21*electrification_input!$D$30*HLOOKUP(T3,'Gas price scenarios'!$C$22:$BB$23,2,FALSE)*(1+electrification_input!$D$15)^(T$3-$F$3)/1000,0)</f>
        <v>0</v>
      </c>
      <c r="U9" s="588">
        <f>IF(AND(U3&gt;=YEAR(electrification_input!$E$55),U3&lt;=YEAR(electrification_input!$D$7)),electrification_input!$D$21*electrification_input!$D$30*HLOOKUP(U3,'Gas price scenarios'!$C$22:$BB$23,2,FALSE)*(1+electrification_input!$D$15)^(U$3-$F$3)/1000,0)</f>
        <v>0</v>
      </c>
      <c r="V9" s="588">
        <f>IF(AND(V3&gt;=YEAR(electrification_input!$E$55),V3&lt;=YEAR(electrification_input!$D$7)),electrification_input!$D$21*electrification_input!$D$30*HLOOKUP(V3,'Gas price scenarios'!$C$22:$BB$23,2,FALSE)*(1+electrification_input!$D$15)^(V$3-$F$3)/1000,0)</f>
        <v>0</v>
      </c>
      <c r="W9" s="588">
        <f>IF(AND(W3&gt;=YEAR(electrification_input!$E$55),W3&lt;=YEAR(electrification_input!$D$7)),electrification_input!$D$21*electrification_input!$D$30*HLOOKUP(W3,'Gas price scenarios'!$C$22:$BB$23,2,FALSE)*(1+electrification_input!$D$15)^(W$3-$F$3)/1000,0)</f>
        <v>0</v>
      </c>
      <c r="X9" s="588">
        <f>IF(AND(X3&gt;=YEAR(electrification_input!$E$55),X3&lt;=YEAR(electrification_input!$D$7)),electrification_input!$D$21*electrification_input!$D$30*HLOOKUP(X3,'Gas price scenarios'!$C$22:$BB$23,2,FALSE)*(1+electrification_input!$D$15)^(X$3-$F$3)/1000,0)</f>
        <v>0</v>
      </c>
      <c r="Y9" s="588">
        <f>IF(AND(Y3&gt;=YEAR(electrification_input!$E$55),Y3&lt;=YEAR(electrification_input!$D$7)),electrification_input!$D$21*electrification_input!$D$30*HLOOKUP(Y3,'Gas price scenarios'!$C$22:$BB$23,2,FALSE)*(1+electrification_input!$D$15)^(Y$3-$F$3)/1000,0)</f>
        <v>0</v>
      </c>
      <c r="Z9" s="588">
        <f>IF(AND(Z3&gt;=YEAR(electrification_input!$E$55),Z3&lt;=YEAR(electrification_input!$D$7)),electrification_input!$D$21*electrification_input!$D$30*HLOOKUP(Z3,'Gas price scenarios'!$C$22:$BB$23,2,FALSE)*(1+electrification_input!$D$15)^(Z$3-$F$3)/1000,0)</f>
        <v>0</v>
      </c>
      <c r="AA9" s="588">
        <f>IF(AND(AA3&gt;=YEAR(electrification_input!$E$55),AA3&lt;=YEAR(electrification_input!$D$7)),electrification_input!$D$21*electrification_input!$D$30*HLOOKUP(AA3,'Gas price scenarios'!$C$22:$BB$23,2,FALSE)*(1+electrification_input!$D$15)^(AA$3-$F$3)/1000,0)</f>
        <v>0</v>
      </c>
      <c r="AB9" s="588">
        <f>IF(AND(AB3&gt;=YEAR(electrification_input!$E$55),AB3&lt;=YEAR(electrification_input!$D$7)),electrification_input!$D$21*electrification_input!$D$30*HLOOKUP(AB3,'Gas price scenarios'!$C$22:$BB$23,2,FALSE)*(1+electrification_input!$D$15)^(AB$3-$F$3)/1000,0)</f>
        <v>0</v>
      </c>
      <c r="AC9" s="588">
        <f>IF(AND(AC3&gt;=YEAR(electrification_input!$E$55),AC3&lt;=YEAR(electrification_input!$D$7)),electrification_input!$D$21*electrification_input!$D$30*HLOOKUP(AC3,'Gas price scenarios'!$C$22:$BB$23,2,FALSE)*(1+electrification_input!$D$15)^(AC$3-$F$3)/1000,0)</f>
        <v>0</v>
      </c>
      <c r="AD9" s="588">
        <f>IF(AND(AD3&gt;=YEAR(electrification_input!$E$55),AD3&lt;=YEAR(electrification_input!$D$7)),electrification_input!$D$21*electrification_input!$D$30*HLOOKUP(AD3,'Gas price scenarios'!$C$22:$BB$23,2,FALSE)*(1+electrification_input!$D$15)^(AD$3-$F$3)/1000,0)</f>
        <v>0</v>
      </c>
      <c r="AE9" s="588">
        <f>IF(AND(AE3&gt;=YEAR(electrification_input!$E$55),AE3&lt;=YEAR(electrification_input!$D$7)),electrification_input!$D$21*electrification_input!$D$30*HLOOKUP(AE3,'Gas price scenarios'!$C$22:$BB$23,2,FALSE)*(1+electrification_input!$D$15)^(AE$3-$F$3)/1000,0)</f>
        <v>0</v>
      </c>
      <c r="AF9" s="588">
        <f>IF(AND(AF3&gt;=YEAR(electrification_input!$E$55),AF3&lt;=YEAR(electrification_input!$D$7)),electrification_input!$D$21*electrification_input!$D$30*HLOOKUP(AF3,'Gas price scenarios'!$C$22:$BB$23,2,FALSE)*(1+electrification_input!$D$15)^(AF$3-$F$3)/1000,0)</f>
        <v>0</v>
      </c>
      <c r="AG9" s="588">
        <f>IF(AND(AG3&gt;=YEAR(electrification_input!$E$55),AG3&lt;=YEAR(electrification_input!$D$7)),electrification_input!$D$21*electrification_input!$D$30*HLOOKUP(AG3,'Gas price scenarios'!$C$22:$BB$23,2,FALSE)*(1+electrification_input!$D$15)^(AG$3-$F$3)/1000,0)</f>
        <v>0</v>
      </c>
      <c r="AH9" s="588">
        <f>IF(AND(AH3&gt;=YEAR(electrification_input!$E$55),AH3&lt;=YEAR(electrification_input!$D$7)),electrification_input!$D$21*electrification_input!$D$30*HLOOKUP(AH3,'Gas price scenarios'!$C$22:$BB$23,2,FALSE)*(1+electrification_input!$D$15)^(AH$3-$F$3)/1000,0)</f>
        <v>0</v>
      </c>
      <c r="AI9" s="588">
        <f>IF(AND(AI3&gt;=YEAR(electrification_input!$E$55),AI3&lt;=YEAR(electrification_input!$D$7)),electrification_input!$D$21*electrification_input!$D$30*HLOOKUP(AI3,'Gas price scenarios'!$C$22:$BB$23,2,FALSE)*(1+electrification_input!$D$15)^(AI$3-$F$3)/1000,0)</f>
        <v>0</v>
      </c>
      <c r="AJ9" s="588">
        <f>IF(AND(AJ3&gt;=YEAR(electrification_input!$E$55),AJ3&lt;=YEAR(electrification_input!$D$7)),electrification_input!$D$21*electrification_input!$D$30*HLOOKUP(AJ3,'Gas price scenarios'!$C$22:$BB$23,2,FALSE)*(1+electrification_input!$D$15)^(AJ$3-$F$3)/1000,0)</f>
        <v>0</v>
      </c>
      <c r="AK9" s="588">
        <f>IF(AND(AK3&gt;=YEAR(electrification_input!$E$55),AK3&lt;=YEAR(electrification_input!$D$7)),electrification_input!$D$21*electrification_input!$D$30*HLOOKUP(AK3,'Gas price scenarios'!$C$22:$BB$23,2,FALSE)*(1+electrification_input!$D$15)^(AK$3-$F$3)/1000,0)</f>
        <v>0</v>
      </c>
      <c r="AL9" s="588">
        <f>IF(AND(AL3&gt;=YEAR(electrification_input!$E$55),AL3&lt;=YEAR(electrification_input!$D$7)),electrification_input!$D$21*electrification_input!$D$30*HLOOKUP(AL3,'Gas price scenarios'!$C$22:$BB$23,2,FALSE)*(1+electrification_input!$D$15)^(AL$3-$F$3)/1000,0)</f>
        <v>0</v>
      </c>
      <c r="AM9" s="588">
        <f>IF(AND(AM3&gt;=YEAR(electrification_input!$E$55),AM3&lt;=YEAR(electrification_input!$D$7)),electrification_input!$D$21*electrification_input!$D$30*HLOOKUP(AM3,'Gas price scenarios'!$C$22:$BB$23,2,FALSE)*(1+electrification_input!$D$15)^(AM$3-$F$3)/1000,0)</f>
        <v>0</v>
      </c>
      <c r="AN9" s="588">
        <f>IF(AND(AN3&gt;=YEAR(electrification_input!$E$55),AN3&lt;=YEAR(electrification_input!$D$7)),electrification_input!$D$21*electrification_input!$D$30*HLOOKUP(AN3,'Gas price scenarios'!$C$22:$BB$23,2,FALSE)*(1+electrification_input!$D$15)^(AN$3-$F$3)/1000,0)</f>
        <v>0</v>
      </c>
      <c r="AO9" s="588">
        <f>IF(AND(AO3&gt;=YEAR(electrification_input!$E$55),AO3&lt;=YEAR(electrification_input!$D$7)),electrification_input!$D$21*electrification_input!$D$30*HLOOKUP(AO3,'Gas price scenarios'!$C$22:$BB$23,2,FALSE)*(1+electrification_input!$D$15)^(AO$3-$F$3)/1000,0)</f>
        <v>0</v>
      </c>
      <c r="AP9" s="588">
        <f>IF(AND(AP3&gt;=YEAR(electrification_input!$E$55),AP3&lt;=YEAR(electrification_input!$D$7)),electrification_input!$D$21*electrification_input!$D$30*HLOOKUP(AP3,'Gas price scenarios'!$C$22:$BB$23,2,FALSE)*(1+electrification_input!$D$15)^(AP$3-$F$3)/1000,0)</f>
        <v>0</v>
      </c>
      <c r="AQ9" s="588">
        <f>IF(AND(AQ3&gt;=YEAR(electrification_input!$E$55),AQ3&lt;=YEAR(electrification_input!$D$7)),electrification_input!$D$21*electrification_input!$D$30*HLOOKUP(AQ3,'Gas price scenarios'!$C$22:$BB$23,2,FALSE)*(1+electrification_input!$D$15)^(AQ$3-$F$3)/1000,0)</f>
        <v>0</v>
      </c>
      <c r="AR9" s="588">
        <f>IF(AND(AR3&gt;=YEAR(electrification_input!$E$55),AR3&lt;=YEAR(electrification_input!$D$7)),electrification_input!$D$21*electrification_input!$D$30*HLOOKUP(AR3,'Gas price scenarios'!$C$22:$BB$23,2,FALSE)*(1+electrification_input!$D$15)^(AR$3-$F$3)/1000,0)</f>
        <v>0</v>
      </c>
      <c r="AS9" s="588">
        <f>IF(AND(AS3&gt;=YEAR(electrification_input!$E$55),AS3&lt;=YEAR(electrification_input!$D$7)),electrification_input!$D$21*electrification_input!$D$30*HLOOKUP(AS3,'Gas price scenarios'!$C$22:$BB$23,2,FALSE)*(1+electrification_input!$D$15)^(AS$3-$F$3)/1000,0)</f>
        <v>0</v>
      </c>
      <c r="AT9" s="588">
        <f>IF(AND(AT3&gt;=YEAR(electrification_input!$E$55),AT3&lt;=YEAR(electrification_input!$D$7)),electrification_input!$D$21*electrification_input!$D$30*HLOOKUP(AT3,'Gas price scenarios'!$C$22:$BB$23,2,FALSE)*(1+electrification_input!$D$15)^(AT$3-$F$3)/1000,0)</f>
        <v>0</v>
      </c>
      <c r="AU9" s="588">
        <f>IF(AND(AU3&gt;=YEAR(electrification_input!$E$55),AU3&lt;=YEAR(electrification_input!$D$7)),electrification_input!$D$21*electrification_input!$D$30*HLOOKUP(AU3,'Gas price scenarios'!$C$22:$BB$23,2,FALSE)*(1+electrification_input!$D$15)^(AU$3-$F$3)/1000,0)</f>
        <v>0</v>
      </c>
      <c r="AV9" s="588">
        <f>IF(AND(AV3&gt;=YEAR(electrification_input!$E$55),AV3&lt;=YEAR(electrification_input!$D$7)),electrification_input!$D$21*electrification_input!$D$30*HLOOKUP(AV3,'Gas price scenarios'!$C$22:$BB$23,2,FALSE)*(1+electrification_input!$D$15)^(AV$3-$F$3)/1000,0)</f>
        <v>0</v>
      </c>
      <c r="AW9" s="588">
        <f>IF(AND(AW3&gt;=YEAR(electrification_input!$E$55),AW3&lt;=YEAR(electrification_input!$D$7)),electrification_input!$D$21*electrification_input!$D$30*HLOOKUP(AW3,'Gas price scenarios'!$C$22:$BB$23,2,FALSE)*(1+electrification_input!$D$15)^(AW$3-$F$3)/1000,0)</f>
        <v>0</v>
      </c>
      <c r="AX9" s="588">
        <f>IF(AND(AX3&gt;=YEAR(electrification_input!$E$55),AX3&lt;=YEAR(electrification_input!$D$7)),electrification_input!$D$21*electrification_input!$D$30*HLOOKUP(AX3,'Gas price scenarios'!$C$22:$BB$23,2,FALSE)*(1+electrification_input!$D$15)^(AX$3-$F$3)/1000,0)</f>
        <v>0</v>
      </c>
      <c r="AY9" s="588">
        <f>IF(AND(AY3&gt;=YEAR(electrification_input!$E$55),AY3&lt;=YEAR(electrification_input!$D$7)),electrification_input!$D$21*electrification_input!$D$30*HLOOKUP(AY3,'Gas price scenarios'!$C$22:$BB$23,2,FALSE)*(1+electrification_input!$D$15)^(AY$3-$F$3)/1000,0)</f>
        <v>0</v>
      </c>
      <c r="AZ9" s="588">
        <f>IF(AND(AZ3&gt;=YEAR(electrification_input!$E$55),AZ3&lt;=YEAR(electrification_input!$D$7)),electrification_input!$D$21*electrification_input!$D$30*HLOOKUP(AZ3,'Gas price scenarios'!$C$22:$BB$23,2,FALSE)*(1+electrification_input!$D$15)^(AZ$3-$F$3)/1000,0)</f>
        <v>0</v>
      </c>
      <c r="BA9" s="588">
        <f>IF(AND(BA3&gt;=YEAR(electrification_input!$E$55),BA3&lt;=YEAR(electrification_input!$D$7)),electrification_input!$D$21*electrification_input!$D$30*HLOOKUP(BA3,'Gas price scenarios'!$C$22:$BB$23,2,FALSE)*(1+electrification_input!$D$15)^(BA$3-$F$3)/1000,0)</f>
        <v>0</v>
      </c>
    </row>
    <row r="10" spans="2:53" x14ac:dyDescent="0.25">
      <c r="B10" s="571" t="s">
        <v>1013</v>
      </c>
      <c r="C10" s="545" t="s">
        <v>979</v>
      </c>
      <c r="D10" s="589">
        <f t="shared" si="10"/>
        <v>96284.452689165832</v>
      </c>
      <c r="E10" s="590"/>
      <c r="F10" s="580">
        <f>IF(AND(F$3&gt;=YEAR(electrification_input!$E$55),F$3&lt;=YEAR(electrification_input!$D$7)),OPEX_elec!C$16*(1+electrification_input!$D$15)^(F$3-$F$3)/1000,0)</f>
        <v>0</v>
      </c>
      <c r="G10" s="580">
        <f>IF(AND(G$3&gt;=YEAR(electrification_input!$E$55),G$3&lt;=YEAR(electrification_input!$D$7)),OPEX_elec!D$16*(1+electrification_input!$D$15)^(G$3-$F$3)/1000,0)</f>
        <v>0</v>
      </c>
      <c r="H10" s="580">
        <f>IF(AND(H$3&gt;=YEAR(electrification_input!$E$55),H$3&lt;=YEAR(electrification_input!$D$7)),OPEX_elec!E$16*(1+electrification_input!$D$15)^(H$3-$F$3)/1000,0)</f>
        <v>0</v>
      </c>
      <c r="I10" s="580">
        <f>IF(AND(I$3&gt;=YEAR(electrification_input!$E$55),I$3&lt;=YEAR(electrification_input!$D$7)),OPEX_elec!F$16*(1+electrification_input!$D$15)^(I$3-$F$3)/1000,0)</f>
        <v>0</v>
      </c>
      <c r="J10" s="580">
        <f>IF(AND(J$3&gt;=YEAR(electrification_input!$E$55),J$3&lt;=YEAR(electrification_input!$D$7)),OPEX_elec!G$16*(1+electrification_input!$D$15)^(J$3-$F$3)/1000,0)</f>
        <v>10618.047504763204</v>
      </c>
      <c r="K10" s="580">
        <f>IF(AND(K$3&gt;=YEAR(electrification_input!$E$55),K$3&lt;=YEAR(electrification_input!$D$7)),OPEX_elec!H$16*(1+electrification_input!$D$15)^(K$3-$F$3)/1000,0)</f>
        <v>11198.936716333083</v>
      </c>
      <c r="L10" s="580">
        <f>IF(AND(L$3&gt;=YEAR(electrification_input!$E$55),L$3&lt;=YEAR(electrification_input!$D$7)),OPEX_elec!I$16*(1+electrification_input!$D$15)^(L$3-$F$3)/1000,0)</f>
        <v>11530.315115432346</v>
      </c>
      <c r="M10" s="580">
        <f>IF(AND(M$3&gt;=YEAR(electrification_input!$E$55),M$3&lt;=YEAR(electrification_input!$D$7)),OPEX_elec!J$16*(1+electrification_input!$D$15)^(M$3-$F$3)/1000,0)</f>
        <v>11870.469075809046</v>
      </c>
      <c r="N10" s="580">
        <f>IF(AND(N$3&gt;=YEAR(electrification_input!$E$55),N$3&lt;=YEAR(electrification_input!$D$7)),OPEX_elec!K$16*(1+electrification_input!$D$15)^(N$3-$F$3)/1000,0)</f>
        <v>12219.617068554639</v>
      </c>
      <c r="O10" s="580">
        <f>IF(AND(O$3&gt;=YEAR(electrification_input!$E$55),O$3&lt;=YEAR(electrification_input!$D$7)),OPEX_elec!L$16*(1+electrification_input!$D$15)^(O$3-$F$3)/1000,0)</f>
        <v>12577.982793379735</v>
      </c>
      <c r="P10" s="580">
        <f>IF(AND(P$3&gt;=YEAR(electrification_input!$E$55),P$3&lt;=YEAR(electrification_input!$D$7)),OPEX_elec!M$16*(1+electrification_input!$D$15)^(P$3-$F$3)/1000,0)</f>
        <v>12945.795300370411</v>
      </c>
      <c r="Q10" s="580">
        <f>IF(AND(Q$3&gt;=YEAR(electrification_input!$E$55),Q$3&lt;=YEAR(electrification_input!$D$7)),OPEX_elec!N$16*(1+electrification_input!$D$15)^(Q$3-$F$3)/1000,0)</f>
        <v>13323.289114523366</v>
      </c>
      <c r="R10" s="580">
        <f>IF(AND(R$3&gt;=YEAR(electrification_input!$E$55),R$3&lt;=YEAR(electrification_input!$D$7)),OPEX_elec!O$16*(1+electrification_input!$D$15)^(R$3-$F$3)/1000,0)</f>
        <v>0</v>
      </c>
      <c r="S10" s="580">
        <f>IF(AND(S$3&gt;=YEAR(electrification_input!$E$55),S$3&lt;=YEAR(electrification_input!$D$7)),OPEX_elec!P$16*(1+electrification_input!$D$15)^(S$3-$F$3)/1000,0)</f>
        <v>0</v>
      </c>
      <c r="T10" s="580">
        <f>IF(AND(T$3&gt;=YEAR(electrification_input!$E$55),T$3&lt;=YEAR(electrification_input!$D$7)),OPEX_elec!Q$16*(1+electrification_input!$D$15)^(T$3-$F$3)/1000,0)</f>
        <v>0</v>
      </c>
      <c r="U10" s="580">
        <f>IF(AND(U$3&gt;=YEAR(electrification_input!$E$55),U$3&lt;=YEAR(electrification_input!$D$7)),OPEX_elec!R$16*(1+electrification_input!$D$15)^(U$3-$F$3)/1000,0)</f>
        <v>0</v>
      </c>
      <c r="V10" s="580">
        <f>IF(AND(V$3&gt;=YEAR(electrification_input!$E$55),V$3&lt;=YEAR(electrification_input!$D$7)),OPEX_elec!S$16*(1+electrification_input!$D$15)^(V$3-$F$3)/1000,0)</f>
        <v>0</v>
      </c>
      <c r="W10" s="580">
        <f>IF(AND(W$3&gt;=YEAR(electrification_input!$E$55),W$3&lt;=YEAR(electrification_input!$D$7)),OPEX_elec!T$16*(1+electrification_input!$D$15)^(W$3-$F$3)/1000,0)</f>
        <v>0</v>
      </c>
      <c r="X10" s="580">
        <f>IF(AND(X$3&gt;=YEAR(electrification_input!$E$55),X$3&lt;=YEAR(electrification_input!$D$7)),OPEX_elec!U$16*(1+electrification_input!$D$15)^(X$3-$F$3)/1000,0)</f>
        <v>0</v>
      </c>
      <c r="Y10" s="580">
        <f>IF(AND(Y$3&gt;=YEAR(electrification_input!$E$55),Y$3&lt;=YEAR(electrification_input!$D$7)),OPEX_elec!V$16*(1+electrification_input!$D$15)^(Y$3-$F$3)/1000,0)</f>
        <v>0</v>
      </c>
      <c r="Z10" s="580">
        <f>IF(AND(Z$3&gt;=YEAR(electrification_input!$E$55),Z$3&lt;=YEAR(electrification_input!$D$7)),OPEX_elec!W$16*(1+electrification_input!$D$15)^(Z$3-$F$3)/1000,0)</f>
        <v>0</v>
      </c>
      <c r="AA10" s="580">
        <f>IF(AND(AA$3&gt;=YEAR(electrification_input!$E$55),AA$3&lt;=YEAR(electrification_input!$D$7)),OPEX_elec!X$16*(1+electrification_input!$D$15)^(AA$3-$F$3)/1000,0)</f>
        <v>0</v>
      </c>
      <c r="AB10" s="580">
        <f>IF(AND(AB$3&gt;=YEAR(electrification_input!$E$55),AB$3&lt;=YEAR(electrification_input!$D$7)),OPEX_elec!Y$16*(1+electrification_input!$D$15)^(AB$3-$F$3)/1000,0)</f>
        <v>0</v>
      </c>
      <c r="AC10" s="580">
        <f>IF(AND(AC$3&gt;=YEAR(electrification_input!$E$55),AC$3&lt;=YEAR(electrification_input!$D$7)),OPEX_elec!Z$16*(1+electrification_input!$D$15)^(AC$3-$F$3)/1000,0)</f>
        <v>0</v>
      </c>
      <c r="AD10" s="580">
        <f>IF(AND(AD$3&gt;=YEAR(electrification_input!$E$55),AD$3&lt;=YEAR(electrification_input!$D$7)),OPEX_elec!AA$16*(1+electrification_input!$D$15)^(AD$3-$F$3)/1000,0)</f>
        <v>0</v>
      </c>
      <c r="AE10" s="580">
        <f>IF(AND(AE$3&gt;=YEAR(electrification_input!$E$55),AE$3&lt;=YEAR(electrification_input!$D$7)),OPEX_elec!AB$16*(1+electrification_input!$D$15)^(AE$3-$F$3)/1000,0)</f>
        <v>0</v>
      </c>
      <c r="AF10" s="580">
        <f>IF(AND(AF$3&gt;=YEAR(electrification_input!$E$55),AF$3&lt;=YEAR(electrification_input!$D$7)),OPEX_elec!AC$16*(1+electrification_input!$D$15)^(AF$3-$F$3)/1000,0)</f>
        <v>0</v>
      </c>
      <c r="AG10" s="580">
        <f>IF(AND(AG$3&gt;=YEAR(electrification_input!$E$55),AG$3&lt;=YEAR(electrification_input!$D$7)),OPEX_elec!AD$16*(1+electrification_input!$D$15)^(AG$3-$F$3)/1000,0)</f>
        <v>0</v>
      </c>
      <c r="AH10" s="580">
        <f>IF(AND(AH$3&gt;=YEAR(electrification_input!$E$55),AH$3&lt;=YEAR(electrification_input!$D$7)),OPEX_elec!AE$16*(1+electrification_input!$D$15)^(AH$3-$F$3)/1000,0)</f>
        <v>0</v>
      </c>
      <c r="AI10" s="580">
        <f>IF(AND(AI$3&gt;=YEAR(electrification_input!$E$55),AI$3&lt;=YEAR(electrification_input!$D$7)),OPEX_elec!AF$16*(1+electrification_input!$D$15)^(AI$3-$F$3)/1000,0)</f>
        <v>0</v>
      </c>
      <c r="AJ10" s="580">
        <f>IF(AND(AJ$3&gt;=YEAR(electrification_input!$E$55),AJ$3&lt;=YEAR(electrification_input!$D$7)),OPEX_elec!AG$16*(1+electrification_input!$D$15)^(AJ$3-$F$3)/1000,0)</f>
        <v>0</v>
      </c>
      <c r="AK10" s="580">
        <f>IF(AND(AK$3&gt;=YEAR(electrification_input!$E$55),AK$3&lt;=YEAR(electrification_input!$D$7)),OPEX_elec!AH$16*(1+electrification_input!$D$15)^(AK$3-$F$3)/1000,0)</f>
        <v>0</v>
      </c>
      <c r="AL10" s="580">
        <f>IF(AND(AL$3&gt;=YEAR(electrification_input!$E$55),AL$3&lt;=YEAR(electrification_input!$D$7)),OPEX_elec!AI$16*(1+electrification_input!$D$15)^(AL$3-$F$3)/1000,0)</f>
        <v>0</v>
      </c>
      <c r="AM10" s="580">
        <f>IF(AND(AM$3&gt;=YEAR(electrification_input!$E$55),AM$3&lt;=YEAR(electrification_input!$D$7)),OPEX_elec!AJ$16*(1+electrification_input!$D$15)^(AM$3-$F$3)/1000,0)</f>
        <v>0</v>
      </c>
      <c r="AN10" s="580">
        <f>IF(AND(AN$3&gt;=YEAR(electrification_input!$E$55),AN$3&lt;=YEAR(electrification_input!$D$7)),OPEX_elec!AK$16*(1+electrification_input!$D$15)^(AN$3-$F$3)/1000,0)</f>
        <v>0</v>
      </c>
      <c r="AO10" s="580">
        <f>IF(AND(AO$3&gt;=YEAR(electrification_input!$E$55),AO$3&lt;=YEAR(electrification_input!$D$7)),OPEX_elec!AL$16*(1+electrification_input!$D$15)^(AO$3-$F$3)/1000,0)</f>
        <v>0</v>
      </c>
      <c r="AP10" s="580">
        <f>IF(AND(AP$3&gt;=YEAR(electrification_input!$E$55),AP$3&lt;=YEAR(electrification_input!$D$7)),OPEX_elec!AM$16*(1+electrification_input!$D$15)^(AP$3-$F$3)/1000,0)</f>
        <v>0</v>
      </c>
      <c r="AQ10" s="580">
        <f>IF(AND(AQ$3&gt;=YEAR(electrification_input!$E$55),AQ$3&lt;=YEAR(electrification_input!$D$7)),OPEX_elec!AN$16*(1+electrification_input!$D$15)^(AQ$3-$F$3)/1000,0)</f>
        <v>0</v>
      </c>
      <c r="AR10" s="580">
        <f>IF(AND(AR$3&gt;=YEAR(electrification_input!$E$55),AR$3&lt;=YEAR(electrification_input!$D$7)),OPEX_elec!AO$16*(1+electrification_input!$D$15)^(AR$3-$F$3)/1000,0)</f>
        <v>0</v>
      </c>
      <c r="AS10" s="580">
        <f>IF(AND(AS$3&gt;=YEAR(electrification_input!$E$55),AS$3&lt;=YEAR(electrification_input!$D$7)),OPEX_elec!AP$16*(1+electrification_input!$D$15)^(AS$3-$F$3)/1000,0)</f>
        <v>0</v>
      </c>
      <c r="AT10" s="580">
        <f>IF(AND(AT$3&gt;=YEAR(electrification_input!$E$55),AT$3&lt;=YEAR(electrification_input!$D$7)),OPEX_elec!AQ$16*(1+electrification_input!$D$15)^(AT$3-$F$3)/1000,0)</f>
        <v>0</v>
      </c>
      <c r="AU10" s="580">
        <f>IF(AND(AU$3&gt;=YEAR(electrification_input!$E$55),AU$3&lt;=YEAR(electrification_input!$D$7)),OPEX_elec!AR$16*(1+electrification_input!$D$15)^(AU$3-$F$3)/1000,0)</f>
        <v>0</v>
      </c>
      <c r="AV10" s="580">
        <f>IF(AND(AV$3&gt;=YEAR(electrification_input!$E$55),AV$3&lt;=YEAR(electrification_input!$D$7)),OPEX_elec!AS$16*(1+electrification_input!$D$15)^(AV$3-$F$3)/1000,0)</f>
        <v>0</v>
      </c>
      <c r="AW10" s="580">
        <f>IF(AND(AW$3&gt;=YEAR(electrification_input!$E$55),AW$3&lt;=YEAR(electrification_input!$D$7)),OPEX_elec!AT$16*(1+electrification_input!$D$15)^(AW$3-$F$3)/1000,0)</f>
        <v>0</v>
      </c>
      <c r="AX10" s="580">
        <f>IF(AND(AX$3&gt;=YEAR(electrification_input!$E$55),AX$3&lt;=YEAR(electrification_input!$D$7)),OPEX_elec!AU$16*(1+electrification_input!$D$15)^(AX$3-$F$3)/1000,0)</f>
        <v>0</v>
      </c>
      <c r="AY10" s="580">
        <f>IF(AND(AY$3&gt;=YEAR(electrification_input!$E$55),AY$3&lt;=YEAR(electrification_input!$D$7)),OPEX_elec!AV$16*(1+electrification_input!$D$15)^(AY$3-$F$3)/1000,0)</f>
        <v>0</v>
      </c>
      <c r="AZ10" s="580">
        <f>IF(AND(AZ$3&gt;=YEAR(electrification_input!$E$55),AZ$3&lt;=YEAR(electrification_input!$D$7)),OPEX_elec!AW$16*(1+electrification_input!$D$15)^(AZ$3-$F$3)/1000,0)</f>
        <v>0</v>
      </c>
      <c r="BA10" s="580">
        <f>IF(AND(BA$3&gt;=YEAR(electrification_input!$E$55),BA$3&lt;=YEAR(electrification_input!$D$7)),OPEX_elec!AX$16*(1+electrification_input!$D$15)^(BA$3-$F$3)/1000,0)</f>
        <v>0</v>
      </c>
    </row>
    <row r="11" spans="2:53" x14ac:dyDescent="0.25">
      <c r="B11" s="571" t="s">
        <v>1014</v>
      </c>
      <c r="C11" s="545" t="s">
        <v>979</v>
      </c>
      <c r="D11" s="589">
        <f t="shared" si="10"/>
        <v>1204.0464319652936</v>
      </c>
      <c r="E11" s="590"/>
      <c r="F11" s="580">
        <f>IF(AND(F$3&gt;=YEAR(electrification_input!$E$55),F$3&lt;=YEAR(electrification_input!$D$7)),OPEX_elec!C$17*(1+electrification_input!$D$15)^(F$3-$F$3)/1000,0)</f>
        <v>0</v>
      </c>
      <c r="G11" s="580">
        <f>IF(AND(G$3&gt;=YEAR(electrification_input!$E$55),G$3&lt;=YEAR(electrification_input!$D$7)),OPEX_elec!D$17*(1+electrification_input!$D$15)^(G$3-$F$3)/1000,0)</f>
        <v>0</v>
      </c>
      <c r="H11" s="580">
        <f>IF(AND(H$3&gt;=YEAR(electrification_input!$E$55),H$3&lt;=YEAR(electrification_input!$D$7)),OPEX_elec!E$17*(1+electrification_input!$D$15)^(H$3-$F$3)/1000,0)</f>
        <v>0</v>
      </c>
      <c r="I11" s="580">
        <f>IF(AND(I$3&gt;=YEAR(electrification_input!$E$55),I$3&lt;=YEAR(electrification_input!$D$7)),OPEX_elec!F$17*(1+electrification_input!$D$15)^(I$3-$F$3)/1000,0)</f>
        <v>0</v>
      </c>
      <c r="J11" s="580">
        <f>IF(AND(J$3&gt;=YEAR(electrification_input!$E$55),J$3&lt;=YEAR(electrification_input!$D$7)),OPEX_elec!G$17*(1+electrification_input!$D$15)^(J$3-$F$3)/1000,0)</f>
        <v>140.283207936</v>
      </c>
      <c r="K11" s="580">
        <f>IF(AND(K$3&gt;=YEAR(electrification_input!$E$55),K$3&lt;=YEAR(electrification_input!$D$7)),OPEX_elec!H$17*(1+electrification_input!$D$15)^(K$3-$F$3)/1000,0)</f>
        <v>143.08887209471999</v>
      </c>
      <c r="L11" s="580">
        <f>IF(AND(L$3&gt;=YEAR(electrification_input!$E$55),L$3&lt;=YEAR(electrification_input!$D$7)),OPEX_elec!I$17*(1+electrification_input!$D$15)^(L$3-$F$3)/1000,0)</f>
        <v>145.95064953661443</v>
      </c>
      <c r="M11" s="580">
        <f>IF(AND(M$3&gt;=YEAR(electrification_input!$E$55),M$3&lt;=YEAR(electrification_input!$D$7)),OPEX_elec!J$17*(1+electrification_input!$D$15)^(M$3-$F$3)/1000,0)</f>
        <v>148.86966252734666</v>
      </c>
      <c r="N11" s="580">
        <f>IF(AND(N$3&gt;=YEAR(electrification_input!$E$55),N$3&lt;=YEAR(electrification_input!$D$7)),OPEX_elec!K$17*(1+electrification_input!$D$15)^(N$3-$F$3)/1000,0)</f>
        <v>151.84705577789362</v>
      </c>
      <c r="O11" s="580">
        <f>IF(AND(O$3&gt;=YEAR(electrification_input!$E$55),O$3&lt;=YEAR(electrification_input!$D$7)),OPEX_elec!L$17*(1+electrification_input!$D$15)^(O$3-$F$3)/1000,0)</f>
        <v>154.8839968934515</v>
      </c>
      <c r="P11" s="580">
        <f>IF(AND(P$3&gt;=YEAR(electrification_input!$E$55),P$3&lt;=YEAR(electrification_input!$D$7)),OPEX_elec!M$17*(1+electrification_input!$D$15)^(P$3-$F$3)/1000,0)</f>
        <v>157.9816768313205</v>
      </c>
      <c r="Q11" s="580">
        <f>IF(AND(Q$3&gt;=YEAR(electrification_input!$E$55),Q$3&lt;=YEAR(electrification_input!$D$7)),OPEX_elec!N$17*(1+electrification_input!$D$15)^(Q$3-$F$3)/1000,0)</f>
        <v>161.14131036794689</v>
      </c>
      <c r="R11" s="580">
        <f>IF(AND(R$3&gt;=YEAR(electrification_input!$E$55),R$3&lt;=YEAR(electrification_input!$D$7)),OPEX_elec!O$17*(1+electrification_input!$D$15)^(R$3-$F$3)/1000,0)</f>
        <v>0</v>
      </c>
      <c r="S11" s="580">
        <f>IF(AND(S$3&gt;=YEAR(electrification_input!$E$55),S$3&lt;=YEAR(electrification_input!$D$7)),OPEX_elec!P$17*(1+electrification_input!$D$15)^(S$3-$F$3)/1000,0)</f>
        <v>0</v>
      </c>
      <c r="T11" s="580">
        <f>IF(AND(T$3&gt;=YEAR(electrification_input!$E$55),T$3&lt;=YEAR(electrification_input!$D$7)),OPEX_elec!Q$17*(1+electrification_input!$D$15)^(T$3-$F$3)/1000,0)</f>
        <v>0</v>
      </c>
      <c r="U11" s="580">
        <f>IF(AND(U$3&gt;=YEAR(electrification_input!$E$55),U$3&lt;=YEAR(electrification_input!$D$7)),OPEX_elec!R$17*(1+electrification_input!$D$15)^(U$3-$F$3)/1000,0)</f>
        <v>0</v>
      </c>
      <c r="V11" s="580">
        <f>IF(AND(V$3&gt;=YEAR(electrification_input!$E$55),V$3&lt;=YEAR(electrification_input!$D$7)),OPEX_elec!S$17*(1+electrification_input!$D$15)^(V$3-$F$3)/1000,0)</f>
        <v>0</v>
      </c>
      <c r="W11" s="580">
        <f>IF(AND(W$3&gt;=YEAR(electrification_input!$E$55),W$3&lt;=YEAR(electrification_input!$D$7)),OPEX_elec!T$17*(1+electrification_input!$D$15)^(W$3-$F$3)/1000,0)</f>
        <v>0</v>
      </c>
      <c r="X11" s="580">
        <f>IF(AND(X$3&gt;=YEAR(electrification_input!$E$55),X$3&lt;=YEAR(electrification_input!$D$7)),OPEX_elec!U$17*(1+electrification_input!$D$15)^(X$3-$F$3)/1000,0)</f>
        <v>0</v>
      </c>
      <c r="Y11" s="580">
        <f>IF(AND(Y$3&gt;=YEAR(electrification_input!$E$55),Y$3&lt;=YEAR(electrification_input!$D$7)),OPEX_elec!V$17*(1+electrification_input!$D$15)^(Y$3-$F$3)/1000,0)</f>
        <v>0</v>
      </c>
      <c r="Z11" s="580">
        <f>IF(AND(Z$3&gt;=YEAR(electrification_input!$E$55),Z$3&lt;=YEAR(electrification_input!$D$7)),OPEX_elec!W$17*(1+electrification_input!$D$15)^(Z$3-$F$3)/1000,0)</f>
        <v>0</v>
      </c>
      <c r="AA11" s="580">
        <f>IF(AND(AA$3&gt;=YEAR(electrification_input!$E$55),AA$3&lt;=YEAR(electrification_input!$D$7)),OPEX_elec!X$17*(1+electrification_input!$D$15)^(AA$3-$F$3)/1000,0)</f>
        <v>0</v>
      </c>
      <c r="AB11" s="580">
        <f>IF(AND(AB$3&gt;=YEAR(electrification_input!$E$55),AB$3&lt;=YEAR(electrification_input!$D$7)),OPEX_elec!Y$17*(1+electrification_input!$D$15)^(AB$3-$F$3)/1000,0)</f>
        <v>0</v>
      </c>
      <c r="AC11" s="580">
        <f>IF(AND(AC$3&gt;=YEAR(electrification_input!$E$55),AC$3&lt;=YEAR(electrification_input!$D$7)),OPEX_elec!Z$17*(1+electrification_input!$D$15)^(AC$3-$F$3)/1000,0)</f>
        <v>0</v>
      </c>
      <c r="AD11" s="580">
        <f>IF(AND(AD$3&gt;=YEAR(electrification_input!$E$55),AD$3&lt;=YEAR(electrification_input!$D$7)),OPEX_elec!AA$17*(1+electrification_input!$D$15)^(AD$3-$F$3)/1000,0)</f>
        <v>0</v>
      </c>
      <c r="AE11" s="580">
        <f>IF(AND(AE$3&gt;=YEAR(electrification_input!$E$55),AE$3&lt;=YEAR(electrification_input!$D$7)),OPEX_elec!AB$17*(1+electrification_input!$D$15)^(AE$3-$F$3)/1000,0)</f>
        <v>0</v>
      </c>
      <c r="AF11" s="580">
        <f>IF(AND(AF$3&gt;=YEAR(electrification_input!$E$55),AF$3&lt;=YEAR(electrification_input!$D$7)),OPEX_elec!AC$17*(1+electrification_input!$D$15)^(AF$3-$F$3)/1000,0)</f>
        <v>0</v>
      </c>
      <c r="AG11" s="580">
        <f>IF(AND(AG$3&gt;=YEAR(electrification_input!$E$55),AG$3&lt;=YEAR(electrification_input!$D$7)),OPEX_elec!AD$17*(1+electrification_input!$D$15)^(AG$3-$F$3)/1000,0)</f>
        <v>0</v>
      </c>
      <c r="AH11" s="580">
        <f>IF(AND(AH$3&gt;=YEAR(electrification_input!$E$55),AH$3&lt;=YEAR(electrification_input!$D$7)),OPEX_elec!AE$17*(1+electrification_input!$D$15)^(AH$3-$F$3)/1000,0)</f>
        <v>0</v>
      </c>
      <c r="AI11" s="580">
        <f>IF(AND(AI$3&gt;=YEAR(electrification_input!$E$55),AI$3&lt;=YEAR(electrification_input!$D$7)),OPEX_elec!AF$17*(1+electrification_input!$D$15)^(AI$3-$F$3)/1000,0)</f>
        <v>0</v>
      </c>
      <c r="AJ11" s="580">
        <f>IF(AND(AJ$3&gt;=YEAR(electrification_input!$E$55),AJ$3&lt;=YEAR(electrification_input!$D$7)),OPEX_elec!AG$17*(1+electrification_input!$D$15)^(AJ$3-$F$3)/1000,0)</f>
        <v>0</v>
      </c>
      <c r="AK11" s="580">
        <f>IF(AND(AK$3&gt;=YEAR(electrification_input!$E$55),AK$3&lt;=YEAR(electrification_input!$D$7)),OPEX_elec!AH$17*(1+electrification_input!$D$15)^(AK$3-$F$3)/1000,0)</f>
        <v>0</v>
      </c>
      <c r="AL11" s="580">
        <f>IF(AND(AL$3&gt;=YEAR(electrification_input!$E$55),AL$3&lt;=YEAR(electrification_input!$D$7)),OPEX_elec!AI$17*(1+electrification_input!$D$15)^(AL$3-$F$3)/1000,0)</f>
        <v>0</v>
      </c>
      <c r="AM11" s="580">
        <f>IF(AND(AM$3&gt;=YEAR(electrification_input!$E$55),AM$3&lt;=YEAR(electrification_input!$D$7)),OPEX_elec!AJ$17*(1+electrification_input!$D$15)^(AM$3-$F$3)/1000,0)</f>
        <v>0</v>
      </c>
      <c r="AN11" s="580">
        <f>IF(AND(AN$3&gt;=YEAR(electrification_input!$E$55),AN$3&lt;=YEAR(electrification_input!$D$7)),OPEX_elec!AK$17*(1+electrification_input!$D$15)^(AN$3-$F$3)/1000,0)</f>
        <v>0</v>
      </c>
      <c r="AO11" s="580">
        <f>IF(AND(AO$3&gt;=YEAR(electrification_input!$E$55),AO$3&lt;=YEAR(electrification_input!$D$7)),OPEX_elec!AL$17*(1+electrification_input!$D$15)^(AO$3-$F$3)/1000,0)</f>
        <v>0</v>
      </c>
      <c r="AP11" s="580">
        <f>IF(AND(AP$3&gt;=YEAR(electrification_input!$E$55),AP$3&lt;=YEAR(electrification_input!$D$7)),OPEX_elec!AM$17*(1+electrification_input!$D$15)^(AP$3-$F$3)/1000,0)</f>
        <v>0</v>
      </c>
      <c r="AQ11" s="580">
        <f>IF(AND(AQ$3&gt;=YEAR(electrification_input!$E$55),AQ$3&lt;=YEAR(electrification_input!$D$7)),OPEX_elec!AN$17*(1+electrification_input!$D$15)^(AQ$3-$F$3)/1000,0)</f>
        <v>0</v>
      </c>
      <c r="AR11" s="580">
        <f>IF(AND(AR$3&gt;=YEAR(electrification_input!$E$55),AR$3&lt;=YEAR(electrification_input!$D$7)),OPEX_elec!AO$17*(1+electrification_input!$D$15)^(AR$3-$F$3)/1000,0)</f>
        <v>0</v>
      </c>
      <c r="AS11" s="580">
        <f>IF(AND(AS$3&gt;=YEAR(electrification_input!$E$55),AS$3&lt;=YEAR(electrification_input!$D$7)),OPEX_elec!AP$17*(1+electrification_input!$D$15)^(AS$3-$F$3)/1000,0)</f>
        <v>0</v>
      </c>
      <c r="AT11" s="580">
        <f>IF(AND(AT$3&gt;=YEAR(electrification_input!$E$55),AT$3&lt;=YEAR(electrification_input!$D$7)),OPEX_elec!AQ$17*(1+electrification_input!$D$15)^(AT$3-$F$3)/1000,0)</f>
        <v>0</v>
      </c>
      <c r="AU11" s="580">
        <f>IF(AND(AU$3&gt;=YEAR(electrification_input!$E$55),AU$3&lt;=YEAR(electrification_input!$D$7)),OPEX_elec!AR$17*(1+electrification_input!$D$15)^(AU$3-$F$3)/1000,0)</f>
        <v>0</v>
      </c>
      <c r="AV11" s="580">
        <f>IF(AND(AV$3&gt;=YEAR(electrification_input!$E$55),AV$3&lt;=YEAR(electrification_input!$D$7)),OPEX_elec!AS$17*(1+electrification_input!$D$15)^(AV$3-$F$3)/1000,0)</f>
        <v>0</v>
      </c>
      <c r="AW11" s="580">
        <f>IF(AND(AW$3&gt;=YEAR(electrification_input!$E$55),AW$3&lt;=YEAR(electrification_input!$D$7)),OPEX_elec!AT$17*(1+electrification_input!$D$15)^(AW$3-$F$3)/1000,0)</f>
        <v>0</v>
      </c>
      <c r="AX11" s="580">
        <f>IF(AND(AX$3&gt;=YEAR(electrification_input!$E$55),AX$3&lt;=YEAR(electrification_input!$D$7)),OPEX_elec!AU$17*(1+electrification_input!$D$15)^(AX$3-$F$3)/1000,0)</f>
        <v>0</v>
      </c>
      <c r="AY11" s="580">
        <f>IF(AND(AY$3&gt;=YEAR(electrification_input!$E$55),AY$3&lt;=YEAR(electrification_input!$D$7)),OPEX_elec!AV$17*(1+electrification_input!$D$15)^(AY$3-$F$3)/1000,0)</f>
        <v>0</v>
      </c>
      <c r="AZ11" s="580">
        <f>IF(AND(AZ$3&gt;=YEAR(electrification_input!$E$55),AZ$3&lt;=YEAR(electrification_input!$D$7)),OPEX_elec!AW$17*(1+electrification_input!$D$15)^(AZ$3-$F$3)/1000,0)</f>
        <v>0</v>
      </c>
      <c r="BA11" s="580">
        <f>IF(AND(BA$3&gt;=YEAR(electrification_input!$E$55),BA$3&lt;=YEAR(electrification_input!$D$7)),OPEX_elec!AX$17*(1+electrification_input!$D$15)^(BA$3-$F$3)/1000,0)</f>
        <v>0</v>
      </c>
    </row>
    <row r="12" spans="2:53" x14ac:dyDescent="0.25">
      <c r="B12" s="571" t="s">
        <v>1015</v>
      </c>
      <c r="C12" s="579" t="s">
        <v>979</v>
      </c>
      <c r="D12" s="572">
        <f t="shared" si="10"/>
        <v>13935.722592190898</v>
      </c>
      <c r="E12" s="575"/>
      <c r="F12" s="580">
        <f>IF(AND(Exploitation_elec!F$3&gt;=YEAR(electrification_input!$E$55),Exploitation_elec!F$3&lt;=YEAR(electrification_input!$D$7)),OPEX_elec!C36*(1+electrification_input!$D$15)^(Exploitation_elec!F$3-Exploitation_elec!$F$3)/1000,0)</f>
        <v>0</v>
      </c>
      <c r="G12" s="580">
        <f>IF(AND(Exploitation_elec!G$3&gt;=YEAR(electrification_input!$E$55),Exploitation_elec!G$3&lt;=YEAR(electrification_input!$D$7)),OPEX_elec!D36*(1+electrification_input!$D$15)^(Exploitation_elec!G$3-Exploitation_elec!$F$3)/1000,0)</f>
        <v>0</v>
      </c>
      <c r="H12" s="580">
        <f>IF(AND(Exploitation_elec!H$3&gt;=YEAR(electrification_input!$E$55),Exploitation_elec!H$3&lt;=YEAR(electrification_input!$D$7)),OPEX_elec!E36*(1+electrification_input!$D$15)^(Exploitation_elec!H$3-Exploitation_elec!$F$3)/1000,0)</f>
        <v>0</v>
      </c>
      <c r="I12" s="580">
        <f>IF(AND(Exploitation_elec!I$3&gt;=YEAR(electrification_input!$E$55),Exploitation_elec!I$3&lt;=YEAR(electrification_input!$D$7)),OPEX_elec!F36*(1+electrification_input!$D$15)^(Exploitation_elec!I$3-Exploitation_elec!$F$3)/1000,0)</f>
        <v>0</v>
      </c>
      <c r="J12" s="580">
        <f>IF(AND(Exploitation_elec!J$3&gt;=YEAR(electrification_input!$E$55),Exploitation_elec!J$3&lt;=YEAR(electrification_input!$D$7)),OPEX_elec!G36*(1+electrification_input!$D$15)^(Exploitation_elec!J$3-Exploitation_elec!$F$3)/1000,0)</f>
        <v>1623.64824</v>
      </c>
      <c r="K12" s="580">
        <f>IF(AND(Exploitation_elec!K$3&gt;=YEAR(electrification_input!$E$55),Exploitation_elec!K$3&lt;=YEAR(electrification_input!$D$7)),OPEX_elec!H36*(1+electrification_input!$D$15)^(Exploitation_elec!K$3-Exploitation_elec!$F$3)/1000,0)</f>
        <v>1656.1212048</v>
      </c>
      <c r="L12" s="580">
        <f>IF(AND(Exploitation_elec!L$3&gt;=YEAR(electrification_input!$E$55),Exploitation_elec!L$3&lt;=YEAR(electrification_input!$D$7)),OPEX_elec!I36*(1+electrification_input!$D$15)^(Exploitation_elec!L$3-Exploitation_elec!$F$3)/1000,0)</f>
        <v>1689.243628896</v>
      </c>
      <c r="M12" s="580">
        <f>IF(AND(Exploitation_elec!M$3&gt;=YEAR(electrification_input!$E$55),Exploitation_elec!M$3&lt;=YEAR(electrification_input!$D$7)),OPEX_elec!J36*(1+electrification_input!$D$15)^(Exploitation_elec!M$3-Exploitation_elec!$F$3)/1000,0)</f>
        <v>1723.0285014739197</v>
      </c>
      <c r="N12" s="580">
        <f>IF(AND(Exploitation_elec!N$3&gt;=YEAR(electrification_input!$E$55),Exploitation_elec!N$3&lt;=YEAR(electrification_input!$D$7)),OPEX_elec!K36*(1+electrification_input!$D$15)^(Exploitation_elec!N$3-Exploitation_elec!$F$3)/1000,0)</f>
        <v>1757.4890715033982</v>
      </c>
      <c r="O12" s="580">
        <f>IF(AND(Exploitation_elec!O$3&gt;=YEAR(electrification_input!$E$55),Exploitation_elec!O$3&lt;=YEAR(electrification_input!$D$7)),OPEX_elec!L36*(1+electrification_input!$D$15)^(Exploitation_elec!O$3-Exploitation_elec!$F$3)/1000,0)</f>
        <v>1792.6388529334663</v>
      </c>
      <c r="P12" s="580">
        <f>IF(AND(Exploitation_elec!P$3&gt;=YEAR(electrification_input!$E$55),Exploitation_elec!P$3&lt;=YEAR(electrification_input!$D$7)),OPEX_elec!M36*(1+electrification_input!$D$15)^(Exploitation_elec!P$3-Exploitation_elec!$F$3)/1000,0)</f>
        <v>1828.4916299921356</v>
      </c>
      <c r="Q12" s="580">
        <f>IF(AND(Exploitation_elec!Q$3&gt;=YEAR(electrification_input!$E$55),Exploitation_elec!Q$3&lt;=YEAR(electrification_input!$D$7)),OPEX_elec!N36*(1+electrification_input!$D$15)^(Exploitation_elec!Q$3-Exploitation_elec!$F$3)/1000,0)</f>
        <v>1865.0614625919779</v>
      </c>
      <c r="R12" s="580">
        <f>IF(AND(Exploitation_elec!R$3&gt;=YEAR(electrification_input!$E$55),Exploitation_elec!R$3&lt;=YEAR(electrification_input!$D$7)),OPEX_elec!O36*(1+electrification_input!$D$15)^(Exploitation_elec!R$3-Exploitation_elec!$F$3)/1000,0)</f>
        <v>0</v>
      </c>
      <c r="S12" s="580">
        <f>IF(AND(Exploitation_elec!S$3&gt;=YEAR(electrification_input!$E$55),Exploitation_elec!S$3&lt;=YEAR(electrification_input!$D$7)),OPEX_elec!P36*(1+electrification_input!$D$15)^(Exploitation_elec!S$3-Exploitation_elec!$F$3)/1000,0)</f>
        <v>0</v>
      </c>
      <c r="T12" s="580">
        <f>IF(AND(Exploitation_elec!T$3&gt;=YEAR(electrification_input!$E$55),Exploitation_elec!T$3&lt;=YEAR(electrification_input!$D$7)),OPEX_elec!Q36*(1+electrification_input!$D$15)^(Exploitation_elec!T$3-Exploitation_elec!$F$3)/1000,0)</f>
        <v>0</v>
      </c>
      <c r="U12" s="580">
        <f>IF(AND(Exploitation_elec!U$3&gt;=YEAR(electrification_input!$E$55),Exploitation_elec!U$3&lt;=YEAR(electrification_input!$D$7)),OPEX_elec!R36*(1+electrification_input!$D$15)^(Exploitation_elec!U$3-Exploitation_elec!$F$3)/1000,0)</f>
        <v>0</v>
      </c>
      <c r="V12" s="580">
        <f>IF(AND(Exploitation_elec!V$3&gt;=YEAR(electrification_input!$E$55),Exploitation_elec!V$3&lt;=YEAR(electrification_input!$D$7)),OPEX_elec!S36*(1+electrification_input!$D$15)^(Exploitation_elec!V$3-Exploitation_elec!$F$3)/1000,0)</f>
        <v>0</v>
      </c>
      <c r="W12" s="580">
        <f>IF(AND(Exploitation_elec!W$3&gt;=YEAR(electrification_input!$E$55),Exploitation_elec!W$3&lt;=YEAR(electrification_input!$D$7)),OPEX_elec!T36*(1+electrification_input!$D$15)^(Exploitation_elec!W$3-Exploitation_elec!$F$3)/1000,0)</f>
        <v>0</v>
      </c>
      <c r="X12" s="580">
        <f>IF(AND(Exploitation_elec!X$3&gt;=YEAR(electrification_input!$E$55),Exploitation_elec!X$3&lt;=YEAR(electrification_input!$D$7)),OPEX_elec!U36*(1+electrification_input!$D$15)^(Exploitation_elec!X$3-Exploitation_elec!$F$3)/1000,0)</f>
        <v>0</v>
      </c>
      <c r="Y12" s="580">
        <f>IF(AND(Exploitation_elec!Y$3&gt;=YEAR(electrification_input!$E$55),Exploitation_elec!Y$3&lt;=YEAR(electrification_input!$D$7)),OPEX_elec!V36*(1+electrification_input!$D$15)^(Exploitation_elec!Y$3-Exploitation_elec!$F$3)/1000,0)</f>
        <v>0</v>
      </c>
      <c r="Z12" s="580">
        <f>IF(AND(Exploitation_elec!Z$3&gt;=YEAR(electrification_input!$E$55),Exploitation_elec!Z$3&lt;=YEAR(electrification_input!$D$7)),OPEX_elec!W36*(1+electrification_input!$D$15)^(Exploitation_elec!Z$3-Exploitation_elec!$F$3)/1000,0)</f>
        <v>0</v>
      </c>
      <c r="AA12" s="580">
        <f>IF(AND(Exploitation_elec!AA$3&gt;=YEAR(electrification_input!$E$55),Exploitation_elec!AA$3&lt;=YEAR(electrification_input!$D$7)),OPEX_elec!X36*(1+electrification_input!$D$15)^(Exploitation_elec!AA$3-Exploitation_elec!$F$3)/1000,0)</f>
        <v>0</v>
      </c>
      <c r="AB12" s="580">
        <f>IF(AND(Exploitation_elec!AB$3&gt;=YEAR(electrification_input!$E$55),Exploitation_elec!AB$3&lt;=YEAR(electrification_input!$D$7)),OPEX_elec!Y36*(1+electrification_input!$D$15)^(Exploitation_elec!AB$3-Exploitation_elec!$F$3)/1000,0)</f>
        <v>0</v>
      </c>
      <c r="AC12" s="580">
        <f>IF(AND(Exploitation_elec!AC$3&gt;=YEAR(electrification_input!$E$55),Exploitation_elec!AC$3&lt;=YEAR(electrification_input!$D$7)),OPEX_elec!Z36*(1+electrification_input!$D$15)^(Exploitation_elec!AC$3-Exploitation_elec!$F$3)/1000,0)</f>
        <v>0</v>
      </c>
      <c r="AD12" s="580">
        <f>IF(AND(Exploitation_elec!AD$3&gt;=YEAR(electrification_input!$E$55),Exploitation_elec!AD$3&lt;=YEAR(electrification_input!$D$7)),OPEX_elec!AA36*(1+electrification_input!$D$15)^(Exploitation_elec!AD$3-Exploitation_elec!$F$3)/1000,0)</f>
        <v>0</v>
      </c>
      <c r="AE12" s="580">
        <f>IF(AND(Exploitation_elec!AE$3&gt;=YEAR(electrification_input!$E$55),Exploitation_elec!AE$3&lt;=YEAR(electrification_input!$D$7)),OPEX_elec!AB36*(1+electrification_input!$D$15)^(Exploitation_elec!AE$3-Exploitation_elec!$F$3)/1000,0)</f>
        <v>0</v>
      </c>
      <c r="AF12" s="580">
        <f>IF(AND(Exploitation_elec!AF$3&gt;=YEAR(electrification_input!$E$55),Exploitation_elec!AF$3&lt;=YEAR(electrification_input!$D$7)),OPEX_elec!AC36*(1+electrification_input!$D$15)^(Exploitation_elec!AF$3-Exploitation_elec!$F$3)/1000,0)</f>
        <v>0</v>
      </c>
      <c r="AG12" s="580">
        <f>IF(AND(Exploitation_elec!AG$3&gt;=YEAR(electrification_input!$E$55),Exploitation_elec!AG$3&lt;=YEAR(electrification_input!$D$7)),OPEX_elec!AD36*(1+electrification_input!$D$15)^(Exploitation_elec!AG$3-Exploitation_elec!$F$3)/1000,0)</f>
        <v>0</v>
      </c>
      <c r="AH12" s="580">
        <f>IF(AND(Exploitation_elec!AH$3&gt;=YEAR(electrification_input!$E$55),Exploitation_elec!AH$3&lt;=YEAR(electrification_input!$D$7)),OPEX_elec!AE36*(1+electrification_input!$D$15)^(Exploitation_elec!AH$3-Exploitation_elec!$F$3)/1000,0)</f>
        <v>0</v>
      </c>
      <c r="AI12" s="580">
        <f>IF(AND(Exploitation_elec!AI$3&gt;=YEAR(electrification_input!$E$55),Exploitation_elec!AI$3&lt;=YEAR(electrification_input!$D$7)),OPEX_elec!AF36*(1+electrification_input!$D$15)^(Exploitation_elec!AI$3-Exploitation_elec!$F$3)/1000,0)</f>
        <v>0</v>
      </c>
      <c r="AJ12" s="580">
        <f>IF(AND(Exploitation_elec!AJ$3&gt;=YEAR(electrification_input!$E$55),Exploitation_elec!AJ$3&lt;=YEAR(electrification_input!$D$7)),OPEX_elec!AG36*(1+electrification_input!$D$15)^(Exploitation_elec!AJ$3-Exploitation_elec!$F$3)/1000,0)</f>
        <v>0</v>
      </c>
      <c r="AK12" s="580">
        <f>IF(AND(Exploitation_elec!AK$3&gt;=YEAR(electrification_input!$E$55),Exploitation_elec!AK$3&lt;=YEAR(electrification_input!$D$7)),OPEX_elec!AH36*(1+electrification_input!$D$15)^(Exploitation_elec!AK$3-Exploitation_elec!$F$3)/1000,0)</f>
        <v>0</v>
      </c>
      <c r="AL12" s="580">
        <f>IF(AND(Exploitation_elec!AL$3&gt;=YEAR(electrification_input!$E$55),Exploitation_elec!AL$3&lt;=YEAR(electrification_input!$D$7)),OPEX_elec!AI36*(1+electrification_input!$D$15)^(Exploitation_elec!AL$3-Exploitation_elec!$F$3)/1000,0)</f>
        <v>0</v>
      </c>
      <c r="AM12" s="580">
        <f>IF(AND(Exploitation_elec!AM$3&gt;=YEAR(electrification_input!$E$55),Exploitation_elec!AM$3&lt;=YEAR(electrification_input!$D$7)),OPEX_elec!AJ36*(1+electrification_input!$D$15)^(Exploitation_elec!AM$3-Exploitation_elec!$F$3)/1000,0)</f>
        <v>0</v>
      </c>
      <c r="AN12" s="580">
        <f>IF(AND(Exploitation_elec!AN$3&gt;=YEAR(electrification_input!$E$55),Exploitation_elec!AN$3&lt;=YEAR(electrification_input!$D$7)),OPEX_elec!AK36*(1+electrification_input!$D$15)^(Exploitation_elec!AN$3-Exploitation_elec!$F$3)/1000,0)</f>
        <v>0</v>
      </c>
      <c r="AO12" s="580">
        <f>IF(AND(Exploitation_elec!AO$3&gt;=YEAR(electrification_input!$E$55),Exploitation_elec!AO$3&lt;=YEAR(electrification_input!$D$7)),OPEX_elec!AL36*(1+electrification_input!$D$15)^(Exploitation_elec!AO$3-Exploitation_elec!$F$3)/1000,0)</f>
        <v>0</v>
      </c>
      <c r="AP12" s="580">
        <f>IF(AND(Exploitation_elec!AP$3&gt;=YEAR(electrification_input!$E$55),Exploitation_elec!AP$3&lt;=YEAR(electrification_input!$D$7)),OPEX_elec!AM36*(1+electrification_input!$D$15)^(Exploitation_elec!AP$3-Exploitation_elec!$F$3)/1000,0)</f>
        <v>0</v>
      </c>
      <c r="AQ12" s="580">
        <f>IF(AND(Exploitation_elec!AQ$3&gt;=YEAR(electrification_input!$E$55),Exploitation_elec!AQ$3&lt;=YEAR(electrification_input!$D$7)),OPEX_elec!AN36*(1+electrification_input!$D$15)^(Exploitation_elec!AQ$3-Exploitation_elec!$F$3)/1000,0)</f>
        <v>0</v>
      </c>
      <c r="AR12" s="580">
        <f>IF(AND(Exploitation_elec!AR$3&gt;=YEAR(electrification_input!$E$55),Exploitation_elec!AR$3&lt;=YEAR(electrification_input!$D$7)),OPEX_elec!AO36*(1+electrification_input!$D$15)^(Exploitation_elec!AR$3-Exploitation_elec!$F$3)/1000,0)</f>
        <v>0</v>
      </c>
      <c r="AS12" s="580">
        <f>IF(AND(Exploitation_elec!AS$3&gt;=YEAR(electrification_input!$E$55),Exploitation_elec!AS$3&lt;=YEAR(electrification_input!$D$7)),OPEX_elec!AP36*(1+electrification_input!$D$15)^(Exploitation_elec!AS$3-Exploitation_elec!$F$3)/1000,0)</f>
        <v>0</v>
      </c>
      <c r="AT12" s="580">
        <f>IF(AND(Exploitation_elec!AT$3&gt;=YEAR(electrification_input!$E$55),Exploitation_elec!AT$3&lt;=YEAR(electrification_input!$D$7)),OPEX_elec!AQ36*(1+electrification_input!$D$15)^(Exploitation_elec!AT$3-Exploitation_elec!$F$3)/1000,0)</f>
        <v>0</v>
      </c>
      <c r="AU12" s="580">
        <f>IF(AND(Exploitation_elec!AU$3&gt;=YEAR(electrification_input!$E$55),Exploitation_elec!AU$3&lt;=YEAR(electrification_input!$D$7)),OPEX_elec!AR36*(1+electrification_input!$D$15)^(Exploitation_elec!AU$3-Exploitation_elec!$F$3)/1000,0)</f>
        <v>0</v>
      </c>
      <c r="AV12" s="580">
        <f>IF(AND(Exploitation_elec!AV$3&gt;=YEAR(electrification_input!$E$55),Exploitation_elec!AV$3&lt;=YEAR(electrification_input!$D$7)),OPEX_elec!AS36*(1+electrification_input!$D$15)^(Exploitation_elec!AV$3-Exploitation_elec!$F$3)/1000,0)</f>
        <v>0</v>
      </c>
      <c r="AW12" s="580">
        <f>IF(AND(Exploitation_elec!AW$3&gt;=YEAR(electrification_input!$E$55),Exploitation_elec!AW$3&lt;=YEAR(electrification_input!$D$7)),OPEX_elec!AT36*(1+electrification_input!$D$15)^(Exploitation_elec!AW$3-Exploitation_elec!$F$3)/1000,0)</f>
        <v>0</v>
      </c>
      <c r="AX12" s="580">
        <f>IF(AND(Exploitation_elec!AX$3&gt;=YEAR(electrification_input!$E$55),Exploitation_elec!AX$3&lt;=YEAR(electrification_input!$D$7)),OPEX_elec!AU36*(1+electrification_input!$D$15)^(Exploitation_elec!AX$3-Exploitation_elec!$F$3)/1000,0)</f>
        <v>0</v>
      </c>
      <c r="AY12" s="580">
        <f>IF(AND(Exploitation_elec!AY$3&gt;=YEAR(electrification_input!$E$55),Exploitation_elec!AY$3&lt;=YEAR(electrification_input!$D$7)),OPEX_elec!AV36*(1+electrification_input!$D$15)^(Exploitation_elec!AY$3-Exploitation_elec!$F$3)/1000,0)</f>
        <v>0</v>
      </c>
      <c r="AZ12" s="580">
        <f>IF(AND(Exploitation_elec!AZ$3&gt;=YEAR(electrification_input!$E$55),Exploitation_elec!AZ$3&lt;=YEAR(electrification_input!$D$7)),OPEX_elec!AW36*(1+electrification_input!$D$15)^(Exploitation_elec!AZ$3-Exploitation_elec!$F$3)/1000,0)</f>
        <v>0</v>
      </c>
      <c r="BA12" s="580">
        <f>IF(AND(Exploitation_elec!BA$3&gt;=YEAR(electrification_input!$E$55),Exploitation_elec!BA$3&lt;=YEAR(electrification_input!$D$7)),OPEX_elec!AX36*(1+electrification_input!$D$15)^(Exploitation_elec!BA$3-Exploitation_elec!$F$3)/1000,0)</f>
        <v>0</v>
      </c>
    </row>
    <row r="13" spans="2:53" x14ac:dyDescent="0.25">
      <c r="B13" s="571" t="s">
        <v>1381</v>
      </c>
      <c r="C13" s="579" t="s">
        <v>979</v>
      </c>
      <c r="D13" s="572">
        <f t="shared" si="10"/>
        <v>856251.54086008598</v>
      </c>
      <c r="E13" s="575"/>
      <c r="F13" s="580">
        <f>Gas_production!F$4*HLOOKUP(F3,'Gas price scenarios'!$C$22:$BB$23,2,FALSE)*(1+electrification_input!$D$15)^(Exploitation_elec!F$3-Exploitation_elec!$F$3)/1000</f>
        <v>0</v>
      </c>
      <c r="G13" s="580">
        <f>Gas_production!G$4*HLOOKUP(G3,'Gas price scenarios'!$C$22:$BB$23,2,FALSE)*(1+electrification_input!$D$15)^(Exploitation_elec!G$3-Exploitation_elec!$F$3)/1000</f>
        <v>0</v>
      </c>
      <c r="H13" s="580">
        <f>Gas_production!H$4*HLOOKUP(H3,'Gas price scenarios'!$C$22:$BB$23,2,FALSE)*(1+electrification_input!$D$15)^(Exploitation_elec!H$3-Exploitation_elec!$F$3)/1000</f>
        <v>0</v>
      </c>
      <c r="I13" s="580">
        <f>Gas_production!I$4*HLOOKUP(I3,'Gas price scenarios'!$C$22:$BB$23,2,FALSE)*(1+electrification_input!$D$15)^(Exploitation_elec!I$3-Exploitation_elec!$F$3)/1000</f>
        <v>0</v>
      </c>
      <c r="J13" s="580">
        <f>Gas_production!J$4*HLOOKUP(J3,'Gas price scenarios'!$C$22:$BB$23,2,FALSE)*(1+electrification_input!$D$15)^(Exploitation_elec!J$3-Exploitation_elec!$F$3)/1000</f>
        <v>94358.051012720229</v>
      </c>
      <c r="K13" s="580">
        <f>Gas_production!K$4*HLOOKUP(K3,'Gas price scenarios'!$C$22:$BB$23,2,FALSE)*(1+electrification_input!$D$15)^(Exploitation_elec!K$3-Exploitation_elec!$F$3)/1000</f>
        <v>99564.012447904781</v>
      </c>
      <c r="L13" s="580">
        <f>Gas_production!L$4*HLOOKUP(L3,'Gas price scenarios'!$C$22:$BB$23,2,FALSE)*(1+electrification_input!$D$15)^(Exploitation_elec!L$3-Exploitation_elec!$F$3)/1000</f>
        <v>102522.48596064253</v>
      </c>
      <c r="M13" s="580">
        <f>Gas_production!M$4*HLOOKUP(M3,'Gas price scenarios'!$C$22:$BB$23,2,FALSE)*(1+electrification_input!$D$15)^(Exploitation_elec!M$3-Exploitation_elec!$F$3)/1000</f>
        <v>105559.47280891061</v>
      </c>
      <c r="N13" s="580">
        <f>Gas_production!N$4*HLOOKUP(N3,'Gas price scenarios'!$C$22:$BB$23,2,FALSE)*(1+electrification_input!$D$15)^(Exploitation_elec!N$3-Exploitation_elec!$F$3)/1000</f>
        <v>108676.93013672516</v>
      </c>
      <c r="O13" s="580">
        <f>Gas_production!O$4*HLOOKUP(O3,'Gas price scenarios'!$C$22:$BB$23,2,FALSE)*(1+electrification_input!$D$15)^(Exploitation_elec!O$3-Exploitation_elec!$F$3)/1000</f>
        <v>111876.86196852873</v>
      </c>
      <c r="P13" s="580">
        <f>Gas_production!P$4*HLOOKUP(P3,'Gas price scenarios'!$C$22:$BB$23,2,FALSE)*(1+electrification_input!$D$15)^(Exploitation_elec!P$3-Exploitation_elec!$F$3)/1000</f>
        <v>115161.32030154976</v>
      </c>
      <c r="Q13" s="580">
        <f>Gas_production!Q$4*HLOOKUP(Q3,'Gas price scenarios'!$C$22:$BB$23,2,FALSE)*(1+electrification_input!$D$15)^(Exploitation_elec!Q$3-Exploitation_elec!$F$3)/1000</f>
        <v>118532.40622310423</v>
      </c>
      <c r="R13" s="580">
        <f>Gas_production!R$4*HLOOKUP(R3,'Gas price scenarios'!$C$22:$BB$23,2,FALSE)*(1+electrification_input!$D$15)^(Exploitation_elec!R$3-Exploitation_elec!$F$3)/1000</f>
        <v>0</v>
      </c>
      <c r="S13" s="580">
        <f>Gas_production!S$4*HLOOKUP(S3,'Gas price scenarios'!$C$22:$BB$23,2,FALSE)*(1+electrification_input!$D$15)^(Exploitation_elec!S$3-Exploitation_elec!$F$3)/1000</f>
        <v>0</v>
      </c>
      <c r="T13" s="580">
        <f>Gas_production!T$4*HLOOKUP(T3,'Gas price scenarios'!$C$22:$BB$23,2,FALSE)*(1+electrification_input!$D$15)^(Exploitation_elec!T$3-Exploitation_elec!$F$3)/1000</f>
        <v>0</v>
      </c>
      <c r="U13" s="580">
        <f>Gas_production!U$4*HLOOKUP(U3,'Gas price scenarios'!$C$22:$BB$23,2,FALSE)*(1+electrification_input!$D$15)^(Exploitation_elec!U$3-Exploitation_elec!$F$3)/1000</f>
        <v>0</v>
      </c>
      <c r="V13" s="580">
        <f>Gas_production!V$4*HLOOKUP(V3,'Gas price scenarios'!$C$22:$BB$23,2,FALSE)*(1+electrification_input!$D$15)^(Exploitation_elec!V$3-Exploitation_elec!$F$3)/1000</f>
        <v>0</v>
      </c>
      <c r="W13" s="580">
        <f>Gas_production!W$4*HLOOKUP(W3,'Gas price scenarios'!$C$22:$BB$23,2,FALSE)*(1+electrification_input!$D$15)^(Exploitation_elec!W$3-Exploitation_elec!$F$3)/1000</f>
        <v>0</v>
      </c>
      <c r="X13" s="580">
        <f>Gas_production!X$4*HLOOKUP(X3,'Gas price scenarios'!$C$22:$BB$23,2,FALSE)*(1+electrification_input!$D$15)^(Exploitation_elec!X$3-Exploitation_elec!$F$3)/1000</f>
        <v>0</v>
      </c>
      <c r="Y13" s="580">
        <f>Gas_production!Y$4*HLOOKUP(Y3,'Gas price scenarios'!$C$22:$BB$23,2,FALSE)*(1+electrification_input!$D$15)^(Exploitation_elec!Y$3-Exploitation_elec!$F$3)/1000</f>
        <v>0</v>
      </c>
      <c r="Z13" s="580">
        <f>Gas_production!Z$4*HLOOKUP(Z3,'Gas price scenarios'!$C$22:$BB$23,2,FALSE)*(1+electrification_input!$D$15)^(Exploitation_elec!Z$3-Exploitation_elec!$F$3)/1000</f>
        <v>0</v>
      </c>
      <c r="AA13" s="580">
        <f>Gas_production!AA$4*HLOOKUP(AA3,'Gas price scenarios'!$C$22:$BB$23,2,FALSE)*(1+electrification_input!$D$15)^(Exploitation_elec!AA$3-Exploitation_elec!$F$3)/1000</f>
        <v>0</v>
      </c>
      <c r="AB13" s="580">
        <f>Gas_production!AB$4*HLOOKUP(AB3,'Gas price scenarios'!$C$22:$BB$23,2,FALSE)*(1+electrification_input!$D$15)^(Exploitation_elec!AB$3-Exploitation_elec!$F$3)/1000</f>
        <v>0</v>
      </c>
      <c r="AC13" s="580">
        <f>Gas_production!AC$4*HLOOKUP(AC3,'Gas price scenarios'!$C$22:$BB$23,2,FALSE)*(1+electrification_input!$D$15)^(Exploitation_elec!AC$3-Exploitation_elec!$F$3)/1000</f>
        <v>0</v>
      </c>
      <c r="AD13" s="580">
        <f>Gas_production!AD$4*HLOOKUP(AD3,'Gas price scenarios'!$C$22:$BB$23,2,FALSE)*(1+electrification_input!$D$15)^(Exploitation_elec!AD$3-Exploitation_elec!$F$3)/1000</f>
        <v>0</v>
      </c>
      <c r="AE13" s="580">
        <f>Gas_production!AE$4*HLOOKUP(AE3,'Gas price scenarios'!$C$22:$BB$23,2,FALSE)*(1+electrification_input!$D$15)^(Exploitation_elec!AE$3-Exploitation_elec!$F$3)/1000</f>
        <v>0</v>
      </c>
      <c r="AF13" s="580">
        <f>Gas_production!AF$4*HLOOKUP(AF3,'Gas price scenarios'!$C$22:$BB$23,2,FALSE)*(1+electrification_input!$D$15)^(Exploitation_elec!AF$3-Exploitation_elec!$F$3)/1000</f>
        <v>0</v>
      </c>
      <c r="AG13" s="580">
        <f>Gas_production!AG$4*HLOOKUP(AG3,'Gas price scenarios'!$C$22:$BB$23,2,FALSE)*(1+electrification_input!$D$15)^(Exploitation_elec!AG$3-Exploitation_elec!$F$3)/1000</f>
        <v>0</v>
      </c>
      <c r="AH13" s="580">
        <f>Gas_production!AH$4*HLOOKUP(AH3,'Gas price scenarios'!$C$22:$BB$23,2,FALSE)*(1+electrification_input!$D$15)^(Exploitation_elec!AH$3-Exploitation_elec!$F$3)/1000</f>
        <v>0</v>
      </c>
      <c r="AI13" s="580">
        <f>Gas_production!AI$4*HLOOKUP(AI3,'Gas price scenarios'!$C$22:$BB$23,2,FALSE)*(1+electrification_input!$D$15)^(Exploitation_elec!AI$3-Exploitation_elec!$F$3)/1000</f>
        <v>0</v>
      </c>
      <c r="AJ13" s="580">
        <f>Gas_production!AJ$4*HLOOKUP(AJ3,'Gas price scenarios'!$C$22:$BB$23,2,FALSE)*(1+electrification_input!$D$15)^(Exploitation_elec!AJ$3-Exploitation_elec!$F$3)/1000</f>
        <v>0</v>
      </c>
      <c r="AK13" s="580">
        <f>Gas_production!AK$4*HLOOKUP(AK3,'Gas price scenarios'!$C$22:$BB$23,2,FALSE)*(1+electrification_input!$D$15)^(Exploitation_elec!AK$3-Exploitation_elec!$F$3)/1000</f>
        <v>0</v>
      </c>
      <c r="AL13" s="580">
        <f>Gas_production!AL$4*HLOOKUP(AL3,'Gas price scenarios'!$C$22:$BB$23,2,FALSE)*(1+electrification_input!$D$15)^(Exploitation_elec!AL$3-Exploitation_elec!$F$3)/1000</f>
        <v>0</v>
      </c>
      <c r="AM13" s="580">
        <f>Gas_production!AM$4*HLOOKUP(AM3,'Gas price scenarios'!$C$22:$BB$23,2,FALSE)*(1+electrification_input!$D$15)^(Exploitation_elec!AM$3-Exploitation_elec!$F$3)/1000</f>
        <v>0</v>
      </c>
      <c r="AN13" s="580">
        <f>Gas_production!AN$4*HLOOKUP(AN3,'Gas price scenarios'!$C$22:$BB$23,2,FALSE)*(1+electrification_input!$D$15)^(Exploitation_elec!AN$3-Exploitation_elec!$F$3)/1000</f>
        <v>0</v>
      </c>
      <c r="AO13" s="580">
        <f>Gas_production!AO$4*HLOOKUP(AO3,'Gas price scenarios'!$C$22:$BB$23,2,FALSE)*(1+electrification_input!$D$15)^(Exploitation_elec!AO$3-Exploitation_elec!$F$3)/1000</f>
        <v>0</v>
      </c>
      <c r="AP13" s="580">
        <f>Gas_production!AP$4*HLOOKUP(AP3,'Gas price scenarios'!$C$22:$BB$23,2,FALSE)*(1+electrification_input!$D$15)^(Exploitation_elec!AP$3-Exploitation_elec!$F$3)/1000</f>
        <v>0</v>
      </c>
      <c r="AQ13" s="580">
        <f>Gas_production!AQ$4*HLOOKUP(AQ3,'Gas price scenarios'!$C$22:$BB$23,2,FALSE)*(1+electrification_input!$D$15)^(Exploitation_elec!AQ$3-Exploitation_elec!$F$3)/1000</f>
        <v>0</v>
      </c>
      <c r="AR13" s="580">
        <f>Gas_production!AR$4*HLOOKUP(AR3,'Gas price scenarios'!$C$22:$BB$23,2,FALSE)*(1+electrification_input!$D$15)^(Exploitation_elec!AR$3-Exploitation_elec!$F$3)/1000</f>
        <v>0</v>
      </c>
      <c r="AS13" s="580">
        <f>Gas_production!AS$4*HLOOKUP(AS3,'Gas price scenarios'!$C$22:$BB$23,2,FALSE)*(1+electrification_input!$D$15)^(Exploitation_elec!AS$3-Exploitation_elec!$F$3)/1000</f>
        <v>0</v>
      </c>
      <c r="AT13" s="580">
        <f>Gas_production!AT$4*HLOOKUP(AT3,'Gas price scenarios'!$C$22:$BB$23,2,FALSE)*(1+electrification_input!$D$15)^(Exploitation_elec!AT$3-Exploitation_elec!$F$3)/1000</f>
        <v>0</v>
      </c>
      <c r="AU13" s="580">
        <f>Gas_production!AU$4*HLOOKUP(AU3,'Gas price scenarios'!$C$22:$BB$23,2,FALSE)*(1+electrification_input!$D$15)^(Exploitation_elec!AU$3-Exploitation_elec!$F$3)/1000</f>
        <v>0</v>
      </c>
      <c r="AV13" s="580">
        <f>Gas_production!AV$4*HLOOKUP(AV3,'Gas price scenarios'!$C$22:$BB$23,2,FALSE)*(1+electrification_input!$D$15)^(Exploitation_elec!AV$3-Exploitation_elec!$F$3)/1000</f>
        <v>0</v>
      </c>
      <c r="AW13" s="580">
        <f>Gas_production!AW$4*HLOOKUP(AW3,'Gas price scenarios'!$C$22:$BB$23,2,FALSE)*(1+electrification_input!$D$15)^(Exploitation_elec!AW$3-Exploitation_elec!$F$3)/1000</f>
        <v>0</v>
      </c>
      <c r="AX13" s="580">
        <f>Gas_production!AX$4*HLOOKUP(AX3,'Gas price scenarios'!$C$22:$BB$23,2,FALSE)*(1+electrification_input!$D$15)^(Exploitation_elec!AX$3-Exploitation_elec!$F$3)/1000</f>
        <v>0</v>
      </c>
      <c r="AY13" s="580">
        <f>Gas_production!AY$4*HLOOKUP(AY3,'Gas price scenarios'!$C$22:$BB$23,2,FALSE)*(1+electrification_input!$D$15)^(Exploitation_elec!AY$3-Exploitation_elec!$F$3)/1000</f>
        <v>0</v>
      </c>
      <c r="AZ13" s="580">
        <f>Gas_production!AZ$4*HLOOKUP(AZ3,'Gas price scenarios'!$C$22:$BB$23,2,FALSE)*(1+electrification_input!$D$15)^(Exploitation_elec!AZ$3-Exploitation_elec!$F$3)/1000</f>
        <v>0</v>
      </c>
      <c r="BA13" s="580">
        <f>Gas_production!BA$4*HLOOKUP(BA3,'Gas price scenarios'!$C$22:$BB$23,2,FALSE)*(1+electrification_input!$D$15)^(Exploitation_elec!BA$3-Exploitation_elec!$F$3)/1000</f>
        <v>0</v>
      </c>
    </row>
    <row r="14" spans="2:53" x14ac:dyDescent="0.25">
      <c r="B14" s="566"/>
      <c r="C14" s="566"/>
      <c r="D14" s="576"/>
      <c r="E14" s="566"/>
      <c r="F14" s="585"/>
      <c r="G14" s="585"/>
      <c r="H14" s="585"/>
      <c r="I14" s="585"/>
      <c r="J14" s="585"/>
      <c r="K14" s="585"/>
      <c r="L14" s="585"/>
      <c r="M14" s="585"/>
      <c r="N14" s="585"/>
      <c r="O14" s="585"/>
      <c r="P14" s="585"/>
      <c r="Q14" s="585"/>
      <c r="R14" s="585"/>
      <c r="S14" s="585"/>
      <c r="T14" s="585"/>
      <c r="U14" s="585"/>
      <c r="V14" s="585"/>
      <c r="W14" s="585"/>
      <c r="X14" s="585"/>
      <c r="Y14" s="585"/>
      <c r="Z14" s="585"/>
      <c r="AA14" s="585"/>
      <c r="AB14" s="585"/>
      <c r="AC14" s="585"/>
      <c r="AD14" s="585"/>
      <c r="AE14" s="585"/>
      <c r="AF14" s="585"/>
      <c r="AG14" s="585"/>
      <c r="AH14" s="585"/>
      <c r="AI14" s="585"/>
      <c r="AJ14" s="585"/>
      <c r="AK14" s="585"/>
      <c r="AL14" s="585"/>
      <c r="AM14" s="585"/>
      <c r="AN14" s="585"/>
      <c r="AO14" s="585"/>
      <c r="AP14" s="585"/>
      <c r="AQ14" s="585"/>
      <c r="AR14" s="585"/>
      <c r="AS14" s="585"/>
      <c r="AT14" s="585"/>
      <c r="AU14" s="585"/>
      <c r="AV14" s="585"/>
      <c r="AW14" s="585"/>
      <c r="AX14" s="585"/>
      <c r="AY14" s="585"/>
      <c r="AZ14" s="585"/>
      <c r="BA14" s="585"/>
    </row>
    <row r="15" spans="2:53" x14ac:dyDescent="0.25">
      <c r="B15" s="545"/>
      <c r="C15" s="545"/>
      <c r="D15" s="591"/>
      <c r="E15" s="545"/>
      <c r="F15" s="592"/>
      <c r="G15" s="592"/>
      <c r="H15" s="592"/>
      <c r="I15" s="592"/>
      <c r="J15" s="592"/>
      <c r="K15" s="592"/>
      <c r="L15" s="592"/>
      <c r="M15" s="592"/>
      <c r="N15" s="592"/>
      <c r="O15" s="592"/>
      <c r="P15" s="592"/>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2"/>
      <c r="AR15" s="592"/>
      <c r="AS15" s="592"/>
      <c r="AT15" s="592"/>
      <c r="AU15" s="592"/>
      <c r="AV15" s="592"/>
      <c r="AW15" s="592"/>
      <c r="AX15" s="592"/>
      <c r="AY15" s="592"/>
      <c r="AZ15" s="592"/>
      <c r="BA15" s="592"/>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6">
    <tabColor rgb="FFFFFF00"/>
  </sheetPr>
  <dimension ref="B2:BA15"/>
  <sheetViews>
    <sheetView showGridLines="0" zoomScale="85" zoomScaleNormal="85" workbookViewId="0">
      <pane xSplit="5" ySplit="3" topLeftCell="F4" activePane="bottomRight" state="frozen"/>
      <selection pane="topRight" activeCell="F1" sqref="F1"/>
      <selection pane="bottomLeft" activeCell="A4" sqref="A4"/>
      <selection pane="bottomRight" activeCell="E22" sqref="E22"/>
    </sheetView>
  </sheetViews>
  <sheetFormatPr defaultColWidth="9.140625" defaultRowHeight="15" x14ac:dyDescent="0.25"/>
  <cols>
    <col min="1" max="1" width="3.7109375" style="171" customWidth="1"/>
    <col min="2" max="2" width="33.7109375" style="171" customWidth="1"/>
    <col min="3" max="3" width="7.42578125" style="171" customWidth="1"/>
    <col min="4" max="4" width="15" style="171" customWidth="1"/>
    <col min="5" max="5" width="46" style="171" customWidth="1"/>
    <col min="6" max="6" width="7.5703125" style="171" customWidth="1"/>
    <col min="7" max="7" width="10.140625" style="171" bestFit="1" customWidth="1"/>
    <col min="8" max="9" width="11.5703125" style="171" bestFit="1" customWidth="1"/>
    <col min="10" max="11" width="12" style="171" bestFit="1" customWidth="1"/>
    <col min="12" max="23" width="9.28515625" style="171" customWidth="1"/>
    <col min="24" max="28" width="8.7109375" style="171" customWidth="1"/>
    <col min="29" max="41" width="7.5703125" style="171" customWidth="1"/>
    <col min="42" max="16384" width="9.140625" style="171"/>
  </cols>
  <sheetData>
    <row r="2" spans="2:53" ht="31.5" x14ac:dyDescent="0.5">
      <c r="B2" s="1263" t="str">
        <f>"Electrification CO2 emissions ("&amp;Parameters!$D$6&amp;")"</f>
        <v>Electrification CO2 emissions (P15 Scenario 1)</v>
      </c>
    </row>
    <row r="3" spans="2:53" x14ac:dyDescent="0.25">
      <c r="B3" s="566"/>
      <c r="C3" s="566"/>
      <c r="D3" s="566"/>
      <c r="E3" s="566"/>
      <c r="F3" s="563">
        <f>'Output E'!G5</f>
        <v>2018</v>
      </c>
      <c r="G3" s="563">
        <f>F3+1</f>
        <v>2019</v>
      </c>
      <c r="H3" s="563">
        <f t="shared" ref="H3:T3" si="0">G3+1</f>
        <v>2020</v>
      </c>
      <c r="I3" s="563">
        <f t="shared" si="0"/>
        <v>2021</v>
      </c>
      <c r="J3" s="563">
        <f t="shared" si="0"/>
        <v>2022</v>
      </c>
      <c r="K3" s="563">
        <f t="shared" si="0"/>
        <v>2023</v>
      </c>
      <c r="L3" s="563">
        <f t="shared" si="0"/>
        <v>2024</v>
      </c>
      <c r="M3" s="563">
        <f t="shared" si="0"/>
        <v>2025</v>
      </c>
      <c r="N3" s="563">
        <f t="shared" si="0"/>
        <v>2026</v>
      </c>
      <c r="O3" s="563">
        <f t="shared" si="0"/>
        <v>2027</v>
      </c>
      <c r="P3" s="563">
        <f t="shared" si="0"/>
        <v>2028</v>
      </c>
      <c r="Q3" s="563">
        <f t="shared" si="0"/>
        <v>2029</v>
      </c>
      <c r="R3" s="563">
        <f t="shared" si="0"/>
        <v>2030</v>
      </c>
      <c r="S3" s="563">
        <f t="shared" si="0"/>
        <v>2031</v>
      </c>
      <c r="T3" s="563">
        <f t="shared" si="0"/>
        <v>2032</v>
      </c>
      <c r="U3" s="563">
        <f>T3+1</f>
        <v>2033</v>
      </c>
      <c r="V3" s="563">
        <f t="shared" ref="V3:AT3" si="1">U3+1</f>
        <v>2034</v>
      </c>
      <c r="W3" s="563">
        <f t="shared" si="1"/>
        <v>2035</v>
      </c>
      <c r="X3" s="563">
        <f t="shared" si="1"/>
        <v>2036</v>
      </c>
      <c r="Y3" s="563">
        <f t="shared" si="1"/>
        <v>2037</v>
      </c>
      <c r="Z3" s="563">
        <f t="shared" si="1"/>
        <v>2038</v>
      </c>
      <c r="AA3" s="563">
        <f t="shared" si="1"/>
        <v>2039</v>
      </c>
      <c r="AB3" s="563">
        <f t="shared" si="1"/>
        <v>2040</v>
      </c>
      <c r="AC3" s="563">
        <f t="shared" si="1"/>
        <v>2041</v>
      </c>
      <c r="AD3" s="563">
        <f t="shared" si="1"/>
        <v>2042</v>
      </c>
      <c r="AE3" s="563">
        <f t="shared" si="1"/>
        <v>2043</v>
      </c>
      <c r="AF3" s="563">
        <f t="shared" si="1"/>
        <v>2044</v>
      </c>
      <c r="AG3" s="563">
        <f t="shared" si="1"/>
        <v>2045</v>
      </c>
      <c r="AH3" s="563">
        <f t="shared" si="1"/>
        <v>2046</v>
      </c>
      <c r="AI3" s="563">
        <f t="shared" si="1"/>
        <v>2047</v>
      </c>
      <c r="AJ3" s="563">
        <f t="shared" si="1"/>
        <v>2048</v>
      </c>
      <c r="AK3" s="563">
        <f t="shared" si="1"/>
        <v>2049</v>
      </c>
      <c r="AL3" s="563">
        <f t="shared" si="1"/>
        <v>2050</v>
      </c>
      <c r="AM3" s="563">
        <f t="shared" si="1"/>
        <v>2051</v>
      </c>
      <c r="AN3" s="563">
        <f t="shared" si="1"/>
        <v>2052</v>
      </c>
      <c r="AO3" s="563">
        <f t="shared" si="1"/>
        <v>2053</v>
      </c>
      <c r="AP3" s="563">
        <f t="shared" si="1"/>
        <v>2054</v>
      </c>
      <c r="AQ3" s="563">
        <f t="shared" si="1"/>
        <v>2055</v>
      </c>
      <c r="AR3" s="563">
        <f t="shared" si="1"/>
        <v>2056</v>
      </c>
      <c r="AS3" s="563">
        <f t="shared" si="1"/>
        <v>2057</v>
      </c>
      <c r="AT3" s="563">
        <f t="shared" si="1"/>
        <v>2058</v>
      </c>
      <c r="AU3" s="563">
        <f t="shared" ref="AU3" si="2">AT3+1</f>
        <v>2059</v>
      </c>
      <c r="AV3" s="563">
        <f t="shared" ref="AV3" si="3">AU3+1</f>
        <v>2060</v>
      </c>
      <c r="AW3" s="563">
        <f t="shared" ref="AW3" si="4">AV3+1</f>
        <v>2061</v>
      </c>
      <c r="AX3" s="563">
        <f t="shared" ref="AX3" si="5">AW3+1</f>
        <v>2062</v>
      </c>
      <c r="AY3" s="563">
        <f t="shared" ref="AY3" si="6">AX3+1</f>
        <v>2063</v>
      </c>
      <c r="AZ3" s="563">
        <f t="shared" ref="AZ3" si="7">AY3+1</f>
        <v>2064</v>
      </c>
      <c r="BA3" s="563">
        <f t="shared" ref="BA3" si="8">AZ3+1</f>
        <v>2065</v>
      </c>
    </row>
    <row r="4" spans="2:53" ht="15.75" x14ac:dyDescent="0.25">
      <c r="B4" s="501" t="s">
        <v>720</v>
      </c>
      <c r="C4" s="501"/>
      <c r="D4" s="561">
        <f>SUM(F4:AT4)</f>
        <v>0</v>
      </c>
      <c r="E4" s="502"/>
      <c r="F4" s="502">
        <f t="shared" ref="F4:BA4" si="9">SUM(F5:F5)</f>
        <v>0</v>
      </c>
      <c r="G4" s="502">
        <f t="shared" si="9"/>
        <v>0</v>
      </c>
      <c r="H4" s="502">
        <f t="shared" si="9"/>
        <v>0</v>
      </c>
      <c r="I4" s="502">
        <f t="shared" si="9"/>
        <v>0</v>
      </c>
      <c r="J4" s="502">
        <f t="shared" si="9"/>
        <v>0</v>
      </c>
      <c r="K4" s="502">
        <f t="shared" si="9"/>
        <v>0</v>
      </c>
      <c r="L4" s="502">
        <f t="shared" si="9"/>
        <v>0</v>
      </c>
      <c r="M4" s="502">
        <f t="shared" si="9"/>
        <v>0</v>
      </c>
      <c r="N4" s="502">
        <f t="shared" si="9"/>
        <v>0</v>
      </c>
      <c r="O4" s="502">
        <f t="shared" si="9"/>
        <v>0</v>
      </c>
      <c r="P4" s="502">
        <f t="shared" si="9"/>
        <v>0</v>
      </c>
      <c r="Q4" s="502">
        <f t="shared" si="9"/>
        <v>0</v>
      </c>
      <c r="R4" s="502">
        <f t="shared" si="9"/>
        <v>0</v>
      </c>
      <c r="S4" s="502">
        <f t="shared" si="9"/>
        <v>0</v>
      </c>
      <c r="T4" s="502">
        <f t="shared" si="9"/>
        <v>0</v>
      </c>
      <c r="U4" s="502">
        <f t="shared" si="9"/>
        <v>0</v>
      </c>
      <c r="V4" s="502">
        <f t="shared" si="9"/>
        <v>0</v>
      </c>
      <c r="W4" s="502">
        <f t="shared" si="9"/>
        <v>0</v>
      </c>
      <c r="X4" s="502">
        <f t="shared" si="9"/>
        <v>0</v>
      </c>
      <c r="Y4" s="502">
        <f t="shared" si="9"/>
        <v>0</v>
      </c>
      <c r="Z4" s="502">
        <f t="shared" si="9"/>
        <v>0</v>
      </c>
      <c r="AA4" s="502">
        <f t="shared" si="9"/>
        <v>0</v>
      </c>
      <c r="AB4" s="502">
        <f t="shared" si="9"/>
        <v>0</v>
      </c>
      <c r="AC4" s="502">
        <f t="shared" si="9"/>
        <v>0</v>
      </c>
      <c r="AD4" s="502">
        <f t="shared" si="9"/>
        <v>0</v>
      </c>
      <c r="AE4" s="502">
        <f t="shared" si="9"/>
        <v>0</v>
      </c>
      <c r="AF4" s="502">
        <f t="shared" si="9"/>
        <v>0</v>
      </c>
      <c r="AG4" s="502">
        <f t="shared" si="9"/>
        <v>0</v>
      </c>
      <c r="AH4" s="502">
        <f t="shared" si="9"/>
        <v>0</v>
      </c>
      <c r="AI4" s="502">
        <f t="shared" si="9"/>
        <v>0</v>
      </c>
      <c r="AJ4" s="502">
        <f t="shared" si="9"/>
        <v>0</v>
      </c>
      <c r="AK4" s="502">
        <f t="shared" si="9"/>
        <v>0</v>
      </c>
      <c r="AL4" s="502">
        <f t="shared" si="9"/>
        <v>0</v>
      </c>
      <c r="AM4" s="502">
        <f t="shared" si="9"/>
        <v>0</v>
      </c>
      <c r="AN4" s="502">
        <f t="shared" si="9"/>
        <v>0</v>
      </c>
      <c r="AO4" s="502">
        <f t="shared" si="9"/>
        <v>0</v>
      </c>
      <c r="AP4" s="502">
        <f t="shared" si="9"/>
        <v>0</v>
      </c>
      <c r="AQ4" s="502">
        <f t="shared" si="9"/>
        <v>0</v>
      </c>
      <c r="AR4" s="502">
        <f t="shared" si="9"/>
        <v>0</v>
      </c>
      <c r="AS4" s="502">
        <f t="shared" si="9"/>
        <v>0</v>
      </c>
      <c r="AT4" s="502">
        <f t="shared" si="9"/>
        <v>0</v>
      </c>
      <c r="AU4" s="502">
        <f t="shared" si="9"/>
        <v>0</v>
      </c>
      <c r="AV4" s="502">
        <f t="shared" si="9"/>
        <v>0</v>
      </c>
      <c r="AW4" s="502">
        <f t="shared" si="9"/>
        <v>0</v>
      </c>
      <c r="AX4" s="502">
        <f t="shared" si="9"/>
        <v>0</v>
      </c>
      <c r="AY4" s="502">
        <f t="shared" si="9"/>
        <v>0</v>
      </c>
      <c r="AZ4" s="502">
        <f t="shared" si="9"/>
        <v>0</v>
      </c>
      <c r="BA4" s="502">
        <f t="shared" si="9"/>
        <v>0</v>
      </c>
    </row>
    <row r="5" spans="2:53" x14ac:dyDescent="0.25">
      <c r="B5" s="586" t="s">
        <v>757</v>
      </c>
      <c r="C5" s="543" t="s">
        <v>979</v>
      </c>
      <c r="D5" s="587">
        <f>SUM(F5:AT5)</f>
        <v>0</v>
      </c>
      <c r="E5" s="586"/>
      <c r="F5" s="580">
        <v>0</v>
      </c>
      <c r="G5" s="580">
        <v>0</v>
      </c>
      <c r="H5" s="580">
        <v>0</v>
      </c>
      <c r="I5" s="580">
        <v>0</v>
      </c>
      <c r="J5" s="580">
        <v>0</v>
      </c>
      <c r="K5" s="580">
        <v>0</v>
      </c>
      <c r="L5" s="580">
        <v>0</v>
      </c>
      <c r="M5" s="580">
        <v>0</v>
      </c>
      <c r="N5" s="580">
        <v>0</v>
      </c>
      <c r="O5" s="580">
        <v>0</v>
      </c>
      <c r="P5" s="580">
        <v>0</v>
      </c>
      <c r="Q5" s="580">
        <v>0</v>
      </c>
      <c r="R5" s="580">
        <v>0</v>
      </c>
      <c r="S5" s="580">
        <v>0</v>
      </c>
      <c r="T5" s="580">
        <v>0</v>
      </c>
      <c r="U5" s="580">
        <v>0</v>
      </c>
      <c r="V5" s="580">
        <v>0</v>
      </c>
      <c r="W5" s="580">
        <v>0</v>
      </c>
      <c r="X5" s="580">
        <v>0</v>
      </c>
      <c r="Y5" s="580">
        <v>0</v>
      </c>
      <c r="Z5" s="580">
        <v>0</v>
      </c>
      <c r="AA5" s="580">
        <v>0</v>
      </c>
      <c r="AB5" s="580">
        <v>0</v>
      </c>
      <c r="AC5" s="580">
        <v>0</v>
      </c>
      <c r="AD5" s="580">
        <v>0</v>
      </c>
      <c r="AE5" s="580">
        <v>0</v>
      </c>
      <c r="AF5" s="580">
        <v>0</v>
      </c>
      <c r="AG5" s="580">
        <v>0</v>
      </c>
      <c r="AH5" s="580">
        <v>0</v>
      </c>
      <c r="AI5" s="580">
        <v>0</v>
      </c>
      <c r="AJ5" s="580">
        <v>0</v>
      </c>
      <c r="AK5" s="580">
        <v>0</v>
      </c>
      <c r="AL5" s="580">
        <v>0</v>
      </c>
      <c r="AM5" s="580">
        <v>0</v>
      </c>
      <c r="AN5" s="580">
        <v>0</v>
      </c>
      <c r="AO5" s="580">
        <v>0</v>
      </c>
      <c r="AP5" s="580">
        <v>0</v>
      </c>
      <c r="AQ5" s="580">
        <v>0</v>
      </c>
      <c r="AR5" s="580">
        <v>0</v>
      </c>
      <c r="AS5" s="580">
        <v>0</v>
      </c>
      <c r="AT5" s="580">
        <v>0</v>
      </c>
      <c r="AU5" s="580">
        <v>0</v>
      </c>
      <c r="AV5" s="580">
        <v>0</v>
      </c>
      <c r="AW5" s="580">
        <v>0</v>
      </c>
      <c r="AX5" s="580">
        <v>0</v>
      </c>
      <c r="AY5" s="580">
        <v>0</v>
      </c>
      <c r="AZ5" s="580">
        <v>0</v>
      </c>
      <c r="BA5" s="580">
        <v>0</v>
      </c>
    </row>
    <row r="6" spans="2:53" x14ac:dyDescent="0.25">
      <c r="B6" s="566"/>
      <c r="C6" s="566"/>
      <c r="D6" s="576"/>
      <c r="E6" s="566"/>
      <c r="F6" s="585"/>
      <c r="G6" s="585"/>
      <c r="H6" s="585"/>
      <c r="I6" s="585"/>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row>
    <row r="7" spans="2:53" x14ac:dyDescent="0.25">
      <c r="D7" s="575"/>
    </row>
    <row r="8" spans="2:53" ht="15.75" x14ac:dyDescent="0.25">
      <c r="B8" s="501" t="s">
        <v>1007</v>
      </c>
      <c r="C8" s="501"/>
      <c r="D8" s="561">
        <f>SUM(F8:AT8)</f>
        <v>35644.168374717658</v>
      </c>
      <c r="E8" s="502"/>
      <c r="F8" s="561">
        <f t="shared" ref="F8:BA8" si="10">SUM(F9:F9)</f>
        <v>0</v>
      </c>
      <c r="G8" s="561">
        <f t="shared" si="10"/>
        <v>0</v>
      </c>
      <c r="H8" s="561">
        <f t="shared" si="10"/>
        <v>0</v>
      </c>
      <c r="I8" s="561">
        <f t="shared" si="10"/>
        <v>0</v>
      </c>
      <c r="J8" s="561">
        <f t="shared" si="10"/>
        <v>4152.89489762837</v>
      </c>
      <c r="K8" s="561">
        <f t="shared" si="10"/>
        <v>4235.9527955809372</v>
      </c>
      <c r="L8" s="561">
        <f t="shared" si="10"/>
        <v>4320.6718514925569</v>
      </c>
      <c r="M8" s="561">
        <f t="shared" si="10"/>
        <v>4407.0852885224067</v>
      </c>
      <c r="N8" s="561">
        <f t="shared" si="10"/>
        <v>4495.2269942928551</v>
      </c>
      <c r="O8" s="561">
        <f t="shared" si="10"/>
        <v>4585.1315341787122</v>
      </c>
      <c r="P8" s="561">
        <f t="shared" si="10"/>
        <v>4676.8341648622873</v>
      </c>
      <c r="Q8" s="561">
        <f t="shared" si="10"/>
        <v>4770.3708481595322</v>
      </c>
      <c r="R8" s="561">
        <f t="shared" si="10"/>
        <v>0</v>
      </c>
      <c r="S8" s="561">
        <f t="shared" si="10"/>
        <v>0</v>
      </c>
      <c r="T8" s="561">
        <f t="shared" si="10"/>
        <v>0</v>
      </c>
      <c r="U8" s="561">
        <f t="shared" si="10"/>
        <v>0</v>
      </c>
      <c r="V8" s="561">
        <f t="shared" si="10"/>
        <v>0</v>
      </c>
      <c r="W8" s="561">
        <f t="shared" si="10"/>
        <v>0</v>
      </c>
      <c r="X8" s="561">
        <f t="shared" si="10"/>
        <v>0</v>
      </c>
      <c r="Y8" s="561">
        <f t="shared" si="10"/>
        <v>0</v>
      </c>
      <c r="Z8" s="561">
        <f t="shared" si="10"/>
        <v>0</v>
      </c>
      <c r="AA8" s="561">
        <f t="shared" si="10"/>
        <v>0</v>
      </c>
      <c r="AB8" s="561">
        <f t="shared" si="10"/>
        <v>0</v>
      </c>
      <c r="AC8" s="561">
        <f t="shared" si="10"/>
        <v>0</v>
      </c>
      <c r="AD8" s="561">
        <f t="shared" si="10"/>
        <v>0</v>
      </c>
      <c r="AE8" s="561">
        <f t="shared" si="10"/>
        <v>0</v>
      </c>
      <c r="AF8" s="561">
        <f t="shared" si="10"/>
        <v>0</v>
      </c>
      <c r="AG8" s="561">
        <f t="shared" si="10"/>
        <v>0</v>
      </c>
      <c r="AH8" s="561">
        <f t="shared" si="10"/>
        <v>0</v>
      </c>
      <c r="AI8" s="561">
        <f t="shared" si="10"/>
        <v>0</v>
      </c>
      <c r="AJ8" s="561">
        <f t="shared" si="10"/>
        <v>0</v>
      </c>
      <c r="AK8" s="561">
        <f t="shared" si="10"/>
        <v>0</v>
      </c>
      <c r="AL8" s="561">
        <f t="shared" si="10"/>
        <v>0</v>
      </c>
      <c r="AM8" s="561">
        <f t="shared" si="10"/>
        <v>0</v>
      </c>
      <c r="AN8" s="561">
        <f t="shared" si="10"/>
        <v>0</v>
      </c>
      <c r="AO8" s="561">
        <f t="shared" si="10"/>
        <v>0</v>
      </c>
      <c r="AP8" s="561">
        <f t="shared" si="10"/>
        <v>0</v>
      </c>
      <c r="AQ8" s="561">
        <f t="shared" si="10"/>
        <v>0</v>
      </c>
      <c r="AR8" s="561">
        <f t="shared" si="10"/>
        <v>0</v>
      </c>
      <c r="AS8" s="561">
        <f t="shared" si="10"/>
        <v>0</v>
      </c>
      <c r="AT8" s="561">
        <f t="shared" si="10"/>
        <v>0</v>
      </c>
      <c r="AU8" s="561">
        <f t="shared" si="10"/>
        <v>0</v>
      </c>
      <c r="AV8" s="561">
        <f t="shared" si="10"/>
        <v>0</v>
      </c>
      <c r="AW8" s="561">
        <f t="shared" si="10"/>
        <v>0</v>
      </c>
      <c r="AX8" s="561">
        <f t="shared" si="10"/>
        <v>0</v>
      </c>
      <c r="AY8" s="561">
        <f t="shared" si="10"/>
        <v>0</v>
      </c>
      <c r="AZ8" s="561">
        <f t="shared" si="10"/>
        <v>0</v>
      </c>
      <c r="BA8" s="561">
        <f t="shared" si="10"/>
        <v>0</v>
      </c>
    </row>
    <row r="9" spans="2:53" x14ac:dyDescent="0.25">
      <c r="B9" s="571" t="s">
        <v>1016</v>
      </c>
      <c r="C9" s="593" t="s">
        <v>979</v>
      </c>
      <c r="D9" s="594">
        <f>SUM(F9:AT9)</f>
        <v>35644.168374717658</v>
      </c>
      <c r="E9" s="586"/>
      <c r="F9" s="588">
        <f>IF(AND(F3&gt;=YEAR(electrification_input!$E$55),F3&lt;=YEAR(electrification_input!$D$7)),electrification_input!$D$65*1000*HLOOKUP(F3,'CO2 price scenarios'!$C$25:$BB$26,2,FALSE)*(1+electrification_input!$D$15)^(F$3-$F$3)/1000,0)</f>
        <v>0</v>
      </c>
      <c r="G9" s="588">
        <f>IF(AND(G3&gt;=YEAR(electrification_input!$E$55),G3&lt;=YEAR(electrification_input!$D$7)),electrification_input!$D$65*1000*HLOOKUP(G3,'CO2 price scenarios'!$C$25:$BB$26,2,FALSE)*(1+electrification_input!$D$15)^(G$3-$F$3)/1000,0)</f>
        <v>0</v>
      </c>
      <c r="H9" s="588">
        <f>IF(AND(H3&gt;=YEAR(electrification_input!$E$55),H3&lt;=YEAR(electrification_input!$D$7)),electrification_input!$D$65*1000*HLOOKUP(H3,'CO2 price scenarios'!$C$25:$BB$26,2,FALSE)*(1+electrification_input!$D$15)^(H$3-$F$3)/1000,0)</f>
        <v>0</v>
      </c>
      <c r="I9" s="588">
        <f>IF(AND(I3&gt;=YEAR(electrification_input!$E$55),I3&lt;=YEAR(electrification_input!$D$7)),electrification_input!$D$65*1000*HLOOKUP(I3,'CO2 price scenarios'!$C$25:$BB$26,2,FALSE)*(1+electrification_input!$D$15)^(I$3-$F$3)/1000,0)</f>
        <v>0</v>
      </c>
      <c r="J9" s="588">
        <f>IF(AND(J3&gt;=YEAR(electrification_input!$E$55),J3&lt;=YEAR(electrification_input!$D$7)),electrification_input!$D$65*1000*HLOOKUP(J3,'CO2 price scenarios'!$C$25:$BB$26,2,FALSE)*(1+electrification_input!$D$15)^(J$3-$F$3)/1000,0)</f>
        <v>4152.89489762837</v>
      </c>
      <c r="K9" s="588">
        <f>IF(AND(K3&gt;=YEAR(electrification_input!$E$55),K3&lt;=YEAR(electrification_input!$D$7)),electrification_input!$D$65*1000*HLOOKUP(K3,'CO2 price scenarios'!$C$25:$BB$26,2,FALSE)*(1+electrification_input!$D$15)^(K$3-$F$3)/1000,0)</f>
        <v>4235.9527955809372</v>
      </c>
      <c r="L9" s="588">
        <f>IF(AND(L3&gt;=YEAR(electrification_input!$E$55),L3&lt;=YEAR(electrification_input!$D$7)),electrification_input!$D$65*1000*HLOOKUP(L3,'CO2 price scenarios'!$C$25:$BB$26,2,FALSE)*(1+electrification_input!$D$15)^(L$3-$F$3)/1000,0)</f>
        <v>4320.6718514925569</v>
      </c>
      <c r="M9" s="588">
        <f>IF(AND(M3&gt;=YEAR(electrification_input!$E$55),M3&lt;=YEAR(electrification_input!$D$7)),electrification_input!$D$65*1000*HLOOKUP(M3,'CO2 price scenarios'!$C$25:$BB$26,2,FALSE)*(1+electrification_input!$D$15)^(M$3-$F$3)/1000,0)</f>
        <v>4407.0852885224067</v>
      </c>
      <c r="N9" s="588">
        <f>IF(AND(N3&gt;=YEAR(electrification_input!$E$55),N3&lt;=YEAR(electrification_input!$D$7)),electrification_input!$D$65*1000*HLOOKUP(N3,'CO2 price scenarios'!$C$25:$BB$26,2,FALSE)*(1+electrification_input!$D$15)^(N$3-$F$3)/1000,0)</f>
        <v>4495.2269942928551</v>
      </c>
      <c r="O9" s="588">
        <f>IF(AND(O3&gt;=YEAR(electrification_input!$E$55),O3&lt;=YEAR(electrification_input!$D$7)),electrification_input!$D$65*1000*HLOOKUP(O3,'CO2 price scenarios'!$C$25:$BB$26,2,FALSE)*(1+electrification_input!$D$15)^(O$3-$F$3)/1000,0)</f>
        <v>4585.1315341787122</v>
      </c>
      <c r="P9" s="588">
        <f>IF(AND(P3&gt;=YEAR(electrification_input!$E$55),P3&lt;=YEAR(electrification_input!$D$7)),electrification_input!$D$65*1000*HLOOKUP(P3,'CO2 price scenarios'!$C$25:$BB$26,2,FALSE)*(1+electrification_input!$D$15)^(P$3-$F$3)/1000,0)</f>
        <v>4676.8341648622873</v>
      </c>
      <c r="Q9" s="588">
        <f>IF(AND(Q3&gt;=YEAR(electrification_input!$E$55),Q3&lt;=YEAR(electrification_input!$D$7)),electrification_input!$D$65*1000*HLOOKUP(Q3,'CO2 price scenarios'!$C$25:$BB$26,2,FALSE)*(1+electrification_input!$D$15)^(Q$3-$F$3)/1000,0)</f>
        <v>4770.3708481595322</v>
      </c>
      <c r="R9" s="588">
        <f>IF(AND(R3&gt;=YEAR(electrification_input!$E$55),R3&lt;=YEAR(electrification_input!$D$7)),electrification_input!$D$65*1000*HLOOKUP(R3,'CO2 price scenarios'!$C$25:$BB$26,2,FALSE)*(1+electrification_input!$D$15)^(R$3-$F$3)/1000,0)</f>
        <v>0</v>
      </c>
      <c r="S9" s="588">
        <f>IF(AND(S3&gt;=YEAR(electrification_input!$E$55),S3&lt;=YEAR(electrification_input!$D$7)),electrification_input!$D$65*1000*HLOOKUP(S3,'CO2 price scenarios'!$C$25:$BB$26,2,FALSE)*(1+electrification_input!$D$15)^(S$3-$F$3)/1000,0)</f>
        <v>0</v>
      </c>
      <c r="T9" s="588">
        <f>IF(AND(T3&gt;=YEAR(electrification_input!$E$55),T3&lt;=YEAR(electrification_input!$D$7)),electrification_input!$D$65*1000*HLOOKUP(T3,'CO2 price scenarios'!$C$25:$BB$26,2,FALSE)*(1+electrification_input!$D$15)^(T$3-$F$3)/1000,0)</f>
        <v>0</v>
      </c>
      <c r="U9" s="588">
        <f>IF(AND(U3&gt;=YEAR(electrification_input!$E$55),U3&lt;=YEAR(electrification_input!$D$7)),electrification_input!$D$65*1000*HLOOKUP(U3,'CO2 price scenarios'!$C$25:$BB$26,2,FALSE)*(1+electrification_input!$D$15)^(U$3-$F$3)/1000,0)</f>
        <v>0</v>
      </c>
      <c r="V9" s="588">
        <f>IF(AND(V3&gt;=YEAR(electrification_input!$E$55),V3&lt;=YEAR(electrification_input!$D$7)),electrification_input!$D$65*1000*HLOOKUP(V3,'CO2 price scenarios'!$C$25:$BB$26,2,FALSE)*(1+electrification_input!$D$15)^(V$3-$F$3)/1000,0)</f>
        <v>0</v>
      </c>
      <c r="W9" s="588">
        <f>IF(AND(W3&gt;=YEAR(electrification_input!$E$55),W3&lt;=YEAR(electrification_input!$D$7)),electrification_input!$D$65*1000*HLOOKUP(W3,'CO2 price scenarios'!$C$25:$BB$26,2,FALSE)*(1+electrification_input!$D$15)^(W$3-$F$3)/1000,0)</f>
        <v>0</v>
      </c>
      <c r="X9" s="588">
        <f>IF(AND(X3&gt;=YEAR(electrification_input!$E$55),X3&lt;=YEAR(electrification_input!$D$7)),electrification_input!$D$65*1000*HLOOKUP(X3,'CO2 price scenarios'!$C$25:$BB$26,2,FALSE)*(1+electrification_input!$D$15)^(X$3-$F$3)/1000,0)</f>
        <v>0</v>
      </c>
      <c r="Y9" s="588">
        <f>IF(AND(Y3&gt;=YEAR(electrification_input!$E$55),Y3&lt;=YEAR(electrification_input!$D$7)),electrification_input!$D$65*1000*HLOOKUP(Y3,'CO2 price scenarios'!$C$25:$BB$26,2,FALSE)*(1+electrification_input!$D$15)^(Y$3-$F$3)/1000,0)</f>
        <v>0</v>
      </c>
      <c r="Z9" s="588">
        <f>IF(AND(Z3&gt;=YEAR(electrification_input!$E$55),Z3&lt;=YEAR(electrification_input!$D$7)),electrification_input!$D$65*1000*HLOOKUP(Z3,'CO2 price scenarios'!$C$25:$BB$26,2,FALSE)*(1+electrification_input!$D$15)^(Z$3-$F$3)/1000,0)</f>
        <v>0</v>
      </c>
      <c r="AA9" s="588">
        <f>IF(AND(AA3&gt;=YEAR(electrification_input!$E$55),AA3&lt;=YEAR(electrification_input!$D$7)),electrification_input!$D$65*1000*HLOOKUP(AA3,'CO2 price scenarios'!$C$25:$BB$26,2,FALSE)*(1+electrification_input!$D$15)^(AA$3-$F$3)/1000,0)</f>
        <v>0</v>
      </c>
      <c r="AB9" s="588">
        <f>IF(AND(AB3&gt;=YEAR(electrification_input!$E$55),AB3&lt;=YEAR(electrification_input!$D$7)),electrification_input!$D$65*1000*HLOOKUP(AB3,'CO2 price scenarios'!$C$25:$BB$26,2,FALSE)*(1+electrification_input!$D$15)^(AB$3-$F$3)/1000,0)</f>
        <v>0</v>
      </c>
      <c r="AC9" s="588">
        <f>IF(AND(AC3&gt;=YEAR(electrification_input!$E$55),AC3&lt;=YEAR(electrification_input!$D$7)),electrification_input!$D$65*1000*HLOOKUP(AC3,'CO2 price scenarios'!$C$25:$BB$26,2,FALSE)*(1+electrification_input!$D$15)^(AC$3-$F$3)/1000,0)</f>
        <v>0</v>
      </c>
      <c r="AD9" s="588">
        <f>IF(AND(AD3&gt;=YEAR(electrification_input!$E$55),AD3&lt;=YEAR(electrification_input!$D$7)),electrification_input!$D$65*1000*HLOOKUP(AD3,'CO2 price scenarios'!$C$25:$BB$26,2,FALSE)*(1+electrification_input!$D$15)^(AD$3-$F$3)/1000,0)</f>
        <v>0</v>
      </c>
      <c r="AE9" s="588">
        <f>IF(AND(AE3&gt;=YEAR(electrification_input!$E$55),AE3&lt;=YEAR(electrification_input!$D$7)),electrification_input!$D$65*1000*HLOOKUP(AE3,'CO2 price scenarios'!$C$25:$BB$26,2,FALSE)*(1+electrification_input!$D$15)^(AE$3-$F$3)/1000,0)</f>
        <v>0</v>
      </c>
      <c r="AF9" s="588">
        <f>IF(AND(AF3&gt;=YEAR(electrification_input!$E$55),AF3&lt;=YEAR(electrification_input!$D$7)),electrification_input!$D$65*1000*HLOOKUP(AF3,'CO2 price scenarios'!$C$25:$BB$26,2,FALSE)*(1+electrification_input!$D$15)^(AF$3-$F$3)/1000,0)</f>
        <v>0</v>
      </c>
      <c r="AG9" s="588">
        <f>IF(AND(AG3&gt;=YEAR(electrification_input!$E$55),AG3&lt;=YEAR(electrification_input!$D$7)),electrification_input!$D$65*1000*HLOOKUP(AG3,'CO2 price scenarios'!$C$25:$BB$26,2,FALSE)*(1+electrification_input!$D$15)^(AG$3-$F$3)/1000,0)</f>
        <v>0</v>
      </c>
      <c r="AH9" s="588">
        <f>IF(AND(AH3&gt;=YEAR(electrification_input!$E$55),AH3&lt;=YEAR(electrification_input!$D$7)),electrification_input!$D$65*1000*HLOOKUP(AH3,'CO2 price scenarios'!$C$25:$BB$26,2,FALSE)*(1+electrification_input!$D$15)^(AH$3-$F$3)/1000,0)</f>
        <v>0</v>
      </c>
      <c r="AI9" s="588">
        <f>IF(AND(AI3&gt;=YEAR(electrification_input!$E$55),AI3&lt;=YEAR(electrification_input!$D$7)),electrification_input!$D$65*1000*HLOOKUP(AI3,'CO2 price scenarios'!$C$25:$BB$26,2,FALSE)*(1+electrification_input!$D$15)^(AI$3-$F$3)/1000,0)</f>
        <v>0</v>
      </c>
      <c r="AJ9" s="588">
        <f>IF(AND(AJ3&gt;=YEAR(electrification_input!$E$55),AJ3&lt;=YEAR(electrification_input!$D$7)),electrification_input!$D$65*1000*HLOOKUP(AJ3,'CO2 price scenarios'!$C$25:$BB$26,2,FALSE)*(1+electrification_input!$D$15)^(AJ$3-$F$3)/1000,0)</f>
        <v>0</v>
      </c>
      <c r="AK9" s="588">
        <f>IF(AND(AK3&gt;=YEAR(electrification_input!$E$55),AK3&lt;=YEAR(electrification_input!$D$7)),electrification_input!$D$65*1000*HLOOKUP(AK3,'CO2 price scenarios'!$C$25:$BB$26,2,FALSE)*(1+electrification_input!$D$15)^(AK$3-$F$3)/1000,0)</f>
        <v>0</v>
      </c>
      <c r="AL9" s="588">
        <f>IF(AND(AL3&gt;=YEAR(electrification_input!$E$55),AL3&lt;=YEAR(electrification_input!$D$7)),electrification_input!$D$65*1000*HLOOKUP(AL3,'CO2 price scenarios'!$C$25:$BB$26,2,FALSE)*(1+electrification_input!$D$15)^(AL$3-$F$3)/1000,0)</f>
        <v>0</v>
      </c>
      <c r="AM9" s="588">
        <f>IF(AND(AM3&gt;=YEAR(electrification_input!$E$55),AM3&lt;=YEAR(electrification_input!$D$7)),electrification_input!$D$65*1000*HLOOKUP(AM3,'CO2 price scenarios'!$C$25:$BB$26,2,FALSE)*(1+electrification_input!$D$15)^(AM$3-$F$3)/1000,0)</f>
        <v>0</v>
      </c>
      <c r="AN9" s="588">
        <f>IF(AND(AN3&gt;=YEAR(electrification_input!$E$55),AN3&lt;=YEAR(electrification_input!$D$7)),electrification_input!$D$65*1000*HLOOKUP(AN3,'CO2 price scenarios'!$C$25:$BB$26,2,FALSE)*(1+electrification_input!$D$15)^(AN$3-$F$3)/1000,0)</f>
        <v>0</v>
      </c>
      <c r="AO9" s="588">
        <f>IF(AND(AO3&gt;=YEAR(electrification_input!$E$55),AO3&lt;=YEAR(electrification_input!$D$7)),electrification_input!$D$65*1000*HLOOKUP(AO3,'CO2 price scenarios'!$C$25:$BB$26,2,FALSE)*(1+electrification_input!$D$15)^(AO$3-$F$3)/1000,0)</f>
        <v>0</v>
      </c>
      <c r="AP9" s="588">
        <f>IF(AND(AP3&gt;=YEAR(electrification_input!$E$55),AP3&lt;=YEAR(electrification_input!$D$7)),electrification_input!$D$65*1000*HLOOKUP(AP3,'CO2 price scenarios'!$C$25:$BB$26,2,FALSE)*(1+electrification_input!$D$15)^(AP$3-$F$3)/1000,0)</f>
        <v>0</v>
      </c>
      <c r="AQ9" s="588">
        <f>IF(AND(AQ3&gt;=YEAR(electrification_input!$E$55),AQ3&lt;=YEAR(electrification_input!$D$7)),electrification_input!$D$65*1000*HLOOKUP(AQ3,'CO2 price scenarios'!$C$25:$BB$26,2,FALSE)*(1+electrification_input!$D$15)^(AQ$3-$F$3)/1000,0)</f>
        <v>0</v>
      </c>
      <c r="AR9" s="588">
        <f>IF(AND(AR3&gt;=YEAR(electrification_input!$E$55),AR3&lt;=YEAR(electrification_input!$D$7)),electrification_input!$D$65*1000*HLOOKUP(AR3,'CO2 price scenarios'!$C$25:$BB$26,2,FALSE)*(1+electrification_input!$D$15)^(AR$3-$F$3)/1000,0)</f>
        <v>0</v>
      </c>
      <c r="AS9" s="588">
        <f>IF(AND(AS3&gt;=YEAR(electrification_input!$E$55),AS3&lt;=YEAR(electrification_input!$D$7)),electrification_input!$D$65*1000*HLOOKUP(AS3,'CO2 price scenarios'!$C$25:$BB$26,2,FALSE)*(1+electrification_input!$D$15)^(AS$3-$F$3)/1000,0)</f>
        <v>0</v>
      </c>
      <c r="AT9" s="588">
        <f>IF(AND(AT3&gt;=YEAR(electrification_input!$E$55),AT3&lt;=YEAR(electrification_input!$D$7)),electrification_input!$D$65*1000*HLOOKUP(AT3,'CO2 price scenarios'!$C$25:$BB$26,2,FALSE)*(1+electrification_input!$D$15)^(AT$3-$F$3)/1000,0)</f>
        <v>0</v>
      </c>
      <c r="AU9" s="588">
        <f>IF(AND(AU3&gt;=YEAR(electrification_input!$E$55),AU3&lt;=YEAR(electrification_input!$D$7)),electrification_input!$D$65*1000*HLOOKUP(AU3,'CO2 price scenarios'!$C$25:$BB$26,2,FALSE)*(1+electrification_input!$D$15)^(AU$3-$F$3)/1000,0)</f>
        <v>0</v>
      </c>
      <c r="AV9" s="588">
        <f>IF(AND(AV3&gt;=YEAR(electrification_input!$E$55),AV3&lt;=YEAR(electrification_input!$D$7)),electrification_input!$D$65*1000*HLOOKUP(AV3,'CO2 price scenarios'!$C$25:$BB$26,2,FALSE)*(1+electrification_input!$D$15)^(AV$3-$F$3)/1000,0)</f>
        <v>0</v>
      </c>
      <c r="AW9" s="588">
        <f>IF(AND(AW3&gt;=YEAR(electrification_input!$E$55),AW3&lt;=YEAR(electrification_input!$D$7)),electrification_input!$D$65*1000*HLOOKUP(AW3,'CO2 price scenarios'!$C$25:$BB$26,2,FALSE)*(1+electrification_input!$D$15)^(AW$3-$F$3)/1000,0)</f>
        <v>0</v>
      </c>
      <c r="AX9" s="588">
        <f>IF(AND(AX3&gt;=YEAR(electrification_input!$E$55),AX3&lt;=YEAR(electrification_input!$D$7)),electrification_input!$D$65*1000*HLOOKUP(AX3,'CO2 price scenarios'!$C$25:$BB$26,2,FALSE)*(1+electrification_input!$D$15)^(AX$3-$F$3)/1000,0)</f>
        <v>0</v>
      </c>
      <c r="AY9" s="588">
        <f>IF(AND(AY3&gt;=YEAR(electrification_input!$E$55),AY3&lt;=YEAR(electrification_input!$D$7)),electrification_input!$D$65*1000*HLOOKUP(AY3,'CO2 price scenarios'!$C$25:$BB$26,2,FALSE)*(1+electrification_input!$D$15)^(AY$3-$F$3)/1000,0)</f>
        <v>0</v>
      </c>
      <c r="AZ9" s="588">
        <f>IF(AND(AZ3&gt;=YEAR(electrification_input!$E$55),AZ3&lt;=YEAR(electrification_input!$D$7)),electrification_input!$D$65*1000*HLOOKUP(AZ3,'CO2 price scenarios'!$C$25:$BB$26,2,FALSE)*(1+electrification_input!$D$15)^(AZ$3-$F$3)/1000,0)</f>
        <v>0</v>
      </c>
      <c r="BA9" s="588">
        <f>IF(AND(BA3&gt;=YEAR(electrification_input!$E$55),BA3&lt;=YEAR(electrification_input!$D$7)),electrification_input!$D$65*1000*HLOOKUP(BA3,'CO2 price scenarios'!$C$25:$BB$26,2,FALSE)*(1+electrification_input!$D$15)^(BA$3-$F$3)/1000,0)</f>
        <v>0</v>
      </c>
    </row>
    <row r="10" spans="2:53" x14ac:dyDescent="0.25">
      <c r="B10" s="566"/>
      <c r="C10" s="566"/>
      <c r="D10" s="576"/>
      <c r="E10" s="566"/>
      <c r="F10" s="585"/>
      <c r="G10" s="585"/>
      <c r="H10" s="585"/>
      <c r="I10" s="585"/>
      <c r="J10" s="585"/>
      <c r="K10" s="585"/>
      <c r="L10" s="585"/>
      <c r="M10" s="585"/>
      <c r="N10" s="585"/>
      <c r="O10" s="585"/>
      <c r="P10" s="585"/>
      <c r="Q10" s="585"/>
      <c r="R10" s="585"/>
      <c r="S10" s="585"/>
      <c r="T10" s="585"/>
      <c r="U10" s="585"/>
      <c r="V10" s="585"/>
      <c r="W10" s="585"/>
      <c r="X10" s="585"/>
      <c r="Y10" s="585"/>
      <c r="Z10" s="585"/>
      <c r="AA10" s="585"/>
      <c r="AB10" s="585"/>
      <c r="AC10" s="585"/>
      <c r="AD10" s="585"/>
      <c r="AE10" s="585"/>
      <c r="AF10" s="585"/>
      <c r="AG10" s="585"/>
      <c r="AH10" s="585"/>
      <c r="AI10" s="585"/>
      <c r="AJ10" s="585"/>
      <c r="AK10" s="585"/>
      <c r="AL10" s="585"/>
      <c r="AM10" s="585"/>
      <c r="AN10" s="585"/>
      <c r="AO10" s="585"/>
      <c r="AP10" s="585"/>
      <c r="AQ10" s="585"/>
      <c r="AR10" s="585"/>
      <c r="AS10" s="585"/>
      <c r="AT10" s="585"/>
      <c r="AU10" s="585"/>
      <c r="AV10" s="585"/>
      <c r="AW10" s="585"/>
      <c r="AX10" s="585"/>
      <c r="AY10" s="585"/>
      <c r="AZ10" s="585"/>
      <c r="BA10" s="585"/>
    </row>
    <row r="11" spans="2:53" x14ac:dyDescent="0.25">
      <c r="B11" s="545"/>
      <c r="C11" s="545"/>
      <c r="D11" s="591"/>
      <c r="E11" s="545"/>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2"/>
      <c r="AR11" s="592"/>
      <c r="AS11" s="592"/>
      <c r="AT11" s="592"/>
      <c r="AU11" s="592"/>
      <c r="AV11" s="592"/>
      <c r="AW11" s="592"/>
      <c r="AX11" s="592"/>
      <c r="AY11" s="592"/>
      <c r="AZ11" s="592"/>
      <c r="BA11" s="592"/>
    </row>
    <row r="12" spans="2:53" ht="15.75" x14ac:dyDescent="0.25">
      <c r="B12" s="501" t="s">
        <v>1017</v>
      </c>
      <c r="C12" s="501"/>
      <c r="D12" s="561">
        <f>SUM(F12:AT12)</f>
        <v>0</v>
      </c>
      <c r="E12" s="502"/>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row>
    <row r="13" spans="2:53" x14ac:dyDescent="0.25">
      <c r="B13" s="571" t="s">
        <v>720</v>
      </c>
      <c r="F13" s="575">
        <f>SUM($F$5:F5)</f>
        <v>0</v>
      </c>
      <c r="G13" s="575">
        <f>SUM($F$5:G5)</f>
        <v>0</v>
      </c>
      <c r="H13" s="575">
        <f>SUM($F$5:H5)</f>
        <v>0</v>
      </c>
      <c r="I13" s="575">
        <f>SUM($F$5:I5)</f>
        <v>0</v>
      </c>
      <c r="J13" s="575">
        <f>SUM($F$5:J5)</f>
        <v>0</v>
      </c>
      <c r="K13" s="575">
        <f>SUM($F$5:K5)</f>
        <v>0</v>
      </c>
      <c r="L13" s="575">
        <f>SUM($F$5:L5)</f>
        <v>0</v>
      </c>
      <c r="M13" s="575">
        <f>SUM($F$5:M5)</f>
        <v>0</v>
      </c>
      <c r="N13" s="575">
        <f>SUM($F$5:N5)</f>
        <v>0</v>
      </c>
      <c r="O13" s="575">
        <f>SUM($F$5:O5)</f>
        <v>0</v>
      </c>
      <c r="P13" s="575">
        <f>SUM($F$5:P5)</f>
        <v>0</v>
      </c>
      <c r="Q13" s="575">
        <f>SUM($F$5:Q5)</f>
        <v>0</v>
      </c>
      <c r="R13" s="575">
        <f>SUM($F$5:R5)</f>
        <v>0</v>
      </c>
      <c r="S13" s="575">
        <f>SUM($F$5:S5)</f>
        <v>0</v>
      </c>
      <c r="T13" s="575">
        <f>SUM($F$5:T5)</f>
        <v>0</v>
      </c>
      <c r="U13" s="575">
        <f>SUM($F$5:U5)</f>
        <v>0</v>
      </c>
      <c r="V13" s="575">
        <f>SUM($F$5:V5)</f>
        <v>0</v>
      </c>
      <c r="W13" s="575">
        <f>SUM($F$5:W5)</f>
        <v>0</v>
      </c>
      <c r="X13" s="575">
        <f>SUM($F$5:X5)</f>
        <v>0</v>
      </c>
      <c r="Y13" s="575">
        <f>SUM($F$5:Y5)</f>
        <v>0</v>
      </c>
      <c r="Z13" s="575">
        <f>SUM($F$5:Z5)</f>
        <v>0</v>
      </c>
      <c r="AA13" s="575">
        <f>SUM($F$5:AA5)</f>
        <v>0</v>
      </c>
      <c r="AB13" s="575">
        <f>SUM($F$5:AB5)</f>
        <v>0</v>
      </c>
      <c r="AC13" s="575">
        <f>SUM($F$5:AC5)</f>
        <v>0</v>
      </c>
      <c r="AD13" s="575">
        <f>SUM($F$5:AD5)</f>
        <v>0</v>
      </c>
      <c r="AE13" s="575">
        <f>SUM($F$5:AE5)</f>
        <v>0</v>
      </c>
      <c r="AF13" s="575">
        <f>SUM($F$5:AF5)</f>
        <v>0</v>
      </c>
      <c r="AG13" s="575">
        <f>SUM($F$5:AG5)</f>
        <v>0</v>
      </c>
      <c r="AH13" s="575">
        <f>SUM($F$5:AH5)</f>
        <v>0</v>
      </c>
      <c r="AI13" s="575">
        <f>SUM($F$5:AI5)</f>
        <v>0</v>
      </c>
      <c r="AJ13" s="575">
        <f>SUM($F$5:AJ5)</f>
        <v>0</v>
      </c>
      <c r="AK13" s="575">
        <f>SUM($F$5:AK5)</f>
        <v>0</v>
      </c>
      <c r="AL13" s="575">
        <f>SUM($F$5:AL5)</f>
        <v>0</v>
      </c>
      <c r="AM13" s="575">
        <f>SUM($F$5:AM5)</f>
        <v>0</v>
      </c>
      <c r="AN13" s="575">
        <f>SUM($F$5:AN5)</f>
        <v>0</v>
      </c>
      <c r="AO13" s="575">
        <f>SUM($F$5:AO5)</f>
        <v>0</v>
      </c>
      <c r="AP13" s="575">
        <f>SUM($F$5:AP5)</f>
        <v>0</v>
      </c>
      <c r="AQ13" s="575">
        <f>SUM($F$5:AQ5)</f>
        <v>0</v>
      </c>
      <c r="AR13" s="575">
        <f>SUM($F$5:AR5)</f>
        <v>0</v>
      </c>
      <c r="AS13" s="575">
        <f>SUM($F$5:AS5)</f>
        <v>0</v>
      </c>
      <c r="AT13" s="575">
        <f>SUM($F$5:AT5)</f>
        <v>0</v>
      </c>
      <c r="AU13" s="575">
        <f>SUM($F$5:AU5)</f>
        <v>0</v>
      </c>
      <c r="AV13" s="575">
        <f>SUM($F$5:AV5)</f>
        <v>0</v>
      </c>
      <c r="AW13" s="575">
        <f>SUM($F$5:AW5)</f>
        <v>0</v>
      </c>
      <c r="AX13" s="575">
        <f>SUM($F$5:AX5)</f>
        <v>0</v>
      </c>
      <c r="AY13" s="575">
        <f>SUM($F$5:AY5)</f>
        <v>0</v>
      </c>
      <c r="AZ13" s="575">
        <f>SUM($F$5:AZ5)</f>
        <v>0</v>
      </c>
      <c r="BA13" s="575">
        <f>SUM($F$5:BA5)</f>
        <v>0</v>
      </c>
    </row>
    <row r="14" spans="2:53" x14ac:dyDescent="0.25">
      <c r="B14" s="571" t="s">
        <v>989</v>
      </c>
      <c r="F14" s="575">
        <f>SUM($F$8:F8)</f>
        <v>0</v>
      </c>
      <c r="G14" s="575">
        <f>SUM($F$8:G8)</f>
        <v>0</v>
      </c>
      <c r="H14" s="575">
        <f>SUM($F$8:H8)</f>
        <v>0</v>
      </c>
      <c r="I14" s="575">
        <f>SUM($F$8:I8)</f>
        <v>0</v>
      </c>
      <c r="J14" s="575">
        <f>SUM($F$8:J8)</f>
        <v>4152.89489762837</v>
      </c>
      <c r="K14" s="575">
        <f>SUM($F$8:K8)</f>
        <v>8388.8476932093072</v>
      </c>
      <c r="L14" s="575">
        <f>SUM($F$8:L8)</f>
        <v>12709.519544701863</v>
      </c>
      <c r="M14" s="575">
        <f>SUM($F$8:M8)</f>
        <v>17116.604833224272</v>
      </c>
      <c r="N14" s="575">
        <f>SUM($F$8:N8)</f>
        <v>21611.831827517126</v>
      </c>
      <c r="O14" s="575">
        <f>SUM($F$8:O8)</f>
        <v>26196.963361695838</v>
      </c>
      <c r="P14" s="575">
        <f>SUM($F$8:P8)</f>
        <v>30873.797526558126</v>
      </c>
      <c r="Q14" s="575">
        <f>SUM($F$8:Q8)</f>
        <v>35644.168374717658</v>
      </c>
      <c r="R14" s="575">
        <f>SUM($F$8:R8)</f>
        <v>35644.168374717658</v>
      </c>
      <c r="S14" s="575">
        <f>SUM($F$8:S8)</f>
        <v>35644.168374717658</v>
      </c>
      <c r="T14" s="575">
        <f>SUM($F$8:T8)</f>
        <v>35644.168374717658</v>
      </c>
      <c r="U14" s="575">
        <f>SUM($F$8:U8)</f>
        <v>35644.168374717658</v>
      </c>
      <c r="V14" s="575">
        <f>SUM($F$8:V8)</f>
        <v>35644.168374717658</v>
      </c>
      <c r="W14" s="575">
        <f>SUM($F$8:W8)</f>
        <v>35644.168374717658</v>
      </c>
      <c r="X14" s="575">
        <f>SUM($F$8:X8)</f>
        <v>35644.168374717658</v>
      </c>
      <c r="Y14" s="575">
        <f>SUM($F$8:Y8)</f>
        <v>35644.168374717658</v>
      </c>
      <c r="Z14" s="575">
        <f>SUM($F$8:Z8)</f>
        <v>35644.168374717658</v>
      </c>
      <c r="AA14" s="575">
        <f>SUM($F$8:AA8)</f>
        <v>35644.168374717658</v>
      </c>
      <c r="AB14" s="575">
        <f>SUM($F$8:AB8)</f>
        <v>35644.168374717658</v>
      </c>
      <c r="AC14" s="575">
        <f>SUM($F$8:AC8)</f>
        <v>35644.168374717658</v>
      </c>
      <c r="AD14" s="575">
        <f>SUM($F$8:AD8)</f>
        <v>35644.168374717658</v>
      </c>
      <c r="AE14" s="575">
        <f>SUM($F$8:AE8)</f>
        <v>35644.168374717658</v>
      </c>
      <c r="AF14" s="575">
        <f>SUM($F$8:AF8)</f>
        <v>35644.168374717658</v>
      </c>
      <c r="AG14" s="575">
        <f>SUM($F$8:AG8)</f>
        <v>35644.168374717658</v>
      </c>
      <c r="AH14" s="575">
        <f>SUM($F$8:AH8)</f>
        <v>35644.168374717658</v>
      </c>
      <c r="AI14" s="575">
        <f>SUM($F$8:AI8)</f>
        <v>35644.168374717658</v>
      </c>
      <c r="AJ14" s="575">
        <f>SUM($F$8:AJ8)</f>
        <v>35644.168374717658</v>
      </c>
      <c r="AK14" s="575">
        <f>SUM($F$8:AK8)</f>
        <v>35644.168374717658</v>
      </c>
      <c r="AL14" s="575">
        <f>SUM($F$8:AL8)</f>
        <v>35644.168374717658</v>
      </c>
      <c r="AM14" s="575">
        <f>SUM($F$8:AM8)</f>
        <v>35644.168374717658</v>
      </c>
      <c r="AN14" s="575">
        <f>SUM($F$8:AN8)</f>
        <v>35644.168374717658</v>
      </c>
      <c r="AO14" s="575">
        <f>SUM($F$8:AO8)</f>
        <v>35644.168374717658</v>
      </c>
      <c r="AP14" s="575">
        <f>SUM($F$8:AP8)</f>
        <v>35644.168374717658</v>
      </c>
      <c r="AQ14" s="575">
        <f>SUM($F$8:AQ8)</f>
        <v>35644.168374717658</v>
      </c>
      <c r="AR14" s="575">
        <f>SUM($F$8:AR8)</f>
        <v>35644.168374717658</v>
      </c>
      <c r="AS14" s="575">
        <f>SUM($F$8:AS8)</f>
        <v>35644.168374717658</v>
      </c>
      <c r="AT14" s="575">
        <f>SUM($F$8:AT8)</f>
        <v>35644.168374717658</v>
      </c>
      <c r="AU14" s="575">
        <f>SUM($F$8:AU8)</f>
        <v>35644.168374717658</v>
      </c>
      <c r="AV14" s="575">
        <f>SUM($F$8:AV8)</f>
        <v>35644.168374717658</v>
      </c>
      <c r="AW14" s="575">
        <f>SUM($F$8:AW8)</f>
        <v>35644.168374717658</v>
      </c>
      <c r="AX14" s="575">
        <f>SUM($F$8:AX8)</f>
        <v>35644.168374717658</v>
      </c>
      <c r="AY14" s="575">
        <f>SUM($F$8:AY8)</f>
        <v>35644.168374717658</v>
      </c>
      <c r="AZ14" s="575">
        <f>SUM($F$8:AZ8)</f>
        <v>35644.168374717658</v>
      </c>
      <c r="BA14" s="575">
        <f>SUM($F$8:BA8)</f>
        <v>35644.168374717658</v>
      </c>
    </row>
    <row r="15" spans="2:53" x14ac:dyDescent="0.25">
      <c r="B15" s="571" t="s">
        <v>1004</v>
      </c>
      <c r="F15" s="575" t="e">
        <f>SUM(#REF!)</f>
        <v>#REF!</v>
      </c>
      <c r="G15" s="575" t="e">
        <f>SUM(#REF!)</f>
        <v>#REF!</v>
      </c>
      <c r="H15" s="575" t="e">
        <f>SUM(#REF!)</f>
        <v>#REF!</v>
      </c>
      <c r="I15" s="575" t="e">
        <f>SUM(#REF!)</f>
        <v>#REF!</v>
      </c>
      <c r="J15" s="575" t="e">
        <f>SUM(#REF!)</f>
        <v>#REF!</v>
      </c>
      <c r="K15" s="575" t="e">
        <f>SUM(#REF!)</f>
        <v>#REF!</v>
      </c>
      <c r="L15" s="575" t="e">
        <f>SUM(#REF!)</f>
        <v>#REF!</v>
      </c>
      <c r="M15" s="575" t="e">
        <f>SUM(#REF!)</f>
        <v>#REF!</v>
      </c>
      <c r="N15" s="575" t="e">
        <f>SUM(#REF!)</f>
        <v>#REF!</v>
      </c>
      <c r="O15" s="575" t="e">
        <f>SUM(#REF!)</f>
        <v>#REF!</v>
      </c>
      <c r="P15" s="575" t="e">
        <f>SUM(#REF!)</f>
        <v>#REF!</v>
      </c>
      <c r="Q15" s="575" t="e">
        <f>SUM(#REF!)</f>
        <v>#REF!</v>
      </c>
      <c r="R15" s="575" t="e">
        <f>SUM(#REF!)</f>
        <v>#REF!</v>
      </c>
      <c r="S15" s="575" t="e">
        <f>SUM(#REF!)</f>
        <v>#REF!</v>
      </c>
      <c r="T15" s="575" t="e">
        <f>SUM(#REF!)</f>
        <v>#REF!</v>
      </c>
      <c r="U15" s="575" t="e">
        <f>SUM(#REF!)</f>
        <v>#REF!</v>
      </c>
      <c r="V15" s="575" t="e">
        <f>SUM(#REF!)</f>
        <v>#REF!</v>
      </c>
      <c r="W15" s="575" t="e">
        <f>SUM(#REF!)</f>
        <v>#REF!</v>
      </c>
      <c r="X15" s="575" t="e">
        <f>SUM(#REF!)</f>
        <v>#REF!</v>
      </c>
      <c r="Y15" s="575" t="e">
        <f>SUM(#REF!)</f>
        <v>#REF!</v>
      </c>
      <c r="Z15" s="575" t="e">
        <f>SUM(#REF!)</f>
        <v>#REF!</v>
      </c>
      <c r="AA15" s="575" t="e">
        <f>SUM(#REF!)</f>
        <v>#REF!</v>
      </c>
      <c r="AB15" s="575" t="e">
        <f>SUM(#REF!)</f>
        <v>#REF!</v>
      </c>
      <c r="AC15" s="575" t="e">
        <f>SUM(#REF!)</f>
        <v>#REF!</v>
      </c>
      <c r="AD15" s="575" t="e">
        <f>SUM(#REF!)</f>
        <v>#REF!</v>
      </c>
      <c r="AE15" s="575" t="e">
        <f>SUM(#REF!)</f>
        <v>#REF!</v>
      </c>
      <c r="AF15" s="575" t="e">
        <f>SUM(#REF!)</f>
        <v>#REF!</v>
      </c>
      <c r="AG15" s="575" t="e">
        <f>SUM(#REF!)</f>
        <v>#REF!</v>
      </c>
      <c r="AH15" s="575" t="e">
        <f>SUM(#REF!)</f>
        <v>#REF!</v>
      </c>
      <c r="AI15" s="575" t="e">
        <f>SUM(#REF!)</f>
        <v>#REF!</v>
      </c>
      <c r="AJ15" s="575" t="e">
        <f>SUM(#REF!)</f>
        <v>#REF!</v>
      </c>
      <c r="AK15" s="575" t="e">
        <f>SUM(#REF!)</f>
        <v>#REF!</v>
      </c>
      <c r="AL15" s="575" t="e">
        <f>SUM(#REF!)</f>
        <v>#REF!</v>
      </c>
      <c r="AM15" s="575" t="e">
        <f>SUM(#REF!)</f>
        <v>#REF!</v>
      </c>
      <c r="AN15" s="575" t="e">
        <f>SUM(#REF!)</f>
        <v>#REF!</v>
      </c>
      <c r="AO15" s="575" t="e">
        <f>SUM(#REF!)</f>
        <v>#REF!</v>
      </c>
      <c r="AP15" s="575" t="e">
        <f>SUM(#REF!)</f>
        <v>#REF!</v>
      </c>
      <c r="AQ15" s="575" t="e">
        <f>SUM(#REF!)</f>
        <v>#REF!</v>
      </c>
      <c r="AR15" s="575" t="e">
        <f>SUM(#REF!)</f>
        <v>#REF!</v>
      </c>
      <c r="AS15" s="575" t="e">
        <f>SUM(#REF!)</f>
        <v>#REF!</v>
      </c>
      <c r="AT15" s="575" t="e">
        <f>SUM(#REF!)</f>
        <v>#REF!</v>
      </c>
      <c r="AU15" s="575" t="e">
        <f>SUM(#REF!)</f>
        <v>#REF!</v>
      </c>
      <c r="AV15" s="575" t="e">
        <f>SUM(#REF!)</f>
        <v>#REF!</v>
      </c>
      <c r="AW15" s="575" t="e">
        <f>SUM(#REF!)</f>
        <v>#REF!</v>
      </c>
      <c r="AX15" s="575" t="e">
        <f>SUM(#REF!)</f>
        <v>#REF!</v>
      </c>
      <c r="AY15" s="575" t="e">
        <f>SUM(#REF!)</f>
        <v>#REF!</v>
      </c>
      <c r="AZ15" s="575" t="e">
        <f>SUM(#REF!)</f>
        <v>#REF!</v>
      </c>
      <c r="BA15" s="575" t="e">
        <f>SUM(#REF!)</f>
        <v>#REF!</v>
      </c>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2">
    <tabColor rgb="FFFFFF00"/>
  </sheetPr>
  <dimension ref="A1:AO611"/>
  <sheetViews>
    <sheetView zoomScale="70" zoomScaleNormal="70" workbookViewId="0">
      <selection activeCell="B1" sqref="B1"/>
    </sheetView>
  </sheetViews>
  <sheetFormatPr defaultColWidth="8.85546875" defaultRowHeight="15" x14ac:dyDescent="0.25"/>
  <cols>
    <col min="1" max="1" width="9.28515625" style="3" customWidth="1"/>
    <col min="2" max="2" width="8.85546875" style="171"/>
    <col min="3" max="3" width="55.42578125" style="171" customWidth="1"/>
    <col min="4" max="4" width="20.5703125" style="171" customWidth="1"/>
    <col min="5" max="5" width="21.85546875" style="171" customWidth="1"/>
    <col min="6" max="6" width="17.85546875" style="171" customWidth="1"/>
    <col min="7" max="7" width="51.140625" style="171" customWidth="1"/>
    <col min="8" max="8" width="22" style="171" bestFit="1" customWidth="1"/>
    <col min="9" max="9" width="18.42578125" style="171" customWidth="1"/>
    <col min="10" max="10" width="11.42578125" style="171" customWidth="1"/>
    <col min="11" max="11" width="24.85546875" style="171" bestFit="1" customWidth="1"/>
    <col min="12" max="12" width="15.28515625" style="171" bestFit="1" customWidth="1"/>
    <col min="13" max="14" width="13" style="171" customWidth="1"/>
    <col min="15" max="15" width="20.85546875" style="171" customWidth="1"/>
    <col min="16" max="16" width="14" style="171" bestFit="1" customWidth="1"/>
    <col min="17" max="17" width="34.140625" style="171" customWidth="1"/>
    <col min="18" max="18" width="16.28515625" style="171" customWidth="1"/>
    <col min="19" max="19" width="25" style="171" customWidth="1"/>
    <col min="20" max="20" width="33.7109375" style="171" bestFit="1" customWidth="1"/>
    <col min="21" max="21" width="10" style="171" customWidth="1"/>
    <col min="22" max="22" width="31.28515625" style="171" bestFit="1" customWidth="1"/>
    <col min="23" max="16384" width="8.85546875" style="171"/>
  </cols>
  <sheetData>
    <row r="1" spans="1:41" s="3" customFormat="1" ht="54" customHeight="1" x14ac:dyDescent="0.65">
      <c r="A1" s="30"/>
      <c r="B1" s="179" t="str">
        <f>"Electrification DECOMMISSIONING &amp; REFURBISHMENT PHASE ("&amp;Parameters!$D$6&amp;")"</f>
        <v>Electrification DECOMMISSIONING &amp; REFURBISHMENT PHASE (P15 Scenario 1)</v>
      </c>
      <c r="G1" s="1046"/>
      <c r="H1" s="1046"/>
      <c r="I1" s="1046"/>
      <c r="J1" s="1046"/>
      <c r="K1" s="1046"/>
    </row>
    <row r="2" spans="1:41" s="165" customFormat="1" x14ac:dyDescent="0.25">
      <c r="A2" s="164"/>
      <c r="B2" s="172"/>
      <c r="C2" s="173"/>
      <c r="D2" s="173"/>
      <c r="E2" s="173"/>
      <c r="F2" s="173"/>
      <c r="G2" s="1073"/>
      <c r="H2" s="1074"/>
      <c r="I2" s="1074"/>
      <c r="J2" s="1074"/>
      <c r="K2" s="56"/>
      <c r="L2" s="58"/>
      <c r="M2" s="58"/>
      <c r="N2" s="58"/>
      <c r="O2" s="58"/>
      <c r="P2" s="58"/>
      <c r="Q2" s="58"/>
      <c r="R2" s="58"/>
      <c r="S2" s="58"/>
      <c r="T2" s="58"/>
      <c r="U2" s="58"/>
      <c r="V2" s="58"/>
      <c r="W2" s="58"/>
      <c r="X2" s="58"/>
      <c r="Y2" s="58"/>
      <c r="Z2" s="58"/>
      <c r="AA2" s="59"/>
      <c r="AB2" s="164"/>
      <c r="AC2" s="164"/>
      <c r="AD2" s="164"/>
      <c r="AE2" s="164"/>
      <c r="AF2" s="164"/>
      <c r="AG2" s="164"/>
      <c r="AH2" s="164"/>
      <c r="AI2" s="164"/>
      <c r="AJ2" s="164"/>
      <c r="AK2" s="164"/>
      <c r="AL2" s="164"/>
      <c r="AM2" s="164"/>
      <c r="AN2" s="164"/>
      <c r="AO2" s="164"/>
    </row>
    <row r="3" spans="1:41" s="1148" customFormat="1" x14ac:dyDescent="0.25">
      <c r="A3" s="164"/>
      <c r="B3" s="70"/>
      <c r="C3" s="1213" t="str">
        <f>"Scenario: "&amp;Parameters!$D$6</f>
        <v>Scenario: P15 Scenario 1</v>
      </c>
      <c r="D3" s="1213"/>
      <c r="E3" s="1213"/>
      <c r="F3" s="1073"/>
      <c r="G3" s="1213" t="s">
        <v>1704</v>
      </c>
      <c r="H3" s="1213"/>
      <c r="I3" s="1213"/>
      <c r="J3" s="1074"/>
      <c r="K3" s="56"/>
      <c r="L3" s="56"/>
      <c r="M3" s="56"/>
      <c r="N3" s="56"/>
      <c r="O3" s="56"/>
      <c r="P3" s="56"/>
      <c r="Q3" s="56"/>
      <c r="R3" s="56"/>
      <c r="S3" s="56"/>
      <c r="T3" s="56"/>
      <c r="U3" s="56"/>
      <c r="V3" s="56"/>
      <c r="W3" s="56"/>
      <c r="X3" s="56"/>
      <c r="Y3" s="56"/>
      <c r="Z3" s="56"/>
      <c r="AA3" s="61"/>
      <c r="AB3" s="164"/>
      <c r="AC3" s="164"/>
      <c r="AD3" s="164"/>
      <c r="AE3" s="164"/>
      <c r="AF3" s="164"/>
      <c r="AG3" s="164"/>
      <c r="AH3" s="164"/>
      <c r="AI3" s="164"/>
      <c r="AJ3" s="164"/>
      <c r="AK3" s="164"/>
      <c r="AL3" s="164"/>
      <c r="AM3" s="164"/>
      <c r="AN3" s="164"/>
      <c r="AO3" s="164"/>
    </row>
    <row r="4" spans="1:41" x14ac:dyDescent="0.25">
      <c r="B4" s="13"/>
      <c r="C4" s="39" t="s">
        <v>1567</v>
      </c>
      <c r="D4" s="40"/>
      <c r="E4" s="41"/>
      <c r="F4" s="57"/>
      <c r="G4" s="39" t="s">
        <v>1567</v>
      </c>
      <c r="H4" s="40"/>
      <c r="I4" s="41"/>
      <c r="J4" s="14"/>
      <c r="K4" s="14"/>
      <c r="L4" s="14"/>
      <c r="M4" s="14"/>
      <c r="N4" s="14"/>
      <c r="O4" s="14"/>
      <c r="P4" s="14"/>
      <c r="Q4" s="14"/>
      <c r="R4" s="14"/>
      <c r="S4" s="14"/>
      <c r="T4" s="14"/>
      <c r="U4" s="14"/>
      <c r="V4" s="14"/>
      <c r="W4" s="14"/>
      <c r="X4" s="14"/>
      <c r="Y4" s="14"/>
      <c r="Z4" s="14"/>
      <c r="AA4" s="15"/>
      <c r="AB4" s="3"/>
      <c r="AC4" s="3"/>
      <c r="AD4" s="3"/>
      <c r="AE4" s="3"/>
      <c r="AF4" s="3"/>
      <c r="AG4" s="3"/>
      <c r="AH4" s="3"/>
      <c r="AI4" s="3"/>
      <c r="AJ4" s="3"/>
      <c r="AK4" s="3"/>
      <c r="AL4" s="3"/>
      <c r="AM4" s="3"/>
      <c r="AN4" s="3"/>
      <c r="AO4" s="3"/>
    </row>
    <row r="5" spans="1:41" x14ac:dyDescent="0.25">
      <c r="B5" s="13"/>
      <c r="C5" s="14"/>
      <c r="D5" s="14"/>
      <c r="E5" s="14"/>
      <c r="F5" s="56"/>
      <c r="G5" s="14"/>
      <c r="H5" s="14"/>
      <c r="I5" s="14"/>
      <c r="J5" s="56"/>
      <c r="K5" s="14"/>
      <c r="L5" s="14"/>
      <c r="M5" s="14"/>
      <c r="N5" s="14"/>
      <c r="O5" s="16"/>
      <c r="P5" s="14"/>
      <c r="Q5" s="16"/>
      <c r="R5" s="16"/>
      <c r="S5" s="16"/>
      <c r="T5" s="16"/>
      <c r="U5" s="14"/>
      <c r="V5" s="14"/>
      <c r="W5" s="14"/>
      <c r="X5" s="14"/>
      <c r="Y5" s="14"/>
      <c r="Z5" s="14"/>
      <c r="AA5" s="15"/>
      <c r="AB5" s="3"/>
      <c r="AC5" s="3"/>
      <c r="AD5" s="3"/>
      <c r="AE5" s="3"/>
      <c r="AF5" s="129">
        <v>3</v>
      </c>
      <c r="AG5" s="120">
        <v>6</v>
      </c>
      <c r="AH5" s="120">
        <v>9</v>
      </c>
      <c r="AI5" s="3"/>
      <c r="AJ5" s="3"/>
      <c r="AK5" s="3"/>
      <c r="AL5" s="3"/>
      <c r="AM5" s="3"/>
      <c r="AN5" s="3"/>
      <c r="AO5" s="3"/>
    </row>
    <row r="6" spans="1:41" x14ac:dyDescent="0.25">
      <c r="B6" s="13"/>
      <c r="C6" s="1075" t="str">
        <f t="array" ref="C6:E6">Parameters!E34:G34</f>
        <v>NG + CO2 hybrid mode present</v>
      </c>
      <c r="D6" s="1076" t="str">
        <v>-</v>
      </c>
      <c r="E6" s="1077" t="b">
        <v>0</v>
      </c>
      <c r="F6" s="56"/>
      <c r="G6" s="1075" t="str">
        <f t="array" ref="G6">Parameters!E34:F34</f>
        <v>NG + CO2 hybrid mode present</v>
      </c>
      <c r="H6" s="1075" t="str">
        <f t="array" ref="H6">Parameters!F34:G34</f>
        <v>-</v>
      </c>
      <c r="I6" s="1214" t="b">
        <v>0</v>
      </c>
      <c r="J6" s="56"/>
      <c r="K6" s="14"/>
      <c r="L6" s="14"/>
      <c r="M6" s="14"/>
      <c r="N6" s="14"/>
      <c r="O6" s="16"/>
      <c r="P6" s="14"/>
      <c r="Q6" s="16"/>
      <c r="R6" s="16"/>
      <c r="S6" s="16"/>
      <c r="T6" s="16"/>
      <c r="U6" s="14"/>
      <c r="V6" s="14"/>
      <c r="W6" s="14"/>
      <c r="X6" s="14"/>
      <c r="Y6" s="14"/>
      <c r="Z6" s="14"/>
      <c r="AA6" s="15"/>
      <c r="AB6" s="3"/>
      <c r="AC6" s="3"/>
      <c r="AD6" s="3"/>
      <c r="AE6" s="3"/>
      <c r="AF6" s="129"/>
      <c r="AG6" s="120"/>
      <c r="AH6" s="120"/>
      <c r="AI6" s="3"/>
      <c r="AJ6" s="3"/>
      <c r="AK6" s="3"/>
      <c r="AL6" s="3"/>
      <c r="AM6" s="3"/>
      <c r="AN6" s="3"/>
      <c r="AO6" s="3"/>
    </row>
    <row r="7" spans="1:41" x14ac:dyDescent="0.25">
      <c r="B7" s="13"/>
      <c r="C7" s="1078" t="str">
        <f t="array" ref="C7:E11">Parameters!E98:G105</f>
        <v>Boolean refurbishment required</v>
      </c>
      <c r="D7" s="604" t="str">
        <v>Boolean</v>
      </c>
      <c r="E7" s="1079" t="b">
        <v>1</v>
      </c>
      <c r="F7" s="56"/>
      <c r="G7" s="1078" t="str">
        <f t="array" ref="G7:H11">Parameters!E98:F105</f>
        <v>Boolean refurbishment required</v>
      </c>
      <c r="H7" s="604" t="str">
        <v>Boolean</v>
      </c>
      <c r="I7" s="1215" t="b">
        <v>0</v>
      </c>
      <c r="J7" s="56"/>
      <c r="K7" s="14"/>
      <c r="L7" s="14"/>
      <c r="M7" s="14"/>
      <c r="N7" s="14"/>
      <c r="O7" s="16"/>
      <c r="P7" s="14"/>
      <c r="Q7" s="16"/>
      <c r="R7" s="16"/>
      <c r="S7" s="16"/>
      <c r="T7" s="16"/>
      <c r="U7" s="14"/>
      <c r="V7" s="14"/>
      <c r="W7" s="14"/>
      <c r="X7" s="14"/>
      <c r="Y7" s="14"/>
      <c r="Z7" s="14"/>
      <c r="AA7" s="15"/>
      <c r="AB7" s="3"/>
      <c r="AC7" s="3"/>
      <c r="AD7" s="3"/>
      <c r="AE7" s="3"/>
      <c r="AF7" s="129"/>
      <c r="AG7" s="120"/>
      <c r="AH7" s="120"/>
      <c r="AI7" s="3"/>
      <c r="AJ7" s="3"/>
      <c r="AK7" s="3"/>
      <c r="AL7" s="3"/>
      <c r="AM7" s="3"/>
      <c r="AN7" s="3"/>
      <c r="AO7" s="3"/>
    </row>
    <row r="8" spans="1:41" x14ac:dyDescent="0.25">
      <c r="B8" s="13"/>
      <c r="C8" s="1078" t="str">
        <v>Boolean decommissioning topside &amp; substructure required</v>
      </c>
      <c r="D8" s="604" t="str">
        <v>Boolean</v>
      </c>
      <c r="E8" s="1079" t="b">
        <v>0</v>
      </c>
      <c r="F8" s="56"/>
      <c r="G8" s="1078" t="str">
        <v>Boolean decommissioning topside &amp; substructure required</v>
      </c>
      <c r="H8" s="604" t="str">
        <v>Boolean</v>
      </c>
      <c r="I8" s="1215" t="b">
        <v>1</v>
      </c>
      <c r="J8" s="56"/>
      <c r="K8" s="14"/>
      <c r="L8" s="14"/>
      <c r="M8" s="14"/>
      <c r="N8" s="14"/>
      <c r="O8" s="16"/>
      <c r="P8" s="14"/>
      <c r="Q8" s="16"/>
      <c r="R8" s="16"/>
      <c r="S8" s="16"/>
      <c r="T8" s="16"/>
      <c r="U8" s="14"/>
      <c r="V8" s="14"/>
      <c r="W8" s="14"/>
      <c r="X8" s="14"/>
      <c r="Y8" s="14"/>
      <c r="Z8" s="14"/>
      <c r="AA8" s="15"/>
      <c r="AB8" s="3"/>
      <c r="AC8" s="3"/>
      <c r="AD8" s="3"/>
      <c r="AE8" s="3"/>
      <c r="AF8" s="129"/>
      <c r="AG8" s="120"/>
      <c r="AH8" s="120"/>
      <c r="AI8" s="3"/>
      <c r="AJ8" s="3"/>
      <c r="AK8" s="3"/>
      <c r="AL8" s="3"/>
      <c r="AM8" s="3"/>
      <c r="AN8" s="3"/>
      <c r="AO8" s="3"/>
    </row>
    <row r="9" spans="1:41" x14ac:dyDescent="0.25">
      <c r="B9" s="13"/>
      <c r="C9" s="1078" t="str">
        <v>Boolean decommissioning wells required</v>
      </c>
      <c r="D9" s="604" t="str">
        <v>Boolean</v>
      </c>
      <c r="E9" s="1079" t="b">
        <v>0</v>
      </c>
      <c r="F9" s="56"/>
      <c r="G9" s="1078" t="str">
        <v>Boolean decommissioning wells required</v>
      </c>
      <c r="H9" s="604" t="str">
        <v>Boolean</v>
      </c>
      <c r="I9" s="1079" t="b">
        <f>E9</f>
        <v>0</v>
      </c>
      <c r="J9" s="56"/>
      <c r="K9" s="14"/>
      <c r="L9" s="14"/>
      <c r="M9" s="14"/>
      <c r="N9" s="14"/>
      <c r="O9" s="16"/>
      <c r="P9" s="14"/>
      <c r="Q9" s="16"/>
      <c r="R9" s="16"/>
      <c r="S9" s="16"/>
      <c r="T9" s="16"/>
      <c r="U9" s="14"/>
      <c r="V9" s="14"/>
      <c r="W9" s="14"/>
      <c r="X9" s="14"/>
      <c r="Y9" s="14"/>
      <c r="Z9" s="14"/>
      <c r="AA9" s="15"/>
      <c r="AB9" s="3"/>
      <c r="AC9" s="3"/>
      <c r="AD9" s="3"/>
      <c r="AE9" s="3"/>
      <c r="AF9" s="129"/>
      <c r="AG9" s="120"/>
      <c r="AH9" s="120"/>
      <c r="AI9" s="3"/>
      <c r="AJ9" s="3"/>
      <c r="AK9" s="3"/>
      <c r="AL9" s="3"/>
      <c r="AM9" s="3"/>
      <c r="AN9" s="3"/>
      <c r="AO9" s="3"/>
    </row>
    <row r="10" spans="1:41" x14ac:dyDescent="0.25">
      <c r="B10" s="13"/>
      <c r="C10" s="1078" t="str">
        <v>Boolean decommissioning pipelines required</v>
      </c>
      <c r="D10" s="604" t="str">
        <v>Boolean</v>
      </c>
      <c r="E10" s="1079" t="b">
        <v>0</v>
      </c>
      <c r="F10" s="56"/>
      <c r="G10" s="1078" t="str">
        <v>Boolean decommissioning pipelines required</v>
      </c>
      <c r="H10" s="604" t="str">
        <v>Boolean</v>
      </c>
      <c r="I10" s="1079" t="b">
        <f>E10</f>
        <v>0</v>
      </c>
      <c r="J10" s="56"/>
      <c r="K10" s="14"/>
      <c r="L10" s="14"/>
      <c r="M10" s="14"/>
      <c r="N10" s="14"/>
      <c r="O10" s="16"/>
      <c r="P10" s="14"/>
      <c r="Q10" s="16"/>
      <c r="R10" s="16"/>
      <c r="S10" s="16"/>
      <c r="T10" s="16"/>
      <c r="U10" s="14"/>
      <c r="V10" s="14"/>
      <c r="W10" s="14"/>
      <c r="X10" s="14"/>
      <c r="Y10" s="14"/>
      <c r="Z10" s="14"/>
      <c r="AA10" s="15"/>
      <c r="AB10" s="3"/>
      <c r="AC10" s="3"/>
      <c r="AD10" s="3"/>
      <c r="AE10" s="3"/>
      <c r="AF10" s="129"/>
      <c r="AG10" s="120"/>
      <c r="AH10" s="120"/>
      <c r="AI10" s="3"/>
      <c r="AJ10" s="3"/>
      <c r="AK10" s="3"/>
      <c r="AL10" s="3"/>
      <c r="AM10" s="3"/>
      <c r="AN10" s="3"/>
      <c r="AO10" s="3"/>
    </row>
    <row r="11" spans="1:41" x14ac:dyDescent="0.25">
      <c r="B11" s="13"/>
      <c r="C11" s="1080" t="str">
        <v>Postpone decom pipe campain to COP</v>
      </c>
      <c r="D11" s="1081" t="str">
        <v>Boolean</v>
      </c>
      <c r="E11" s="1082" t="b">
        <v>1</v>
      </c>
      <c r="F11" s="56"/>
      <c r="G11" s="1080" t="str">
        <v>Postpone decom pipe campain to COP</v>
      </c>
      <c r="H11" s="1081" t="str">
        <v>Boolean</v>
      </c>
      <c r="I11" s="1216" t="b">
        <v>0</v>
      </c>
      <c r="J11" s="56"/>
      <c r="K11" s="14"/>
      <c r="L11" s="14"/>
      <c r="M11" s="14"/>
      <c r="N11" s="14"/>
      <c r="O11" s="16"/>
      <c r="P11" s="14"/>
      <c r="Q11" s="16"/>
      <c r="R11" s="16"/>
      <c r="S11" s="16"/>
      <c r="T11" s="16"/>
      <c r="U11" s="14"/>
      <c r="V11" s="14"/>
      <c r="W11" s="14"/>
      <c r="X11" s="14"/>
      <c r="Y11" s="14"/>
      <c r="Z11" s="14"/>
      <c r="AA11" s="15"/>
      <c r="AB11" s="3"/>
      <c r="AC11" s="3"/>
      <c r="AD11" s="3"/>
      <c r="AE11" s="3"/>
      <c r="AF11" s="129"/>
      <c r="AG11" s="120"/>
      <c r="AH11" s="120"/>
      <c r="AI11" s="3"/>
      <c r="AJ11" s="3"/>
      <c r="AK11" s="3"/>
      <c r="AL11" s="3"/>
      <c r="AM11" s="3"/>
      <c r="AN11" s="3"/>
      <c r="AO11" s="3"/>
    </row>
    <row r="12" spans="1:41" x14ac:dyDescent="0.25">
      <c r="B12" s="13"/>
      <c r="C12" s="14"/>
      <c r="D12" s="14"/>
      <c r="E12" s="14"/>
      <c r="F12" s="56"/>
      <c r="G12" s="14"/>
      <c r="H12" s="14"/>
      <c r="I12" s="14"/>
      <c r="J12" s="56"/>
      <c r="K12" s="14"/>
      <c r="L12" s="14"/>
      <c r="M12" s="14"/>
      <c r="N12" s="14"/>
      <c r="O12" s="16"/>
      <c r="P12" s="14"/>
      <c r="Q12" s="16"/>
      <c r="R12" s="16"/>
      <c r="S12" s="16"/>
      <c r="T12" s="16"/>
      <c r="U12" s="14"/>
      <c r="V12" s="14"/>
      <c r="W12" s="14"/>
      <c r="X12" s="14"/>
      <c r="Y12" s="14"/>
      <c r="Z12" s="14"/>
      <c r="AA12" s="15"/>
      <c r="AB12" s="3"/>
      <c r="AC12" s="3"/>
      <c r="AD12" s="3"/>
      <c r="AE12" s="3"/>
      <c r="AF12" s="129"/>
      <c r="AG12" s="120"/>
      <c r="AH12" s="120"/>
      <c r="AI12" s="3"/>
      <c r="AJ12" s="3"/>
      <c r="AK12" s="3"/>
      <c r="AL12" s="3"/>
      <c r="AM12" s="3"/>
      <c r="AN12" s="3"/>
      <c r="AO12" s="3"/>
    </row>
    <row r="13" spans="1:41" x14ac:dyDescent="0.25">
      <c r="B13" s="13"/>
      <c r="C13" s="39" t="s">
        <v>1568</v>
      </c>
      <c r="D13" s="40"/>
      <c r="E13" s="41"/>
      <c r="F13" s="56"/>
      <c r="G13" s="39" t="s">
        <v>1568</v>
      </c>
      <c r="H13" s="40"/>
      <c r="I13" s="41"/>
      <c r="J13" s="56"/>
      <c r="K13" s="14"/>
      <c r="L13" s="14"/>
      <c r="M13" s="14"/>
      <c r="N13" s="14"/>
      <c r="O13" s="16"/>
      <c r="P13" s="14"/>
      <c r="Q13" s="16"/>
      <c r="R13" s="16"/>
      <c r="S13" s="16"/>
      <c r="T13" s="16"/>
      <c r="U13" s="14"/>
      <c r="V13" s="14"/>
      <c r="W13" s="14"/>
      <c r="X13" s="14"/>
      <c r="Y13" s="14"/>
      <c r="Z13" s="14"/>
      <c r="AA13" s="15"/>
      <c r="AB13" s="3"/>
      <c r="AC13" s="3"/>
      <c r="AD13" s="3"/>
      <c r="AE13" s="3"/>
      <c r="AF13" s="129"/>
      <c r="AG13" s="120"/>
      <c r="AH13" s="120"/>
      <c r="AI13" s="3"/>
      <c r="AJ13" s="3"/>
      <c r="AK13" s="3"/>
      <c r="AL13" s="3"/>
      <c r="AM13" s="3"/>
      <c r="AN13" s="3"/>
      <c r="AO13" s="3"/>
    </row>
    <row r="14" spans="1:41" x14ac:dyDescent="0.25">
      <c r="B14" s="13"/>
      <c r="C14" s="14"/>
      <c r="D14" s="14"/>
      <c r="E14" s="14"/>
      <c r="F14" s="56"/>
      <c r="G14" s="14"/>
      <c r="H14" s="14"/>
      <c r="I14" s="14"/>
      <c r="J14" s="56"/>
      <c r="K14" s="14"/>
      <c r="L14" s="14"/>
      <c r="M14" s="14"/>
      <c r="N14" s="14"/>
      <c r="O14" s="16"/>
      <c r="P14" s="14"/>
      <c r="Q14" s="16"/>
      <c r="R14" s="16"/>
      <c r="S14" s="16"/>
      <c r="T14" s="16"/>
      <c r="U14" s="14"/>
      <c r="V14" s="14"/>
      <c r="W14" s="14"/>
      <c r="X14" s="14"/>
      <c r="Y14" s="14"/>
      <c r="Z14" s="14"/>
      <c r="AA14" s="15"/>
      <c r="AB14" s="3"/>
      <c r="AC14" s="3"/>
      <c r="AD14" s="3"/>
      <c r="AE14" s="3"/>
      <c r="AF14" s="129"/>
      <c r="AG14" s="120"/>
      <c r="AH14" s="120"/>
      <c r="AI14" s="3"/>
      <c r="AJ14" s="3"/>
      <c r="AK14" s="3"/>
      <c r="AL14" s="3"/>
      <c r="AM14" s="3"/>
      <c r="AN14" s="3"/>
      <c r="AO14" s="3"/>
    </row>
    <row r="15" spans="1:41" x14ac:dyDescent="0.25">
      <c r="B15" s="13"/>
      <c r="C15" s="32" t="str">
        <f t="array" ref="C15:E17">Parameters!E23:G25</f>
        <v>Relative decommissioning cost topside + jacket</v>
      </c>
      <c r="D15" s="33" t="str">
        <v>EUR / ton</v>
      </c>
      <c r="E15" s="1173">
        <v>4104</v>
      </c>
      <c r="F15" s="56"/>
      <c r="G15" s="32" t="str">
        <f t="array" ref="G15:I17">Parameters!E23:G25</f>
        <v>Relative decommissioning cost topside + jacket</v>
      </c>
      <c r="H15" s="33" t="str">
        <v>EUR / ton</v>
      </c>
      <c r="I15" s="1173">
        <v>4104</v>
      </c>
      <c r="J15" s="56"/>
      <c r="K15" s="14"/>
      <c r="L15" s="14"/>
      <c r="M15" s="14"/>
      <c r="N15" s="14"/>
      <c r="O15" s="16"/>
      <c r="P15" s="14"/>
      <c r="Q15" s="16"/>
      <c r="R15" s="16"/>
      <c r="S15" s="16"/>
      <c r="T15" s="16"/>
      <c r="U15" s="14"/>
      <c r="V15" s="14"/>
      <c r="W15" s="14"/>
      <c r="X15" s="14"/>
      <c r="Y15" s="14"/>
      <c r="Z15" s="14"/>
      <c r="AA15" s="15"/>
      <c r="AB15" s="3"/>
      <c r="AC15" s="3"/>
      <c r="AD15" s="3"/>
      <c r="AE15" s="3"/>
      <c r="AF15" s="129"/>
      <c r="AG15" s="120"/>
      <c r="AH15" s="120"/>
      <c r="AI15" s="3"/>
      <c r="AJ15" s="3"/>
      <c r="AK15" s="3"/>
      <c r="AL15" s="3"/>
      <c r="AM15" s="3"/>
      <c r="AN15" s="3"/>
      <c r="AO15" s="3"/>
    </row>
    <row r="16" spans="1:41" x14ac:dyDescent="0.25">
      <c r="B16" s="13"/>
      <c r="C16" s="6" t="str">
        <v>Relative costs natural gas well P&amp;A</v>
      </c>
      <c r="D16" s="2" t="str">
        <v>EUR /well</v>
      </c>
      <c r="E16" s="115">
        <v>3192000</v>
      </c>
      <c r="F16" s="56"/>
      <c r="G16" s="6" t="str">
        <v>Relative costs natural gas well P&amp;A</v>
      </c>
      <c r="H16" s="2" t="str">
        <v>EUR /well</v>
      </c>
      <c r="I16" s="115">
        <v>3192000</v>
      </c>
      <c r="J16" s="56"/>
      <c r="K16" s="14"/>
      <c r="L16" s="14"/>
      <c r="M16" s="14"/>
      <c r="N16" s="14"/>
      <c r="O16" s="16"/>
      <c r="P16" s="14"/>
      <c r="Q16" s="16"/>
      <c r="R16" s="16"/>
      <c r="S16" s="16"/>
      <c r="T16" s="16"/>
      <c r="U16" s="14"/>
      <c r="V16" s="14"/>
      <c r="W16" s="14"/>
      <c r="X16" s="14"/>
      <c r="Y16" s="14"/>
      <c r="Z16" s="14"/>
      <c r="AA16" s="15"/>
      <c r="AB16" s="3"/>
      <c r="AC16" s="3"/>
      <c r="AD16" s="3"/>
      <c r="AE16" s="3"/>
      <c r="AF16" s="129"/>
      <c r="AG16" s="120"/>
      <c r="AH16" s="120"/>
      <c r="AI16" s="3"/>
      <c r="AJ16" s="3"/>
      <c r="AK16" s="3"/>
      <c r="AL16" s="3"/>
      <c r="AM16" s="3"/>
      <c r="AN16" s="3"/>
      <c r="AO16" s="3"/>
    </row>
    <row r="17" spans="2:41" x14ac:dyDescent="0.25">
      <c r="B17" s="13"/>
      <c r="C17" s="6" t="str">
        <v>Relative costs pipeline 'making safe' and decom</v>
      </c>
      <c r="D17" s="2" t="str">
        <v>EUR /km</v>
      </c>
      <c r="E17" s="115">
        <v>180823.863636364</v>
      </c>
      <c r="F17" s="56"/>
      <c r="G17" s="6" t="str">
        <v>Relative costs pipeline 'making safe' and decom</v>
      </c>
      <c r="H17" s="2" t="str">
        <v>EUR /km</v>
      </c>
      <c r="I17" s="115">
        <v>180823.863636364</v>
      </c>
      <c r="J17" s="56"/>
      <c r="K17" s="14"/>
      <c r="L17" s="14"/>
      <c r="M17" s="14"/>
      <c r="N17" s="14"/>
      <c r="O17" s="16"/>
      <c r="P17" s="14"/>
      <c r="Q17" s="16"/>
      <c r="R17" s="16"/>
      <c r="S17" s="16"/>
      <c r="T17" s="16"/>
      <c r="U17" s="14"/>
      <c r="V17" s="14"/>
      <c r="W17" s="14"/>
      <c r="X17" s="14"/>
      <c r="Y17" s="14"/>
      <c r="Z17" s="14"/>
      <c r="AA17" s="15"/>
      <c r="AB17" s="3"/>
      <c r="AC17" s="3"/>
      <c r="AD17" s="3"/>
      <c r="AE17" s="3"/>
      <c r="AF17" s="129"/>
      <c r="AG17" s="120"/>
      <c r="AH17" s="120"/>
      <c r="AI17" s="3"/>
      <c r="AJ17" s="3"/>
      <c r="AK17" s="3"/>
      <c r="AL17" s="3"/>
      <c r="AM17" s="3"/>
      <c r="AN17" s="3"/>
      <c r="AO17" s="3"/>
    </row>
    <row r="18" spans="2:41" x14ac:dyDescent="0.25">
      <c r="B18" s="13"/>
      <c r="C18" s="6" t="str">
        <f t="array" ref="C18:E22">Parameters!E29:G33</f>
        <v>Onshore disposal, remidiation and monitoring</v>
      </c>
      <c r="D18" s="2" t="str">
        <v>%</v>
      </c>
      <c r="E18" s="35">
        <v>2</v>
      </c>
      <c r="F18" s="56"/>
      <c r="G18" s="6" t="str">
        <f t="array" ref="G18:I22">Parameters!E29:G33</f>
        <v>Onshore disposal, remidiation and monitoring</v>
      </c>
      <c r="H18" s="2" t="str">
        <v>%</v>
      </c>
      <c r="I18" s="35">
        <v>2</v>
      </c>
      <c r="J18" s="56"/>
      <c r="K18" s="14"/>
      <c r="L18" s="14"/>
      <c r="M18" s="14"/>
      <c r="N18" s="14"/>
      <c r="O18" s="16"/>
      <c r="P18" s="14"/>
      <c r="Q18" s="16"/>
      <c r="R18" s="16"/>
      <c r="S18" s="16"/>
      <c r="T18" s="16"/>
      <c r="U18" s="14"/>
      <c r="V18" s="14"/>
      <c r="W18" s="14"/>
      <c r="X18" s="14"/>
      <c r="Y18" s="14"/>
      <c r="Z18" s="14"/>
      <c r="AA18" s="15"/>
      <c r="AB18" s="3"/>
      <c r="AC18" s="3"/>
      <c r="AD18" s="3"/>
      <c r="AE18" s="3"/>
      <c r="AF18" s="129"/>
      <c r="AG18" s="120"/>
      <c r="AH18" s="120"/>
      <c r="AI18" s="3"/>
      <c r="AJ18" s="3"/>
      <c r="AK18" s="3"/>
      <c r="AL18" s="3"/>
      <c r="AM18" s="3"/>
      <c r="AN18" s="3"/>
      <c r="AO18" s="3"/>
    </row>
    <row r="19" spans="2:41" x14ac:dyDescent="0.25">
      <c r="B19" s="13"/>
      <c r="C19" s="6" t="str">
        <v>Project managment and facility running cost</v>
      </c>
      <c r="D19" s="2" t="str">
        <v>%</v>
      </c>
      <c r="E19" s="35">
        <v>16</v>
      </c>
      <c r="F19" s="56"/>
      <c r="G19" s="6" t="str">
        <v>Project managment and facility running cost</v>
      </c>
      <c r="H19" s="2" t="str">
        <v>%</v>
      </c>
      <c r="I19" s="35">
        <v>16</v>
      </c>
      <c r="J19" s="56"/>
      <c r="K19" s="14"/>
      <c r="L19" s="14"/>
      <c r="M19" s="14"/>
      <c r="N19" s="14"/>
      <c r="O19" s="16"/>
      <c r="P19" s="14"/>
      <c r="Q19" s="16"/>
      <c r="R19" s="16"/>
      <c r="S19" s="16"/>
      <c r="T19" s="16"/>
      <c r="U19" s="14"/>
      <c r="V19" s="14"/>
      <c r="W19" s="14"/>
      <c r="X19" s="14"/>
      <c r="Y19" s="14"/>
      <c r="Z19" s="14"/>
      <c r="AA19" s="15"/>
      <c r="AB19" s="3"/>
      <c r="AC19" s="3"/>
      <c r="AD19" s="3"/>
      <c r="AE19" s="3"/>
      <c r="AF19" s="129"/>
      <c r="AG19" s="120"/>
      <c r="AH19" s="120"/>
      <c r="AI19" s="3"/>
      <c r="AJ19" s="3"/>
      <c r="AK19" s="3"/>
      <c r="AL19" s="3"/>
      <c r="AM19" s="3"/>
      <c r="AN19" s="3"/>
      <c r="AO19" s="3"/>
    </row>
    <row r="20" spans="2:41" x14ac:dyDescent="0.25">
      <c r="B20" s="13"/>
      <c r="C20" s="6" t="str">
        <v>Topside + jacket</v>
      </c>
      <c r="D20" s="2" t="str">
        <v>%</v>
      </c>
      <c r="E20" s="35">
        <v>21</v>
      </c>
      <c r="F20" s="56"/>
      <c r="G20" s="6" t="str">
        <v>Topside + jacket</v>
      </c>
      <c r="H20" s="2" t="str">
        <v>%</v>
      </c>
      <c r="I20" s="35">
        <v>21</v>
      </c>
      <c r="J20" s="56"/>
      <c r="K20" s="14"/>
      <c r="L20" s="14"/>
      <c r="M20" s="14"/>
      <c r="N20" s="14"/>
      <c r="O20" s="16"/>
      <c r="P20" s="14"/>
      <c r="Q20" s="16"/>
      <c r="R20" s="16"/>
      <c r="S20" s="16"/>
      <c r="T20" s="16"/>
      <c r="U20" s="14"/>
      <c r="V20" s="14"/>
      <c r="W20" s="14"/>
      <c r="X20" s="14"/>
      <c r="Y20" s="14"/>
      <c r="Z20" s="14"/>
      <c r="AA20" s="15"/>
      <c r="AB20" s="3"/>
      <c r="AC20" s="3"/>
      <c r="AD20" s="3"/>
      <c r="AE20" s="3"/>
      <c r="AF20" s="129"/>
      <c r="AG20" s="120"/>
      <c r="AH20" s="120"/>
      <c r="AI20" s="3"/>
      <c r="AJ20" s="3"/>
      <c r="AK20" s="3"/>
      <c r="AL20" s="3"/>
      <c r="AM20" s="3"/>
      <c r="AN20" s="3"/>
      <c r="AO20" s="3"/>
    </row>
    <row r="21" spans="2:41" x14ac:dyDescent="0.25">
      <c r="B21" s="13"/>
      <c r="C21" s="6" t="str">
        <v>natural gas well P&amp;A</v>
      </c>
      <c r="D21" s="2" t="str">
        <v>%</v>
      </c>
      <c r="E21" s="35">
        <v>49</v>
      </c>
      <c r="F21" s="56"/>
      <c r="G21" s="6" t="str">
        <v>natural gas well P&amp;A</v>
      </c>
      <c r="H21" s="2" t="str">
        <v>%</v>
      </c>
      <c r="I21" s="35">
        <v>49</v>
      </c>
      <c r="J21" s="56"/>
      <c r="K21" s="14"/>
      <c r="L21" s="14"/>
      <c r="M21" s="14"/>
      <c r="N21" s="14"/>
      <c r="O21" s="16"/>
      <c r="P21" s="14"/>
      <c r="Q21" s="16"/>
      <c r="R21" s="16"/>
      <c r="S21" s="16"/>
      <c r="T21" s="16"/>
      <c r="U21" s="14"/>
      <c r="V21" s="14"/>
      <c r="W21" s="14"/>
      <c r="X21" s="14"/>
      <c r="Y21" s="14"/>
      <c r="Z21" s="14"/>
      <c r="AA21" s="15"/>
      <c r="AB21" s="3"/>
      <c r="AC21" s="3"/>
      <c r="AD21" s="3"/>
      <c r="AE21" s="3"/>
      <c r="AF21" s="129"/>
      <c r="AG21" s="120"/>
      <c r="AH21" s="120"/>
      <c r="AI21" s="3"/>
      <c r="AJ21" s="3"/>
      <c r="AK21" s="3"/>
      <c r="AL21" s="3"/>
      <c r="AM21" s="3"/>
      <c r="AN21" s="3"/>
      <c r="AO21" s="3"/>
    </row>
    <row r="22" spans="2:41" x14ac:dyDescent="0.25">
      <c r="B22" s="13"/>
      <c r="C22" s="36" t="str">
        <v>pipeline 'making safe' and decom</v>
      </c>
      <c r="D22" s="37" t="str">
        <v>%</v>
      </c>
      <c r="E22" s="38">
        <v>12</v>
      </c>
      <c r="F22" s="56"/>
      <c r="G22" s="36" t="str">
        <v>pipeline 'making safe' and decom</v>
      </c>
      <c r="H22" s="37" t="str">
        <v>%</v>
      </c>
      <c r="I22" s="38">
        <v>12</v>
      </c>
      <c r="J22" s="56"/>
      <c r="K22" s="14"/>
      <c r="L22" s="14"/>
      <c r="M22" s="14"/>
      <c r="N22" s="14"/>
      <c r="O22" s="16"/>
      <c r="P22" s="14"/>
      <c r="Q22" s="16"/>
      <c r="R22" s="16"/>
      <c r="S22" s="16"/>
      <c r="T22" s="16"/>
      <c r="U22" s="14"/>
      <c r="V22" s="14"/>
      <c r="W22" s="14"/>
      <c r="X22" s="14"/>
      <c r="Y22" s="14"/>
      <c r="Z22" s="14"/>
      <c r="AA22" s="15"/>
      <c r="AB22" s="3"/>
      <c r="AC22" s="3"/>
      <c r="AD22" s="3"/>
      <c r="AE22" s="3"/>
      <c r="AF22" s="129"/>
      <c r="AG22" s="120"/>
      <c r="AH22" s="120"/>
      <c r="AI22" s="3"/>
      <c r="AJ22" s="3"/>
      <c r="AK22" s="3"/>
      <c r="AL22" s="3"/>
      <c r="AM22" s="3"/>
      <c r="AN22" s="3"/>
      <c r="AO22" s="3"/>
    </row>
    <row r="23" spans="2:41" x14ac:dyDescent="0.25">
      <c r="B23" s="13"/>
      <c r="C23" s="14"/>
      <c r="D23" s="14"/>
      <c r="E23" s="14"/>
      <c r="F23" s="56"/>
      <c r="G23" s="14"/>
      <c r="H23" s="14"/>
      <c r="I23" s="14"/>
      <c r="J23" s="56"/>
      <c r="K23" s="14"/>
      <c r="L23" s="14"/>
      <c r="M23" s="14"/>
      <c r="N23" s="14"/>
      <c r="O23" s="16"/>
      <c r="P23" s="14"/>
      <c r="Q23" s="16"/>
      <c r="R23" s="16"/>
      <c r="S23" s="16"/>
      <c r="T23" s="16"/>
      <c r="U23" s="14"/>
      <c r="V23" s="14"/>
      <c r="W23" s="14"/>
      <c r="X23" s="14"/>
      <c r="Y23" s="14"/>
      <c r="Z23" s="14"/>
      <c r="AA23" s="15"/>
      <c r="AB23" s="3"/>
      <c r="AC23" s="3"/>
      <c r="AD23" s="3"/>
      <c r="AE23" s="3"/>
      <c r="AF23" s="129"/>
      <c r="AG23" s="120"/>
      <c r="AH23" s="120"/>
      <c r="AI23" s="3"/>
      <c r="AJ23" s="3"/>
      <c r="AK23" s="3"/>
      <c r="AL23" s="3"/>
      <c r="AM23" s="3"/>
      <c r="AN23" s="3"/>
      <c r="AO23" s="3"/>
    </row>
    <row r="24" spans="2:41" x14ac:dyDescent="0.25">
      <c r="B24" s="13"/>
      <c r="C24" s="39" t="s">
        <v>1569</v>
      </c>
      <c r="D24" s="40"/>
      <c r="E24" s="41"/>
      <c r="F24" s="56"/>
      <c r="G24" s="39" t="s">
        <v>1569</v>
      </c>
      <c r="H24" s="40"/>
      <c r="I24" s="41"/>
      <c r="J24" s="56"/>
      <c r="K24" s="14"/>
      <c r="L24" s="14"/>
      <c r="M24" s="14"/>
      <c r="N24" s="14"/>
      <c r="O24" s="16"/>
      <c r="P24" s="14"/>
      <c r="Q24" s="16"/>
      <c r="R24" s="16"/>
      <c r="S24" s="16"/>
      <c r="T24" s="16"/>
      <c r="U24" s="14"/>
      <c r="V24" s="14"/>
      <c r="W24" s="14"/>
      <c r="X24" s="14"/>
      <c r="Y24" s="14"/>
      <c r="Z24" s="14"/>
      <c r="AA24" s="15"/>
      <c r="AB24" s="3"/>
      <c r="AC24" s="3"/>
      <c r="AD24" s="3"/>
      <c r="AE24" s="3"/>
      <c r="AF24" s="129"/>
      <c r="AG24" s="120"/>
      <c r="AH24" s="120"/>
      <c r="AI24" s="3"/>
      <c r="AJ24" s="3"/>
      <c r="AK24" s="3"/>
      <c r="AL24" s="3"/>
      <c r="AM24" s="3"/>
      <c r="AN24" s="3"/>
      <c r="AO24" s="3"/>
    </row>
    <row r="25" spans="2:41" x14ac:dyDescent="0.25">
      <c r="B25" s="13"/>
      <c r="C25" s="14"/>
      <c r="D25" s="14"/>
      <c r="E25" s="14"/>
      <c r="F25" s="56"/>
      <c r="G25" s="14"/>
      <c r="H25" s="14"/>
      <c r="I25" s="14"/>
      <c r="J25" s="56"/>
      <c r="K25" s="14"/>
      <c r="L25" s="14"/>
      <c r="M25" s="14"/>
      <c r="N25" s="14"/>
      <c r="O25" s="16"/>
      <c r="P25" s="14"/>
      <c r="Q25" s="16"/>
      <c r="R25" s="16"/>
      <c r="S25" s="16"/>
      <c r="T25" s="16"/>
      <c r="U25" s="14"/>
      <c r="V25" s="14"/>
      <c r="W25" s="14"/>
      <c r="X25" s="14"/>
      <c r="Y25" s="14"/>
      <c r="Z25" s="14"/>
      <c r="AA25" s="15"/>
      <c r="AB25" s="3"/>
      <c r="AC25" s="3"/>
      <c r="AD25" s="3"/>
      <c r="AE25" s="3"/>
      <c r="AF25" s="129"/>
      <c r="AG25" s="120"/>
      <c r="AH25" s="120"/>
      <c r="AI25" s="3"/>
      <c r="AJ25" s="3"/>
      <c r="AK25" s="3"/>
      <c r="AL25" s="3"/>
      <c r="AM25" s="3"/>
      <c r="AN25" s="3"/>
      <c r="AO25" s="3"/>
    </row>
    <row r="26" spans="2:41" x14ac:dyDescent="0.25">
      <c r="B26" s="13"/>
      <c r="C26" s="32" t="str">
        <f t="array" ref="C26:E26">Parameters!E26:G26</f>
        <v>Platform identifier</v>
      </c>
      <c r="D26" s="33">
        <v>0</v>
      </c>
      <c r="E26" s="34" t="str">
        <v>P15-D</v>
      </c>
      <c r="F26" s="56"/>
      <c r="G26" s="32" t="str">
        <f t="array" ref="G26:I26">Parameters!E26:G26</f>
        <v>Platform identifier</v>
      </c>
      <c r="H26" s="33">
        <v>0</v>
      </c>
      <c r="I26" s="34" t="str">
        <v>P15-D</v>
      </c>
      <c r="J26" s="56"/>
      <c r="K26" s="14"/>
      <c r="L26" s="14"/>
      <c r="M26" s="14"/>
      <c r="N26" s="14"/>
      <c r="O26" s="16"/>
      <c r="P26" s="14"/>
      <c r="Q26" s="16"/>
      <c r="R26" s="16"/>
      <c r="S26" s="16"/>
      <c r="T26" s="16"/>
      <c r="U26" s="14"/>
      <c r="V26" s="14"/>
      <c r="W26" s="14"/>
      <c r="X26" s="14"/>
      <c r="Y26" s="14"/>
      <c r="Z26" s="14"/>
      <c r="AA26" s="15"/>
      <c r="AB26" s="3"/>
      <c r="AC26" s="3"/>
      <c r="AD26" s="3"/>
      <c r="AE26" s="3"/>
      <c r="AF26" s="129"/>
      <c r="AG26" s="120"/>
      <c r="AH26" s="120"/>
      <c r="AI26" s="3"/>
      <c r="AJ26" s="3"/>
      <c r="AK26" s="3"/>
      <c r="AL26" s="3"/>
      <c r="AM26" s="3"/>
      <c r="AN26" s="3"/>
      <c r="AO26" s="3"/>
    </row>
    <row r="27" spans="2:41" x14ac:dyDescent="0.25">
      <c r="B27" s="13"/>
      <c r="C27" s="6" t="str">
        <f t="array" ref="C27:E28">Parameters!E27:G28</f>
        <v>Weight sub-structure</v>
      </c>
      <c r="D27" s="2" t="str">
        <v>ton</v>
      </c>
      <c r="E27" s="115">
        <v>1015</v>
      </c>
      <c r="F27" s="56"/>
      <c r="G27" s="6" t="str">
        <f t="array" ref="G27:I28">Parameters!E27:G28</f>
        <v>Weight sub-structure</v>
      </c>
      <c r="H27" s="2" t="str">
        <v>ton</v>
      </c>
      <c r="I27" s="115">
        <v>1015</v>
      </c>
      <c r="J27" s="56"/>
      <c r="K27" s="14"/>
      <c r="L27" s="14"/>
      <c r="M27" s="14"/>
      <c r="N27" s="14"/>
      <c r="O27" s="16"/>
      <c r="P27" s="14"/>
      <c r="Q27" s="16"/>
      <c r="R27" s="16"/>
      <c r="S27" s="16"/>
      <c r="T27" s="16"/>
      <c r="U27" s="14"/>
      <c r="V27" s="14"/>
      <c r="W27" s="14"/>
      <c r="X27" s="14"/>
      <c r="Y27" s="14"/>
      <c r="Z27" s="14"/>
      <c r="AA27" s="15"/>
      <c r="AB27" s="3"/>
      <c r="AC27" s="3"/>
      <c r="AD27" s="3"/>
      <c r="AE27" s="3"/>
      <c r="AF27" s="129"/>
      <c r="AG27" s="120"/>
      <c r="AH27" s="120"/>
      <c r="AI27" s="3"/>
      <c r="AJ27" s="3"/>
      <c r="AK27" s="3"/>
      <c r="AL27" s="3"/>
      <c r="AM27" s="3"/>
      <c r="AN27" s="3"/>
      <c r="AO27" s="3"/>
    </row>
    <row r="28" spans="2:41" x14ac:dyDescent="0.25">
      <c r="B28" s="13"/>
      <c r="C28" s="6" t="str">
        <v>Weight topside</v>
      </c>
      <c r="D28" s="2" t="str">
        <v>ton</v>
      </c>
      <c r="E28" s="115">
        <v>6962</v>
      </c>
      <c r="F28" s="56"/>
      <c r="G28" s="6" t="str">
        <v>Weight topside</v>
      </c>
      <c r="H28" s="2" t="str">
        <v>ton</v>
      </c>
      <c r="I28" s="115">
        <v>6962</v>
      </c>
      <c r="J28" s="56"/>
      <c r="K28" s="14"/>
      <c r="L28" s="14"/>
      <c r="M28" s="14"/>
      <c r="N28" s="14"/>
      <c r="O28" s="16"/>
      <c r="P28" s="14"/>
      <c r="Q28" s="16"/>
      <c r="R28" s="16"/>
      <c r="S28" s="16"/>
      <c r="T28" s="16"/>
      <c r="U28" s="14"/>
      <c r="V28" s="14"/>
      <c r="W28" s="14"/>
      <c r="X28" s="14"/>
      <c r="Y28" s="14"/>
      <c r="Z28" s="14"/>
      <c r="AA28" s="15"/>
      <c r="AB28" s="3"/>
      <c r="AC28" s="3"/>
      <c r="AD28" s="3"/>
      <c r="AE28" s="3"/>
      <c r="AF28" s="129"/>
      <c r="AG28" s="120"/>
      <c r="AH28" s="120"/>
      <c r="AI28" s="3"/>
      <c r="AJ28" s="3"/>
      <c r="AK28" s="3"/>
      <c r="AL28" s="3"/>
      <c r="AM28" s="3"/>
      <c r="AN28" s="3"/>
      <c r="AO28" s="3"/>
    </row>
    <row r="29" spans="2:41" x14ac:dyDescent="0.25">
      <c r="B29" s="13"/>
      <c r="C29" s="6" t="str">
        <f t="array" ref="C29:E29">Parameters!E150:G150</f>
        <v>Pipeline length</v>
      </c>
      <c r="D29" s="2" t="str">
        <v>km</v>
      </c>
      <c r="E29" s="115">
        <v>40</v>
      </c>
      <c r="F29" s="56"/>
      <c r="G29" s="6" t="str">
        <f t="array" ref="G29:I29">Parameters!E150:G150</f>
        <v>Pipeline length</v>
      </c>
      <c r="H29" s="2" t="str">
        <v>km</v>
      </c>
      <c r="I29" s="115">
        <v>40</v>
      </c>
      <c r="J29" s="56"/>
      <c r="K29" s="14"/>
      <c r="L29" s="14"/>
      <c r="M29" s="14"/>
      <c r="N29" s="14"/>
      <c r="O29" s="16"/>
      <c r="P29" s="14"/>
      <c r="Q29" s="16"/>
      <c r="R29" s="16"/>
      <c r="S29" s="16"/>
      <c r="T29" s="16"/>
      <c r="U29" s="14"/>
      <c r="V29" s="14"/>
      <c r="W29" s="14"/>
      <c r="X29" s="14"/>
      <c r="Y29" s="14"/>
      <c r="Z29" s="14"/>
      <c r="AA29" s="15"/>
      <c r="AB29" s="3"/>
      <c r="AC29" s="3"/>
      <c r="AD29" s="3"/>
      <c r="AE29" s="3"/>
      <c r="AF29" s="129"/>
      <c r="AG29" s="120"/>
      <c r="AH29" s="120"/>
      <c r="AI29" s="3"/>
      <c r="AJ29" s="3"/>
      <c r="AK29" s="3"/>
      <c r="AL29" s="3"/>
      <c r="AM29" s="3"/>
      <c r="AN29" s="3"/>
      <c r="AO29" s="3"/>
    </row>
    <row r="30" spans="2:41" x14ac:dyDescent="0.25">
      <c r="B30" s="13"/>
      <c r="C30" s="6" t="str">
        <f t="array" ref="C30:E30">Parameters!E322:G322</f>
        <v>Distance hub to shore</v>
      </c>
      <c r="D30" s="2" t="str">
        <v>km</v>
      </c>
      <c r="E30" s="115">
        <v>40</v>
      </c>
      <c r="F30" s="56"/>
      <c r="G30" s="6" t="str">
        <f t="array" ref="G30:I30">Parameters!E322:G322</f>
        <v>Distance hub to shore</v>
      </c>
      <c r="H30" s="2" t="str">
        <v>km</v>
      </c>
      <c r="I30" s="115">
        <v>40</v>
      </c>
      <c r="J30" s="56"/>
      <c r="K30" s="14"/>
      <c r="L30" s="14"/>
      <c r="M30" s="14"/>
      <c r="N30" s="14"/>
      <c r="O30" s="16"/>
      <c r="P30" s="14"/>
      <c r="Q30" s="16"/>
      <c r="R30" s="16"/>
      <c r="S30" s="16"/>
      <c r="T30" s="16"/>
      <c r="U30" s="14"/>
      <c r="V30" s="14"/>
      <c r="W30" s="14"/>
      <c r="X30" s="14"/>
      <c r="Y30" s="14"/>
      <c r="Z30" s="14"/>
      <c r="AA30" s="15"/>
      <c r="AB30" s="3"/>
      <c r="AC30" s="3"/>
      <c r="AD30" s="3"/>
      <c r="AE30" s="3"/>
      <c r="AF30" s="129"/>
      <c r="AG30" s="120"/>
      <c r="AH30" s="120"/>
      <c r="AI30" s="3"/>
      <c r="AJ30" s="3"/>
      <c r="AK30" s="3"/>
      <c r="AL30" s="3"/>
      <c r="AM30" s="3"/>
      <c r="AN30" s="3"/>
      <c r="AO30" s="3"/>
    </row>
    <row r="31" spans="2:41" x14ac:dyDescent="0.25">
      <c r="B31" s="13"/>
      <c r="C31" s="6"/>
      <c r="D31" s="2"/>
      <c r="E31" s="35"/>
      <c r="F31" s="56"/>
      <c r="G31" s="6"/>
      <c r="H31" s="2"/>
      <c r="I31" s="35"/>
      <c r="J31" s="56"/>
      <c r="K31" s="14"/>
      <c r="L31" s="14"/>
      <c r="M31" s="14"/>
      <c r="N31" s="14"/>
      <c r="O31" s="16"/>
      <c r="P31" s="14"/>
      <c r="Q31" s="16"/>
      <c r="R31" s="16"/>
      <c r="S31" s="16"/>
      <c r="T31" s="16"/>
      <c r="U31" s="14"/>
      <c r="V31" s="14"/>
      <c r="W31" s="14"/>
      <c r="X31" s="14"/>
      <c r="Y31" s="14"/>
      <c r="Z31" s="14"/>
      <c r="AA31" s="15"/>
      <c r="AB31" s="3"/>
      <c r="AC31" s="3"/>
      <c r="AD31" s="3"/>
      <c r="AE31" s="3"/>
      <c r="AF31" s="129"/>
      <c r="AG31" s="120"/>
      <c r="AH31" s="120"/>
      <c r="AI31" s="3"/>
      <c r="AJ31" s="3"/>
      <c r="AK31" s="3"/>
      <c r="AL31" s="3"/>
      <c r="AM31" s="3"/>
      <c r="AN31" s="3"/>
      <c r="AO31" s="3"/>
    </row>
    <row r="32" spans="2:41" x14ac:dyDescent="0.25">
      <c r="B32" s="13"/>
      <c r="C32" s="6"/>
      <c r="D32" s="2"/>
      <c r="E32" s="35"/>
      <c r="F32" s="56"/>
      <c r="G32" s="6"/>
      <c r="H32" s="2"/>
      <c r="I32" s="35"/>
      <c r="J32" s="56"/>
      <c r="K32" s="14"/>
      <c r="L32" s="14"/>
      <c r="M32" s="14"/>
      <c r="N32" s="14"/>
      <c r="O32" s="16"/>
      <c r="P32" s="14"/>
      <c r="Q32" s="16"/>
      <c r="R32" s="16"/>
      <c r="S32" s="16"/>
      <c r="T32" s="16"/>
      <c r="U32" s="14"/>
      <c r="V32" s="14"/>
      <c r="W32" s="14"/>
      <c r="X32" s="14"/>
      <c r="Y32" s="14"/>
      <c r="Z32" s="14"/>
      <c r="AA32" s="15"/>
      <c r="AB32" s="3"/>
      <c r="AC32" s="3"/>
      <c r="AD32" s="3"/>
      <c r="AE32" s="3"/>
      <c r="AF32" s="129"/>
      <c r="AG32" s="120"/>
      <c r="AH32" s="120"/>
      <c r="AI32" s="3"/>
      <c r="AJ32" s="3"/>
      <c r="AK32" s="3"/>
      <c r="AL32" s="3"/>
      <c r="AM32" s="3"/>
      <c r="AN32" s="3"/>
      <c r="AO32" s="3"/>
    </row>
    <row r="33" spans="1:41" x14ac:dyDescent="0.25">
      <c r="B33" s="13"/>
      <c r="C33" s="36"/>
      <c r="D33" s="37"/>
      <c r="E33" s="38"/>
      <c r="F33" s="56"/>
      <c r="G33" s="36"/>
      <c r="H33" s="37"/>
      <c r="I33" s="38"/>
      <c r="J33" s="56"/>
      <c r="K33" s="14"/>
      <c r="L33" s="14"/>
      <c r="M33" s="14"/>
      <c r="N33" s="14"/>
      <c r="O33" s="16"/>
      <c r="P33" s="14"/>
      <c r="Q33" s="16"/>
      <c r="R33" s="16"/>
      <c r="S33" s="16"/>
      <c r="T33" s="16"/>
      <c r="U33" s="14"/>
      <c r="V33" s="14"/>
      <c r="W33" s="14"/>
      <c r="X33" s="14"/>
      <c r="Y33" s="14"/>
      <c r="Z33" s="14"/>
      <c r="AA33" s="15"/>
      <c r="AB33" s="3"/>
      <c r="AC33" s="3"/>
      <c r="AD33" s="3"/>
      <c r="AE33" s="3"/>
      <c r="AF33" s="129"/>
      <c r="AG33" s="120"/>
      <c r="AH33" s="120"/>
      <c r="AI33" s="3"/>
      <c r="AJ33" s="3"/>
      <c r="AK33" s="3"/>
      <c r="AL33" s="3"/>
      <c r="AM33" s="3"/>
      <c r="AN33" s="3"/>
      <c r="AO33" s="3"/>
    </row>
    <row r="34" spans="1:41" x14ac:dyDescent="0.25">
      <c r="B34" s="13"/>
      <c r="C34" s="14"/>
      <c r="D34" s="14"/>
      <c r="E34" s="14"/>
      <c r="F34" s="56"/>
      <c r="G34" s="14"/>
      <c r="H34" s="14"/>
      <c r="I34" s="14"/>
      <c r="J34" s="56"/>
      <c r="K34" s="14"/>
      <c r="L34" s="14"/>
      <c r="M34" s="14"/>
      <c r="N34" s="14"/>
      <c r="O34" s="16"/>
      <c r="P34" s="14"/>
      <c r="Q34" s="16"/>
      <c r="R34" s="16"/>
      <c r="S34" s="16"/>
      <c r="T34" s="16"/>
      <c r="U34" s="14"/>
      <c r="V34" s="14"/>
      <c r="W34" s="14"/>
      <c r="X34" s="14"/>
      <c r="Y34" s="14"/>
      <c r="Z34" s="14"/>
      <c r="AA34" s="15"/>
      <c r="AB34" s="3"/>
      <c r="AC34" s="3"/>
      <c r="AD34" s="3"/>
      <c r="AE34" s="3"/>
      <c r="AF34" s="129"/>
      <c r="AG34" s="120"/>
      <c r="AH34" s="120"/>
      <c r="AI34" s="3"/>
      <c r="AJ34" s="3"/>
      <c r="AK34" s="3"/>
      <c r="AL34" s="3"/>
      <c r="AM34" s="3"/>
      <c r="AN34" s="3"/>
      <c r="AO34" s="3"/>
    </row>
    <row r="35" spans="1:41" x14ac:dyDescent="0.25">
      <c r="B35" s="13"/>
      <c r="C35" s="39" t="s">
        <v>1</v>
      </c>
      <c r="D35" s="40"/>
      <c r="E35" s="41"/>
      <c r="F35" s="56"/>
      <c r="G35" s="39" t="s">
        <v>1</v>
      </c>
      <c r="H35" s="40"/>
      <c r="I35" s="41"/>
      <c r="J35" s="56"/>
      <c r="K35" s="14"/>
      <c r="L35" s="14"/>
      <c r="M35" s="14"/>
      <c r="N35" s="14"/>
      <c r="O35" s="16"/>
      <c r="P35" s="14"/>
      <c r="Q35" s="16"/>
      <c r="R35" s="16"/>
      <c r="S35" s="16"/>
      <c r="T35" s="16"/>
      <c r="U35" s="14"/>
      <c r="V35" s="14"/>
      <c r="W35" s="14"/>
      <c r="X35" s="14"/>
      <c r="Y35" s="14"/>
      <c r="Z35" s="14"/>
      <c r="AA35" s="15"/>
      <c r="AB35" s="3"/>
      <c r="AC35" s="3"/>
      <c r="AD35" s="3"/>
      <c r="AE35" s="3"/>
      <c r="AF35" s="129"/>
      <c r="AG35" s="120"/>
      <c r="AH35" s="120"/>
      <c r="AI35" s="3"/>
      <c r="AJ35" s="3"/>
      <c r="AK35" s="3"/>
      <c r="AL35" s="3"/>
      <c r="AM35" s="3"/>
      <c r="AN35" s="3"/>
      <c r="AO35" s="3"/>
    </row>
    <row r="36" spans="1:41" x14ac:dyDescent="0.25">
      <c r="B36" s="13"/>
      <c r="C36" s="14"/>
      <c r="D36" s="14"/>
      <c r="E36" s="14"/>
      <c r="F36" s="56"/>
      <c r="G36" s="14"/>
      <c r="H36" s="14"/>
      <c r="I36" s="14"/>
      <c r="J36" s="56"/>
      <c r="K36" s="14"/>
      <c r="L36" s="14"/>
      <c r="M36" s="14"/>
      <c r="N36" s="14"/>
      <c r="O36" s="16"/>
      <c r="P36" s="14"/>
      <c r="Q36" s="16"/>
      <c r="R36" s="16"/>
      <c r="S36" s="16"/>
      <c r="T36" s="16"/>
      <c r="U36" s="14"/>
      <c r="V36" s="14"/>
      <c r="W36" s="14"/>
      <c r="X36" s="14"/>
      <c r="Y36" s="14"/>
      <c r="Z36" s="14"/>
      <c r="AA36" s="15"/>
      <c r="AB36" s="3"/>
      <c r="AC36" s="3"/>
      <c r="AD36" s="3"/>
      <c r="AE36" s="3"/>
      <c r="AF36" s="129"/>
      <c r="AG36" s="120"/>
      <c r="AH36" s="120"/>
      <c r="AI36" s="3"/>
      <c r="AJ36" s="3"/>
      <c r="AK36" s="3"/>
      <c r="AL36" s="3"/>
      <c r="AM36" s="3"/>
      <c r="AN36" s="3"/>
      <c r="AO36" s="3"/>
    </row>
    <row r="37" spans="1:41" x14ac:dyDescent="0.25">
      <c r="A37" s="171"/>
      <c r="B37" s="13"/>
      <c r="C37" s="32" t="str">
        <f t="array" ref="C37:E40">Parameters!E103:G106</f>
        <v>Number of available wells at start of business case</v>
      </c>
      <c r="D37" s="1083" t="str">
        <v>-</v>
      </c>
      <c r="E37" s="34">
        <v>10</v>
      </c>
      <c r="F37" s="56"/>
      <c r="G37" s="32" t="str">
        <f t="array" ref="G37:I40">Parameters!E103:G106</f>
        <v>Number of available wells at start of business case</v>
      </c>
      <c r="H37" s="1083" t="str">
        <v>-</v>
      </c>
      <c r="I37" s="34">
        <v>10</v>
      </c>
      <c r="J37" s="56"/>
      <c r="K37" s="56"/>
      <c r="L37" s="56"/>
      <c r="M37" s="5"/>
      <c r="N37" s="56"/>
      <c r="O37" s="56"/>
      <c r="P37" s="14"/>
      <c r="Q37" s="14"/>
      <c r="R37" s="14"/>
      <c r="S37" s="14"/>
      <c r="T37" s="14"/>
      <c r="U37" s="14"/>
      <c r="V37" s="14"/>
      <c r="W37" s="14"/>
      <c r="X37" s="14"/>
      <c r="Y37" s="14"/>
      <c r="Z37" s="14"/>
      <c r="AA37" s="15"/>
      <c r="AB37" s="3"/>
      <c r="AC37" s="3"/>
      <c r="AD37" s="3"/>
      <c r="AE37" s="3"/>
      <c r="AF37" s="3"/>
      <c r="AG37" s="3"/>
      <c r="AH37" s="3"/>
      <c r="AI37" s="3"/>
      <c r="AJ37" s="3"/>
      <c r="AK37" s="3"/>
      <c r="AL37" s="3"/>
      <c r="AM37" s="3"/>
      <c r="AN37" s="3"/>
      <c r="AO37" s="3"/>
    </row>
    <row r="38" spans="1:41" x14ac:dyDescent="0.25">
      <c r="A38" s="171"/>
      <c r="B38" s="13"/>
      <c r="C38" s="6" t="str">
        <v>Number of required producing wells NG</v>
      </c>
      <c r="D38" s="175" t="str">
        <v>-</v>
      </c>
      <c r="E38" s="35">
        <v>10</v>
      </c>
      <c r="F38" s="56"/>
      <c r="G38" s="6" t="str">
        <v>Number of required producing wells NG</v>
      </c>
      <c r="H38" s="175" t="str">
        <v>-</v>
      </c>
      <c r="I38" s="35">
        <v>10</v>
      </c>
      <c r="J38" s="56"/>
      <c r="K38" s="56"/>
      <c r="L38" s="56"/>
      <c r="M38" s="5"/>
      <c r="N38" s="56"/>
      <c r="O38" s="56"/>
      <c r="P38" s="14"/>
      <c r="Q38" s="14"/>
      <c r="R38" s="14"/>
      <c r="S38" s="14"/>
      <c r="T38" s="14"/>
      <c r="U38" s="14"/>
      <c r="V38" s="14"/>
      <c r="W38" s="14"/>
      <c r="X38" s="14"/>
      <c r="Y38" s="14"/>
      <c r="Z38" s="14"/>
      <c r="AA38" s="15"/>
      <c r="AB38" s="3"/>
      <c r="AC38" s="3"/>
      <c r="AD38" s="3"/>
      <c r="AE38" s="3"/>
      <c r="AF38" s="3"/>
      <c r="AG38" s="3"/>
      <c r="AH38" s="3"/>
      <c r="AI38" s="3"/>
      <c r="AJ38" s="3"/>
      <c r="AK38" s="3"/>
      <c r="AL38" s="3"/>
      <c r="AM38" s="3"/>
      <c r="AN38" s="3"/>
      <c r="AO38" s="3"/>
    </row>
    <row r="39" spans="1:41" x14ac:dyDescent="0.25">
      <c r="A39" s="171"/>
      <c r="B39" s="13"/>
      <c r="C39" s="6" t="str">
        <v>Number of wells to be abbandonent at end phase</v>
      </c>
      <c r="D39" s="175" t="str">
        <v>-</v>
      </c>
      <c r="E39" s="35">
        <v>0</v>
      </c>
      <c r="F39" s="56"/>
      <c r="G39" s="6" t="str">
        <v>Number of wells to be abbandonent at end phase</v>
      </c>
      <c r="H39" s="175" t="str">
        <v>-</v>
      </c>
      <c r="I39" s="35">
        <v>0</v>
      </c>
      <c r="J39" s="56"/>
      <c r="K39" s="56"/>
      <c r="L39" s="56"/>
      <c r="M39" s="5"/>
      <c r="N39" s="56"/>
      <c r="O39" s="56"/>
      <c r="P39" s="14"/>
      <c r="Q39" s="14"/>
      <c r="R39" s="14"/>
      <c r="S39" s="14"/>
      <c r="T39" s="14"/>
      <c r="U39" s="14"/>
      <c r="V39" s="14"/>
      <c r="W39" s="14"/>
      <c r="X39" s="14"/>
      <c r="Y39" s="14"/>
      <c r="Z39" s="14"/>
      <c r="AA39" s="15"/>
      <c r="AB39" s="3"/>
      <c r="AC39" s="3"/>
      <c r="AD39" s="3"/>
      <c r="AE39" s="3"/>
      <c r="AF39" s="3"/>
      <c r="AG39" s="3"/>
      <c r="AH39" s="3"/>
      <c r="AI39" s="3"/>
      <c r="AJ39" s="3"/>
      <c r="AK39" s="3"/>
      <c r="AL39" s="3"/>
      <c r="AM39" s="3"/>
      <c r="AN39" s="3"/>
      <c r="AO39" s="3"/>
    </row>
    <row r="40" spans="1:41" x14ac:dyDescent="0.25">
      <c r="A40" s="171"/>
      <c r="B40" s="13"/>
      <c r="C40" s="6" t="str">
        <v>Amount of pipeline to be removed</v>
      </c>
      <c r="D40" s="175" t="str">
        <v>[km]</v>
      </c>
      <c r="E40" s="35">
        <v>0</v>
      </c>
      <c r="F40" s="56"/>
      <c r="G40" s="6" t="str">
        <v>Amount of pipeline to be removed</v>
      </c>
      <c r="H40" s="175" t="str">
        <v>[km]</v>
      </c>
      <c r="I40" s="35">
        <v>0</v>
      </c>
      <c r="J40" s="56"/>
      <c r="K40" s="56"/>
      <c r="L40" s="56"/>
      <c r="M40" s="5"/>
      <c r="N40" s="56"/>
      <c r="O40" s="56"/>
      <c r="P40" s="14"/>
      <c r="Q40" s="14"/>
      <c r="R40" s="14"/>
      <c r="S40" s="14"/>
      <c r="T40" s="14"/>
      <c r="U40" s="14"/>
      <c r="V40" s="14"/>
      <c r="W40" s="14"/>
      <c r="X40" s="14"/>
      <c r="Y40" s="14"/>
      <c r="Z40" s="14"/>
      <c r="AA40" s="15"/>
      <c r="AB40" s="3"/>
      <c r="AC40" s="3"/>
      <c r="AD40" s="3"/>
      <c r="AE40" s="3"/>
      <c r="AF40" s="3"/>
      <c r="AG40" s="3"/>
      <c r="AH40" s="3"/>
      <c r="AI40" s="3"/>
      <c r="AJ40" s="3"/>
      <c r="AK40" s="3"/>
      <c r="AL40" s="3"/>
      <c r="AM40" s="3"/>
      <c r="AN40" s="3"/>
      <c r="AO40" s="3"/>
    </row>
    <row r="41" spans="1:41" x14ac:dyDescent="0.25">
      <c r="A41" s="171"/>
      <c r="B41" s="13"/>
      <c r="C41" s="6" t="str">
        <f t="array" ref="C41:E41">Parameters!E57:G57</f>
        <v>End operations</v>
      </c>
      <c r="D41" s="175" t="str">
        <v>[y]</v>
      </c>
      <c r="E41" s="35">
        <v>2030</v>
      </c>
      <c r="F41" s="56"/>
      <c r="G41" s="6" t="str">
        <f t="array" ref="G41:I41">Parameters!E57:G57</f>
        <v>End operations</v>
      </c>
      <c r="H41" s="175" t="str">
        <v>[y]</v>
      </c>
      <c r="I41" s="35">
        <v>2030</v>
      </c>
      <c r="J41" s="56"/>
      <c r="K41" s="56"/>
      <c r="L41" s="56"/>
      <c r="M41" s="5"/>
      <c r="N41" s="56"/>
      <c r="O41" s="56"/>
      <c r="P41" s="14"/>
      <c r="Q41" s="14"/>
      <c r="R41" s="14"/>
      <c r="S41" s="14"/>
      <c r="T41" s="14"/>
      <c r="U41" s="14"/>
      <c r="V41" s="14"/>
      <c r="W41" s="14"/>
      <c r="X41" s="14"/>
      <c r="Y41" s="14"/>
      <c r="Z41" s="14"/>
      <c r="AA41" s="15"/>
      <c r="AB41" s="3"/>
      <c r="AC41" s="3"/>
      <c r="AD41" s="3"/>
      <c r="AE41" s="3"/>
      <c r="AF41" s="3"/>
      <c r="AG41" s="3"/>
      <c r="AH41" s="3"/>
      <c r="AI41" s="3"/>
      <c r="AJ41" s="3"/>
      <c r="AK41" s="3"/>
      <c r="AL41" s="3"/>
      <c r="AM41" s="3"/>
      <c r="AN41" s="3"/>
      <c r="AO41" s="3"/>
    </row>
    <row r="42" spans="1:41" x14ac:dyDescent="0.25">
      <c r="A42" s="171"/>
      <c r="B42" s="13"/>
      <c r="C42" s="6"/>
      <c r="D42" s="175"/>
      <c r="E42" s="35"/>
      <c r="F42" s="56"/>
      <c r="G42" s="6"/>
      <c r="H42" s="175"/>
      <c r="I42" s="35"/>
      <c r="J42" s="56"/>
      <c r="K42" s="56"/>
      <c r="L42" s="56"/>
      <c r="M42" s="5"/>
      <c r="N42" s="56"/>
      <c r="O42" s="56"/>
      <c r="P42" s="14"/>
      <c r="Q42" s="14"/>
      <c r="R42" s="14"/>
      <c r="S42" s="14"/>
      <c r="T42" s="14"/>
      <c r="U42" s="14"/>
      <c r="V42" s="14"/>
      <c r="W42" s="14"/>
      <c r="X42" s="14"/>
      <c r="Y42" s="14"/>
      <c r="Z42" s="14"/>
      <c r="AA42" s="15"/>
      <c r="AB42" s="3"/>
      <c r="AC42" s="3"/>
      <c r="AD42" s="3"/>
      <c r="AE42" s="3"/>
      <c r="AF42" s="3"/>
      <c r="AG42" s="3"/>
      <c r="AH42" s="3"/>
      <c r="AI42" s="3"/>
      <c r="AJ42" s="3"/>
      <c r="AK42" s="3"/>
      <c r="AL42" s="3"/>
      <c r="AM42" s="3"/>
      <c r="AN42" s="3"/>
      <c r="AO42" s="3"/>
    </row>
    <row r="43" spans="1:41" x14ac:dyDescent="0.25">
      <c r="A43" s="171"/>
      <c r="B43" s="13"/>
      <c r="C43" s="6"/>
      <c r="D43" s="175"/>
      <c r="E43" s="35"/>
      <c r="F43" s="56"/>
      <c r="G43" s="6"/>
      <c r="H43" s="175"/>
      <c r="I43" s="35"/>
      <c r="J43" s="56"/>
      <c r="K43" s="56"/>
      <c r="L43" s="56"/>
      <c r="M43" s="56"/>
      <c r="N43" s="56"/>
      <c r="O43" s="56"/>
      <c r="P43" s="14"/>
      <c r="Q43" s="14"/>
      <c r="R43" s="14"/>
      <c r="S43" s="14"/>
      <c r="T43" s="14"/>
      <c r="U43" s="14"/>
      <c r="V43" s="14"/>
      <c r="W43" s="14"/>
      <c r="X43" s="14"/>
      <c r="Y43" s="14"/>
      <c r="Z43" s="14"/>
      <c r="AA43" s="15"/>
      <c r="AB43" s="3"/>
      <c r="AC43" s="3"/>
      <c r="AD43" s="3"/>
      <c r="AE43" s="3"/>
      <c r="AF43" s="3"/>
      <c r="AG43" s="3"/>
      <c r="AH43" s="3"/>
      <c r="AI43" s="3"/>
      <c r="AJ43" s="3"/>
      <c r="AK43" s="3"/>
      <c r="AL43" s="3"/>
      <c r="AM43" s="3"/>
      <c r="AN43" s="3"/>
      <c r="AO43" s="3"/>
    </row>
    <row r="44" spans="1:41" x14ac:dyDescent="0.25">
      <c r="A44" s="171"/>
      <c r="B44" s="13"/>
      <c r="C44" s="6"/>
      <c r="D44" s="175"/>
      <c r="E44" s="35"/>
      <c r="F44" s="56"/>
      <c r="G44" s="6"/>
      <c r="H44" s="175"/>
      <c r="I44" s="35"/>
      <c r="J44" s="56"/>
      <c r="K44" s="56"/>
      <c r="L44" s="56"/>
      <c r="M44" s="56"/>
      <c r="N44" s="56"/>
      <c r="O44" s="56"/>
      <c r="P44" s="14"/>
      <c r="Q44" s="14"/>
      <c r="R44" s="14"/>
      <c r="S44" s="14"/>
      <c r="T44" s="14"/>
      <c r="U44" s="14"/>
      <c r="V44" s="14"/>
      <c r="W44" s="14"/>
      <c r="X44" s="14"/>
      <c r="Y44" s="14"/>
      <c r="Z44" s="14"/>
      <c r="AA44" s="15"/>
      <c r="AB44" s="3"/>
      <c r="AC44" s="3"/>
      <c r="AD44" s="3"/>
      <c r="AE44" s="3"/>
      <c r="AF44" s="3"/>
      <c r="AG44" s="3"/>
      <c r="AH44" s="3"/>
      <c r="AI44" s="3"/>
      <c r="AJ44" s="3"/>
      <c r="AK44" s="3"/>
      <c r="AL44" s="3"/>
      <c r="AM44" s="3"/>
      <c r="AN44" s="3"/>
      <c r="AO44" s="3"/>
    </row>
    <row r="45" spans="1:41" x14ac:dyDescent="0.25">
      <c r="A45" s="171"/>
      <c r="B45" s="13"/>
      <c r="C45" s="6"/>
      <c r="D45" s="175"/>
      <c r="E45" s="35"/>
      <c r="F45" s="56"/>
      <c r="G45" s="6"/>
      <c r="H45" s="175"/>
      <c r="I45" s="35"/>
      <c r="J45" s="56"/>
      <c r="K45" s="56"/>
      <c r="L45" s="56"/>
      <c r="M45" s="56"/>
      <c r="N45" s="56"/>
      <c r="O45" s="56"/>
      <c r="P45" s="14"/>
      <c r="Q45" s="14"/>
      <c r="R45" s="14"/>
      <c r="S45" s="14"/>
      <c r="T45" s="14"/>
      <c r="U45" s="14"/>
      <c r="V45" s="14"/>
      <c r="W45" s="14"/>
      <c r="X45" s="14"/>
      <c r="Y45" s="14"/>
      <c r="Z45" s="14"/>
      <c r="AA45" s="15"/>
      <c r="AB45" s="3"/>
      <c r="AC45" s="3"/>
      <c r="AD45" s="3"/>
      <c r="AE45" s="3"/>
      <c r="AF45" s="3"/>
      <c r="AG45" s="3"/>
      <c r="AH45" s="3"/>
      <c r="AI45" s="3"/>
      <c r="AJ45" s="3"/>
      <c r="AK45" s="3"/>
      <c r="AL45" s="3"/>
      <c r="AM45" s="3"/>
      <c r="AN45" s="3"/>
      <c r="AO45" s="3"/>
    </row>
    <row r="46" spans="1:41" x14ac:dyDescent="0.25">
      <c r="A46" s="171"/>
      <c r="B46" s="13"/>
      <c r="C46" s="36"/>
      <c r="D46" s="1085"/>
      <c r="E46" s="38"/>
      <c r="F46" s="56"/>
      <c r="G46" s="36"/>
      <c r="H46" s="1085"/>
      <c r="I46" s="38"/>
      <c r="J46" s="56"/>
      <c r="K46" s="56"/>
      <c r="L46" s="56"/>
      <c r="M46" s="56"/>
      <c r="N46" s="56"/>
      <c r="O46" s="56"/>
      <c r="P46" s="14"/>
      <c r="Q46" s="14"/>
      <c r="R46" s="14"/>
      <c r="S46" s="14"/>
      <c r="T46" s="14"/>
      <c r="U46" s="14"/>
      <c r="V46" s="14"/>
      <c r="W46" s="14"/>
      <c r="X46" s="14"/>
      <c r="Y46" s="14"/>
      <c r="Z46" s="14"/>
      <c r="AA46" s="15"/>
      <c r="AB46" s="3"/>
      <c r="AC46" s="3"/>
      <c r="AD46" s="3"/>
      <c r="AE46" s="3"/>
      <c r="AF46" s="3"/>
      <c r="AG46" s="3"/>
      <c r="AH46" s="3"/>
      <c r="AI46" s="3"/>
      <c r="AJ46" s="3"/>
      <c r="AK46" s="3"/>
      <c r="AL46" s="3"/>
      <c r="AM46" s="3"/>
      <c r="AN46" s="3"/>
      <c r="AO46" s="3"/>
    </row>
    <row r="47" spans="1:41" x14ac:dyDescent="0.25">
      <c r="A47" s="171"/>
      <c r="B47" s="13"/>
      <c r="C47" s="5"/>
      <c r="D47" s="5"/>
      <c r="E47" s="5"/>
      <c r="F47" s="14"/>
      <c r="G47" s="5"/>
      <c r="H47" s="5"/>
      <c r="I47" s="5"/>
      <c r="J47" s="14"/>
      <c r="K47" s="5"/>
      <c r="L47" s="5"/>
      <c r="M47" s="5"/>
      <c r="N47" s="14"/>
      <c r="O47" s="14"/>
      <c r="P47" s="14"/>
      <c r="Q47" s="14"/>
      <c r="R47" s="14"/>
      <c r="S47" s="14"/>
      <c r="T47" s="14"/>
      <c r="U47" s="14"/>
      <c r="V47" s="14"/>
      <c r="W47" s="14"/>
      <c r="X47" s="14"/>
      <c r="Y47" s="14"/>
      <c r="Z47" s="14"/>
      <c r="AA47" s="15"/>
      <c r="AB47" s="3"/>
      <c r="AC47" s="3"/>
      <c r="AD47" s="3"/>
      <c r="AE47" s="3"/>
      <c r="AF47" s="3"/>
      <c r="AG47" s="3"/>
      <c r="AH47" s="3"/>
      <c r="AI47" s="3"/>
      <c r="AJ47" s="3"/>
      <c r="AK47" s="3"/>
      <c r="AL47" s="3"/>
      <c r="AM47" s="3"/>
      <c r="AN47" s="3"/>
      <c r="AO47" s="3"/>
    </row>
    <row r="48" spans="1:41" x14ac:dyDescent="0.25">
      <c r="A48" s="171"/>
      <c r="B48" s="13"/>
      <c r="C48" s="39" t="s">
        <v>1570</v>
      </c>
      <c r="D48" s="40"/>
      <c r="E48" s="41"/>
      <c r="F48" s="14"/>
      <c r="G48" s="39" t="s">
        <v>1570</v>
      </c>
      <c r="H48" s="40"/>
      <c r="I48" s="41"/>
      <c r="J48" s="14"/>
      <c r="K48" s="5"/>
      <c r="L48" s="5"/>
      <c r="M48" s="5"/>
      <c r="N48" s="14"/>
      <c r="O48" s="14"/>
      <c r="P48" s="14"/>
      <c r="Q48" s="14"/>
      <c r="R48" s="14"/>
      <c r="S48" s="14"/>
      <c r="T48" s="14"/>
      <c r="U48" s="14"/>
      <c r="V48" s="14"/>
      <c r="W48" s="14"/>
      <c r="X48" s="14"/>
      <c r="Y48" s="14"/>
      <c r="Z48" s="14"/>
      <c r="AA48" s="15"/>
      <c r="AB48" s="3"/>
      <c r="AC48" s="3"/>
      <c r="AD48" s="3"/>
      <c r="AE48" s="3"/>
      <c r="AF48" s="3"/>
      <c r="AG48" s="3"/>
      <c r="AH48" s="3"/>
      <c r="AI48" s="3"/>
      <c r="AJ48" s="3"/>
      <c r="AK48" s="3"/>
      <c r="AL48" s="3"/>
      <c r="AM48" s="3"/>
      <c r="AN48" s="3"/>
      <c r="AO48" s="3"/>
    </row>
    <row r="49" spans="1:41" x14ac:dyDescent="0.25">
      <c r="A49" s="171"/>
      <c r="B49" s="13"/>
      <c r="C49" s="14"/>
      <c r="D49" s="14"/>
      <c r="E49" s="14"/>
      <c r="F49" s="14"/>
      <c r="G49" s="14"/>
      <c r="H49" s="14"/>
      <c r="I49" s="14"/>
      <c r="J49" s="14"/>
      <c r="K49" s="5"/>
      <c r="L49" s="5"/>
      <c r="M49" s="5"/>
      <c r="N49" s="14"/>
      <c r="O49" s="14"/>
      <c r="P49" s="14"/>
      <c r="Q49" s="14"/>
      <c r="R49" s="14"/>
      <c r="S49" s="14"/>
      <c r="T49" s="14"/>
      <c r="U49" s="14"/>
      <c r="V49" s="14"/>
      <c r="W49" s="14"/>
      <c r="X49" s="14"/>
      <c r="Y49" s="14"/>
      <c r="Z49" s="14"/>
      <c r="AA49" s="15"/>
      <c r="AB49" s="3"/>
      <c r="AC49" s="3"/>
      <c r="AD49" s="3"/>
      <c r="AE49" s="3"/>
      <c r="AF49" s="3"/>
      <c r="AG49" s="3"/>
      <c r="AH49" s="3"/>
      <c r="AI49" s="3"/>
      <c r="AJ49" s="3"/>
      <c r="AK49" s="3"/>
      <c r="AL49" s="3"/>
      <c r="AM49" s="3"/>
      <c r="AN49" s="3"/>
      <c r="AO49" s="3"/>
    </row>
    <row r="50" spans="1:41" x14ac:dyDescent="0.25">
      <c r="A50" s="171"/>
      <c r="B50" s="13"/>
      <c r="C50" s="32" t="s">
        <v>121</v>
      </c>
      <c r="D50" s="33"/>
      <c r="E50" s="34"/>
      <c r="F50" s="14"/>
      <c r="G50" s="32" t="s">
        <v>121</v>
      </c>
      <c r="H50" s="33"/>
      <c r="I50" s="34"/>
      <c r="J50" s="14"/>
      <c r="K50" s="5"/>
      <c r="L50" s="5"/>
      <c r="M50" s="5"/>
      <c r="N50" s="14"/>
      <c r="O50" s="14"/>
      <c r="P50" s="14"/>
      <c r="Q50" s="14"/>
      <c r="R50" s="14"/>
      <c r="S50" s="14"/>
      <c r="T50" s="14"/>
      <c r="U50" s="14"/>
      <c r="V50" s="14"/>
      <c r="W50" s="14"/>
      <c r="X50" s="14"/>
      <c r="Y50" s="14"/>
      <c r="Z50" s="14"/>
      <c r="AA50" s="15"/>
      <c r="AB50" s="3"/>
      <c r="AC50" s="3"/>
      <c r="AD50" s="3"/>
      <c r="AE50" s="3"/>
      <c r="AF50" s="3"/>
      <c r="AG50" s="3"/>
      <c r="AH50" s="3"/>
      <c r="AI50" s="3"/>
      <c r="AJ50" s="3"/>
      <c r="AK50" s="3"/>
      <c r="AL50" s="3"/>
      <c r="AM50" s="3"/>
      <c r="AN50" s="3"/>
      <c r="AO50" s="3"/>
    </row>
    <row r="51" spans="1:41" x14ac:dyDescent="0.25">
      <c r="A51" s="171"/>
      <c r="B51" s="13"/>
      <c r="C51" s="6"/>
      <c r="D51" s="348"/>
      <c r="E51" s="704"/>
      <c r="F51" s="14"/>
      <c r="G51" s="6"/>
      <c r="H51" s="348"/>
      <c r="I51" s="704"/>
      <c r="J51" s="14"/>
      <c r="K51" s="5"/>
      <c r="L51" s="5"/>
      <c r="M51" s="5"/>
      <c r="N51" s="14"/>
      <c r="O51" s="14"/>
      <c r="P51" s="14"/>
      <c r="Q51" s="14"/>
      <c r="R51" s="14"/>
      <c r="S51" s="14"/>
      <c r="T51" s="14"/>
      <c r="U51" s="14"/>
      <c r="V51" s="14"/>
      <c r="W51" s="14"/>
      <c r="X51" s="14"/>
      <c r="Y51" s="14"/>
      <c r="Z51" s="14"/>
      <c r="AA51" s="15"/>
      <c r="AB51" s="3"/>
      <c r="AC51" s="3"/>
      <c r="AD51" s="3"/>
      <c r="AE51" s="3"/>
      <c r="AF51" s="3"/>
      <c r="AG51" s="3"/>
      <c r="AH51" s="3"/>
      <c r="AI51" s="3"/>
      <c r="AJ51" s="3"/>
      <c r="AK51" s="3"/>
      <c r="AL51" s="3"/>
      <c r="AM51" s="3"/>
      <c r="AN51" s="3"/>
      <c r="AO51" s="3"/>
    </row>
    <row r="52" spans="1:41" x14ac:dyDescent="0.25">
      <c r="A52" s="171"/>
      <c r="B52" s="13"/>
      <c r="C52" s="6"/>
      <c r="D52" s="348"/>
      <c r="E52" s="705"/>
      <c r="F52" s="14"/>
      <c r="G52" s="6"/>
      <c r="H52" s="348"/>
      <c r="I52" s="705"/>
      <c r="J52" s="14"/>
      <c r="K52" s="5"/>
      <c r="L52" s="5"/>
      <c r="M52" s="5"/>
      <c r="N52" s="14"/>
      <c r="O52" s="14"/>
      <c r="P52" s="14"/>
      <c r="Q52" s="14"/>
      <c r="R52" s="14"/>
      <c r="S52" s="14"/>
      <c r="T52" s="14"/>
      <c r="U52" s="14"/>
      <c r="V52" s="14"/>
      <c r="W52" s="14"/>
      <c r="X52" s="14"/>
      <c r="Y52" s="14"/>
      <c r="Z52" s="14"/>
      <c r="AA52" s="15"/>
      <c r="AB52" s="3"/>
      <c r="AC52" s="3"/>
      <c r="AD52" s="3"/>
      <c r="AE52" s="3"/>
      <c r="AF52" s="3"/>
      <c r="AG52" s="3"/>
      <c r="AH52" s="3"/>
      <c r="AI52" s="3"/>
      <c r="AJ52" s="3"/>
      <c r="AK52" s="3"/>
      <c r="AL52" s="3"/>
      <c r="AM52" s="3"/>
      <c r="AN52" s="3"/>
      <c r="AO52" s="3"/>
    </row>
    <row r="53" spans="1:41" x14ac:dyDescent="0.25">
      <c r="A53" s="171"/>
      <c r="B53" s="13"/>
      <c r="C53" s="6"/>
      <c r="D53" s="348"/>
      <c r="E53" s="706"/>
      <c r="F53" s="14"/>
      <c r="G53" s="6"/>
      <c r="H53" s="348"/>
      <c r="I53" s="706"/>
      <c r="J53" s="14"/>
      <c r="K53" s="5"/>
      <c r="L53" s="5"/>
      <c r="M53" s="5"/>
      <c r="N53" s="14"/>
      <c r="O53" s="14"/>
      <c r="P53" s="14"/>
      <c r="Q53" s="14"/>
      <c r="R53" s="14"/>
      <c r="S53" s="14"/>
      <c r="T53" s="14"/>
      <c r="U53" s="14"/>
      <c r="V53" s="14"/>
      <c r="W53" s="14"/>
      <c r="X53" s="14"/>
      <c r="Y53" s="14"/>
      <c r="Z53" s="14"/>
      <c r="AA53" s="15"/>
      <c r="AB53" s="3"/>
      <c r="AC53" s="3"/>
      <c r="AD53" s="3"/>
      <c r="AE53" s="3"/>
      <c r="AF53" s="3"/>
      <c r="AG53" s="3"/>
      <c r="AH53" s="3"/>
      <c r="AI53" s="3"/>
      <c r="AJ53" s="3"/>
      <c r="AK53" s="3"/>
      <c r="AL53" s="3"/>
      <c r="AM53" s="3"/>
      <c r="AN53" s="3"/>
      <c r="AO53" s="3"/>
    </row>
    <row r="54" spans="1:41" x14ac:dyDescent="0.25">
      <c r="A54" s="171"/>
      <c r="B54" s="13"/>
      <c r="C54" s="6"/>
      <c r="D54" s="348"/>
      <c r="E54" s="1086"/>
      <c r="F54" s="14"/>
      <c r="G54" s="6"/>
      <c r="H54" s="348"/>
      <c r="I54" s="1086"/>
      <c r="J54" s="14"/>
      <c r="K54" s="5"/>
      <c r="L54" s="5"/>
      <c r="M54" s="5"/>
      <c r="N54" s="14"/>
      <c r="O54" s="14"/>
      <c r="P54" s="14"/>
      <c r="Q54" s="14"/>
      <c r="R54" s="14"/>
      <c r="S54" s="14"/>
      <c r="T54" s="14"/>
      <c r="U54" s="14"/>
      <c r="V54" s="14"/>
      <c r="W54" s="14"/>
      <c r="X54" s="14"/>
      <c r="Y54" s="14"/>
      <c r="Z54" s="14"/>
      <c r="AA54" s="15"/>
      <c r="AB54" s="3"/>
      <c r="AC54" s="3"/>
      <c r="AD54" s="3"/>
      <c r="AE54" s="3"/>
      <c r="AF54" s="3"/>
      <c r="AG54" s="3"/>
      <c r="AH54" s="3"/>
      <c r="AI54" s="3"/>
      <c r="AJ54" s="3"/>
      <c r="AK54" s="3"/>
      <c r="AL54" s="3"/>
      <c r="AM54" s="3"/>
      <c r="AN54" s="3"/>
      <c r="AO54" s="3"/>
    </row>
    <row r="55" spans="1:41" x14ac:dyDescent="0.25">
      <c r="A55" s="171"/>
      <c r="B55" s="13"/>
      <c r="C55" s="6"/>
      <c r="D55" s="291"/>
      <c r="E55" s="1086"/>
      <c r="F55" s="14"/>
      <c r="G55" s="6"/>
      <c r="H55" s="291"/>
      <c r="I55" s="1086"/>
      <c r="J55" s="14"/>
      <c r="K55" s="5"/>
      <c r="L55" s="5"/>
      <c r="M55" s="5"/>
      <c r="N55" s="14"/>
      <c r="O55" s="14"/>
      <c r="P55" s="14"/>
      <c r="Q55" s="14"/>
      <c r="R55" s="14"/>
      <c r="S55" s="14"/>
      <c r="T55" s="14"/>
      <c r="U55" s="14"/>
      <c r="V55" s="14"/>
      <c r="W55" s="14"/>
      <c r="X55" s="14"/>
      <c r="Y55" s="14"/>
      <c r="Z55" s="14"/>
      <c r="AA55" s="15"/>
      <c r="AB55" s="3"/>
      <c r="AC55" s="3"/>
      <c r="AD55" s="3"/>
      <c r="AE55" s="3"/>
      <c r="AF55" s="3"/>
      <c r="AG55" s="3"/>
      <c r="AH55" s="3"/>
      <c r="AI55" s="3"/>
      <c r="AJ55" s="3"/>
      <c r="AK55" s="3"/>
      <c r="AL55" s="3"/>
      <c r="AM55" s="3"/>
      <c r="AN55" s="3"/>
      <c r="AO55" s="3"/>
    </row>
    <row r="56" spans="1:41" x14ac:dyDescent="0.25">
      <c r="A56" s="171"/>
      <c r="B56" s="13"/>
      <c r="C56" s="36"/>
      <c r="D56" s="37"/>
      <c r="E56" s="1087"/>
      <c r="F56" s="14"/>
      <c r="G56" s="36"/>
      <c r="H56" s="37"/>
      <c r="I56" s="1087"/>
      <c r="J56" s="14"/>
      <c r="K56" s="5"/>
      <c r="L56" s="5"/>
      <c r="M56" s="5"/>
      <c r="N56" s="14"/>
      <c r="O56" s="14"/>
      <c r="P56" s="14"/>
      <c r="Q56" s="14"/>
      <c r="R56" s="14"/>
      <c r="S56" s="14"/>
      <c r="T56" s="14"/>
      <c r="U56" s="14"/>
      <c r="V56" s="14"/>
      <c r="W56" s="14"/>
      <c r="X56" s="14"/>
      <c r="Y56" s="14"/>
      <c r="Z56" s="14"/>
      <c r="AA56" s="15"/>
      <c r="AB56" s="3"/>
      <c r="AC56" s="3"/>
      <c r="AD56" s="3"/>
      <c r="AE56" s="3"/>
      <c r="AF56" s="3"/>
      <c r="AG56" s="3"/>
      <c r="AH56" s="3"/>
      <c r="AI56" s="3"/>
      <c r="AJ56" s="3"/>
      <c r="AK56" s="3"/>
      <c r="AL56" s="3"/>
      <c r="AM56" s="3"/>
      <c r="AN56" s="3"/>
      <c r="AO56" s="3"/>
    </row>
    <row r="57" spans="1:41" ht="18.75" x14ac:dyDescent="0.3">
      <c r="A57" s="171"/>
      <c r="B57" s="67"/>
      <c r="C57" s="5"/>
      <c r="D57" s="5"/>
      <c r="E57" s="5"/>
      <c r="F57" s="5"/>
      <c r="G57" s="5"/>
      <c r="H57" s="5"/>
      <c r="I57" s="5"/>
      <c r="J57" s="14"/>
      <c r="K57" s="14"/>
      <c r="L57" s="14"/>
      <c r="M57" s="14"/>
      <c r="N57" s="14"/>
      <c r="O57" s="14"/>
      <c r="P57" s="14"/>
      <c r="Q57" s="14"/>
      <c r="R57" s="14"/>
      <c r="S57" s="14"/>
      <c r="T57" s="14"/>
      <c r="U57" s="14"/>
      <c r="V57" s="14"/>
      <c r="W57" s="14"/>
      <c r="X57" s="14"/>
      <c r="Y57" s="14"/>
      <c r="Z57" s="14"/>
      <c r="AA57" s="15"/>
      <c r="AB57" s="3"/>
      <c r="AC57" s="3"/>
      <c r="AD57" s="3"/>
      <c r="AE57" s="3"/>
      <c r="AF57" s="3"/>
      <c r="AG57" s="3"/>
      <c r="AH57" s="3"/>
      <c r="AI57" s="3"/>
      <c r="AJ57" s="3"/>
      <c r="AK57" s="3"/>
      <c r="AL57" s="3"/>
      <c r="AM57" s="3"/>
      <c r="AN57" s="3"/>
      <c r="AO57" s="3"/>
    </row>
    <row r="58" spans="1:41" x14ac:dyDescent="0.25">
      <c r="A58" s="171"/>
      <c r="B58" s="13"/>
      <c r="C58" s="39" t="s">
        <v>1571</v>
      </c>
      <c r="D58" s="40"/>
      <c r="E58" s="41"/>
      <c r="F58" s="5"/>
      <c r="G58" s="39" t="s">
        <v>1571</v>
      </c>
      <c r="H58" s="40"/>
      <c r="I58" s="41"/>
      <c r="J58" s="14"/>
      <c r="K58" s="14"/>
      <c r="L58" s="14"/>
      <c r="M58" s="14"/>
      <c r="N58" s="14"/>
      <c r="O58" s="14"/>
      <c r="P58" s="14"/>
      <c r="Q58" s="14"/>
      <c r="R58" s="14"/>
      <c r="S58" s="14"/>
      <c r="T58" s="14"/>
      <c r="U58" s="14"/>
      <c r="V58" s="14"/>
      <c r="W58" s="14"/>
      <c r="X58" s="14"/>
      <c r="Y58" s="14"/>
      <c r="Z58" s="14"/>
      <c r="AA58" s="15"/>
      <c r="AB58" s="3"/>
      <c r="AC58" s="3"/>
      <c r="AD58" s="3"/>
      <c r="AE58" s="3"/>
      <c r="AF58" s="3"/>
      <c r="AG58" s="3"/>
      <c r="AH58" s="3"/>
      <c r="AI58" s="3"/>
      <c r="AJ58" s="3"/>
      <c r="AK58" s="3"/>
      <c r="AL58" s="3"/>
      <c r="AM58" s="3"/>
      <c r="AN58" s="3"/>
      <c r="AO58" s="3"/>
    </row>
    <row r="59" spans="1:41" x14ac:dyDescent="0.25">
      <c r="A59" s="171"/>
      <c r="B59" s="13"/>
      <c r="C59" s="14"/>
      <c r="D59" s="14"/>
      <c r="E59" s="14"/>
      <c r="F59" s="158"/>
      <c r="G59" s="14"/>
      <c r="H59" s="14"/>
      <c r="I59" s="14"/>
      <c r="J59" s="14"/>
      <c r="K59" s="14"/>
      <c r="L59" s="14"/>
      <c r="M59" s="14"/>
      <c r="N59" s="14"/>
      <c r="O59" s="14"/>
      <c r="P59" s="14"/>
      <c r="Q59" s="14"/>
      <c r="R59" s="14"/>
      <c r="S59" s="14"/>
      <c r="T59" s="14"/>
      <c r="U59" s="14"/>
      <c r="V59" s="14"/>
      <c r="W59" s="14"/>
      <c r="X59" s="14"/>
      <c r="Y59" s="14"/>
      <c r="Z59" s="14"/>
      <c r="AA59" s="15"/>
      <c r="AB59" s="3"/>
      <c r="AC59" s="3"/>
      <c r="AD59" s="3"/>
      <c r="AE59" s="3"/>
      <c r="AF59" s="3"/>
      <c r="AG59" s="3"/>
      <c r="AH59" s="3"/>
      <c r="AI59" s="3"/>
      <c r="AJ59" s="3"/>
      <c r="AK59" s="3"/>
      <c r="AL59" s="3"/>
      <c r="AM59" s="3"/>
      <c r="AN59" s="3"/>
      <c r="AO59" s="3"/>
    </row>
    <row r="60" spans="1:41" x14ac:dyDescent="0.25">
      <c r="A60" s="171"/>
      <c r="B60" s="13"/>
      <c r="C60" s="32" t="s">
        <v>121</v>
      </c>
      <c r="D60" s="33"/>
      <c r="E60" s="34">
        <f>E41</f>
        <v>2030</v>
      </c>
      <c r="F60" s="158" t="s">
        <v>1699</v>
      </c>
      <c r="G60" s="32" t="s">
        <v>121</v>
      </c>
      <c r="H60" s="33"/>
      <c r="I60" s="34">
        <f>I41</f>
        <v>2030</v>
      </c>
      <c r="J60" s="14"/>
      <c r="K60" s="14"/>
      <c r="L60" s="14"/>
      <c r="M60" s="14"/>
      <c r="N60" s="14"/>
      <c r="O60" s="14"/>
      <c r="P60" s="14"/>
      <c r="Q60" s="14"/>
      <c r="R60" s="14"/>
      <c r="S60" s="14"/>
      <c r="T60" s="14"/>
      <c r="U60" s="14"/>
      <c r="V60" s="14"/>
      <c r="W60" s="14"/>
      <c r="X60" s="14"/>
      <c r="Y60" s="14"/>
      <c r="Z60" s="14"/>
      <c r="AA60" s="15"/>
      <c r="AB60" s="3"/>
      <c r="AC60" s="3"/>
      <c r="AD60" s="3"/>
      <c r="AE60" s="3"/>
      <c r="AF60" s="3"/>
      <c r="AG60" s="3"/>
      <c r="AH60" s="3"/>
      <c r="AI60" s="3"/>
      <c r="AJ60" s="3"/>
      <c r="AK60" s="3"/>
      <c r="AL60" s="3"/>
      <c r="AM60" s="3"/>
      <c r="AN60" s="3"/>
      <c r="AO60" s="3"/>
    </row>
    <row r="61" spans="1:41" x14ac:dyDescent="0.25">
      <c r="A61" s="171"/>
      <c r="B61" s="13"/>
      <c r="C61" s="6" t="s">
        <v>1572</v>
      </c>
      <c r="D61" s="348" t="s">
        <v>1573</v>
      </c>
      <c r="E61" s="1174">
        <f>IF(E8,E15*(E27+E28),0)/1000</f>
        <v>0</v>
      </c>
      <c r="F61" s="159"/>
      <c r="G61" s="6" t="s">
        <v>1572</v>
      </c>
      <c r="H61" s="348" t="s">
        <v>1573</v>
      </c>
      <c r="I61" s="1174">
        <f>IF(I8,I15*(I27+I28),0)/1000</f>
        <v>32737.608</v>
      </c>
      <c r="J61" s="14"/>
      <c r="K61" s="14"/>
      <c r="L61" s="14"/>
      <c r="M61" s="14"/>
      <c r="N61" s="14"/>
      <c r="O61" s="14"/>
      <c r="P61" s="14"/>
      <c r="Q61" s="14"/>
      <c r="R61" s="14"/>
      <c r="S61" s="14"/>
      <c r="T61" s="14"/>
      <c r="U61" s="14"/>
      <c r="V61" s="14"/>
      <c r="W61" s="14"/>
      <c r="X61" s="14"/>
      <c r="Y61" s="14"/>
      <c r="Z61" s="14"/>
      <c r="AA61" s="15"/>
      <c r="AB61" s="3"/>
      <c r="AC61" s="3"/>
      <c r="AD61" s="3"/>
      <c r="AE61" s="3"/>
      <c r="AF61" s="3"/>
      <c r="AG61" s="3"/>
      <c r="AH61" s="3"/>
      <c r="AI61" s="3"/>
      <c r="AJ61" s="3"/>
      <c r="AK61" s="3"/>
      <c r="AL61" s="3"/>
      <c r="AM61" s="3"/>
      <c r="AN61" s="3"/>
      <c r="AO61" s="3"/>
    </row>
    <row r="62" spans="1:41" x14ac:dyDescent="0.25">
      <c r="A62" s="171"/>
      <c r="B62" s="13"/>
      <c r="C62" s="6" t="s">
        <v>1574</v>
      </c>
      <c r="D62" s="348" t="s">
        <v>1573</v>
      </c>
      <c r="E62" s="1174">
        <f>IF(E9,E16*E39,0)/1000</f>
        <v>0</v>
      </c>
      <c r="F62" s="185"/>
      <c r="G62" s="6" t="s">
        <v>1574</v>
      </c>
      <c r="H62" s="348" t="s">
        <v>1573</v>
      </c>
      <c r="I62" s="1174">
        <f>IF(I9,I16*I39,0)/1000</f>
        <v>0</v>
      </c>
      <c r="J62" s="14"/>
      <c r="K62" s="14"/>
      <c r="L62" s="14"/>
      <c r="M62" s="14"/>
      <c r="N62" s="14"/>
      <c r="O62" s="14"/>
      <c r="P62" s="14"/>
      <c r="Q62" s="14"/>
      <c r="R62" s="14"/>
      <c r="S62" s="14"/>
      <c r="T62" s="14"/>
      <c r="U62" s="14"/>
      <c r="V62" s="14"/>
      <c r="W62" s="14"/>
      <c r="X62" s="14"/>
      <c r="Y62" s="14"/>
      <c r="Z62" s="14"/>
      <c r="AA62" s="15"/>
      <c r="AB62" s="3"/>
      <c r="AC62" s="3"/>
      <c r="AD62" s="3"/>
      <c r="AE62" s="3"/>
      <c r="AF62" s="3"/>
      <c r="AG62" s="3"/>
      <c r="AH62" s="3"/>
      <c r="AI62" s="3"/>
      <c r="AJ62" s="3"/>
      <c r="AK62" s="3"/>
      <c r="AL62" s="3"/>
      <c r="AM62" s="3"/>
      <c r="AN62" s="3"/>
      <c r="AO62" s="3"/>
    </row>
    <row r="63" spans="1:41" x14ac:dyDescent="0.25">
      <c r="A63" s="171"/>
      <c r="B63" s="13"/>
      <c r="C63" s="6" t="s">
        <v>1575</v>
      </c>
      <c r="D63" s="348" t="s">
        <v>1573</v>
      </c>
      <c r="E63" s="115">
        <f>IF(E10,E17*E40,0)/1000</f>
        <v>0</v>
      </c>
      <c r="F63" s="134"/>
      <c r="G63" s="6" t="s">
        <v>1575</v>
      </c>
      <c r="H63" s="348" t="s">
        <v>1573</v>
      </c>
      <c r="I63" s="115">
        <f>IF(I10,I17*I40,0)/1000</f>
        <v>0</v>
      </c>
      <c r="J63" s="14"/>
      <c r="K63" s="14"/>
      <c r="L63" s="14"/>
      <c r="M63" s="14"/>
      <c r="N63" s="14"/>
      <c r="O63" s="14"/>
      <c r="P63" s="14"/>
      <c r="Q63" s="14"/>
      <c r="R63" s="14"/>
      <c r="S63" s="14"/>
      <c r="T63" s="14"/>
      <c r="U63" s="14"/>
      <c r="V63" s="14"/>
      <c r="W63" s="14"/>
      <c r="X63" s="14"/>
      <c r="Y63" s="14"/>
      <c r="Z63" s="14"/>
      <c r="AA63" s="15"/>
      <c r="AB63" s="3"/>
      <c r="AC63" s="3"/>
      <c r="AD63" s="3"/>
      <c r="AE63" s="3"/>
      <c r="AF63" s="3"/>
      <c r="AG63" s="3"/>
      <c r="AH63" s="3"/>
      <c r="AI63" s="3"/>
      <c r="AJ63" s="3"/>
      <c r="AK63" s="3"/>
      <c r="AL63" s="3"/>
      <c r="AM63" s="3"/>
      <c r="AN63" s="3"/>
      <c r="AO63" s="3"/>
    </row>
    <row r="64" spans="1:41" ht="18.75" x14ac:dyDescent="0.3">
      <c r="A64" s="171"/>
      <c r="B64" s="67"/>
      <c r="C64" s="6" t="str">
        <f>C18</f>
        <v>Onshore disposal, remidiation and monitoring</v>
      </c>
      <c r="D64" s="348" t="s">
        <v>1573</v>
      </c>
      <c r="E64" s="1174">
        <f>E61*(E18/E20)+E62*(E18/E21)+E63*(E18/E22)</f>
        <v>0</v>
      </c>
      <c r="F64" s="1209"/>
      <c r="G64" s="6" t="str">
        <f>G18</f>
        <v>Onshore disposal, remidiation and monitoring</v>
      </c>
      <c r="H64" s="348" t="s">
        <v>1573</v>
      </c>
      <c r="I64" s="1174">
        <f>I61*(I18/I20)+I62*(I18/I21)+I63*(I18/I22)</f>
        <v>3117.8674285714283</v>
      </c>
      <c r="J64" s="14"/>
      <c r="K64" s="14"/>
      <c r="L64" s="14"/>
      <c r="M64" s="14"/>
      <c r="N64" s="14"/>
      <c r="O64" s="14"/>
      <c r="P64" s="14"/>
      <c r="Q64" s="14"/>
      <c r="R64" s="14"/>
      <c r="S64" s="14"/>
      <c r="T64" s="14"/>
      <c r="U64" s="14"/>
      <c r="V64" s="14"/>
      <c r="W64" s="14"/>
      <c r="X64" s="14"/>
      <c r="Y64" s="14"/>
      <c r="Z64" s="14"/>
      <c r="AA64" s="15"/>
      <c r="AB64" s="3"/>
      <c r="AC64" s="3"/>
      <c r="AD64" s="3"/>
      <c r="AE64" s="3"/>
      <c r="AF64" s="3"/>
      <c r="AG64" s="3"/>
      <c r="AH64" s="3"/>
      <c r="AI64" s="3"/>
      <c r="AJ64" s="3"/>
      <c r="AK64" s="3"/>
      <c r="AL64" s="3"/>
      <c r="AM64" s="3"/>
      <c r="AN64" s="3"/>
      <c r="AO64" s="3"/>
    </row>
    <row r="65" spans="1:41" x14ac:dyDescent="0.25">
      <c r="A65" s="171"/>
      <c r="B65" s="13"/>
      <c r="C65" s="6" t="str">
        <f>C19</f>
        <v>Project managment and facility running cost</v>
      </c>
      <c r="D65" s="291" t="s">
        <v>1573</v>
      </c>
      <c r="E65" s="1174">
        <f>E61*(E19/E20)+E62*(E19/E21)+E63*(E19/E22)</f>
        <v>0</v>
      </c>
      <c r="F65" s="92"/>
      <c r="G65" s="6" t="str">
        <f>G19</f>
        <v>Project managment and facility running cost</v>
      </c>
      <c r="H65" s="291" t="s">
        <v>1573</v>
      </c>
      <c r="I65" s="1174">
        <f>I61*(I19/I20)+I62*(I19/I21)+I63*(I19/I22)</f>
        <v>24942.939428571426</v>
      </c>
      <c r="J65" s="14"/>
      <c r="K65" s="14"/>
      <c r="L65" s="14"/>
      <c r="M65" s="14"/>
      <c r="N65" s="14"/>
      <c r="O65" s="14"/>
      <c r="P65" s="14"/>
      <c r="Q65" s="14"/>
      <c r="R65" s="14"/>
      <c r="S65" s="14"/>
      <c r="T65" s="14"/>
      <c r="U65" s="14"/>
      <c r="V65" s="14"/>
      <c r="W65" s="14"/>
      <c r="X65" s="14"/>
      <c r="Y65" s="14"/>
      <c r="Z65" s="14"/>
      <c r="AA65" s="15"/>
      <c r="AB65" s="3"/>
      <c r="AC65" s="3"/>
      <c r="AD65" s="3"/>
      <c r="AE65" s="3"/>
      <c r="AF65" s="3"/>
      <c r="AG65" s="3"/>
      <c r="AH65" s="3"/>
      <c r="AI65" s="3"/>
      <c r="AJ65" s="3"/>
      <c r="AK65" s="3"/>
      <c r="AL65" s="3"/>
      <c r="AM65" s="3"/>
      <c r="AN65" s="3"/>
      <c r="AO65" s="3"/>
    </row>
    <row r="66" spans="1:41" x14ac:dyDescent="0.25">
      <c r="A66" s="171"/>
      <c r="B66" s="13"/>
      <c r="C66" s="36" t="s">
        <v>1705</v>
      </c>
      <c r="D66" s="37" t="s">
        <v>1573</v>
      </c>
      <c r="E66" s="1210"/>
      <c r="F66" s="92">
        <f>SUM(E61:E65)</f>
        <v>0</v>
      </c>
      <c r="G66" s="36" t="s">
        <v>1705</v>
      </c>
      <c r="H66" s="37" t="s">
        <v>1573</v>
      </c>
      <c r="I66" s="1175">
        <f>SUM(I61:I65)</f>
        <v>60798.414857142852</v>
      </c>
      <c r="J66" s="14"/>
      <c r="K66" s="14"/>
      <c r="L66" s="14"/>
      <c r="M66" s="14"/>
      <c r="N66" s="14"/>
      <c r="O66" s="14"/>
      <c r="P66" s="14"/>
      <c r="Q66" s="14"/>
      <c r="R66" s="14"/>
      <c r="S66" s="14"/>
      <c r="T66" s="14"/>
      <c r="U66" s="14"/>
      <c r="V66" s="14"/>
      <c r="W66" s="14"/>
      <c r="X66" s="14"/>
      <c r="Y66" s="14"/>
      <c r="Z66" s="14"/>
      <c r="AA66" s="15"/>
      <c r="AB66" s="3"/>
      <c r="AC66" s="3"/>
      <c r="AD66" s="3"/>
      <c r="AE66" s="3"/>
      <c r="AF66" s="3"/>
      <c r="AG66" s="3"/>
      <c r="AH66" s="3"/>
      <c r="AI66" s="3"/>
      <c r="AJ66" s="3"/>
      <c r="AK66" s="3"/>
      <c r="AL66" s="3"/>
      <c r="AM66" s="3"/>
      <c r="AN66" s="3"/>
      <c r="AO66" s="3"/>
    </row>
    <row r="67" spans="1:41" x14ac:dyDescent="0.25">
      <c r="A67" s="171"/>
      <c r="B67" s="13"/>
      <c r="C67" s="14"/>
      <c r="D67" s="14"/>
      <c r="E67" s="14"/>
      <c r="F67" s="14"/>
      <c r="G67" s="14"/>
      <c r="H67" s="14"/>
      <c r="I67" s="14"/>
      <c r="J67" s="14"/>
      <c r="K67" s="14"/>
      <c r="L67" s="14"/>
      <c r="M67" s="14"/>
      <c r="N67" s="14"/>
      <c r="O67" s="14"/>
      <c r="P67" s="14"/>
      <c r="Q67" s="14"/>
      <c r="R67" s="14"/>
      <c r="S67" s="14"/>
      <c r="T67" s="14"/>
      <c r="U67" s="14"/>
      <c r="V67" s="14"/>
      <c r="W67" s="14"/>
      <c r="X67" s="14"/>
      <c r="Y67" s="14"/>
      <c r="Z67" s="14"/>
      <c r="AA67" s="15"/>
      <c r="AB67" s="3"/>
      <c r="AC67" s="3"/>
      <c r="AD67" s="3"/>
      <c r="AE67" s="3"/>
      <c r="AF67" s="3"/>
      <c r="AG67" s="3"/>
      <c r="AH67" s="3"/>
      <c r="AI67" s="3"/>
      <c r="AJ67" s="3"/>
      <c r="AK67" s="3"/>
      <c r="AL67" s="3"/>
      <c r="AM67" s="3"/>
      <c r="AN67" s="3"/>
      <c r="AO67" s="3"/>
    </row>
    <row r="68" spans="1:41" x14ac:dyDescent="0.25">
      <c r="A68" s="171"/>
      <c r="B68" s="13"/>
      <c r="C68" s="14"/>
      <c r="D68" s="14"/>
      <c r="E68" s="14"/>
      <c r="F68" s="14"/>
      <c r="G68" s="14"/>
      <c r="H68" s="14"/>
      <c r="I68" s="14"/>
      <c r="J68" s="14"/>
      <c r="K68" s="14"/>
      <c r="L68" s="14"/>
      <c r="M68" s="14"/>
      <c r="N68" s="14"/>
      <c r="O68" s="14"/>
      <c r="P68" s="14"/>
      <c r="Q68" s="14"/>
      <c r="R68" s="14"/>
      <c r="S68" s="14"/>
      <c r="T68" s="14"/>
      <c r="U68" s="14"/>
      <c r="V68" s="14"/>
      <c r="W68" s="14"/>
      <c r="X68" s="14"/>
      <c r="Y68" s="14"/>
      <c r="Z68" s="14"/>
      <c r="AA68" s="15"/>
      <c r="AB68" s="3"/>
      <c r="AC68" s="3"/>
      <c r="AD68" s="3"/>
      <c r="AE68" s="3"/>
      <c r="AF68" s="3"/>
      <c r="AG68" s="3"/>
      <c r="AH68" s="3"/>
      <c r="AI68" s="3"/>
      <c r="AJ68" s="3"/>
      <c r="AK68" s="3"/>
      <c r="AL68" s="3"/>
      <c r="AM68" s="3"/>
      <c r="AN68" s="3"/>
      <c r="AO68" s="3"/>
    </row>
    <row r="69" spans="1:41" x14ac:dyDescent="0.25">
      <c r="A69" s="171"/>
      <c r="B69" s="13"/>
      <c r="C69" s="14"/>
      <c r="D69" s="14"/>
      <c r="E69" s="14"/>
      <c r="F69" s="14"/>
      <c r="G69" s="14"/>
      <c r="H69" s="14"/>
      <c r="I69" s="14"/>
      <c r="J69" s="14"/>
      <c r="K69" s="14"/>
      <c r="L69" s="14"/>
      <c r="M69" s="14"/>
      <c r="N69" s="14"/>
      <c r="O69" s="14"/>
      <c r="P69" s="14"/>
      <c r="Q69" s="14"/>
      <c r="R69" s="14"/>
      <c r="S69" s="14"/>
      <c r="T69" s="14"/>
      <c r="U69" s="14"/>
      <c r="V69" s="14"/>
      <c r="W69" s="14"/>
      <c r="X69" s="14"/>
      <c r="Y69" s="14"/>
      <c r="Z69" s="14"/>
      <c r="AA69" s="15"/>
      <c r="AB69" s="3"/>
      <c r="AC69" s="3"/>
      <c r="AD69" s="3"/>
      <c r="AE69" s="3"/>
      <c r="AF69" s="3"/>
      <c r="AG69" s="3"/>
      <c r="AH69" s="3"/>
      <c r="AI69" s="3"/>
      <c r="AJ69" s="3"/>
      <c r="AK69" s="3"/>
      <c r="AL69" s="3"/>
      <c r="AM69" s="3"/>
      <c r="AN69" s="3"/>
      <c r="AO69" s="3"/>
    </row>
    <row r="70" spans="1:41" x14ac:dyDescent="0.25">
      <c r="A70" s="171"/>
      <c r="B70" s="13"/>
      <c r="C70" s="14"/>
      <c r="D70" s="14"/>
      <c r="E70" s="14"/>
      <c r="F70" s="14"/>
      <c r="G70" s="14"/>
      <c r="H70" s="14"/>
      <c r="I70" s="14"/>
      <c r="J70" s="14"/>
      <c r="K70" s="14"/>
      <c r="L70" s="14"/>
      <c r="M70" s="14"/>
      <c r="N70" s="14"/>
      <c r="O70" s="14"/>
      <c r="P70" s="14"/>
      <c r="Q70" s="14"/>
      <c r="R70" s="14"/>
      <c r="S70" s="14"/>
      <c r="T70" s="14"/>
      <c r="U70" s="14"/>
      <c r="V70" s="14"/>
      <c r="W70" s="14"/>
      <c r="X70" s="14"/>
      <c r="Y70" s="14"/>
      <c r="Z70" s="14"/>
      <c r="AA70" s="15"/>
      <c r="AB70" s="3"/>
      <c r="AC70" s="3"/>
      <c r="AD70" s="3"/>
      <c r="AE70" s="3"/>
      <c r="AF70" s="3"/>
      <c r="AG70" s="3"/>
      <c r="AH70" s="3"/>
      <c r="AI70" s="3"/>
      <c r="AJ70" s="3"/>
      <c r="AK70" s="3"/>
      <c r="AL70" s="3"/>
      <c r="AM70" s="3"/>
      <c r="AN70" s="3"/>
      <c r="AO70" s="3"/>
    </row>
    <row r="71" spans="1:41" x14ac:dyDescent="0.25">
      <c r="A71" s="171"/>
      <c r="B71" s="13"/>
      <c r="C71" s="14"/>
      <c r="D71" s="14"/>
      <c r="E71" s="14"/>
      <c r="F71" s="14"/>
      <c r="G71" s="14"/>
      <c r="H71" s="14"/>
      <c r="I71" s="14"/>
      <c r="J71" s="14"/>
      <c r="K71" s="14"/>
      <c r="L71" s="14"/>
      <c r="M71" s="14"/>
      <c r="N71" s="14"/>
      <c r="O71" s="14"/>
      <c r="P71" s="14"/>
      <c r="Q71" s="14"/>
      <c r="R71" s="14"/>
      <c r="S71" s="14"/>
      <c r="T71" s="14"/>
      <c r="U71" s="14"/>
      <c r="V71" s="14"/>
      <c r="W71" s="14"/>
      <c r="X71" s="14"/>
      <c r="Y71" s="14"/>
      <c r="Z71" s="14"/>
      <c r="AA71" s="15"/>
      <c r="AB71" s="3"/>
      <c r="AC71" s="3"/>
      <c r="AD71" s="3"/>
      <c r="AE71" s="3"/>
      <c r="AF71" s="3"/>
      <c r="AG71" s="3"/>
      <c r="AH71" s="3"/>
      <c r="AI71" s="3"/>
      <c r="AJ71" s="3"/>
      <c r="AK71" s="3"/>
      <c r="AL71" s="3"/>
      <c r="AM71" s="3"/>
      <c r="AN71" s="3"/>
      <c r="AO71" s="3"/>
    </row>
    <row r="72" spans="1:41" x14ac:dyDescent="0.25">
      <c r="A72" s="171"/>
      <c r="B72" s="13"/>
      <c r="C72" s="14"/>
      <c r="D72" s="14"/>
      <c r="E72" s="14"/>
      <c r="F72" s="14"/>
      <c r="G72" s="14"/>
      <c r="H72" s="14"/>
      <c r="I72" s="14"/>
      <c r="J72" s="14"/>
      <c r="K72" s="14"/>
      <c r="L72" s="14"/>
      <c r="M72" s="14"/>
      <c r="N72" s="14"/>
      <c r="O72" s="14"/>
      <c r="P72" s="14"/>
      <c r="Q72" s="14"/>
      <c r="R72" s="14"/>
      <c r="S72" s="14"/>
      <c r="T72" s="14"/>
      <c r="U72" s="14"/>
      <c r="V72" s="14"/>
      <c r="W72" s="14"/>
      <c r="X72" s="14"/>
      <c r="Y72" s="14"/>
      <c r="Z72" s="14"/>
      <c r="AA72" s="15"/>
      <c r="AB72" s="3"/>
      <c r="AC72" s="3"/>
      <c r="AD72" s="3"/>
      <c r="AE72" s="3"/>
      <c r="AF72" s="3"/>
      <c r="AG72" s="3"/>
      <c r="AH72" s="3"/>
      <c r="AI72" s="3"/>
      <c r="AJ72" s="3"/>
      <c r="AK72" s="3"/>
      <c r="AL72" s="3"/>
      <c r="AM72" s="3"/>
      <c r="AN72" s="3"/>
      <c r="AO72" s="3"/>
    </row>
    <row r="73" spans="1:41" x14ac:dyDescent="0.25">
      <c r="A73" s="171"/>
      <c r="B73" s="13"/>
      <c r="C73" s="14"/>
      <c r="D73" s="14"/>
      <c r="E73" s="14"/>
      <c r="F73" s="14"/>
      <c r="G73" s="14"/>
      <c r="H73" s="14"/>
      <c r="I73" s="14"/>
      <c r="J73" s="14"/>
      <c r="K73" s="14"/>
      <c r="L73" s="14"/>
      <c r="M73" s="14"/>
      <c r="N73" s="14"/>
      <c r="O73" s="14"/>
      <c r="P73" s="14"/>
      <c r="Q73" s="14"/>
      <c r="R73" s="14"/>
      <c r="S73" s="14"/>
      <c r="T73" s="14"/>
      <c r="U73" s="14"/>
      <c r="V73" s="14"/>
      <c r="W73" s="14"/>
      <c r="X73" s="14"/>
      <c r="Y73" s="14"/>
      <c r="Z73" s="14"/>
      <c r="AA73" s="15"/>
      <c r="AB73" s="3"/>
      <c r="AC73" s="3"/>
      <c r="AD73" s="3"/>
      <c r="AE73" s="3"/>
      <c r="AF73" s="3"/>
      <c r="AG73" s="3"/>
      <c r="AH73" s="3"/>
      <c r="AI73" s="3"/>
      <c r="AJ73" s="3"/>
      <c r="AK73" s="3"/>
      <c r="AL73" s="3"/>
      <c r="AM73" s="3"/>
      <c r="AN73" s="3"/>
      <c r="AO73" s="3"/>
    </row>
    <row r="74" spans="1:41" x14ac:dyDescent="0.25">
      <c r="A74" s="171"/>
      <c r="B74" s="13"/>
      <c r="C74" s="14"/>
      <c r="D74" s="14"/>
      <c r="E74" s="14"/>
      <c r="F74" s="14"/>
      <c r="G74" s="14"/>
      <c r="H74" s="14"/>
      <c r="I74" s="14"/>
      <c r="J74" s="14"/>
      <c r="K74" s="14"/>
      <c r="L74" s="14"/>
      <c r="M74" s="14"/>
      <c r="N74" s="14"/>
      <c r="O74" s="14"/>
      <c r="P74" s="14"/>
      <c r="Q74" s="14"/>
      <c r="R74" s="14"/>
      <c r="S74" s="14"/>
      <c r="T74" s="14"/>
      <c r="U74" s="14"/>
      <c r="V74" s="14"/>
      <c r="W74" s="14"/>
      <c r="X74" s="14"/>
      <c r="Y74" s="14"/>
      <c r="Z74" s="14"/>
      <c r="AA74" s="15"/>
      <c r="AB74" s="3"/>
      <c r="AC74" s="3"/>
      <c r="AD74" s="3"/>
      <c r="AE74" s="3"/>
      <c r="AF74" s="3"/>
      <c r="AG74" s="3"/>
      <c r="AH74" s="3"/>
      <c r="AI74" s="3"/>
      <c r="AJ74" s="3"/>
      <c r="AK74" s="3"/>
      <c r="AL74" s="3"/>
      <c r="AM74" s="3"/>
      <c r="AN74" s="3"/>
      <c r="AO74" s="3"/>
    </row>
    <row r="75" spans="1:41" x14ac:dyDescent="0.25">
      <c r="A75" s="171"/>
      <c r="B75" s="13"/>
      <c r="C75" s="14"/>
      <c r="D75" s="14"/>
      <c r="E75" s="14"/>
      <c r="F75" s="14"/>
      <c r="G75" s="14"/>
      <c r="H75" s="14"/>
      <c r="I75" s="14"/>
      <c r="J75" s="14"/>
      <c r="K75" s="14"/>
      <c r="L75" s="14"/>
      <c r="M75" s="14"/>
      <c r="N75" s="14"/>
      <c r="O75" s="14"/>
      <c r="P75" s="14"/>
      <c r="Q75" s="14"/>
      <c r="R75" s="14"/>
      <c r="S75" s="14"/>
      <c r="T75" s="14"/>
      <c r="U75" s="14"/>
      <c r="V75" s="14"/>
      <c r="W75" s="14"/>
      <c r="X75" s="14"/>
      <c r="Y75" s="14"/>
      <c r="Z75" s="14"/>
      <c r="AA75" s="15"/>
      <c r="AB75" s="3"/>
      <c r="AC75" s="3"/>
      <c r="AD75" s="3"/>
      <c r="AE75" s="3"/>
      <c r="AF75" s="3"/>
      <c r="AG75" s="3"/>
      <c r="AH75" s="3"/>
      <c r="AI75" s="3"/>
      <c r="AJ75" s="3"/>
      <c r="AK75" s="3"/>
      <c r="AL75" s="3"/>
      <c r="AM75" s="3"/>
      <c r="AN75" s="3"/>
      <c r="AO75" s="3"/>
    </row>
    <row r="76" spans="1:41" x14ac:dyDescent="0.25">
      <c r="A76" s="171"/>
      <c r="B76" s="13"/>
      <c r="C76" s="14"/>
      <c r="D76" s="14"/>
      <c r="E76" s="14"/>
      <c r="F76" s="14"/>
      <c r="G76" s="14"/>
      <c r="H76" s="14"/>
      <c r="I76" s="14"/>
      <c r="J76" s="14"/>
      <c r="K76" s="14"/>
      <c r="L76" s="14"/>
      <c r="M76" s="14"/>
      <c r="N76" s="14"/>
      <c r="O76" s="14"/>
      <c r="P76" s="14"/>
      <c r="Q76" s="14"/>
      <c r="R76" s="14"/>
      <c r="S76" s="14"/>
      <c r="T76" s="14"/>
      <c r="U76" s="14"/>
      <c r="V76" s="14"/>
      <c r="W76" s="14"/>
      <c r="X76" s="14"/>
      <c r="Y76" s="14"/>
      <c r="Z76" s="14"/>
      <c r="AA76" s="15"/>
      <c r="AB76" s="3"/>
      <c r="AC76" s="3"/>
      <c r="AD76" s="3"/>
      <c r="AE76" s="3"/>
      <c r="AF76" s="3"/>
      <c r="AG76" s="3"/>
      <c r="AH76" s="3"/>
      <c r="AI76" s="3"/>
      <c r="AJ76" s="3"/>
      <c r="AK76" s="3"/>
      <c r="AL76" s="3"/>
      <c r="AM76" s="3"/>
      <c r="AN76" s="3"/>
      <c r="AO76" s="3"/>
    </row>
    <row r="77" spans="1:41" ht="15" customHeight="1" x14ac:dyDescent="0.3">
      <c r="A77" s="171"/>
      <c r="B77" s="67"/>
      <c r="C77" s="14"/>
      <c r="D77" s="14"/>
      <c r="E77" s="14"/>
      <c r="F77" s="14"/>
      <c r="G77" s="14"/>
      <c r="H77" s="14"/>
      <c r="I77" s="14"/>
      <c r="J77" s="14"/>
      <c r="K77" s="14"/>
      <c r="L77" s="14"/>
      <c r="M77" s="14"/>
      <c r="N77" s="14"/>
      <c r="O77" s="14"/>
      <c r="P77" s="14"/>
      <c r="Q77" s="14"/>
      <c r="R77" s="14"/>
      <c r="S77" s="14"/>
      <c r="T77" s="14"/>
      <c r="U77" s="14"/>
      <c r="V77" s="14"/>
      <c r="W77" s="14"/>
      <c r="X77" s="14"/>
      <c r="Y77" s="14"/>
      <c r="Z77" s="14"/>
      <c r="AA77" s="15"/>
      <c r="AB77" s="3"/>
      <c r="AC77" s="3"/>
      <c r="AD77" s="3"/>
      <c r="AE77" s="3"/>
      <c r="AF77" s="3"/>
      <c r="AG77" s="3"/>
      <c r="AH77" s="3"/>
      <c r="AI77" s="3"/>
      <c r="AJ77" s="3"/>
      <c r="AK77" s="3"/>
      <c r="AL77" s="3"/>
      <c r="AM77" s="3"/>
      <c r="AN77" s="3"/>
      <c r="AO77" s="3"/>
    </row>
    <row r="78" spans="1:41" x14ac:dyDescent="0.25">
      <c r="A78" s="171"/>
      <c r="B78" s="13"/>
      <c r="C78" s="14"/>
      <c r="D78" s="14"/>
      <c r="E78" s="14"/>
      <c r="F78" s="14"/>
      <c r="G78" s="14"/>
      <c r="H78" s="14"/>
      <c r="I78" s="14"/>
      <c r="J78" s="14"/>
      <c r="K78" s="14"/>
      <c r="L78" s="14"/>
      <c r="M78" s="14"/>
      <c r="N78" s="14"/>
      <c r="O78" s="14"/>
      <c r="P78" s="14"/>
      <c r="Q78" s="14"/>
      <c r="R78" s="14"/>
      <c r="S78" s="14"/>
      <c r="T78" s="14"/>
      <c r="U78" s="14"/>
      <c r="V78" s="14"/>
      <c r="W78" s="14"/>
      <c r="X78" s="14"/>
      <c r="Y78" s="14"/>
      <c r="Z78" s="14"/>
      <c r="AA78" s="15"/>
      <c r="AB78" s="3"/>
      <c r="AC78" s="3"/>
      <c r="AD78" s="3"/>
      <c r="AE78" s="3"/>
      <c r="AF78" s="3"/>
      <c r="AG78" s="3"/>
      <c r="AH78" s="3"/>
      <c r="AI78" s="3"/>
      <c r="AJ78" s="3"/>
      <c r="AK78" s="3"/>
      <c r="AL78" s="3"/>
      <c r="AM78" s="3"/>
      <c r="AN78" s="3"/>
      <c r="AO78" s="3"/>
    </row>
    <row r="79" spans="1:41" x14ac:dyDescent="0.25">
      <c r="A79" s="171"/>
      <c r="B79" s="13"/>
      <c r="C79" s="14"/>
      <c r="D79" s="14"/>
      <c r="E79" s="14"/>
      <c r="F79" s="14"/>
      <c r="G79" s="14"/>
      <c r="H79" s="14"/>
      <c r="I79" s="14"/>
      <c r="J79" s="14"/>
      <c r="K79" s="14"/>
      <c r="L79" s="14"/>
      <c r="M79" s="14"/>
      <c r="N79" s="14"/>
      <c r="O79" s="14"/>
      <c r="P79" s="14"/>
      <c r="Q79" s="14"/>
      <c r="R79" s="14"/>
      <c r="S79" s="14"/>
      <c r="T79" s="14"/>
      <c r="U79" s="14"/>
      <c r="V79" s="14"/>
      <c r="W79" s="14"/>
      <c r="X79" s="14"/>
      <c r="Y79" s="14"/>
      <c r="Z79" s="14"/>
      <c r="AA79" s="15"/>
      <c r="AB79" s="3"/>
      <c r="AC79" s="3"/>
      <c r="AD79" s="3"/>
      <c r="AE79" s="3"/>
      <c r="AF79" s="3"/>
      <c r="AG79" s="3"/>
      <c r="AH79" s="3"/>
      <c r="AI79" s="3"/>
      <c r="AJ79" s="3"/>
      <c r="AK79" s="3"/>
      <c r="AL79" s="3"/>
      <c r="AM79" s="3"/>
      <c r="AN79" s="3"/>
      <c r="AO79" s="3"/>
    </row>
    <row r="80" spans="1:41" x14ac:dyDescent="0.25">
      <c r="A80" s="171"/>
      <c r="B80" s="13"/>
      <c r="C80" s="14"/>
      <c r="D80" s="14"/>
      <c r="E80" s="14"/>
      <c r="F80" s="14"/>
      <c r="G80" s="14"/>
      <c r="H80" s="14"/>
      <c r="I80" s="14"/>
      <c r="J80" s="14"/>
      <c r="K80" s="14"/>
      <c r="L80" s="14"/>
      <c r="M80" s="14"/>
      <c r="N80" s="14"/>
      <c r="O80" s="14"/>
      <c r="P80" s="14"/>
      <c r="Q80" s="14"/>
      <c r="R80" s="14"/>
      <c r="S80" s="14"/>
      <c r="T80" s="14"/>
      <c r="U80" s="14"/>
      <c r="V80" s="14"/>
      <c r="W80" s="14"/>
      <c r="X80" s="14"/>
      <c r="Y80" s="14"/>
      <c r="Z80" s="14"/>
      <c r="AA80" s="15"/>
      <c r="AB80" s="3"/>
      <c r="AC80" s="3"/>
      <c r="AD80" s="3"/>
      <c r="AE80" s="3"/>
      <c r="AF80" s="3"/>
      <c r="AG80" s="3"/>
      <c r="AH80" s="3"/>
      <c r="AI80" s="3"/>
      <c r="AJ80" s="3"/>
      <c r="AK80" s="3"/>
      <c r="AL80" s="3"/>
      <c r="AM80" s="3"/>
      <c r="AN80" s="3"/>
      <c r="AO80" s="3"/>
    </row>
    <row r="81" spans="1:41" x14ac:dyDescent="0.25">
      <c r="A81" s="171"/>
      <c r="B81" s="13"/>
      <c r="C81" s="14"/>
      <c r="D81" s="14"/>
      <c r="E81" s="14"/>
      <c r="F81" s="14"/>
      <c r="G81" s="14"/>
      <c r="H81" s="14"/>
      <c r="I81" s="14"/>
      <c r="J81" s="14"/>
      <c r="K81" s="14"/>
      <c r="L81" s="14"/>
      <c r="M81" s="14"/>
      <c r="N81" s="14"/>
      <c r="O81" s="14"/>
      <c r="P81" s="14"/>
      <c r="Q81" s="14"/>
      <c r="R81" s="14"/>
      <c r="S81" s="14"/>
      <c r="T81" s="14"/>
      <c r="U81" s="14"/>
      <c r="V81" s="14"/>
      <c r="W81" s="14"/>
      <c r="X81" s="14"/>
      <c r="Y81" s="14"/>
      <c r="Z81" s="14"/>
      <c r="AA81" s="15"/>
      <c r="AB81" s="3"/>
      <c r="AC81" s="3"/>
      <c r="AD81" s="3"/>
      <c r="AE81" s="3"/>
      <c r="AF81" s="3"/>
      <c r="AG81" s="3"/>
      <c r="AH81" s="3"/>
      <c r="AI81" s="3"/>
      <c r="AJ81" s="3"/>
      <c r="AK81" s="3"/>
      <c r="AL81" s="3"/>
      <c r="AM81" s="3"/>
      <c r="AN81" s="3"/>
      <c r="AO81" s="3"/>
    </row>
    <row r="82" spans="1:41" x14ac:dyDescent="0.25">
      <c r="A82" s="171"/>
      <c r="B82" s="13"/>
      <c r="C82" s="14"/>
      <c r="D82" s="14"/>
      <c r="E82" s="14"/>
      <c r="F82" s="14"/>
      <c r="G82" s="14"/>
      <c r="H82" s="14"/>
      <c r="I82" s="14"/>
      <c r="J82" s="14"/>
      <c r="K82" s="14"/>
      <c r="L82" s="14"/>
      <c r="M82" s="14"/>
      <c r="N82" s="14"/>
      <c r="O82" s="14"/>
      <c r="P82" s="14"/>
      <c r="Q82" s="14"/>
      <c r="R82" s="14"/>
      <c r="S82" s="14"/>
      <c r="T82" s="14"/>
      <c r="U82" s="14"/>
      <c r="V82" s="14"/>
      <c r="W82" s="14"/>
      <c r="X82" s="14"/>
      <c r="Y82" s="14"/>
      <c r="Z82" s="14"/>
      <c r="AA82" s="15"/>
      <c r="AB82" s="3"/>
      <c r="AC82" s="3"/>
      <c r="AD82" s="3"/>
      <c r="AE82" s="3"/>
      <c r="AF82" s="3"/>
      <c r="AG82" s="3"/>
      <c r="AH82" s="3"/>
      <c r="AI82" s="3"/>
      <c r="AJ82" s="3"/>
      <c r="AK82" s="3"/>
      <c r="AL82" s="3"/>
      <c r="AM82" s="3"/>
      <c r="AN82" s="3"/>
      <c r="AO82" s="3"/>
    </row>
    <row r="83" spans="1:41" x14ac:dyDescent="0.25">
      <c r="A83" s="171"/>
      <c r="B83" s="13"/>
      <c r="C83" s="14"/>
      <c r="D83" s="14"/>
      <c r="E83" s="14"/>
      <c r="F83" s="14"/>
      <c r="G83" s="14"/>
      <c r="H83" s="14"/>
      <c r="I83" s="14"/>
      <c r="J83" s="14"/>
      <c r="K83" s="14"/>
      <c r="L83" s="14"/>
      <c r="M83" s="14"/>
      <c r="N83" s="14"/>
      <c r="O83" s="14"/>
      <c r="P83" s="14"/>
      <c r="Q83" s="14"/>
      <c r="R83" s="14"/>
      <c r="S83" s="14"/>
      <c r="T83" s="14"/>
      <c r="U83" s="14"/>
      <c r="V83" s="14"/>
      <c r="W83" s="14"/>
      <c r="X83" s="14"/>
      <c r="Y83" s="14"/>
      <c r="Z83" s="14"/>
      <c r="AA83" s="15"/>
      <c r="AB83" s="3"/>
      <c r="AC83" s="3"/>
      <c r="AD83" s="3"/>
      <c r="AE83" s="3"/>
      <c r="AF83" s="3"/>
      <c r="AG83" s="3"/>
      <c r="AH83" s="3"/>
      <c r="AI83" s="3"/>
      <c r="AJ83" s="3"/>
      <c r="AK83" s="3"/>
      <c r="AL83" s="3"/>
      <c r="AM83" s="3"/>
      <c r="AN83" s="3"/>
      <c r="AO83" s="3"/>
    </row>
    <row r="84" spans="1:41" x14ac:dyDescent="0.25">
      <c r="A84" s="171"/>
      <c r="B84" s="13"/>
      <c r="C84" s="14"/>
      <c r="D84" s="14"/>
      <c r="E84" s="14"/>
      <c r="F84" s="14"/>
      <c r="G84" s="14"/>
      <c r="H84" s="14"/>
      <c r="I84" s="14"/>
      <c r="J84" s="14"/>
      <c r="K84" s="14"/>
      <c r="L84" s="14"/>
      <c r="M84" s="14"/>
      <c r="N84" s="14"/>
      <c r="O84" s="14"/>
      <c r="P84" s="14"/>
      <c r="Q84" s="14"/>
      <c r="R84" s="14"/>
      <c r="S84" s="14"/>
      <c r="T84" s="14"/>
      <c r="U84" s="14"/>
      <c r="V84" s="14"/>
      <c r="W84" s="14"/>
      <c r="X84" s="14"/>
      <c r="Y84" s="14"/>
      <c r="Z84" s="14"/>
      <c r="AA84" s="15"/>
      <c r="AB84" s="3"/>
      <c r="AC84" s="3"/>
      <c r="AD84" s="3"/>
      <c r="AE84" s="3"/>
      <c r="AF84" s="3"/>
      <c r="AG84" s="3"/>
      <c r="AH84" s="3"/>
      <c r="AI84" s="3"/>
      <c r="AJ84" s="3"/>
      <c r="AK84" s="3"/>
      <c r="AL84" s="3"/>
      <c r="AM84" s="3"/>
      <c r="AN84" s="3"/>
      <c r="AO84" s="3"/>
    </row>
    <row r="85" spans="1:41" x14ac:dyDescent="0.25">
      <c r="A85" s="171"/>
      <c r="B85" s="13"/>
      <c r="C85" s="14"/>
      <c r="D85" s="14"/>
      <c r="E85" s="14"/>
      <c r="F85" s="14"/>
      <c r="G85" s="14"/>
      <c r="H85" s="14"/>
      <c r="I85" s="14"/>
      <c r="J85" s="14"/>
      <c r="K85" s="14"/>
      <c r="L85" s="14"/>
      <c r="M85" s="14"/>
      <c r="N85" s="14"/>
      <c r="O85" s="14"/>
      <c r="P85" s="14"/>
      <c r="Q85" s="14"/>
      <c r="R85" s="14"/>
      <c r="S85" s="14"/>
      <c r="T85" s="14"/>
      <c r="U85" s="14"/>
      <c r="V85" s="14"/>
      <c r="W85" s="14"/>
      <c r="X85" s="14"/>
      <c r="Y85" s="14"/>
      <c r="Z85" s="14"/>
      <c r="AA85" s="15"/>
      <c r="AB85" s="3"/>
      <c r="AC85" s="3"/>
      <c r="AD85" s="3"/>
      <c r="AE85" s="3"/>
      <c r="AF85" s="3"/>
      <c r="AG85" s="3"/>
      <c r="AH85" s="3"/>
      <c r="AI85" s="3"/>
      <c r="AJ85" s="3"/>
      <c r="AK85" s="3"/>
      <c r="AL85" s="3"/>
      <c r="AM85" s="3"/>
      <c r="AN85" s="3"/>
      <c r="AO85" s="3"/>
    </row>
    <row r="86" spans="1:41" x14ac:dyDescent="0.25">
      <c r="A86" s="171"/>
      <c r="B86" s="13"/>
      <c r="C86" s="14"/>
      <c r="D86" s="14"/>
      <c r="E86" s="14"/>
      <c r="F86" s="14"/>
      <c r="G86" s="14"/>
      <c r="H86" s="14"/>
      <c r="I86" s="14"/>
      <c r="J86" s="14"/>
      <c r="K86" s="14"/>
      <c r="L86" s="14"/>
      <c r="M86" s="14"/>
      <c r="N86" s="14"/>
      <c r="O86" s="14"/>
      <c r="P86" s="14"/>
      <c r="Q86" s="14"/>
      <c r="R86" s="14"/>
      <c r="S86" s="14"/>
      <c r="T86" s="14"/>
      <c r="U86" s="14"/>
      <c r="V86" s="14"/>
      <c r="W86" s="14"/>
      <c r="X86" s="14"/>
      <c r="Y86" s="14"/>
      <c r="Z86" s="14"/>
      <c r="AA86" s="15"/>
      <c r="AB86" s="3"/>
      <c r="AC86" s="3"/>
      <c r="AD86" s="3"/>
      <c r="AE86" s="3"/>
      <c r="AF86" s="3"/>
      <c r="AG86" s="3"/>
      <c r="AH86" s="3"/>
      <c r="AI86" s="3"/>
      <c r="AJ86" s="3"/>
      <c r="AK86" s="3"/>
      <c r="AL86" s="3"/>
      <c r="AM86" s="3"/>
      <c r="AN86" s="3"/>
      <c r="AO86" s="3"/>
    </row>
    <row r="87" spans="1:41" x14ac:dyDescent="0.25">
      <c r="A87" s="171"/>
      <c r="B87" s="13"/>
      <c r="C87" s="14"/>
      <c r="D87" s="14"/>
      <c r="E87" s="14"/>
      <c r="F87" s="14"/>
      <c r="G87" s="14"/>
      <c r="H87" s="14"/>
      <c r="I87" s="14"/>
      <c r="J87" s="14"/>
      <c r="K87" s="14"/>
      <c r="L87" s="14"/>
      <c r="M87" s="14"/>
      <c r="N87" s="14"/>
      <c r="O87" s="14"/>
      <c r="P87" s="14"/>
      <c r="Q87" s="14"/>
      <c r="R87" s="14"/>
      <c r="S87" s="14"/>
      <c r="T87" s="14"/>
      <c r="U87" s="14"/>
      <c r="V87" s="14"/>
      <c r="W87" s="14"/>
      <c r="X87" s="14"/>
      <c r="Y87" s="14"/>
      <c r="Z87" s="14"/>
      <c r="AA87" s="15"/>
      <c r="AB87" s="3"/>
      <c r="AC87" s="3"/>
      <c r="AD87" s="3"/>
      <c r="AE87" s="3"/>
      <c r="AF87" s="3"/>
      <c r="AG87" s="3"/>
      <c r="AH87" s="3"/>
      <c r="AI87" s="3"/>
      <c r="AJ87" s="3"/>
      <c r="AK87" s="3"/>
      <c r="AL87" s="3"/>
      <c r="AM87" s="3"/>
      <c r="AN87" s="3"/>
      <c r="AO87" s="3"/>
    </row>
    <row r="88" spans="1:41" x14ac:dyDescent="0.25">
      <c r="A88" s="171"/>
      <c r="B88" s="13"/>
      <c r="C88" s="14"/>
      <c r="D88" s="14"/>
      <c r="E88" s="14"/>
      <c r="F88" s="14"/>
      <c r="G88" s="14"/>
      <c r="H88" s="14"/>
      <c r="I88" s="14"/>
      <c r="J88" s="14"/>
      <c r="K88" s="14"/>
      <c r="L88" s="14"/>
      <c r="M88" s="14"/>
      <c r="N88" s="14"/>
      <c r="O88" s="14"/>
      <c r="P88" s="14"/>
      <c r="Q88" s="14"/>
      <c r="R88" s="14"/>
      <c r="S88" s="14"/>
      <c r="T88" s="14"/>
      <c r="U88" s="14"/>
      <c r="V88" s="14"/>
      <c r="W88" s="14"/>
      <c r="X88" s="14"/>
      <c r="Y88" s="14"/>
      <c r="Z88" s="14"/>
      <c r="AA88" s="15"/>
      <c r="AB88" s="3"/>
      <c r="AC88" s="3"/>
      <c r="AD88" s="3"/>
      <c r="AE88" s="3"/>
      <c r="AF88" s="3"/>
      <c r="AG88" s="3"/>
      <c r="AH88" s="3"/>
      <c r="AI88" s="3"/>
      <c r="AJ88" s="3"/>
      <c r="AK88" s="3"/>
      <c r="AL88" s="3"/>
      <c r="AM88" s="3"/>
      <c r="AN88" s="3"/>
      <c r="AO88" s="3"/>
    </row>
    <row r="89" spans="1:41" x14ac:dyDescent="0.25">
      <c r="A89" s="171"/>
      <c r="B89" s="13"/>
      <c r="C89" s="14"/>
      <c r="D89" s="14"/>
      <c r="E89" s="14"/>
      <c r="F89" s="14"/>
      <c r="G89" s="14"/>
      <c r="H89" s="14"/>
      <c r="I89" s="14"/>
      <c r="J89" s="14"/>
      <c r="K89" s="14"/>
      <c r="L89" s="14"/>
      <c r="M89" s="14"/>
      <c r="N89" s="14"/>
      <c r="O89" s="14"/>
      <c r="P89" s="14"/>
      <c r="Q89" s="14"/>
      <c r="R89" s="14"/>
      <c r="S89" s="14"/>
      <c r="T89" s="14"/>
      <c r="U89" s="14"/>
      <c r="V89" s="14"/>
      <c r="W89" s="14"/>
      <c r="X89" s="14"/>
      <c r="Y89" s="14"/>
      <c r="Z89" s="14"/>
      <c r="AA89" s="15"/>
      <c r="AB89" s="3"/>
      <c r="AC89" s="3"/>
      <c r="AD89" s="3"/>
      <c r="AE89" s="3"/>
      <c r="AF89" s="3"/>
      <c r="AG89" s="3"/>
      <c r="AH89" s="3"/>
      <c r="AI89" s="3"/>
      <c r="AJ89" s="3"/>
      <c r="AK89" s="3"/>
      <c r="AL89" s="3"/>
      <c r="AM89" s="3"/>
      <c r="AN89" s="3"/>
      <c r="AO89" s="3"/>
    </row>
    <row r="90" spans="1:41" x14ac:dyDescent="0.25">
      <c r="A90" s="171"/>
      <c r="B90" s="13"/>
      <c r="C90" s="14"/>
      <c r="D90" s="14"/>
      <c r="E90" s="14"/>
      <c r="F90" s="14"/>
      <c r="G90" s="14"/>
      <c r="H90" s="14"/>
      <c r="I90" s="14"/>
      <c r="J90" s="14"/>
      <c r="K90" s="14"/>
      <c r="L90" s="14"/>
      <c r="M90" s="14"/>
      <c r="N90" s="14"/>
      <c r="O90" s="14"/>
      <c r="P90" s="14"/>
      <c r="Q90" s="14"/>
      <c r="R90" s="14"/>
      <c r="S90" s="14"/>
      <c r="T90" s="14"/>
      <c r="U90" s="14"/>
      <c r="V90" s="14"/>
      <c r="W90" s="14"/>
      <c r="X90" s="14"/>
      <c r="Y90" s="14"/>
      <c r="Z90" s="14"/>
      <c r="AA90" s="15"/>
      <c r="AB90" s="3"/>
      <c r="AC90" s="3"/>
      <c r="AD90" s="3"/>
      <c r="AE90" s="3"/>
      <c r="AF90" s="3"/>
      <c r="AG90" s="3"/>
      <c r="AH90" s="3"/>
      <c r="AI90" s="3"/>
      <c r="AJ90" s="3"/>
      <c r="AK90" s="3"/>
      <c r="AL90" s="3"/>
      <c r="AM90" s="3"/>
      <c r="AN90" s="3"/>
      <c r="AO90" s="3"/>
    </row>
    <row r="91" spans="1:41" x14ac:dyDescent="0.25">
      <c r="A91" s="171"/>
      <c r="B91" s="13"/>
      <c r="C91" s="14"/>
      <c r="D91" s="14"/>
      <c r="E91" s="14"/>
      <c r="F91" s="14"/>
      <c r="G91" s="14"/>
      <c r="H91" s="14"/>
      <c r="I91" s="14"/>
      <c r="J91" s="14"/>
      <c r="K91" s="14"/>
      <c r="L91" s="14"/>
      <c r="M91" s="14"/>
      <c r="N91" s="14"/>
      <c r="O91" s="14"/>
      <c r="P91" s="14"/>
      <c r="Q91" s="14"/>
      <c r="R91" s="14"/>
      <c r="S91" s="14"/>
      <c r="T91" s="14"/>
      <c r="U91" s="14"/>
      <c r="V91" s="14"/>
      <c r="W91" s="14"/>
      <c r="X91" s="14"/>
      <c r="Y91" s="14"/>
      <c r="Z91" s="14"/>
      <c r="AA91" s="15"/>
      <c r="AB91" s="3"/>
      <c r="AC91" s="3"/>
      <c r="AD91" s="3"/>
      <c r="AE91" s="3"/>
      <c r="AF91" s="3"/>
      <c r="AG91" s="3"/>
      <c r="AH91" s="3"/>
      <c r="AI91" s="3"/>
      <c r="AJ91" s="3"/>
      <c r="AK91" s="3"/>
      <c r="AL91" s="3"/>
      <c r="AM91" s="3"/>
      <c r="AN91" s="3"/>
      <c r="AO91" s="3"/>
    </row>
    <row r="92" spans="1:41" x14ac:dyDescent="0.25">
      <c r="A92" s="171"/>
      <c r="B92" s="13"/>
      <c r="C92" s="14"/>
      <c r="D92" s="14"/>
      <c r="E92" s="14"/>
      <c r="F92" s="14"/>
      <c r="G92" s="14"/>
      <c r="H92" s="14"/>
      <c r="I92" s="14"/>
      <c r="J92" s="14"/>
      <c r="K92" s="14"/>
      <c r="L92" s="14"/>
      <c r="M92" s="14"/>
      <c r="N92" s="14"/>
      <c r="O92" s="14"/>
      <c r="P92" s="14"/>
      <c r="Q92" s="14"/>
      <c r="R92" s="14"/>
      <c r="S92" s="14"/>
      <c r="T92" s="14"/>
      <c r="U92" s="14"/>
      <c r="V92" s="14"/>
      <c r="W92" s="14"/>
      <c r="X92" s="14"/>
      <c r="Y92" s="14"/>
      <c r="Z92" s="14"/>
      <c r="AA92" s="15"/>
      <c r="AB92" s="3"/>
      <c r="AC92" s="3"/>
      <c r="AD92" s="3"/>
      <c r="AE92" s="3"/>
      <c r="AF92" s="3"/>
      <c r="AG92" s="3"/>
      <c r="AH92" s="3"/>
      <c r="AI92" s="3"/>
      <c r="AJ92" s="3"/>
      <c r="AK92" s="3"/>
      <c r="AL92" s="3"/>
      <c r="AM92" s="3"/>
      <c r="AN92" s="3"/>
      <c r="AO92" s="3"/>
    </row>
    <row r="93" spans="1:41" x14ac:dyDescent="0.25">
      <c r="A93" s="171"/>
      <c r="B93" s="13"/>
      <c r="C93" s="14"/>
      <c r="D93" s="14"/>
      <c r="E93" s="14"/>
      <c r="F93" s="14"/>
      <c r="G93" s="14"/>
      <c r="H93" s="14"/>
      <c r="I93" s="14"/>
      <c r="J93" s="14"/>
      <c r="K93" s="14"/>
      <c r="L93" s="14"/>
      <c r="M93" s="14"/>
      <c r="N93" s="14"/>
      <c r="O93" s="14"/>
      <c r="P93" s="14"/>
      <c r="Q93" s="14"/>
      <c r="R93" s="14"/>
      <c r="S93" s="14"/>
      <c r="T93" s="14"/>
      <c r="U93" s="14"/>
      <c r="V93" s="14"/>
      <c r="W93" s="14"/>
      <c r="X93" s="14"/>
      <c r="Y93" s="14"/>
      <c r="Z93" s="14"/>
      <c r="AA93" s="15"/>
      <c r="AB93" s="3"/>
      <c r="AC93" s="3"/>
      <c r="AD93" s="3"/>
      <c r="AE93" s="3"/>
      <c r="AF93" s="3"/>
      <c r="AG93" s="3"/>
      <c r="AH93" s="3"/>
      <c r="AI93" s="3"/>
      <c r="AJ93" s="3"/>
      <c r="AK93" s="3"/>
      <c r="AL93" s="3"/>
      <c r="AM93" s="3"/>
      <c r="AN93" s="3"/>
      <c r="AO93" s="3"/>
    </row>
    <row r="94" spans="1:41" x14ac:dyDescent="0.25">
      <c r="A94" s="171"/>
      <c r="B94" s="13"/>
      <c r="C94" s="135"/>
      <c r="D94" s="14"/>
      <c r="E94" s="14"/>
      <c r="F94" s="14"/>
      <c r="G94" s="14"/>
      <c r="H94" s="14"/>
      <c r="I94" s="14"/>
      <c r="J94" s="14"/>
      <c r="K94" s="14"/>
      <c r="L94" s="14"/>
      <c r="M94" s="14"/>
      <c r="N94" s="14"/>
      <c r="O94" s="14"/>
      <c r="P94" s="14"/>
      <c r="Q94" s="14"/>
      <c r="R94" s="14"/>
      <c r="S94" s="14"/>
      <c r="T94" s="14"/>
      <c r="U94" s="14"/>
      <c r="V94" s="14"/>
      <c r="W94" s="14"/>
      <c r="X94" s="14"/>
      <c r="Y94" s="14"/>
      <c r="Z94" s="14"/>
      <c r="AA94" s="15"/>
      <c r="AB94" s="3"/>
      <c r="AC94" s="3"/>
      <c r="AD94" s="3"/>
      <c r="AE94" s="3"/>
      <c r="AF94" s="3"/>
      <c r="AG94" s="3"/>
      <c r="AH94" s="3"/>
      <c r="AI94" s="3"/>
      <c r="AJ94" s="3"/>
      <c r="AK94" s="3"/>
      <c r="AL94" s="3"/>
      <c r="AM94" s="3"/>
      <c r="AN94" s="3"/>
      <c r="AO94" s="3"/>
    </row>
    <row r="95" spans="1:41" x14ac:dyDescent="0.25">
      <c r="A95" s="171"/>
      <c r="B95" s="13"/>
      <c r="C95" s="14"/>
      <c r="D95" s="14"/>
      <c r="E95" s="14"/>
      <c r="F95" s="14"/>
      <c r="G95" s="14"/>
      <c r="H95" s="14"/>
      <c r="I95" s="14"/>
      <c r="J95" s="14"/>
      <c r="K95" s="14"/>
      <c r="L95" s="14"/>
      <c r="M95" s="14"/>
      <c r="N95" s="14"/>
      <c r="O95" s="14"/>
      <c r="P95" s="14"/>
      <c r="Q95" s="14"/>
      <c r="R95" s="14"/>
      <c r="S95" s="14"/>
      <c r="T95" s="14"/>
      <c r="U95" s="14"/>
      <c r="V95" s="14"/>
      <c r="W95" s="14"/>
      <c r="X95" s="14"/>
      <c r="Y95" s="14"/>
      <c r="Z95" s="14"/>
      <c r="AA95" s="15"/>
      <c r="AB95" s="3"/>
      <c r="AC95" s="3"/>
      <c r="AD95" s="3"/>
      <c r="AE95" s="3"/>
      <c r="AF95" s="3"/>
      <c r="AG95" s="3"/>
      <c r="AH95" s="3"/>
      <c r="AI95" s="3"/>
      <c r="AJ95" s="3"/>
      <c r="AK95" s="3"/>
      <c r="AL95" s="3"/>
      <c r="AM95" s="3"/>
      <c r="AN95" s="3"/>
      <c r="AO95" s="3"/>
    </row>
    <row r="96" spans="1:41" x14ac:dyDescent="0.25">
      <c r="A96" s="171"/>
      <c r="B96" s="13"/>
      <c r="C96" s="14"/>
      <c r="D96" s="14"/>
      <c r="E96" s="14"/>
      <c r="F96" s="14"/>
      <c r="G96" s="14"/>
      <c r="H96" s="14"/>
      <c r="I96" s="14"/>
      <c r="J96" s="14"/>
      <c r="K96" s="14"/>
      <c r="L96" s="14"/>
      <c r="M96" s="14"/>
      <c r="N96" s="14"/>
      <c r="O96" s="14"/>
      <c r="P96" s="14"/>
      <c r="Q96" s="14"/>
      <c r="R96" s="14"/>
      <c r="S96" s="14"/>
      <c r="T96" s="14"/>
      <c r="U96" s="14"/>
      <c r="V96" s="14"/>
      <c r="W96" s="14"/>
      <c r="X96" s="14"/>
      <c r="Y96" s="14"/>
      <c r="Z96" s="14"/>
      <c r="AA96" s="15"/>
      <c r="AB96" s="3"/>
      <c r="AC96" s="3"/>
      <c r="AD96" s="3"/>
      <c r="AE96" s="3"/>
      <c r="AF96" s="3"/>
      <c r="AG96" s="3"/>
      <c r="AH96" s="3"/>
      <c r="AI96" s="3"/>
      <c r="AJ96" s="3"/>
      <c r="AK96" s="3"/>
      <c r="AL96" s="3"/>
      <c r="AM96" s="3"/>
      <c r="AN96" s="3"/>
      <c r="AO96" s="3"/>
    </row>
    <row r="97" spans="1:41" x14ac:dyDescent="0.25">
      <c r="A97" s="171"/>
      <c r="B97" s="13"/>
      <c r="C97" s="135"/>
      <c r="D97" s="14"/>
      <c r="E97" s="14"/>
      <c r="F97" s="14"/>
      <c r="G97" s="14"/>
      <c r="H97" s="14"/>
      <c r="I97" s="14"/>
      <c r="J97" s="14"/>
      <c r="K97" s="14"/>
      <c r="L97" s="14"/>
      <c r="M97" s="14"/>
      <c r="N97" s="14"/>
      <c r="O97" s="14"/>
      <c r="P97" s="14"/>
      <c r="Q97" s="14"/>
      <c r="R97" s="14"/>
      <c r="S97" s="14"/>
      <c r="T97" s="14"/>
      <c r="U97" s="14"/>
      <c r="V97" s="14"/>
      <c r="W97" s="14"/>
      <c r="X97" s="14"/>
      <c r="Y97" s="14"/>
      <c r="Z97" s="14"/>
      <c r="AA97" s="15"/>
      <c r="AB97" s="3"/>
      <c r="AC97" s="3"/>
      <c r="AD97" s="3"/>
      <c r="AE97" s="3"/>
      <c r="AF97" s="3"/>
      <c r="AG97" s="3"/>
      <c r="AH97" s="3"/>
      <c r="AI97" s="3"/>
      <c r="AJ97" s="3"/>
      <c r="AK97" s="3"/>
      <c r="AL97" s="3"/>
      <c r="AM97" s="3"/>
      <c r="AN97" s="3"/>
      <c r="AO97" s="3"/>
    </row>
    <row r="98" spans="1:41" ht="18.75" x14ac:dyDescent="0.3">
      <c r="A98" s="171"/>
      <c r="B98" s="67"/>
      <c r="C98" s="14"/>
      <c r="D98" s="60"/>
      <c r="E98" s="56"/>
      <c r="F98" s="56"/>
      <c r="G98" s="14"/>
      <c r="H98" s="56"/>
      <c r="I98" s="74"/>
      <c r="J98" s="14"/>
      <c r="K98" s="14"/>
      <c r="L98" s="14"/>
      <c r="M98" s="14"/>
      <c r="N98" s="14"/>
      <c r="O98" s="14"/>
      <c r="P98" s="14"/>
      <c r="Q98" s="14"/>
      <c r="R98" s="14"/>
      <c r="S98" s="14"/>
      <c r="T98" s="14"/>
      <c r="U98" s="14"/>
      <c r="V98" s="14"/>
      <c r="W98" s="14"/>
      <c r="X98" s="14"/>
      <c r="Y98" s="14"/>
      <c r="Z98" s="14"/>
      <c r="AA98" s="15"/>
      <c r="AB98" s="3"/>
      <c r="AC98" s="3"/>
      <c r="AD98" s="3"/>
      <c r="AE98" s="3"/>
      <c r="AF98" s="3"/>
      <c r="AG98" s="3"/>
      <c r="AH98" s="3"/>
      <c r="AI98" s="3"/>
      <c r="AJ98" s="3"/>
      <c r="AK98" s="3"/>
      <c r="AL98" s="3"/>
      <c r="AM98" s="3"/>
      <c r="AN98" s="3"/>
      <c r="AO98" s="3"/>
    </row>
    <row r="99" spans="1:41" x14ac:dyDescent="0.25">
      <c r="A99" s="171"/>
      <c r="B99" s="13"/>
      <c r="C99" s="14"/>
      <c r="D99" s="14"/>
      <c r="E99" s="56"/>
      <c r="F99" s="56"/>
      <c r="G99" s="14"/>
      <c r="H99" s="56"/>
      <c r="I99" s="14"/>
      <c r="J99" s="14"/>
      <c r="K99" s="14"/>
      <c r="L99" s="14"/>
      <c r="M99" s="14"/>
      <c r="N99" s="14"/>
      <c r="O99" s="14"/>
      <c r="P99" s="14"/>
      <c r="Q99" s="14"/>
      <c r="R99" s="14"/>
      <c r="S99" s="14"/>
      <c r="T99" s="14"/>
      <c r="U99" s="14"/>
      <c r="V99" s="14"/>
      <c r="W99" s="14"/>
      <c r="X99" s="14"/>
      <c r="Y99" s="14"/>
      <c r="Z99" s="14"/>
      <c r="AA99" s="15"/>
      <c r="AB99" s="3"/>
      <c r="AC99" s="3"/>
      <c r="AD99" s="3"/>
      <c r="AE99" s="3"/>
      <c r="AF99" s="3"/>
      <c r="AG99" s="3"/>
      <c r="AH99" s="3"/>
      <c r="AI99" s="3"/>
      <c r="AJ99" s="3"/>
      <c r="AK99" s="3"/>
      <c r="AL99" s="3"/>
      <c r="AM99" s="3"/>
      <c r="AN99" s="3"/>
      <c r="AO99" s="3"/>
    </row>
    <row r="100" spans="1:41" x14ac:dyDescent="0.25">
      <c r="A100" s="171"/>
      <c r="B100" s="13"/>
      <c r="C100" s="136"/>
      <c r="D100" s="60"/>
      <c r="E100" s="56"/>
      <c r="F100" s="56"/>
      <c r="G100" s="57"/>
      <c r="H100" s="14"/>
      <c r="I100" s="14"/>
      <c r="J100" s="14"/>
      <c r="K100" s="14"/>
      <c r="L100" s="14"/>
      <c r="M100" s="14"/>
      <c r="N100" s="14"/>
      <c r="O100" s="14"/>
      <c r="P100" s="14"/>
      <c r="Q100" s="14"/>
      <c r="R100" s="14"/>
      <c r="S100" s="14"/>
      <c r="T100" s="14"/>
      <c r="U100" s="14"/>
      <c r="V100" s="14"/>
      <c r="W100" s="14"/>
      <c r="X100" s="14"/>
      <c r="Y100" s="14"/>
      <c r="Z100" s="14"/>
      <c r="AA100" s="15"/>
      <c r="AB100" s="3"/>
      <c r="AC100" s="3"/>
      <c r="AD100" s="3"/>
      <c r="AE100" s="3"/>
      <c r="AF100" s="3"/>
      <c r="AG100" s="3"/>
      <c r="AH100" s="3"/>
      <c r="AI100" s="3"/>
      <c r="AJ100" s="3"/>
      <c r="AK100" s="3"/>
      <c r="AL100" s="3"/>
      <c r="AM100" s="3"/>
      <c r="AN100" s="3"/>
      <c r="AO100" s="3"/>
    </row>
    <row r="101" spans="1:41" x14ac:dyDescent="0.25">
      <c r="A101" s="171"/>
      <c r="B101" s="13"/>
      <c r="C101" s="14"/>
      <c r="D101" s="60"/>
      <c r="E101" s="56"/>
      <c r="F101" s="56"/>
      <c r="G101" s="128"/>
      <c r="H101" s="56"/>
      <c r="I101" s="14"/>
      <c r="J101" s="14"/>
      <c r="K101" s="14"/>
      <c r="L101" s="14"/>
      <c r="M101" s="14"/>
      <c r="N101" s="14"/>
      <c r="O101" s="14"/>
      <c r="P101" s="14"/>
      <c r="Q101" s="14"/>
      <c r="R101" s="14"/>
      <c r="S101" s="14"/>
      <c r="T101" s="14"/>
      <c r="U101" s="14"/>
      <c r="V101" s="14"/>
      <c r="W101" s="14"/>
      <c r="X101" s="14"/>
      <c r="Y101" s="14"/>
      <c r="Z101" s="14"/>
      <c r="AA101" s="15"/>
      <c r="AB101" s="3"/>
      <c r="AC101" s="3"/>
      <c r="AD101" s="3"/>
      <c r="AE101" s="3"/>
      <c r="AF101" s="3"/>
      <c r="AG101" s="3"/>
      <c r="AH101" s="3"/>
      <c r="AI101" s="3"/>
      <c r="AJ101" s="3"/>
      <c r="AK101" s="3"/>
      <c r="AL101" s="3"/>
      <c r="AM101" s="3"/>
      <c r="AN101" s="3"/>
      <c r="AO101" s="3"/>
    </row>
    <row r="102" spans="1:41" x14ac:dyDescent="0.25">
      <c r="A102" s="171"/>
      <c r="B102" s="13"/>
      <c r="C102" s="14"/>
      <c r="D102" s="60"/>
      <c r="E102" s="56"/>
      <c r="F102" s="56"/>
      <c r="G102" s="14"/>
      <c r="H102" s="56"/>
      <c r="I102" s="14"/>
      <c r="J102" s="14"/>
      <c r="K102" s="14"/>
      <c r="L102" s="14"/>
      <c r="M102" s="14"/>
      <c r="N102" s="14"/>
      <c r="O102" s="14"/>
      <c r="P102" s="14"/>
      <c r="Q102" s="14"/>
      <c r="R102" s="14"/>
      <c r="S102" s="14"/>
      <c r="T102" s="14"/>
      <c r="U102" s="14"/>
      <c r="V102" s="14"/>
      <c r="W102" s="14"/>
      <c r="X102" s="14"/>
      <c r="Y102" s="14"/>
      <c r="Z102" s="14"/>
      <c r="AA102" s="15"/>
      <c r="AB102" s="3"/>
      <c r="AC102" s="3"/>
      <c r="AD102" s="3"/>
      <c r="AE102" s="3"/>
      <c r="AF102" s="3"/>
      <c r="AG102" s="3"/>
      <c r="AH102" s="3"/>
      <c r="AI102" s="3"/>
      <c r="AJ102" s="3"/>
      <c r="AK102" s="3"/>
      <c r="AL102" s="3"/>
      <c r="AM102" s="3"/>
      <c r="AN102" s="3"/>
      <c r="AO102" s="3"/>
    </row>
    <row r="103" spans="1:41" x14ac:dyDescent="0.25">
      <c r="A103" s="171"/>
      <c r="B103" s="13"/>
      <c r="C103" s="14"/>
      <c r="D103" s="60"/>
      <c r="E103" s="56"/>
      <c r="F103" s="56"/>
      <c r="G103" s="14"/>
      <c r="H103" s="56"/>
      <c r="I103" s="14"/>
      <c r="J103" s="14"/>
      <c r="K103" s="14"/>
      <c r="L103" s="14"/>
      <c r="M103" s="14"/>
      <c r="N103" s="14"/>
      <c r="O103" s="14"/>
      <c r="P103" s="14"/>
      <c r="Q103" s="14"/>
      <c r="R103" s="14"/>
      <c r="S103" s="14"/>
      <c r="T103" s="14"/>
      <c r="U103" s="14"/>
      <c r="V103" s="14"/>
      <c r="W103" s="14"/>
      <c r="X103" s="14"/>
      <c r="Y103" s="14"/>
      <c r="Z103" s="14"/>
      <c r="AA103" s="15"/>
      <c r="AB103" s="3"/>
      <c r="AC103" s="3"/>
      <c r="AD103" s="3"/>
      <c r="AE103" s="3"/>
      <c r="AF103" s="3"/>
      <c r="AG103" s="3"/>
      <c r="AH103" s="3"/>
      <c r="AI103" s="3"/>
      <c r="AJ103" s="3"/>
      <c r="AK103" s="3"/>
      <c r="AL103" s="3"/>
      <c r="AM103" s="3"/>
      <c r="AN103" s="3"/>
      <c r="AO103" s="3"/>
    </row>
    <row r="104" spans="1:41" x14ac:dyDescent="0.25">
      <c r="A104" s="171"/>
      <c r="B104" s="13"/>
      <c r="C104" s="56"/>
      <c r="D104" s="60"/>
      <c r="E104" s="56"/>
      <c r="F104" s="56"/>
      <c r="G104" s="56"/>
      <c r="H104" s="56"/>
      <c r="I104" s="14"/>
      <c r="J104" s="14"/>
      <c r="K104" s="14"/>
      <c r="L104" s="14"/>
      <c r="M104" s="14"/>
      <c r="N104" s="14"/>
      <c r="O104" s="14"/>
      <c r="P104" s="14"/>
      <c r="Q104" s="14"/>
      <c r="R104" s="14"/>
      <c r="S104" s="14"/>
      <c r="T104" s="14"/>
      <c r="U104" s="14"/>
      <c r="V104" s="14"/>
      <c r="W104" s="14"/>
      <c r="X104" s="14"/>
      <c r="Y104" s="14"/>
      <c r="Z104" s="14"/>
      <c r="AA104" s="15"/>
      <c r="AB104" s="3"/>
      <c r="AC104" s="3"/>
      <c r="AD104" s="3"/>
      <c r="AE104" s="3"/>
      <c r="AF104" s="3"/>
      <c r="AG104" s="3"/>
      <c r="AH104" s="3"/>
      <c r="AI104" s="3"/>
      <c r="AJ104" s="3"/>
      <c r="AK104" s="3"/>
      <c r="AL104" s="3"/>
      <c r="AM104" s="3"/>
      <c r="AN104" s="3"/>
      <c r="AO104" s="3"/>
    </row>
    <row r="105" spans="1:41" x14ac:dyDescent="0.25">
      <c r="A105" s="171"/>
      <c r="B105" s="13"/>
      <c r="C105" s="14"/>
      <c r="D105" s="60"/>
      <c r="E105" s="56"/>
      <c r="F105" s="56"/>
      <c r="G105" s="14"/>
      <c r="H105" s="56"/>
      <c r="I105" s="14"/>
      <c r="J105" s="14"/>
      <c r="K105" s="14"/>
      <c r="L105" s="14"/>
      <c r="M105" s="14"/>
      <c r="N105" s="14"/>
      <c r="O105" s="14"/>
      <c r="P105" s="14"/>
      <c r="Q105" s="14"/>
      <c r="R105" s="14"/>
      <c r="S105" s="14"/>
      <c r="T105" s="14"/>
      <c r="U105" s="14"/>
      <c r="V105" s="14"/>
      <c r="W105" s="14"/>
      <c r="X105" s="14"/>
      <c r="Y105" s="14"/>
      <c r="Z105" s="14"/>
      <c r="AA105" s="15"/>
      <c r="AB105" s="3"/>
      <c r="AC105" s="3"/>
      <c r="AD105" s="3"/>
      <c r="AE105" s="3"/>
      <c r="AF105" s="3"/>
      <c r="AG105" s="3"/>
      <c r="AH105" s="3"/>
      <c r="AI105" s="3"/>
      <c r="AJ105" s="3"/>
      <c r="AK105" s="3"/>
      <c r="AL105" s="3"/>
      <c r="AM105" s="3"/>
      <c r="AN105" s="3"/>
      <c r="AO105" s="3"/>
    </row>
    <row r="106" spans="1:41" x14ac:dyDescent="0.25">
      <c r="A106" s="171"/>
      <c r="B106" s="13"/>
      <c r="C106" s="14"/>
      <c r="D106" s="14"/>
      <c r="E106" s="56"/>
      <c r="F106" s="56"/>
      <c r="G106" s="14"/>
      <c r="H106" s="56"/>
      <c r="I106" s="14"/>
      <c r="J106" s="14"/>
      <c r="K106" s="14"/>
      <c r="L106" s="14"/>
      <c r="M106" s="14"/>
      <c r="N106" s="14"/>
      <c r="O106" s="14"/>
      <c r="P106" s="14"/>
      <c r="Q106" s="14"/>
      <c r="R106" s="14"/>
      <c r="S106" s="14"/>
      <c r="T106" s="14"/>
      <c r="U106" s="14"/>
      <c r="V106" s="14"/>
      <c r="W106" s="14"/>
      <c r="X106" s="14"/>
      <c r="Y106" s="14"/>
      <c r="Z106" s="14"/>
      <c r="AA106" s="15"/>
      <c r="AB106" s="3"/>
      <c r="AC106" s="3"/>
      <c r="AD106" s="3"/>
      <c r="AE106" s="3"/>
      <c r="AF106" s="3"/>
      <c r="AG106" s="3"/>
      <c r="AH106" s="3"/>
      <c r="AI106" s="3"/>
      <c r="AJ106" s="3"/>
      <c r="AK106" s="3"/>
      <c r="AL106" s="3"/>
      <c r="AM106" s="3"/>
      <c r="AN106" s="3"/>
      <c r="AO106" s="3"/>
    </row>
    <row r="107" spans="1:41" x14ac:dyDescent="0.25">
      <c r="A107" s="171"/>
      <c r="B107" s="13"/>
      <c r="C107" s="14"/>
      <c r="D107" s="60"/>
      <c r="E107" s="56"/>
      <c r="F107" s="56"/>
      <c r="G107" s="57"/>
      <c r="H107" s="14"/>
      <c r="I107" s="14"/>
      <c r="J107" s="14"/>
      <c r="K107" s="14"/>
      <c r="L107" s="14"/>
      <c r="M107" s="14"/>
      <c r="N107" s="14"/>
      <c r="O107" s="14"/>
      <c r="P107" s="14"/>
      <c r="Q107" s="14"/>
      <c r="R107" s="14"/>
      <c r="S107" s="14"/>
      <c r="T107" s="14"/>
      <c r="U107" s="14"/>
      <c r="V107" s="14"/>
      <c r="W107" s="14"/>
      <c r="X107" s="14"/>
      <c r="Y107" s="14"/>
      <c r="Z107" s="14"/>
      <c r="AA107" s="15"/>
      <c r="AB107" s="3"/>
      <c r="AC107" s="3"/>
      <c r="AD107" s="3"/>
      <c r="AE107" s="3"/>
      <c r="AF107" s="3"/>
      <c r="AG107" s="3"/>
      <c r="AH107" s="3"/>
      <c r="AI107" s="3"/>
      <c r="AJ107" s="3"/>
      <c r="AK107" s="3"/>
      <c r="AL107" s="3"/>
      <c r="AM107" s="3"/>
      <c r="AN107" s="3"/>
      <c r="AO107" s="3"/>
    </row>
    <row r="108" spans="1:41" x14ac:dyDescent="0.25">
      <c r="A108" s="171"/>
      <c r="B108" s="13"/>
      <c r="C108" s="14"/>
      <c r="D108" s="60"/>
      <c r="E108" s="56"/>
      <c r="F108" s="56"/>
      <c r="G108" s="128"/>
      <c r="H108" s="56"/>
      <c r="I108" s="14"/>
      <c r="J108" s="14"/>
      <c r="K108" s="14"/>
      <c r="L108" s="14"/>
      <c r="M108" s="14"/>
      <c r="N108" s="14"/>
      <c r="O108" s="14"/>
      <c r="P108" s="14"/>
      <c r="Q108" s="14"/>
      <c r="R108" s="14"/>
      <c r="S108" s="14"/>
      <c r="T108" s="14"/>
      <c r="U108" s="14"/>
      <c r="V108" s="14"/>
      <c r="W108" s="14"/>
      <c r="X108" s="14"/>
      <c r="Y108" s="14"/>
      <c r="Z108" s="14"/>
      <c r="AA108" s="15"/>
      <c r="AB108" s="3"/>
      <c r="AC108" s="3"/>
      <c r="AD108" s="3"/>
      <c r="AE108" s="3"/>
      <c r="AF108" s="3"/>
      <c r="AG108" s="3"/>
      <c r="AH108" s="3"/>
      <c r="AI108" s="3"/>
      <c r="AJ108" s="3"/>
      <c r="AK108" s="3"/>
      <c r="AL108" s="3"/>
      <c r="AM108" s="3"/>
      <c r="AN108" s="3"/>
      <c r="AO108" s="3"/>
    </row>
    <row r="109" spans="1:41" x14ac:dyDescent="0.25">
      <c r="A109" s="171"/>
      <c r="B109" s="13"/>
      <c r="C109" s="14"/>
      <c r="D109" s="60"/>
      <c r="E109" s="56"/>
      <c r="F109" s="56"/>
      <c r="G109" s="14"/>
      <c r="H109" s="56"/>
      <c r="I109" s="14"/>
      <c r="J109" s="14"/>
      <c r="K109" s="14"/>
      <c r="L109" s="14"/>
      <c r="M109" s="14"/>
      <c r="N109" s="14"/>
      <c r="O109" s="14"/>
      <c r="P109" s="14"/>
      <c r="Q109" s="14"/>
      <c r="R109" s="14"/>
      <c r="S109" s="14"/>
      <c r="T109" s="14"/>
      <c r="U109" s="14"/>
      <c r="V109" s="14"/>
      <c r="W109" s="14"/>
      <c r="X109" s="14"/>
      <c r="Y109" s="14"/>
      <c r="Z109" s="14"/>
      <c r="AA109" s="15"/>
      <c r="AB109" s="3"/>
      <c r="AC109" s="3"/>
      <c r="AD109" s="3"/>
      <c r="AE109" s="3"/>
      <c r="AF109" s="3"/>
      <c r="AG109" s="3"/>
      <c r="AH109" s="3"/>
      <c r="AI109" s="3"/>
      <c r="AJ109" s="3"/>
      <c r="AK109" s="3"/>
      <c r="AL109" s="3"/>
      <c r="AM109" s="3"/>
      <c r="AN109" s="3"/>
      <c r="AO109" s="3"/>
    </row>
    <row r="110" spans="1:41" x14ac:dyDescent="0.25">
      <c r="A110" s="171"/>
      <c r="B110" s="13"/>
      <c r="C110" s="14"/>
      <c r="D110" s="60"/>
      <c r="E110" s="56"/>
      <c r="F110" s="56"/>
      <c r="G110" s="14"/>
      <c r="H110" s="56"/>
      <c r="I110" s="14"/>
      <c r="J110" s="14"/>
      <c r="K110" s="14"/>
      <c r="L110" s="14"/>
      <c r="M110" s="14"/>
      <c r="N110" s="14"/>
      <c r="O110" s="14"/>
      <c r="P110" s="14"/>
      <c r="Q110" s="14"/>
      <c r="R110" s="14"/>
      <c r="S110" s="14"/>
      <c r="T110" s="14"/>
      <c r="U110" s="14"/>
      <c r="V110" s="14"/>
      <c r="W110" s="14"/>
      <c r="X110" s="14"/>
      <c r="Y110" s="14"/>
      <c r="Z110" s="14"/>
      <c r="AA110" s="15"/>
      <c r="AB110" s="3"/>
      <c r="AC110" s="3"/>
      <c r="AD110" s="3"/>
      <c r="AE110" s="3"/>
      <c r="AF110" s="3"/>
      <c r="AG110" s="3"/>
      <c r="AH110" s="3"/>
      <c r="AI110" s="3"/>
      <c r="AJ110" s="3"/>
      <c r="AK110" s="3"/>
      <c r="AL110" s="3"/>
      <c r="AM110" s="3"/>
      <c r="AN110" s="3"/>
      <c r="AO110" s="3"/>
    </row>
    <row r="111" spans="1:41" x14ac:dyDescent="0.25">
      <c r="A111" s="171"/>
      <c r="B111" s="13"/>
      <c r="C111" s="56"/>
      <c r="D111" s="60"/>
      <c r="E111" s="56"/>
      <c r="F111" s="56"/>
      <c r="G111" s="56"/>
      <c r="H111" s="56"/>
      <c r="I111" s="14"/>
      <c r="J111" s="14"/>
      <c r="K111" s="14"/>
      <c r="L111" s="14"/>
      <c r="M111" s="14"/>
      <c r="N111" s="14"/>
      <c r="O111" s="14"/>
      <c r="P111" s="14"/>
      <c r="Q111" s="14"/>
      <c r="R111" s="14"/>
      <c r="S111" s="14"/>
      <c r="T111" s="14"/>
      <c r="U111" s="14"/>
      <c r="V111" s="14"/>
      <c r="W111" s="14"/>
      <c r="X111" s="14"/>
      <c r="Y111" s="14"/>
      <c r="Z111" s="14"/>
      <c r="AA111" s="15"/>
      <c r="AB111" s="3"/>
      <c r="AC111" s="3"/>
      <c r="AD111" s="3"/>
      <c r="AE111" s="3"/>
      <c r="AF111" s="3"/>
      <c r="AG111" s="3"/>
      <c r="AH111" s="3"/>
      <c r="AI111" s="3"/>
      <c r="AJ111" s="3"/>
      <c r="AK111" s="3"/>
      <c r="AL111" s="3"/>
      <c r="AM111" s="3"/>
      <c r="AN111" s="3"/>
      <c r="AO111" s="3"/>
    </row>
    <row r="112" spans="1:41" ht="18.75" x14ac:dyDescent="0.3">
      <c r="A112" s="171"/>
      <c r="B112" s="67"/>
      <c r="C112" s="14"/>
      <c r="D112" s="60"/>
      <c r="E112" s="56"/>
      <c r="F112" s="56"/>
      <c r="G112" s="14"/>
      <c r="H112" s="56"/>
      <c r="I112" s="74"/>
      <c r="J112" s="14"/>
      <c r="K112" s="14"/>
      <c r="L112" s="14"/>
      <c r="M112" s="14"/>
      <c r="N112" s="14"/>
      <c r="O112" s="14"/>
      <c r="P112" s="14"/>
      <c r="Q112" s="14"/>
      <c r="R112" s="14"/>
      <c r="S112" s="14"/>
      <c r="T112" s="14"/>
      <c r="U112" s="14"/>
      <c r="V112" s="14"/>
      <c r="W112" s="14"/>
      <c r="X112" s="14"/>
      <c r="Y112" s="14"/>
      <c r="Z112" s="14"/>
      <c r="AA112" s="15"/>
      <c r="AB112" s="3"/>
      <c r="AC112" s="3"/>
      <c r="AD112" s="3"/>
      <c r="AE112" s="3"/>
      <c r="AF112" s="3"/>
      <c r="AG112" s="3"/>
      <c r="AH112" s="3"/>
      <c r="AI112" s="3"/>
      <c r="AJ112" s="3"/>
      <c r="AK112" s="3"/>
      <c r="AL112" s="3"/>
      <c r="AM112" s="3"/>
      <c r="AN112" s="3"/>
      <c r="AO112" s="3"/>
    </row>
    <row r="113" spans="1:41" x14ac:dyDescent="0.25">
      <c r="A113" s="171"/>
      <c r="B113" s="13"/>
      <c r="C113" s="14"/>
      <c r="D113" s="14"/>
      <c r="E113" s="56"/>
      <c r="F113" s="56"/>
      <c r="G113" s="14"/>
      <c r="H113" s="56"/>
      <c r="I113" s="14"/>
      <c r="J113" s="14"/>
      <c r="K113" s="14"/>
      <c r="L113" s="14"/>
      <c r="M113" s="14"/>
      <c r="N113" s="14"/>
      <c r="O113" s="14"/>
      <c r="P113" s="14"/>
      <c r="Q113" s="14"/>
      <c r="R113" s="14"/>
      <c r="S113" s="14"/>
      <c r="T113" s="14"/>
      <c r="U113" s="14"/>
      <c r="V113" s="14"/>
      <c r="W113" s="14"/>
      <c r="X113" s="14"/>
      <c r="Y113" s="14"/>
      <c r="Z113" s="14"/>
      <c r="AA113" s="15"/>
      <c r="AB113" s="3"/>
      <c r="AC113" s="3"/>
      <c r="AD113" s="3"/>
      <c r="AE113" s="3"/>
      <c r="AF113" s="3"/>
      <c r="AG113" s="3"/>
      <c r="AH113" s="3"/>
      <c r="AI113" s="3"/>
      <c r="AJ113" s="3"/>
      <c r="AK113" s="3"/>
      <c r="AL113" s="3"/>
      <c r="AM113" s="3"/>
      <c r="AN113" s="3"/>
      <c r="AO113" s="3"/>
    </row>
    <row r="114" spans="1:41" x14ac:dyDescent="0.25">
      <c r="A114" s="171"/>
      <c r="B114" s="13"/>
      <c r="C114" s="14"/>
      <c r="D114" s="60"/>
      <c r="E114" s="56"/>
      <c r="F114" s="56"/>
      <c r="G114" s="57"/>
      <c r="H114" s="14"/>
      <c r="I114" s="14"/>
      <c r="J114" s="14"/>
      <c r="K114" s="14"/>
      <c r="L114" s="14"/>
      <c r="M114" s="14"/>
      <c r="N114" s="14"/>
      <c r="O114" s="14"/>
      <c r="P114" s="14"/>
      <c r="Q114" s="14"/>
      <c r="R114" s="14"/>
      <c r="S114" s="14"/>
      <c r="T114" s="14"/>
      <c r="U114" s="14"/>
      <c r="V114" s="14"/>
      <c r="W114" s="14"/>
      <c r="X114" s="14"/>
      <c r="Y114" s="14"/>
      <c r="Z114" s="14"/>
      <c r="AA114" s="15"/>
      <c r="AB114" s="3"/>
      <c r="AC114" s="3"/>
      <c r="AD114" s="3"/>
      <c r="AE114" s="3"/>
      <c r="AF114" s="3"/>
      <c r="AG114" s="3"/>
      <c r="AH114" s="3"/>
      <c r="AI114" s="3"/>
      <c r="AJ114" s="3"/>
      <c r="AK114" s="3"/>
      <c r="AL114" s="3"/>
      <c r="AM114" s="3"/>
      <c r="AN114" s="3"/>
      <c r="AO114" s="3"/>
    </row>
    <row r="115" spans="1:41" x14ac:dyDescent="0.25">
      <c r="A115" s="171"/>
      <c r="B115" s="13"/>
      <c r="C115" s="14"/>
      <c r="D115" s="60"/>
      <c r="E115" s="56"/>
      <c r="F115" s="56"/>
      <c r="G115" s="128"/>
      <c r="H115" s="56"/>
      <c r="I115" s="14"/>
      <c r="J115" s="14"/>
      <c r="K115" s="14"/>
      <c r="L115" s="14"/>
      <c r="M115" s="14"/>
      <c r="N115" s="14"/>
      <c r="O115" s="14"/>
      <c r="P115" s="14"/>
      <c r="Q115" s="14"/>
      <c r="R115" s="14"/>
      <c r="S115" s="14"/>
      <c r="T115" s="14"/>
      <c r="U115" s="14"/>
      <c r="V115" s="14"/>
      <c r="W115" s="14"/>
      <c r="X115" s="14"/>
      <c r="Y115" s="14"/>
      <c r="Z115" s="14"/>
      <c r="AA115" s="15"/>
      <c r="AB115" s="3"/>
      <c r="AC115" s="3"/>
      <c r="AD115" s="3"/>
      <c r="AE115" s="3"/>
      <c r="AF115" s="3"/>
      <c r="AG115" s="3"/>
      <c r="AH115" s="3"/>
      <c r="AI115" s="3"/>
      <c r="AJ115" s="3"/>
      <c r="AK115" s="3"/>
      <c r="AL115" s="3"/>
      <c r="AM115" s="3"/>
      <c r="AN115" s="3"/>
      <c r="AO115" s="3"/>
    </row>
    <row r="116" spans="1:41" x14ac:dyDescent="0.25">
      <c r="A116" s="171"/>
      <c r="B116" s="13"/>
      <c r="C116" s="14"/>
      <c r="D116" s="60"/>
      <c r="E116" s="56"/>
      <c r="F116" s="56"/>
      <c r="G116" s="14"/>
      <c r="H116" s="56"/>
      <c r="I116" s="14"/>
      <c r="J116" s="14"/>
      <c r="K116" s="14"/>
      <c r="L116" s="14"/>
      <c r="M116" s="14"/>
      <c r="N116" s="14"/>
      <c r="O116" s="14"/>
      <c r="P116" s="14"/>
      <c r="Q116" s="14"/>
      <c r="R116" s="14"/>
      <c r="S116" s="14"/>
      <c r="T116" s="14"/>
      <c r="U116" s="14"/>
      <c r="V116" s="14"/>
      <c r="W116" s="14"/>
      <c r="X116" s="14"/>
      <c r="Y116" s="14"/>
      <c r="Z116" s="14"/>
      <c r="AA116" s="15"/>
      <c r="AB116" s="3"/>
      <c r="AC116" s="3"/>
      <c r="AD116" s="3"/>
      <c r="AE116" s="3"/>
      <c r="AF116" s="3"/>
      <c r="AG116" s="3"/>
      <c r="AH116" s="3"/>
      <c r="AI116" s="3"/>
      <c r="AJ116" s="3"/>
      <c r="AK116" s="3"/>
      <c r="AL116" s="3"/>
      <c r="AM116" s="3"/>
      <c r="AN116" s="3"/>
      <c r="AO116" s="3"/>
    </row>
    <row r="117" spans="1:41" x14ac:dyDescent="0.25">
      <c r="A117" s="171"/>
      <c r="B117" s="13"/>
      <c r="C117" s="14"/>
      <c r="D117" s="60"/>
      <c r="E117" s="56"/>
      <c r="F117" s="56"/>
      <c r="G117" s="14"/>
      <c r="H117" s="56"/>
      <c r="I117" s="14"/>
      <c r="J117" s="14"/>
      <c r="K117" s="14"/>
      <c r="L117" s="14"/>
      <c r="M117" s="14"/>
      <c r="N117" s="14"/>
      <c r="O117" s="14"/>
      <c r="P117" s="14"/>
      <c r="Q117" s="14"/>
      <c r="R117" s="14"/>
      <c r="S117" s="14"/>
      <c r="T117" s="14"/>
      <c r="U117" s="14"/>
      <c r="V117" s="14"/>
      <c r="W117" s="14"/>
      <c r="X117" s="14"/>
      <c r="Y117" s="14"/>
      <c r="Z117" s="14"/>
      <c r="AA117" s="15"/>
      <c r="AB117" s="3"/>
      <c r="AC117" s="3"/>
      <c r="AD117" s="3"/>
      <c r="AE117" s="3"/>
      <c r="AF117" s="3"/>
      <c r="AG117" s="3"/>
      <c r="AH117" s="3"/>
      <c r="AI117" s="3"/>
      <c r="AJ117" s="3"/>
      <c r="AK117" s="3"/>
      <c r="AL117" s="3"/>
      <c r="AM117" s="3"/>
      <c r="AN117" s="3"/>
      <c r="AO117" s="3"/>
    </row>
    <row r="118" spans="1:41" x14ac:dyDescent="0.25">
      <c r="A118" s="171"/>
      <c r="B118" s="13"/>
      <c r="C118" s="56"/>
      <c r="D118" s="60"/>
      <c r="E118" s="56"/>
      <c r="F118" s="56"/>
      <c r="G118" s="56"/>
      <c r="H118" s="56"/>
      <c r="I118" s="14"/>
      <c r="J118" s="14"/>
      <c r="K118" s="14"/>
      <c r="L118" s="14"/>
      <c r="M118" s="14"/>
      <c r="N118" s="14"/>
      <c r="O118" s="14"/>
      <c r="P118" s="14"/>
      <c r="Q118" s="14"/>
      <c r="R118" s="14"/>
      <c r="S118" s="14"/>
      <c r="T118" s="14"/>
      <c r="U118" s="14"/>
      <c r="V118" s="14"/>
      <c r="W118" s="14"/>
      <c r="X118" s="14"/>
      <c r="Y118" s="14"/>
      <c r="Z118" s="14"/>
      <c r="AA118" s="15"/>
      <c r="AB118" s="3"/>
      <c r="AC118" s="3"/>
      <c r="AD118" s="3"/>
      <c r="AE118" s="3"/>
      <c r="AF118" s="3"/>
      <c r="AG118" s="3"/>
      <c r="AH118" s="3"/>
      <c r="AI118" s="3"/>
      <c r="AJ118" s="3"/>
      <c r="AK118" s="3"/>
      <c r="AL118" s="3"/>
      <c r="AM118" s="3"/>
      <c r="AN118" s="3"/>
      <c r="AO118" s="3"/>
    </row>
    <row r="119" spans="1:41" x14ac:dyDescent="0.25">
      <c r="A119" s="171"/>
      <c r="B119" s="13"/>
      <c r="C119" s="14"/>
      <c r="D119" s="60"/>
      <c r="E119" s="56"/>
      <c r="F119" s="56"/>
      <c r="G119" s="14"/>
      <c r="H119" s="56"/>
      <c r="I119" s="14"/>
      <c r="J119" s="14"/>
      <c r="K119" s="14"/>
      <c r="L119" s="14"/>
      <c r="M119" s="14"/>
      <c r="N119" s="14"/>
      <c r="O119" s="14"/>
      <c r="P119" s="14"/>
      <c r="Q119" s="14"/>
      <c r="R119" s="14"/>
      <c r="S119" s="14"/>
      <c r="T119" s="14"/>
      <c r="U119" s="14"/>
      <c r="V119" s="14"/>
      <c r="W119" s="14"/>
      <c r="X119" s="14"/>
      <c r="Y119" s="14"/>
      <c r="Z119" s="14"/>
      <c r="AA119" s="15"/>
      <c r="AB119" s="3"/>
      <c r="AC119" s="3"/>
      <c r="AD119" s="3"/>
      <c r="AE119" s="3"/>
      <c r="AF119" s="3"/>
      <c r="AG119" s="3"/>
      <c r="AH119" s="3"/>
      <c r="AI119" s="3"/>
      <c r="AJ119" s="3"/>
      <c r="AK119" s="3"/>
      <c r="AL119" s="3"/>
      <c r="AM119" s="3"/>
      <c r="AN119" s="3"/>
      <c r="AO119" s="3"/>
    </row>
    <row r="120" spans="1:41" x14ac:dyDescent="0.25">
      <c r="A120" s="171"/>
      <c r="B120" s="13"/>
      <c r="C120" s="14"/>
      <c r="D120" s="14"/>
      <c r="E120" s="56"/>
      <c r="F120" s="56"/>
      <c r="G120" s="14"/>
      <c r="H120" s="56"/>
      <c r="I120" s="14"/>
      <c r="J120" s="14"/>
      <c r="K120" s="14"/>
      <c r="L120" s="14"/>
      <c r="M120" s="14"/>
      <c r="N120" s="14"/>
      <c r="O120" s="14"/>
      <c r="P120" s="14"/>
      <c r="Q120" s="14"/>
      <c r="R120" s="14"/>
      <c r="S120" s="14"/>
      <c r="T120" s="14"/>
      <c r="U120" s="14"/>
      <c r="V120" s="14"/>
      <c r="W120" s="14"/>
      <c r="X120" s="14"/>
      <c r="Y120" s="14"/>
      <c r="Z120" s="14"/>
      <c r="AA120" s="15"/>
      <c r="AB120" s="3"/>
      <c r="AC120" s="3"/>
      <c r="AD120" s="3"/>
      <c r="AE120" s="3"/>
      <c r="AF120" s="3"/>
      <c r="AG120" s="3"/>
      <c r="AH120" s="3"/>
      <c r="AI120" s="3"/>
      <c r="AJ120" s="3"/>
      <c r="AK120" s="3"/>
      <c r="AL120" s="3"/>
      <c r="AM120" s="3"/>
      <c r="AN120" s="3"/>
      <c r="AO120" s="3"/>
    </row>
    <row r="121" spans="1:41" x14ac:dyDescent="0.25">
      <c r="A121" s="171"/>
      <c r="B121" s="13"/>
      <c r="C121" s="14"/>
      <c r="D121" s="60"/>
      <c r="E121" s="56"/>
      <c r="F121" s="56"/>
      <c r="G121" s="57"/>
      <c r="H121" s="14"/>
      <c r="I121" s="14"/>
      <c r="J121" s="14"/>
      <c r="K121" s="14"/>
      <c r="L121" s="14"/>
      <c r="M121" s="14"/>
      <c r="N121" s="14"/>
      <c r="O121" s="14"/>
      <c r="P121" s="14"/>
      <c r="Q121" s="14"/>
      <c r="R121" s="14"/>
      <c r="S121" s="14"/>
      <c r="T121" s="14"/>
      <c r="U121" s="14"/>
      <c r="V121" s="14"/>
      <c r="W121" s="14"/>
      <c r="X121" s="14"/>
      <c r="Y121" s="14"/>
      <c r="Z121" s="14"/>
      <c r="AA121" s="15"/>
      <c r="AB121" s="3"/>
      <c r="AC121" s="3"/>
      <c r="AD121" s="3"/>
      <c r="AE121" s="3"/>
      <c r="AF121" s="3"/>
      <c r="AG121" s="3"/>
      <c r="AH121" s="3"/>
      <c r="AI121" s="3"/>
      <c r="AJ121" s="3"/>
      <c r="AK121" s="3"/>
      <c r="AL121" s="3"/>
      <c r="AM121" s="3"/>
      <c r="AN121" s="3"/>
      <c r="AO121" s="3"/>
    </row>
    <row r="122" spans="1:41" x14ac:dyDescent="0.25">
      <c r="A122" s="171"/>
      <c r="B122" s="13"/>
      <c r="C122" s="14"/>
      <c r="D122" s="60"/>
      <c r="E122" s="56"/>
      <c r="F122" s="56"/>
      <c r="G122" s="128"/>
      <c r="H122" s="56"/>
      <c r="I122" s="14"/>
      <c r="J122" s="14"/>
      <c r="K122" s="14"/>
      <c r="L122" s="14"/>
      <c r="M122" s="14"/>
      <c r="N122" s="14"/>
      <c r="O122" s="14"/>
      <c r="P122" s="14"/>
      <c r="Q122" s="14"/>
      <c r="R122" s="14"/>
      <c r="S122" s="14"/>
      <c r="T122" s="14"/>
      <c r="U122" s="14"/>
      <c r="V122" s="14"/>
      <c r="W122" s="14"/>
      <c r="X122" s="14"/>
      <c r="Y122" s="14"/>
      <c r="Z122" s="14"/>
      <c r="AA122" s="15"/>
      <c r="AB122" s="3"/>
      <c r="AC122" s="3"/>
      <c r="AD122" s="3"/>
      <c r="AE122" s="3"/>
      <c r="AF122" s="3"/>
      <c r="AG122" s="3"/>
      <c r="AH122" s="3"/>
      <c r="AI122" s="3"/>
      <c r="AJ122" s="3"/>
      <c r="AK122" s="3"/>
      <c r="AL122" s="3"/>
      <c r="AM122" s="3"/>
      <c r="AN122" s="3"/>
      <c r="AO122" s="3"/>
    </row>
    <row r="123" spans="1:41" x14ac:dyDescent="0.25">
      <c r="A123" s="171"/>
      <c r="B123" s="13"/>
      <c r="C123" s="14"/>
      <c r="D123" s="60"/>
      <c r="E123" s="56"/>
      <c r="F123" s="56"/>
      <c r="G123" s="14"/>
      <c r="H123" s="56"/>
      <c r="I123" s="14"/>
      <c r="J123" s="14"/>
      <c r="K123" s="14"/>
      <c r="L123" s="14"/>
      <c r="M123" s="14"/>
      <c r="N123" s="14"/>
      <c r="O123" s="14"/>
      <c r="P123" s="14"/>
      <c r="Q123" s="14"/>
      <c r="R123" s="14"/>
      <c r="S123" s="14"/>
      <c r="T123" s="14"/>
      <c r="U123" s="14"/>
      <c r="V123" s="14"/>
      <c r="W123" s="14"/>
      <c r="X123" s="14"/>
      <c r="Y123" s="14"/>
      <c r="Z123" s="14"/>
      <c r="AA123" s="15"/>
      <c r="AB123" s="3"/>
      <c r="AC123" s="3"/>
      <c r="AD123" s="3"/>
      <c r="AE123" s="3"/>
      <c r="AF123" s="3"/>
      <c r="AG123" s="3"/>
      <c r="AH123" s="3"/>
      <c r="AI123" s="3"/>
      <c r="AJ123" s="3"/>
      <c r="AK123" s="3"/>
      <c r="AL123" s="3"/>
      <c r="AM123" s="3"/>
      <c r="AN123" s="3"/>
      <c r="AO123" s="3"/>
    </row>
    <row r="124" spans="1:41" x14ac:dyDescent="0.25">
      <c r="A124" s="171"/>
      <c r="B124" s="13"/>
      <c r="C124" s="14"/>
      <c r="D124" s="60"/>
      <c r="E124" s="56"/>
      <c r="F124" s="56"/>
      <c r="G124" s="14"/>
      <c r="H124" s="56"/>
      <c r="I124" s="14"/>
      <c r="J124" s="14"/>
      <c r="K124" s="14"/>
      <c r="L124" s="14"/>
      <c r="M124" s="14"/>
      <c r="N124" s="14"/>
      <c r="O124" s="14"/>
      <c r="P124" s="14"/>
      <c r="Q124" s="14"/>
      <c r="R124" s="14"/>
      <c r="S124" s="14"/>
      <c r="T124" s="14"/>
      <c r="U124" s="14"/>
      <c r="V124" s="14"/>
      <c r="W124" s="14"/>
      <c r="X124" s="14"/>
      <c r="Y124" s="14"/>
      <c r="Z124" s="14"/>
      <c r="AA124" s="15"/>
      <c r="AB124" s="3"/>
      <c r="AC124" s="3"/>
      <c r="AD124" s="3"/>
      <c r="AE124" s="3"/>
      <c r="AF124" s="3"/>
      <c r="AG124" s="3"/>
      <c r="AH124" s="3"/>
      <c r="AI124" s="3"/>
      <c r="AJ124" s="3"/>
      <c r="AK124" s="3"/>
      <c r="AL124" s="3"/>
      <c r="AM124" s="3"/>
      <c r="AN124" s="3"/>
      <c r="AO124" s="3"/>
    </row>
    <row r="125" spans="1:41" x14ac:dyDescent="0.25">
      <c r="A125" s="171"/>
      <c r="B125" s="13"/>
      <c r="C125" s="56"/>
      <c r="D125" s="60"/>
      <c r="E125" s="56"/>
      <c r="F125" s="56"/>
      <c r="G125" s="56"/>
      <c r="H125" s="56"/>
      <c r="I125" s="14"/>
      <c r="J125" s="14"/>
      <c r="K125" s="14"/>
      <c r="L125" s="14"/>
      <c r="M125" s="14"/>
      <c r="N125" s="14"/>
      <c r="O125" s="14"/>
      <c r="P125" s="14"/>
      <c r="Q125" s="14"/>
      <c r="R125" s="14"/>
      <c r="S125" s="14"/>
      <c r="T125" s="14"/>
      <c r="U125" s="14"/>
      <c r="V125" s="14"/>
      <c r="W125" s="14"/>
      <c r="X125" s="14"/>
      <c r="Y125" s="14"/>
      <c r="Z125" s="14"/>
      <c r="AA125" s="15"/>
      <c r="AB125" s="3"/>
      <c r="AC125" s="3"/>
      <c r="AD125" s="3"/>
      <c r="AE125" s="3"/>
      <c r="AF125" s="3"/>
      <c r="AG125" s="3"/>
      <c r="AH125" s="3"/>
      <c r="AI125" s="3"/>
      <c r="AJ125" s="3"/>
      <c r="AK125" s="3"/>
      <c r="AL125" s="3"/>
      <c r="AM125" s="3"/>
      <c r="AN125" s="3"/>
      <c r="AO125" s="3"/>
    </row>
    <row r="126" spans="1:41" ht="18.75" x14ac:dyDescent="0.3">
      <c r="A126" s="171"/>
      <c r="B126" s="67"/>
      <c r="C126" s="14"/>
      <c r="D126" s="60"/>
      <c r="E126" s="56"/>
      <c r="F126" s="56"/>
      <c r="G126" s="14"/>
      <c r="H126" s="56"/>
      <c r="I126" s="74"/>
      <c r="J126" s="14"/>
      <c r="K126" s="14"/>
      <c r="L126" s="14"/>
      <c r="M126" s="14"/>
      <c r="N126" s="14"/>
      <c r="O126" s="14"/>
      <c r="P126" s="14"/>
      <c r="Q126" s="14"/>
      <c r="R126" s="14"/>
      <c r="S126" s="14"/>
      <c r="T126" s="14"/>
      <c r="U126" s="14"/>
      <c r="V126" s="14"/>
      <c r="W126" s="14"/>
      <c r="X126" s="14"/>
      <c r="Y126" s="14"/>
      <c r="Z126" s="14"/>
      <c r="AA126" s="15"/>
      <c r="AB126" s="3"/>
      <c r="AC126" s="3"/>
      <c r="AD126" s="3"/>
      <c r="AE126" s="3"/>
      <c r="AF126" s="3"/>
      <c r="AG126" s="3"/>
      <c r="AH126" s="3"/>
      <c r="AI126" s="3"/>
      <c r="AJ126" s="3"/>
      <c r="AK126" s="3"/>
      <c r="AL126" s="3"/>
      <c r="AM126" s="3"/>
      <c r="AN126" s="3"/>
      <c r="AO126" s="3"/>
    </row>
    <row r="127" spans="1:41" x14ac:dyDescent="0.25">
      <c r="A127" s="171"/>
      <c r="B127" s="13"/>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5"/>
      <c r="AB127" s="3"/>
      <c r="AC127" s="3"/>
      <c r="AD127" s="3"/>
      <c r="AE127" s="3"/>
      <c r="AF127" s="3"/>
      <c r="AG127" s="3"/>
      <c r="AH127" s="3"/>
      <c r="AI127" s="3"/>
      <c r="AJ127" s="3"/>
      <c r="AK127" s="3"/>
      <c r="AL127" s="3"/>
      <c r="AM127" s="3"/>
      <c r="AN127" s="3"/>
      <c r="AO127" s="3"/>
    </row>
    <row r="128" spans="1:41" x14ac:dyDescent="0.25">
      <c r="A128" s="171"/>
      <c r="B128" s="13"/>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5"/>
      <c r="AB128" s="3"/>
      <c r="AC128" s="3"/>
      <c r="AD128" s="3"/>
      <c r="AE128" s="3"/>
      <c r="AF128" s="3"/>
      <c r="AG128" s="3"/>
      <c r="AH128" s="3"/>
      <c r="AI128" s="3"/>
      <c r="AJ128" s="3"/>
      <c r="AK128" s="3"/>
      <c r="AL128" s="3"/>
      <c r="AM128" s="3"/>
      <c r="AN128" s="3"/>
      <c r="AO128" s="3"/>
    </row>
    <row r="129" spans="1:41" x14ac:dyDescent="0.25">
      <c r="A129" s="171"/>
      <c r="B129" s="13"/>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5"/>
      <c r="AB129" s="3"/>
      <c r="AC129" s="3"/>
      <c r="AD129" s="3"/>
      <c r="AE129" s="3"/>
      <c r="AF129" s="3"/>
      <c r="AG129" s="3"/>
      <c r="AH129" s="3"/>
      <c r="AI129" s="3"/>
      <c r="AJ129" s="3"/>
      <c r="AK129" s="3"/>
      <c r="AL129" s="3"/>
      <c r="AM129" s="3"/>
      <c r="AN129" s="3"/>
      <c r="AO129" s="3"/>
    </row>
    <row r="130" spans="1:41" x14ac:dyDescent="0.25">
      <c r="A130" s="171"/>
      <c r="B130" s="13"/>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5"/>
      <c r="AB130" s="3"/>
      <c r="AC130" s="3"/>
      <c r="AD130" s="3"/>
      <c r="AE130" s="3"/>
      <c r="AF130" s="3"/>
      <c r="AG130" s="3"/>
      <c r="AH130" s="3"/>
      <c r="AI130" s="3"/>
      <c r="AJ130" s="3"/>
      <c r="AK130" s="3"/>
      <c r="AL130" s="3"/>
      <c r="AM130" s="3"/>
      <c r="AN130" s="3"/>
      <c r="AO130" s="3"/>
    </row>
    <row r="131" spans="1:41" x14ac:dyDescent="0.25">
      <c r="A131" s="171"/>
      <c r="B131" s="13"/>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5"/>
      <c r="AB131" s="3"/>
      <c r="AC131" s="3"/>
      <c r="AD131" s="3"/>
      <c r="AE131" s="3"/>
      <c r="AF131" s="3"/>
      <c r="AG131" s="3"/>
      <c r="AH131" s="3"/>
      <c r="AI131" s="3"/>
      <c r="AJ131" s="3"/>
      <c r="AK131" s="3"/>
      <c r="AL131" s="3"/>
      <c r="AM131" s="3"/>
      <c r="AN131" s="3"/>
      <c r="AO131" s="3"/>
    </row>
    <row r="132" spans="1:41" x14ac:dyDescent="0.25">
      <c r="A132" s="171"/>
      <c r="B132" s="13"/>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5"/>
      <c r="AB132" s="3"/>
      <c r="AC132" s="3"/>
      <c r="AD132" s="3"/>
      <c r="AE132" s="3"/>
      <c r="AF132" s="3"/>
      <c r="AG132" s="3"/>
      <c r="AH132" s="3"/>
      <c r="AI132" s="3"/>
      <c r="AJ132" s="3"/>
      <c r="AK132" s="3"/>
      <c r="AL132" s="3"/>
      <c r="AM132" s="3"/>
      <c r="AN132" s="3"/>
      <c r="AO132" s="3"/>
    </row>
    <row r="133" spans="1:41" x14ac:dyDescent="0.25">
      <c r="A133" s="171"/>
      <c r="B133" s="13"/>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5"/>
      <c r="AB133" s="3"/>
      <c r="AC133" s="3"/>
      <c r="AD133" s="3"/>
      <c r="AE133" s="3"/>
      <c r="AF133" s="3"/>
      <c r="AG133" s="3"/>
      <c r="AH133" s="3"/>
      <c r="AI133" s="3"/>
      <c r="AJ133" s="3"/>
      <c r="AK133" s="3"/>
      <c r="AL133" s="3"/>
      <c r="AM133" s="3"/>
      <c r="AN133" s="3"/>
      <c r="AO133" s="3"/>
    </row>
    <row r="134" spans="1:41" x14ac:dyDescent="0.25">
      <c r="A134" s="171"/>
      <c r="B134" s="13"/>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5"/>
      <c r="AB134" s="3"/>
      <c r="AC134" s="3"/>
      <c r="AD134" s="3"/>
      <c r="AE134" s="3"/>
      <c r="AF134" s="3"/>
      <c r="AG134" s="3"/>
      <c r="AH134" s="3"/>
      <c r="AI134" s="3"/>
      <c r="AJ134" s="3"/>
      <c r="AK134" s="3"/>
      <c r="AL134" s="3"/>
      <c r="AM134" s="3"/>
      <c r="AN134" s="3"/>
      <c r="AO134" s="3"/>
    </row>
    <row r="135" spans="1:41" ht="15.4" customHeight="1" x14ac:dyDescent="0.25">
      <c r="A135" s="171"/>
      <c r="B135" s="13"/>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5"/>
      <c r="AB135" s="3"/>
      <c r="AC135" s="3"/>
      <c r="AD135" s="3"/>
      <c r="AE135" s="3"/>
      <c r="AF135" s="3"/>
      <c r="AG135" s="3"/>
      <c r="AH135" s="3"/>
      <c r="AI135" s="3"/>
      <c r="AJ135" s="3"/>
      <c r="AK135" s="3"/>
      <c r="AL135" s="3"/>
      <c r="AM135" s="3"/>
      <c r="AN135" s="3"/>
      <c r="AO135" s="3"/>
    </row>
    <row r="136" spans="1:41" x14ac:dyDescent="0.25">
      <c r="A136" s="171"/>
      <c r="B136" s="13"/>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5"/>
      <c r="AB136" s="3"/>
      <c r="AC136" s="3"/>
      <c r="AD136" s="3"/>
      <c r="AE136" s="3"/>
      <c r="AF136" s="3"/>
      <c r="AG136" s="3"/>
      <c r="AH136" s="3"/>
      <c r="AI136" s="3"/>
      <c r="AJ136" s="3"/>
      <c r="AK136" s="3"/>
      <c r="AL136" s="3"/>
      <c r="AM136" s="3"/>
      <c r="AN136" s="3"/>
      <c r="AO136" s="3"/>
    </row>
    <row r="137" spans="1:41" x14ac:dyDescent="0.25">
      <c r="A137" s="171"/>
      <c r="B137" s="13"/>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5"/>
      <c r="AB137" s="3"/>
      <c r="AC137" s="3"/>
      <c r="AD137" s="3"/>
      <c r="AE137" s="3"/>
      <c r="AF137" s="3"/>
      <c r="AG137" s="3"/>
      <c r="AH137" s="3"/>
      <c r="AI137" s="3"/>
      <c r="AJ137" s="3"/>
      <c r="AK137" s="3"/>
      <c r="AL137" s="3"/>
      <c r="AM137" s="3"/>
      <c r="AN137" s="3"/>
      <c r="AO137" s="3"/>
    </row>
    <row r="138" spans="1:41" x14ac:dyDescent="0.25">
      <c r="A138" s="171"/>
      <c r="B138" s="13"/>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5"/>
      <c r="AB138" s="3"/>
      <c r="AC138" s="3"/>
      <c r="AD138" s="3"/>
      <c r="AE138" s="3"/>
      <c r="AF138" s="3"/>
      <c r="AG138" s="3"/>
      <c r="AH138" s="3"/>
      <c r="AI138" s="3"/>
      <c r="AJ138" s="3"/>
      <c r="AK138" s="3"/>
      <c r="AL138" s="3"/>
      <c r="AM138" s="3"/>
      <c r="AN138" s="3"/>
      <c r="AO138" s="3"/>
    </row>
    <row r="139" spans="1:41" x14ac:dyDescent="0.25">
      <c r="A139" s="171"/>
      <c r="B139" s="13"/>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5"/>
      <c r="AB139" s="3"/>
      <c r="AC139" s="3"/>
      <c r="AD139" s="3"/>
      <c r="AE139" s="3"/>
      <c r="AF139" s="3"/>
      <c r="AG139" s="3"/>
      <c r="AH139" s="3"/>
      <c r="AI139" s="3"/>
      <c r="AJ139" s="3"/>
      <c r="AK139" s="3"/>
      <c r="AL139" s="3"/>
      <c r="AM139" s="3"/>
      <c r="AN139" s="3"/>
      <c r="AO139" s="3"/>
    </row>
    <row r="140" spans="1:41" ht="18.75" x14ac:dyDescent="0.3">
      <c r="A140" s="171"/>
      <c r="B140" s="67"/>
      <c r="C140" s="14"/>
      <c r="D140" s="60"/>
      <c r="E140" s="56"/>
      <c r="F140" s="56"/>
      <c r="G140" s="14"/>
      <c r="H140" s="56"/>
      <c r="I140" s="74"/>
      <c r="J140" s="14"/>
      <c r="K140" s="14"/>
      <c r="L140" s="14"/>
      <c r="M140" s="14"/>
      <c r="N140" s="14"/>
      <c r="O140" s="14"/>
      <c r="P140" s="14"/>
      <c r="Q140" s="14"/>
      <c r="R140" s="14"/>
      <c r="S140" s="14"/>
      <c r="T140" s="14"/>
      <c r="U140" s="14"/>
      <c r="V140" s="14"/>
      <c r="W140" s="14"/>
      <c r="X140" s="14"/>
      <c r="Y140" s="14"/>
      <c r="Z140" s="14"/>
      <c r="AA140" s="15"/>
      <c r="AB140" s="3"/>
      <c r="AC140" s="3"/>
      <c r="AD140" s="3"/>
      <c r="AE140" s="3"/>
      <c r="AF140" s="3"/>
      <c r="AG140" s="3"/>
      <c r="AH140" s="3"/>
      <c r="AI140" s="3"/>
      <c r="AJ140" s="3"/>
      <c r="AK140" s="3"/>
      <c r="AL140" s="3"/>
      <c r="AM140" s="3"/>
      <c r="AN140" s="3"/>
      <c r="AO140" s="3"/>
    </row>
    <row r="141" spans="1:41" x14ac:dyDescent="0.25">
      <c r="A141" s="171"/>
      <c r="B141" s="13"/>
      <c r="C141" s="14"/>
      <c r="D141" s="14"/>
      <c r="E141" s="56"/>
      <c r="F141" s="56"/>
      <c r="G141" s="14"/>
      <c r="H141" s="56"/>
      <c r="I141" s="14"/>
      <c r="J141" s="14"/>
      <c r="K141" s="14"/>
      <c r="L141" s="14"/>
      <c r="M141" s="14"/>
      <c r="N141" s="14"/>
      <c r="O141" s="14"/>
      <c r="P141" s="14"/>
      <c r="Q141" s="14"/>
      <c r="R141" s="14"/>
      <c r="S141" s="14"/>
      <c r="T141" s="14"/>
      <c r="U141" s="14"/>
      <c r="V141" s="14"/>
      <c r="W141" s="14"/>
      <c r="X141" s="14"/>
      <c r="Y141" s="14"/>
      <c r="Z141" s="14"/>
      <c r="AA141" s="15"/>
      <c r="AB141" s="3"/>
      <c r="AC141" s="3"/>
      <c r="AD141" s="3"/>
      <c r="AE141" s="3"/>
      <c r="AF141" s="3"/>
      <c r="AG141" s="3"/>
      <c r="AH141" s="3"/>
      <c r="AI141" s="3"/>
      <c r="AJ141" s="3"/>
      <c r="AK141" s="3"/>
      <c r="AL141" s="3"/>
      <c r="AM141" s="3"/>
      <c r="AN141" s="3"/>
      <c r="AO141" s="3"/>
    </row>
    <row r="142" spans="1:41" x14ac:dyDescent="0.25">
      <c r="A142" s="171"/>
      <c r="B142" s="13"/>
      <c r="C142" s="14"/>
      <c r="D142" s="60"/>
      <c r="E142" s="56"/>
      <c r="F142" s="56"/>
      <c r="G142" s="57"/>
      <c r="H142" s="14"/>
      <c r="I142" s="14"/>
      <c r="J142" s="14"/>
      <c r="K142" s="14"/>
      <c r="L142" s="14"/>
      <c r="M142" s="14"/>
      <c r="N142" s="14"/>
      <c r="O142" s="14"/>
      <c r="P142" s="14"/>
      <c r="Q142" s="14"/>
      <c r="R142" s="14"/>
      <c r="S142" s="14"/>
      <c r="T142" s="14"/>
      <c r="U142" s="14"/>
      <c r="V142" s="14"/>
      <c r="W142" s="14"/>
      <c r="X142" s="14"/>
      <c r="Y142" s="14"/>
      <c r="Z142" s="14"/>
      <c r="AA142" s="15"/>
      <c r="AB142" s="3"/>
      <c r="AC142" s="3"/>
      <c r="AD142" s="3"/>
      <c r="AE142" s="3"/>
      <c r="AF142" s="3"/>
      <c r="AG142" s="3"/>
      <c r="AH142" s="3"/>
      <c r="AI142" s="3"/>
      <c r="AJ142" s="3"/>
      <c r="AK142" s="3"/>
      <c r="AL142" s="3"/>
      <c r="AM142" s="3"/>
      <c r="AN142" s="3"/>
      <c r="AO142" s="3"/>
    </row>
    <row r="143" spans="1:41" x14ac:dyDescent="0.25">
      <c r="A143" s="171"/>
      <c r="B143" s="13"/>
      <c r="C143" s="14"/>
      <c r="D143" s="60"/>
      <c r="E143" s="56"/>
      <c r="F143" s="56"/>
      <c r="G143" s="128"/>
      <c r="H143" s="56"/>
      <c r="I143" s="14"/>
      <c r="J143" s="14"/>
      <c r="K143" s="14"/>
      <c r="L143" s="14"/>
      <c r="M143" s="14"/>
      <c r="N143" s="14"/>
      <c r="O143" s="14"/>
      <c r="P143" s="14"/>
      <c r="Q143" s="14"/>
      <c r="R143" s="14"/>
      <c r="S143" s="14"/>
      <c r="T143" s="14"/>
      <c r="U143" s="14"/>
      <c r="V143" s="14"/>
      <c r="W143" s="14"/>
      <c r="X143" s="14"/>
      <c r="Y143" s="14"/>
      <c r="Z143" s="14"/>
      <c r="AA143" s="15"/>
      <c r="AB143" s="3"/>
      <c r="AC143" s="3"/>
      <c r="AD143" s="3"/>
      <c r="AE143" s="3"/>
      <c r="AF143" s="3"/>
      <c r="AG143" s="3"/>
      <c r="AH143" s="3"/>
      <c r="AI143" s="3"/>
      <c r="AJ143" s="3"/>
      <c r="AK143" s="3"/>
      <c r="AL143" s="3"/>
      <c r="AM143" s="3"/>
      <c r="AN143" s="3"/>
      <c r="AO143" s="3"/>
    </row>
    <row r="144" spans="1:41" x14ac:dyDescent="0.25">
      <c r="A144" s="171"/>
      <c r="B144" s="13"/>
      <c r="C144" s="14"/>
      <c r="D144" s="60"/>
      <c r="E144" s="56"/>
      <c r="F144" s="56"/>
      <c r="G144" s="14"/>
      <c r="H144" s="56"/>
      <c r="I144" s="14"/>
      <c r="J144" s="14"/>
      <c r="K144" s="14"/>
      <c r="L144" s="14"/>
      <c r="M144" s="14"/>
      <c r="N144" s="14"/>
      <c r="O144" s="14"/>
      <c r="P144" s="14"/>
      <c r="Q144" s="14"/>
      <c r="R144" s="14"/>
      <c r="S144" s="14"/>
      <c r="T144" s="14"/>
      <c r="U144" s="14"/>
      <c r="V144" s="14"/>
      <c r="W144" s="14"/>
      <c r="X144" s="14"/>
      <c r="Y144" s="14"/>
      <c r="Z144" s="14"/>
      <c r="AA144" s="15"/>
      <c r="AB144" s="3"/>
      <c r="AC144" s="3"/>
      <c r="AD144" s="3"/>
      <c r="AE144" s="3"/>
      <c r="AF144" s="3"/>
      <c r="AG144" s="3"/>
      <c r="AH144" s="3"/>
      <c r="AI144" s="3"/>
      <c r="AJ144" s="3"/>
      <c r="AK144" s="3"/>
      <c r="AL144" s="3"/>
      <c r="AM144" s="3"/>
      <c r="AN144" s="3"/>
      <c r="AO144" s="3"/>
    </row>
    <row r="145" spans="1:41" x14ac:dyDescent="0.25">
      <c r="A145" s="171"/>
      <c r="B145" s="13"/>
      <c r="C145" s="14"/>
      <c r="D145" s="60"/>
      <c r="E145" s="56"/>
      <c r="F145" s="56"/>
      <c r="G145" s="14"/>
      <c r="H145" s="56"/>
      <c r="I145" s="14"/>
      <c r="J145" s="14"/>
      <c r="K145" s="14"/>
      <c r="L145" s="14"/>
      <c r="M145" s="14"/>
      <c r="N145" s="14"/>
      <c r="O145" s="14"/>
      <c r="P145" s="14"/>
      <c r="Q145" s="14"/>
      <c r="R145" s="14"/>
      <c r="S145" s="14"/>
      <c r="T145" s="14"/>
      <c r="U145" s="14"/>
      <c r="V145" s="14"/>
      <c r="W145" s="14"/>
      <c r="X145" s="14"/>
      <c r="Y145" s="14"/>
      <c r="Z145" s="14"/>
      <c r="AA145" s="15"/>
      <c r="AB145" s="3"/>
      <c r="AC145" s="3"/>
      <c r="AD145" s="3"/>
      <c r="AE145" s="3"/>
      <c r="AF145" s="3"/>
      <c r="AG145" s="3"/>
      <c r="AH145" s="3"/>
      <c r="AI145" s="3"/>
      <c r="AJ145" s="3"/>
      <c r="AK145" s="3"/>
      <c r="AL145" s="3"/>
      <c r="AM145" s="3"/>
      <c r="AN145" s="3"/>
      <c r="AO145" s="3"/>
    </row>
    <row r="146" spans="1:41" x14ac:dyDescent="0.25">
      <c r="A146" s="171"/>
      <c r="B146" s="13"/>
      <c r="C146" s="56"/>
      <c r="D146" s="60"/>
      <c r="E146" s="56"/>
      <c r="F146" s="56"/>
      <c r="G146" s="56"/>
      <c r="H146" s="56"/>
      <c r="I146" s="14"/>
      <c r="J146" s="14"/>
      <c r="K146" s="14"/>
      <c r="L146" s="14"/>
      <c r="M146" s="14"/>
      <c r="N146" s="14"/>
      <c r="O146" s="14"/>
      <c r="P146" s="14"/>
      <c r="Q146" s="14"/>
      <c r="R146" s="14"/>
      <c r="S146" s="14"/>
      <c r="T146" s="14"/>
      <c r="U146" s="14"/>
      <c r="V146" s="14"/>
      <c r="W146" s="14"/>
      <c r="X146" s="14"/>
      <c r="Y146" s="14"/>
      <c r="Z146" s="14"/>
      <c r="AA146" s="15"/>
      <c r="AB146" s="3"/>
      <c r="AC146" s="3"/>
      <c r="AD146" s="3"/>
      <c r="AE146" s="3"/>
      <c r="AF146" s="3"/>
      <c r="AG146" s="3"/>
      <c r="AH146" s="3"/>
      <c r="AI146" s="3"/>
      <c r="AJ146" s="3"/>
      <c r="AK146" s="3"/>
      <c r="AL146" s="3"/>
      <c r="AM146" s="3"/>
      <c r="AN146" s="3"/>
      <c r="AO146" s="3"/>
    </row>
    <row r="147" spans="1:41" x14ac:dyDescent="0.25">
      <c r="A147" s="171"/>
      <c r="B147" s="13"/>
      <c r="C147" s="14"/>
      <c r="D147" s="60"/>
      <c r="E147" s="56"/>
      <c r="F147" s="56"/>
      <c r="G147" s="14"/>
      <c r="H147" s="56"/>
      <c r="I147" s="14"/>
      <c r="J147" s="14"/>
      <c r="K147" s="14"/>
      <c r="L147" s="14"/>
      <c r="M147" s="14"/>
      <c r="N147" s="14"/>
      <c r="O147" s="14"/>
      <c r="P147" s="14"/>
      <c r="Q147" s="14"/>
      <c r="R147" s="14"/>
      <c r="S147" s="14"/>
      <c r="T147" s="14"/>
      <c r="U147" s="14"/>
      <c r="V147" s="14"/>
      <c r="W147" s="14"/>
      <c r="X147" s="14"/>
      <c r="Y147" s="14"/>
      <c r="Z147" s="14"/>
      <c r="AA147" s="15"/>
      <c r="AB147" s="3"/>
      <c r="AC147" s="3"/>
      <c r="AD147" s="3"/>
      <c r="AE147" s="3"/>
      <c r="AF147" s="3"/>
      <c r="AG147" s="3"/>
      <c r="AH147" s="3"/>
      <c r="AI147" s="3"/>
      <c r="AJ147" s="3"/>
      <c r="AK147" s="3"/>
      <c r="AL147" s="3"/>
      <c r="AM147" s="3"/>
      <c r="AN147" s="3"/>
      <c r="AO147" s="3"/>
    </row>
    <row r="148" spans="1:41" x14ac:dyDescent="0.25">
      <c r="A148" s="171"/>
      <c r="B148" s="13"/>
      <c r="C148" s="14"/>
      <c r="D148" s="14"/>
      <c r="E148" s="56"/>
      <c r="F148" s="56"/>
      <c r="G148" s="14"/>
      <c r="H148" s="56"/>
      <c r="I148" s="14"/>
      <c r="J148" s="14"/>
      <c r="K148" s="14"/>
      <c r="L148" s="14"/>
      <c r="M148" s="14"/>
      <c r="N148" s="14"/>
      <c r="O148" s="14"/>
      <c r="P148" s="14"/>
      <c r="Q148" s="14"/>
      <c r="R148" s="14"/>
      <c r="S148" s="14"/>
      <c r="T148" s="14"/>
      <c r="U148" s="14"/>
      <c r="V148" s="14"/>
      <c r="W148" s="14"/>
      <c r="X148" s="14"/>
      <c r="Y148" s="14"/>
      <c r="Z148" s="14"/>
      <c r="AA148" s="15"/>
      <c r="AB148" s="3"/>
      <c r="AC148" s="3"/>
      <c r="AD148" s="3"/>
      <c r="AE148" s="3"/>
      <c r="AF148" s="3"/>
      <c r="AG148" s="3"/>
      <c r="AH148" s="3"/>
      <c r="AI148" s="3"/>
      <c r="AJ148" s="3"/>
      <c r="AK148" s="3"/>
      <c r="AL148" s="3"/>
      <c r="AM148" s="3"/>
      <c r="AN148" s="3"/>
      <c r="AO148" s="3"/>
    </row>
    <row r="149" spans="1:41" x14ac:dyDescent="0.25">
      <c r="A149" s="171"/>
      <c r="B149" s="13"/>
      <c r="C149" s="14"/>
      <c r="D149" s="60"/>
      <c r="E149" s="56"/>
      <c r="F149" s="56"/>
      <c r="G149" s="57"/>
      <c r="H149" s="14"/>
      <c r="I149" s="14"/>
      <c r="J149" s="14"/>
      <c r="K149" s="14"/>
      <c r="L149" s="14"/>
      <c r="M149" s="14"/>
      <c r="N149" s="14"/>
      <c r="O149" s="14"/>
      <c r="P149" s="14"/>
      <c r="Q149" s="14"/>
      <c r="R149" s="14"/>
      <c r="S149" s="14"/>
      <c r="T149" s="14"/>
      <c r="U149" s="14"/>
      <c r="V149" s="14"/>
      <c r="W149" s="14"/>
      <c r="X149" s="14"/>
      <c r="Y149" s="14"/>
      <c r="Z149" s="14"/>
      <c r="AA149" s="15"/>
      <c r="AB149" s="3"/>
      <c r="AC149" s="3"/>
      <c r="AD149" s="3"/>
      <c r="AE149" s="3"/>
      <c r="AF149" s="3"/>
      <c r="AG149" s="3"/>
      <c r="AH149" s="3"/>
      <c r="AI149" s="3"/>
      <c r="AJ149" s="3"/>
      <c r="AK149" s="3"/>
      <c r="AL149" s="3"/>
      <c r="AM149" s="3"/>
      <c r="AN149" s="3"/>
      <c r="AO149" s="3"/>
    </row>
    <row r="150" spans="1:41" x14ac:dyDescent="0.25">
      <c r="A150" s="171"/>
      <c r="B150" s="13"/>
      <c r="C150" s="14"/>
      <c r="D150" s="60"/>
      <c r="E150" s="56"/>
      <c r="F150" s="56"/>
      <c r="G150" s="128"/>
      <c r="H150" s="56"/>
      <c r="I150" s="14"/>
      <c r="J150" s="14"/>
      <c r="K150" s="14"/>
      <c r="L150" s="14"/>
      <c r="M150" s="14"/>
      <c r="N150" s="14"/>
      <c r="O150" s="14"/>
      <c r="P150" s="14"/>
      <c r="Q150" s="14"/>
      <c r="R150" s="14"/>
      <c r="S150" s="14"/>
      <c r="T150" s="14"/>
      <c r="U150" s="14"/>
      <c r="V150" s="14"/>
      <c r="W150" s="14"/>
      <c r="X150" s="14"/>
      <c r="Y150" s="14"/>
      <c r="Z150" s="14"/>
      <c r="AA150" s="15"/>
      <c r="AB150" s="3"/>
      <c r="AC150" s="3"/>
      <c r="AD150" s="3"/>
      <c r="AE150" s="3"/>
      <c r="AF150" s="3"/>
      <c r="AG150" s="3"/>
      <c r="AH150" s="3"/>
      <c r="AI150" s="3"/>
      <c r="AJ150" s="3"/>
      <c r="AK150" s="3"/>
      <c r="AL150" s="3"/>
      <c r="AM150" s="3"/>
      <c r="AN150" s="3"/>
      <c r="AO150" s="3"/>
    </row>
    <row r="151" spans="1:41" x14ac:dyDescent="0.25">
      <c r="A151" s="171"/>
      <c r="B151" s="13"/>
      <c r="C151" s="14"/>
      <c r="D151" s="60"/>
      <c r="E151" s="56"/>
      <c r="F151" s="56"/>
      <c r="G151" s="14"/>
      <c r="H151" s="56"/>
      <c r="I151" s="14"/>
      <c r="J151" s="14"/>
      <c r="K151" s="14"/>
      <c r="L151" s="14"/>
      <c r="M151" s="14"/>
      <c r="N151" s="14"/>
      <c r="O151" s="14"/>
      <c r="P151" s="14"/>
      <c r="Q151" s="14"/>
      <c r="R151" s="14"/>
      <c r="S151" s="14"/>
      <c r="T151" s="14"/>
      <c r="U151" s="14"/>
      <c r="V151" s="14"/>
      <c r="W151" s="14"/>
      <c r="X151" s="14"/>
      <c r="Y151" s="14"/>
      <c r="Z151" s="14"/>
      <c r="AA151" s="15"/>
      <c r="AB151" s="3"/>
      <c r="AC151" s="3"/>
      <c r="AD151" s="3"/>
      <c r="AE151" s="3"/>
      <c r="AF151" s="3"/>
      <c r="AG151" s="3"/>
      <c r="AH151" s="3"/>
      <c r="AI151" s="3"/>
      <c r="AJ151" s="3"/>
      <c r="AK151" s="3"/>
      <c r="AL151" s="3"/>
      <c r="AM151" s="3"/>
      <c r="AN151" s="3"/>
      <c r="AO151" s="3"/>
    </row>
    <row r="152" spans="1:41" x14ac:dyDescent="0.25">
      <c r="A152" s="171"/>
      <c r="B152" s="13"/>
      <c r="C152" s="14"/>
      <c r="D152" s="60"/>
      <c r="E152" s="56"/>
      <c r="F152" s="56"/>
      <c r="G152" s="14"/>
      <c r="H152" s="56"/>
      <c r="I152" s="14"/>
      <c r="J152" s="14"/>
      <c r="K152" s="14"/>
      <c r="L152" s="14"/>
      <c r="M152" s="14"/>
      <c r="N152" s="14"/>
      <c r="O152" s="14"/>
      <c r="P152" s="14"/>
      <c r="Q152" s="14"/>
      <c r="R152" s="14"/>
      <c r="S152" s="14"/>
      <c r="T152" s="14"/>
      <c r="U152" s="14"/>
      <c r="V152" s="14"/>
      <c r="W152" s="14"/>
      <c r="X152" s="14"/>
      <c r="Y152" s="14"/>
      <c r="Z152" s="14"/>
      <c r="AA152" s="15"/>
      <c r="AB152" s="3"/>
      <c r="AC152" s="3"/>
      <c r="AD152" s="3"/>
      <c r="AE152" s="3"/>
      <c r="AF152" s="3"/>
      <c r="AG152" s="3"/>
      <c r="AH152" s="3"/>
      <c r="AI152" s="3"/>
      <c r="AJ152" s="3"/>
      <c r="AK152" s="3"/>
      <c r="AL152" s="3"/>
      <c r="AM152" s="3"/>
      <c r="AN152" s="3"/>
      <c r="AO152" s="3"/>
    </row>
    <row r="153" spans="1:41" x14ac:dyDescent="0.25">
      <c r="A153" s="171"/>
      <c r="B153" s="13"/>
      <c r="C153" s="56"/>
      <c r="D153" s="60"/>
      <c r="E153" s="56"/>
      <c r="F153" s="56"/>
      <c r="G153" s="56"/>
      <c r="H153" s="56"/>
      <c r="I153" s="14"/>
      <c r="J153" s="14"/>
      <c r="K153" s="14"/>
      <c r="L153" s="14"/>
      <c r="M153" s="14"/>
      <c r="N153" s="14"/>
      <c r="O153" s="14"/>
      <c r="P153" s="14"/>
      <c r="Q153" s="14"/>
      <c r="R153" s="14"/>
      <c r="S153" s="14"/>
      <c r="T153" s="14"/>
      <c r="U153" s="14"/>
      <c r="V153" s="14"/>
      <c r="W153" s="14"/>
      <c r="X153" s="14"/>
      <c r="Y153" s="14"/>
      <c r="Z153" s="14"/>
      <c r="AA153" s="15"/>
      <c r="AB153" s="3"/>
      <c r="AC153" s="3"/>
      <c r="AD153" s="3"/>
      <c r="AE153" s="3"/>
      <c r="AF153" s="3"/>
      <c r="AG153" s="3"/>
      <c r="AH153" s="3"/>
      <c r="AI153" s="3"/>
      <c r="AJ153" s="3"/>
      <c r="AK153" s="3"/>
      <c r="AL153" s="3"/>
      <c r="AM153" s="3"/>
      <c r="AN153" s="3"/>
      <c r="AO153" s="3"/>
    </row>
    <row r="154" spans="1:41" ht="18.75" x14ac:dyDescent="0.3">
      <c r="A154" s="171"/>
      <c r="B154" s="67"/>
      <c r="C154" s="14"/>
      <c r="D154" s="60"/>
      <c r="E154" s="56"/>
      <c r="F154" s="56"/>
      <c r="G154" s="14"/>
      <c r="H154" s="56"/>
      <c r="I154" s="74"/>
      <c r="J154" s="14"/>
      <c r="K154" s="14"/>
      <c r="L154" s="14"/>
      <c r="M154" s="14"/>
      <c r="N154" s="14"/>
      <c r="O154" s="14"/>
      <c r="P154" s="14"/>
      <c r="Q154" s="14"/>
      <c r="R154" s="14"/>
      <c r="S154" s="14"/>
      <c r="T154" s="14"/>
      <c r="U154" s="14"/>
      <c r="V154" s="14"/>
      <c r="W154" s="14"/>
      <c r="X154" s="14"/>
      <c r="Y154" s="14"/>
      <c r="Z154" s="14"/>
      <c r="AA154" s="15"/>
      <c r="AB154" s="3"/>
      <c r="AC154" s="3"/>
      <c r="AD154" s="3"/>
      <c r="AE154" s="3"/>
      <c r="AF154" s="3"/>
      <c r="AG154" s="3"/>
      <c r="AH154" s="3"/>
      <c r="AI154" s="3"/>
      <c r="AJ154" s="3"/>
      <c r="AK154" s="3"/>
      <c r="AL154" s="3"/>
      <c r="AM154" s="3"/>
      <c r="AN154" s="3"/>
      <c r="AO154" s="3"/>
    </row>
    <row r="155" spans="1:41" x14ac:dyDescent="0.25">
      <c r="A155" s="171"/>
      <c r="B155" s="13"/>
      <c r="C155" s="14"/>
      <c r="D155" s="14"/>
      <c r="E155" s="56"/>
      <c r="F155" s="56"/>
      <c r="G155" s="14"/>
      <c r="H155" s="56"/>
      <c r="I155" s="14"/>
      <c r="J155" s="14"/>
      <c r="K155" s="14"/>
      <c r="L155" s="14"/>
      <c r="M155" s="14"/>
      <c r="N155" s="14"/>
      <c r="O155" s="14"/>
      <c r="P155" s="14"/>
      <c r="Q155" s="14"/>
      <c r="R155" s="14"/>
      <c r="S155" s="14"/>
      <c r="T155" s="14"/>
      <c r="U155" s="14"/>
      <c r="V155" s="14"/>
      <c r="W155" s="14"/>
      <c r="X155" s="14"/>
      <c r="Y155" s="14"/>
      <c r="Z155" s="14"/>
      <c r="AA155" s="15"/>
      <c r="AB155" s="3"/>
      <c r="AC155" s="3"/>
      <c r="AD155" s="3"/>
      <c r="AE155" s="3"/>
      <c r="AF155" s="3"/>
      <c r="AG155" s="3"/>
      <c r="AH155" s="3"/>
      <c r="AI155" s="3"/>
      <c r="AJ155" s="3"/>
      <c r="AK155" s="3"/>
      <c r="AL155" s="3"/>
      <c r="AM155" s="3"/>
      <c r="AN155" s="3"/>
      <c r="AO155" s="3"/>
    </row>
    <row r="156" spans="1:41" x14ac:dyDescent="0.25">
      <c r="A156" s="171"/>
      <c r="B156" s="13"/>
      <c r="C156" s="14"/>
      <c r="D156" s="60"/>
      <c r="E156" s="56"/>
      <c r="F156" s="56"/>
      <c r="G156" s="57"/>
      <c r="H156" s="14"/>
      <c r="I156" s="14"/>
      <c r="J156" s="14"/>
      <c r="K156" s="14"/>
      <c r="L156" s="14"/>
      <c r="M156" s="14"/>
      <c r="N156" s="14"/>
      <c r="O156" s="14"/>
      <c r="P156" s="14"/>
      <c r="Q156" s="14"/>
      <c r="R156" s="14"/>
      <c r="S156" s="14"/>
      <c r="T156" s="14"/>
      <c r="U156" s="14"/>
      <c r="V156" s="14"/>
      <c r="W156" s="14"/>
      <c r="X156" s="14"/>
      <c r="Y156" s="14"/>
      <c r="Z156" s="14"/>
      <c r="AA156" s="15"/>
      <c r="AB156" s="3"/>
      <c r="AC156" s="3"/>
      <c r="AD156" s="3"/>
      <c r="AE156" s="3"/>
      <c r="AF156" s="3"/>
      <c r="AG156" s="3"/>
      <c r="AH156" s="3"/>
      <c r="AI156" s="3"/>
      <c r="AJ156" s="3"/>
      <c r="AK156" s="3"/>
      <c r="AL156" s="3"/>
      <c r="AM156" s="3"/>
      <c r="AN156" s="3"/>
      <c r="AO156" s="3"/>
    </row>
    <row r="157" spans="1:41" x14ac:dyDescent="0.25">
      <c r="A157" s="171"/>
      <c r="B157" s="13"/>
      <c r="C157" s="14"/>
      <c r="D157" s="60"/>
      <c r="E157" s="56"/>
      <c r="F157" s="56"/>
      <c r="G157" s="128"/>
      <c r="H157" s="56"/>
      <c r="I157" s="14"/>
      <c r="J157" s="14"/>
      <c r="K157" s="14"/>
      <c r="L157" s="14"/>
      <c r="M157" s="14"/>
      <c r="N157" s="14"/>
      <c r="O157" s="14"/>
      <c r="P157" s="14"/>
      <c r="Q157" s="14"/>
      <c r="R157" s="14"/>
      <c r="S157" s="14"/>
      <c r="T157" s="14"/>
      <c r="U157" s="14"/>
      <c r="V157" s="14"/>
      <c r="W157" s="14"/>
      <c r="X157" s="14"/>
      <c r="Y157" s="14"/>
      <c r="Z157" s="14"/>
      <c r="AA157" s="15"/>
      <c r="AB157" s="3"/>
      <c r="AC157" s="3"/>
      <c r="AD157" s="3"/>
      <c r="AE157" s="3"/>
      <c r="AF157" s="3"/>
      <c r="AG157" s="3"/>
      <c r="AH157" s="3"/>
      <c r="AI157" s="3"/>
      <c r="AJ157" s="3"/>
      <c r="AK157" s="3"/>
      <c r="AL157" s="3"/>
      <c r="AM157" s="3"/>
      <c r="AN157" s="3"/>
      <c r="AO157" s="3"/>
    </row>
    <row r="158" spans="1:41" x14ac:dyDescent="0.25">
      <c r="A158" s="171"/>
      <c r="B158" s="13"/>
      <c r="C158" s="14"/>
      <c r="D158" s="60"/>
      <c r="E158" s="56"/>
      <c r="F158" s="56"/>
      <c r="G158" s="14"/>
      <c r="H158" s="56"/>
      <c r="I158" s="14"/>
      <c r="J158" s="14"/>
      <c r="K158" s="14"/>
      <c r="L158" s="14"/>
      <c r="M158" s="14"/>
      <c r="N158" s="14"/>
      <c r="O158" s="14"/>
      <c r="P158" s="14"/>
      <c r="Q158" s="14"/>
      <c r="R158" s="14"/>
      <c r="S158" s="14"/>
      <c r="T158" s="14"/>
      <c r="U158" s="14"/>
      <c r="V158" s="14"/>
      <c r="W158" s="14"/>
      <c r="X158" s="14"/>
      <c r="Y158" s="14"/>
      <c r="Z158" s="14"/>
      <c r="AA158" s="15"/>
      <c r="AB158" s="3"/>
      <c r="AC158" s="3"/>
      <c r="AD158" s="3"/>
      <c r="AE158" s="3"/>
      <c r="AF158" s="3"/>
      <c r="AG158" s="3"/>
      <c r="AH158" s="3"/>
      <c r="AI158" s="3"/>
      <c r="AJ158" s="3"/>
      <c r="AK158" s="3"/>
      <c r="AL158" s="3"/>
      <c r="AM158" s="3"/>
      <c r="AN158" s="3"/>
      <c r="AO158" s="3"/>
    </row>
    <row r="159" spans="1:41" x14ac:dyDescent="0.25">
      <c r="A159" s="171"/>
      <c r="B159" s="13"/>
      <c r="C159" s="14"/>
      <c r="D159" s="60"/>
      <c r="E159" s="56"/>
      <c r="F159" s="56"/>
      <c r="G159" s="14"/>
      <c r="H159" s="56"/>
      <c r="I159" s="14"/>
      <c r="J159" s="14"/>
      <c r="K159" s="14"/>
      <c r="L159" s="14"/>
      <c r="M159" s="14"/>
      <c r="N159" s="14"/>
      <c r="O159" s="14"/>
      <c r="P159" s="14"/>
      <c r="Q159" s="14"/>
      <c r="R159" s="14"/>
      <c r="S159" s="14"/>
      <c r="T159" s="14"/>
      <c r="U159" s="14"/>
      <c r="V159" s="14"/>
      <c r="W159" s="14"/>
      <c r="X159" s="14"/>
      <c r="Y159" s="14"/>
      <c r="Z159" s="14"/>
      <c r="AA159" s="15"/>
      <c r="AB159" s="3"/>
      <c r="AC159" s="3"/>
      <c r="AD159" s="3"/>
      <c r="AE159" s="3"/>
      <c r="AF159" s="3"/>
      <c r="AG159" s="3"/>
      <c r="AH159" s="3"/>
      <c r="AI159" s="3"/>
      <c r="AJ159" s="3"/>
      <c r="AK159" s="3"/>
      <c r="AL159" s="3"/>
      <c r="AM159" s="3"/>
      <c r="AN159" s="3"/>
      <c r="AO159" s="3"/>
    </row>
    <row r="160" spans="1:41" x14ac:dyDescent="0.25">
      <c r="A160" s="171"/>
      <c r="B160" s="13"/>
      <c r="C160" s="56"/>
      <c r="D160" s="60"/>
      <c r="E160" s="56"/>
      <c r="F160" s="56"/>
      <c r="G160" s="56"/>
      <c r="H160" s="56"/>
      <c r="I160" s="14"/>
      <c r="J160" s="14"/>
      <c r="K160" s="14"/>
      <c r="L160" s="14"/>
      <c r="M160" s="14"/>
      <c r="N160" s="14"/>
      <c r="O160" s="14"/>
      <c r="P160" s="14"/>
      <c r="Q160" s="14"/>
      <c r="R160" s="14"/>
      <c r="S160" s="14"/>
      <c r="T160" s="14"/>
      <c r="U160" s="14"/>
      <c r="V160" s="14"/>
      <c r="W160" s="14"/>
      <c r="X160" s="14"/>
      <c r="Y160" s="14"/>
      <c r="Z160" s="14"/>
      <c r="AA160" s="15"/>
      <c r="AB160" s="3"/>
      <c r="AC160" s="3"/>
      <c r="AD160" s="3"/>
      <c r="AE160" s="3"/>
      <c r="AF160" s="3"/>
      <c r="AG160" s="3"/>
      <c r="AH160" s="3"/>
      <c r="AI160" s="3"/>
      <c r="AJ160" s="3"/>
      <c r="AK160" s="3"/>
      <c r="AL160" s="3"/>
      <c r="AM160" s="3"/>
      <c r="AN160" s="3"/>
      <c r="AO160" s="3"/>
    </row>
    <row r="161" spans="1:41" x14ac:dyDescent="0.25">
      <c r="A161" s="171"/>
      <c r="B161" s="13"/>
      <c r="C161" s="14"/>
      <c r="D161" s="60"/>
      <c r="E161" s="56"/>
      <c r="F161" s="56"/>
      <c r="G161" s="14"/>
      <c r="H161" s="56"/>
      <c r="I161" s="14"/>
      <c r="J161" s="14"/>
      <c r="K161" s="14"/>
      <c r="L161" s="14"/>
      <c r="M161" s="14"/>
      <c r="N161" s="14"/>
      <c r="O161" s="14"/>
      <c r="P161" s="14"/>
      <c r="Q161" s="14"/>
      <c r="R161" s="14"/>
      <c r="S161" s="14"/>
      <c r="T161" s="14"/>
      <c r="U161" s="14"/>
      <c r="V161" s="14"/>
      <c r="W161" s="14"/>
      <c r="X161" s="14"/>
      <c r="Y161" s="14"/>
      <c r="Z161" s="14"/>
      <c r="AA161" s="15"/>
      <c r="AB161" s="3"/>
      <c r="AC161" s="3"/>
      <c r="AD161" s="3"/>
      <c r="AE161" s="3"/>
      <c r="AF161" s="3"/>
      <c r="AG161" s="3"/>
      <c r="AH161" s="3"/>
      <c r="AI161" s="3"/>
      <c r="AJ161" s="3"/>
      <c r="AK161" s="3"/>
      <c r="AL161" s="3"/>
      <c r="AM161" s="3"/>
      <c r="AN161" s="3"/>
      <c r="AO161" s="3"/>
    </row>
    <row r="162" spans="1:41" x14ac:dyDescent="0.25">
      <c r="A162" s="171"/>
      <c r="B162" s="13"/>
      <c r="C162" s="14"/>
      <c r="D162" s="14"/>
      <c r="E162" s="56"/>
      <c r="F162" s="56"/>
      <c r="G162" s="14"/>
      <c r="H162" s="56"/>
      <c r="I162" s="14"/>
      <c r="J162" s="14"/>
      <c r="K162" s="14"/>
      <c r="L162" s="14"/>
      <c r="M162" s="14"/>
      <c r="N162" s="14"/>
      <c r="O162" s="14"/>
      <c r="P162" s="14"/>
      <c r="Q162" s="14"/>
      <c r="R162" s="14"/>
      <c r="S162" s="14"/>
      <c r="T162" s="14"/>
      <c r="U162" s="14"/>
      <c r="V162" s="14"/>
      <c r="W162" s="14"/>
      <c r="X162" s="14"/>
      <c r="Y162" s="14"/>
      <c r="Z162" s="14"/>
      <c r="AA162" s="15"/>
      <c r="AB162" s="3"/>
      <c r="AC162" s="3"/>
      <c r="AD162" s="3"/>
      <c r="AE162" s="3"/>
      <c r="AF162" s="3"/>
      <c r="AG162" s="3"/>
      <c r="AH162" s="3"/>
      <c r="AI162" s="3"/>
      <c r="AJ162" s="3"/>
      <c r="AK162" s="3"/>
      <c r="AL162" s="3"/>
      <c r="AM162" s="3"/>
      <c r="AN162" s="3"/>
      <c r="AO162" s="3"/>
    </row>
    <row r="163" spans="1:41" x14ac:dyDescent="0.25">
      <c r="A163" s="171"/>
      <c r="B163" s="13"/>
      <c r="C163" s="14"/>
      <c r="D163" s="60"/>
      <c r="E163" s="56"/>
      <c r="F163" s="56"/>
      <c r="G163" s="14"/>
      <c r="H163" s="14"/>
      <c r="I163" s="14"/>
      <c r="J163" s="14"/>
      <c r="K163" s="14"/>
      <c r="L163" s="14"/>
      <c r="M163" s="14"/>
      <c r="N163" s="14"/>
      <c r="O163" s="14"/>
      <c r="P163" s="14"/>
      <c r="Q163" s="14"/>
      <c r="R163" s="14"/>
      <c r="S163" s="14"/>
      <c r="T163" s="14"/>
      <c r="U163" s="14"/>
      <c r="V163" s="14"/>
      <c r="W163" s="14"/>
      <c r="X163" s="14"/>
      <c r="Y163" s="14"/>
      <c r="Z163" s="14"/>
      <c r="AA163" s="15"/>
      <c r="AB163" s="3"/>
      <c r="AC163" s="3"/>
      <c r="AD163" s="3"/>
      <c r="AE163" s="3"/>
      <c r="AF163" s="3"/>
      <c r="AG163" s="3"/>
      <c r="AH163" s="3"/>
      <c r="AI163" s="3"/>
      <c r="AJ163" s="3"/>
      <c r="AK163" s="3"/>
      <c r="AL163" s="3"/>
      <c r="AM163" s="3"/>
      <c r="AN163" s="3"/>
      <c r="AO163" s="3"/>
    </row>
    <row r="164" spans="1:41" x14ac:dyDescent="0.25">
      <c r="A164" s="171"/>
      <c r="B164" s="13"/>
      <c r="C164" s="14"/>
      <c r="D164" s="60"/>
      <c r="E164" s="56"/>
      <c r="F164" s="56"/>
      <c r="G164" s="14"/>
      <c r="H164" s="56"/>
      <c r="I164" s="14"/>
      <c r="J164" s="14"/>
      <c r="K164" s="14"/>
      <c r="L164" s="14"/>
      <c r="M164" s="14"/>
      <c r="N164" s="14"/>
      <c r="O164" s="14"/>
      <c r="P164" s="14"/>
      <c r="Q164" s="14"/>
      <c r="R164" s="14"/>
      <c r="S164" s="14"/>
      <c r="T164" s="14"/>
      <c r="U164" s="14"/>
      <c r="V164" s="14"/>
      <c r="W164" s="14"/>
      <c r="X164" s="14"/>
      <c r="Y164" s="14"/>
      <c r="Z164" s="14"/>
      <c r="AA164" s="15"/>
      <c r="AB164" s="3"/>
      <c r="AC164" s="3"/>
      <c r="AD164" s="3"/>
      <c r="AE164" s="3"/>
      <c r="AF164" s="3"/>
      <c r="AG164" s="3"/>
      <c r="AH164" s="3"/>
      <c r="AI164" s="3"/>
      <c r="AJ164" s="3"/>
      <c r="AK164" s="3"/>
      <c r="AL164" s="3"/>
      <c r="AM164" s="3"/>
      <c r="AN164" s="3"/>
      <c r="AO164" s="3"/>
    </row>
    <row r="165" spans="1:41" x14ac:dyDescent="0.25">
      <c r="A165" s="171"/>
      <c r="B165" s="13"/>
      <c r="C165" s="14"/>
      <c r="D165" s="60"/>
      <c r="E165" s="56"/>
      <c r="F165" s="56"/>
      <c r="G165" s="14"/>
      <c r="H165" s="56"/>
      <c r="I165" s="14"/>
      <c r="J165" s="14"/>
      <c r="K165" s="14"/>
      <c r="L165" s="14"/>
      <c r="M165" s="14"/>
      <c r="N165" s="14"/>
      <c r="O165" s="14"/>
      <c r="P165" s="14"/>
      <c r="Q165" s="14"/>
      <c r="R165" s="14"/>
      <c r="S165" s="14"/>
      <c r="T165" s="14"/>
      <c r="U165" s="14"/>
      <c r="V165" s="14"/>
      <c r="W165" s="14"/>
      <c r="X165" s="14"/>
      <c r="Y165" s="14"/>
      <c r="Z165" s="14"/>
      <c r="AA165" s="15"/>
      <c r="AB165" s="3"/>
      <c r="AC165" s="3"/>
      <c r="AD165" s="3"/>
      <c r="AE165" s="3"/>
      <c r="AF165" s="3"/>
      <c r="AG165" s="3"/>
      <c r="AH165" s="3"/>
      <c r="AI165" s="3"/>
      <c r="AJ165" s="3"/>
      <c r="AK165" s="3"/>
      <c r="AL165" s="3"/>
      <c r="AM165" s="3"/>
      <c r="AN165" s="3"/>
      <c r="AO165" s="3"/>
    </row>
    <row r="166" spans="1:41" x14ac:dyDescent="0.25">
      <c r="A166" s="171"/>
      <c r="B166" s="13"/>
      <c r="C166" s="14"/>
      <c r="D166" s="60"/>
      <c r="E166" s="56"/>
      <c r="F166" s="56"/>
      <c r="G166" s="14"/>
      <c r="H166" s="56"/>
      <c r="I166" s="14"/>
      <c r="J166" s="14"/>
      <c r="K166" s="14"/>
      <c r="L166" s="14"/>
      <c r="M166" s="14"/>
      <c r="N166" s="14"/>
      <c r="O166" s="14"/>
      <c r="P166" s="14"/>
      <c r="Q166" s="14"/>
      <c r="R166" s="14"/>
      <c r="S166" s="14"/>
      <c r="T166" s="14"/>
      <c r="U166" s="14"/>
      <c r="V166" s="14"/>
      <c r="W166" s="14"/>
      <c r="X166" s="14"/>
      <c r="Y166" s="14"/>
      <c r="Z166" s="14"/>
      <c r="AA166" s="15"/>
      <c r="AB166" s="3"/>
      <c r="AC166" s="3"/>
      <c r="AD166" s="3"/>
      <c r="AE166" s="3"/>
      <c r="AF166" s="3"/>
      <c r="AG166" s="3"/>
      <c r="AH166" s="3"/>
      <c r="AI166" s="3"/>
      <c r="AJ166" s="3"/>
      <c r="AK166" s="3"/>
      <c r="AL166" s="3"/>
      <c r="AM166" s="3"/>
      <c r="AN166" s="3"/>
      <c r="AO166" s="3"/>
    </row>
    <row r="167" spans="1:41" x14ac:dyDescent="0.25">
      <c r="A167" s="171"/>
      <c r="B167" s="13"/>
      <c r="C167" s="56"/>
      <c r="D167" s="60"/>
      <c r="E167" s="56"/>
      <c r="F167" s="56"/>
      <c r="G167" s="56"/>
      <c r="H167" s="56"/>
      <c r="I167" s="14"/>
      <c r="J167" s="14"/>
      <c r="K167" s="14"/>
      <c r="L167" s="14"/>
      <c r="M167" s="14"/>
      <c r="N167" s="14"/>
      <c r="O167" s="14"/>
      <c r="P167" s="14"/>
      <c r="Q167" s="14"/>
      <c r="R167" s="14"/>
      <c r="S167" s="14"/>
      <c r="T167" s="14"/>
      <c r="U167" s="14"/>
      <c r="V167" s="14"/>
      <c r="W167" s="14"/>
      <c r="X167" s="14"/>
      <c r="Y167" s="14"/>
      <c r="Z167" s="14"/>
      <c r="AA167" s="15"/>
      <c r="AB167" s="3"/>
      <c r="AC167" s="3"/>
      <c r="AD167" s="3"/>
      <c r="AE167" s="3"/>
      <c r="AF167" s="3"/>
      <c r="AG167" s="3"/>
      <c r="AH167" s="3"/>
      <c r="AI167" s="3"/>
      <c r="AJ167" s="3"/>
      <c r="AK167" s="3"/>
      <c r="AL167" s="3"/>
      <c r="AM167" s="3"/>
      <c r="AN167" s="3"/>
      <c r="AO167" s="3"/>
    </row>
    <row r="168" spans="1:41" ht="18.75" x14ac:dyDescent="0.3">
      <c r="A168" s="171"/>
      <c r="B168" s="67"/>
      <c r="C168" s="14"/>
      <c r="D168" s="60"/>
      <c r="E168" s="56"/>
      <c r="F168" s="56"/>
      <c r="G168" s="14"/>
      <c r="H168" s="56"/>
      <c r="I168" s="74"/>
      <c r="J168" s="14"/>
      <c r="K168" s="14"/>
      <c r="L168" s="14"/>
      <c r="M168" s="14"/>
      <c r="N168" s="14"/>
      <c r="O168" s="14"/>
      <c r="P168" s="14"/>
      <c r="Q168" s="14"/>
      <c r="R168" s="14"/>
      <c r="S168" s="14"/>
      <c r="T168" s="14"/>
      <c r="U168" s="14"/>
      <c r="V168" s="14"/>
      <c r="W168" s="14"/>
      <c r="X168" s="14"/>
      <c r="Y168" s="14"/>
      <c r="Z168" s="14"/>
      <c r="AA168" s="15"/>
      <c r="AB168" s="3"/>
      <c r="AC168" s="3"/>
      <c r="AD168" s="3"/>
      <c r="AE168" s="3"/>
      <c r="AF168" s="3"/>
      <c r="AG168" s="3"/>
      <c r="AH168" s="3"/>
      <c r="AI168" s="3"/>
      <c r="AJ168" s="3"/>
      <c r="AK168" s="3"/>
      <c r="AL168" s="3"/>
      <c r="AM168" s="3"/>
      <c r="AN168" s="3"/>
      <c r="AO168" s="3"/>
    </row>
    <row r="169" spans="1:41" x14ac:dyDescent="0.25">
      <c r="A169" s="171"/>
      <c r="B169" s="13"/>
      <c r="C169" s="14"/>
      <c r="D169" s="14"/>
      <c r="E169" s="56"/>
      <c r="F169" s="56"/>
      <c r="G169" s="14"/>
      <c r="H169" s="56"/>
      <c r="I169" s="14"/>
      <c r="J169" s="14"/>
      <c r="K169" s="14"/>
      <c r="L169" s="14"/>
      <c r="M169" s="14"/>
      <c r="N169" s="14"/>
      <c r="O169" s="14"/>
      <c r="P169" s="14"/>
      <c r="Q169" s="14"/>
      <c r="R169" s="14"/>
      <c r="S169" s="14"/>
      <c r="T169" s="14"/>
      <c r="U169" s="14"/>
      <c r="V169" s="14"/>
      <c r="W169" s="14"/>
      <c r="X169" s="14"/>
      <c r="Y169" s="14"/>
      <c r="Z169" s="14"/>
      <c r="AA169" s="15"/>
      <c r="AB169" s="3"/>
      <c r="AC169" s="3"/>
      <c r="AD169" s="3"/>
      <c r="AE169" s="3"/>
      <c r="AF169" s="3"/>
      <c r="AG169" s="3"/>
      <c r="AH169" s="3"/>
      <c r="AI169" s="3"/>
      <c r="AJ169" s="3"/>
      <c r="AK169" s="3"/>
      <c r="AL169" s="3"/>
      <c r="AM169" s="3"/>
      <c r="AN169" s="3"/>
      <c r="AO169" s="3"/>
    </row>
    <row r="170" spans="1:41" x14ac:dyDescent="0.25">
      <c r="A170" s="171"/>
      <c r="B170" s="13"/>
      <c r="C170" s="14"/>
      <c r="D170" s="60"/>
      <c r="E170" s="56"/>
      <c r="F170" s="56"/>
      <c r="G170" s="14"/>
      <c r="H170" s="14"/>
      <c r="I170" s="14"/>
      <c r="J170" s="14"/>
      <c r="K170" s="14"/>
      <c r="L170" s="14"/>
      <c r="M170" s="14"/>
      <c r="N170" s="14"/>
      <c r="O170" s="14"/>
      <c r="P170" s="14"/>
      <c r="Q170" s="14"/>
      <c r="R170" s="14"/>
      <c r="S170" s="14"/>
      <c r="T170" s="14"/>
      <c r="U170" s="14"/>
      <c r="V170" s="14"/>
      <c r="W170" s="14"/>
      <c r="X170" s="14"/>
      <c r="Y170" s="14"/>
      <c r="Z170" s="14"/>
      <c r="AA170" s="15"/>
      <c r="AB170" s="3"/>
      <c r="AC170" s="3"/>
      <c r="AD170" s="3"/>
      <c r="AE170" s="3"/>
      <c r="AF170" s="3"/>
      <c r="AG170" s="3"/>
      <c r="AH170" s="3"/>
      <c r="AI170" s="3"/>
      <c r="AJ170" s="3"/>
      <c r="AK170" s="3"/>
      <c r="AL170" s="3"/>
      <c r="AM170" s="3"/>
      <c r="AN170" s="3"/>
      <c r="AO170" s="3"/>
    </row>
    <row r="171" spans="1:41" x14ac:dyDescent="0.25">
      <c r="A171" s="171"/>
      <c r="B171" s="13"/>
      <c r="C171" s="14"/>
      <c r="D171" s="60"/>
      <c r="E171" s="56"/>
      <c r="F171" s="56"/>
      <c r="G171" s="14"/>
      <c r="H171" s="56"/>
      <c r="I171" s="14"/>
      <c r="J171" s="14"/>
      <c r="K171" s="14"/>
      <c r="L171" s="14"/>
      <c r="M171" s="14"/>
      <c r="N171" s="14"/>
      <c r="O171" s="14"/>
      <c r="P171" s="14"/>
      <c r="Q171" s="14"/>
      <c r="R171" s="14"/>
      <c r="S171" s="14"/>
      <c r="T171" s="14"/>
      <c r="U171" s="14"/>
      <c r="V171" s="14"/>
      <c r="W171" s="14"/>
      <c r="X171" s="14"/>
      <c r="Y171" s="14"/>
      <c r="Z171" s="14"/>
      <c r="AA171" s="15"/>
      <c r="AB171" s="3"/>
      <c r="AC171" s="3"/>
      <c r="AD171" s="3"/>
      <c r="AE171" s="3"/>
      <c r="AF171" s="3"/>
      <c r="AG171" s="3"/>
      <c r="AH171" s="3"/>
      <c r="AI171" s="3"/>
      <c r="AJ171" s="3"/>
      <c r="AK171" s="3"/>
      <c r="AL171" s="3"/>
      <c r="AM171" s="3"/>
      <c r="AN171" s="3"/>
      <c r="AO171" s="3"/>
    </row>
    <row r="172" spans="1:41" x14ac:dyDescent="0.25">
      <c r="A172" s="171"/>
      <c r="B172" s="13"/>
      <c r="C172" s="14"/>
      <c r="D172" s="60"/>
      <c r="E172" s="56"/>
      <c r="F172" s="56"/>
      <c r="G172" s="14"/>
      <c r="H172" s="56"/>
      <c r="I172" s="14"/>
      <c r="J172" s="14"/>
      <c r="K172" s="14"/>
      <c r="L172" s="14"/>
      <c r="M172" s="14"/>
      <c r="N172" s="14"/>
      <c r="O172" s="14"/>
      <c r="P172" s="14"/>
      <c r="Q172" s="14"/>
      <c r="R172" s="14"/>
      <c r="S172" s="14"/>
      <c r="T172" s="14"/>
      <c r="U172" s="14"/>
      <c r="V172" s="14"/>
      <c r="W172" s="14"/>
      <c r="X172" s="14"/>
      <c r="Y172" s="14"/>
      <c r="Z172" s="14"/>
      <c r="AA172" s="15"/>
      <c r="AB172" s="3"/>
      <c r="AC172" s="3"/>
      <c r="AD172" s="3"/>
      <c r="AE172" s="3"/>
      <c r="AF172" s="3"/>
      <c r="AG172" s="3"/>
      <c r="AH172" s="3"/>
      <c r="AI172" s="3"/>
      <c r="AJ172" s="3"/>
      <c r="AK172" s="3"/>
      <c r="AL172" s="3"/>
      <c r="AM172" s="3"/>
      <c r="AN172" s="3"/>
      <c r="AO172" s="3"/>
    </row>
    <row r="173" spans="1:41" x14ac:dyDescent="0.25">
      <c r="A173" s="171"/>
      <c r="B173" s="13"/>
      <c r="C173" s="14"/>
      <c r="D173" s="60"/>
      <c r="E173" s="56"/>
      <c r="F173" s="56"/>
      <c r="G173" s="14"/>
      <c r="H173" s="56"/>
      <c r="I173" s="14"/>
      <c r="J173" s="14"/>
      <c r="K173" s="14"/>
      <c r="L173" s="14"/>
      <c r="M173" s="14"/>
      <c r="N173" s="14"/>
      <c r="O173" s="14"/>
      <c r="P173" s="14"/>
      <c r="Q173" s="14"/>
      <c r="R173" s="14"/>
      <c r="S173" s="14"/>
      <c r="T173" s="14"/>
      <c r="U173" s="14"/>
      <c r="V173" s="14"/>
      <c r="W173" s="14"/>
      <c r="X173" s="14"/>
      <c r="Y173" s="14"/>
      <c r="Z173" s="14"/>
      <c r="AA173" s="15"/>
      <c r="AB173" s="3"/>
      <c r="AC173" s="3"/>
      <c r="AD173" s="3"/>
      <c r="AE173" s="3"/>
      <c r="AF173" s="3"/>
      <c r="AG173" s="3"/>
      <c r="AH173" s="3"/>
      <c r="AI173" s="3"/>
      <c r="AJ173" s="3"/>
      <c r="AK173" s="3"/>
      <c r="AL173" s="3"/>
      <c r="AM173" s="3"/>
      <c r="AN173" s="3"/>
      <c r="AO173" s="3"/>
    </row>
    <row r="174" spans="1:41" x14ac:dyDescent="0.25">
      <c r="A174" s="171"/>
      <c r="B174" s="13"/>
      <c r="C174" s="56"/>
      <c r="D174" s="60"/>
      <c r="E174" s="56"/>
      <c r="F174" s="56"/>
      <c r="G174" s="56"/>
      <c r="H174" s="56"/>
      <c r="I174" s="14"/>
      <c r="J174" s="14"/>
      <c r="K174" s="14"/>
      <c r="L174" s="14"/>
      <c r="M174" s="14"/>
      <c r="N174" s="14"/>
      <c r="O174" s="14"/>
      <c r="P174" s="14"/>
      <c r="Q174" s="14"/>
      <c r="R174" s="14"/>
      <c r="S174" s="14"/>
      <c r="T174" s="14"/>
      <c r="U174" s="14"/>
      <c r="V174" s="14"/>
      <c r="W174" s="14"/>
      <c r="X174" s="14"/>
      <c r="Y174" s="14"/>
      <c r="Z174" s="14"/>
      <c r="AA174" s="15"/>
      <c r="AB174" s="3"/>
      <c r="AC174" s="3"/>
      <c r="AD174" s="3"/>
      <c r="AE174" s="3"/>
      <c r="AF174" s="3"/>
      <c r="AG174" s="3"/>
      <c r="AH174" s="3"/>
      <c r="AI174" s="3"/>
      <c r="AJ174" s="3"/>
      <c r="AK174" s="3"/>
      <c r="AL174" s="3"/>
      <c r="AM174" s="3"/>
      <c r="AN174" s="3"/>
      <c r="AO174" s="3"/>
    </row>
    <row r="175" spans="1:41" x14ac:dyDescent="0.25">
      <c r="A175" s="171"/>
      <c r="B175" s="13"/>
      <c r="C175" s="14"/>
      <c r="D175" s="60"/>
      <c r="E175" s="56"/>
      <c r="F175" s="56"/>
      <c r="G175" s="14"/>
      <c r="H175" s="56"/>
      <c r="I175" s="14"/>
      <c r="J175" s="14"/>
      <c r="K175" s="14"/>
      <c r="L175" s="14"/>
      <c r="M175" s="14"/>
      <c r="N175" s="14"/>
      <c r="O175" s="14"/>
      <c r="P175" s="14"/>
      <c r="Q175" s="14"/>
      <c r="R175" s="14"/>
      <c r="S175" s="14"/>
      <c r="T175" s="14"/>
      <c r="U175" s="14"/>
      <c r="V175" s="14"/>
      <c r="W175" s="14"/>
      <c r="X175" s="14"/>
      <c r="Y175" s="14"/>
      <c r="Z175" s="14"/>
      <c r="AA175" s="15"/>
      <c r="AB175" s="3"/>
      <c r="AC175" s="3"/>
      <c r="AD175" s="3"/>
      <c r="AE175" s="3"/>
      <c r="AF175" s="3"/>
      <c r="AG175" s="3"/>
      <c r="AH175" s="3"/>
      <c r="AI175" s="3"/>
      <c r="AJ175" s="3"/>
      <c r="AK175" s="3"/>
      <c r="AL175" s="3"/>
      <c r="AM175" s="3"/>
      <c r="AN175" s="3"/>
      <c r="AO175" s="3"/>
    </row>
    <row r="176" spans="1:41" ht="18.75" x14ac:dyDescent="0.3">
      <c r="A176" s="171"/>
      <c r="B176" s="67"/>
      <c r="C176" s="14"/>
      <c r="D176" s="14"/>
      <c r="E176" s="56"/>
      <c r="F176" s="56"/>
      <c r="G176" s="14"/>
      <c r="H176" s="56"/>
      <c r="I176" s="74"/>
      <c r="J176" s="14"/>
      <c r="K176" s="14"/>
      <c r="L176" s="14"/>
      <c r="M176" s="14"/>
      <c r="N176" s="14"/>
      <c r="O176" s="14"/>
      <c r="P176" s="14"/>
      <c r="Q176" s="14"/>
      <c r="R176" s="14"/>
      <c r="S176" s="14"/>
      <c r="T176" s="14"/>
      <c r="U176" s="14"/>
      <c r="V176" s="14"/>
      <c r="W176" s="14"/>
      <c r="X176" s="14"/>
      <c r="Y176" s="14"/>
      <c r="Z176" s="14"/>
      <c r="AA176" s="15"/>
      <c r="AB176" s="3"/>
      <c r="AC176" s="3"/>
      <c r="AD176" s="3"/>
      <c r="AE176" s="3"/>
      <c r="AF176" s="3"/>
      <c r="AG176" s="3"/>
      <c r="AH176" s="3"/>
      <c r="AI176" s="3"/>
      <c r="AJ176" s="3"/>
      <c r="AK176" s="3"/>
      <c r="AL176" s="3"/>
      <c r="AM176" s="3"/>
      <c r="AN176" s="3"/>
      <c r="AO176" s="3"/>
    </row>
    <row r="177" spans="1:41" x14ac:dyDescent="0.25">
      <c r="A177" s="171"/>
      <c r="B177" s="13"/>
      <c r="C177" s="14"/>
      <c r="D177" s="60"/>
      <c r="E177" s="56"/>
      <c r="F177" s="56"/>
      <c r="G177" s="14"/>
      <c r="H177" s="14"/>
      <c r="I177" s="14"/>
      <c r="J177" s="14"/>
      <c r="K177" s="14"/>
      <c r="L177" s="14"/>
      <c r="M177" s="14"/>
      <c r="N177" s="14"/>
      <c r="O177" s="14"/>
      <c r="P177" s="14"/>
      <c r="Q177" s="14"/>
      <c r="R177" s="14"/>
      <c r="S177" s="14"/>
      <c r="T177" s="14"/>
      <c r="U177" s="14"/>
      <c r="V177" s="14"/>
      <c r="W177" s="14"/>
      <c r="X177" s="14"/>
      <c r="Y177" s="14"/>
      <c r="Z177" s="14"/>
      <c r="AA177" s="15"/>
      <c r="AB177" s="3"/>
      <c r="AC177" s="3"/>
      <c r="AD177" s="3"/>
      <c r="AE177" s="3"/>
      <c r="AF177" s="3"/>
      <c r="AG177" s="3"/>
      <c r="AH177" s="3"/>
      <c r="AI177" s="3"/>
      <c r="AJ177" s="3"/>
      <c r="AK177" s="3"/>
      <c r="AL177" s="3"/>
      <c r="AM177" s="3"/>
      <c r="AN177" s="3"/>
      <c r="AO177" s="3"/>
    </row>
    <row r="178" spans="1:41" x14ac:dyDescent="0.25">
      <c r="A178" s="171"/>
      <c r="B178" s="13"/>
      <c r="C178" s="14"/>
      <c r="D178" s="60"/>
      <c r="E178" s="56"/>
      <c r="F178" s="56"/>
      <c r="G178" s="14"/>
      <c r="H178" s="56"/>
      <c r="I178" s="14"/>
      <c r="J178" s="14"/>
      <c r="K178" s="14"/>
      <c r="L178" s="14"/>
      <c r="M178" s="14"/>
      <c r="N178" s="14"/>
      <c r="O178" s="14"/>
      <c r="P178" s="14"/>
      <c r="Q178" s="14"/>
      <c r="R178" s="14"/>
      <c r="S178" s="14"/>
      <c r="T178" s="14"/>
      <c r="U178" s="14"/>
      <c r="V178" s="14"/>
      <c r="W178" s="14"/>
      <c r="X178" s="14"/>
      <c r="Y178" s="14"/>
      <c r="Z178" s="14"/>
      <c r="AA178" s="15"/>
      <c r="AB178" s="3"/>
      <c r="AC178" s="3"/>
      <c r="AD178" s="3"/>
      <c r="AE178" s="3"/>
      <c r="AF178" s="3"/>
      <c r="AG178" s="3"/>
      <c r="AH178" s="3"/>
      <c r="AI178" s="3"/>
      <c r="AJ178" s="3"/>
      <c r="AK178" s="3"/>
      <c r="AL178" s="3"/>
      <c r="AM178" s="3"/>
      <c r="AN178" s="3"/>
      <c r="AO178" s="3"/>
    </row>
    <row r="179" spans="1:41" x14ac:dyDescent="0.25">
      <c r="A179" s="171"/>
      <c r="B179" s="13"/>
      <c r="C179" s="14"/>
      <c r="D179" s="60"/>
      <c r="E179" s="56"/>
      <c r="F179" s="56"/>
      <c r="G179" s="14"/>
      <c r="H179" s="56"/>
      <c r="I179" s="14"/>
      <c r="J179" s="14"/>
      <c r="K179" s="14"/>
      <c r="L179" s="14"/>
      <c r="M179" s="14"/>
      <c r="N179" s="14"/>
      <c r="O179" s="14"/>
      <c r="P179" s="14"/>
      <c r="Q179" s="14"/>
      <c r="R179" s="14"/>
      <c r="S179" s="14"/>
      <c r="T179" s="14"/>
      <c r="U179" s="14"/>
      <c r="V179" s="14"/>
      <c r="W179" s="14"/>
      <c r="X179" s="14"/>
      <c r="Y179" s="14"/>
      <c r="Z179" s="14"/>
      <c r="AA179" s="15"/>
      <c r="AB179" s="3"/>
      <c r="AC179" s="3"/>
      <c r="AD179" s="3"/>
      <c r="AE179" s="3"/>
      <c r="AF179" s="3"/>
      <c r="AG179" s="3"/>
      <c r="AH179" s="3"/>
      <c r="AI179" s="3"/>
      <c r="AJ179" s="3"/>
      <c r="AK179" s="3"/>
      <c r="AL179" s="3"/>
      <c r="AM179" s="3"/>
      <c r="AN179" s="3"/>
      <c r="AO179" s="3"/>
    </row>
    <row r="180" spans="1:41" x14ac:dyDescent="0.25">
      <c r="A180" s="171"/>
      <c r="B180" s="13"/>
      <c r="C180" s="14"/>
      <c r="D180" s="60"/>
      <c r="E180" s="56"/>
      <c r="F180" s="56"/>
      <c r="G180" s="14"/>
      <c r="H180" s="56"/>
      <c r="I180" s="14"/>
      <c r="J180" s="14"/>
      <c r="K180" s="14"/>
      <c r="L180" s="14"/>
      <c r="M180" s="14"/>
      <c r="N180" s="14"/>
      <c r="O180" s="14"/>
      <c r="P180" s="14"/>
      <c r="Q180" s="14"/>
      <c r="R180" s="14"/>
      <c r="S180" s="14"/>
      <c r="T180" s="14"/>
      <c r="U180" s="14"/>
      <c r="V180" s="14"/>
      <c r="W180" s="14"/>
      <c r="X180" s="14"/>
      <c r="Y180" s="14"/>
      <c r="Z180" s="14"/>
      <c r="AA180" s="15"/>
      <c r="AB180" s="3"/>
      <c r="AC180" s="3"/>
      <c r="AD180" s="3"/>
      <c r="AE180" s="3"/>
      <c r="AF180" s="3"/>
      <c r="AG180" s="3"/>
      <c r="AH180" s="3"/>
      <c r="AI180" s="3"/>
      <c r="AJ180" s="3"/>
      <c r="AK180" s="3"/>
      <c r="AL180" s="3"/>
      <c r="AM180" s="3"/>
      <c r="AN180" s="3"/>
      <c r="AO180" s="3"/>
    </row>
    <row r="181" spans="1:41" x14ac:dyDescent="0.25">
      <c r="A181" s="171"/>
      <c r="B181" s="13"/>
      <c r="C181" s="56"/>
      <c r="D181" s="60"/>
      <c r="E181" s="56"/>
      <c r="F181" s="56"/>
      <c r="G181" s="56"/>
      <c r="H181" s="56"/>
      <c r="I181" s="14"/>
      <c r="J181" s="14"/>
      <c r="K181" s="14"/>
      <c r="L181" s="14"/>
      <c r="M181" s="14"/>
      <c r="N181" s="14"/>
      <c r="O181" s="14"/>
      <c r="P181" s="14"/>
      <c r="Q181" s="14"/>
      <c r="R181" s="14"/>
      <c r="S181" s="14"/>
      <c r="T181" s="14"/>
      <c r="U181" s="14"/>
      <c r="V181" s="14"/>
      <c r="W181" s="14"/>
      <c r="X181" s="14"/>
      <c r="Y181" s="14"/>
      <c r="Z181" s="14"/>
      <c r="AA181" s="15"/>
      <c r="AB181" s="3"/>
      <c r="AC181" s="3"/>
      <c r="AD181" s="3"/>
      <c r="AE181" s="3"/>
      <c r="AF181" s="3"/>
      <c r="AG181" s="3"/>
      <c r="AH181" s="3"/>
      <c r="AI181" s="3"/>
      <c r="AJ181" s="3"/>
      <c r="AK181" s="3"/>
      <c r="AL181" s="3"/>
      <c r="AM181" s="3"/>
      <c r="AN181" s="3"/>
      <c r="AO181" s="3"/>
    </row>
    <row r="182" spans="1:41" x14ac:dyDescent="0.25">
      <c r="A182" s="171"/>
      <c r="B182" s="13"/>
      <c r="C182" s="14"/>
      <c r="D182" s="60"/>
      <c r="E182" s="56"/>
      <c r="F182" s="56"/>
      <c r="G182" s="14"/>
      <c r="H182" s="56"/>
      <c r="I182" s="14"/>
      <c r="J182" s="14"/>
      <c r="K182" s="14"/>
      <c r="L182" s="14"/>
      <c r="M182" s="14"/>
      <c r="N182" s="14"/>
      <c r="O182" s="14"/>
      <c r="P182" s="14"/>
      <c r="Q182" s="14"/>
      <c r="R182" s="14"/>
      <c r="S182" s="14"/>
      <c r="T182" s="14"/>
      <c r="U182" s="14"/>
      <c r="V182" s="14"/>
      <c r="W182" s="14"/>
      <c r="X182" s="14"/>
      <c r="Y182" s="14"/>
      <c r="Z182" s="14"/>
      <c r="AA182" s="15"/>
      <c r="AB182" s="3"/>
      <c r="AC182" s="3"/>
      <c r="AD182" s="3"/>
      <c r="AE182" s="3"/>
      <c r="AF182" s="3"/>
      <c r="AG182" s="3"/>
      <c r="AH182" s="3"/>
      <c r="AI182" s="3"/>
      <c r="AJ182" s="3"/>
      <c r="AK182" s="3"/>
      <c r="AL182" s="3"/>
      <c r="AM182" s="3"/>
      <c r="AN182" s="3"/>
      <c r="AO182" s="3"/>
    </row>
    <row r="183" spans="1:41" x14ac:dyDescent="0.25">
      <c r="A183" s="171"/>
      <c r="B183" s="13"/>
      <c r="C183" s="14"/>
      <c r="D183" s="14"/>
      <c r="E183" s="56"/>
      <c r="F183" s="56"/>
      <c r="G183" s="14"/>
      <c r="H183" s="56"/>
      <c r="I183" s="14"/>
      <c r="J183" s="14"/>
      <c r="K183" s="14"/>
      <c r="L183" s="14"/>
      <c r="M183" s="14"/>
      <c r="N183" s="14"/>
      <c r="O183" s="14"/>
      <c r="P183" s="14"/>
      <c r="Q183" s="14"/>
      <c r="R183" s="14"/>
      <c r="S183" s="14"/>
      <c r="T183" s="14"/>
      <c r="U183" s="14"/>
      <c r="V183" s="14"/>
      <c r="W183" s="14"/>
      <c r="X183" s="14"/>
      <c r="Y183" s="14"/>
      <c r="Z183" s="14"/>
      <c r="AA183" s="15"/>
      <c r="AB183" s="3"/>
      <c r="AC183" s="3"/>
      <c r="AD183" s="3"/>
      <c r="AE183" s="3"/>
      <c r="AF183" s="3"/>
      <c r="AG183" s="3"/>
      <c r="AH183" s="3"/>
      <c r="AI183" s="3"/>
      <c r="AJ183" s="3"/>
      <c r="AK183" s="3"/>
      <c r="AL183" s="3"/>
      <c r="AM183" s="3"/>
      <c r="AN183" s="3"/>
      <c r="AO183" s="3"/>
    </row>
    <row r="184" spans="1:41" ht="18.75" x14ac:dyDescent="0.3">
      <c r="A184" s="171"/>
      <c r="B184" s="67"/>
      <c r="C184" s="14"/>
      <c r="D184" s="60"/>
      <c r="E184" s="56"/>
      <c r="F184" s="56"/>
      <c r="G184" s="14"/>
      <c r="H184" s="14"/>
      <c r="I184" s="74"/>
      <c r="J184" s="14"/>
      <c r="K184" s="14"/>
      <c r="L184" s="14"/>
      <c r="M184" s="14"/>
      <c r="N184" s="14"/>
      <c r="O184" s="14"/>
      <c r="P184" s="14"/>
      <c r="Q184" s="14"/>
      <c r="R184" s="14"/>
      <c r="S184" s="14"/>
      <c r="T184" s="14"/>
      <c r="U184" s="14"/>
      <c r="V184" s="14"/>
      <c r="W184" s="14"/>
      <c r="X184" s="14"/>
      <c r="Y184" s="14"/>
      <c r="Z184" s="14"/>
      <c r="AA184" s="15"/>
      <c r="AB184" s="3"/>
      <c r="AC184" s="3"/>
      <c r="AD184" s="3"/>
      <c r="AE184" s="3"/>
      <c r="AF184" s="3"/>
      <c r="AG184" s="3"/>
      <c r="AH184" s="3"/>
      <c r="AI184" s="3"/>
      <c r="AJ184" s="3"/>
      <c r="AK184" s="3"/>
      <c r="AL184" s="3"/>
      <c r="AM184" s="3"/>
      <c r="AN184" s="3"/>
      <c r="AO184" s="3"/>
    </row>
    <row r="185" spans="1:41" x14ac:dyDescent="0.25">
      <c r="A185" s="171"/>
      <c r="B185" s="13"/>
      <c r="C185" s="14"/>
      <c r="D185" s="60"/>
      <c r="E185" s="56"/>
      <c r="F185" s="56"/>
      <c r="G185" s="14"/>
      <c r="H185" s="56"/>
      <c r="I185" s="14"/>
      <c r="J185" s="14"/>
      <c r="K185" s="14"/>
      <c r="L185" s="14"/>
      <c r="M185" s="14"/>
      <c r="N185" s="14"/>
      <c r="O185" s="14"/>
      <c r="P185" s="14"/>
      <c r="Q185" s="14"/>
      <c r="R185" s="14"/>
      <c r="S185" s="14"/>
      <c r="T185" s="14"/>
      <c r="U185" s="14"/>
      <c r="V185" s="14"/>
      <c r="W185" s="14"/>
      <c r="X185" s="14"/>
      <c r="Y185" s="14"/>
      <c r="Z185" s="14"/>
      <c r="AA185" s="15"/>
      <c r="AB185" s="3"/>
      <c r="AC185" s="3"/>
      <c r="AD185" s="3"/>
      <c r="AE185" s="3"/>
      <c r="AF185" s="3"/>
      <c r="AG185" s="3"/>
      <c r="AH185" s="3"/>
      <c r="AI185" s="3"/>
      <c r="AJ185" s="3"/>
      <c r="AK185" s="3"/>
      <c r="AL185" s="3"/>
      <c r="AM185" s="3"/>
      <c r="AN185" s="3"/>
      <c r="AO185" s="3"/>
    </row>
    <row r="186" spans="1:41" x14ac:dyDescent="0.25">
      <c r="A186" s="171"/>
      <c r="B186" s="13"/>
      <c r="C186" s="14"/>
      <c r="D186" s="60"/>
      <c r="E186" s="56"/>
      <c r="F186" s="56"/>
      <c r="G186" s="14"/>
      <c r="H186" s="56"/>
      <c r="I186" s="14"/>
      <c r="J186" s="14"/>
      <c r="K186" s="14"/>
      <c r="L186" s="14"/>
      <c r="M186" s="14"/>
      <c r="N186" s="14"/>
      <c r="O186" s="14"/>
      <c r="P186" s="14"/>
      <c r="Q186" s="14"/>
      <c r="R186" s="14"/>
      <c r="S186" s="14"/>
      <c r="T186" s="14"/>
      <c r="U186" s="14"/>
      <c r="V186" s="14"/>
      <c r="W186" s="14"/>
      <c r="X186" s="14"/>
      <c r="Y186" s="14"/>
      <c r="Z186" s="14"/>
      <c r="AA186" s="15"/>
      <c r="AB186" s="3"/>
      <c r="AC186" s="3"/>
      <c r="AD186" s="3"/>
      <c r="AE186" s="3"/>
      <c r="AF186" s="3"/>
      <c r="AG186" s="3"/>
      <c r="AH186" s="3"/>
      <c r="AI186" s="3"/>
      <c r="AJ186" s="3"/>
      <c r="AK186" s="3"/>
      <c r="AL186" s="3"/>
      <c r="AM186" s="3"/>
      <c r="AN186" s="3"/>
      <c r="AO186" s="3"/>
    </row>
    <row r="187" spans="1:41" x14ac:dyDescent="0.25">
      <c r="A187" s="171"/>
      <c r="B187" s="13"/>
      <c r="C187" s="14"/>
      <c r="D187" s="60"/>
      <c r="E187" s="56"/>
      <c r="F187" s="56"/>
      <c r="G187" s="14"/>
      <c r="H187" s="56"/>
      <c r="I187" s="14"/>
      <c r="J187" s="14"/>
      <c r="K187" s="14"/>
      <c r="L187" s="14"/>
      <c r="M187" s="14"/>
      <c r="N187" s="14"/>
      <c r="O187" s="14"/>
      <c r="P187" s="14"/>
      <c r="Q187" s="14"/>
      <c r="R187" s="14"/>
      <c r="S187" s="14"/>
      <c r="T187" s="14"/>
      <c r="U187" s="14"/>
      <c r="V187" s="14"/>
      <c r="W187" s="14"/>
      <c r="X187" s="14"/>
      <c r="Y187" s="14"/>
      <c r="Z187" s="14"/>
      <c r="AA187" s="15"/>
      <c r="AB187" s="3"/>
      <c r="AC187" s="3"/>
      <c r="AD187" s="3"/>
      <c r="AE187" s="3"/>
      <c r="AF187" s="3"/>
      <c r="AG187" s="3"/>
      <c r="AH187" s="3"/>
      <c r="AI187" s="3"/>
      <c r="AJ187" s="3"/>
      <c r="AK187" s="3"/>
      <c r="AL187" s="3"/>
      <c r="AM187" s="3"/>
      <c r="AN187" s="3"/>
      <c r="AO187" s="3"/>
    </row>
    <row r="188" spans="1:41" x14ac:dyDescent="0.25">
      <c r="A188" s="171"/>
      <c r="B188" s="13"/>
      <c r="C188" s="56"/>
      <c r="D188" s="60"/>
      <c r="E188" s="56"/>
      <c r="F188" s="56"/>
      <c r="G188" s="56"/>
      <c r="H188" s="56"/>
      <c r="I188" s="14"/>
      <c r="J188" s="14"/>
      <c r="K188" s="14"/>
      <c r="L188" s="14"/>
      <c r="M188" s="14"/>
      <c r="N188" s="14"/>
      <c r="O188" s="14"/>
      <c r="P188" s="14"/>
      <c r="Q188" s="14"/>
      <c r="R188" s="14"/>
      <c r="S188" s="14"/>
      <c r="T188" s="14"/>
      <c r="U188" s="14"/>
      <c r="V188" s="14"/>
      <c r="W188" s="14"/>
      <c r="X188" s="14"/>
      <c r="Y188" s="14"/>
      <c r="Z188" s="14"/>
      <c r="AA188" s="15"/>
      <c r="AB188" s="3"/>
      <c r="AC188" s="3"/>
      <c r="AD188" s="3"/>
      <c r="AE188" s="3"/>
      <c r="AF188" s="3"/>
      <c r="AG188" s="3"/>
      <c r="AH188" s="3"/>
      <c r="AI188" s="3"/>
      <c r="AJ188" s="3"/>
      <c r="AK188" s="3"/>
      <c r="AL188" s="3"/>
      <c r="AM188" s="3"/>
      <c r="AN188" s="3"/>
      <c r="AO188" s="3"/>
    </row>
    <row r="189" spans="1:41" x14ac:dyDescent="0.25">
      <c r="A189" s="171"/>
      <c r="B189" s="13"/>
      <c r="C189" s="14"/>
      <c r="D189" s="60"/>
      <c r="E189" s="56"/>
      <c r="F189" s="56"/>
      <c r="G189" s="14"/>
      <c r="H189" s="56"/>
      <c r="I189" s="14"/>
      <c r="J189" s="14"/>
      <c r="K189" s="14"/>
      <c r="L189" s="14"/>
      <c r="M189" s="14"/>
      <c r="N189" s="14"/>
      <c r="O189" s="14"/>
      <c r="P189" s="14"/>
      <c r="Q189" s="14"/>
      <c r="R189" s="14"/>
      <c r="S189" s="14"/>
      <c r="T189" s="14"/>
      <c r="U189" s="14"/>
      <c r="V189" s="14"/>
      <c r="W189" s="14"/>
      <c r="X189" s="14"/>
      <c r="Y189" s="14"/>
      <c r="Z189" s="14"/>
      <c r="AA189" s="15"/>
      <c r="AB189" s="3"/>
      <c r="AC189" s="3"/>
      <c r="AD189" s="3"/>
      <c r="AE189" s="3"/>
      <c r="AF189" s="3"/>
      <c r="AG189" s="3"/>
      <c r="AH189" s="3"/>
      <c r="AI189" s="3"/>
      <c r="AJ189" s="3"/>
      <c r="AK189" s="3"/>
      <c r="AL189" s="3"/>
      <c r="AM189" s="3"/>
      <c r="AN189" s="3"/>
      <c r="AO189" s="3"/>
    </row>
    <row r="190" spans="1:41" x14ac:dyDescent="0.25">
      <c r="A190" s="171"/>
      <c r="B190" s="13"/>
      <c r="C190" s="14"/>
      <c r="D190" s="14"/>
      <c r="E190" s="56"/>
      <c r="F190" s="56"/>
      <c r="G190" s="14"/>
      <c r="H190" s="56"/>
      <c r="I190" s="14"/>
      <c r="J190" s="14"/>
      <c r="K190" s="14"/>
      <c r="L190" s="14"/>
      <c r="M190" s="14"/>
      <c r="N190" s="14"/>
      <c r="O190" s="14"/>
      <c r="P190" s="14"/>
      <c r="Q190" s="14"/>
      <c r="R190" s="14"/>
      <c r="S190" s="14"/>
      <c r="T190" s="14"/>
      <c r="U190" s="14"/>
      <c r="V190" s="14"/>
      <c r="W190" s="14"/>
      <c r="X190" s="14"/>
      <c r="Y190" s="14"/>
      <c r="Z190" s="14"/>
      <c r="AA190" s="15"/>
      <c r="AB190" s="3"/>
      <c r="AC190" s="3"/>
      <c r="AD190" s="3"/>
      <c r="AE190" s="3"/>
      <c r="AF190" s="3"/>
      <c r="AG190" s="3"/>
      <c r="AH190" s="3"/>
      <c r="AI190" s="3"/>
      <c r="AJ190" s="3"/>
      <c r="AK190" s="3"/>
      <c r="AL190" s="3"/>
      <c r="AM190" s="3"/>
      <c r="AN190" s="3"/>
      <c r="AO190" s="3"/>
    </row>
    <row r="191" spans="1:41" x14ac:dyDescent="0.25">
      <c r="A191" s="171"/>
      <c r="B191" s="13"/>
      <c r="C191" s="14"/>
      <c r="D191" s="60"/>
      <c r="E191" s="56"/>
      <c r="F191" s="56"/>
      <c r="G191" s="14"/>
      <c r="H191" s="14"/>
      <c r="I191" s="14"/>
      <c r="J191" s="14"/>
      <c r="K191" s="14"/>
      <c r="L191" s="14"/>
      <c r="M191" s="14"/>
      <c r="N191" s="14"/>
      <c r="O191" s="14"/>
      <c r="P191" s="14"/>
      <c r="Q191" s="14"/>
      <c r="R191" s="14"/>
      <c r="S191" s="14"/>
      <c r="T191" s="14"/>
      <c r="U191" s="14"/>
      <c r="V191" s="14"/>
      <c r="W191" s="14"/>
      <c r="X191" s="14"/>
      <c r="Y191" s="14"/>
      <c r="Z191" s="14"/>
      <c r="AA191" s="15"/>
      <c r="AB191" s="3"/>
      <c r="AC191" s="3"/>
      <c r="AD191" s="3"/>
      <c r="AE191" s="3"/>
      <c r="AF191" s="3"/>
      <c r="AG191" s="3"/>
      <c r="AH191" s="3"/>
      <c r="AI191" s="3"/>
      <c r="AJ191" s="3"/>
      <c r="AK191" s="3"/>
      <c r="AL191" s="3"/>
      <c r="AM191" s="3"/>
      <c r="AN191" s="3"/>
      <c r="AO191" s="3"/>
    </row>
    <row r="192" spans="1:41" ht="18.75" x14ac:dyDescent="0.3">
      <c r="A192" s="171"/>
      <c r="B192" s="67"/>
      <c r="C192" s="14"/>
      <c r="D192" s="60"/>
      <c r="E192" s="56"/>
      <c r="F192" s="56"/>
      <c r="G192" s="14"/>
      <c r="H192" s="56"/>
      <c r="I192" s="74"/>
      <c r="J192" s="14"/>
      <c r="K192" s="14"/>
      <c r="L192" s="14"/>
      <c r="M192" s="14"/>
      <c r="N192" s="14"/>
      <c r="O192" s="14"/>
      <c r="P192" s="14"/>
      <c r="Q192" s="14"/>
      <c r="R192" s="14"/>
      <c r="S192" s="14"/>
      <c r="T192" s="14"/>
      <c r="U192" s="14"/>
      <c r="V192" s="14"/>
      <c r="W192" s="14"/>
      <c r="X192" s="14"/>
      <c r="Y192" s="14"/>
      <c r="Z192" s="14"/>
      <c r="AA192" s="15"/>
      <c r="AB192" s="3"/>
      <c r="AC192" s="3"/>
      <c r="AD192" s="3"/>
      <c r="AE192" s="3"/>
      <c r="AF192" s="3"/>
      <c r="AG192" s="3"/>
      <c r="AH192" s="3"/>
      <c r="AI192" s="3"/>
      <c r="AJ192" s="3"/>
      <c r="AK192" s="3"/>
      <c r="AL192" s="3"/>
      <c r="AM192" s="3"/>
      <c r="AN192" s="3"/>
      <c r="AO192" s="3"/>
    </row>
    <row r="193" spans="1:41" x14ac:dyDescent="0.25">
      <c r="A193" s="171"/>
      <c r="B193" s="13"/>
      <c r="C193" s="14"/>
      <c r="D193" s="60"/>
      <c r="E193" s="56"/>
      <c r="F193" s="56"/>
      <c r="G193" s="14"/>
      <c r="H193" s="56"/>
      <c r="I193" s="14"/>
      <c r="J193" s="14"/>
      <c r="K193" s="14"/>
      <c r="L193" s="14"/>
      <c r="M193" s="14"/>
      <c r="N193" s="14"/>
      <c r="O193" s="14"/>
      <c r="P193" s="14"/>
      <c r="Q193" s="14"/>
      <c r="R193" s="14"/>
      <c r="S193" s="14"/>
      <c r="T193" s="14"/>
      <c r="U193" s="14"/>
      <c r="V193" s="14"/>
      <c r="W193" s="14"/>
      <c r="X193" s="14"/>
      <c r="Y193" s="14"/>
      <c r="Z193" s="14"/>
      <c r="AA193" s="15"/>
      <c r="AB193" s="3"/>
      <c r="AC193" s="3"/>
      <c r="AD193" s="3"/>
      <c r="AE193" s="3"/>
      <c r="AF193" s="3"/>
      <c r="AG193" s="3"/>
      <c r="AH193" s="3"/>
      <c r="AI193" s="3"/>
      <c r="AJ193" s="3"/>
      <c r="AK193" s="3"/>
      <c r="AL193" s="3"/>
      <c r="AM193" s="3"/>
      <c r="AN193" s="3"/>
      <c r="AO193" s="3"/>
    </row>
    <row r="194" spans="1:41" x14ac:dyDescent="0.25">
      <c r="A194" s="171"/>
      <c r="B194" s="13"/>
      <c r="C194" s="14"/>
      <c r="D194" s="60"/>
      <c r="E194" s="56"/>
      <c r="F194" s="56"/>
      <c r="G194" s="14"/>
      <c r="H194" s="56"/>
      <c r="I194" s="14"/>
      <c r="J194" s="14"/>
      <c r="K194" s="14"/>
      <c r="L194" s="14"/>
      <c r="M194" s="14"/>
      <c r="N194" s="14"/>
      <c r="O194" s="14"/>
      <c r="P194" s="14"/>
      <c r="Q194" s="14"/>
      <c r="R194" s="14"/>
      <c r="S194" s="14"/>
      <c r="T194" s="14"/>
      <c r="U194" s="14"/>
      <c r="V194" s="14"/>
      <c r="W194" s="14"/>
      <c r="X194" s="14"/>
      <c r="Y194" s="14"/>
      <c r="Z194" s="14"/>
      <c r="AA194" s="15"/>
      <c r="AB194" s="3"/>
      <c r="AC194" s="3"/>
      <c r="AD194" s="3"/>
      <c r="AE194" s="3"/>
      <c r="AF194" s="3"/>
      <c r="AG194" s="3"/>
      <c r="AH194" s="3"/>
      <c r="AI194" s="3"/>
      <c r="AJ194" s="3"/>
      <c r="AK194" s="3"/>
      <c r="AL194" s="3"/>
      <c r="AM194" s="3"/>
      <c r="AN194" s="3"/>
      <c r="AO194" s="3"/>
    </row>
    <row r="195" spans="1:41" x14ac:dyDescent="0.25">
      <c r="A195" s="171"/>
      <c r="B195" s="13"/>
      <c r="C195" s="56"/>
      <c r="D195" s="60"/>
      <c r="E195" s="56"/>
      <c r="F195" s="56"/>
      <c r="G195" s="56"/>
      <c r="H195" s="56"/>
      <c r="I195" s="14"/>
      <c r="J195" s="14"/>
      <c r="K195" s="14"/>
      <c r="L195" s="14"/>
      <c r="M195" s="14"/>
      <c r="N195" s="14"/>
      <c r="O195" s="14"/>
      <c r="P195" s="14"/>
      <c r="Q195" s="14"/>
      <c r="R195" s="14"/>
      <c r="S195" s="14"/>
      <c r="T195" s="14"/>
      <c r="U195" s="14"/>
      <c r="V195" s="14"/>
      <c r="W195" s="14"/>
      <c r="X195" s="14"/>
      <c r="Y195" s="14"/>
      <c r="Z195" s="14"/>
      <c r="AA195" s="15"/>
      <c r="AB195" s="3"/>
      <c r="AC195" s="3"/>
      <c r="AD195" s="3"/>
      <c r="AE195" s="3"/>
      <c r="AF195" s="3"/>
      <c r="AG195" s="3"/>
      <c r="AH195" s="3"/>
      <c r="AI195" s="3"/>
      <c r="AJ195" s="3"/>
      <c r="AK195" s="3"/>
      <c r="AL195" s="3"/>
      <c r="AM195" s="3"/>
      <c r="AN195" s="3"/>
      <c r="AO195" s="3"/>
    </row>
    <row r="196" spans="1:41" x14ac:dyDescent="0.25">
      <c r="A196" s="171"/>
      <c r="B196" s="13"/>
      <c r="C196" s="14"/>
      <c r="D196" s="60"/>
      <c r="E196" s="56"/>
      <c r="F196" s="56"/>
      <c r="G196" s="14"/>
      <c r="H196" s="56"/>
      <c r="I196" s="14"/>
      <c r="J196" s="14"/>
      <c r="K196" s="14"/>
      <c r="L196" s="14"/>
      <c r="M196" s="14"/>
      <c r="N196" s="14"/>
      <c r="O196" s="14"/>
      <c r="P196" s="14"/>
      <c r="Q196" s="14"/>
      <c r="R196" s="14"/>
      <c r="S196" s="14"/>
      <c r="T196" s="14"/>
      <c r="U196" s="14"/>
      <c r="V196" s="14"/>
      <c r="W196" s="14"/>
      <c r="X196" s="14"/>
      <c r="Y196" s="14"/>
      <c r="Z196" s="14"/>
      <c r="AA196" s="15"/>
      <c r="AB196" s="3"/>
      <c r="AC196" s="3"/>
      <c r="AD196" s="3"/>
      <c r="AE196" s="3"/>
      <c r="AF196" s="3"/>
      <c r="AG196" s="3"/>
      <c r="AH196" s="3"/>
      <c r="AI196" s="3"/>
      <c r="AJ196" s="3"/>
      <c r="AK196" s="3"/>
      <c r="AL196" s="3"/>
      <c r="AM196" s="3"/>
      <c r="AN196" s="3"/>
      <c r="AO196" s="3"/>
    </row>
    <row r="197" spans="1:41" x14ac:dyDescent="0.25">
      <c r="A197" s="171"/>
      <c r="B197" s="13"/>
      <c r="C197" s="14"/>
      <c r="D197" s="14"/>
      <c r="E197" s="56"/>
      <c r="F197" s="56"/>
      <c r="G197" s="14"/>
      <c r="H197" s="56"/>
      <c r="I197" s="14"/>
      <c r="J197" s="14"/>
      <c r="K197" s="14"/>
      <c r="L197" s="14"/>
      <c r="M197" s="14"/>
      <c r="N197" s="14"/>
      <c r="O197" s="14"/>
      <c r="P197" s="14"/>
      <c r="Q197" s="14"/>
      <c r="R197" s="14"/>
      <c r="S197" s="14"/>
      <c r="T197" s="14"/>
      <c r="U197" s="14"/>
      <c r="V197" s="14"/>
      <c r="W197" s="14"/>
      <c r="X197" s="14"/>
      <c r="Y197" s="14"/>
      <c r="Z197" s="14"/>
      <c r="AA197" s="15"/>
      <c r="AB197" s="3"/>
      <c r="AC197" s="3"/>
      <c r="AD197" s="3"/>
      <c r="AE197" s="3"/>
      <c r="AF197" s="3"/>
      <c r="AG197" s="3"/>
      <c r="AH197" s="3"/>
      <c r="AI197" s="3"/>
      <c r="AJ197" s="3"/>
      <c r="AK197" s="3"/>
      <c r="AL197" s="3"/>
      <c r="AM197" s="3"/>
      <c r="AN197" s="3"/>
      <c r="AO197" s="3"/>
    </row>
    <row r="198" spans="1:41" x14ac:dyDescent="0.25">
      <c r="A198" s="171"/>
      <c r="B198" s="13"/>
      <c r="C198" s="14"/>
      <c r="D198" s="60"/>
      <c r="E198" s="56"/>
      <c r="F198" s="56"/>
      <c r="G198" s="14"/>
      <c r="H198" s="14"/>
      <c r="I198" s="14"/>
      <c r="J198" s="14"/>
      <c r="K198" s="14"/>
      <c r="L198" s="14"/>
      <c r="M198" s="14"/>
      <c r="N198" s="14"/>
      <c r="O198" s="14"/>
      <c r="P198" s="14"/>
      <c r="Q198" s="14"/>
      <c r="R198" s="14"/>
      <c r="S198" s="14"/>
      <c r="T198" s="14"/>
      <c r="U198" s="14"/>
      <c r="V198" s="14"/>
      <c r="W198" s="14"/>
      <c r="X198" s="14"/>
      <c r="Y198" s="14"/>
      <c r="Z198" s="14"/>
      <c r="AA198" s="15"/>
      <c r="AB198" s="3"/>
      <c r="AC198" s="3"/>
      <c r="AD198" s="3"/>
      <c r="AE198" s="3"/>
      <c r="AF198" s="3"/>
      <c r="AG198" s="3"/>
      <c r="AH198" s="3"/>
      <c r="AI198" s="3"/>
      <c r="AJ198" s="3"/>
      <c r="AK198" s="3"/>
      <c r="AL198" s="3"/>
      <c r="AM198" s="3"/>
      <c r="AN198" s="3"/>
      <c r="AO198" s="3"/>
    </row>
    <row r="199" spans="1:41" x14ac:dyDescent="0.25">
      <c r="A199" s="171"/>
      <c r="B199" s="13"/>
      <c r="C199" s="14"/>
      <c r="D199" s="60"/>
      <c r="E199" s="56"/>
      <c r="F199" s="56"/>
      <c r="G199" s="14"/>
      <c r="H199" s="56"/>
      <c r="I199" s="14"/>
      <c r="J199" s="14"/>
      <c r="K199" s="14"/>
      <c r="L199" s="14"/>
      <c r="M199" s="14"/>
      <c r="N199" s="14"/>
      <c r="O199" s="14"/>
      <c r="P199" s="14"/>
      <c r="Q199" s="14"/>
      <c r="R199" s="14"/>
      <c r="S199" s="14"/>
      <c r="T199" s="14"/>
      <c r="U199" s="14"/>
      <c r="V199" s="14"/>
      <c r="W199" s="14"/>
      <c r="X199" s="14"/>
      <c r="Y199" s="14"/>
      <c r="Z199" s="14"/>
      <c r="AA199" s="15"/>
      <c r="AB199" s="3"/>
      <c r="AC199" s="3"/>
      <c r="AD199" s="3"/>
      <c r="AE199" s="3"/>
      <c r="AF199" s="3"/>
      <c r="AG199" s="3"/>
      <c r="AH199" s="3"/>
      <c r="AI199" s="3"/>
      <c r="AJ199" s="3"/>
      <c r="AK199" s="3"/>
      <c r="AL199" s="3"/>
      <c r="AM199" s="3"/>
      <c r="AN199" s="3"/>
      <c r="AO199" s="3"/>
    </row>
    <row r="200" spans="1:41" ht="18.75" x14ac:dyDescent="0.3">
      <c r="A200" s="171"/>
      <c r="B200" s="67"/>
      <c r="C200" s="14"/>
      <c r="D200" s="60"/>
      <c r="E200" s="56"/>
      <c r="F200" s="56"/>
      <c r="G200" s="14"/>
      <c r="H200" s="56"/>
      <c r="I200" s="74"/>
      <c r="J200" s="14"/>
      <c r="K200" s="14"/>
      <c r="L200" s="14"/>
      <c r="M200" s="14"/>
      <c r="N200" s="14"/>
      <c r="O200" s="14"/>
      <c r="P200" s="14"/>
      <c r="Q200" s="14"/>
      <c r="R200" s="14"/>
      <c r="S200" s="14"/>
      <c r="T200" s="14"/>
      <c r="U200" s="14"/>
      <c r="V200" s="14"/>
      <c r="W200" s="14"/>
      <c r="X200" s="14"/>
      <c r="Y200" s="14"/>
      <c r="Z200" s="14"/>
      <c r="AA200" s="15"/>
      <c r="AB200" s="3"/>
      <c r="AC200" s="3"/>
      <c r="AD200" s="3"/>
      <c r="AE200" s="3"/>
      <c r="AF200" s="3"/>
      <c r="AG200" s="3"/>
      <c r="AH200" s="3"/>
      <c r="AI200" s="3"/>
      <c r="AJ200" s="3"/>
      <c r="AK200" s="3"/>
      <c r="AL200" s="3"/>
      <c r="AM200" s="3"/>
      <c r="AN200" s="3"/>
      <c r="AO200" s="3"/>
    </row>
    <row r="201" spans="1:41" x14ac:dyDescent="0.25">
      <c r="A201" s="171"/>
      <c r="B201" s="13"/>
      <c r="C201" s="14"/>
      <c r="D201" s="60"/>
      <c r="E201" s="56"/>
      <c r="F201" s="56"/>
      <c r="G201" s="14"/>
      <c r="H201" s="56"/>
      <c r="I201" s="14"/>
      <c r="J201" s="14"/>
      <c r="K201" s="14"/>
      <c r="L201" s="14"/>
      <c r="M201" s="14"/>
      <c r="N201" s="14"/>
      <c r="O201" s="14"/>
      <c r="P201" s="14"/>
      <c r="Q201" s="14"/>
      <c r="R201" s="14"/>
      <c r="S201" s="14"/>
      <c r="T201" s="14"/>
      <c r="U201" s="14"/>
      <c r="V201" s="14"/>
      <c r="W201" s="14"/>
      <c r="X201" s="14"/>
      <c r="Y201" s="14"/>
      <c r="Z201" s="14"/>
      <c r="AA201" s="15"/>
      <c r="AB201" s="3"/>
      <c r="AC201" s="3"/>
      <c r="AD201" s="3"/>
      <c r="AE201" s="3"/>
      <c r="AF201" s="3"/>
      <c r="AG201" s="3"/>
      <c r="AH201" s="3"/>
      <c r="AI201" s="3"/>
      <c r="AJ201" s="3"/>
      <c r="AK201" s="3"/>
      <c r="AL201" s="3"/>
      <c r="AM201" s="3"/>
      <c r="AN201" s="3"/>
      <c r="AO201" s="3"/>
    </row>
    <row r="202" spans="1:41" x14ac:dyDescent="0.25">
      <c r="A202" s="171"/>
      <c r="B202" s="13"/>
      <c r="C202" s="56"/>
      <c r="D202" s="60"/>
      <c r="E202" s="56"/>
      <c r="F202" s="56"/>
      <c r="G202" s="56"/>
      <c r="H202" s="56"/>
      <c r="I202" s="14"/>
      <c r="J202" s="14"/>
      <c r="K202" s="14"/>
      <c r="L202" s="14"/>
      <c r="M202" s="14"/>
      <c r="N202" s="14"/>
      <c r="O202" s="14"/>
      <c r="P202" s="14"/>
      <c r="Q202" s="14"/>
      <c r="R202" s="14"/>
      <c r="S202" s="14"/>
      <c r="T202" s="14"/>
      <c r="U202" s="14"/>
      <c r="V202" s="14"/>
      <c r="W202" s="14"/>
      <c r="X202" s="14"/>
      <c r="Y202" s="14"/>
      <c r="Z202" s="14"/>
      <c r="AA202" s="15"/>
      <c r="AB202" s="3"/>
      <c r="AC202" s="3"/>
      <c r="AD202" s="3"/>
      <c r="AE202" s="3"/>
      <c r="AF202" s="3"/>
      <c r="AG202" s="3"/>
      <c r="AH202" s="3"/>
      <c r="AI202" s="3"/>
      <c r="AJ202" s="3"/>
      <c r="AK202" s="3"/>
      <c r="AL202" s="3"/>
      <c r="AM202" s="3"/>
      <c r="AN202" s="3"/>
      <c r="AO202" s="3"/>
    </row>
    <row r="203" spans="1:41" x14ac:dyDescent="0.25">
      <c r="A203" s="171"/>
      <c r="B203" s="13"/>
      <c r="C203" s="14"/>
      <c r="D203" s="60"/>
      <c r="E203" s="56"/>
      <c r="F203" s="56"/>
      <c r="G203" s="14"/>
      <c r="H203" s="56"/>
      <c r="I203" s="14"/>
      <c r="J203" s="14"/>
      <c r="K203" s="14"/>
      <c r="L203" s="14"/>
      <c r="M203" s="14"/>
      <c r="N203" s="14"/>
      <c r="O203" s="14"/>
      <c r="P203" s="14"/>
      <c r="Q203" s="14"/>
      <c r="R203" s="14"/>
      <c r="S203" s="14"/>
      <c r="T203" s="14"/>
      <c r="U203" s="14"/>
      <c r="V203" s="14"/>
      <c r="W203" s="14"/>
      <c r="X203" s="14"/>
      <c r="Y203" s="14"/>
      <c r="Z203" s="14"/>
      <c r="AA203" s="15"/>
      <c r="AB203" s="3"/>
      <c r="AC203" s="3"/>
      <c r="AD203" s="3"/>
      <c r="AE203" s="3"/>
      <c r="AF203" s="3"/>
      <c r="AG203" s="3"/>
      <c r="AH203" s="3"/>
      <c r="AI203" s="3"/>
      <c r="AJ203" s="3"/>
      <c r="AK203" s="3"/>
      <c r="AL203" s="3"/>
      <c r="AM203" s="3"/>
      <c r="AN203" s="3"/>
      <c r="AO203" s="3"/>
    </row>
    <row r="204" spans="1:41" x14ac:dyDescent="0.25">
      <c r="A204" s="171"/>
      <c r="B204" s="13"/>
      <c r="C204" s="14"/>
      <c r="D204" s="14"/>
      <c r="E204" s="56"/>
      <c r="F204" s="56"/>
      <c r="G204" s="14"/>
      <c r="H204" s="56"/>
      <c r="I204" s="14"/>
      <c r="J204" s="14"/>
      <c r="K204" s="14"/>
      <c r="L204" s="14"/>
      <c r="M204" s="14"/>
      <c r="N204" s="14"/>
      <c r="O204" s="14"/>
      <c r="P204" s="14"/>
      <c r="Q204" s="14"/>
      <c r="R204" s="14"/>
      <c r="S204" s="14"/>
      <c r="T204" s="14"/>
      <c r="U204" s="14"/>
      <c r="V204" s="14"/>
      <c r="W204" s="14"/>
      <c r="X204" s="14"/>
      <c r="Y204" s="14"/>
      <c r="Z204" s="14"/>
      <c r="AA204" s="15"/>
      <c r="AB204" s="3"/>
      <c r="AC204" s="3"/>
      <c r="AD204" s="3"/>
      <c r="AE204" s="3"/>
      <c r="AF204" s="3"/>
      <c r="AG204" s="3"/>
      <c r="AH204" s="3"/>
      <c r="AI204" s="3"/>
      <c r="AJ204" s="3"/>
      <c r="AK204" s="3"/>
      <c r="AL204" s="3"/>
      <c r="AM204" s="3"/>
      <c r="AN204" s="3"/>
      <c r="AO204" s="3"/>
    </row>
    <row r="205" spans="1:41" x14ac:dyDescent="0.25">
      <c r="A205" s="171"/>
      <c r="B205" s="13"/>
      <c r="C205" s="14"/>
      <c r="D205" s="60"/>
      <c r="E205" s="56"/>
      <c r="F205" s="56"/>
      <c r="G205" s="14"/>
      <c r="H205" s="14"/>
      <c r="I205" s="14"/>
      <c r="J205" s="14"/>
      <c r="K205" s="14"/>
      <c r="L205" s="14"/>
      <c r="M205" s="14"/>
      <c r="N205" s="14"/>
      <c r="O205" s="14"/>
      <c r="P205" s="14"/>
      <c r="Q205" s="14"/>
      <c r="R205" s="14"/>
      <c r="S205" s="14"/>
      <c r="T205" s="14"/>
      <c r="U205" s="14"/>
      <c r="V205" s="14"/>
      <c r="W205" s="14"/>
      <c r="X205" s="14"/>
      <c r="Y205" s="14"/>
      <c r="Z205" s="14"/>
      <c r="AA205" s="15"/>
      <c r="AB205" s="3"/>
      <c r="AC205" s="3"/>
      <c r="AD205" s="3"/>
      <c r="AE205" s="3"/>
      <c r="AF205" s="3"/>
      <c r="AG205" s="3"/>
      <c r="AH205" s="3"/>
      <c r="AI205" s="3"/>
      <c r="AJ205" s="3"/>
      <c r="AK205" s="3"/>
      <c r="AL205" s="3"/>
      <c r="AM205" s="3"/>
      <c r="AN205" s="3"/>
      <c r="AO205" s="3"/>
    </row>
    <row r="206" spans="1:41" x14ac:dyDescent="0.25">
      <c r="A206" s="171"/>
      <c r="B206" s="13"/>
      <c r="C206" s="14"/>
      <c r="D206" s="60"/>
      <c r="E206" s="56"/>
      <c r="F206" s="56"/>
      <c r="G206" s="14"/>
      <c r="H206" s="56"/>
      <c r="I206" s="14"/>
      <c r="J206" s="14"/>
      <c r="K206" s="14"/>
      <c r="L206" s="14"/>
      <c r="M206" s="14"/>
      <c r="N206" s="14"/>
      <c r="O206" s="14"/>
      <c r="P206" s="14"/>
      <c r="Q206" s="14"/>
      <c r="R206" s="14"/>
      <c r="S206" s="14"/>
      <c r="T206" s="14"/>
      <c r="U206" s="14"/>
      <c r="V206" s="14"/>
      <c r="W206" s="14"/>
      <c r="X206" s="14"/>
      <c r="Y206" s="14"/>
      <c r="Z206" s="14"/>
      <c r="AA206" s="15"/>
      <c r="AB206" s="3"/>
      <c r="AC206" s="3"/>
      <c r="AD206" s="3"/>
      <c r="AE206" s="3"/>
      <c r="AF206" s="3"/>
      <c r="AG206" s="3"/>
      <c r="AH206" s="3"/>
      <c r="AI206" s="3"/>
      <c r="AJ206" s="3"/>
      <c r="AK206" s="3"/>
      <c r="AL206" s="3"/>
      <c r="AM206" s="3"/>
      <c r="AN206" s="3"/>
      <c r="AO206" s="3"/>
    </row>
    <row r="207" spans="1:41" x14ac:dyDescent="0.25">
      <c r="A207" s="171"/>
      <c r="B207" s="13"/>
      <c r="C207" s="14"/>
      <c r="D207" s="60"/>
      <c r="E207" s="56"/>
      <c r="F207" s="56"/>
      <c r="G207" s="14"/>
      <c r="H207" s="56"/>
      <c r="I207" s="14"/>
      <c r="J207" s="14"/>
      <c r="K207" s="14"/>
      <c r="L207" s="14"/>
      <c r="M207" s="14"/>
      <c r="N207" s="14"/>
      <c r="O207" s="14"/>
      <c r="P207" s="14"/>
      <c r="Q207" s="14"/>
      <c r="R207" s="14"/>
      <c r="S207" s="14"/>
      <c r="T207" s="14"/>
      <c r="U207" s="14"/>
      <c r="V207" s="14"/>
      <c r="W207" s="14"/>
      <c r="X207" s="14"/>
      <c r="Y207" s="14"/>
      <c r="Z207" s="14"/>
      <c r="AA207" s="15"/>
      <c r="AB207" s="3"/>
      <c r="AC207" s="3"/>
      <c r="AD207" s="3"/>
      <c r="AE207" s="3"/>
      <c r="AF207" s="3"/>
      <c r="AG207" s="3"/>
      <c r="AH207" s="3"/>
      <c r="AI207" s="3"/>
      <c r="AJ207" s="3"/>
      <c r="AK207" s="3"/>
      <c r="AL207" s="3"/>
      <c r="AM207" s="3"/>
      <c r="AN207" s="3"/>
      <c r="AO207" s="3"/>
    </row>
    <row r="208" spans="1:41" ht="18.75" x14ac:dyDescent="0.3">
      <c r="A208" s="171"/>
      <c r="B208" s="67"/>
      <c r="C208" s="14"/>
      <c r="D208" s="60"/>
      <c r="E208" s="56"/>
      <c r="F208" s="56"/>
      <c r="G208" s="14"/>
      <c r="H208" s="56"/>
      <c r="I208" s="74"/>
      <c r="J208" s="14"/>
      <c r="K208" s="14"/>
      <c r="L208" s="14"/>
      <c r="M208" s="14"/>
      <c r="N208" s="14"/>
      <c r="O208" s="14"/>
      <c r="P208" s="14"/>
      <c r="Q208" s="14"/>
      <c r="R208" s="14"/>
      <c r="S208" s="14"/>
      <c r="T208" s="14"/>
      <c r="U208" s="14"/>
      <c r="V208" s="14"/>
      <c r="W208" s="14"/>
      <c r="X208" s="14"/>
      <c r="Y208" s="14"/>
      <c r="Z208" s="14"/>
      <c r="AA208" s="15"/>
      <c r="AB208" s="3"/>
      <c r="AC208" s="3"/>
      <c r="AD208" s="3"/>
      <c r="AE208" s="3"/>
      <c r="AF208" s="3"/>
      <c r="AG208" s="3"/>
      <c r="AH208" s="3"/>
      <c r="AI208" s="3"/>
      <c r="AJ208" s="3"/>
      <c r="AK208" s="3"/>
      <c r="AL208" s="3"/>
      <c r="AM208" s="3"/>
      <c r="AN208" s="3"/>
      <c r="AO208" s="3"/>
    </row>
    <row r="209" spans="1:41" x14ac:dyDescent="0.25">
      <c r="A209" s="171"/>
      <c r="B209" s="13"/>
      <c r="C209" s="56"/>
      <c r="D209" s="60"/>
      <c r="E209" s="56"/>
      <c r="F209" s="56"/>
      <c r="G209" s="56"/>
      <c r="H209" s="56"/>
      <c r="I209" s="14"/>
      <c r="J209" s="14"/>
      <c r="K209" s="14"/>
      <c r="L209" s="14"/>
      <c r="M209" s="14"/>
      <c r="N209" s="14"/>
      <c r="O209" s="14"/>
      <c r="P209" s="14"/>
      <c r="Q209" s="14"/>
      <c r="R209" s="14"/>
      <c r="S209" s="14"/>
      <c r="T209" s="14"/>
      <c r="U209" s="14"/>
      <c r="V209" s="14"/>
      <c r="W209" s="14"/>
      <c r="X209" s="14"/>
      <c r="Y209" s="14"/>
      <c r="Z209" s="14"/>
      <c r="AA209" s="15"/>
      <c r="AB209" s="3"/>
      <c r="AC209" s="3"/>
      <c r="AD209" s="3"/>
      <c r="AE209" s="3"/>
      <c r="AF209" s="3"/>
      <c r="AG209" s="3"/>
      <c r="AH209" s="3"/>
      <c r="AI209" s="3"/>
      <c r="AJ209" s="3"/>
      <c r="AK209" s="3"/>
      <c r="AL209" s="3"/>
      <c r="AM209" s="3"/>
      <c r="AN209" s="3"/>
      <c r="AO209" s="3"/>
    </row>
    <row r="210" spans="1:41" x14ac:dyDescent="0.25">
      <c r="A210" s="171"/>
      <c r="B210" s="13"/>
      <c r="C210" s="14"/>
      <c r="D210" s="60"/>
      <c r="E210" s="56"/>
      <c r="F210" s="56"/>
      <c r="G210" s="14"/>
      <c r="H210" s="56"/>
      <c r="I210" s="14"/>
      <c r="J210" s="14"/>
      <c r="K210" s="14"/>
      <c r="L210" s="14"/>
      <c r="M210" s="14"/>
      <c r="N210" s="14"/>
      <c r="O210" s="14"/>
      <c r="P210" s="14"/>
      <c r="Q210" s="14"/>
      <c r="R210" s="14"/>
      <c r="S210" s="14"/>
      <c r="T210" s="14"/>
      <c r="U210" s="14"/>
      <c r="V210" s="14"/>
      <c r="W210" s="14"/>
      <c r="X210" s="14"/>
      <c r="Y210" s="14"/>
      <c r="Z210" s="14"/>
      <c r="AA210" s="15"/>
      <c r="AB210" s="3"/>
      <c r="AC210" s="3"/>
      <c r="AD210" s="3"/>
      <c r="AE210" s="3"/>
      <c r="AF210" s="3"/>
      <c r="AG210" s="3"/>
      <c r="AH210" s="3"/>
      <c r="AI210" s="3"/>
      <c r="AJ210" s="3"/>
      <c r="AK210" s="3"/>
      <c r="AL210" s="3"/>
      <c r="AM210" s="3"/>
      <c r="AN210" s="3"/>
      <c r="AO210" s="3"/>
    </row>
    <row r="211" spans="1:41" x14ac:dyDescent="0.25">
      <c r="A211" s="171"/>
      <c r="B211" s="13"/>
      <c r="C211" s="14"/>
      <c r="D211" s="14"/>
      <c r="E211" s="14"/>
      <c r="F211" s="14"/>
      <c r="G211" s="14"/>
      <c r="H211" s="56"/>
      <c r="I211" s="14"/>
      <c r="J211" s="14"/>
      <c r="K211" s="14"/>
      <c r="L211" s="14"/>
      <c r="M211" s="14"/>
      <c r="N211" s="14"/>
      <c r="O211" s="14"/>
      <c r="P211" s="14"/>
      <c r="Q211" s="14"/>
      <c r="R211" s="14"/>
      <c r="S211" s="14"/>
      <c r="T211" s="14"/>
      <c r="U211" s="14"/>
      <c r="V211" s="14"/>
      <c r="W211" s="14"/>
      <c r="X211" s="14"/>
      <c r="Y211" s="14"/>
      <c r="Z211" s="14"/>
      <c r="AA211" s="15"/>
      <c r="AB211" s="3"/>
      <c r="AC211" s="3"/>
      <c r="AD211" s="3"/>
      <c r="AE211" s="3"/>
      <c r="AF211" s="3"/>
      <c r="AG211" s="3"/>
      <c r="AH211" s="3"/>
      <c r="AI211" s="3"/>
      <c r="AJ211" s="3"/>
      <c r="AK211" s="3"/>
      <c r="AL211" s="3"/>
      <c r="AM211" s="3"/>
      <c r="AN211" s="3"/>
      <c r="AO211" s="3"/>
    </row>
    <row r="212" spans="1:41" x14ac:dyDescent="0.25">
      <c r="A212" s="171"/>
      <c r="B212" s="13"/>
      <c r="C212" s="14"/>
      <c r="D212" s="60"/>
      <c r="E212" s="56"/>
      <c r="F212" s="56"/>
      <c r="G212" s="14"/>
      <c r="H212" s="14"/>
      <c r="I212" s="14"/>
      <c r="J212" s="14"/>
      <c r="K212" s="14"/>
      <c r="L212" s="14"/>
      <c r="M212" s="14"/>
      <c r="N212" s="14"/>
      <c r="O212" s="14"/>
      <c r="P212" s="14"/>
      <c r="Q212" s="14"/>
      <c r="R212" s="14"/>
      <c r="S212" s="14"/>
      <c r="T212" s="14"/>
      <c r="U212" s="14"/>
      <c r="V212" s="14"/>
      <c r="W212" s="14"/>
      <c r="X212" s="14"/>
      <c r="Y212" s="14"/>
      <c r="Z212" s="14"/>
      <c r="AA212" s="15"/>
      <c r="AB212" s="3"/>
      <c r="AC212" s="3"/>
      <c r="AD212" s="3"/>
      <c r="AE212" s="3"/>
      <c r="AF212" s="3"/>
      <c r="AG212" s="3"/>
      <c r="AH212" s="3"/>
      <c r="AI212" s="3"/>
      <c r="AJ212" s="3"/>
      <c r="AK212" s="3"/>
      <c r="AL212" s="3"/>
      <c r="AM212" s="3"/>
      <c r="AN212" s="3"/>
      <c r="AO212" s="3"/>
    </row>
    <row r="213" spans="1:41" x14ac:dyDescent="0.25">
      <c r="A213" s="171"/>
      <c r="B213" s="13"/>
      <c r="C213" s="14"/>
      <c r="D213" s="60"/>
      <c r="E213" s="56"/>
      <c r="F213" s="56"/>
      <c r="G213" s="14"/>
      <c r="H213" s="56"/>
      <c r="I213" s="14"/>
      <c r="J213" s="14"/>
      <c r="K213" s="14"/>
      <c r="L213" s="14"/>
      <c r="M213" s="14"/>
      <c r="N213" s="14"/>
      <c r="O213" s="14"/>
      <c r="P213" s="14"/>
      <c r="Q213" s="14"/>
      <c r="R213" s="14"/>
      <c r="S213" s="14"/>
      <c r="T213" s="14"/>
      <c r="U213" s="14"/>
      <c r="V213" s="14"/>
      <c r="W213" s="14"/>
      <c r="X213" s="14"/>
      <c r="Y213" s="14"/>
      <c r="Z213" s="14"/>
      <c r="AA213" s="15"/>
      <c r="AB213" s="3"/>
      <c r="AC213" s="3"/>
      <c r="AD213" s="3"/>
      <c r="AE213" s="3"/>
      <c r="AF213" s="3"/>
      <c r="AG213" s="3"/>
      <c r="AH213" s="3"/>
      <c r="AI213" s="3"/>
      <c r="AJ213" s="3"/>
      <c r="AK213" s="3"/>
      <c r="AL213" s="3"/>
      <c r="AM213" s="3"/>
      <c r="AN213" s="3"/>
      <c r="AO213" s="3"/>
    </row>
    <row r="214" spans="1:41" x14ac:dyDescent="0.25">
      <c r="A214" s="171"/>
      <c r="B214" s="13"/>
      <c r="C214" s="14"/>
      <c r="D214" s="60"/>
      <c r="E214" s="56"/>
      <c r="F214" s="56"/>
      <c r="G214" s="14"/>
      <c r="H214" s="56"/>
      <c r="I214" s="14"/>
      <c r="J214" s="14"/>
      <c r="K214" s="14"/>
      <c r="L214" s="14"/>
      <c r="M214" s="14"/>
      <c r="N214" s="14"/>
      <c r="O214" s="14"/>
      <c r="P214" s="14"/>
      <c r="Q214" s="14"/>
      <c r="R214" s="14"/>
      <c r="S214" s="14"/>
      <c r="T214" s="14"/>
      <c r="U214" s="14"/>
      <c r="V214" s="14"/>
      <c r="W214" s="14"/>
      <c r="X214" s="14"/>
      <c r="Y214" s="14"/>
      <c r="Z214" s="14"/>
      <c r="AA214" s="15"/>
      <c r="AB214" s="3"/>
      <c r="AC214" s="3"/>
      <c r="AD214" s="3"/>
      <c r="AE214" s="3"/>
      <c r="AF214" s="3"/>
      <c r="AG214" s="3"/>
      <c r="AH214" s="3"/>
      <c r="AI214" s="3"/>
      <c r="AJ214" s="3"/>
      <c r="AK214" s="3"/>
      <c r="AL214" s="3"/>
      <c r="AM214" s="3"/>
      <c r="AN214" s="3"/>
      <c r="AO214" s="3"/>
    </row>
    <row r="215" spans="1:41" x14ac:dyDescent="0.25">
      <c r="A215" s="171"/>
      <c r="B215" s="13"/>
      <c r="C215" s="14"/>
      <c r="D215" s="60"/>
      <c r="E215" s="56"/>
      <c r="F215" s="56"/>
      <c r="G215" s="14"/>
      <c r="H215" s="56"/>
      <c r="I215" s="14"/>
      <c r="J215" s="14"/>
      <c r="K215" s="14"/>
      <c r="L215" s="14"/>
      <c r="M215" s="14"/>
      <c r="N215" s="14"/>
      <c r="O215" s="14"/>
      <c r="P215" s="14"/>
      <c r="Q215" s="14"/>
      <c r="R215" s="14"/>
      <c r="S215" s="14"/>
      <c r="T215" s="14"/>
      <c r="U215" s="14"/>
      <c r="V215" s="14"/>
      <c r="W215" s="14"/>
      <c r="X215" s="14"/>
      <c r="Y215" s="14"/>
      <c r="Z215" s="14"/>
      <c r="AA215" s="15"/>
      <c r="AB215" s="3"/>
      <c r="AC215" s="3"/>
      <c r="AD215" s="3"/>
      <c r="AE215" s="3"/>
      <c r="AF215" s="3"/>
      <c r="AG215" s="3"/>
      <c r="AH215" s="3"/>
      <c r="AI215" s="3"/>
      <c r="AJ215" s="3"/>
      <c r="AK215" s="3"/>
      <c r="AL215" s="3"/>
      <c r="AM215" s="3"/>
      <c r="AN215" s="3"/>
      <c r="AO215" s="3"/>
    </row>
    <row r="216" spans="1:41" x14ac:dyDescent="0.25">
      <c r="A216" s="171"/>
      <c r="B216" s="13"/>
      <c r="C216" s="14"/>
      <c r="D216" s="60"/>
      <c r="E216" s="56"/>
      <c r="F216" s="56"/>
      <c r="G216" s="14"/>
      <c r="H216" s="56"/>
      <c r="I216" s="14"/>
      <c r="J216" s="14"/>
      <c r="K216" s="14"/>
      <c r="L216" s="14"/>
      <c r="M216" s="14"/>
      <c r="N216" s="14"/>
      <c r="O216" s="14"/>
      <c r="P216" s="14"/>
      <c r="Q216" s="14"/>
      <c r="R216" s="14"/>
      <c r="S216" s="14"/>
      <c r="T216" s="14"/>
      <c r="U216" s="14"/>
      <c r="V216" s="14"/>
      <c r="W216" s="14"/>
      <c r="X216" s="14"/>
      <c r="Y216" s="14"/>
      <c r="Z216" s="14"/>
      <c r="AA216" s="15"/>
      <c r="AB216" s="3"/>
      <c r="AC216" s="3"/>
      <c r="AD216" s="3"/>
      <c r="AE216" s="3"/>
      <c r="AF216" s="3"/>
      <c r="AG216" s="3"/>
      <c r="AH216" s="3"/>
      <c r="AI216" s="3"/>
      <c r="AJ216" s="3"/>
      <c r="AK216" s="3"/>
      <c r="AL216" s="3"/>
      <c r="AM216" s="3"/>
      <c r="AN216" s="3"/>
      <c r="AO216" s="3"/>
    </row>
    <row r="217" spans="1:41" x14ac:dyDescent="0.25">
      <c r="A217" s="171"/>
      <c r="B217" s="13"/>
      <c r="C217" s="14"/>
      <c r="D217" s="60"/>
      <c r="E217" s="56"/>
      <c r="F217" s="56"/>
      <c r="G217" s="14"/>
      <c r="H217" s="56"/>
      <c r="I217" s="14"/>
      <c r="J217" s="14"/>
      <c r="K217" s="14"/>
      <c r="L217" s="14"/>
      <c r="M217" s="14"/>
      <c r="N217" s="14"/>
      <c r="O217" s="14"/>
      <c r="P217" s="14"/>
      <c r="Q217" s="14"/>
      <c r="R217" s="14"/>
      <c r="S217" s="14"/>
      <c r="T217" s="14"/>
      <c r="U217" s="14"/>
      <c r="V217" s="14"/>
      <c r="W217" s="14"/>
      <c r="X217" s="14"/>
      <c r="Y217" s="14"/>
      <c r="Z217" s="14"/>
      <c r="AA217" s="15"/>
      <c r="AB217" s="3"/>
      <c r="AC217" s="3"/>
      <c r="AD217" s="3"/>
      <c r="AE217" s="3"/>
      <c r="AF217" s="3"/>
      <c r="AG217" s="3"/>
      <c r="AH217" s="3"/>
      <c r="AI217" s="3"/>
      <c r="AJ217" s="3"/>
      <c r="AK217" s="3"/>
      <c r="AL217" s="3"/>
      <c r="AM217" s="3"/>
      <c r="AN217" s="3"/>
      <c r="AO217" s="3"/>
    </row>
    <row r="218" spans="1:41" x14ac:dyDescent="0.25">
      <c r="A218" s="171"/>
      <c r="B218" s="13"/>
      <c r="C218" s="14"/>
      <c r="D218" s="14"/>
      <c r="E218" s="56"/>
      <c r="F218" s="56"/>
      <c r="G218" s="14"/>
      <c r="H218" s="56"/>
      <c r="I218" s="14"/>
      <c r="J218" s="14"/>
      <c r="K218" s="14"/>
      <c r="L218" s="14"/>
      <c r="M218" s="14"/>
      <c r="N218" s="14"/>
      <c r="O218" s="14"/>
      <c r="P218" s="14"/>
      <c r="Q218" s="14"/>
      <c r="R218" s="14"/>
      <c r="S218" s="14"/>
      <c r="T218" s="14"/>
      <c r="U218" s="14"/>
      <c r="V218" s="14"/>
      <c r="W218" s="14"/>
      <c r="X218" s="14"/>
      <c r="Y218" s="14"/>
      <c r="Z218" s="14"/>
      <c r="AA218" s="15"/>
      <c r="AB218" s="3"/>
      <c r="AC218" s="3"/>
      <c r="AD218" s="3"/>
      <c r="AE218" s="3"/>
      <c r="AF218" s="3"/>
      <c r="AG218" s="3"/>
      <c r="AH218" s="3"/>
      <c r="AI218" s="3"/>
      <c r="AJ218" s="3"/>
      <c r="AK218" s="3"/>
      <c r="AL218" s="3"/>
      <c r="AM218" s="3"/>
      <c r="AN218" s="3"/>
      <c r="AO218" s="3"/>
    </row>
    <row r="219" spans="1:41" x14ac:dyDescent="0.25">
      <c r="A219" s="171"/>
      <c r="B219" s="13"/>
      <c r="C219" s="14"/>
      <c r="D219" s="60"/>
      <c r="E219" s="56"/>
      <c r="F219" s="56"/>
      <c r="G219" s="14"/>
      <c r="H219" s="14"/>
      <c r="I219" s="14"/>
      <c r="J219" s="14"/>
      <c r="K219" s="14"/>
      <c r="L219" s="14"/>
      <c r="M219" s="14"/>
      <c r="N219" s="14"/>
      <c r="O219" s="14"/>
      <c r="P219" s="14"/>
      <c r="Q219" s="14"/>
      <c r="R219" s="14"/>
      <c r="S219" s="14"/>
      <c r="T219" s="14"/>
      <c r="U219" s="14"/>
      <c r="V219" s="14"/>
      <c r="W219" s="14"/>
      <c r="X219" s="14"/>
      <c r="Y219" s="14"/>
      <c r="Z219" s="14"/>
      <c r="AA219" s="15"/>
      <c r="AB219" s="3"/>
      <c r="AC219" s="3"/>
      <c r="AD219" s="3"/>
      <c r="AE219" s="3"/>
      <c r="AF219" s="3"/>
      <c r="AG219" s="3"/>
      <c r="AH219" s="3"/>
      <c r="AI219" s="3"/>
      <c r="AJ219" s="3"/>
      <c r="AK219" s="3"/>
      <c r="AL219" s="3"/>
      <c r="AM219" s="3"/>
      <c r="AN219" s="3"/>
      <c r="AO219" s="3"/>
    </row>
    <row r="220" spans="1:41" x14ac:dyDescent="0.25">
      <c r="A220" s="171"/>
      <c r="B220" s="13"/>
      <c r="C220" s="14"/>
      <c r="D220" s="60"/>
      <c r="E220" s="56"/>
      <c r="F220" s="56"/>
      <c r="G220" s="14"/>
      <c r="H220" s="56"/>
      <c r="I220" s="14"/>
      <c r="J220" s="14"/>
      <c r="K220" s="14"/>
      <c r="L220" s="14"/>
      <c r="M220" s="14"/>
      <c r="N220" s="14"/>
      <c r="O220" s="14"/>
      <c r="P220" s="14"/>
      <c r="Q220" s="14"/>
      <c r="R220" s="14"/>
      <c r="S220" s="14"/>
      <c r="T220" s="14"/>
      <c r="U220" s="14"/>
      <c r="V220" s="14"/>
      <c r="W220" s="14"/>
      <c r="X220" s="14"/>
      <c r="Y220" s="14"/>
      <c r="Z220" s="14"/>
      <c r="AA220" s="15"/>
      <c r="AB220" s="3"/>
      <c r="AC220" s="3"/>
      <c r="AD220" s="3"/>
      <c r="AE220" s="3"/>
      <c r="AF220" s="3"/>
      <c r="AG220" s="3"/>
      <c r="AH220" s="3"/>
      <c r="AI220" s="3"/>
      <c r="AJ220" s="3"/>
      <c r="AK220" s="3"/>
      <c r="AL220" s="3"/>
      <c r="AM220" s="3"/>
      <c r="AN220" s="3"/>
      <c r="AO220" s="3"/>
    </row>
    <row r="221" spans="1:41" x14ac:dyDescent="0.25">
      <c r="A221" s="171"/>
      <c r="B221" s="13"/>
      <c r="C221" s="14"/>
      <c r="D221" s="60"/>
      <c r="E221" s="56"/>
      <c r="F221" s="56"/>
      <c r="G221" s="14"/>
      <c r="H221" s="56"/>
      <c r="I221" s="14"/>
      <c r="J221" s="14"/>
      <c r="K221" s="14"/>
      <c r="L221" s="14"/>
      <c r="M221" s="14"/>
      <c r="N221" s="14"/>
      <c r="O221" s="14"/>
      <c r="P221" s="14"/>
      <c r="Q221" s="14"/>
      <c r="R221" s="14"/>
      <c r="S221" s="14"/>
      <c r="T221" s="14"/>
      <c r="U221" s="14"/>
      <c r="V221" s="14"/>
      <c r="W221" s="14"/>
      <c r="X221" s="14"/>
      <c r="Y221" s="14"/>
      <c r="Z221" s="14"/>
      <c r="AA221" s="15"/>
      <c r="AB221" s="3"/>
      <c r="AC221" s="3"/>
      <c r="AD221" s="3"/>
      <c r="AE221" s="3"/>
      <c r="AF221" s="3"/>
      <c r="AG221" s="3"/>
      <c r="AH221" s="3"/>
      <c r="AI221" s="3"/>
      <c r="AJ221" s="3"/>
      <c r="AK221" s="3"/>
      <c r="AL221" s="3"/>
      <c r="AM221" s="3"/>
      <c r="AN221" s="3"/>
      <c r="AO221" s="3"/>
    </row>
    <row r="222" spans="1:41" x14ac:dyDescent="0.25">
      <c r="A222" s="171"/>
      <c r="B222" s="13"/>
      <c r="C222" s="14"/>
      <c r="D222" s="60"/>
      <c r="E222" s="56"/>
      <c r="F222" s="56"/>
      <c r="G222" s="14"/>
      <c r="H222" s="56"/>
      <c r="I222" s="14"/>
      <c r="J222" s="14"/>
      <c r="K222" s="14"/>
      <c r="L222" s="14"/>
      <c r="M222" s="14"/>
      <c r="N222" s="14"/>
      <c r="O222" s="14"/>
      <c r="P222" s="14"/>
      <c r="Q222" s="14"/>
      <c r="R222" s="14"/>
      <c r="S222" s="14"/>
      <c r="T222" s="14"/>
      <c r="U222" s="14"/>
      <c r="V222" s="14"/>
      <c r="W222" s="14"/>
      <c r="X222" s="14"/>
      <c r="Y222" s="14"/>
      <c r="Z222" s="14"/>
      <c r="AA222" s="15"/>
      <c r="AB222" s="3"/>
      <c r="AC222" s="3"/>
      <c r="AD222" s="3"/>
      <c r="AE222" s="3"/>
      <c r="AF222" s="3"/>
      <c r="AG222" s="3"/>
      <c r="AH222" s="3"/>
      <c r="AI222" s="3"/>
      <c r="AJ222" s="3"/>
      <c r="AK222" s="3"/>
      <c r="AL222" s="3"/>
      <c r="AM222" s="3"/>
      <c r="AN222" s="3"/>
      <c r="AO222" s="3"/>
    </row>
    <row r="223" spans="1:41" x14ac:dyDescent="0.25">
      <c r="A223" s="171"/>
      <c r="B223" s="70"/>
      <c r="C223" s="56"/>
      <c r="D223" s="60"/>
      <c r="E223" s="56"/>
      <c r="F223" s="56"/>
      <c r="G223" s="56"/>
      <c r="H223" s="56"/>
      <c r="I223" s="42"/>
      <c r="J223" s="14"/>
      <c r="K223" s="14"/>
      <c r="L223" s="14"/>
      <c r="M223" s="14"/>
      <c r="N223" s="14"/>
      <c r="O223" s="14"/>
      <c r="P223" s="14"/>
      <c r="Q223" s="14"/>
      <c r="R223" s="14"/>
      <c r="S223" s="14"/>
      <c r="T223" s="14"/>
      <c r="U223" s="14"/>
      <c r="V223" s="14"/>
      <c r="W223" s="14"/>
      <c r="X223" s="14"/>
      <c r="Y223" s="14"/>
      <c r="Z223" s="14"/>
      <c r="AA223" s="15"/>
      <c r="AB223" s="3"/>
      <c r="AC223" s="3"/>
      <c r="AD223" s="3"/>
      <c r="AE223" s="3"/>
      <c r="AF223" s="3"/>
      <c r="AG223" s="3"/>
      <c r="AH223" s="3"/>
      <c r="AI223" s="3"/>
      <c r="AJ223" s="3"/>
      <c r="AK223" s="3"/>
      <c r="AL223" s="3"/>
      <c r="AM223" s="3"/>
      <c r="AN223" s="3"/>
      <c r="AO223" s="3"/>
    </row>
    <row r="224" spans="1:41" ht="18.75" x14ac:dyDescent="0.3">
      <c r="A224" s="171"/>
      <c r="B224" s="67"/>
      <c r="C224" s="14"/>
      <c r="D224" s="60"/>
      <c r="E224" s="56"/>
      <c r="F224" s="56"/>
      <c r="G224" s="14"/>
      <c r="H224" s="56"/>
      <c r="I224" s="74"/>
      <c r="J224" s="14"/>
      <c r="K224" s="14"/>
      <c r="L224" s="14"/>
      <c r="M224" s="14"/>
      <c r="N224" s="14"/>
      <c r="O224" s="14"/>
      <c r="P224" s="14"/>
      <c r="Q224" s="14"/>
      <c r="R224" s="14"/>
      <c r="S224" s="14"/>
      <c r="T224" s="14"/>
      <c r="U224" s="14"/>
      <c r="V224" s="14"/>
      <c r="W224" s="14"/>
      <c r="X224" s="14"/>
      <c r="Y224" s="14"/>
      <c r="Z224" s="14"/>
      <c r="AA224" s="15"/>
      <c r="AB224" s="3"/>
      <c r="AC224" s="3"/>
      <c r="AD224" s="3"/>
      <c r="AE224" s="3"/>
      <c r="AF224" s="3"/>
      <c r="AG224" s="3"/>
      <c r="AH224" s="3"/>
      <c r="AI224" s="3"/>
      <c r="AJ224" s="3"/>
      <c r="AK224" s="3"/>
      <c r="AL224" s="3"/>
      <c r="AM224" s="3"/>
      <c r="AN224" s="3"/>
      <c r="AO224" s="3"/>
    </row>
    <row r="225" spans="1:41" x14ac:dyDescent="0.25">
      <c r="A225" s="171"/>
      <c r="B225" s="13"/>
      <c r="C225" s="14"/>
      <c r="D225" s="14"/>
      <c r="E225" s="56"/>
      <c r="F225" s="56"/>
      <c r="G225" s="14"/>
      <c r="H225" s="56"/>
      <c r="I225" s="14"/>
      <c r="J225" s="14"/>
      <c r="K225" s="14"/>
      <c r="L225" s="14"/>
      <c r="M225" s="14"/>
      <c r="N225" s="14"/>
      <c r="O225" s="14"/>
      <c r="P225" s="14"/>
      <c r="Q225" s="14"/>
      <c r="R225" s="14"/>
      <c r="S225" s="14"/>
      <c r="T225" s="14"/>
      <c r="U225" s="14"/>
      <c r="V225" s="14"/>
      <c r="W225" s="14"/>
      <c r="X225" s="14"/>
      <c r="Y225" s="14"/>
      <c r="Z225" s="14"/>
      <c r="AA225" s="15"/>
      <c r="AB225" s="3"/>
      <c r="AC225" s="3"/>
      <c r="AD225" s="3"/>
      <c r="AE225" s="3"/>
      <c r="AF225" s="3"/>
      <c r="AG225" s="3"/>
      <c r="AH225" s="3"/>
      <c r="AI225" s="3"/>
      <c r="AJ225" s="3"/>
      <c r="AK225" s="3"/>
      <c r="AL225" s="3"/>
      <c r="AM225" s="3"/>
      <c r="AN225" s="3"/>
      <c r="AO225" s="3"/>
    </row>
    <row r="226" spans="1:41" x14ac:dyDescent="0.25">
      <c r="A226" s="171"/>
      <c r="B226" s="13"/>
      <c r="C226" s="14"/>
      <c r="D226" s="60"/>
      <c r="E226" s="56"/>
      <c r="F226" s="56"/>
      <c r="G226" s="14"/>
      <c r="H226" s="14"/>
      <c r="I226" s="14"/>
      <c r="J226" s="14"/>
      <c r="K226" s="14"/>
      <c r="L226" s="14"/>
      <c r="M226" s="14"/>
      <c r="N226" s="14"/>
      <c r="O226" s="14"/>
      <c r="P226" s="14"/>
      <c r="Q226" s="14"/>
      <c r="R226" s="14"/>
      <c r="S226" s="14"/>
      <c r="T226" s="14"/>
      <c r="U226" s="14"/>
      <c r="V226" s="14"/>
      <c r="W226" s="14"/>
      <c r="X226" s="14"/>
      <c r="Y226" s="14"/>
      <c r="Z226" s="14"/>
      <c r="AA226" s="15"/>
      <c r="AB226" s="3"/>
      <c r="AC226" s="3"/>
      <c r="AD226" s="3"/>
      <c r="AE226" s="3"/>
      <c r="AF226" s="3"/>
      <c r="AG226" s="3"/>
      <c r="AH226" s="3"/>
      <c r="AI226" s="3"/>
      <c r="AJ226" s="3"/>
      <c r="AK226" s="3"/>
      <c r="AL226" s="3"/>
      <c r="AM226" s="3"/>
      <c r="AN226" s="3"/>
      <c r="AO226" s="3"/>
    </row>
    <row r="227" spans="1:41" x14ac:dyDescent="0.25">
      <c r="A227" s="171"/>
      <c r="B227" s="13"/>
      <c r="C227" s="14"/>
      <c r="D227" s="60"/>
      <c r="E227" s="56"/>
      <c r="F227" s="56"/>
      <c r="G227" s="14"/>
      <c r="H227" s="56"/>
      <c r="I227" s="14"/>
      <c r="J227" s="14"/>
      <c r="K227" s="14"/>
      <c r="L227" s="14"/>
      <c r="M227" s="14"/>
      <c r="N227" s="14"/>
      <c r="O227" s="14"/>
      <c r="P227" s="14"/>
      <c r="Q227" s="14"/>
      <c r="R227" s="14"/>
      <c r="S227" s="14"/>
      <c r="T227" s="14"/>
      <c r="U227" s="14"/>
      <c r="V227" s="14"/>
      <c r="W227" s="14"/>
      <c r="X227" s="14"/>
      <c r="Y227" s="14"/>
      <c r="Z227" s="14"/>
      <c r="AA227" s="15"/>
      <c r="AB227" s="3"/>
      <c r="AC227" s="3"/>
      <c r="AD227" s="3"/>
      <c r="AE227" s="3"/>
      <c r="AF227" s="3"/>
      <c r="AG227" s="3"/>
      <c r="AH227" s="3"/>
      <c r="AI227" s="3"/>
      <c r="AJ227" s="3"/>
      <c r="AK227" s="3"/>
      <c r="AL227" s="3"/>
      <c r="AM227" s="3"/>
      <c r="AN227" s="3"/>
      <c r="AO227" s="3"/>
    </row>
    <row r="228" spans="1:41" x14ac:dyDescent="0.25">
      <c r="A228" s="171"/>
      <c r="B228" s="13"/>
      <c r="C228" s="14"/>
      <c r="D228" s="60"/>
      <c r="E228" s="56"/>
      <c r="F228" s="56"/>
      <c r="G228" s="14"/>
      <c r="H228" s="56"/>
      <c r="I228" s="14"/>
      <c r="J228" s="14"/>
      <c r="K228" s="14"/>
      <c r="L228" s="14"/>
      <c r="M228" s="14"/>
      <c r="N228" s="14"/>
      <c r="O228" s="14"/>
      <c r="P228" s="14"/>
      <c r="Q228" s="14"/>
      <c r="R228" s="14"/>
      <c r="S228" s="14"/>
      <c r="T228" s="14"/>
      <c r="U228" s="14"/>
      <c r="V228" s="14"/>
      <c r="W228" s="14"/>
      <c r="X228" s="14"/>
      <c r="Y228" s="14"/>
      <c r="Z228" s="14"/>
      <c r="AA228" s="15"/>
      <c r="AB228" s="3"/>
      <c r="AC228" s="3"/>
      <c r="AD228" s="3"/>
      <c r="AE228" s="3"/>
      <c r="AF228" s="3"/>
      <c r="AG228" s="3"/>
      <c r="AH228" s="3"/>
      <c r="AI228" s="3"/>
      <c r="AJ228" s="3"/>
      <c r="AK228" s="3"/>
      <c r="AL228" s="3"/>
      <c r="AM228" s="3"/>
      <c r="AN228" s="3"/>
      <c r="AO228" s="3"/>
    </row>
    <row r="229" spans="1:41" x14ac:dyDescent="0.25">
      <c r="A229" s="171"/>
      <c r="B229" s="13"/>
      <c r="C229" s="14"/>
      <c r="D229" s="60"/>
      <c r="E229" s="56"/>
      <c r="F229" s="56"/>
      <c r="G229" s="14"/>
      <c r="H229" s="56"/>
      <c r="I229" s="14"/>
      <c r="J229" s="14"/>
      <c r="K229" s="14"/>
      <c r="L229" s="14"/>
      <c r="M229" s="14"/>
      <c r="N229" s="14"/>
      <c r="O229" s="14"/>
      <c r="P229" s="14"/>
      <c r="Q229" s="14"/>
      <c r="R229" s="14"/>
      <c r="S229" s="14"/>
      <c r="T229" s="14"/>
      <c r="U229" s="14"/>
      <c r="V229" s="14"/>
      <c r="W229" s="14"/>
      <c r="X229" s="14"/>
      <c r="Y229" s="14"/>
      <c r="Z229" s="14"/>
      <c r="AA229" s="15"/>
      <c r="AB229" s="3"/>
      <c r="AC229" s="3"/>
      <c r="AD229" s="3"/>
      <c r="AE229" s="3"/>
      <c r="AF229" s="3"/>
      <c r="AG229" s="3"/>
      <c r="AH229" s="3"/>
      <c r="AI229" s="3"/>
      <c r="AJ229" s="3"/>
      <c r="AK229" s="3"/>
      <c r="AL229" s="3"/>
      <c r="AM229" s="3"/>
      <c r="AN229" s="3"/>
      <c r="AO229" s="3"/>
    </row>
    <row r="230" spans="1:41" x14ac:dyDescent="0.25">
      <c r="A230" s="171"/>
      <c r="B230" s="13"/>
      <c r="C230" s="14"/>
      <c r="D230" s="60"/>
      <c r="E230" s="56"/>
      <c r="F230" s="56"/>
      <c r="G230" s="14"/>
      <c r="H230" s="56"/>
      <c r="I230" s="14"/>
      <c r="J230" s="14"/>
      <c r="K230" s="14"/>
      <c r="L230" s="14"/>
      <c r="M230" s="14"/>
      <c r="N230" s="14"/>
      <c r="O230" s="14"/>
      <c r="P230" s="14"/>
      <c r="Q230" s="14"/>
      <c r="R230" s="14"/>
      <c r="S230" s="14"/>
      <c r="T230" s="14"/>
      <c r="U230" s="14"/>
      <c r="V230" s="14"/>
      <c r="W230" s="14"/>
      <c r="X230" s="14"/>
      <c r="Y230" s="14"/>
      <c r="Z230" s="14"/>
      <c r="AA230" s="15"/>
      <c r="AB230" s="3"/>
      <c r="AC230" s="3"/>
      <c r="AD230" s="3"/>
      <c r="AE230" s="3"/>
      <c r="AF230" s="3"/>
      <c r="AG230" s="3"/>
      <c r="AH230" s="3"/>
      <c r="AI230" s="3"/>
      <c r="AJ230" s="3"/>
      <c r="AK230" s="3"/>
      <c r="AL230" s="3"/>
      <c r="AM230" s="3"/>
      <c r="AN230" s="3"/>
      <c r="AO230" s="3"/>
    </row>
    <row r="231" spans="1:41" x14ac:dyDescent="0.25">
      <c r="A231" s="171"/>
      <c r="B231" s="13"/>
      <c r="C231" s="14"/>
      <c r="D231" s="60"/>
      <c r="E231" s="56"/>
      <c r="F231" s="56"/>
      <c r="G231" s="14"/>
      <c r="H231" s="56"/>
      <c r="I231" s="14"/>
      <c r="J231" s="14"/>
      <c r="K231" s="14"/>
      <c r="L231" s="14"/>
      <c r="M231" s="14"/>
      <c r="N231" s="14"/>
      <c r="O231" s="14"/>
      <c r="P231" s="14"/>
      <c r="Q231" s="14"/>
      <c r="R231" s="14"/>
      <c r="S231" s="14"/>
      <c r="T231" s="14"/>
      <c r="U231" s="14"/>
      <c r="V231" s="14"/>
      <c r="W231" s="14"/>
      <c r="X231" s="14"/>
      <c r="Y231" s="14"/>
      <c r="Z231" s="14"/>
      <c r="AA231" s="15"/>
      <c r="AB231" s="3"/>
      <c r="AC231" s="3"/>
      <c r="AD231" s="3"/>
      <c r="AE231" s="3"/>
      <c r="AF231" s="3"/>
      <c r="AG231" s="3"/>
      <c r="AH231" s="3"/>
      <c r="AI231" s="3"/>
      <c r="AJ231" s="3"/>
      <c r="AK231" s="3"/>
      <c r="AL231" s="3"/>
      <c r="AM231" s="3"/>
      <c r="AN231" s="3"/>
      <c r="AO231" s="3"/>
    </row>
    <row r="232" spans="1:41" x14ac:dyDescent="0.25">
      <c r="A232" s="171"/>
      <c r="B232" s="13"/>
      <c r="C232" s="14"/>
      <c r="D232" s="14"/>
      <c r="E232" s="56"/>
      <c r="F232" s="56"/>
      <c r="G232" s="14"/>
      <c r="H232" s="56"/>
      <c r="I232" s="14"/>
      <c r="J232" s="14"/>
      <c r="K232" s="14"/>
      <c r="L232" s="14"/>
      <c r="M232" s="14"/>
      <c r="N232" s="14"/>
      <c r="O232" s="14"/>
      <c r="P232" s="14"/>
      <c r="Q232" s="14"/>
      <c r="R232" s="14"/>
      <c r="S232" s="14"/>
      <c r="T232" s="14"/>
      <c r="U232" s="14"/>
      <c r="V232" s="14"/>
      <c r="W232" s="14"/>
      <c r="X232" s="14"/>
      <c r="Y232" s="14"/>
      <c r="Z232" s="14"/>
      <c r="AA232" s="15"/>
      <c r="AB232" s="3"/>
      <c r="AC232" s="3"/>
      <c r="AD232" s="3"/>
      <c r="AE232" s="3"/>
      <c r="AF232" s="3"/>
      <c r="AG232" s="3"/>
      <c r="AH232" s="3"/>
      <c r="AI232" s="3"/>
      <c r="AJ232" s="3"/>
      <c r="AK232" s="3"/>
      <c r="AL232" s="3"/>
      <c r="AM232" s="3"/>
      <c r="AN232" s="3"/>
      <c r="AO232" s="3"/>
    </row>
    <row r="233" spans="1:41" x14ac:dyDescent="0.25">
      <c r="A233" s="171"/>
      <c r="B233" s="13"/>
      <c r="C233" s="14"/>
      <c r="D233" s="60"/>
      <c r="E233" s="56"/>
      <c r="F233" s="56"/>
      <c r="G233" s="14"/>
      <c r="H233" s="14"/>
      <c r="I233" s="14"/>
      <c r="J233" s="14"/>
      <c r="K233" s="14"/>
      <c r="L233" s="14"/>
      <c r="M233" s="14"/>
      <c r="N233" s="14"/>
      <c r="O233" s="14"/>
      <c r="P233" s="14"/>
      <c r="Q233" s="14"/>
      <c r="R233" s="14"/>
      <c r="S233" s="14"/>
      <c r="T233" s="14"/>
      <c r="U233" s="14"/>
      <c r="V233" s="14"/>
      <c r="W233" s="14"/>
      <c r="X233" s="14"/>
      <c r="Y233" s="14"/>
      <c r="Z233" s="14"/>
      <c r="AA233" s="15"/>
      <c r="AB233" s="3"/>
      <c r="AC233" s="3"/>
      <c r="AD233" s="3"/>
      <c r="AE233" s="3"/>
      <c r="AF233" s="3"/>
      <c r="AG233" s="3"/>
      <c r="AH233" s="3"/>
      <c r="AI233" s="3"/>
      <c r="AJ233" s="3"/>
      <c r="AK233" s="3"/>
      <c r="AL233" s="3"/>
      <c r="AM233" s="3"/>
      <c r="AN233" s="3"/>
      <c r="AO233" s="3"/>
    </row>
    <row r="234" spans="1:41" x14ac:dyDescent="0.25">
      <c r="A234" s="171"/>
      <c r="B234" s="13"/>
      <c r="C234" s="14"/>
      <c r="D234" s="60"/>
      <c r="E234" s="56"/>
      <c r="F234" s="56"/>
      <c r="G234" s="14"/>
      <c r="H234" s="56"/>
      <c r="I234" s="14"/>
      <c r="J234" s="14"/>
      <c r="K234" s="14"/>
      <c r="L234" s="14"/>
      <c r="M234" s="14"/>
      <c r="N234" s="14"/>
      <c r="O234" s="14"/>
      <c r="P234" s="14"/>
      <c r="Q234" s="14"/>
      <c r="R234" s="14"/>
      <c r="S234" s="14"/>
      <c r="T234" s="14"/>
      <c r="U234" s="14"/>
      <c r="V234" s="14"/>
      <c r="W234" s="14"/>
      <c r="X234" s="14"/>
      <c r="Y234" s="14"/>
      <c r="Z234" s="14"/>
      <c r="AA234" s="15"/>
      <c r="AB234" s="3"/>
      <c r="AC234" s="3"/>
      <c r="AD234" s="3"/>
      <c r="AE234" s="3"/>
      <c r="AF234" s="3"/>
      <c r="AG234" s="3"/>
      <c r="AH234" s="3"/>
      <c r="AI234" s="3"/>
      <c r="AJ234" s="3"/>
      <c r="AK234" s="3"/>
      <c r="AL234" s="3"/>
      <c r="AM234" s="3"/>
      <c r="AN234" s="3"/>
      <c r="AO234" s="3"/>
    </row>
    <row r="235" spans="1:41" x14ac:dyDescent="0.25">
      <c r="A235" s="171"/>
      <c r="B235" s="13"/>
      <c r="C235" s="14"/>
      <c r="D235" s="60"/>
      <c r="E235" s="56"/>
      <c r="F235" s="56"/>
      <c r="G235" s="14"/>
      <c r="H235" s="56"/>
      <c r="I235" s="14"/>
      <c r="J235" s="14"/>
      <c r="K235" s="14"/>
      <c r="L235" s="14"/>
      <c r="M235" s="14"/>
      <c r="N235" s="14"/>
      <c r="O235" s="14"/>
      <c r="P235" s="14"/>
      <c r="Q235" s="14"/>
      <c r="R235" s="14"/>
      <c r="S235" s="14"/>
      <c r="T235" s="14"/>
      <c r="U235" s="14"/>
      <c r="V235" s="14"/>
      <c r="W235" s="14"/>
      <c r="X235" s="14"/>
      <c r="Y235" s="14"/>
      <c r="Z235" s="14"/>
      <c r="AA235" s="15"/>
      <c r="AB235" s="3"/>
      <c r="AC235" s="3"/>
      <c r="AD235" s="3"/>
      <c r="AE235" s="3"/>
      <c r="AF235" s="3"/>
      <c r="AG235" s="3"/>
      <c r="AH235" s="3"/>
      <c r="AI235" s="3"/>
      <c r="AJ235" s="3"/>
      <c r="AK235" s="3"/>
      <c r="AL235" s="3"/>
      <c r="AM235" s="3"/>
      <c r="AN235" s="3"/>
      <c r="AO235" s="3"/>
    </row>
    <row r="236" spans="1:41" x14ac:dyDescent="0.25">
      <c r="A236" s="171"/>
      <c r="B236" s="13"/>
      <c r="C236" s="14"/>
      <c r="D236" s="60"/>
      <c r="E236" s="56"/>
      <c r="F236" s="56"/>
      <c r="G236" s="14"/>
      <c r="H236" s="56"/>
      <c r="I236" s="14"/>
      <c r="J236" s="14"/>
      <c r="K236" s="14"/>
      <c r="L236" s="14"/>
      <c r="M236" s="14"/>
      <c r="N236" s="14"/>
      <c r="O236" s="14"/>
      <c r="P236" s="14"/>
      <c r="Q236" s="14"/>
      <c r="R236" s="14"/>
      <c r="S236" s="14"/>
      <c r="T236" s="14"/>
      <c r="U236" s="14"/>
      <c r="V236" s="14"/>
      <c r="W236" s="14"/>
      <c r="X236" s="14"/>
      <c r="Y236" s="14"/>
      <c r="Z236" s="14"/>
      <c r="AA236" s="15"/>
      <c r="AB236" s="3"/>
      <c r="AC236" s="3"/>
      <c r="AD236" s="3"/>
      <c r="AE236" s="3"/>
      <c r="AF236" s="3"/>
      <c r="AG236" s="3"/>
      <c r="AH236" s="3"/>
      <c r="AI236" s="3"/>
      <c r="AJ236" s="3"/>
      <c r="AK236" s="3"/>
      <c r="AL236" s="3"/>
      <c r="AM236" s="3"/>
      <c r="AN236" s="3"/>
      <c r="AO236" s="3"/>
    </row>
    <row r="237" spans="1:41" x14ac:dyDescent="0.25">
      <c r="A237" s="171"/>
      <c r="B237" s="70"/>
      <c r="C237" s="56"/>
      <c r="D237" s="60"/>
      <c r="E237" s="56"/>
      <c r="F237" s="56"/>
      <c r="G237" s="56"/>
      <c r="H237" s="56"/>
      <c r="I237" s="42"/>
      <c r="J237" s="14"/>
      <c r="K237" s="14"/>
      <c r="L237" s="14"/>
      <c r="M237" s="14"/>
      <c r="N237" s="14"/>
      <c r="O237" s="14"/>
      <c r="P237" s="14"/>
      <c r="Q237" s="14"/>
      <c r="R237" s="14"/>
      <c r="S237" s="14"/>
      <c r="T237" s="14"/>
      <c r="U237" s="14"/>
      <c r="V237" s="14"/>
      <c r="W237" s="14"/>
      <c r="X237" s="14"/>
      <c r="Y237" s="14"/>
      <c r="Z237" s="14"/>
      <c r="AA237" s="15"/>
      <c r="AB237" s="3"/>
      <c r="AC237" s="3"/>
      <c r="AD237" s="3"/>
      <c r="AE237" s="3"/>
      <c r="AF237" s="3"/>
      <c r="AG237" s="3"/>
      <c r="AH237" s="3"/>
      <c r="AI237" s="3"/>
      <c r="AJ237" s="3"/>
      <c r="AK237" s="3"/>
      <c r="AL237" s="3"/>
      <c r="AM237" s="3"/>
      <c r="AN237" s="3"/>
      <c r="AO237" s="3"/>
    </row>
    <row r="238" spans="1:41" x14ac:dyDescent="0.25">
      <c r="A238" s="171"/>
      <c r="B238" s="13"/>
      <c r="C238" s="14"/>
      <c r="D238" s="60"/>
      <c r="E238" s="56"/>
      <c r="F238" s="56"/>
      <c r="G238" s="14"/>
      <c r="H238" s="56"/>
      <c r="I238" s="14"/>
      <c r="J238" s="14"/>
      <c r="K238" s="14"/>
      <c r="L238" s="14"/>
      <c r="M238" s="14"/>
      <c r="N238" s="14"/>
      <c r="O238" s="14"/>
      <c r="P238" s="14"/>
      <c r="Q238" s="14"/>
      <c r="R238" s="14"/>
      <c r="S238" s="14"/>
      <c r="T238" s="14"/>
      <c r="U238" s="14"/>
      <c r="V238" s="14"/>
      <c r="W238" s="14"/>
      <c r="X238" s="14"/>
      <c r="Y238" s="14"/>
      <c r="Z238" s="14"/>
      <c r="AA238" s="15"/>
      <c r="AB238" s="3"/>
      <c r="AC238" s="3"/>
      <c r="AD238" s="3"/>
      <c r="AE238" s="3"/>
      <c r="AF238" s="3"/>
      <c r="AG238" s="3"/>
      <c r="AH238" s="3"/>
      <c r="AI238" s="3"/>
      <c r="AJ238" s="3"/>
      <c r="AK238" s="3"/>
      <c r="AL238" s="3"/>
      <c r="AM238" s="3"/>
      <c r="AN238" s="3"/>
      <c r="AO238" s="3"/>
    </row>
    <row r="239" spans="1:41" x14ac:dyDescent="0.25">
      <c r="A239" s="171"/>
      <c r="B239" s="13"/>
      <c r="C239" s="14"/>
      <c r="D239" s="14"/>
      <c r="E239" s="56"/>
      <c r="F239" s="56"/>
      <c r="G239" s="14"/>
      <c r="H239" s="56"/>
      <c r="I239" s="14"/>
      <c r="J239" s="14"/>
      <c r="K239" s="14"/>
      <c r="L239" s="14"/>
      <c r="M239" s="14"/>
      <c r="N239" s="14"/>
      <c r="O239" s="14"/>
      <c r="P239" s="14"/>
      <c r="Q239" s="14"/>
      <c r="R239" s="14"/>
      <c r="S239" s="14"/>
      <c r="T239" s="14"/>
      <c r="U239" s="14"/>
      <c r="V239" s="14"/>
      <c r="W239" s="14"/>
      <c r="X239" s="14"/>
      <c r="Y239" s="14"/>
      <c r="Z239" s="14"/>
      <c r="AA239" s="15"/>
      <c r="AB239" s="3"/>
      <c r="AC239" s="3"/>
      <c r="AD239" s="3"/>
      <c r="AE239" s="3"/>
      <c r="AF239" s="3"/>
      <c r="AG239" s="3"/>
      <c r="AH239" s="3"/>
      <c r="AI239" s="3"/>
      <c r="AJ239" s="3"/>
      <c r="AK239" s="3"/>
      <c r="AL239" s="3"/>
      <c r="AM239" s="3"/>
      <c r="AN239" s="3"/>
      <c r="AO239" s="3"/>
    </row>
    <row r="240" spans="1:41" x14ac:dyDescent="0.25">
      <c r="A240" s="171"/>
      <c r="B240" s="13"/>
      <c r="C240" s="14"/>
      <c r="D240" s="60"/>
      <c r="E240" s="56"/>
      <c r="F240" s="56"/>
      <c r="G240" s="14"/>
      <c r="H240" s="14"/>
      <c r="I240" s="14"/>
      <c r="J240" s="14"/>
      <c r="K240" s="14"/>
      <c r="L240" s="14"/>
      <c r="M240" s="14"/>
      <c r="N240" s="14"/>
      <c r="O240" s="14"/>
      <c r="P240" s="14"/>
      <c r="Q240" s="14"/>
      <c r="R240" s="14"/>
      <c r="S240" s="14"/>
      <c r="T240" s="14"/>
      <c r="U240" s="14"/>
      <c r="V240" s="14"/>
      <c r="W240" s="14"/>
      <c r="X240" s="14"/>
      <c r="Y240" s="14"/>
      <c r="Z240" s="14"/>
      <c r="AA240" s="15"/>
      <c r="AB240" s="3"/>
      <c r="AC240" s="3"/>
      <c r="AD240" s="3"/>
      <c r="AE240" s="3"/>
      <c r="AF240" s="3"/>
      <c r="AG240" s="3"/>
      <c r="AH240" s="3"/>
      <c r="AI240" s="3"/>
      <c r="AJ240" s="3"/>
      <c r="AK240" s="3"/>
      <c r="AL240" s="3"/>
      <c r="AM240" s="3"/>
      <c r="AN240" s="3"/>
      <c r="AO240" s="3"/>
    </row>
    <row r="241" spans="1:41" x14ac:dyDescent="0.25">
      <c r="A241" s="171"/>
      <c r="B241" s="13"/>
      <c r="C241" s="14"/>
      <c r="D241" s="60"/>
      <c r="E241" s="56"/>
      <c r="F241" s="56"/>
      <c r="G241" s="14"/>
      <c r="H241" s="56"/>
      <c r="I241" s="14"/>
      <c r="J241" s="14"/>
      <c r="K241" s="14"/>
      <c r="L241" s="14"/>
      <c r="M241" s="14"/>
      <c r="N241" s="14"/>
      <c r="O241" s="14"/>
      <c r="P241" s="14"/>
      <c r="Q241" s="14"/>
      <c r="R241" s="14"/>
      <c r="S241" s="14"/>
      <c r="T241" s="14"/>
      <c r="U241" s="14"/>
      <c r="V241" s="14"/>
      <c r="W241" s="14"/>
      <c r="X241" s="14"/>
      <c r="Y241" s="14"/>
      <c r="Z241" s="14"/>
      <c r="AA241" s="15"/>
      <c r="AB241" s="3"/>
      <c r="AC241" s="3"/>
      <c r="AD241" s="3"/>
      <c r="AE241" s="3"/>
      <c r="AF241" s="3"/>
      <c r="AG241" s="3"/>
      <c r="AH241" s="3"/>
      <c r="AI241" s="3"/>
      <c r="AJ241" s="3"/>
      <c r="AK241" s="3"/>
      <c r="AL241" s="3"/>
      <c r="AM241" s="3"/>
      <c r="AN241" s="3"/>
      <c r="AO241" s="3"/>
    </row>
    <row r="242" spans="1:41" x14ac:dyDescent="0.25">
      <c r="A242" s="171"/>
      <c r="B242" s="13"/>
      <c r="C242" s="14"/>
      <c r="D242" s="60"/>
      <c r="E242" s="56"/>
      <c r="F242" s="56"/>
      <c r="G242" s="14"/>
      <c r="H242" s="56"/>
      <c r="I242" s="14"/>
      <c r="J242" s="14"/>
      <c r="K242" s="14"/>
      <c r="L242" s="14"/>
      <c r="M242" s="14"/>
      <c r="N242" s="14"/>
      <c r="O242" s="14"/>
      <c r="P242" s="14"/>
      <c r="Q242" s="14"/>
      <c r="R242" s="14"/>
      <c r="S242" s="14"/>
      <c r="T242" s="14"/>
      <c r="U242" s="14"/>
      <c r="V242" s="14"/>
      <c r="W242" s="14"/>
      <c r="X242" s="14"/>
      <c r="Y242" s="14"/>
      <c r="Z242" s="14"/>
      <c r="AA242" s="15"/>
      <c r="AB242" s="3"/>
      <c r="AC242" s="3"/>
      <c r="AD242" s="3"/>
      <c r="AE242" s="3"/>
      <c r="AF242" s="3"/>
      <c r="AG242" s="3"/>
      <c r="AH242" s="3"/>
      <c r="AI242" s="3"/>
      <c r="AJ242" s="3"/>
      <c r="AK242" s="3"/>
      <c r="AL242" s="3"/>
      <c r="AM242" s="3"/>
      <c r="AN242" s="3"/>
      <c r="AO242" s="3"/>
    </row>
    <row r="243" spans="1:41" x14ac:dyDescent="0.25">
      <c r="A243" s="171"/>
      <c r="B243" s="13"/>
      <c r="C243" s="14"/>
      <c r="D243" s="60"/>
      <c r="E243" s="56"/>
      <c r="F243" s="56"/>
      <c r="G243" s="14"/>
      <c r="H243" s="56"/>
      <c r="I243" s="14"/>
      <c r="J243" s="14"/>
      <c r="K243" s="14"/>
      <c r="L243" s="14"/>
      <c r="M243" s="14"/>
      <c r="N243" s="14"/>
      <c r="O243" s="14"/>
      <c r="P243" s="14"/>
      <c r="Q243" s="14"/>
      <c r="R243" s="14"/>
      <c r="S243" s="14"/>
      <c r="T243" s="14"/>
      <c r="U243" s="14"/>
      <c r="V243" s="14"/>
      <c r="W243" s="14"/>
      <c r="X243" s="14"/>
      <c r="Y243" s="14"/>
      <c r="Z243" s="14"/>
      <c r="AA243" s="15"/>
      <c r="AB243" s="3"/>
      <c r="AC243" s="3"/>
      <c r="AD243" s="3"/>
      <c r="AE243" s="3"/>
      <c r="AF243" s="3"/>
      <c r="AG243" s="3"/>
      <c r="AH243" s="3"/>
      <c r="AI243" s="3"/>
      <c r="AJ243" s="3"/>
      <c r="AK243" s="3"/>
      <c r="AL243" s="3"/>
      <c r="AM243" s="3"/>
      <c r="AN243" s="3"/>
      <c r="AO243" s="3"/>
    </row>
    <row r="244" spans="1:41" x14ac:dyDescent="0.25">
      <c r="A244" s="171"/>
      <c r="B244" s="70"/>
      <c r="C244" s="56"/>
      <c r="D244" s="60"/>
      <c r="E244" s="56"/>
      <c r="F244" s="56"/>
      <c r="G244" s="56"/>
      <c r="H244" s="56"/>
      <c r="I244" s="42"/>
      <c r="J244" s="14"/>
      <c r="K244" s="14"/>
      <c r="L244" s="14"/>
      <c r="M244" s="14"/>
      <c r="N244" s="14"/>
      <c r="O244" s="14"/>
      <c r="P244" s="14"/>
      <c r="Q244" s="14"/>
      <c r="R244" s="14"/>
      <c r="S244" s="14"/>
      <c r="T244" s="14"/>
      <c r="U244" s="14"/>
      <c r="V244" s="14"/>
      <c r="W244" s="14"/>
      <c r="X244" s="14"/>
      <c r="Y244" s="14"/>
      <c r="Z244" s="14"/>
      <c r="AA244" s="15"/>
      <c r="AB244" s="3"/>
      <c r="AC244" s="3"/>
      <c r="AD244" s="3"/>
      <c r="AE244" s="3"/>
      <c r="AF244" s="3"/>
      <c r="AG244" s="3"/>
      <c r="AH244" s="3"/>
      <c r="AI244" s="3"/>
      <c r="AJ244" s="3"/>
      <c r="AK244" s="3"/>
      <c r="AL244" s="3"/>
      <c r="AM244" s="3"/>
      <c r="AN244" s="3"/>
      <c r="AO244" s="3"/>
    </row>
    <row r="245" spans="1:41" x14ac:dyDescent="0.25">
      <c r="A245" s="171"/>
      <c r="B245" s="70"/>
      <c r="C245" s="56"/>
      <c r="D245" s="60"/>
      <c r="E245" s="56"/>
      <c r="F245" s="56"/>
      <c r="G245" s="56"/>
      <c r="H245" s="56"/>
      <c r="I245" s="42"/>
      <c r="J245" s="14"/>
      <c r="K245" s="14"/>
      <c r="L245" s="14"/>
      <c r="M245" s="14"/>
      <c r="N245" s="14"/>
      <c r="O245" s="14"/>
      <c r="P245" s="14"/>
      <c r="Q245" s="14"/>
      <c r="R245" s="14"/>
      <c r="S245" s="14"/>
      <c r="T245" s="14"/>
      <c r="U245" s="14"/>
      <c r="V245" s="14"/>
      <c r="W245" s="14"/>
      <c r="X245" s="14"/>
      <c r="Y245" s="14"/>
      <c r="Z245" s="14"/>
      <c r="AA245" s="15"/>
      <c r="AB245" s="3"/>
      <c r="AC245" s="3"/>
      <c r="AD245" s="3"/>
      <c r="AE245" s="3"/>
      <c r="AF245" s="3"/>
      <c r="AG245" s="3"/>
      <c r="AH245" s="3"/>
      <c r="AI245" s="3"/>
      <c r="AJ245" s="3"/>
      <c r="AK245" s="3"/>
      <c r="AL245" s="3"/>
      <c r="AM245" s="3"/>
      <c r="AN245" s="3"/>
      <c r="AO245" s="3"/>
    </row>
    <row r="246" spans="1:41" x14ac:dyDescent="0.25">
      <c r="A246" s="171"/>
      <c r="B246" s="13"/>
      <c r="C246" s="14"/>
      <c r="D246" s="14"/>
      <c r="E246" s="56"/>
      <c r="F246" s="56"/>
      <c r="G246" s="14"/>
      <c r="H246" s="56"/>
      <c r="I246" s="14"/>
      <c r="J246" s="14"/>
      <c r="K246" s="14"/>
      <c r="L246" s="14"/>
      <c r="M246" s="14"/>
      <c r="N246" s="14"/>
      <c r="O246" s="14"/>
      <c r="P246" s="14"/>
      <c r="Q246" s="14"/>
      <c r="R246" s="14"/>
      <c r="S246" s="14"/>
      <c r="T246" s="14"/>
      <c r="U246" s="14"/>
      <c r="V246" s="14"/>
      <c r="W246" s="14"/>
      <c r="X246" s="14"/>
      <c r="Y246" s="14"/>
      <c r="Z246" s="14"/>
      <c r="AA246" s="15"/>
      <c r="AB246" s="3"/>
      <c r="AC246" s="3"/>
      <c r="AD246" s="3"/>
      <c r="AE246" s="3"/>
      <c r="AF246" s="3"/>
      <c r="AG246" s="3"/>
      <c r="AH246" s="3"/>
      <c r="AI246" s="3"/>
      <c r="AJ246" s="3"/>
      <c r="AK246" s="3"/>
      <c r="AL246" s="3"/>
      <c r="AM246" s="3"/>
      <c r="AN246" s="3"/>
      <c r="AO246" s="3"/>
    </row>
    <row r="247" spans="1:41" x14ac:dyDescent="0.25">
      <c r="A247" s="171"/>
      <c r="B247" s="13"/>
      <c r="C247" s="14"/>
      <c r="D247" s="60"/>
      <c r="E247" s="56"/>
      <c r="F247" s="56"/>
      <c r="G247" s="14"/>
      <c r="H247" s="56"/>
      <c r="I247" s="14"/>
      <c r="J247" s="14"/>
      <c r="K247" s="14"/>
      <c r="L247" s="14"/>
      <c r="M247" s="14"/>
      <c r="N247" s="14"/>
      <c r="O247" s="14"/>
      <c r="P247" s="14"/>
      <c r="Q247" s="14"/>
      <c r="R247" s="14"/>
      <c r="S247" s="14"/>
      <c r="T247" s="14"/>
      <c r="U247" s="14"/>
      <c r="V247" s="14"/>
      <c r="W247" s="14"/>
      <c r="X247" s="14"/>
      <c r="Y247" s="14"/>
      <c r="Z247" s="14"/>
      <c r="AA247" s="15"/>
      <c r="AB247" s="3"/>
      <c r="AC247" s="3"/>
      <c r="AD247" s="3"/>
      <c r="AE247" s="3"/>
      <c r="AF247" s="3"/>
      <c r="AG247" s="3"/>
      <c r="AH247" s="3"/>
      <c r="AI247" s="3"/>
      <c r="AJ247" s="3"/>
      <c r="AK247" s="3"/>
      <c r="AL247" s="3"/>
      <c r="AM247" s="3"/>
      <c r="AN247" s="3"/>
      <c r="AO247" s="3"/>
    </row>
    <row r="248" spans="1:41" x14ac:dyDescent="0.25">
      <c r="A248" s="171"/>
      <c r="B248" s="13"/>
      <c r="C248" s="14"/>
      <c r="D248" s="60"/>
      <c r="E248" s="56"/>
      <c r="F248" s="56"/>
      <c r="G248" s="14"/>
      <c r="H248" s="56"/>
      <c r="I248" s="14"/>
      <c r="J248" s="14"/>
      <c r="K248" s="14"/>
      <c r="L248" s="14"/>
      <c r="M248" s="14"/>
      <c r="N248" s="14"/>
      <c r="O248" s="14"/>
      <c r="P248" s="14"/>
      <c r="Q248" s="14"/>
      <c r="R248" s="14"/>
      <c r="S248" s="14"/>
      <c r="T248" s="14"/>
      <c r="U248" s="14"/>
      <c r="V248" s="14"/>
      <c r="W248" s="14"/>
      <c r="X248" s="14"/>
      <c r="Y248" s="14"/>
      <c r="Z248" s="14"/>
      <c r="AA248" s="15"/>
      <c r="AB248" s="3"/>
      <c r="AC248" s="3"/>
      <c r="AD248" s="3"/>
      <c r="AE248" s="3"/>
      <c r="AF248" s="3"/>
      <c r="AG248" s="3"/>
      <c r="AH248" s="3"/>
      <c r="AI248" s="3"/>
      <c r="AJ248" s="3"/>
      <c r="AK248" s="3"/>
      <c r="AL248" s="3"/>
      <c r="AM248" s="3"/>
      <c r="AN248" s="3"/>
      <c r="AO248" s="3"/>
    </row>
    <row r="249" spans="1:41" x14ac:dyDescent="0.25">
      <c r="A249" s="171"/>
      <c r="B249" s="13"/>
      <c r="C249" s="14"/>
      <c r="D249" s="60"/>
      <c r="E249" s="56"/>
      <c r="F249" s="56"/>
      <c r="G249" s="14"/>
      <c r="H249" s="56"/>
      <c r="I249" s="14"/>
      <c r="J249" s="14"/>
      <c r="K249" s="14"/>
      <c r="L249" s="14"/>
      <c r="M249" s="14"/>
      <c r="N249" s="14"/>
      <c r="O249" s="14"/>
      <c r="P249" s="14"/>
      <c r="Q249" s="14"/>
      <c r="R249" s="14"/>
      <c r="S249" s="14"/>
      <c r="T249" s="14"/>
      <c r="U249" s="14"/>
      <c r="V249" s="14"/>
      <c r="W249" s="14"/>
      <c r="X249" s="14"/>
      <c r="Y249" s="14"/>
      <c r="Z249" s="14"/>
      <c r="AA249" s="15"/>
      <c r="AB249" s="3"/>
      <c r="AC249" s="3"/>
      <c r="AD249" s="3"/>
      <c r="AE249" s="3"/>
      <c r="AF249" s="3"/>
      <c r="AG249" s="3"/>
      <c r="AH249" s="3"/>
      <c r="AI249" s="3"/>
      <c r="AJ249" s="3"/>
      <c r="AK249" s="3"/>
      <c r="AL249" s="3"/>
      <c r="AM249" s="3"/>
      <c r="AN249" s="3"/>
      <c r="AO249" s="3"/>
    </row>
    <row r="250" spans="1:41" x14ac:dyDescent="0.25">
      <c r="A250" s="171"/>
      <c r="B250" s="13"/>
      <c r="C250" s="14"/>
      <c r="D250" s="60"/>
      <c r="E250" s="56"/>
      <c r="F250" s="56"/>
      <c r="G250" s="14"/>
      <c r="H250" s="56"/>
      <c r="I250" s="14"/>
      <c r="J250" s="14"/>
      <c r="K250" s="14"/>
      <c r="L250" s="14"/>
      <c r="M250" s="14"/>
      <c r="N250" s="14"/>
      <c r="O250" s="14"/>
      <c r="P250" s="14"/>
      <c r="Q250" s="14"/>
      <c r="R250" s="14"/>
      <c r="S250" s="14"/>
      <c r="T250" s="14"/>
      <c r="U250" s="14"/>
      <c r="V250" s="14"/>
      <c r="W250" s="14"/>
      <c r="X250" s="14"/>
      <c r="Y250" s="14"/>
      <c r="Z250" s="14"/>
      <c r="AA250" s="15"/>
      <c r="AB250" s="3"/>
      <c r="AC250" s="3"/>
      <c r="AD250" s="3"/>
      <c r="AE250" s="3"/>
      <c r="AF250" s="3"/>
      <c r="AG250" s="3"/>
      <c r="AH250" s="3"/>
      <c r="AI250" s="3"/>
      <c r="AJ250" s="3"/>
      <c r="AK250" s="3"/>
      <c r="AL250" s="3"/>
      <c r="AM250" s="3"/>
      <c r="AN250" s="3"/>
      <c r="AO250" s="3"/>
    </row>
    <row r="251" spans="1:41" x14ac:dyDescent="0.25">
      <c r="A251" s="171"/>
      <c r="B251" s="13"/>
      <c r="C251" s="14"/>
      <c r="D251" s="60"/>
      <c r="E251" s="56"/>
      <c r="F251" s="56"/>
      <c r="G251" s="128"/>
      <c r="H251" s="56"/>
      <c r="I251" s="14"/>
      <c r="J251" s="14"/>
      <c r="K251" s="14"/>
      <c r="L251" s="14"/>
      <c r="M251" s="14"/>
      <c r="N251" s="14"/>
      <c r="O251" s="14"/>
      <c r="P251" s="14"/>
      <c r="Q251" s="14"/>
      <c r="R251" s="14"/>
      <c r="S251" s="14"/>
      <c r="T251" s="14"/>
      <c r="U251" s="14"/>
      <c r="V251" s="14"/>
      <c r="W251" s="14"/>
      <c r="X251" s="14"/>
      <c r="Y251" s="14"/>
      <c r="Z251" s="14"/>
      <c r="AA251" s="15"/>
      <c r="AB251" s="3"/>
      <c r="AC251" s="3"/>
      <c r="AD251" s="3"/>
      <c r="AE251" s="3"/>
      <c r="AF251" s="3"/>
      <c r="AG251" s="3"/>
      <c r="AH251" s="3"/>
      <c r="AI251" s="3"/>
      <c r="AJ251" s="3"/>
      <c r="AK251" s="3"/>
      <c r="AL251" s="3"/>
      <c r="AM251" s="3"/>
      <c r="AN251" s="3"/>
      <c r="AO251" s="3"/>
    </row>
    <row r="252" spans="1:41" x14ac:dyDescent="0.25">
      <c r="A252" s="171"/>
      <c r="B252" s="13"/>
      <c r="C252" s="14"/>
      <c r="D252" s="60"/>
      <c r="E252" s="56"/>
      <c r="F252" s="56"/>
      <c r="G252" s="14"/>
      <c r="H252" s="56"/>
      <c r="I252" s="14"/>
      <c r="J252" s="14"/>
      <c r="K252" s="14"/>
      <c r="L252" s="14"/>
      <c r="M252" s="14"/>
      <c r="N252" s="14"/>
      <c r="O252" s="14"/>
      <c r="P252" s="14"/>
      <c r="Q252" s="14"/>
      <c r="R252" s="14"/>
      <c r="S252" s="14"/>
      <c r="T252" s="14"/>
      <c r="U252" s="14"/>
      <c r="V252" s="14"/>
      <c r="W252" s="14"/>
      <c r="X252" s="14"/>
      <c r="Y252" s="14"/>
      <c r="Z252" s="14"/>
      <c r="AA252" s="15"/>
      <c r="AB252" s="3"/>
      <c r="AC252" s="3"/>
      <c r="AD252" s="3"/>
      <c r="AE252" s="3"/>
      <c r="AF252" s="3"/>
      <c r="AG252" s="3"/>
      <c r="AH252" s="3"/>
      <c r="AI252" s="3"/>
      <c r="AJ252" s="3"/>
      <c r="AK252" s="3"/>
      <c r="AL252" s="3"/>
      <c r="AM252" s="3"/>
      <c r="AN252" s="3"/>
      <c r="AO252" s="3"/>
    </row>
    <row r="253" spans="1:41" x14ac:dyDescent="0.25">
      <c r="A253" s="171"/>
      <c r="B253" s="13"/>
      <c r="C253" s="14"/>
      <c r="D253" s="14"/>
      <c r="E253" s="56"/>
      <c r="F253" s="56"/>
      <c r="G253" s="14"/>
      <c r="H253" s="56"/>
      <c r="I253" s="14"/>
      <c r="J253" s="14"/>
      <c r="K253" s="14"/>
      <c r="L253" s="14"/>
      <c r="M253" s="14"/>
      <c r="N253" s="14"/>
      <c r="O253" s="14"/>
      <c r="P253" s="14"/>
      <c r="Q253" s="14"/>
      <c r="R253" s="14"/>
      <c r="S253" s="14"/>
      <c r="T253" s="14"/>
      <c r="U253" s="14"/>
      <c r="V253" s="14"/>
      <c r="W253" s="14"/>
      <c r="X253" s="14"/>
      <c r="Y253" s="14"/>
      <c r="Z253" s="14"/>
      <c r="AA253" s="15"/>
      <c r="AB253" s="3"/>
      <c r="AC253" s="3"/>
      <c r="AD253" s="3"/>
      <c r="AE253" s="3"/>
      <c r="AF253" s="3"/>
      <c r="AG253" s="3"/>
      <c r="AH253" s="3"/>
      <c r="AI253" s="3"/>
      <c r="AJ253" s="3"/>
      <c r="AK253" s="3"/>
      <c r="AL253" s="3"/>
      <c r="AM253" s="3"/>
      <c r="AN253" s="3"/>
      <c r="AO253" s="3"/>
    </row>
    <row r="254" spans="1:41" x14ac:dyDescent="0.25">
      <c r="A254" s="171"/>
      <c r="B254" s="13"/>
      <c r="C254" s="14"/>
      <c r="D254" s="60"/>
      <c r="E254" s="56"/>
      <c r="F254" s="56"/>
      <c r="G254" s="14"/>
      <c r="H254" s="56"/>
      <c r="I254" s="14"/>
      <c r="J254" s="14"/>
      <c r="K254" s="14"/>
      <c r="L254" s="14"/>
      <c r="M254" s="14"/>
      <c r="N254" s="14"/>
      <c r="O254" s="14"/>
      <c r="P254" s="14"/>
      <c r="Q254" s="14"/>
      <c r="R254" s="14"/>
      <c r="S254" s="14"/>
      <c r="T254" s="14"/>
      <c r="U254" s="14"/>
      <c r="V254" s="14"/>
      <c r="W254" s="14"/>
      <c r="X254" s="14"/>
      <c r="Y254" s="14"/>
      <c r="Z254" s="14"/>
      <c r="AA254" s="15"/>
      <c r="AB254" s="3"/>
      <c r="AC254" s="3"/>
      <c r="AD254" s="3"/>
      <c r="AE254" s="3"/>
      <c r="AF254" s="3"/>
      <c r="AG254" s="3"/>
      <c r="AH254" s="3"/>
      <c r="AI254" s="3"/>
      <c r="AJ254" s="3"/>
      <c r="AK254" s="3"/>
      <c r="AL254" s="3"/>
      <c r="AM254" s="3"/>
      <c r="AN254" s="3"/>
      <c r="AO254" s="3"/>
    </row>
    <row r="255" spans="1:41" x14ac:dyDescent="0.25">
      <c r="A255" s="171"/>
      <c r="B255" s="13"/>
      <c r="C255" s="14"/>
      <c r="D255" s="60"/>
      <c r="E255" s="56"/>
      <c r="F255" s="56"/>
      <c r="G255" s="14"/>
      <c r="H255" s="56"/>
      <c r="I255" s="14"/>
      <c r="J255" s="14"/>
      <c r="K255" s="14"/>
      <c r="L255" s="14"/>
      <c r="M255" s="14"/>
      <c r="N255" s="14"/>
      <c r="O255" s="14"/>
      <c r="P255" s="14"/>
      <c r="Q255" s="14"/>
      <c r="R255" s="14"/>
      <c r="S255" s="14"/>
      <c r="T255" s="14"/>
      <c r="U255" s="14"/>
      <c r="V255" s="14"/>
      <c r="W255" s="14"/>
      <c r="X255" s="14"/>
      <c r="Y255" s="14"/>
      <c r="Z255" s="14"/>
      <c r="AA255" s="15"/>
      <c r="AB255" s="3"/>
      <c r="AC255" s="3"/>
      <c r="AD255" s="3"/>
      <c r="AE255" s="3"/>
      <c r="AF255" s="3"/>
      <c r="AG255" s="3"/>
      <c r="AH255" s="3"/>
      <c r="AI255" s="3"/>
      <c r="AJ255" s="3"/>
      <c r="AK255" s="3"/>
      <c r="AL255" s="3"/>
      <c r="AM255" s="3"/>
      <c r="AN255" s="3"/>
      <c r="AO255" s="3"/>
    </row>
    <row r="256" spans="1:41" x14ac:dyDescent="0.25">
      <c r="A256" s="171"/>
      <c r="B256" s="13"/>
      <c r="C256" s="14"/>
      <c r="D256" s="60"/>
      <c r="E256" s="56"/>
      <c r="F256" s="56"/>
      <c r="G256" s="14"/>
      <c r="H256" s="56"/>
      <c r="I256" s="14"/>
      <c r="J256" s="14"/>
      <c r="K256" s="14"/>
      <c r="L256" s="14"/>
      <c r="M256" s="14"/>
      <c r="N256" s="14"/>
      <c r="O256" s="14"/>
      <c r="P256" s="14"/>
      <c r="Q256" s="14"/>
      <c r="R256" s="14"/>
      <c r="S256" s="14"/>
      <c r="T256" s="14"/>
      <c r="U256" s="14"/>
      <c r="V256" s="14"/>
      <c r="W256" s="14"/>
      <c r="X256" s="14"/>
      <c r="Y256" s="14"/>
      <c r="Z256" s="14"/>
      <c r="AA256" s="15"/>
      <c r="AB256" s="3"/>
      <c r="AC256" s="3"/>
      <c r="AD256" s="3"/>
      <c r="AE256" s="3"/>
      <c r="AF256" s="3"/>
      <c r="AG256" s="3"/>
      <c r="AH256" s="3"/>
      <c r="AI256" s="3"/>
      <c r="AJ256" s="3"/>
      <c r="AK256" s="3"/>
      <c r="AL256" s="3"/>
      <c r="AM256" s="3"/>
      <c r="AN256" s="3"/>
      <c r="AO256" s="3"/>
    </row>
    <row r="257" spans="1:41" x14ac:dyDescent="0.25">
      <c r="A257" s="171"/>
      <c r="B257" s="13"/>
      <c r="C257" s="14"/>
      <c r="D257" s="60"/>
      <c r="E257" s="56"/>
      <c r="F257" s="56"/>
      <c r="G257" s="14"/>
      <c r="H257" s="56"/>
      <c r="I257" s="14"/>
      <c r="J257" s="14"/>
      <c r="K257" s="14"/>
      <c r="L257" s="14"/>
      <c r="M257" s="14"/>
      <c r="N257" s="14"/>
      <c r="O257" s="14"/>
      <c r="P257" s="14"/>
      <c r="Q257" s="14"/>
      <c r="R257" s="14"/>
      <c r="S257" s="14"/>
      <c r="T257" s="14"/>
      <c r="U257" s="14"/>
      <c r="V257" s="14"/>
      <c r="W257" s="14"/>
      <c r="X257" s="14"/>
      <c r="Y257" s="14"/>
      <c r="Z257" s="14"/>
      <c r="AA257" s="15"/>
      <c r="AB257" s="3"/>
      <c r="AC257" s="3"/>
      <c r="AD257" s="3"/>
      <c r="AE257" s="3"/>
      <c r="AF257" s="3"/>
      <c r="AG257" s="3"/>
      <c r="AH257" s="3"/>
      <c r="AI257" s="3"/>
      <c r="AJ257" s="3"/>
      <c r="AK257" s="3"/>
      <c r="AL257" s="3"/>
      <c r="AM257" s="3"/>
      <c r="AN257" s="3"/>
      <c r="AO257" s="3"/>
    </row>
    <row r="258" spans="1:41" x14ac:dyDescent="0.25">
      <c r="A258" s="171"/>
      <c r="B258" s="13"/>
      <c r="C258" s="14"/>
      <c r="D258" s="60"/>
      <c r="E258" s="56"/>
      <c r="F258" s="56"/>
      <c r="G258" s="128"/>
      <c r="H258" s="56"/>
      <c r="I258" s="14"/>
      <c r="J258" s="14"/>
      <c r="K258" s="14"/>
      <c r="L258" s="14"/>
      <c r="M258" s="14"/>
      <c r="N258" s="14"/>
      <c r="O258" s="14"/>
      <c r="P258" s="14"/>
      <c r="Q258" s="14"/>
      <c r="R258" s="14"/>
      <c r="S258" s="14"/>
      <c r="T258" s="14"/>
      <c r="U258" s="14"/>
      <c r="V258" s="14"/>
      <c r="W258" s="14"/>
      <c r="X258" s="14"/>
      <c r="Y258" s="14"/>
      <c r="Z258" s="14"/>
      <c r="AA258" s="15"/>
      <c r="AB258" s="3"/>
      <c r="AC258" s="3"/>
      <c r="AD258" s="3"/>
      <c r="AE258" s="3"/>
      <c r="AF258" s="3"/>
      <c r="AG258" s="3"/>
      <c r="AH258" s="3"/>
      <c r="AI258" s="3"/>
      <c r="AJ258" s="3"/>
      <c r="AK258" s="3"/>
      <c r="AL258" s="3"/>
      <c r="AM258" s="3"/>
      <c r="AN258" s="3"/>
      <c r="AO258" s="3"/>
    </row>
    <row r="259" spans="1:41" x14ac:dyDescent="0.25">
      <c r="A259" s="171"/>
      <c r="B259" s="13"/>
      <c r="C259" s="14"/>
      <c r="D259" s="60"/>
      <c r="E259" s="56"/>
      <c r="F259" s="56"/>
      <c r="G259" s="14"/>
      <c r="H259" s="56"/>
      <c r="I259" s="14"/>
      <c r="J259" s="14"/>
      <c r="K259" s="14"/>
      <c r="L259" s="14"/>
      <c r="M259" s="14"/>
      <c r="N259" s="14"/>
      <c r="O259" s="14"/>
      <c r="P259" s="14"/>
      <c r="Q259" s="14"/>
      <c r="R259" s="14"/>
      <c r="S259" s="14"/>
      <c r="T259" s="14"/>
      <c r="U259" s="14"/>
      <c r="V259" s="14"/>
      <c r="W259" s="14"/>
      <c r="X259" s="14"/>
      <c r="Y259" s="14"/>
      <c r="Z259" s="14"/>
      <c r="AA259" s="15"/>
      <c r="AB259" s="3"/>
      <c r="AC259" s="3"/>
      <c r="AD259" s="3"/>
      <c r="AE259" s="3"/>
      <c r="AF259" s="3"/>
      <c r="AG259" s="3"/>
      <c r="AH259" s="3"/>
      <c r="AI259" s="3"/>
      <c r="AJ259" s="3"/>
      <c r="AK259" s="3"/>
      <c r="AL259" s="3"/>
      <c r="AM259" s="3"/>
      <c r="AN259" s="3"/>
      <c r="AO259" s="3"/>
    </row>
    <row r="260" spans="1:41" x14ac:dyDescent="0.25">
      <c r="A260" s="171"/>
      <c r="B260" s="13"/>
      <c r="C260" s="57"/>
      <c r="D260" s="57"/>
      <c r="E260" s="56"/>
      <c r="F260" s="57"/>
      <c r="G260" s="57"/>
      <c r="H260" s="57"/>
      <c r="I260" s="14"/>
      <c r="J260" s="14"/>
      <c r="K260" s="14"/>
      <c r="L260" s="14"/>
      <c r="M260" s="14"/>
      <c r="N260" s="14"/>
      <c r="O260" s="14"/>
      <c r="P260" s="14"/>
      <c r="Q260" s="14"/>
      <c r="R260" s="14"/>
      <c r="S260" s="14"/>
      <c r="T260" s="14"/>
      <c r="U260" s="14"/>
      <c r="V260" s="14"/>
      <c r="W260" s="14"/>
      <c r="X260" s="14"/>
      <c r="Y260" s="14"/>
      <c r="Z260" s="14"/>
      <c r="AA260" s="15"/>
      <c r="AB260" s="3"/>
      <c r="AC260" s="3"/>
      <c r="AD260" s="3"/>
      <c r="AE260" s="3"/>
      <c r="AF260" s="3"/>
      <c r="AG260" s="3"/>
      <c r="AH260" s="3"/>
      <c r="AI260" s="3"/>
      <c r="AJ260" s="3"/>
      <c r="AK260" s="3"/>
      <c r="AL260" s="3"/>
      <c r="AM260" s="3"/>
      <c r="AN260" s="3"/>
      <c r="AO260" s="3"/>
    </row>
    <row r="261" spans="1:41" x14ac:dyDescent="0.25">
      <c r="A261" s="171"/>
      <c r="B261" s="13"/>
      <c r="C261" s="57"/>
      <c r="D261" s="69"/>
      <c r="E261" s="56"/>
      <c r="F261" s="57"/>
      <c r="G261" s="57"/>
      <c r="H261" s="57"/>
      <c r="I261" s="14"/>
      <c r="J261" s="14"/>
      <c r="K261" s="14"/>
      <c r="L261" s="14"/>
      <c r="M261" s="14"/>
      <c r="N261" s="14"/>
      <c r="O261" s="14"/>
      <c r="P261" s="14"/>
      <c r="Q261" s="14"/>
      <c r="R261" s="14"/>
      <c r="S261" s="14"/>
      <c r="T261" s="14"/>
      <c r="U261" s="14"/>
      <c r="V261" s="14"/>
      <c r="W261" s="14"/>
      <c r="X261" s="14"/>
      <c r="Y261" s="14"/>
      <c r="Z261" s="14"/>
      <c r="AA261" s="15"/>
      <c r="AB261" s="3"/>
      <c r="AC261" s="3"/>
      <c r="AD261" s="3"/>
      <c r="AE261" s="3"/>
      <c r="AF261" s="3"/>
      <c r="AG261" s="3"/>
      <c r="AH261" s="3"/>
      <c r="AI261" s="3"/>
      <c r="AJ261" s="3"/>
      <c r="AK261" s="3"/>
      <c r="AL261" s="3"/>
      <c r="AM261" s="3"/>
      <c r="AN261" s="3"/>
      <c r="AO261" s="3"/>
    </row>
    <row r="262" spans="1:41" x14ac:dyDescent="0.25">
      <c r="A262" s="171"/>
      <c r="B262" s="13"/>
      <c r="C262" s="57"/>
      <c r="D262" s="69"/>
      <c r="E262" s="56"/>
      <c r="F262" s="57"/>
      <c r="G262" s="57"/>
      <c r="H262" s="57"/>
      <c r="I262" s="14"/>
      <c r="J262" s="14"/>
      <c r="K262" s="14"/>
      <c r="L262" s="14"/>
      <c r="M262" s="14"/>
      <c r="N262" s="14"/>
      <c r="O262" s="14"/>
      <c r="P262" s="14"/>
      <c r="Q262" s="14"/>
      <c r="R262" s="14"/>
      <c r="S262" s="14"/>
      <c r="T262" s="14"/>
      <c r="U262" s="14"/>
      <c r="V262" s="14"/>
      <c r="W262" s="14"/>
      <c r="X262" s="14"/>
      <c r="Y262" s="14"/>
      <c r="Z262" s="14"/>
      <c r="AA262" s="15"/>
      <c r="AB262" s="3"/>
      <c r="AC262" s="3"/>
      <c r="AD262" s="3"/>
      <c r="AE262" s="3"/>
      <c r="AF262" s="3"/>
      <c r="AG262" s="3"/>
      <c r="AH262" s="3"/>
      <c r="AI262" s="3"/>
      <c r="AJ262" s="3"/>
      <c r="AK262" s="3"/>
      <c r="AL262" s="3"/>
      <c r="AM262" s="3"/>
      <c r="AN262" s="3"/>
      <c r="AO262" s="3"/>
    </row>
    <row r="263" spans="1:41" x14ac:dyDescent="0.25">
      <c r="A263" s="171"/>
      <c r="B263" s="13"/>
      <c r="C263" s="57"/>
      <c r="D263" s="69"/>
      <c r="E263" s="56"/>
      <c r="F263" s="57"/>
      <c r="G263" s="57"/>
      <c r="H263" s="57"/>
      <c r="I263" s="14"/>
      <c r="J263" s="14"/>
      <c r="K263" s="14"/>
      <c r="L263" s="14"/>
      <c r="M263" s="14"/>
      <c r="N263" s="14"/>
      <c r="O263" s="14"/>
      <c r="P263" s="14"/>
      <c r="Q263" s="14"/>
      <c r="R263" s="14"/>
      <c r="S263" s="14"/>
      <c r="T263" s="14"/>
      <c r="U263" s="14"/>
      <c r="V263" s="14"/>
      <c r="W263" s="14"/>
      <c r="X263" s="14"/>
      <c r="Y263" s="14"/>
      <c r="Z263" s="14"/>
      <c r="AA263" s="15"/>
      <c r="AB263" s="3"/>
      <c r="AC263" s="3"/>
      <c r="AD263" s="3"/>
      <c r="AE263" s="3"/>
      <c r="AF263" s="3"/>
      <c r="AG263" s="3"/>
      <c r="AH263" s="3"/>
      <c r="AI263" s="3"/>
      <c r="AJ263" s="3"/>
      <c r="AK263" s="3"/>
      <c r="AL263" s="3"/>
      <c r="AM263" s="3"/>
      <c r="AN263" s="3"/>
      <c r="AO263" s="3"/>
    </row>
    <row r="264" spans="1:41" x14ac:dyDescent="0.25">
      <c r="A264" s="171"/>
      <c r="B264" s="13"/>
      <c r="C264" s="57"/>
      <c r="D264" s="69"/>
      <c r="E264" s="56"/>
      <c r="F264" s="57"/>
      <c r="G264" s="57"/>
      <c r="H264" s="57"/>
      <c r="I264" s="14"/>
      <c r="J264" s="14"/>
      <c r="K264" s="14"/>
      <c r="L264" s="14"/>
      <c r="M264" s="14"/>
      <c r="N264" s="14"/>
      <c r="O264" s="14"/>
      <c r="P264" s="14"/>
      <c r="Q264" s="14"/>
      <c r="R264" s="14"/>
      <c r="S264" s="14"/>
      <c r="T264" s="14"/>
      <c r="U264" s="14"/>
      <c r="V264" s="14"/>
      <c r="W264" s="14"/>
      <c r="X264" s="14"/>
      <c r="Y264" s="14"/>
      <c r="Z264" s="14"/>
      <c r="AA264" s="15"/>
      <c r="AB264" s="3"/>
      <c r="AC264" s="3"/>
      <c r="AD264" s="3"/>
      <c r="AE264" s="3"/>
      <c r="AF264" s="3"/>
      <c r="AG264" s="3"/>
      <c r="AH264" s="3"/>
      <c r="AI264" s="3"/>
      <c r="AJ264" s="3"/>
      <c r="AK264" s="3"/>
      <c r="AL264" s="3"/>
      <c r="AM264" s="3"/>
      <c r="AN264" s="3"/>
      <c r="AO264" s="3"/>
    </row>
    <row r="265" spans="1:41" x14ac:dyDescent="0.25">
      <c r="A265" s="171"/>
      <c r="B265" s="13"/>
      <c r="C265" s="57"/>
      <c r="D265" s="69"/>
      <c r="E265" s="56"/>
      <c r="F265" s="57"/>
      <c r="G265" s="130"/>
      <c r="H265" s="57"/>
      <c r="I265" s="14"/>
      <c r="J265" s="14"/>
      <c r="K265" s="14"/>
      <c r="L265" s="14"/>
      <c r="M265" s="14"/>
      <c r="N265" s="14"/>
      <c r="O265" s="14"/>
      <c r="P265" s="14"/>
      <c r="Q265" s="14"/>
      <c r="R265" s="14"/>
      <c r="S265" s="14"/>
      <c r="T265" s="14"/>
      <c r="U265" s="14"/>
      <c r="V265" s="14"/>
      <c r="W265" s="14"/>
      <c r="X265" s="14"/>
      <c r="Y265" s="14"/>
      <c r="Z265" s="14"/>
      <c r="AA265" s="15"/>
      <c r="AB265" s="3"/>
      <c r="AC265" s="3"/>
      <c r="AD265" s="3"/>
      <c r="AE265" s="3"/>
      <c r="AF265" s="3"/>
      <c r="AG265" s="3"/>
      <c r="AH265" s="3"/>
      <c r="AI265" s="3"/>
      <c r="AJ265" s="3"/>
      <c r="AK265" s="3"/>
      <c r="AL265" s="3"/>
      <c r="AM265" s="3"/>
      <c r="AN265" s="3"/>
      <c r="AO265" s="3"/>
    </row>
    <row r="266" spans="1:41" x14ac:dyDescent="0.25">
      <c r="A266" s="171"/>
      <c r="B266" s="13"/>
      <c r="C266" s="14"/>
      <c r="D266" s="60"/>
      <c r="E266" s="56"/>
      <c r="F266" s="56"/>
      <c r="G266" s="14"/>
      <c r="H266" s="56"/>
      <c r="I266" s="14"/>
      <c r="J266" s="14"/>
      <c r="K266" s="14"/>
      <c r="L266" s="14"/>
      <c r="M266" s="14"/>
      <c r="N266" s="14"/>
      <c r="O266" s="14"/>
      <c r="P266" s="14"/>
      <c r="Q266" s="14"/>
      <c r="R266" s="14"/>
      <c r="S266" s="14"/>
      <c r="T266" s="14"/>
      <c r="U266" s="14"/>
      <c r="V266" s="14"/>
      <c r="W266" s="14"/>
      <c r="X266" s="14"/>
      <c r="Y266" s="14"/>
      <c r="Z266" s="14"/>
      <c r="AA266" s="15"/>
      <c r="AB266" s="3"/>
      <c r="AC266" s="3"/>
      <c r="AD266" s="3"/>
      <c r="AE266" s="3"/>
      <c r="AF266" s="3"/>
      <c r="AG266" s="3"/>
      <c r="AH266" s="3"/>
      <c r="AI266" s="3"/>
      <c r="AJ266" s="3"/>
      <c r="AK266" s="3"/>
      <c r="AL266" s="3"/>
      <c r="AM266" s="3"/>
      <c r="AN266" s="3"/>
      <c r="AO266" s="3"/>
    </row>
    <row r="267" spans="1:41" x14ac:dyDescent="0.25">
      <c r="A267" s="171"/>
      <c r="B267" s="13"/>
      <c r="C267" s="14"/>
      <c r="D267" s="14"/>
      <c r="E267" s="56"/>
      <c r="F267" s="56"/>
      <c r="G267" s="14"/>
      <c r="H267" s="56"/>
      <c r="I267" s="14"/>
      <c r="J267" s="14"/>
      <c r="K267" s="14"/>
      <c r="L267" s="14"/>
      <c r="M267" s="14"/>
      <c r="N267" s="14"/>
      <c r="O267" s="14"/>
      <c r="P267" s="14"/>
      <c r="Q267" s="14"/>
      <c r="R267" s="14"/>
      <c r="S267" s="14"/>
      <c r="T267" s="14"/>
      <c r="U267" s="14"/>
      <c r="V267" s="14"/>
      <c r="W267" s="14"/>
      <c r="X267" s="14"/>
      <c r="Y267" s="14"/>
      <c r="Z267" s="14"/>
      <c r="AA267" s="15"/>
      <c r="AB267" s="3"/>
      <c r="AC267" s="3"/>
      <c r="AD267" s="3"/>
      <c r="AE267" s="3"/>
      <c r="AF267" s="3"/>
      <c r="AG267" s="3"/>
      <c r="AH267" s="3"/>
      <c r="AI267" s="3"/>
      <c r="AJ267" s="3"/>
      <c r="AK267" s="3"/>
      <c r="AL267" s="3"/>
      <c r="AM267" s="3"/>
      <c r="AN267" s="3"/>
      <c r="AO267" s="3"/>
    </row>
    <row r="268" spans="1:41" x14ac:dyDescent="0.25">
      <c r="A268" s="171"/>
      <c r="B268" s="13"/>
      <c r="C268" s="14"/>
      <c r="D268" s="60"/>
      <c r="E268" s="56"/>
      <c r="F268" s="56"/>
      <c r="G268" s="14"/>
      <c r="H268" s="56"/>
      <c r="I268" s="14"/>
      <c r="J268" s="14"/>
      <c r="K268" s="14"/>
      <c r="L268" s="14"/>
      <c r="M268" s="14"/>
      <c r="N268" s="14"/>
      <c r="O268" s="14"/>
      <c r="P268" s="14"/>
      <c r="Q268" s="14"/>
      <c r="R268" s="14"/>
      <c r="S268" s="14"/>
      <c r="T268" s="14"/>
      <c r="U268" s="14"/>
      <c r="V268" s="14"/>
      <c r="W268" s="14"/>
      <c r="X268" s="14"/>
      <c r="Y268" s="14"/>
      <c r="Z268" s="14"/>
      <c r="AA268" s="15"/>
      <c r="AB268" s="3"/>
      <c r="AC268" s="3"/>
      <c r="AD268" s="3"/>
      <c r="AE268" s="3"/>
      <c r="AF268" s="3"/>
      <c r="AG268" s="3"/>
      <c r="AH268" s="3"/>
      <c r="AI268" s="3"/>
      <c r="AJ268" s="3"/>
      <c r="AK268" s="3"/>
      <c r="AL268" s="3"/>
      <c r="AM268" s="3"/>
      <c r="AN268" s="3"/>
      <c r="AO268" s="3"/>
    </row>
    <row r="269" spans="1:41" x14ac:dyDescent="0.25">
      <c r="A269" s="171"/>
      <c r="B269" s="13"/>
      <c r="C269" s="14"/>
      <c r="D269" s="60"/>
      <c r="E269" s="56"/>
      <c r="F269" s="56"/>
      <c r="G269" s="14"/>
      <c r="H269" s="56"/>
      <c r="I269" s="14"/>
      <c r="J269" s="14"/>
      <c r="K269" s="14"/>
      <c r="L269" s="14"/>
      <c r="M269" s="14"/>
      <c r="N269" s="14"/>
      <c r="O269" s="14"/>
      <c r="P269" s="14"/>
      <c r="Q269" s="14"/>
      <c r="R269" s="14"/>
      <c r="S269" s="14"/>
      <c r="T269" s="14"/>
      <c r="U269" s="14"/>
      <c r="V269" s="14"/>
      <c r="W269" s="14"/>
      <c r="X269" s="14"/>
      <c r="Y269" s="14"/>
      <c r="Z269" s="14"/>
      <c r="AA269" s="15"/>
      <c r="AB269" s="3"/>
      <c r="AC269" s="3"/>
      <c r="AD269" s="3"/>
      <c r="AE269" s="3"/>
      <c r="AF269" s="3"/>
      <c r="AG269" s="3"/>
      <c r="AH269" s="3"/>
      <c r="AI269" s="3"/>
      <c r="AJ269" s="3"/>
      <c r="AK269" s="3"/>
      <c r="AL269" s="3"/>
      <c r="AM269" s="3"/>
      <c r="AN269" s="3"/>
      <c r="AO269" s="3"/>
    </row>
    <row r="270" spans="1:41" x14ac:dyDescent="0.25">
      <c r="A270" s="171"/>
      <c r="B270" s="13"/>
      <c r="C270" s="14"/>
      <c r="D270" s="60"/>
      <c r="E270" s="56"/>
      <c r="F270" s="56"/>
      <c r="G270" s="14"/>
      <c r="H270" s="56"/>
      <c r="I270" s="14"/>
      <c r="J270" s="14"/>
      <c r="K270" s="14"/>
      <c r="L270" s="14"/>
      <c r="M270" s="14"/>
      <c r="N270" s="14"/>
      <c r="O270" s="14"/>
      <c r="P270" s="14"/>
      <c r="Q270" s="14"/>
      <c r="R270" s="14"/>
      <c r="S270" s="14"/>
      <c r="T270" s="14"/>
      <c r="U270" s="14"/>
      <c r="V270" s="14"/>
      <c r="W270" s="14"/>
      <c r="X270" s="14"/>
      <c r="Y270" s="14"/>
      <c r="Z270" s="14"/>
      <c r="AA270" s="15"/>
      <c r="AB270" s="3"/>
      <c r="AC270" s="3"/>
      <c r="AD270" s="3"/>
      <c r="AE270" s="3"/>
      <c r="AF270" s="3"/>
      <c r="AG270" s="3"/>
      <c r="AH270" s="3"/>
      <c r="AI270" s="3"/>
      <c r="AJ270" s="3"/>
      <c r="AK270" s="3"/>
      <c r="AL270" s="3"/>
      <c r="AM270" s="3"/>
      <c r="AN270" s="3"/>
      <c r="AO270" s="3"/>
    </row>
    <row r="271" spans="1:41" x14ac:dyDescent="0.25">
      <c r="A271" s="171"/>
      <c r="B271" s="13"/>
      <c r="C271" s="14"/>
      <c r="D271" s="60"/>
      <c r="E271" s="56"/>
      <c r="F271" s="56"/>
      <c r="G271" s="14"/>
      <c r="H271" s="56"/>
      <c r="I271" s="14"/>
      <c r="J271" s="14"/>
      <c r="K271" s="14"/>
      <c r="L271" s="14"/>
      <c r="M271" s="14"/>
      <c r="N271" s="14"/>
      <c r="O271" s="14"/>
      <c r="P271" s="14"/>
      <c r="Q271" s="14"/>
      <c r="R271" s="14"/>
      <c r="S271" s="14"/>
      <c r="T271" s="14"/>
      <c r="U271" s="14"/>
      <c r="V271" s="14"/>
      <c r="W271" s="14"/>
      <c r="X271" s="14"/>
      <c r="Y271" s="14"/>
      <c r="Z271" s="14"/>
      <c r="AA271" s="15"/>
      <c r="AB271" s="3"/>
      <c r="AC271" s="3"/>
      <c r="AD271" s="3"/>
      <c r="AE271" s="3"/>
      <c r="AF271" s="3"/>
      <c r="AG271" s="3"/>
      <c r="AH271" s="3"/>
      <c r="AI271" s="3"/>
      <c r="AJ271" s="3"/>
      <c r="AK271" s="3"/>
      <c r="AL271" s="3"/>
      <c r="AM271" s="3"/>
      <c r="AN271" s="3"/>
      <c r="AO271" s="3"/>
    </row>
    <row r="272" spans="1:41" x14ac:dyDescent="0.25">
      <c r="A272" s="171"/>
      <c r="B272" s="13"/>
      <c r="C272" s="14"/>
      <c r="D272" s="60"/>
      <c r="E272" s="56"/>
      <c r="F272" s="56"/>
      <c r="G272" s="128"/>
      <c r="H272" s="56"/>
      <c r="I272" s="14"/>
      <c r="J272" s="14"/>
      <c r="K272" s="14"/>
      <c r="L272" s="14"/>
      <c r="M272" s="14"/>
      <c r="N272" s="14"/>
      <c r="O272" s="14"/>
      <c r="P272" s="14"/>
      <c r="Q272" s="14"/>
      <c r="R272" s="14"/>
      <c r="S272" s="14"/>
      <c r="T272" s="14"/>
      <c r="U272" s="14"/>
      <c r="V272" s="14"/>
      <c r="W272" s="14"/>
      <c r="X272" s="14"/>
      <c r="Y272" s="14"/>
      <c r="Z272" s="14"/>
      <c r="AA272" s="15"/>
      <c r="AB272" s="3"/>
      <c r="AC272" s="3"/>
      <c r="AD272" s="3"/>
      <c r="AE272" s="3"/>
      <c r="AF272" s="3"/>
      <c r="AG272" s="3"/>
      <c r="AH272" s="3"/>
      <c r="AI272" s="3"/>
      <c r="AJ272" s="3"/>
      <c r="AK272" s="3"/>
      <c r="AL272" s="3"/>
      <c r="AM272" s="3"/>
      <c r="AN272" s="3"/>
      <c r="AO272" s="3"/>
    </row>
    <row r="273" spans="1:41" x14ac:dyDescent="0.25">
      <c r="A273" s="171"/>
      <c r="B273" s="13"/>
      <c r="C273" s="14"/>
      <c r="D273" s="60"/>
      <c r="E273" s="56"/>
      <c r="F273" s="56"/>
      <c r="G273" s="14"/>
      <c r="H273" s="56"/>
      <c r="I273" s="14"/>
      <c r="J273" s="14"/>
      <c r="K273" s="14"/>
      <c r="L273" s="14"/>
      <c r="M273" s="14"/>
      <c r="N273" s="14"/>
      <c r="O273" s="14"/>
      <c r="P273" s="14"/>
      <c r="Q273" s="14"/>
      <c r="R273" s="14"/>
      <c r="S273" s="14"/>
      <c r="T273" s="14"/>
      <c r="U273" s="14"/>
      <c r="V273" s="14"/>
      <c r="W273" s="14"/>
      <c r="X273" s="14"/>
      <c r="Y273" s="14"/>
      <c r="Z273" s="14"/>
      <c r="AA273" s="15"/>
      <c r="AB273" s="3"/>
      <c r="AC273" s="3"/>
      <c r="AD273" s="3"/>
      <c r="AE273" s="3"/>
      <c r="AF273" s="3"/>
      <c r="AG273" s="3"/>
      <c r="AH273" s="3"/>
      <c r="AI273" s="3"/>
      <c r="AJ273" s="3"/>
      <c r="AK273" s="3"/>
      <c r="AL273" s="3"/>
      <c r="AM273" s="3"/>
      <c r="AN273" s="3"/>
      <c r="AO273" s="3"/>
    </row>
    <row r="274" spans="1:41" x14ac:dyDescent="0.25">
      <c r="A274" s="171"/>
      <c r="B274" s="13"/>
      <c r="C274" s="14"/>
      <c r="D274" s="14"/>
      <c r="E274" s="56"/>
      <c r="F274" s="56"/>
      <c r="G274" s="14"/>
      <c r="H274" s="56"/>
      <c r="I274" s="14"/>
      <c r="J274" s="14"/>
      <c r="K274" s="14"/>
      <c r="L274" s="14"/>
      <c r="M274" s="14"/>
      <c r="N274" s="14"/>
      <c r="O274" s="14"/>
      <c r="P274" s="14"/>
      <c r="Q274" s="14"/>
      <c r="R274" s="14"/>
      <c r="S274" s="14"/>
      <c r="T274" s="14"/>
      <c r="U274" s="14"/>
      <c r="V274" s="14"/>
      <c r="W274" s="14"/>
      <c r="X274" s="14"/>
      <c r="Y274" s="14"/>
      <c r="Z274" s="14"/>
      <c r="AA274" s="15"/>
      <c r="AB274" s="3"/>
      <c r="AC274" s="3"/>
      <c r="AD274" s="3"/>
      <c r="AE274" s="3"/>
      <c r="AF274" s="3"/>
      <c r="AG274" s="3"/>
      <c r="AH274" s="3"/>
      <c r="AI274" s="3"/>
      <c r="AJ274" s="3"/>
      <c r="AK274" s="3"/>
      <c r="AL274" s="3"/>
      <c r="AM274" s="3"/>
      <c r="AN274" s="3"/>
      <c r="AO274" s="3"/>
    </row>
    <row r="275" spans="1:41" x14ac:dyDescent="0.25">
      <c r="A275" s="171"/>
      <c r="B275" s="13"/>
      <c r="C275" s="14"/>
      <c r="D275" s="60"/>
      <c r="E275" s="56"/>
      <c r="F275" s="56"/>
      <c r="G275" s="14"/>
      <c r="H275" s="56"/>
      <c r="I275" s="14"/>
      <c r="J275" s="14"/>
      <c r="K275" s="14"/>
      <c r="L275" s="14"/>
      <c r="M275" s="14"/>
      <c r="N275" s="14"/>
      <c r="O275" s="14"/>
      <c r="P275" s="14"/>
      <c r="Q275" s="14"/>
      <c r="R275" s="14"/>
      <c r="S275" s="14"/>
      <c r="T275" s="14"/>
      <c r="U275" s="14"/>
      <c r="V275" s="14"/>
      <c r="W275" s="14"/>
      <c r="X275" s="14"/>
      <c r="Y275" s="14"/>
      <c r="Z275" s="14"/>
      <c r="AA275" s="15"/>
      <c r="AB275" s="3"/>
      <c r="AC275" s="3"/>
      <c r="AD275" s="3"/>
      <c r="AE275" s="3"/>
      <c r="AF275" s="3"/>
      <c r="AG275" s="3"/>
      <c r="AH275" s="3"/>
      <c r="AI275" s="3"/>
      <c r="AJ275" s="3"/>
      <c r="AK275" s="3"/>
      <c r="AL275" s="3"/>
      <c r="AM275" s="3"/>
      <c r="AN275" s="3"/>
      <c r="AO275" s="3"/>
    </row>
    <row r="276" spans="1:41" x14ac:dyDescent="0.25">
      <c r="A276" s="171"/>
      <c r="B276" s="13"/>
      <c r="C276" s="14"/>
      <c r="D276" s="60"/>
      <c r="E276" s="56"/>
      <c r="F276" s="56"/>
      <c r="G276" s="14"/>
      <c r="H276" s="56"/>
      <c r="I276" s="14"/>
      <c r="J276" s="14"/>
      <c r="K276" s="14"/>
      <c r="L276" s="14"/>
      <c r="M276" s="14"/>
      <c r="N276" s="14"/>
      <c r="O276" s="14"/>
      <c r="P276" s="14"/>
      <c r="Q276" s="14"/>
      <c r="R276" s="14"/>
      <c r="S276" s="14"/>
      <c r="T276" s="14"/>
      <c r="U276" s="14"/>
      <c r="V276" s="14"/>
      <c r="W276" s="14"/>
      <c r="X276" s="14"/>
      <c r="Y276" s="14"/>
      <c r="Z276" s="14"/>
      <c r="AA276" s="15"/>
      <c r="AB276" s="3"/>
      <c r="AC276" s="3"/>
      <c r="AD276" s="3"/>
      <c r="AE276" s="3"/>
      <c r="AF276" s="3"/>
      <c r="AG276" s="3"/>
      <c r="AH276" s="3"/>
      <c r="AI276" s="3"/>
      <c r="AJ276" s="3"/>
      <c r="AK276" s="3"/>
      <c r="AL276" s="3"/>
      <c r="AM276" s="3"/>
      <c r="AN276" s="3"/>
      <c r="AO276" s="3"/>
    </row>
    <row r="277" spans="1:41" x14ac:dyDescent="0.25">
      <c r="A277" s="171"/>
      <c r="B277" s="13"/>
      <c r="C277" s="14"/>
      <c r="D277" s="60"/>
      <c r="E277" s="56"/>
      <c r="F277" s="56"/>
      <c r="G277" s="14"/>
      <c r="H277" s="56"/>
      <c r="I277" s="14"/>
      <c r="J277" s="14"/>
      <c r="K277" s="14"/>
      <c r="L277" s="14"/>
      <c r="M277" s="14"/>
      <c r="N277" s="14"/>
      <c r="O277" s="14"/>
      <c r="P277" s="14"/>
      <c r="Q277" s="14"/>
      <c r="R277" s="14"/>
      <c r="S277" s="14"/>
      <c r="T277" s="14"/>
      <c r="U277" s="14"/>
      <c r="V277" s="14"/>
      <c r="W277" s="14"/>
      <c r="X277" s="14"/>
      <c r="Y277" s="14"/>
      <c r="Z277" s="14"/>
      <c r="AA277" s="15"/>
      <c r="AB277" s="3"/>
      <c r="AC277" s="3"/>
      <c r="AD277" s="3"/>
      <c r="AE277" s="3"/>
      <c r="AF277" s="3"/>
      <c r="AG277" s="3"/>
      <c r="AH277" s="3"/>
      <c r="AI277" s="3"/>
      <c r="AJ277" s="3"/>
      <c r="AK277" s="3"/>
      <c r="AL277" s="3"/>
      <c r="AM277" s="3"/>
      <c r="AN277" s="3"/>
      <c r="AO277" s="3"/>
    </row>
    <row r="278" spans="1:41" x14ac:dyDescent="0.25">
      <c r="A278" s="171"/>
      <c r="B278" s="13"/>
      <c r="C278" s="14"/>
      <c r="D278" s="60"/>
      <c r="E278" s="56"/>
      <c r="F278" s="56"/>
      <c r="G278" s="14"/>
      <c r="H278" s="56"/>
      <c r="I278" s="14"/>
      <c r="J278" s="14"/>
      <c r="K278" s="14"/>
      <c r="L278" s="14"/>
      <c r="M278" s="14"/>
      <c r="N278" s="14"/>
      <c r="O278" s="14"/>
      <c r="P278" s="14"/>
      <c r="Q278" s="14"/>
      <c r="R278" s="14"/>
      <c r="S278" s="14"/>
      <c r="T278" s="14"/>
      <c r="U278" s="14"/>
      <c r="V278" s="14"/>
      <c r="W278" s="14"/>
      <c r="X278" s="14"/>
      <c r="Y278" s="14"/>
      <c r="Z278" s="14"/>
      <c r="AA278" s="15"/>
      <c r="AB278" s="3"/>
      <c r="AC278" s="3"/>
      <c r="AD278" s="3"/>
      <c r="AE278" s="3"/>
      <c r="AF278" s="3"/>
      <c r="AG278" s="3"/>
      <c r="AH278" s="3"/>
      <c r="AI278" s="3"/>
      <c r="AJ278" s="3"/>
      <c r="AK278" s="3"/>
      <c r="AL278" s="3"/>
      <c r="AM278" s="3"/>
      <c r="AN278" s="3"/>
      <c r="AO278" s="3"/>
    </row>
    <row r="279" spans="1:41" x14ac:dyDescent="0.25">
      <c r="A279" s="171"/>
      <c r="B279" s="13"/>
      <c r="C279" s="14"/>
      <c r="D279" s="60"/>
      <c r="E279" s="56"/>
      <c r="F279" s="56"/>
      <c r="G279" s="128"/>
      <c r="H279" s="56"/>
      <c r="I279" s="14"/>
      <c r="J279" s="14"/>
      <c r="K279" s="14"/>
      <c r="L279" s="14"/>
      <c r="M279" s="14"/>
      <c r="N279" s="14"/>
      <c r="O279" s="14"/>
      <c r="P279" s="14"/>
      <c r="Q279" s="14"/>
      <c r="R279" s="14"/>
      <c r="S279" s="14"/>
      <c r="T279" s="14"/>
      <c r="U279" s="14"/>
      <c r="V279" s="14"/>
      <c r="W279" s="14"/>
      <c r="X279" s="14"/>
      <c r="Y279" s="14"/>
      <c r="Z279" s="14"/>
      <c r="AA279" s="15"/>
      <c r="AB279" s="3"/>
      <c r="AC279" s="3"/>
      <c r="AD279" s="3"/>
      <c r="AE279" s="3"/>
      <c r="AF279" s="3"/>
      <c r="AG279" s="3"/>
      <c r="AH279" s="3"/>
      <c r="AI279" s="3"/>
      <c r="AJ279" s="3"/>
      <c r="AK279" s="3"/>
      <c r="AL279" s="3"/>
      <c r="AM279" s="3"/>
      <c r="AN279" s="3"/>
      <c r="AO279" s="3"/>
    </row>
    <row r="280" spans="1:41" x14ac:dyDescent="0.25">
      <c r="A280" s="171"/>
      <c r="B280" s="13"/>
      <c r="C280" s="14"/>
      <c r="D280" s="60"/>
      <c r="E280" s="56"/>
      <c r="F280" s="56"/>
      <c r="G280" s="14"/>
      <c r="H280" s="56"/>
      <c r="I280" s="14"/>
      <c r="J280" s="14"/>
      <c r="K280" s="14"/>
      <c r="L280" s="14"/>
      <c r="M280" s="14"/>
      <c r="N280" s="14"/>
      <c r="O280" s="14"/>
      <c r="P280" s="14"/>
      <c r="Q280" s="14"/>
      <c r="R280" s="14"/>
      <c r="S280" s="14"/>
      <c r="T280" s="14"/>
      <c r="U280" s="14"/>
      <c r="V280" s="14"/>
      <c r="W280" s="14"/>
      <c r="X280" s="14"/>
      <c r="Y280" s="14"/>
      <c r="Z280" s="14"/>
      <c r="AA280" s="15"/>
      <c r="AB280" s="3"/>
      <c r="AC280" s="3"/>
      <c r="AD280" s="3"/>
      <c r="AE280" s="3"/>
      <c r="AF280" s="3"/>
      <c r="AG280" s="3"/>
      <c r="AH280" s="3"/>
      <c r="AI280" s="3"/>
      <c r="AJ280" s="3"/>
      <c r="AK280" s="3"/>
      <c r="AL280" s="3"/>
      <c r="AM280" s="3"/>
      <c r="AN280" s="3"/>
      <c r="AO280" s="3"/>
    </row>
    <row r="281" spans="1:41" x14ac:dyDescent="0.25">
      <c r="A281" s="171"/>
      <c r="B281" s="13"/>
      <c r="C281" s="14"/>
      <c r="D281" s="14"/>
      <c r="E281" s="56"/>
      <c r="F281" s="56"/>
      <c r="G281" s="14"/>
      <c r="H281" s="56"/>
      <c r="I281" s="14"/>
      <c r="J281" s="14"/>
      <c r="K281" s="14"/>
      <c r="L281" s="14"/>
      <c r="M281" s="14"/>
      <c r="N281" s="14"/>
      <c r="O281" s="14"/>
      <c r="P281" s="14"/>
      <c r="Q281" s="14"/>
      <c r="R281" s="14"/>
      <c r="S281" s="14"/>
      <c r="T281" s="14"/>
      <c r="U281" s="14"/>
      <c r="V281" s="14"/>
      <c r="W281" s="14"/>
      <c r="X281" s="14"/>
      <c r="Y281" s="14"/>
      <c r="Z281" s="14"/>
      <c r="AA281" s="15"/>
      <c r="AB281" s="3"/>
      <c r="AC281" s="3"/>
      <c r="AD281" s="3"/>
      <c r="AE281" s="3"/>
      <c r="AF281" s="3"/>
      <c r="AG281" s="3"/>
      <c r="AH281" s="3"/>
      <c r="AI281" s="3"/>
      <c r="AJ281" s="3"/>
      <c r="AK281" s="3"/>
      <c r="AL281" s="3"/>
      <c r="AM281" s="3"/>
      <c r="AN281" s="3"/>
      <c r="AO281" s="3"/>
    </row>
    <row r="282" spans="1:41" x14ac:dyDescent="0.25">
      <c r="A282" s="171"/>
      <c r="B282" s="13"/>
      <c r="C282" s="14"/>
      <c r="D282" s="60"/>
      <c r="E282" s="56"/>
      <c r="F282" s="56"/>
      <c r="G282" s="14"/>
      <c r="H282" s="56"/>
      <c r="I282" s="14"/>
      <c r="J282" s="14"/>
      <c r="K282" s="14"/>
      <c r="L282" s="14"/>
      <c r="M282" s="14"/>
      <c r="N282" s="14"/>
      <c r="O282" s="14"/>
      <c r="P282" s="14"/>
      <c r="Q282" s="14"/>
      <c r="R282" s="14"/>
      <c r="S282" s="14"/>
      <c r="T282" s="14"/>
      <c r="U282" s="14"/>
      <c r="V282" s="14"/>
      <c r="W282" s="14"/>
      <c r="X282" s="14"/>
      <c r="Y282" s="14"/>
      <c r="Z282" s="14"/>
      <c r="AA282" s="15"/>
      <c r="AB282" s="3"/>
      <c r="AC282" s="3"/>
      <c r="AD282" s="3"/>
      <c r="AE282" s="3"/>
      <c r="AF282" s="3"/>
      <c r="AG282" s="3"/>
      <c r="AH282" s="3"/>
      <c r="AI282" s="3"/>
      <c r="AJ282" s="3"/>
      <c r="AK282" s="3"/>
      <c r="AL282" s="3"/>
      <c r="AM282" s="3"/>
      <c r="AN282" s="3"/>
      <c r="AO282" s="3"/>
    </row>
    <row r="283" spans="1:41" x14ac:dyDescent="0.25">
      <c r="A283" s="171"/>
      <c r="B283" s="13"/>
      <c r="C283" s="14"/>
      <c r="D283" s="60"/>
      <c r="E283" s="56"/>
      <c r="F283" s="56"/>
      <c r="G283" s="14"/>
      <c r="H283" s="56"/>
      <c r="I283" s="14"/>
      <c r="J283" s="14"/>
      <c r="K283" s="14"/>
      <c r="L283" s="14"/>
      <c r="M283" s="14"/>
      <c r="N283" s="14"/>
      <c r="O283" s="14"/>
      <c r="P283" s="14"/>
      <c r="Q283" s="14"/>
      <c r="R283" s="14"/>
      <c r="S283" s="14"/>
      <c r="T283" s="14"/>
      <c r="U283" s="14"/>
      <c r="V283" s="14"/>
      <c r="W283" s="14"/>
      <c r="X283" s="14"/>
      <c r="Y283" s="14"/>
      <c r="Z283" s="14"/>
      <c r="AA283" s="15"/>
      <c r="AB283" s="3"/>
      <c r="AC283" s="3"/>
      <c r="AD283" s="3"/>
      <c r="AE283" s="3"/>
      <c r="AF283" s="3"/>
      <c r="AG283" s="3"/>
      <c r="AH283" s="3"/>
      <c r="AI283" s="3"/>
      <c r="AJ283" s="3"/>
      <c r="AK283" s="3"/>
      <c r="AL283" s="3"/>
      <c r="AM283" s="3"/>
      <c r="AN283" s="3"/>
      <c r="AO283" s="3"/>
    </row>
    <row r="284" spans="1:41" x14ac:dyDescent="0.25">
      <c r="A284" s="171"/>
      <c r="B284" s="13"/>
      <c r="C284" s="14"/>
      <c r="D284" s="60"/>
      <c r="E284" s="56"/>
      <c r="F284" s="56"/>
      <c r="G284" s="14"/>
      <c r="H284" s="56"/>
      <c r="I284" s="14"/>
      <c r="J284" s="14"/>
      <c r="K284" s="14"/>
      <c r="L284" s="14"/>
      <c r="M284" s="14"/>
      <c r="N284" s="14"/>
      <c r="O284" s="14"/>
      <c r="P284" s="14"/>
      <c r="Q284" s="14"/>
      <c r="R284" s="14"/>
      <c r="S284" s="14"/>
      <c r="T284" s="14"/>
      <c r="U284" s="14"/>
      <c r="V284" s="14"/>
      <c r="W284" s="14"/>
      <c r="X284" s="14"/>
      <c r="Y284" s="14"/>
      <c r="Z284" s="14"/>
      <c r="AA284" s="15"/>
      <c r="AB284" s="3"/>
      <c r="AC284" s="3"/>
      <c r="AD284" s="3"/>
      <c r="AE284" s="3"/>
      <c r="AF284" s="3"/>
      <c r="AG284" s="3"/>
      <c r="AH284" s="3"/>
      <c r="AI284" s="3"/>
      <c r="AJ284" s="3"/>
      <c r="AK284" s="3"/>
      <c r="AL284" s="3"/>
      <c r="AM284" s="3"/>
      <c r="AN284" s="3"/>
      <c r="AO284" s="3"/>
    </row>
    <row r="285" spans="1:41" x14ac:dyDescent="0.25">
      <c r="A285" s="171"/>
      <c r="B285" s="13"/>
      <c r="C285" s="14"/>
      <c r="D285" s="60"/>
      <c r="E285" s="56"/>
      <c r="F285" s="56"/>
      <c r="G285" s="14"/>
      <c r="H285" s="56"/>
      <c r="I285" s="14"/>
      <c r="J285" s="14"/>
      <c r="K285" s="14"/>
      <c r="L285" s="14"/>
      <c r="M285" s="14"/>
      <c r="N285" s="14"/>
      <c r="O285" s="14"/>
      <c r="P285" s="14"/>
      <c r="Q285" s="14"/>
      <c r="R285" s="14"/>
      <c r="S285" s="14"/>
      <c r="T285" s="14"/>
      <c r="U285" s="14"/>
      <c r="V285" s="14"/>
      <c r="W285" s="14"/>
      <c r="X285" s="14"/>
      <c r="Y285" s="14"/>
      <c r="Z285" s="14"/>
      <c r="AA285" s="15"/>
      <c r="AB285" s="3"/>
      <c r="AC285" s="3"/>
      <c r="AD285" s="3"/>
      <c r="AE285" s="3"/>
      <c r="AF285" s="3"/>
      <c r="AG285" s="3"/>
      <c r="AH285" s="3"/>
      <c r="AI285" s="3"/>
      <c r="AJ285" s="3"/>
      <c r="AK285" s="3"/>
      <c r="AL285" s="3"/>
      <c r="AM285" s="3"/>
      <c r="AN285" s="3"/>
      <c r="AO285" s="3"/>
    </row>
    <row r="286" spans="1:41" x14ac:dyDescent="0.25">
      <c r="A286" s="171"/>
      <c r="B286" s="13"/>
      <c r="C286" s="14"/>
      <c r="D286" s="60"/>
      <c r="E286" s="56"/>
      <c r="F286" s="56"/>
      <c r="G286" s="128"/>
      <c r="H286" s="56"/>
      <c r="I286" s="14"/>
      <c r="J286" s="14"/>
      <c r="K286" s="14"/>
      <c r="L286" s="14"/>
      <c r="M286" s="14"/>
      <c r="N286" s="14"/>
      <c r="O286" s="14"/>
      <c r="P286" s="14"/>
      <c r="Q286" s="14"/>
      <c r="R286" s="14"/>
      <c r="S286" s="14"/>
      <c r="T286" s="14"/>
      <c r="U286" s="14"/>
      <c r="V286" s="14"/>
      <c r="W286" s="14"/>
      <c r="X286" s="14"/>
      <c r="Y286" s="14"/>
      <c r="Z286" s="14"/>
      <c r="AA286" s="15"/>
      <c r="AB286" s="3"/>
      <c r="AC286" s="3"/>
      <c r="AD286" s="3"/>
      <c r="AE286" s="3"/>
      <c r="AF286" s="3"/>
      <c r="AG286" s="3"/>
      <c r="AH286" s="3"/>
      <c r="AI286" s="3"/>
      <c r="AJ286" s="3"/>
      <c r="AK286" s="3"/>
      <c r="AL286" s="3"/>
      <c r="AM286" s="3"/>
      <c r="AN286" s="3"/>
      <c r="AO286" s="3"/>
    </row>
    <row r="287" spans="1:41" x14ac:dyDescent="0.25">
      <c r="A287" s="171"/>
      <c r="B287" s="13"/>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5"/>
      <c r="AB287" s="3"/>
      <c r="AC287" s="3"/>
      <c r="AD287" s="3"/>
      <c r="AE287" s="3"/>
      <c r="AF287" s="3"/>
      <c r="AG287" s="3"/>
      <c r="AH287" s="3"/>
      <c r="AI287" s="3"/>
      <c r="AJ287" s="3"/>
      <c r="AK287" s="3"/>
      <c r="AL287" s="3"/>
      <c r="AM287" s="3"/>
      <c r="AN287" s="3"/>
      <c r="AO287" s="3"/>
    </row>
    <row r="288" spans="1:41" x14ac:dyDescent="0.25">
      <c r="A288" s="171"/>
      <c r="B288" s="13"/>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5"/>
      <c r="AB288" s="3"/>
      <c r="AC288" s="3"/>
      <c r="AD288" s="3"/>
      <c r="AE288" s="3"/>
      <c r="AF288" s="3"/>
      <c r="AG288" s="3"/>
      <c r="AH288" s="3"/>
      <c r="AI288" s="3"/>
      <c r="AJ288" s="3"/>
      <c r="AK288" s="3"/>
      <c r="AL288" s="3"/>
      <c r="AM288" s="3"/>
      <c r="AN288" s="3"/>
      <c r="AO288" s="3"/>
    </row>
    <row r="289" spans="1:41" x14ac:dyDescent="0.25">
      <c r="A289" s="171"/>
      <c r="B289" s="13"/>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5"/>
      <c r="AB289" s="3"/>
      <c r="AC289" s="3"/>
      <c r="AD289" s="3"/>
      <c r="AE289" s="3"/>
      <c r="AF289" s="3"/>
      <c r="AG289" s="3"/>
      <c r="AH289" s="3"/>
      <c r="AI289" s="3"/>
      <c r="AJ289" s="3"/>
      <c r="AK289" s="3"/>
      <c r="AL289" s="3"/>
      <c r="AM289" s="3"/>
      <c r="AN289" s="3"/>
      <c r="AO289" s="3"/>
    </row>
    <row r="290" spans="1:41" x14ac:dyDescent="0.25">
      <c r="A290" s="171"/>
      <c r="B290" s="13"/>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5"/>
      <c r="AB290" s="3"/>
      <c r="AC290" s="3"/>
      <c r="AD290" s="3"/>
      <c r="AE290" s="3"/>
      <c r="AF290" s="3"/>
      <c r="AG290" s="3"/>
      <c r="AH290" s="3"/>
      <c r="AI290" s="3"/>
      <c r="AJ290" s="3"/>
      <c r="AK290" s="3"/>
      <c r="AL290" s="3"/>
      <c r="AM290" s="3"/>
      <c r="AN290" s="3"/>
      <c r="AO290" s="3"/>
    </row>
    <row r="291" spans="1:41" x14ac:dyDescent="0.25">
      <c r="A291" s="171"/>
      <c r="B291" s="13"/>
      <c r="C291" s="14"/>
      <c r="D291" s="60"/>
      <c r="E291" s="56"/>
      <c r="F291" s="56"/>
      <c r="G291" s="14"/>
      <c r="H291" s="56"/>
      <c r="I291" s="14"/>
      <c r="J291" s="14"/>
      <c r="K291" s="14"/>
      <c r="L291" s="14"/>
      <c r="M291" s="14"/>
      <c r="N291" s="14"/>
      <c r="O291" s="14"/>
      <c r="P291" s="14"/>
      <c r="Q291" s="14"/>
      <c r="R291" s="14"/>
      <c r="S291" s="14"/>
      <c r="T291" s="14"/>
      <c r="U291" s="14"/>
      <c r="V291" s="14"/>
      <c r="W291" s="14"/>
      <c r="X291" s="14"/>
      <c r="Y291" s="14"/>
      <c r="Z291" s="14"/>
      <c r="AA291" s="15"/>
      <c r="AB291" s="3"/>
      <c r="AC291" s="3"/>
      <c r="AD291" s="3"/>
      <c r="AE291" s="3"/>
      <c r="AF291" s="3"/>
      <c r="AG291" s="3"/>
      <c r="AH291" s="3"/>
      <c r="AI291" s="3"/>
      <c r="AJ291" s="3"/>
      <c r="AK291" s="3"/>
      <c r="AL291" s="3"/>
      <c r="AM291" s="3"/>
      <c r="AN291" s="3"/>
      <c r="AO291" s="3"/>
    </row>
    <row r="292" spans="1:41" x14ac:dyDescent="0.25">
      <c r="A292" s="171"/>
      <c r="B292" s="13"/>
      <c r="C292" s="14"/>
      <c r="D292" s="60"/>
      <c r="E292" s="56"/>
      <c r="F292" s="56"/>
      <c r="G292" s="14"/>
      <c r="H292" s="56"/>
      <c r="I292" s="14"/>
      <c r="J292" s="14"/>
      <c r="K292" s="14"/>
      <c r="L292" s="14"/>
      <c r="M292" s="14"/>
      <c r="N292" s="14"/>
      <c r="O292" s="14"/>
      <c r="P292" s="14"/>
      <c r="Q292" s="14"/>
      <c r="R292" s="14"/>
      <c r="S292" s="14"/>
      <c r="T292" s="14"/>
      <c r="U292" s="14"/>
      <c r="V292" s="14"/>
      <c r="W292" s="14"/>
      <c r="X292" s="14"/>
      <c r="Y292" s="14"/>
      <c r="Z292" s="14"/>
      <c r="AA292" s="15"/>
      <c r="AB292" s="3"/>
      <c r="AC292" s="3"/>
      <c r="AD292" s="3"/>
      <c r="AE292" s="3"/>
      <c r="AF292" s="3"/>
      <c r="AG292" s="3"/>
      <c r="AH292" s="3"/>
      <c r="AI292" s="3"/>
      <c r="AJ292" s="3"/>
      <c r="AK292" s="3"/>
      <c r="AL292" s="3"/>
      <c r="AM292" s="3"/>
      <c r="AN292" s="3"/>
      <c r="AO292" s="3"/>
    </row>
    <row r="293" spans="1:41" x14ac:dyDescent="0.25">
      <c r="A293" s="171"/>
      <c r="B293" s="13"/>
      <c r="C293" s="56"/>
      <c r="D293" s="60"/>
      <c r="E293" s="56"/>
      <c r="F293" s="56"/>
      <c r="G293" s="56"/>
      <c r="H293" s="56"/>
      <c r="I293" s="14"/>
      <c r="J293" s="14"/>
      <c r="K293" s="14"/>
      <c r="L293" s="14"/>
      <c r="M293" s="14"/>
      <c r="N293" s="14"/>
      <c r="O293" s="14"/>
      <c r="P293" s="14"/>
      <c r="Q293" s="14"/>
      <c r="R293" s="14"/>
      <c r="S293" s="14"/>
      <c r="T293" s="14"/>
      <c r="U293" s="14"/>
      <c r="V293" s="14"/>
      <c r="W293" s="14"/>
      <c r="X293" s="14"/>
      <c r="Y293" s="14"/>
      <c r="Z293" s="14"/>
      <c r="AA293" s="15"/>
      <c r="AB293" s="3"/>
      <c r="AC293" s="3"/>
      <c r="AD293" s="3"/>
      <c r="AE293" s="3"/>
      <c r="AF293" s="3"/>
      <c r="AG293" s="3"/>
      <c r="AH293" s="3"/>
      <c r="AI293" s="3"/>
      <c r="AJ293" s="3"/>
      <c r="AK293" s="3"/>
      <c r="AL293" s="3"/>
      <c r="AM293" s="3"/>
      <c r="AN293" s="3"/>
      <c r="AO293" s="3"/>
    </row>
    <row r="294" spans="1:41" x14ac:dyDescent="0.25">
      <c r="A294" s="171"/>
      <c r="B294" s="13"/>
      <c r="C294" s="14"/>
      <c r="D294" s="60"/>
      <c r="E294" s="56"/>
      <c r="F294" s="56"/>
      <c r="G294" s="14"/>
      <c r="H294" s="56"/>
      <c r="I294" s="14"/>
      <c r="J294" s="14"/>
      <c r="K294" s="14"/>
      <c r="L294" s="14"/>
      <c r="M294" s="14"/>
      <c r="N294" s="14"/>
      <c r="O294" s="14"/>
      <c r="P294" s="14"/>
      <c r="Q294" s="14"/>
      <c r="R294" s="14"/>
      <c r="S294" s="14"/>
      <c r="T294" s="14"/>
      <c r="U294" s="14"/>
      <c r="V294" s="14"/>
      <c r="W294" s="14"/>
      <c r="X294" s="14"/>
      <c r="Y294" s="14"/>
      <c r="Z294" s="14"/>
      <c r="AA294" s="15"/>
      <c r="AB294" s="3"/>
      <c r="AC294" s="3"/>
      <c r="AD294" s="3"/>
      <c r="AE294" s="3"/>
      <c r="AF294" s="3"/>
      <c r="AG294" s="3"/>
      <c r="AH294" s="3"/>
      <c r="AI294" s="3"/>
      <c r="AJ294" s="3"/>
      <c r="AK294" s="3"/>
      <c r="AL294" s="3"/>
      <c r="AM294" s="3"/>
      <c r="AN294" s="3"/>
      <c r="AO294" s="3"/>
    </row>
    <row r="295" spans="1:41" x14ac:dyDescent="0.25">
      <c r="A295" s="171"/>
      <c r="B295" s="13"/>
      <c r="C295" s="14"/>
      <c r="D295" s="14"/>
      <c r="E295" s="56"/>
      <c r="F295" s="56"/>
      <c r="G295" s="14"/>
      <c r="H295" s="56"/>
      <c r="I295" s="14"/>
      <c r="J295" s="14"/>
      <c r="K295" s="14"/>
      <c r="L295" s="14"/>
      <c r="M295" s="14"/>
      <c r="N295" s="14"/>
      <c r="O295" s="14"/>
      <c r="P295" s="14"/>
      <c r="Q295" s="14"/>
      <c r="R295" s="14"/>
      <c r="S295" s="14"/>
      <c r="T295" s="14"/>
      <c r="U295" s="14"/>
      <c r="V295" s="14"/>
      <c r="W295" s="14"/>
      <c r="X295" s="14"/>
      <c r="Y295" s="14"/>
      <c r="Z295" s="14"/>
      <c r="AA295" s="15"/>
      <c r="AB295" s="3"/>
      <c r="AC295" s="3"/>
      <c r="AD295" s="3"/>
      <c r="AE295" s="3"/>
      <c r="AF295" s="3"/>
      <c r="AG295" s="3"/>
      <c r="AH295" s="3"/>
      <c r="AI295" s="3"/>
      <c r="AJ295" s="3"/>
      <c r="AK295" s="3"/>
      <c r="AL295" s="3"/>
      <c r="AM295" s="3"/>
      <c r="AN295" s="3"/>
      <c r="AO295" s="3"/>
    </row>
    <row r="296" spans="1:41" ht="18.75" x14ac:dyDescent="0.3">
      <c r="A296" s="171"/>
      <c r="B296" s="67"/>
      <c r="C296" s="14"/>
      <c r="D296" s="60"/>
      <c r="E296" s="56"/>
      <c r="F296" s="56"/>
      <c r="G296" s="14"/>
      <c r="H296" s="14"/>
      <c r="I296" s="74"/>
      <c r="J296" s="14"/>
      <c r="K296" s="14"/>
      <c r="L296" s="14"/>
      <c r="M296" s="14"/>
      <c r="N296" s="14"/>
      <c r="O296" s="14"/>
      <c r="P296" s="14"/>
      <c r="Q296" s="14"/>
      <c r="R296" s="14"/>
      <c r="S296" s="14"/>
      <c r="T296" s="14"/>
      <c r="U296" s="14"/>
      <c r="V296" s="14"/>
      <c r="W296" s="14"/>
      <c r="X296" s="14"/>
      <c r="Y296" s="14"/>
      <c r="Z296" s="14"/>
      <c r="AA296" s="15"/>
      <c r="AB296" s="3"/>
      <c r="AC296" s="3"/>
      <c r="AD296" s="3"/>
      <c r="AE296" s="3"/>
      <c r="AF296" s="3"/>
      <c r="AG296" s="3"/>
      <c r="AH296" s="3"/>
      <c r="AI296" s="3"/>
      <c r="AJ296" s="3"/>
      <c r="AK296" s="3"/>
      <c r="AL296" s="3"/>
      <c r="AM296" s="3"/>
      <c r="AN296" s="3"/>
      <c r="AO296" s="3"/>
    </row>
    <row r="297" spans="1:41" x14ac:dyDescent="0.25">
      <c r="A297" s="171"/>
      <c r="B297" s="13"/>
      <c r="C297" s="14"/>
      <c r="D297" s="60"/>
      <c r="E297" s="56"/>
      <c r="F297" s="56"/>
      <c r="G297" s="14"/>
      <c r="H297" s="56"/>
      <c r="I297" s="14"/>
      <c r="J297" s="14"/>
      <c r="K297" s="14"/>
      <c r="L297" s="14"/>
      <c r="M297" s="14"/>
      <c r="N297" s="14"/>
      <c r="O297" s="14"/>
      <c r="P297" s="14"/>
      <c r="Q297" s="14"/>
      <c r="R297" s="14"/>
      <c r="S297" s="14"/>
      <c r="T297" s="14"/>
      <c r="U297" s="14"/>
      <c r="V297" s="14"/>
      <c r="W297" s="14"/>
      <c r="X297" s="14"/>
      <c r="Y297" s="14"/>
      <c r="Z297" s="14"/>
      <c r="AA297" s="15"/>
      <c r="AB297" s="3"/>
      <c r="AC297" s="3"/>
      <c r="AD297" s="3"/>
      <c r="AE297" s="3"/>
      <c r="AF297" s="3"/>
      <c r="AG297" s="3"/>
      <c r="AH297" s="3"/>
      <c r="AI297" s="3"/>
      <c r="AJ297" s="3"/>
      <c r="AK297" s="3"/>
      <c r="AL297" s="3"/>
      <c r="AM297" s="3"/>
      <c r="AN297" s="3"/>
      <c r="AO297" s="3"/>
    </row>
    <row r="298" spans="1:41" x14ac:dyDescent="0.25">
      <c r="A298" s="171"/>
      <c r="B298" s="13"/>
      <c r="C298" s="14"/>
      <c r="D298" s="60"/>
      <c r="E298" s="56"/>
      <c r="F298" s="56"/>
      <c r="G298" s="14"/>
      <c r="H298" s="56"/>
      <c r="I298" s="14"/>
      <c r="J298" s="14"/>
      <c r="K298" s="14"/>
      <c r="L298" s="14"/>
      <c r="M298" s="14"/>
      <c r="N298" s="14"/>
      <c r="O298" s="14"/>
      <c r="P298" s="14"/>
      <c r="Q298" s="14"/>
      <c r="R298" s="14"/>
      <c r="S298" s="14"/>
      <c r="T298" s="14"/>
      <c r="U298" s="14"/>
      <c r="V298" s="14"/>
      <c r="W298" s="14"/>
      <c r="X298" s="14"/>
      <c r="Y298" s="14"/>
      <c r="Z298" s="14"/>
      <c r="AA298" s="15"/>
      <c r="AB298" s="3"/>
      <c r="AC298" s="3"/>
      <c r="AD298" s="3"/>
      <c r="AE298" s="3"/>
      <c r="AF298" s="3"/>
      <c r="AG298" s="3"/>
      <c r="AH298" s="3"/>
      <c r="AI298" s="3"/>
      <c r="AJ298" s="3"/>
      <c r="AK298" s="3"/>
      <c r="AL298" s="3"/>
      <c r="AM298" s="3"/>
      <c r="AN298" s="3"/>
      <c r="AO298" s="3"/>
    </row>
    <row r="299" spans="1:41" x14ac:dyDescent="0.25">
      <c r="A299" s="171"/>
      <c r="B299" s="13"/>
      <c r="C299" s="14"/>
      <c r="D299" s="60"/>
      <c r="E299" s="56"/>
      <c r="F299" s="56"/>
      <c r="G299" s="14"/>
      <c r="H299" s="56"/>
      <c r="I299" s="14"/>
      <c r="J299" s="14"/>
      <c r="K299" s="14"/>
      <c r="L299" s="14"/>
      <c r="M299" s="14"/>
      <c r="N299" s="14"/>
      <c r="O299" s="14"/>
      <c r="P299" s="14"/>
      <c r="Q299" s="14"/>
      <c r="R299" s="14"/>
      <c r="S299" s="14"/>
      <c r="T299" s="14"/>
      <c r="U299" s="14"/>
      <c r="V299" s="14"/>
      <c r="W299" s="14"/>
      <c r="X299" s="14"/>
      <c r="Y299" s="14"/>
      <c r="Z299" s="14"/>
      <c r="AA299" s="15"/>
      <c r="AB299" s="3"/>
      <c r="AC299" s="3"/>
      <c r="AD299" s="3"/>
      <c r="AE299" s="3"/>
      <c r="AF299" s="3"/>
      <c r="AG299" s="3"/>
      <c r="AH299" s="3"/>
      <c r="AI299" s="3"/>
      <c r="AJ299" s="3"/>
      <c r="AK299" s="3"/>
      <c r="AL299" s="3"/>
      <c r="AM299" s="3"/>
      <c r="AN299" s="3"/>
      <c r="AO299" s="3"/>
    </row>
    <row r="300" spans="1:41" x14ac:dyDescent="0.25">
      <c r="A300" s="171"/>
      <c r="B300" s="13"/>
      <c r="C300" s="56"/>
      <c r="D300" s="60"/>
      <c r="E300" s="56"/>
      <c r="F300" s="56"/>
      <c r="G300" s="56"/>
      <c r="H300" s="56"/>
      <c r="I300" s="14"/>
      <c r="J300" s="14"/>
      <c r="K300" s="14"/>
      <c r="L300" s="14"/>
      <c r="M300" s="14"/>
      <c r="N300" s="14"/>
      <c r="O300" s="14"/>
      <c r="P300" s="14"/>
      <c r="Q300" s="14"/>
      <c r="R300" s="14"/>
      <c r="S300" s="14"/>
      <c r="T300" s="14"/>
      <c r="U300" s="14"/>
      <c r="V300" s="14"/>
      <c r="W300" s="14"/>
      <c r="X300" s="14"/>
      <c r="Y300" s="14"/>
      <c r="Z300" s="14"/>
      <c r="AA300" s="15"/>
      <c r="AB300" s="3"/>
      <c r="AC300" s="3"/>
      <c r="AD300" s="3"/>
      <c r="AE300" s="3"/>
      <c r="AF300" s="3"/>
      <c r="AG300" s="3"/>
      <c r="AH300" s="3"/>
      <c r="AI300" s="3"/>
      <c r="AJ300" s="3"/>
      <c r="AK300" s="3"/>
      <c r="AL300" s="3"/>
      <c r="AM300" s="3"/>
      <c r="AN300" s="3"/>
      <c r="AO300" s="3"/>
    </row>
    <row r="301" spans="1:41" x14ac:dyDescent="0.25">
      <c r="A301" s="171"/>
      <c r="B301" s="13"/>
      <c r="C301" s="14"/>
      <c r="D301" s="60"/>
      <c r="E301" s="56"/>
      <c r="F301" s="56"/>
      <c r="G301" s="14"/>
      <c r="H301" s="56"/>
      <c r="I301" s="14"/>
      <c r="J301" s="14"/>
      <c r="K301" s="14"/>
      <c r="L301" s="14"/>
      <c r="M301" s="14"/>
      <c r="N301" s="14"/>
      <c r="O301" s="14"/>
      <c r="P301" s="14"/>
      <c r="Q301" s="14"/>
      <c r="R301" s="14"/>
      <c r="S301" s="14"/>
      <c r="T301" s="14"/>
      <c r="U301" s="14"/>
      <c r="V301" s="14"/>
      <c r="W301" s="14"/>
      <c r="X301" s="14"/>
      <c r="Y301" s="14"/>
      <c r="Z301" s="14"/>
      <c r="AA301" s="15"/>
      <c r="AB301" s="3"/>
      <c r="AC301" s="3"/>
      <c r="AD301" s="3"/>
      <c r="AE301" s="3"/>
      <c r="AF301" s="3"/>
      <c r="AG301" s="3"/>
      <c r="AH301" s="3"/>
      <c r="AI301" s="3"/>
      <c r="AJ301" s="3"/>
      <c r="AK301" s="3"/>
      <c r="AL301" s="3"/>
      <c r="AM301" s="3"/>
      <c r="AN301" s="3"/>
      <c r="AO301" s="3"/>
    </row>
    <row r="302" spans="1:41" x14ac:dyDescent="0.25">
      <c r="A302" s="171"/>
      <c r="B302" s="13"/>
      <c r="C302" s="14"/>
      <c r="D302" s="14"/>
      <c r="E302" s="56"/>
      <c r="F302" s="56"/>
      <c r="G302" s="14"/>
      <c r="H302" s="56"/>
      <c r="I302" s="14"/>
      <c r="J302" s="14"/>
      <c r="K302" s="14"/>
      <c r="L302" s="14"/>
      <c r="M302" s="14"/>
      <c r="N302" s="14"/>
      <c r="O302" s="14"/>
      <c r="P302" s="14"/>
      <c r="Q302" s="14"/>
      <c r="R302" s="14"/>
      <c r="S302" s="14"/>
      <c r="T302" s="14"/>
      <c r="U302" s="14"/>
      <c r="V302" s="14"/>
      <c r="W302" s="14"/>
      <c r="X302" s="14"/>
      <c r="Y302" s="14"/>
      <c r="Z302" s="14"/>
      <c r="AA302" s="15"/>
      <c r="AB302" s="3"/>
      <c r="AC302" s="3"/>
      <c r="AD302" s="3"/>
      <c r="AE302" s="3"/>
      <c r="AF302" s="3"/>
      <c r="AG302" s="3"/>
      <c r="AH302" s="3"/>
      <c r="AI302" s="3"/>
      <c r="AJ302" s="3"/>
      <c r="AK302" s="3"/>
      <c r="AL302" s="3"/>
      <c r="AM302" s="3"/>
      <c r="AN302" s="3"/>
      <c r="AO302" s="3"/>
    </row>
    <row r="303" spans="1:41" x14ac:dyDescent="0.25">
      <c r="A303" s="171"/>
      <c r="B303" s="13"/>
      <c r="C303" s="14"/>
      <c r="D303" s="60"/>
      <c r="E303" s="56"/>
      <c r="F303" s="56"/>
      <c r="G303" s="14"/>
      <c r="H303" s="14"/>
      <c r="I303" s="14"/>
      <c r="J303" s="14"/>
      <c r="K303" s="14"/>
      <c r="L303" s="14"/>
      <c r="M303" s="14"/>
      <c r="N303" s="14"/>
      <c r="O303" s="14"/>
      <c r="P303" s="14"/>
      <c r="Q303" s="14"/>
      <c r="R303" s="14"/>
      <c r="S303" s="14"/>
      <c r="T303" s="14"/>
      <c r="U303" s="14"/>
      <c r="V303" s="14"/>
      <c r="W303" s="14"/>
      <c r="X303" s="14"/>
      <c r="Y303" s="14"/>
      <c r="Z303" s="14"/>
      <c r="AA303" s="15"/>
      <c r="AB303" s="3"/>
      <c r="AC303" s="3"/>
      <c r="AD303" s="3"/>
      <c r="AE303" s="3"/>
      <c r="AF303" s="3"/>
      <c r="AG303" s="3"/>
      <c r="AH303" s="3"/>
      <c r="AI303" s="3"/>
      <c r="AJ303" s="3"/>
      <c r="AK303" s="3"/>
      <c r="AL303" s="3"/>
      <c r="AM303" s="3"/>
      <c r="AN303" s="3"/>
      <c r="AO303" s="3"/>
    </row>
    <row r="304" spans="1:41" ht="18.75" x14ac:dyDescent="0.3">
      <c r="A304" s="171"/>
      <c r="B304" s="67"/>
      <c r="C304" s="14"/>
      <c r="D304" s="60"/>
      <c r="E304" s="56"/>
      <c r="F304" s="56"/>
      <c r="G304" s="14"/>
      <c r="H304" s="56"/>
      <c r="I304" s="74"/>
      <c r="J304" s="14"/>
      <c r="K304" s="14"/>
      <c r="L304" s="14"/>
      <c r="M304" s="14"/>
      <c r="N304" s="14"/>
      <c r="O304" s="14"/>
      <c r="P304" s="14"/>
      <c r="Q304" s="14"/>
      <c r="R304" s="14"/>
      <c r="S304" s="14"/>
      <c r="T304" s="14"/>
      <c r="U304" s="14"/>
      <c r="V304" s="14"/>
      <c r="W304" s="14"/>
      <c r="X304" s="14"/>
      <c r="Y304" s="14"/>
      <c r="Z304" s="14"/>
      <c r="AA304" s="15"/>
      <c r="AB304" s="3"/>
      <c r="AC304" s="3"/>
      <c r="AD304" s="3"/>
      <c r="AE304" s="3"/>
      <c r="AF304" s="3"/>
      <c r="AG304" s="3"/>
      <c r="AH304" s="3"/>
      <c r="AI304" s="3"/>
      <c r="AJ304" s="3"/>
      <c r="AK304" s="3"/>
      <c r="AL304" s="3"/>
      <c r="AM304" s="3"/>
      <c r="AN304" s="3"/>
      <c r="AO304" s="3"/>
    </row>
    <row r="305" spans="1:41" x14ac:dyDescent="0.25">
      <c r="A305" s="171"/>
      <c r="B305" s="13"/>
      <c r="C305" s="14"/>
      <c r="D305" s="60"/>
      <c r="E305" s="56"/>
      <c r="F305" s="56"/>
      <c r="G305" s="14"/>
      <c r="H305" s="56"/>
      <c r="I305" s="14"/>
      <c r="J305" s="14"/>
      <c r="K305" s="14"/>
      <c r="L305" s="14"/>
      <c r="M305" s="14"/>
      <c r="N305" s="14"/>
      <c r="O305" s="14"/>
      <c r="P305" s="14"/>
      <c r="Q305" s="14"/>
      <c r="R305" s="14"/>
      <c r="S305" s="14"/>
      <c r="T305" s="14"/>
      <c r="U305" s="14"/>
      <c r="V305" s="14"/>
      <c r="W305" s="14"/>
      <c r="X305" s="14"/>
      <c r="Y305" s="14"/>
      <c r="Z305" s="14"/>
      <c r="AA305" s="15"/>
      <c r="AB305" s="3"/>
      <c r="AC305" s="3"/>
      <c r="AD305" s="3"/>
      <c r="AE305" s="3"/>
      <c r="AF305" s="3"/>
      <c r="AG305" s="3"/>
      <c r="AH305" s="3"/>
      <c r="AI305" s="3"/>
      <c r="AJ305" s="3"/>
      <c r="AK305" s="3"/>
      <c r="AL305" s="3"/>
      <c r="AM305" s="3"/>
      <c r="AN305" s="3"/>
      <c r="AO305" s="3"/>
    </row>
    <row r="306" spans="1:41" x14ac:dyDescent="0.25">
      <c r="A306" s="171"/>
      <c r="B306" s="13"/>
      <c r="C306" s="14"/>
      <c r="D306" s="60"/>
      <c r="E306" s="56"/>
      <c r="F306" s="56"/>
      <c r="G306" s="14"/>
      <c r="H306" s="56"/>
      <c r="I306" s="14"/>
      <c r="J306" s="14"/>
      <c r="K306" s="14"/>
      <c r="L306" s="14"/>
      <c r="M306" s="14"/>
      <c r="N306" s="14"/>
      <c r="O306" s="14"/>
      <c r="P306" s="14"/>
      <c r="Q306" s="14"/>
      <c r="R306" s="14"/>
      <c r="S306" s="14"/>
      <c r="T306" s="14"/>
      <c r="U306" s="14"/>
      <c r="V306" s="14"/>
      <c r="W306" s="14"/>
      <c r="X306" s="14"/>
      <c r="Y306" s="14"/>
      <c r="Z306" s="14"/>
      <c r="AA306" s="15"/>
      <c r="AB306" s="3"/>
      <c r="AC306" s="3"/>
      <c r="AD306" s="3"/>
      <c r="AE306" s="3"/>
      <c r="AF306" s="3"/>
      <c r="AG306" s="3"/>
      <c r="AH306" s="3"/>
      <c r="AI306" s="3"/>
      <c r="AJ306" s="3"/>
      <c r="AK306" s="3"/>
      <c r="AL306" s="3"/>
      <c r="AM306" s="3"/>
      <c r="AN306" s="3"/>
      <c r="AO306" s="3"/>
    </row>
    <row r="307" spans="1:41" x14ac:dyDescent="0.25">
      <c r="A307" s="171"/>
      <c r="B307" s="13"/>
      <c r="C307" s="56"/>
      <c r="D307" s="60"/>
      <c r="E307" s="56"/>
      <c r="F307" s="56"/>
      <c r="G307" s="56"/>
      <c r="H307" s="56"/>
      <c r="I307" s="14"/>
      <c r="J307" s="14"/>
      <c r="K307" s="14"/>
      <c r="L307" s="14"/>
      <c r="M307" s="14"/>
      <c r="N307" s="14"/>
      <c r="O307" s="14"/>
      <c r="P307" s="14"/>
      <c r="Q307" s="14"/>
      <c r="R307" s="14"/>
      <c r="S307" s="14"/>
      <c r="T307" s="14"/>
      <c r="U307" s="14"/>
      <c r="V307" s="14"/>
      <c r="W307" s="14"/>
      <c r="X307" s="14"/>
      <c r="Y307" s="14"/>
      <c r="Z307" s="14"/>
      <c r="AA307" s="15"/>
      <c r="AB307" s="3"/>
      <c r="AC307" s="3"/>
      <c r="AD307" s="3"/>
      <c r="AE307" s="3"/>
      <c r="AF307" s="3"/>
      <c r="AG307" s="3"/>
      <c r="AH307" s="3"/>
      <c r="AI307" s="3"/>
      <c r="AJ307" s="3"/>
      <c r="AK307" s="3"/>
      <c r="AL307" s="3"/>
      <c r="AM307" s="3"/>
      <c r="AN307" s="3"/>
      <c r="AO307" s="3"/>
    </row>
    <row r="308" spans="1:41" x14ac:dyDescent="0.25">
      <c r="A308" s="171"/>
      <c r="B308" s="13"/>
      <c r="C308" s="14"/>
      <c r="D308" s="60"/>
      <c r="E308" s="56"/>
      <c r="F308" s="56"/>
      <c r="G308" s="14"/>
      <c r="H308" s="56"/>
      <c r="I308" s="14"/>
      <c r="J308" s="14"/>
      <c r="K308" s="14"/>
      <c r="L308" s="14"/>
      <c r="M308" s="14"/>
      <c r="N308" s="14"/>
      <c r="O308" s="14"/>
      <c r="P308" s="14"/>
      <c r="Q308" s="14"/>
      <c r="R308" s="14"/>
      <c r="S308" s="14"/>
      <c r="T308" s="14"/>
      <c r="U308" s="14"/>
      <c r="V308" s="14"/>
      <c r="W308" s="14"/>
      <c r="X308" s="14"/>
      <c r="Y308" s="14"/>
      <c r="Z308" s="14"/>
      <c r="AA308" s="15"/>
      <c r="AB308" s="3"/>
      <c r="AC308" s="3"/>
      <c r="AD308" s="3"/>
      <c r="AE308" s="3"/>
      <c r="AF308" s="3"/>
      <c r="AG308" s="3"/>
      <c r="AH308" s="3"/>
      <c r="AI308" s="3"/>
      <c r="AJ308" s="3"/>
      <c r="AK308" s="3"/>
      <c r="AL308" s="3"/>
      <c r="AM308" s="3"/>
      <c r="AN308" s="3"/>
      <c r="AO308" s="3"/>
    </row>
    <row r="309" spans="1:41" x14ac:dyDescent="0.25">
      <c r="A309" s="171"/>
      <c r="B309" s="13"/>
      <c r="C309" s="14"/>
      <c r="D309" s="14"/>
      <c r="E309" s="56"/>
      <c r="F309" s="56"/>
      <c r="G309" s="14"/>
      <c r="H309" s="56"/>
      <c r="I309" s="14"/>
      <c r="J309" s="14"/>
      <c r="K309" s="14"/>
      <c r="L309" s="14"/>
      <c r="M309" s="14"/>
      <c r="N309" s="14"/>
      <c r="O309" s="14"/>
      <c r="P309" s="14"/>
      <c r="Q309" s="14"/>
      <c r="R309" s="14"/>
      <c r="S309" s="14"/>
      <c r="T309" s="14"/>
      <c r="U309" s="14"/>
      <c r="V309" s="14"/>
      <c r="W309" s="14"/>
      <c r="X309" s="14"/>
      <c r="Y309" s="14"/>
      <c r="Z309" s="14"/>
      <c r="AA309" s="15"/>
      <c r="AB309" s="3"/>
      <c r="AC309" s="3"/>
      <c r="AD309" s="3"/>
      <c r="AE309" s="3"/>
      <c r="AF309" s="3"/>
      <c r="AG309" s="3"/>
      <c r="AH309" s="3"/>
      <c r="AI309" s="3"/>
      <c r="AJ309" s="3"/>
      <c r="AK309" s="3"/>
      <c r="AL309" s="3"/>
      <c r="AM309" s="3"/>
      <c r="AN309" s="3"/>
      <c r="AO309" s="3"/>
    </row>
    <row r="310" spans="1:41" x14ac:dyDescent="0.25">
      <c r="A310" s="171"/>
      <c r="B310" s="13"/>
      <c r="C310" s="14"/>
      <c r="D310" s="60"/>
      <c r="E310" s="56"/>
      <c r="F310" s="56"/>
      <c r="G310" s="14"/>
      <c r="H310" s="14"/>
      <c r="I310" s="14"/>
      <c r="J310" s="14"/>
      <c r="K310" s="14"/>
      <c r="L310" s="14"/>
      <c r="M310" s="14"/>
      <c r="N310" s="14"/>
      <c r="O310" s="14"/>
      <c r="P310" s="14"/>
      <c r="Q310" s="14"/>
      <c r="R310" s="14"/>
      <c r="S310" s="14"/>
      <c r="T310" s="14"/>
      <c r="U310" s="14"/>
      <c r="V310" s="14"/>
      <c r="W310" s="14"/>
      <c r="X310" s="14"/>
      <c r="Y310" s="14"/>
      <c r="Z310" s="14"/>
      <c r="AA310" s="15"/>
      <c r="AB310" s="3"/>
      <c r="AC310" s="3"/>
      <c r="AD310" s="3"/>
      <c r="AE310" s="3"/>
      <c r="AF310" s="3"/>
      <c r="AG310" s="3"/>
      <c r="AH310" s="3"/>
      <c r="AI310" s="3"/>
      <c r="AJ310" s="3"/>
      <c r="AK310" s="3"/>
      <c r="AL310" s="3"/>
      <c r="AM310" s="3"/>
      <c r="AN310" s="3"/>
      <c r="AO310" s="3"/>
    </row>
    <row r="311" spans="1:41" x14ac:dyDescent="0.25">
      <c r="A311" s="171"/>
      <c r="B311" s="13"/>
      <c r="C311" s="14"/>
      <c r="D311" s="60"/>
      <c r="E311" s="56"/>
      <c r="F311" s="56"/>
      <c r="G311" s="14"/>
      <c r="H311" s="56"/>
      <c r="I311" s="14"/>
      <c r="J311" s="14"/>
      <c r="K311" s="14"/>
      <c r="L311" s="14"/>
      <c r="M311" s="14"/>
      <c r="N311" s="14"/>
      <c r="O311" s="14"/>
      <c r="P311" s="14"/>
      <c r="Q311" s="14"/>
      <c r="R311" s="14"/>
      <c r="S311" s="14"/>
      <c r="T311" s="14"/>
      <c r="U311" s="14"/>
      <c r="V311" s="14"/>
      <c r="W311" s="14"/>
      <c r="X311" s="14"/>
      <c r="Y311" s="14"/>
      <c r="Z311" s="14"/>
      <c r="AA311" s="15"/>
      <c r="AB311" s="3"/>
      <c r="AC311" s="3"/>
      <c r="AD311" s="3"/>
      <c r="AE311" s="3"/>
      <c r="AF311" s="3"/>
      <c r="AG311" s="3"/>
      <c r="AH311" s="3"/>
      <c r="AI311" s="3"/>
      <c r="AJ311" s="3"/>
      <c r="AK311" s="3"/>
      <c r="AL311" s="3"/>
      <c r="AM311" s="3"/>
      <c r="AN311" s="3"/>
      <c r="AO311" s="3"/>
    </row>
    <row r="312" spans="1:41" ht="18.75" x14ac:dyDescent="0.3">
      <c r="A312" s="171"/>
      <c r="B312" s="67"/>
      <c r="C312" s="14"/>
      <c r="D312" s="60"/>
      <c r="E312" s="56"/>
      <c r="F312" s="56"/>
      <c r="G312" s="14"/>
      <c r="H312" s="56"/>
      <c r="I312" s="74"/>
      <c r="J312" s="14"/>
      <c r="K312" s="14"/>
      <c r="L312" s="14"/>
      <c r="M312" s="14"/>
      <c r="N312" s="14"/>
      <c r="O312" s="14"/>
      <c r="P312" s="14"/>
      <c r="Q312" s="14"/>
      <c r="R312" s="14"/>
      <c r="S312" s="14"/>
      <c r="T312" s="14"/>
      <c r="U312" s="14"/>
      <c r="V312" s="14"/>
      <c r="W312" s="14"/>
      <c r="X312" s="14"/>
      <c r="Y312" s="14"/>
      <c r="Z312" s="14"/>
      <c r="AA312" s="15"/>
      <c r="AB312" s="3"/>
      <c r="AC312" s="3"/>
      <c r="AD312" s="3"/>
      <c r="AE312" s="3"/>
      <c r="AF312" s="3"/>
      <c r="AG312" s="3"/>
      <c r="AH312" s="3"/>
      <c r="AI312" s="3"/>
      <c r="AJ312" s="3"/>
      <c r="AK312" s="3"/>
      <c r="AL312" s="3"/>
      <c r="AM312" s="3"/>
      <c r="AN312" s="3"/>
      <c r="AO312" s="3"/>
    </row>
    <row r="313" spans="1:41" x14ac:dyDescent="0.25">
      <c r="A313" s="171"/>
      <c r="B313" s="13"/>
      <c r="C313" s="14"/>
      <c r="D313" s="60"/>
      <c r="E313" s="56"/>
      <c r="F313" s="56"/>
      <c r="G313" s="14"/>
      <c r="H313" s="56"/>
      <c r="I313" s="14"/>
      <c r="J313" s="14"/>
      <c r="K313" s="14"/>
      <c r="L313" s="14"/>
      <c r="M313" s="14"/>
      <c r="N313" s="14"/>
      <c r="O313" s="14"/>
      <c r="P313" s="14"/>
      <c r="Q313" s="14"/>
      <c r="R313" s="14"/>
      <c r="S313" s="14"/>
      <c r="T313" s="14"/>
      <c r="U313" s="14"/>
      <c r="V313" s="14"/>
      <c r="W313" s="14"/>
      <c r="X313" s="14"/>
      <c r="Y313" s="14"/>
      <c r="Z313" s="14"/>
      <c r="AA313" s="15"/>
      <c r="AB313" s="3"/>
      <c r="AC313" s="3"/>
      <c r="AD313" s="3"/>
      <c r="AE313" s="3"/>
      <c r="AF313" s="3"/>
      <c r="AG313" s="3"/>
      <c r="AH313" s="3"/>
      <c r="AI313" s="3"/>
      <c r="AJ313" s="3"/>
      <c r="AK313" s="3"/>
      <c r="AL313" s="3"/>
      <c r="AM313" s="3"/>
      <c r="AN313" s="3"/>
      <c r="AO313" s="3"/>
    </row>
    <row r="314" spans="1:41" x14ac:dyDescent="0.25">
      <c r="A314" s="171"/>
      <c r="B314" s="13"/>
      <c r="C314" s="56"/>
      <c r="D314" s="60"/>
      <c r="E314" s="56"/>
      <c r="F314" s="56"/>
      <c r="G314" s="56"/>
      <c r="H314" s="56"/>
      <c r="I314" s="14"/>
      <c r="J314" s="14"/>
      <c r="K314" s="14"/>
      <c r="L314" s="14"/>
      <c r="M314" s="14"/>
      <c r="N314" s="14"/>
      <c r="O314" s="14"/>
      <c r="P314" s="14"/>
      <c r="Q314" s="14"/>
      <c r="R314" s="14"/>
      <c r="S314" s="14"/>
      <c r="T314" s="14"/>
      <c r="U314" s="14"/>
      <c r="V314" s="14"/>
      <c r="W314" s="14"/>
      <c r="X314" s="14"/>
      <c r="Y314" s="14"/>
      <c r="Z314" s="14"/>
      <c r="AA314" s="15"/>
      <c r="AB314" s="3"/>
      <c r="AC314" s="3"/>
      <c r="AD314" s="3"/>
      <c r="AE314" s="3"/>
      <c r="AF314" s="3"/>
      <c r="AG314" s="3"/>
      <c r="AH314" s="3"/>
      <c r="AI314" s="3"/>
      <c r="AJ314" s="3"/>
      <c r="AK314" s="3"/>
      <c r="AL314" s="3"/>
      <c r="AM314" s="3"/>
      <c r="AN314" s="3"/>
      <c r="AO314" s="3"/>
    </row>
    <row r="315" spans="1:41" x14ac:dyDescent="0.25">
      <c r="A315" s="171"/>
      <c r="B315" s="13"/>
      <c r="C315" s="14"/>
      <c r="D315" s="60"/>
      <c r="E315" s="56"/>
      <c r="F315" s="56"/>
      <c r="G315" s="14"/>
      <c r="H315" s="56"/>
      <c r="I315" s="14"/>
      <c r="J315" s="14"/>
      <c r="K315" s="14"/>
      <c r="L315" s="14"/>
      <c r="M315" s="14"/>
      <c r="N315" s="14"/>
      <c r="O315" s="14"/>
      <c r="P315" s="14"/>
      <c r="Q315" s="14"/>
      <c r="R315" s="14"/>
      <c r="S315" s="14"/>
      <c r="T315" s="14"/>
      <c r="U315" s="14"/>
      <c r="V315" s="14"/>
      <c r="W315" s="14"/>
      <c r="X315" s="14"/>
      <c r="Y315" s="14"/>
      <c r="Z315" s="14"/>
      <c r="AA315" s="15"/>
      <c r="AB315" s="3"/>
      <c r="AC315" s="3"/>
      <c r="AD315" s="3"/>
      <c r="AE315" s="3"/>
      <c r="AF315" s="3"/>
      <c r="AG315" s="3"/>
      <c r="AH315" s="3"/>
      <c r="AI315" s="3"/>
      <c r="AJ315" s="3"/>
      <c r="AK315" s="3"/>
      <c r="AL315" s="3"/>
      <c r="AM315" s="3"/>
      <c r="AN315" s="3"/>
      <c r="AO315" s="3"/>
    </row>
    <row r="316" spans="1:41" x14ac:dyDescent="0.25">
      <c r="A316" s="171"/>
      <c r="B316" s="13"/>
      <c r="C316" s="14"/>
      <c r="D316" s="14"/>
      <c r="E316" s="56"/>
      <c r="F316" s="56"/>
      <c r="G316" s="14"/>
      <c r="H316" s="56"/>
      <c r="I316" s="14"/>
      <c r="J316" s="14"/>
      <c r="K316" s="14"/>
      <c r="L316" s="14"/>
      <c r="M316" s="14"/>
      <c r="N316" s="14"/>
      <c r="O316" s="14"/>
      <c r="P316" s="14"/>
      <c r="Q316" s="14"/>
      <c r="R316" s="14"/>
      <c r="S316" s="14"/>
      <c r="T316" s="14"/>
      <c r="U316" s="14"/>
      <c r="V316" s="14"/>
      <c r="W316" s="14"/>
      <c r="X316" s="14"/>
      <c r="Y316" s="14"/>
      <c r="Z316" s="14"/>
      <c r="AA316" s="15"/>
      <c r="AB316" s="3"/>
      <c r="AC316" s="3"/>
      <c r="AD316" s="3"/>
      <c r="AE316" s="3"/>
      <c r="AF316" s="3"/>
      <c r="AG316" s="3"/>
      <c r="AH316" s="3"/>
      <c r="AI316" s="3"/>
      <c r="AJ316" s="3"/>
      <c r="AK316" s="3"/>
      <c r="AL316" s="3"/>
      <c r="AM316" s="3"/>
      <c r="AN316" s="3"/>
      <c r="AO316" s="3"/>
    </row>
    <row r="317" spans="1:41" x14ac:dyDescent="0.25">
      <c r="A317" s="171"/>
      <c r="B317" s="13"/>
      <c r="C317" s="14"/>
      <c r="D317" s="60"/>
      <c r="E317" s="56"/>
      <c r="F317" s="56"/>
      <c r="G317" s="14"/>
      <c r="H317" s="14"/>
      <c r="I317" s="14"/>
      <c r="J317" s="14"/>
      <c r="K317" s="14"/>
      <c r="L317" s="14"/>
      <c r="M317" s="14"/>
      <c r="N317" s="14"/>
      <c r="O317" s="14"/>
      <c r="P317" s="14"/>
      <c r="Q317" s="14"/>
      <c r="R317" s="14"/>
      <c r="S317" s="14"/>
      <c r="T317" s="14"/>
      <c r="U317" s="14"/>
      <c r="V317" s="14"/>
      <c r="W317" s="14"/>
      <c r="X317" s="14"/>
      <c r="Y317" s="14"/>
      <c r="Z317" s="14"/>
      <c r="AA317" s="15"/>
      <c r="AB317" s="3"/>
      <c r="AC317" s="3"/>
      <c r="AD317" s="3"/>
      <c r="AE317" s="3"/>
      <c r="AF317" s="3"/>
      <c r="AG317" s="3"/>
      <c r="AH317" s="3"/>
      <c r="AI317" s="3"/>
      <c r="AJ317" s="3"/>
      <c r="AK317" s="3"/>
      <c r="AL317" s="3"/>
      <c r="AM317" s="3"/>
      <c r="AN317" s="3"/>
      <c r="AO317" s="3"/>
    </row>
    <row r="318" spans="1:41" x14ac:dyDescent="0.25">
      <c r="A318" s="171"/>
      <c r="B318" s="13"/>
      <c r="C318" s="14"/>
      <c r="D318" s="60"/>
      <c r="E318" s="56"/>
      <c r="F318" s="56"/>
      <c r="G318" s="14"/>
      <c r="H318" s="56"/>
      <c r="I318" s="14"/>
      <c r="J318" s="14"/>
      <c r="K318" s="14"/>
      <c r="L318" s="14"/>
      <c r="M318" s="14"/>
      <c r="N318" s="14"/>
      <c r="O318" s="14"/>
      <c r="P318" s="14"/>
      <c r="Q318" s="14"/>
      <c r="R318" s="14"/>
      <c r="S318" s="14"/>
      <c r="T318" s="14"/>
      <c r="U318" s="14"/>
      <c r="V318" s="14"/>
      <c r="W318" s="14"/>
      <c r="X318" s="14"/>
      <c r="Y318" s="14"/>
      <c r="Z318" s="14"/>
      <c r="AA318" s="15"/>
      <c r="AB318" s="3"/>
      <c r="AC318" s="3"/>
      <c r="AD318" s="3"/>
      <c r="AE318" s="3"/>
      <c r="AF318" s="3"/>
      <c r="AG318" s="3"/>
      <c r="AH318" s="3"/>
      <c r="AI318" s="3"/>
      <c r="AJ318" s="3"/>
      <c r="AK318" s="3"/>
      <c r="AL318" s="3"/>
      <c r="AM318" s="3"/>
      <c r="AN318" s="3"/>
      <c r="AO318" s="3"/>
    </row>
    <row r="319" spans="1:41" x14ac:dyDescent="0.25">
      <c r="A319" s="171"/>
      <c r="B319" s="13"/>
      <c r="C319" s="14"/>
      <c r="D319" s="60"/>
      <c r="E319" s="56"/>
      <c r="F319" s="56"/>
      <c r="G319" s="14"/>
      <c r="H319" s="56"/>
      <c r="I319" s="14"/>
      <c r="J319" s="14"/>
      <c r="K319" s="14"/>
      <c r="L319" s="14"/>
      <c r="M319" s="14"/>
      <c r="N319" s="14"/>
      <c r="O319" s="14"/>
      <c r="P319" s="14"/>
      <c r="Q319" s="14"/>
      <c r="R319" s="14"/>
      <c r="S319" s="14"/>
      <c r="T319" s="14"/>
      <c r="U319" s="14"/>
      <c r="V319" s="14"/>
      <c r="W319" s="14"/>
      <c r="X319" s="14"/>
      <c r="Y319" s="14"/>
      <c r="Z319" s="14"/>
      <c r="AA319" s="15"/>
      <c r="AB319" s="3"/>
      <c r="AC319" s="3"/>
      <c r="AD319" s="3"/>
      <c r="AE319" s="3"/>
      <c r="AF319" s="3"/>
      <c r="AG319" s="3"/>
      <c r="AH319" s="3"/>
      <c r="AI319" s="3"/>
      <c r="AJ319" s="3"/>
      <c r="AK319" s="3"/>
      <c r="AL319" s="3"/>
      <c r="AM319" s="3"/>
      <c r="AN319" s="3"/>
      <c r="AO319" s="3"/>
    </row>
    <row r="320" spans="1:41" ht="18.75" x14ac:dyDescent="0.3">
      <c r="A320" s="171"/>
      <c r="B320" s="67"/>
      <c r="C320" s="14"/>
      <c r="D320" s="60"/>
      <c r="E320" s="56"/>
      <c r="F320" s="56"/>
      <c r="G320" s="14"/>
      <c r="H320" s="56"/>
      <c r="I320" s="74"/>
      <c r="J320" s="14"/>
      <c r="K320" s="14"/>
      <c r="L320" s="14"/>
      <c r="M320" s="14"/>
      <c r="N320" s="14"/>
      <c r="O320" s="14"/>
      <c r="P320" s="14"/>
      <c r="Q320" s="14"/>
      <c r="R320" s="14"/>
      <c r="S320" s="14"/>
      <c r="T320" s="14"/>
      <c r="U320" s="14"/>
      <c r="V320" s="14"/>
      <c r="W320" s="14"/>
      <c r="X320" s="14"/>
      <c r="Y320" s="14"/>
      <c r="Z320" s="14"/>
      <c r="AA320" s="15"/>
      <c r="AB320" s="3"/>
      <c r="AC320" s="3"/>
      <c r="AD320" s="3"/>
      <c r="AE320" s="3"/>
      <c r="AF320" s="3"/>
      <c r="AG320" s="3"/>
      <c r="AH320" s="3"/>
      <c r="AI320" s="3"/>
      <c r="AJ320" s="3"/>
      <c r="AK320" s="3"/>
      <c r="AL320" s="3"/>
      <c r="AM320" s="3"/>
      <c r="AN320" s="3"/>
      <c r="AO320" s="3"/>
    </row>
    <row r="321" spans="1:41" x14ac:dyDescent="0.25">
      <c r="A321" s="171"/>
      <c r="B321" s="13"/>
      <c r="C321" s="56"/>
      <c r="D321" s="60"/>
      <c r="E321" s="56"/>
      <c r="F321" s="56"/>
      <c r="G321" s="56"/>
      <c r="H321" s="56"/>
      <c r="I321" s="14"/>
      <c r="J321" s="14"/>
      <c r="K321" s="14"/>
      <c r="L321" s="14"/>
      <c r="M321" s="14"/>
      <c r="N321" s="14"/>
      <c r="O321" s="14"/>
      <c r="P321" s="14"/>
      <c r="Q321" s="14"/>
      <c r="R321" s="14"/>
      <c r="S321" s="14"/>
      <c r="T321" s="14"/>
      <c r="U321" s="14"/>
      <c r="V321" s="14"/>
      <c r="W321" s="14"/>
      <c r="X321" s="14"/>
      <c r="Y321" s="14"/>
      <c r="Z321" s="14"/>
      <c r="AA321" s="15"/>
      <c r="AB321" s="3"/>
      <c r="AC321" s="3"/>
      <c r="AD321" s="3"/>
      <c r="AE321" s="3"/>
      <c r="AF321" s="3"/>
      <c r="AG321" s="3"/>
      <c r="AH321" s="3"/>
      <c r="AI321" s="3"/>
      <c r="AJ321" s="3"/>
      <c r="AK321" s="3"/>
      <c r="AL321" s="3"/>
      <c r="AM321" s="3"/>
      <c r="AN321" s="3"/>
      <c r="AO321" s="3"/>
    </row>
    <row r="322" spans="1:41" x14ac:dyDescent="0.25">
      <c r="A322" s="171"/>
      <c r="B322" s="13"/>
      <c r="C322" s="14"/>
      <c r="D322" s="60"/>
      <c r="E322" s="56"/>
      <c r="F322" s="56"/>
      <c r="G322" s="14"/>
      <c r="H322" s="56"/>
      <c r="I322" s="14"/>
      <c r="J322" s="14"/>
      <c r="K322" s="14"/>
      <c r="L322" s="14"/>
      <c r="M322" s="14"/>
      <c r="N322" s="14"/>
      <c r="O322" s="14"/>
      <c r="P322" s="14"/>
      <c r="Q322" s="14"/>
      <c r="R322" s="14"/>
      <c r="S322" s="14"/>
      <c r="T322" s="14"/>
      <c r="U322" s="14"/>
      <c r="V322" s="14"/>
      <c r="W322" s="14"/>
      <c r="X322" s="14"/>
      <c r="Y322" s="14"/>
      <c r="Z322" s="14"/>
      <c r="AA322" s="15"/>
      <c r="AB322" s="3"/>
      <c r="AC322" s="3"/>
      <c r="AD322" s="3"/>
      <c r="AE322" s="3"/>
      <c r="AF322" s="3"/>
      <c r="AG322" s="3"/>
      <c r="AH322" s="3"/>
      <c r="AI322" s="3"/>
      <c r="AJ322" s="3"/>
      <c r="AK322" s="3"/>
      <c r="AL322" s="3"/>
      <c r="AM322" s="3"/>
      <c r="AN322" s="3"/>
      <c r="AO322" s="3"/>
    </row>
    <row r="323" spans="1:41" x14ac:dyDescent="0.25">
      <c r="A323" s="171"/>
      <c r="B323" s="13"/>
      <c r="C323" s="14"/>
      <c r="D323" s="14"/>
      <c r="E323" s="56"/>
      <c r="F323" s="56"/>
      <c r="G323" s="14"/>
      <c r="H323" s="56"/>
      <c r="I323" s="14"/>
      <c r="J323" s="14"/>
      <c r="K323" s="14"/>
      <c r="L323" s="14"/>
      <c r="M323" s="14"/>
      <c r="N323" s="14"/>
      <c r="O323" s="14"/>
      <c r="P323" s="14"/>
      <c r="Q323" s="14"/>
      <c r="R323" s="14"/>
      <c r="S323" s="14"/>
      <c r="T323" s="14"/>
      <c r="U323" s="14"/>
      <c r="V323" s="14"/>
      <c r="W323" s="14"/>
      <c r="X323" s="14"/>
      <c r="Y323" s="14"/>
      <c r="Z323" s="14"/>
      <c r="AA323" s="15"/>
      <c r="AB323" s="3"/>
      <c r="AC323" s="3"/>
      <c r="AD323" s="3"/>
      <c r="AE323" s="3"/>
      <c r="AF323" s="3"/>
      <c r="AG323" s="3"/>
      <c r="AH323" s="3"/>
      <c r="AI323" s="3"/>
      <c r="AJ323" s="3"/>
      <c r="AK323" s="3"/>
      <c r="AL323" s="3"/>
      <c r="AM323" s="3"/>
      <c r="AN323" s="3"/>
      <c r="AO323" s="3"/>
    </row>
    <row r="324" spans="1:41" x14ac:dyDescent="0.25">
      <c r="A324" s="171"/>
      <c r="B324" s="13"/>
      <c r="C324" s="14"/>
      <c r="D324" s="60"/>
      <c r="E324" s="56"/>
      <c r="F324" s="56"/>
      <c r="G324" s="14"/>
      <c r="H324" s="14"/>
      <c r="I324" s="14"/>
      <c r="J324" s="14"/>
      <c r="K324" s="14"/>
      <c r="L324" s="14"/>
      <c r="M324" s="14"/>
      <c r="N324" s="14"/>
      <c r="O324" s="14"/>
      <c r="P324" s="14"/>
      <c r="Q324" s="14"/>
      <c r="R324" s="14"/>
      <c r="S324" s="14"/>
      <c r="T324" s="14"/>
      <c r="U324" s="14"/>
      <c r="V324" s="14"/>
      <c r="W324" s="14"/>
      <c r="X324" s="14"/>
      <c r="Y324" s="14"/>
      <c r="Z324" s="14"/>
      <c r="AA324" s="15"/>
      <c r="AB324" s="3"/>
      <c r="AC324" s="3"/>
      <c r="AD324" s="3"/>
      <c r="AE324" s="3"/>
      <c r="AF324" s="3"/>
      <c r="AG324" s="3"/>
      <c r="AH324" s="3"/>
      <c r="AI324" s="3"/>
      <c r="AJ324" s="3"/>
      <c r="AK324" s="3"/>
      <c r="AL324" s="3"/>
      <c r="AM324" s="3"/>
      <c r="AN324" s="3"/>
      <c r="AO324" s="3"/>
    </row>
    <row r="325" spans="1:41" x14ac:dyDescent="0.25">
      <c r="A325" s="171"/>
      <c r="B325" s="13"/>
      <c r="C325" s="14"/>
      <c r="D325" s="60"/>
      <c r="E325" s="56"/>
      <c r="F325" s="56"/>
      <c r="G325" s="14"/>
      <c r="H325" s="56"/>
      <c r="I325" s="14"/>
      <c r="J325" s="14"/>
      <c r="K325" s="14"/>
      <c r="L325" s="14"/>
      <c r="M325" s="14"/>
      <c r="N325" s="14"/>
      <c r="O325" s="14"/>
      <c r="P325" s="14"/>
      <c r="Q325" s="14"/>
      <c r="R325" s="14"/>
      <c r="S325" s="14"/>
      <c r="T325" s="14"/>
      <c r="U325" s="14"/>
      <c r="V325" s="14"/>
      <c r="W325" s="14"/>
      <c r="X325" s="14"/>
      <c r="Y325" s="14"/>
      <c r="Z325" s="14"/>
      <c r="AA325" s="15"/>
      <c r="AB325" s="3"/>
      <c r="AC325" s="3"/>
      <c r="AD325" s="3"/>
      <c r="AE325" s="3"/>
      <c r="AF325" s="3"/>
      <c r="AG325" s="3"/>
      <c r="AH325" s="3"/>
      <c r="AI325" s="3"/>
      <c r="AJ325" s="3"/>
      <c r="AK325" s="3"/>
      <c r="AL325" s="3"/>
      <c r="AM325" s="3"/>
      <c r="AN325" s="3"/>
      <c r="AO325" s="3"/>
    </row>
    <row r="326" spans="1:41" x14ac:dyDescent="0.25">
      <c r="A326" s="171"/>
      <c r="B326" s="13"/>
      <c r="C326" s="14"/>
      <c r="D326" s="60"/>
      <c r="E326" s="56"/>
      <c r="F326" s="56"/>
      <c r="G326" s="14"/>
      <c r="H326" s="56"/>
      <c r="I326" s="14"/>
      <c r="J326" s="14"/>
      <c r="K326" s="14"/>
      <c r="L326" s="14"/>
      <c r="M326" s="14"/>
      <c r="N326" s="14"/>
      <c r="O326" s="14"/>
      <c r="P326" s="14"/>
      <c r="Q326" s="14"/>
      <c r="R326" s="14"/>
      <c r="S326" s="14"/>
      <c r="T326" s="14"/>
      <c r="U326" s="14"/>
      <c r="V326" s="14"/>
      <c r="W326" s="14"/>
      <c r="X326" s="14"/>
      <c r="Y326" s="14"/>
      <c r="Z326" s="14"/>
      <c r="AA326" s="15"/>
      <c r="AB326" s="3"/>
      <c r="AC326" s="3"/>
      <c r="AD326" s="3"/>
      <c r="AE326" s="3"/>
      <c r="AF326" s="3"/>
      <c r="AG326" s="3"/>
      <c r="AH326" s="3"/>
      <c r="AI326" s="3"/>
      <c r="AJ326" s="3"/>
      <c r="AK326" s="3"/>
      <c r="AL326" s="3"/>
      <c r="AM326" s="3"/>
      <c r="AN326" s="3"/>
      <c r="AO326" s="3"/>
    </row>
    <row r="327" spans="1:41" x14ac:dyDescent="0.25">
      <c r="A327" s="171"/>
      <c r="B327" s="13"/>
      <c r="C327" s="14"/>
      <c r="D327" s="60"/>
      <c r="E327" s="56"/>
      <c r="F327" s="56"/>
      <c r="G327" s="14"/>
      <c r="H327" s="56"/>
      <c r="I327" s="14"/>
      <c r="J327" s="14"/>
      <c r="K327" s="14"/>
      <c r="L327" s="14"/>
      <c r="M327" s="14"/>
      <c r="N327" s="14"/>
      <c r="O327" s="14"/>
      <c r="P327" s="14"/>
      <c r="Q327" s="14"/>
      <c r="R327" s="14"/>
      <c r="S327" s="14"/>
      <c r="T327" s="14"/>
      <c r="U327" s="14"/>
      <c r="V327" s="14"/>
      <c r="W327" s="14"/>
      <c r="X327" s="14"/>
      <c r="Y327" s="14"/>
      <c r="Z327" s="14"/>
      <c r="AA327" s="15"/>
      <c r="AB327" s="3"/>
      <c r="AC327" s="3"/>
      <c r="AD327" s="3"/>
      <c r="AE327" s="3"/>
      <c r="AF327" s="3"/>
      <c r="AG327" s="3"/>
      <c r="AH327" s="3"/>
      <c r="AI327" s="3"/>
      <c r="AJ327" s="3"/>
      <c r="AK327" s="3"/>
      <c r="AL327" s="3"/>
      <c r="AM327" s="3"/>
      <c r="AN327" s="3"/>
      <c r="AO327" s="3"/>
    </row>
    <row r="328" spans="1:41" ht="18.75" x14ac:dyDescent="0.3">
      <c r="A328" s="171"/>
      <c r="B328" s="67"/>
      <c r="C328" s="56"/>
      <c r="D328" s="60"/>
      <c r="E328" s="56"/>
      <c r="F328" s="56"/>
      <c r="G328" s="56"/>
      <c r="H328" s="56"/>
      <c r="I328" s="74"/>
      <c r="J328" s="14"/>
      <c r="K328" s="14"/>
      <c r="L328" s="14"/>
      <c r="M328" s="14"/>
      <c r="N328" s="14"/>
      <c r="O328" s="14"/>
      <c r="P328" s="14"/>
      <c r="Q328" s="14"/>
      <c r="R328" s="14"/>
      <c r="S328" s="14"/>
      <c r="T328" s="14"/>
      <c r="U328" s="14"/>
      <c r="V328" s="14"/>
      <c r="W328" s="14"/>
      <c r="X328" s="14"/>
      <c r="Y328" s="14"/>
      <c r="Z328" s="14"/>
      <c r="AA328" s="15"/>
      <c r="AB328" s="3"/>
      <c r="AC328" s="3"/>
      <c r="AD328" s="3"/>
      <c r="AE328" s="3"/>
      <c r="AF328" s="3"/>
      <c r="AG328" s="3"/>
      <c r="AH328" s="3"/>
      <c r="AI328" s="3"/>
      <c r="AJ328" s="3"/>
      <c r="AK328" s="3"/>
      <c r="AL328" s="3"/>
      <c r="AM328" s="3"/>
      <c r="AN328" s="3"/>
      <c r="AO328" s="3"/>
    </row>
    <row r="329" spans="1:41" x14ac:dyDescent="0.25">
      <c r="A329" s="171"/>
      <c r="B329" s="13"/>
      <c r="C329" s="14"/>
      <c r="D329" s="60"/>
      <c r="E329" s="56"/>
      <c r="F329" s="56"/>
      <c r="G329" s="14"/>
      <c r="H329" s="56"/>
      <c r="I329" s="14"/>
      <c r="J329" s="14"/>
      <c r="K329" s="14"/>
      <c r="L329" s="14"/>
      <c r="M329" s="14"/>
      <c r="N329" s="14"/>
      <c r="O329" s="14"/>
      <c r="P329" s="14"/>
      <c r="Q329" s="14"/>
      <c r="R329" s="14"/>
      <c r="S329" s="14"/>
      <c r="T329" s="14"/>
      <c r="U329" s="14"/>
      <c r="V329" s="14"/>
      <c r="W329" s="14"/>
      <c r="X329" s="14"/>
      <c r="Y329" s="14"/>
      <c r="Z329" s="14"/>
      <c r="AA329" s="15"/>
      <c r="AB329" s="3"/>
      <c r="AC329" s="3"/>
      <c r="AD329" s="3"/>
      <c r="AE329" s="3"/>
      <c r="AF329" s="3"/>
      <c r="AG329" s="3"/>
      <c r="AH329" s="3"/>
      <c r="AI329" s="3"/>
      <c r="AJ329" s="3"/>
      <c r="AK329" s="3"/>
      <c r="AL329" s="3"/>
      <c r="AM329" s="3"/>
      <c r="AN329" s="3"/>
      <c r="AO329" s="3"/>
    </row>
    <row r="330" spans="1:41" x14ac:dyDescent="0.25">
      <c r="A330" s="171"/>
      <c r="B330" s="13"/>
      <c r="C330" s="14"/>
      <c r="D330" s="14"/>
      <c r="E330" s="56"/>
      <c r="F330" s="56"/>
      <c r="G330" s="14"/>
      <c r="H330" s="56"/>
      <c r="I330" s="14"/>
      <c r="J330" s="14"/>
      <c r="K330" s="14"/>
      <c r="L330" s="14"/>
      <c r="M330" s="14"/>
      <c r="N330" s="14"/>
      <c r="O330" s="14"/>
      <c r="P330" s="14"/>
      <c r="Q330" s="14"/>
      <c r="R330" s="14"/>
      <c r="S330" s="14"/>
      <c r="T330" s="14"/>
      <c r="U330" s="14"/>
      <c r="V330" s="14"/>
      <c r="W330" s="14"/>
      <c r="X330" s="14"/>
      <c r="Y330" s="14"/>
      <c r="Z330" s="14"/>
      <c r="AA330" s="15"/>
      <c r="AB330" s="3"/>
      <c r="AC330" s="3"/>
      <c r="AD330" s="3"/>
      <c r="AE330" s="3"/>
      <c r="AF330" s="3"/>
      <c r="AG330" s="3"/>
      <c r="AH330" s="3"/>
      <c r="AI330" s="3"/>
      <c r="AJ330" s="3"/>
      <c r="AK330" s="3"/>
      <c r="AL330" s="3"/>
      <c r="AM330" s="3"/>
      <c r="AN330" s="3"/>
      <c r="AO330" s="3"/>
    </row>
    <row r="331" spans="1:41" x14ac:dyDescent="0.25">
      <c r="A331" s="171"/>
      <c r="B331" s="13"/>
      <c r="C331" s="14"/>
      <c r="D331" s="60"/>
      <c r="E331" s="56"/>
      <c r="F331" s="56"/>
      <c r="G331" s="14"/>
      <c r="H331" s="14"/>
      <c r="I331" s="14"/>
      <c r="J331" s="14"/>
      <c r="K331" s="14"/>
      <c r="L331" s="14"/>
      <c r="M331" s="14"/>
      <c r="N331" s="14"/>
      <c r="O331" s="14"/>
      <c r="P331" s="14"/>
      <c r="Q331" s="14"/>
      <c r="R331" s="14"/>
      <c r="S331" s="14"/>
      <c r="T331" s="14"/>
      <c r="U331" s="14"/>
      <c r="V331" s="14"/>
      <c r="W331" s="14"/>
      <c r="X331" s="14"/>
      <c r="Y331" s="14"/>
      <c r="Z331" s="14"/>
      <c r="AA331" s="15"/>
      <c r="AB331" s="3"/>
      <c r="AC331" s="3"/>
      <c r="AD331" s="3"/>
      <c r="AE331" s="3"/>
      <c r="AF331" s="3"/>
      <c r="AG331" s="3"/>
      <c r="AH331" s="3"/>
      <c r="AI331" s="3"/>
      <c r="AJ331" s="3"/>
      <c r="AK331" s="3"/>
      <c r="AL331" s="3"/>
      <c r="AM331" s="3"/>
      <c r="AN331" s="3"/>
      <c r="AO331" s="3"/>
    </row>
    <row r="332" spans="1:41" x14ac:dyDescent="0.25">
      <c r="A332" s="171"/>
      <c r="B332" s="13"/>
      <c r="C332" s="14"/>
      <c r="D332" s="60"/>
      <c r="E332" s="56"/>
      <c r="F332" s="56"/>
      <c r="G332" s="14"/>
      <c r="H332" s="56"/>
      <c r="I332" s="14"/>
      <c r="J332" s="14"/>
      <c r="K332" s="14"/>
      <c r="L332" s="14"/>
      <c r="M332" s="14"/>
      <c r="N332" s="14"/>
      <c r="O332" s="14"/>
      <c r="P332" s="14"/>
      <c r="Q332" s="14"/>
      <c r="R332" s="14"/>
      <c r="S332" s="14"/>
      <c r="T332" s="14"/>
      <c r="U332" s="14"/>
      <c r="V332" s="14"/>
      <c r="W332" s="14"/>
      <c r="X332" s="14"/>
      <c r="Y332" s="14"/>
      <c r="Z332" s="14"/>
      <c r="AA332" s="15"/>
      <c r="AB332" s="3"/>
      <c r="AC332" s="3"/>
      <c r="AD332" s="3"/>
      <c r="AE332" s="3"/>
      <c r="AF332" s="3"/>
      <c r="AG332" s="3"/>
      <c r="AH332" s="3"/>
      <c r="AI332" s="3"/>
      <c r="AJ332" s="3"/>
      <c r="AK332" s="3"/>
      <c r="AL332" s="3"/>
      <c r="AM332" s="3"/>
      <c r="AN332" s="3"/>
      <c r="AO332" s="3"/>
    </row>
    <row r="333" spans="1:41" x14ac:dyDescent="0.25">
      <c r="A333" s="171"/>
      <c r="B333" s="13"/>
      <c r="C333" s="14"/>
      <c r="D333" s="60"/>
      <c r="E333" s="56"/>
      <c r="F333" s="56"/>
      <c r="G333" s="14"/>
      <c r="H333" s="56"/>
      <c r="I333" s="14"/>
      <c r="J333" s="14"/>
      <c r="K333" s="14"/>
      <c r="L333" s="14"/>
      <c r="M333" s="14"/>
      <c r="N333" s="14"/>
      <c r="O333" s="14"/>
      <c r="P333" s="14"/>
      <c r="Q333" s="14"/>
      <c r="R333" s="14"/>
      <c r="S333" s="14"/>
      <c r="T333" s="14"/>
      <c r="U333" s="14"/>
      <c r="V333" s="14"/>
      <c r="W333" s="14"/>
      <c r="X333" s="14"/>
      <c r="Y333" s="14"/>
      <c r="Z333" s="14"/>
      <c r="AA333" s="15"/>
      <c r="AB333" s="3"/>
      <c r="AC333" s="3"/>
      <c r="AD333" s="3"/>
      <c r="AE333" s="3"/>
      <c r="AF333" s="3"/>
      <c r="AG333" s="3"/>
      <c r="AH333" s="3"/>
      <c r="AI333" s="3"/>
      <c r="AJ333" s="3"/>
      <c r="AK333" s="3"/>
      <c r="AL333" s="3"/>
      <c r="AM333" s="3"/>
      <c r="AN333" s="3"/>
      <c r="AO333" s="3"/>
    </row>
    <row r="334" spans="1:41" x14ac:dyDescent="0.25">
      <c r="A334" s="171"/>
      <c r="B334" s="13"/>
      <c r="C334" s="14"/>
      <c r="D334" s="60"/>
      <c r="E334" s="56"/>
      <c r="F334" s="56"/>
      <c r="G334" s="14"/>
      <c r="H334" s="56"/>
      <c r="I334" s="14"/>
      <c r="J334" s="14"/>
      <c r="K334" s="14"/>
      <c r="L334" s="14"/>
      <c r="M334" s="14"/>
      <c r="N334" s="14"/>
      <c r="O334" s="14"/>
      <c r="P334" s="14"/>
      <c r="Q334" s="14"/>
      <c r="R334" s="14"/>
      <c r="S334" s="14"/>
      <c r="T334" s="14"/>
      <c r="U334" s="14"/>
      <c r="V334" s="14"/>
      <c r="W334" s="14"/>
      <c r="X334" s="14"/>
      <c r="Y334" s="14"/>
      <c r="Z334" s="14"/>
      <c r="AA334" s="15"/>
      <c r="AB334" s="3"/>
      <c r="AC334" s="3"/>
      <c r="AD334" s="3"/>
      <c r="AE334" s="3"/>
      <c r="AF334" s="3"/>
      <c r="AG334" s="3"/>
      <c r="AH334" s="3"/>
      <c r="AI334" s="3"/>
      <c r="AJ334" s="3"/>
      <c r="AK334" s="3"/>
      <c r="AL334" s="3"/>
      <c r="AM334" s="3"/>
      <c r="AN334" s="3"/>
      <c r="AO334" s="3"/>
    </row>
    <row r="335" spans="1:41" x14ac:dyDescent="0.25">
      <c r="A335" s="171"/>
      <c r="B335" s="13"/>
      <c r="C335" s="56"/>
      <c r="D335" s="60"/>
      <c r="E335" s="56"/>
      <c r="F335" s="56"/>
      <c r="G335" s="56"/>
      <c r="H335" s="56"/>
      <c r="I335" s="14"/>
      <c r="J335" s="14"/>
      <c r="K335" s="14"/>
      <c r="L335" s="14"/>
      <c r="M335" s="14"/>
      <c r="N335" s="14"/>
      <c r="O335" s="14"/>
      <c r="P335" s="14"/>
      <c r="Q335" s="14"/>
      <c r="R335" s="14"/>
      <c r="S335" s="14"/>
      <c r="T335" s="14"/>
      <c r="U335" s="14"/>
      <c r="V335" s="14"/>
      <c r="W335" s="14"/>
      <c r="X335" s="14"/>
      <c r="Y335" s="14"/>
      <c r="Z335" s="14"/>
      <c r="AA335" s="15"/>
      <c r="AB335" s="3"/>
      <c r="AC335" s="3"/>
      <c r="AD335" s="3"/>
      <c r="AE335" s="3"/>
      <c r="AF335" s="3"/>
      <c r="AG335" s="3"/>
      <c r="AH335" s="3"/>
      <c r="AI335" s="3"/>
      <c r="AJ335" s="3"/>
      <c r="AK335" s="3"/>
      <c r="AL335" s="3"/>
      <c r="AM335" s="3"/>
      <c r="AN335" s="3"/>
      <c r="AO335" s="3"/>
    </row>
    <row r="336" spans="1:41" ht="18.75" x14ac:dyDescent="0.3">
      <c r="A336" s="171"/>
      <c r="B336" s="67"/>
      <c r="C336" s="14"/>
      <c r="D336" s="60"/>
      <c r="E336" s="56"/>
      <c r="F336" s="56"/>
      <c r="G336" s="14"/>
      <c r="H336" s="56"/>
      <c r="I336" s="74"/>
      <c r="J336" s="14"/>
      <c r="K336" s="14"/>
      <c r="L336" s="14"/>
      <c r="M336" s="14"/>
      <c r="N336" s="14"/>
      <c r="O336" s="14"/>
      <c r="P336" s="14"/>
      <c r="Q336" s="14"/>
      <c r="R336" s="14"/>
      <c r="S336" s="14"/>
      <c r="T336" s="14"/>
      <c r="U336" s="14"/>
      <c r="V336" s="14"/>
      <c r="W336" s="14"/>
      <c r="X336" s="14"/>
      <c r="Y336" s="14"/>
      <c r="Z336" s="14"/>
      <c r="AA336" s="15"/>
      <c r="AB336" s="3"/>
      <c r="AC336" s="3"/>
      <c r="AD336" s="3"/>
      <c r="AE336" s="3"/>
      <c r="AF336" s="3"/>
      <c r="AG336" s="3"/>
      <c r="AH336" s="3"/>
      <c r="AI336" s="3"/>
      <c r="AJ336" s="3"/>
      <c r="AK336" s="3"/>
      <c r="AL336" s="3"/>
      <c r="AM336" s="3"/>
      <c r="AN336" s="3"/>
      <c r="AO336" s="3"/>
    </row>
    <row r="337" spans="1:41" x14ac:dyDescent="0.25">
      <c r="A337" s="171"/>
      <c r="B337" s="13"/>
      <c r="C337" s="14"/>
      <c r="D337" s="14"/>
      <c r="E337" s="56"/>
      <c r="F337" s="56"/>
      <c r="G337" s="14"/>
      <c r="H337" s="56"/>
      <c r="I337" s="14"/>
      <c r="J337" s="14"/>
      <c r="K337" s="14"/>
      <c r="L337" s="14"/>
      <c r="M337" s="14"/>
      <c r="N337" s="14"/>
      <c r="O337" s="14"/>
      <c r="P337" s="14"/>
      <c r="Q337" s="14"/>
      <c r="R337" s="14"/>
      <c r="S337" s="14"/>
      <c r="T337" s="14"/>
      <c r="U337" s="14"/>
      <c r="V337" s="14"/>
      <c r="W337" s="14"/>
      <c r="X337" s="14"/>
      <c r="Y337" s="14"/>
      <c r="Z337" s="14"/>
      <c r="AA337" s="15"/>
      <c r="AB337" s="3"/>
      <c r="AC337" s="3"/>
      <c r="AD337" s="3"/>
      <c r="AE337" s="3"/>
      <c r="AF337" s="3"/>
      <c r="AG337" s="3"/>
      <c r="AH337" s="3"/>
      <c r="AI337" s="3"/>
      <c r="AJ337" s="3"/>
      <c r="AK337" s="3"/>
      <c r="AL337" s="3"/>
      <c r="AM337" s="3"/>
      <c r="AN337" s="3"/>
      <c r="AO337" s="3"/>
    </row>
    <row r="338" spans="1:41" x14ac:dyDescent="0.25">
      <c r="A338" s="171"/>
      <c r="B338" s="13"/>
      <c r="C338" s="14"/>
      <c r="D338" s="60"/>
      <c r="E338" s="56"/>
      <c r="F338" s="56"/>
      <c r="G338" s="14"/>
      <c r="H338" s="14"/>
      <c r="I338" s="14"/>
      <c r="J338" s="14"/>
      <c r="K338" s="14"/>
      <c r="L338" s="14"/>
      <c r="M338" s="14"/>
      <c r="N338" s="14"/>
      <c r="O338" s="14"/>
      <c r="P338" s="14"/>
      <c r="Q338" s="14"/>
      <c r="R338" s="14"/>
      <c r="S338" s="14"/>
      <c r="T338" s="14"/>
      <c r="U338" s="14"/>
      <c r="V338" s="14"/>
      <c r="W338" s="14"/>
      <c r="X338" s="14"/>
      <c r="Y338" s="14"/>
      <c r="Z338" s="14"/>
      <c r="AA338" s="15"/>
      <c r="AB338" s="3"/>
      <c r="AC338" s="3"/>
      <c r="AD338" s="3"/>
      <c r="AE338" s="3"/>
      <c r="AF338" s="3"/>
      <c r="AG338" s="3"/>
      <c r="AH338" s="3"/>
      <c r="AI338" s="3"/>
      <c r="AJ338" s="3"/>
      <c r="AK338" s="3"/>
      <c r="AL338" s="3"/>
      <c r="AM338" s="3"/>
      <c r="AN338" s="3"/>
      <c r="AO338" s="3"/>
    </row>
    <row r="339" spans="1:41" x14ac:dyDescent="0.25">
      <c r="A339" s="171"/>
      <c r="B339" s="13"/>
      <c r="C339" s="14"/>
      <c r="D339" s="60"/>
      <c r="E339" s="56"/>
      <c r="F339" s="56"/>
      <c r="G339" s="14"/>
      <c r="H339" s="56"/>
      <c r="I339" s="14"/>
      <c r="J339" s="14"/>
      <c r="K339" s="14"/>
      <c r="L339" s="14"/>
      <c r="M339" s="14"/>
      <c r="N339" s="14"/>
      <c r="O339" s="14"/>
      <c r="P339" s="14"/>
      <c r="Q339" s="14"/>
      <c r="R339" s="14"/>
      <c r="S339" s="14"/>
      <c r="T339" s="14"/>
      <c r="U339" s="14"/>
      <c r="V339" s="14"/>
      <c r="W339" s="14"/>
      <c r="X339" s="14"/>
      <c r="Y339" s="14"/>
      <c r="Z339" s="14"/>
      <c r="AA339" s="15"/>
      <c r="AB339" s="3"/>
      <c r="AC339" s="3"/>
      <c r="AD339" s="3"/>
      <c r="AE339" s="3"/>
      <c r="AF339" s="3"/>
      <c r="AG339" s="3"/>
      <c r="AH339" s="3"/>
      <c r="AI339" s="3"/>
      <c r="AJ339" s="3"/>
      <c r="AK339" s="3"/>
      <c r="AL339" s="3"/>
      <c r="AM339" s="3"/>
      <c r="AN339" s="3"/>
      <c r="AO339" s="3"/>
    </row>
    <row r="340" spans="1:41" x14ac:dyDescent="0.25">
      <c r="A340" s="171"/>
      <c r="B340" s="13"/>
      <c r="C340" s="14"/>
      <c r="D340" s="60"/>
      <c r="E340" s="56"/>
      <c r="F340" s="56"/>
      <c r="G340" s="14"/>
      <c r="H340" s="56"/>
      <c r="I340" s="14"/>
      <c r="J340" s="14"/>
      <c r="K340" s="14"/>
      <c r="L340" s="14"/>
      <c r="M340" s="14"/>
      <c r="N340" s="14"/>
      <c r="O340" s="14"/>
      <c r="P340" s="14"/>
      <c r="Q340" s="14"/>
      <c r="R340" s="14"/>
      <c r="S340" s="14"/>
      <c r="T340" s="14"/>
      <c r="U340" s="14"/>
      <c r="V340" s="14"/>
      <c r="W340" s="14"/>
      <c r="X340" s="14"/>
      <c r="Y340" s="14"/>
      <c r="Z340" s="14"/>
      <c r="AA340" s="15"/>
      <c r="AB340" s="3"/>
      <c r="AC340" s="3"/>
      <c r="AD340" s="3"/>
      <c r="AE340" s="3"/>
      <c r="AF340" s="3"/>
      <c r="AG340" s="3"/>
      <c r="AH340" s="3"/>
      <c r="AI340" s="3"/>
      <c r="AJ340" s="3"/>
      <c r="AK340" s="3"/>
      <c r="AL340" s="3"/>
      <c r="AM340" s="3"/>
      <c r="AN340" s="3"/>
      <c r="AO340" s="3"/>
    </row>
    <row r="341" spans="1:41" x14ac:dyDescent="0.25">
      <c r="A341" s="171"/>
      <c r="B341" s="13"/>
      <c r="C341" s="14"/>
      <c r="D341" s="60"/>
      <c r="E341" s="56"/>
      <c r="F341" s="56"/>
      <c r="G341" s="14"/>
      <c r="H341" s="56"/>
      <c r="I341" s="14"/>
      <c r="J341" s="14"/>
      <c r="K341" s="14"/>
      <c r="L341" s="14"/>
      <c r="M341" s="14"/>
      <c r="N341" s="14"/>
      <c r="O341" s="14"/>
      <c r="P341" s="14"/>
      <c r="Q341" s="14"/>
      <c r="R341" s="14"/>
      <c r="S341" s="14"/>
      <c r="T341" s="14"/>
      <c r="U341" s="14"/>
      <c r="V341" s="14"/>
      <c r="W341" s="14"/>
      <c r="X341" s="14"/>
      <c r="Y341" s="14"/>
      <c r="Z341" s="14"/>
      <c r="AA341" s="15"/>
      <c r="AB341" s="3"/>
      <c r="AC341" s="3"/>
      <c r="AD341" s="3"/>
      <c r="AE341" s="3"/>
      <c r="AF341" s="3"/>
      <c r="AG341" s="3"/>
      <c r="AH341" s="3"/>
      <c r="AI341" s="3"/>
      <c r="AJ341" s="3"/>
      <c r="AK341" s="3"/>
      <c r="AL341" s="3"/>
      <c r="AM341" s="3"/>
      <c r="AN341" s="3"/>
      <c r="AO341" s="3"/>
    </row>
    <row r="342" spans="1:41" x14ac:dyDescent="0.25">
      <c r="A342" s="171"/>
      <c r="B342" s="13"/>
      <c r="C342" s="56"/>
      <c r="D342" s="60"/>
      <c r="E342" s="56"/>
      <c r="F342" s="56"/>
      <c r="G342" s="56"/>
      <c r="H342" s="56"/>
      <c r="I342" s="14"/>
      <c r="J342" s="14"/>
      <c r="K342" s="14"/>
      <c r="L342" s="14"/>
      <c r="M342" s="14"/>
      <c r="N342" s="14"/>
      <c r="O342" s="14"/>
      <c r="P342" s="14"/>
      <c r="Q342" s="14"/>
      <c r="R342" s="14"/>
      <c r="S342" s="14"/>
      <c r="T342" s="14"/>
      <c r="U342" s="14"/>
      <c r="V342" s="14"/>
      <c r="W342" s="14"/>
      <c r="X342" s="14"/>
      <c r="Y342" s="14"/>
      <c r="Z342" s="14"/>
      <c r="AA342" s="15"/>
      <c r="AB342" s="3"/>
      <c r="AC342" s="3"/>
      <c r="AD342" s="3"/>
      <c r="AE342" s="3"/>
      <c r="AF342" s="3"/>
      <c r="AG342" s="3"/>
      <c r="AH342" s="3"/>
      <c r="AI342" s="3"/>
      <c r="AJ342" s="3"/>
      <c r="AK342" s="3"/>
      <c r="AL342" s="3"/>
      <c r="AM342" s="3"/>
      <c r="AN342" s="3"/>
      <c r="AO342" s="3"/>
    </row>
    <row r="343" spans="1:41" x14ac:dyDescent="0.25">
      <c r="A343" s="171"/>
      <c r="B343" s="13"/>
      <c r="C343" s="14"/>
      <c r="D343" s="60"/>
      <c r="E343" s="56"/>
      <c r="F343" s="56"/>
      <c r="G343" s="14"/>
      <c r="H343" s="56"/>
      <c r="I343" s="14"/>
      <c r="J343" s="14"/>
      <c r="K343" s="14"/>
      <c r="L343" s="14"/>
      <c r="M343" s="14"/>
      <c r="N343" s="14"/>
      <c r="O343" s="14"/>
      <c r="P343" s="14"/>
      <c r="Q343" s="14"/>
      <c r="R343" s="14"/>
      <c r="S343" s="14"/>
      <c r="T343" s="14"/>
      <c r="U343" s="14"/>
      <c r="V343" s="14"/>
      <c r="W343" s="14"/>
      <c r="X343" s="14"/>
      <c r="Y343" s="14"/>
      <c r="Z343" s="14"/>
      <c r="AA343" s="15"/>
      <c r="AB343" s="3"/>
      <c r="AC343" s="3"/>
      <c r="AD343" s="3"/>
      <c r="AE343" s="3"/>
      <c r="AF343" s="3"/>
      <c r="AG343" s="3"/>
      <c r="AH343" s="3"/>
      <c r="AI343" s="3"/>
      <c r="AJ343" s="3"/>
      <c r="AK343" s="3"/>
      <c r="AL343" s="3"/>
      <c r="AM343" s="3"/>
      <c r="AN343" s="3"/>
      <c r="AO343" s="3"/>
    </row>
    <row r="344" spans="1:41" ht="18.75" x14ac:dyDescent="0.3">
      <c r="A344" s="171"/>
      <c r="B344" s="67"/>
      <c r="C344" s="14"/>
      <c r="D344" s="14"/>
      <c r="E344" s="56"/>
      <c r="F344" s="56"/>
      <c r="G344" s="14"/>
      <c r="H344" s="56"/>
      <c r="I344" s="74"/>
      <c r="J344" s="14"/>
      <c r="K344" s="14"/>
      <c r="L344" s="14"/>
      <c r="M344" s="14"/>
      <c r="N344" s="14"/>
      <c r="O344" s="14"/>
      <c r="P344" s="14"/>
      <c r="Q344" s="14"/>
      <c r="R344" s="14"/>
      <c r="S344" s="14"/>
      <c r="T344" s="14"/>
      <c r="U344" s="14"/>
      <c r="V344" s="14"/>
      <c r="W344" s="14"/>
      <c r="X344" s="14"/>
      <c r="Y344" s="14"/>
      <c r="Z344" s="14"/>
      <c r="AA344" s="15"/>
      <c r="AB344" s="3"/>
      <c r="AC344" s="3"/>
      <c r="AD344" s="3"/>
      <c r="AE344" s="3"/>
      <c r="AF344" s="3"/>
      <c r="AG344" s="3"/>
      <c r="AH344" s="3"/>
      <c r="AI344" s="3"/>
      <c r="AJ344" s="3"/>
      <c r="AK344" s="3"/>
      <c r="AL344" s="3"/>
      <c r="AM344" s="3"/>
      <c r="AN344" s="3"/>
      <c r="AO344" s="3"/>
    </row>
    <row r="345" spans="1:41" x14ac:dyDescent="0.25">
      <c r="A345" s="171"/>
      <c r="B345" s="13"/>
      <c r="C345" s="14"/>
      <c r="D345" s="60"/>
      <c r="E345" s="56"/>
      <c r="F345" s="56"/>
      <c r="G345" s="14"/>
      <c r="H345" s="14"/>
      <c r="I345" s="14"/>
      <c r="J345" s="14"/>
      <c r="K345" s="14"/>
      <c r="L345" s="14"/>
      <c r="M345" s="14"/>
      <c r="N345" s="14"/>
      <c r="O345" s="14"/>
      <c r="P345" s="14"/>
      <c r="Q345" s="14"/>
      <c r="R345" s="14"/>
      <c r="S345" s="14"/>
      <c r="T345" s="14"/>
      <c r="U345" s="14"/>
      <c r="V345" s="14"/>
      <c r="W345" s="14"/>
      <c r="X345" s="14"/>
      <c r="Y345" s="14"/>
      <c r="Z345" s="14"/>
      <c r="AA345" s="15"/>
      <c r="AB345" s="3"/>
      <c r="AC345" s="3"/>
      <c r="AD345" s="3"/>
      <c r="AE345" s="3"/>
      <c r="AF345" s="3"/>
      <c r="AG345" s="3"/>
      <c r="AH345" s="3"/>
      <c r="AI345" s="3"/>
      <c r="AJ345" s="3"/>
      <c r="AK345" s="3"/>
      <c r="AL345" s="3"/>
      <c r="AM345" s="3"/>
      <c r="AN345" s="3"/>
      <c r="AO345" s="3"/>
    </row>
    <row r="346" spans="1:41" x14ac:dyDescent="0.25">
      <c r="A346" s="171"/>
      <c r="B346" s="13"/>
      <c r="C346" s="14"/>
      <c r="D346" s="60"/>
      <c r="E346" s="56"/>
      <c r="F346" s="56"/>
      <c r="G346" s="14"/>
      <c r="H346" s="56"/>
      <c r="I346" s="14"/>
      <c r="J346" s="14"/>
      <c r="K346" s="14"/>
      <c r="L346" s="14"/>
      <c r="M346" s="14"/>
      <c r="N346" s="14"/>
      <c r="O346" s="14"/>
      <c r="P346" s="14"/>
      <c r="Q346" s="14"/>
      <c r="R346" s="14"/>
      <c r="S346" s="14"/>
      <c r="T346" s="14"/>
      <c r="U346" s="14"/>
      <c r="V346" s="14"/>
      <c r="W346" s="14"/>
      <c r="X346" s="14"/>
      <c r="Y346" s="14"/>
      <c r="Z346" s="14"/>
      <c r="AA346" s="15"/>
      <c r="AB346" s="3"/>
      <c r="AC346" s="3"/>
      <c r="AD346" s="3"/>
      <c r="AE346" s="3"/>
      <c r="AF346" s="3"/>
      <c r="AG346" s="3"/>
      <c r="AH346" s="3"/>
      <c r="AI346" s="3"/>
      <c r="AJ346" s="3"/>
      <c r="AK346" s="3"/>
      <c r="AL346" s="3"/>
      <c r="AM346" s="3"/>
      <c r="AN346" s="3"/>
      <c r="AO346" s="3"/>
    </row>
    <row r="347" spans="1:41" x14ac:dyDescent="0.25">
      <c r="A347" s="171"/>
      <c r="B347" s="13"/>
      <c r="C347" s="14"/>
      <c r="D347" s="60"/>
      <c r="E347" s="56"/>
      <c r="F347" s="56"/>
      <c r="G347" s="14"/>
      <c r="H347" s="56"/>
      <c r="I347" s="14"/>
      <c r="J347" s="14"/>
      <c r="K347" s="14"/>
      <c r="L347" s="14"/>
      <c r="M347" s="14"/>
      <c r="N347" s="14"/>
      <c r="O347" s="14"/>
      <c r="P347" s="14"/>
      <c r="Q347" s="14"/>
      <c r="R347" s="14"/>
      <c r="S347" s="14"/>
      <c r="T347" s="14"/>
      <c r="U347" s="14"/>
      <c r="V347" s="14"/>
      <c r="W347" s="14"/>
      <c r="X347" s="14"/>
      <c r="Y347" s="14"/>
      <c r="Z347" s="14"/>
      <c r="AA347" s="15"/>
      <c r="AB347" s="3"/>
      <c r="AC347" s="3"/>
      <c r="AD347" s="3"/>
      <c r="AE347" s="3"/>
      <c r="AF347" s="3"/>
      <c r="AG347" s="3"/>
      <c r="AH347" s="3"/>
      <c r="AI347" s="3"/>
      <c r="AJ347" s="3"/>
      <c r="AK347" s="3"/>
      <c r="AL347" s="3"/>
      <c r="AM347" s="3"/>
      <c r="AN347" s="3"/>
      <c r="AO347" s="3"/>
    </row>
    <row r="348" spans="1:41" x14ac:dyDescent="0.25">
      <c r="A348" s="171"/>
      <c r="B348" s="13"/>
      <c r="C348" s="14"/>
      <c r="D348" s="60"/>
      <c r="E348" s="56"/>
      <c r="F348" s="56"/>
      <c r="G348" s="14"/>
      <c r="H348" s="56"/>
      <c r="I348" s="14"/>
      <c r="J348" s="14"/>
      <c r="K348" s="14"/>
      <c r="L348" s="14"/>
      <c r="M348" s="14"/>
      <c r="N348" s="14"/>
      <c r="O348" s="14"/>
      <c r="P348" s="14"/>
      <c r="Q348" s="14"/>
      <c r="R348" s="14"/>
      <c r="S348" s="14"/>
      <c r="T348" s="14"/>
      <c r="U348" s="14"/>
      <c r="V348" s="14"/>
      <c r="W348" s="14"/>
      <c r="X348" s="14"/>
      <c r="Y348" s="14"/>
      <c r="Z348" s="14"/>
      <c r="AA348" s="15"/>
      <c r="AB348" s="3"/>
      <c r="AC348" s="3"/>
      <c r="AD348" s="3"/>
      <c r="AE348" s="3"/>
      <c r="AF348" s="3"/>
      <c r="AG348" s="3"/>
      <c r="AH348" s="3"/>
      <c r="AI348" s="3"/>
      <c r="AJ348" s="3"/>
      <c r="AK348" s="3"/>
      <c r="AL348" s="3"/>
      <c r="AM348" s="3"/>
      <c r="AN348" s="3"/>
      <c r="AO348" s="3"/>
    </row>
    <row r="349" spans="1:41" x14ac:dyDescent="0.25">
      <c r="A349" s="171"/>
      <c r="B349" s="13"/>
      <c r="C349" s="56"/>
      <c r="D349" s="60"/>
      <c r="E349" s="56"/>
      <c r="F349" s="56"/>
      <c r="G349" s="56"/>
      <c r="H349" s="56"/>
      <c r="I349" s="14"/>
      <c r="J349" s="14"/>
      <c r="K349" s="14"/>
      <c r="L349" s="14"/>
      <c r="M349" s="14"/>
      <c r="N349" s="14"/>
      <c r="O349" s="14"/>
      <c r="P349" s="14"/>
      <c r="Q349" s="14"/>
      <c r="R349" s="14"/>
      <c r="S349" s="14"/>
      <c r="T349" s="14"/>
      <c r="U349" s="14"/>
      <c r="V349" s="14"/>
      <c r="W349" s="14"/>
      <c r="X349" s="14"/>
      <c r="Y349" s="14"/>
      <c r="Z349" s="14"/>
      <c r="AA349" s="15"/>
      <c r="AB349" s="3"/>
      <c r="AC349" s="3"/>
      <c r="AD349" s="3"/>
      <c r="AE349" s="3"/>
      <c r="AF349" s="3"/>
      <c r="AG349" s="3"/>
      <c r="AH349" s="3"/>
      <c r="AI349" s="3"/>
      <c r="AJ349" s="3"/>
      <c r="AK349" s="3"/>
      <c r="AL349" s="3"/>
      <c r="AM349" s="3"/>
      <c r="AN349" s="3"/>
      <c r="AO349" s="3"/>
    </row>
    <row r="350" spans="1:41" x14ac:dyDescent="0.25">
      <c r="A350" s="171"/>
      <c r="B350" s="13"/>
      <c r="C350" s="14"/>
      <c r="D350" s="60"/>
      <c r="E350" s="56"/>
      <c r="F350" s="56"/>
      <c r="G350" s="14"/>
      <c r="H350" s="56"/>
      <c r="I350" s="14"/>
      <c r="J350" s="14"/>
      <c r="K350" s="14"/>
      <c r="L350" s="14"/>
      <c r="M350" s="14"/>
      <c r="N350" s="14"/>
      <c r="O350" s="14"/>
      <c r="P350" s="14"/>
      <c r="Q350" s="14"/>
      <c r="R350" s="14"/>
      <c r="S350" s="14"/>
      <c r="T350" s="14"/>
      <c r="U350" s="14"/>
      <c r="V350" s="14"/>
      <c r="W350" s="14"/>
      <c r="X350" s="14"/>
      <c r="Y350" s="14"/>
      <c r="Z350" s="14"/>
      <c r="AA350" s="15"/>
      <c r="AB350" s="3"/>
      <c r="AC350" s="3"/>
      <c r="AD350" s="3"/>
      <c r="AE350" s="3"/>
      <c r="AF350" s="3"/>
      <c r="AG350" s="3"/>
      <c r="AH350" s="3"/>
      <c r="AI350" s="3"/>
      <c r="AJ350" s="3"/>
      <c r="AK350" s="3"/>
      <c r="AL350" s="3"/>
      <c r="AM350" s="3"/>
      <c r="AN350" s="3"/>
      <c r="AO350" s="3"/>
    </row>
    <row r="351" spans="1:41" x14ac:dyDescent="0.25">
      <c r="A351" s="171"/>
      <c r="B351" s="13"/>
      <c r="C351" s="14"/>
      <c r="D351" s="14"/>
      <c r="E351" s="56"/>
      <c r="F351" s="56"/>
      <c r="G351" s="14"/>
      <c r="H351" s="56"/>
      <c r="I351" s="14"/>
      <c r="J351" s="14"/>
      <c r="K351" s="14"/>
      <c r="L351" s="14"/>
      <c r="M351" s="14"/>
      <c r="N351" s="14"/>
      <c r="O351" s="14"/>
      <c r="P351" s="14"/>
      <c r="Q351" s="14"/>
      <c r="R351" s="14"/>
      <c r="S351" s="14"/>
      <c r="T351" s="14"/>
      <c r="U351" s="14"/>
      <c r="V351" s="14"/>
      <c r="W351" s="14"/>
      <c r="X351" s="14"/>
      <c r="Y351" s="14"/>
      <c r="Z351" s="14"/>
      <c r="AA351" s="15"/>
      <c r="AB351" s="3"/>
      <c r="AC351" s="3"/>
      <c r="AD351" s="3"/>
      <c r="AE351" s="3"/>
      <c r="AF351" s="3"/>
      <c r="AG351" s="3"/>
      <c r="AH351" s="3"/>
      <c r="AI351" s="3"/>
      <c r="AJ351" s="3"/>
      <c r="AK351" s="3"/>
      <c r="AL351" s="3"/>
      <c r="AM351" s="3"/>
      <c r="AN351" s="3"/>
      <c r="AO351" s="3"/>
    </row>
    <row r="352" spans="1:41" ht="18.75" x14ac:dyDescent="0.3">
      <c r="A352" s="171"/>
      <c r="B352" s="67"/>
      <c r="C352" s="14"/>
      <c r="D352" s="60"/>
      <c r="E352" s="56"/>
      <c r="F352" s="56"/>
      <c r="G352" s="14"/>
      <c r="H352" s="14"/>
      <c r="I352" s="74"/>
      <c r="J352" s="14"/>
      <c r="K352" s="14"/>
      <c r="L352" s="14"/>
      <c r="M352" s="14"/>
      <c r="N352" s="14"/>
      <c r="O352" s="14"/>
      <c r="P352" s="14"/>
      <c r="Q352" s="14"/>
      <c r="R352" s="14"/>
      <c r="S352" s="14"/>
      <c r="T352" s="14"/>
      <c r="U352" s="14"/>
      <c r="V352" s="14"/>
      <c r="W352" s="14"/>
      <c r="X352" s="14"/>
      <c r="Y352" s="14"/>
      <c r="Z352" s="14"/>
      <c r="AA352" s="15"/>
      <c r="AB352" s="3"/>
      <c r="AC352" s="3"/>
      <c r="AD352" s="3"/>
      <c r="AE352" s="3"/>
      <c r="AF352" s="3"/>
      <c r="AG352" s="3"/>
      <c r="AH352" s="3"/>
      <c r="AI352" s="3"/>
      <c r="AJ352" s="3"/>
      <c r="AK352" s="3"/>
      <c r="AL352" s="3"/>
      <c r="AM352" s="3"/>
      <c r="AN352" s="3"/>
      <c r="AO352" s="3"/>
    </row>
    <row r="353" spans="1:41" x14ac:dyDescent="0.25">
      <c r="A353" s="171"/>
      <c r="B353" s="13"/>
      <c r="C353" s="14"/>
      <c r="D353" s="60"/>
      <c r="E353" s="56"/>
      <c r="F353" s="56"/>
      <c r="G353" s="14"/>
      <c r="H353" s="56"/>
      <c r="I353" s="14"/>
      <c r="J353" s="14"/>
      <c r="K353" s="14"/>
      <c r="L353" s="14"/>
      <c r="M353" s="14"/>
      <c r="N353" s="14"/>
      <c r="O353" s="14"/>
      <c r="P353" s="14"/>
      <c r="Q353" s="14"/>
      <c r="R353" s="14"/>
      <c r="S353" s="14"/>
      <c r="T353" s="14"/>
      <c r="U353" s="14"/>
      <c r="V353" s="14"/>
      <c r="W353" s="14"/>
      <c r="X353" s="14"/>
      <c r="Y353" s="14"/>
      <c r="Z353" s="14"/>
      <c r="AA353" s="15"/>
      <c r="AB353" s="3"/>
      <c r="AC353" s="3"/>
      <c r="AD353" s="3"/>
      <c r="AE353" s="3"/>
      <c r="AF353" s="3"/>
      <c r="AG353" s="3"/>
      <c r="AH353" s="3"/>
      <c r="AI353" s="3"/>
      <c r="AJ353" s="3"/>
      <c r="AK353" s="3"/>
      <c r="AL353" s="3"/>
      <c r="AM353" s="3"/>
      <c r="AN353" s="3"/>
      <c r="AO353" s="3"/>
    </row>
    <row r="354" spans="1:41" x14ac:dyDescent="0.25">
      <c r="A354" s="171"/>
      <c r="B354" s="13"/>
      <c r="C354" s="14"/>
      <c r="D354" s="60"/>
      <c r="E354" s="56"/>
      <c r="F354" s="56"/>
      <c r="G354" s="14"/>
      <c r="H354" s="56"/>
      <c r="I354" s="14"/>
      <c r="J354" s="14"/>
      <c r="K354" s="14"/>
      <c r="L354" s="14"/>
      <c r="M354" s="14"/>
      <c r="N354" s="14"/>
      <c r="O354" s="14"/>
      <c r="P354" s="14"/>
      <c r="Q354" s="14"/>
      <c r="R354" s="14"/>
      <c r="S354" s="14"/>
      <c r="T354" s="14"/>
      <c r="U354" s="14"/>
      <c r="V354" s="14"/>
      <c r="W354" s="14"/>
      <c r="X354" s="14"/>
      <c r="Y354" s="14"/>
      <c r="Z354" s="14"/>
      <c r="AA354" s="15"/>
      <c r="AB354" s="3"/>
      <c r="AC354" s="3"/>
      <c r="AD354" s="3"/>
      <c r="AE354" s="3"/>
      <c r="AF354" s="3"/>
      <c r="AG354" s="3"/>
      <c r="AH354" s="3"/>
      <c r="AI354" s="3"/>
      <c r="AJ354" s="3"/>
      <c r="AK354" s="3"/>
      <c r="AL354" s="3"/>
      <c r="AM354" s="3"/>
      <c r="AN354" s="3"/>
      <c r="AO354" s="3"/>
    </row>
    <row r="355" spans="1:41" x14ac:dyDescent="0.25">
      <c r="A355" s="171"/>
      <c r="B355" s="13"/>
      <c r="C355" s="14"/>
      <c r="D355" s="60"/>
      <c r="E355" s="56"/>
      <c r="F355" s="56"/>
      <c r="G355" s="14"/>
      <c r="H355" s="56"/>
      <c r="I355" s="14"/>
      <c r="J355" s="14"/>
      <c r="K355" s="14"/>
      <c r="L355" s="14"/>
      <c r="M355" s="14"/>
      <c r="N355" s="14"/>
      <c r="O355" s="14"/>
      <c r="P355" s="14"/>
      <c r="Q355" s="14"/>
      <c r="R355" s="14"/>
      <c r="S355" s="14"/>
      <c r="T355" s="14"/>
      <c r="U355" s="14"/>
      <c r="V355" s="14"/>
      <c r="W355" s="14"/>
      <c r="X355" s="14"/>
      <c r="Y355" s="14"/>
      <c r="Z355" s="14"/>
      <c r="AA355" s="15"/>
      <c r="AB355" s="3"/>
      <c r="AC355" s="3"/>
      <c r="AD355" s="3"/>
      <c r="AE355" s="3"/>
      <c r="AF355" s="3"/>
      <c r="AG355" s="3"/>
      <c r="AH355" s="3"/>
      <c r="AI355" s="3"/>
      <c r="AJ355" s="3"/>
      <c r="AK355" s="3"/>
      <c r="AL355" s="3"/>
      <c r="AM355" s="3"/>
      <c r="AN355" s="3"/>
      <c r="AO355" s="3"/>
    </row>
    <row r="356" spans="1:41" x14ac:dyDescent="0.25">
      <c r="A356" s="171"/>
      <c r="B356" s="13"/>
      <c r="C356" s="56"/>
      <c r="D356" s="60"/>
      <c r="E356" s="56"/>
      <c r="F356" s="56"/>
      <c r="G356" s="56"/>
      <c r="H356" s="56"/>
      <c r="I356" s="14"/>
      <c r="J356" s="14"/>
      <c r="K356" s="14"/>
      <c r="L356" s="14"/>
      <c r="M356" s="14"/>
      <c r="N356" s="14"/>
      <c r="O356" s="14"/>
      <c r="P356" s="14"/>
      <c r="Q356" s="14"/>
      <c r="R356" s="14"/>
      <c r="S356" s="14"/>
      <c r="T356" s="14"/>
      <c r="U356" s="14"/>
      <c r="V356" s="14"/>
      <c r="W356" s="14"/>
      <c r="X356" s="14"/>
      <c r="Y356" s="14"/>
      <c r="Z356" s="14"/>
      <c r="AA356" s="15"/>
      <c r="AB356" s="3"/>
      <c r="AC356" s="3"/>
      <c r="AD356" s="3"/>
      <c r="AE356" s="3"/>
      <c r="AF356" s="3"/>
      <c r="AG356" s="3"/>
      <c r="AH356" s="3"/>
      <c r="AI356" s="3"/>
      <c r="AJ356" s="3"/>
      <c r="AK356" s="3"/>
      <c r="AL356" s="3"/>
      <c r="AM356" s="3"/>
      <c r="AN356" s="3"/>
      <c r="AO356" s="3"/>
    </row>
    <row r="357" spans="1:41" x14ac:dyDescent="0.25">
      <c r="A357" s="171"/>
      <c r="B357" s="13"/>
      <c r="C357" s="14"/>
      <c r="D357" s="60"/>
      <c r="E357" s="56"/>
      <c r="F357" s="56"/>
      <c r="G357" s="14"/>
      <c r="H357" s="56"/>
      <c r="I357" s="14"/>
      <c r="J357" s="14"/>
      <c r="K357" s="14"/>
      <c r="L357" s="14"/>
      <c r="M357" s="14"/>
      <c r="N357" s="14"/>
      <c r="O357" s="14"/>
      <c r="P357" s="14"/>
      <c r="Q357" s="14"/>
      <c r="R357" s="14"/>
      <c r="S357" s="14"/>
      <c r="T357" s="14"/>
      <c r="U357" s="14"/>
      <c r="V357" s="14"/>
      <c r="W357" s="14"/>
      <c r="X357" s="14"/>
      <c r="Y357" s="14"/>
      <c r="Z357" s="14"/>
      <c r="AA357" s="15"/>
      <c r="AB357" s="3"/>
      <c r="AC357" s="3"/>
      <c r="AD357" s="3"/>
      <c r="AE357" s="3"/>
      <c r="AF357" s="3"/>
      <c r="AG357" s="3"/>
      <c r="AH357" s="3"/>
      <c r="AI357" s="3"/>
      <c r="AJ357" s="3"/>
      <c r="AK357" s="3"/>
      <c r="AL357" s="3"/>
      <c r="AM357" s="3"/>
      <c r="AN357" s="3"/>
      <c r="AO357" s="3"/>
    </row>
    <row r="358" spans="1:41" x14ac:dyDescent="0.25">
      <c r="A358" s="171"/>
      <c r="B358" s="13"/>
      <c r="C358" s="14"/>
      <c r="D358" s="14"/>
      <c r="E358" s="56"/>
      <c r="F358" s="56"/>
      <c r="G358" s="14"/>
      <c r="H358" s="56"/>
      <c r="I358" s="14"/>
      <c r="J358" s="14"/>
      <c r="K358" s="14"/>
      <c r="L358" s="14"/>
      <c r="M358" s="14"/>
      <c r="N358" s="14"/>
      <c r="O358" s="14"/>
      <c r="P358" s="14"/>
      <c r="Q358" s="14"/>
      <c r="R358" s="14"/>
      <c r="S358" s="14"/>
      <c r="T358" s="14"/>
      <c r="U358" s="14"/>
      <c r="V358" s="14"/>
      <c r="W358" s="14"/>
      <c r="X358" s="14"/>
      <c r="Y358" s="14"/>
      <c r="Z358" s="14"/>
      <c r="AA358" s="15"/>
      <c r="AB358" s="3"/>
      <c r="AC358" s="3"/>
      <c r="AD358" s="3"/>
      <c r="AE358" s="3"/>
      <c r="AF358" s="3"/>
      <c r="AG358" s="3"/>
      <c r="AH358" s="3"/>
      <c r="AI358" s="3"/>
      <c r="AJ358" s="3"/>
      <c r="AK358" s="3"/>
      <c r="AL358" s="3"/>
      <c r="AM358" s="3"/>
      <c r="AN358" s="3"/>
      <c r="AO358" s="3"/>
    </row>
    <row r="359" spans="1:41" x14ac:dyDescent="0.25">
      <c r="A359" s="171"/>
      <c r="B359" s="13"/>
      <c r="C359" s="14"/>
      <c r="D359" s="60"/>
      <c r="E359" s="56"/>
      <c r="F359" s="56"/>
      <c r="G359" s="14"/>
      <c r="H359" s="14"/>
      <c r="I359" s="14"/>
      <c r="J359" s="14"/>
      <c r="K359" s="14"/>
      <c r="L359" s="14"/>
      <c r="M359" s="14"/>
      <c r="N359" s="14"/>
      <c r="O359" s="14"/>
      <c r="P359" s="14"/>
      <c r="Q359" s="14"/>
      <c r="R359" s="14"/>
      <c r="S359" s="14"/>
      <c r="T359" s="14"/>
      <c r="U359" s="14"/>
      <c r="V359" s="14"/>
      <c r="W359" s="14"/>
      <c r="X359" s="14"/>
      <c r="Y359" s="14"/>
      <c r="Z359" s="14"/>
      <c r="AA359" s="15"/>
      <c r="AB359" s="3"/>
      <c r="AC359" s="3"/>
      <c r="AD359" s="3"/>
      <c r="AE359" s="3"/>
      <c r="AF359" s="3"/>
      <c r="AG359" s="3"/>
      <c r="AH359" s="3"/>
      <c r="AI359" s="3"/>
      <c r="AJ359" s="3"/>
      <c r="AK359" s="3"/>
      <c r="AL359" s="3"/>
      <c r="AM359" s="3"/>
      <c r="AN359" s="3"/>
      <c r="AO359" s="3"/>
    </row>
    <row r="360" spans="1:41" ht="18.75" x14ac:dyDescent="0.3">
      <c r="A360" s="171"/>
      <c r="B360" s="67"/>
      <c r="C360" s="14"/>
      <c r="D360" s="60"/>
      <c r="E360" s="56"/>
      <c r="F360" s="56"/>
      <c r="G360" s="14"/>
      <c r="H360" s="56"/>
      <c r="I360" s="74"/>
      <c r="J360" s="14"/>
      <c r="K360" s="14"/>
      <c r="L360" s="14"/>
      <c r="M360" s="14"/>
      <c r="N360" s="14"/>
      <c r="O360" s="14"/>
      <c r="P360" s="14"/>
      <c r="Q360" s="14"/>
      <c r="R360" s="14"/>
      <c r="S360" s="14"/>
      <c r="T360" s="14"/>
      <c r="U360" s="14"/>
      <c r="V360" s="14"/>
      <c r="W360" s="14"/>
      <c r="X360" s="14"/>
      <c r="Y360" s="14"/>
      <c r="Z360" s="14"/>
      <c r="AA360" s="15"/>
      <c r="AB360" s="3"/>
      <c r="AC360" s="3"/>
      <c r="AD360" s="3"/>
      <c r="AE360" s="3"/>
      <c r="AF360" s="3"/>
      <c r="AG360" s="3"/>
      <c r="AH360" s="3"/>
      <c r="AI360" s="3"/>
      <c r="AJ360" s="3"/>
      <c r="AK360" s="3"/>
      <c r="AL360" s="3"/>
      <c r="AM360" s="3"/>
      <c r="AN360" s="3"/>
      <c r="AO360" s="3"/>
    </row>
    <row r="361" spans="1:41" x14ac:dyDescent="0.25">
      <c r="A361" s="171"/>
      <c r="B361" s="13"/>
      <c r="C361" s="14"/>
      <c r="D361" s="60"/>
      <c r="E361" s="56"/>
      <c r="F361" s="56"/>
      <c r="G361" s="14"/>
      <c r="H361" s="56"/>
      <c r="I361" s="14"/>
      <c r="J361" s="14"/>
      <c r="K361" s="14"/>
      <c r="L361" s="14"/>
      <c r="M361" s="14"/>
      <c r="N361" s="14"/>
      <c r="O361" s="14"/>
      <c r="P361" s="14"/>
      <c r="Q361" s="14"/>
      <c r="R361" s="14"/>
      <c r="S361" s="14"/>
      <c r="T361" s="14"/>
      <c r="U361" s="14"/>
      <c r="V361" s="14"/>
      <c r="W361" s="14"/>
      <c r="X361" s="14"/>
      <c r="Y361" s="14"/>
      <c r="Z361" s="14"/>
      <c r="AA361" s="15"/>
      <c r="AB361" s="3"/>
      <c r="AC361" s="3"/>
      <c r="AD361" s="3"/>
      <c r="AE361" s="3"/>
      <c r="AF361" s="3"/>
      <c r="AG361" s="3"/>
      <c r="AH361" s="3"/>
      <c r="AI361" s="3"/>
      <c r="AJ361" s="3"/>
      <c r="AK361" s="3"/>
      <c r="AL361" s="3"/>
      <c r="AM361" s="3"/>
      <c r="AN361" s="3"/>
      <c r="AO361" s="3"/>
    </row>
    <row r="362" spans="1:41" x14ac:dyDescent="0.25">
      <c r="A362" s="171"/>
      <c r="B362" s="13"/>
      <c r="C362" s="14"/>
      <c r="D362" s="60"/>
      <c r="E362" s="56"/>
      <c r="F362" s="56"/>
      <c r="G362" s="14"/>
      <c r="H362" s="56"/>
      <c r="I362" s="14"/>
      <c r="J362" s="14"/>
      <c r="K362" s="14"/>
      <c r="L362" s="14"/>
      <c r="M362" s="14"/>
      <c r="N362" s="14"/>
      <c r="O362" s="14"/>
      <c r="P362" s="14"/>
      <c r="Q362" s="14"/>
      <c r="R362" s="14"/>
      <c r="S362" s="14"/>
      <c r="T362" s="14"/>
      <c r="U362" s="14"/>
      <c r="V362" s="14"/>
      <c r="W362" s="14"/>
      <c r="X362" s="14"/>
      <c r="Y362" s="14"/>
      <c r="Z362" s="14"/>
      <c r="AA362" s="15"/>
      <c r="AB362" s="3"/>
      <c r="AC362" s="3"/>
      <c r="AD362" s="3"/>
      <c r="AE362" s="3"/>
      <c r="AF362" s="3"/>
      <c r="AG362" s="3"/>
      <c r="AH362" s="3"/>
      <c r="AI362" s="3"/>
      <c r="AJ362" s="3"/>
      <c r="AK362" s="3"/>
      <c r="AL362" s="3"/>
      <c r="AM362" s="3"/>
      <c r="AN362" s="3"/>
      <c r="AO362" s="3"/>
    </row>
    <row r="363" spans="1:41" x14ac:dyDescent="0.25">
      <c r="A363" s="171"/>
      <c r="B363" s="13"/>
      <c r="C363" s="56"/>
      <c r="D363" s="60"/>
      <c r="E363" s="56"/>
      <c r="F363" s="56"/>
      <c r="G363" s="56"/>
      <c r="H363" s="56"/>
      <c r="I363" s="14"/>
      <c r="J363" s="14"/>
      <c r="K363" s="14"/>
      <c r="L363" s="14"/>
      <c r="M363" s="14"/>
      <c r="N363" s="14"/>
      <c r="O363" s="14"/>
      <c r="P363" s="14"/>
      <c r="Q363" s="14"/>
      <c r="R363" s="14"/>
      <c r="S363" s="14"/>
      <c r="T363" s="14"/>
      <c r="U363" s="14"/>
      <c r="V363" s="14"/>
      <c r="W363" s="14"/>
      <c r="X363" s="14"/>
      <c r="Y363" s="14"/>
      <c r="Z363" s="14"/>
      <c r="AA363" s="15"/>
      <c r="AB363" s="3"/>
      <c r="AC363" s="3"/>
      <c r="AD363" s="3"/>
      <c r="AE363" s="3"/>
      <c r="AF363" s="3"/>
      <c r="AG363" s="3"/>
      <c r="AH363" s="3"/>
      <c r="AI363" s="3"/>
      <c r="AJ363" s="3"/>
      <c r="AK363" s="3"/>
      <c r="AL363" s="3"/>
      <c r="AM363" s="3"/>
      <c r="AN363" s="3"/>
      <c r="AO363" s="3"/>
    </row>
    <row r="364" spans="1:41" x14ac:dyDescent="0.25">
      <c r="A364" s="171"/>
      <c r="B364" s="13"/>
      <c r="C364" s="14"/>
      <c r="D364" s="60"/>
      <c r="E364" s="56"/>
      <c r="F364" s="56"/>
      <c r="G364" s="14"/>
      <c r="H364" s="56"/>
      <c r="I364" s="14"/>
      <c r="J364" s="14"/>
      <c r="K364" s="14"/>
      <c r="L364" s="14"/>
      <c r="M364" s="14"/>
      <c r="N364" s="14"/>
      <c r="O364" s="14"/>
      <c r="P364" s="14"/>
      <c r="Q364" s="14"/>
      <c r="R364" s="14"/>
      <c r="S364" s="14"/>
      <c r="T364" s="14"/>
      <c r="U364" s="14"/>
      <c r="V364" s="14"/>
      <c r="W364" s="14"/>
      <c r="X364" s="14"/>
      <c r="Y364" s="14"/>
      <c r="Z364" s="14"/>
      <c r="AA364" s="15"/>
      <c r="AB364" s="3"/>
      <c r="AC364" s="3"/>
      <c r="AD364" s="3"/>
      <c r="AE364" s="3"/>
      <c r="AF364" s="3"/>
      <c r="AG364" s="3"/>
      <c r="AH364" s="3"/>
      <c r="AI364" s="3"/>
      <c r="AJ364" s="3"/>
      <c r="AK364" s="3"/>
      <c r="AL364" s="3"/>
      <c r="AM364" s="3"/>
      <c r="AN364" s="3"/>
      <c r="AO364" s="3"/>
    </row>
    <row r="365" spans="1:41" x14ac:dyDescent="0.25">
      <c r="A365" s="171"/>
      <c r="B365" s="13"/>
      <c r="C365" s="14"/>
      <c r="D365" s="14"/>
      <c r="E365" s="56"/>
      <c r="F365" s="56"/>
      <c r="G365" s="14"/>
      <c r="H365" s="56"/>
      <c r="I365" s="14"/>
      <c r="J365" s="14"/>
      <c r="K365" s="14"/>
      <c r="L365" s="14"/>
      <c r="M365" s="14"/>
      <c r="N365" s="14"/>
      <c r="O365" s="14"/>
      <c r="P365" s="14"/>
      <c r="Q365" s="14"/>
      <c r="R365" s="14"/>
      <c r="S365" s="14"/>
      <c r="T365" s="14"/>
      <c r="U365" s="14"/>
      <c r="V365" s="14"/>
      <c r="W365" s="14"/>
      <c r="X365" s="14"/>
      <c r="Y365" s="14"/>
      <c r="Z365" s="14"/>
      <c r="AA365" s="15"/>
      <c r="AB365" s="3"/>
      <c r="AC365" s="3"/>
      <c r="AD365" s="3"/>
      <c r="AE365" s="3"/>
      <c r="AF365" s="3"/>
      <c r="AG365" s="3"/>
      <c r="AH365" s="3"/>
      <c r="AI365" s="3"/>
      <c r="AJ365" s="3"/>
      <c r="AK365" s="3"/>
      <c r="AL365" s="3"/>
      <c r="AM365" s="3"/>
      <c r="AN365" s="3"/>
      <c r="AO365" s="3"/>
    </row>
    <row r="366" spans="1:41" x14ac:dyDescent="0.25">
      <c r="A366" s="171"/>
      <c r="B366" s="13"/>
      <c r="C366" s="14"/>
      <c r="D366" s="60"/>
      <c r="E366" s="56"/>
      <c r="F366" s="56"/>
      <c r="G366" s="14"/>
      <c r="H366" s="14"/>
      <c r="I366" s="14"/>
      <c r="J366" s="14"/>
      <c r="K366" s="14"/>
      <c r="L366" s="14"/>
      <c r="M366" s="14"/>
      <c r="N366" s="14"/>
      <c r="O366" s="14"/>
      <c r="P366" s="14"/>
      <c r="Q366" s="14"/>
      <c r="R366" s="14"/>
      <c r="S366" s="14"/>
      <c r="T366" s="14"/>
      <c r="U366" s="14"/>
      <c r="V366" s="14"/>
      <c r="W366" s="14"/>
      <c r="X366" s="14"/>
      <c r="Y366" s="14"/>
      <c r="Z366" s="14"/>
      <c r="AA366" s="15"/>
      <c r="AB366" s="3"/>
      <c r="AC366" s="3"/>
      <c r="AD366" s="3"/>
      <c r="AE366" s="3"/>
      <c r="AF366" s="3"/>
      <c r="AG366" s="3"/>
      <c r="AH366" s="3"/>
      <c r="AI366" s="3"/>
      <c r="AJ366" s="3"/>
      <c r="AK366" s="3"/>
      <c r="AL366" s="3"/>
      <c r="AM366" s="3"/>
      <c r="AN366" s="3"/>
      <c r="AO366" s="3"/>
    </row>
    <row r="367" spans="1:41" x14ac:dyDescent="0.25">
      <c r="A367" s="171"/>
      <c r="B367" s="13"/>
      <c r="C367" s="14"/>
      <c r="D367" s="60"/>
      <c r="E367" s="56"/>
      <c r="F367" s="56"/>
      <c r="G367" s="14"/>
      <c r="H367" s="56"/>
      <c r="I367" s="14"/>
      <c r="J367" s="14"/>
      <c r="K367" s="14"/>
      <c r="L367" s="14"/>
      <c r="M367" s="14"/>
      <c r="N367" s="14"/>
      <c r="O367" s="14"/>
      <c r="P367" s="14"/>
      <c r="Q367" s="14"/>
      <c r="R367" s="14"/>
      <c r="S367" s="14"/>
      <c r="T367" s="14"/>
      <c r="U367" s="14"/>
      <c r="V367" s="14"/>
      <c r="W367" s="14"/>
      <c r="X367" s="14"/>
      <c r="Y367" s="14"/>
      <c r="Z367" s="14"/>
      <c r="AA367" s="15"/>
      <c r="AB367" s="3"/>
      <c r="AC367" s="3"/>
      <c r="AD367" s="3"/>
      <c r="AE367" s="3"/>
      <c r="AF367" s="3"/>
      <c r="AG367" s="3"/>
      <c r="AH367" s="3"/>
      <c r="AI367" s="3"/>
      <c r="AJ367" s="3"/>
      <c r="AK367" s="3"/>
      <c r="AL367" s="3"/>
      <c r="AM367" s="3"/>
      <c r="AN367" s="3"/>
      <c r="AO367" s="3"/>
    </row>
    <row r="368" spans="1:41" ht="18.75" x14ac:dyDescent="0.3">
      <c r="A368" s="171"/>
      <c r="B368" s="67"/>
      <c r="C368" s="14"/>
      <c r="D368" s="60"/>
      <c r="E368" s="56"/>
      <c r="F368" s="56"/>
      <c r="G368" s="14"/>
      <c r="H368" s="56"/>
      <c r="I368" s="74"/>
      <c r="J368" s="14"/>
      <c r="K368" s="14"/>
      <c r="L368" s="14"/>
      <c r="M368" s="14"/>
      <c r="N368" s="14"/>
      <c r="O368" s="14"/>
      <c r="P368" s="14"/>
      <c r="Q368" s="14"/>
      <c r="R368" s="14"/>
      <c r="S368" s="14"/>
      <c r="T368" s="14"/>
      <c r="U368" s="14"/>
      <c r="V368" s="14"/>
      <c r="W368" s="14"/>
      <c r="X368" s="14"/>
      <c r="Y368" s="14"/>
      <c r="Z368" s="14"/>
      <c r="AA368" s="15"/>
      <c r="AB368" s="3"/>
      <c r="AC368" s="3"/>
      <c r="AD368" s="3"/>
      <c r="AE368" s="3"/>
      <c r="AF368" s="3"/>
      <c r="AG368" s="3"/>
      <c r="AH368" s="3"/>
      <c r="AI368" s="3"/>
      <c r="AJ368" s="3"/>
      <c r="AK368" s="3"/>
      <c r="AL368" s="3"/>
      <c r="AM368" s="3"/>
      <c r="AN368" s="3"/>
      <c r="AO368" s="3"/>
    </row>
    <row r="369" spans="1:41" x14ac:dyDescent="0.25">
      <c r="A369" s="171"/>
      <c r="B369" s="13"/>
      <c r="C369" s="14"/>
      <c r="D369" s="60"/>
      <c r="E369" s="56"/>
      <c r="F369" s="56"/>
      <c r="G369" s="14"/>
      <c r="H369" s="56"/>
      <c r="I369" s="14"/>
      <c r="J369" s="14"/>
      <c r="K369" s="14"/>
      <c r="L369" s="14"/>
      <c r="M369" s="14"/>
      <c r="N369" s="14"/>
      <c r="O369" s="14"/>
      <c r="P369" s="14"/>
      <c r="Q369" s="14"/>
      <c r="R369" s="14"/>
      <c r="S369" s="14"/>
      <c r="T369" s="14"/>
      <c r="U369" s="14"/>
      <c r="V369" s="14"/>
      <c r="W369" s="14"/>
      <c r="X369" s="14"/>
      <c r="Y369" s="14"/>
      <c r="Z369" s="14"/>
      <c r="AA369" s="15"/>
      <c r="AB369" s="3"/>
      <c r="AC369" s="3"/>
      <c r="AD369" s="3"/>
      <c r="AE369" s="3"/>
      <c r="AF369" s="3"/>
      <c r="AG369" s="3"/>
      <c r="AH369" s="3"/>
      <c r="AI369" s="3"/>
      <c r="AJ369" s="3"/>
      <c r="AK369" s="3"/>
      <c r="AL369" s="3"/>
      <c r="AM369" s="3"/>
      <c r="AN369" s="3"/>
      <c r="AO369" s="3"/>
    </row>
    <row r="370" spans="1:41" x14ac:dyDescent="0.25">
      <c r="A370" s="171"/>
      <c r="B370" s="13"/>
      <c r="C370" s="56"/>
      <c r="D370" s="60"/>
      <c r="E370" s="56"/>
      <c r="F370" s="56"/>
      <c r="G370" s="56"/>
      <c r="H370" s="56"/>
      <c r="I370" s="14"/>
      <c r="J370" s="14"/>
      <c r="K370" s="14"/>
      <c r="L370" s="14"/>
      <c r="M370" s="14"/>
      <c r="N370" s="14"/>
      <c r="O370" s="14"/>
      <c r="P370" s="14"/>
      <c r="Q370" s="14"/>
      <c r="R370" s="14"/>
      <c r="S370" s="14"/>
      <c r="T370" s="14"/>
      <c r="U370" s="14"/>
      <c r="V370" s="14"/>
      <c r="W370" s="14"/>
      <c r="X370" s="14"/>
      <c r="Y370" s="14"/>
      <c r="Z370" s="14"/>
      <c r="AA370" s="15"/>
      <c r="AB370" s="3"/>
      <c r="AC370" s="3"/>
      <c r="AD370" s="3"/>
      <c r="AE370" s="3"/>
      <c r="AF370" s="3"/>
      <c r="AG370" s="3"/>
      <c r="AH370" s="3"/>
      <c r="AI370" s="3"/>
      <c r="AJ370" s="3"/>
      <c r="AK370" s="3"/>
      <c r="AL370" s="3"/>
      <c r="AM370" s="3"/>
      <c r="AN370" s="3"/>
      <c r="AO370" s="3"/>
    </row>
    <row r="371" spans="1:41" x14ac:dyDescent="0.25">
      <c r="A371" s="171"/>
      <c r="B371" s="13"/>
      <c r="C371" s="14"/>
      <c r="D371" s="60"/>
      <c r="E371" s="56"/>
      <c r="F371" s="56"/>
      <c r="G371" s="14"/>
      <c r="H371" s="56"/>
      <c r="I371" s="14"/>
      <c r="J371" s="14"/>
      <c r="K371" s="14"/>
      <c r="L371" s="14"/>
      <c r="M371" s="14"/>
      <c r="N371" s="14"/>
      <c r="O371" s="14"/>
      <c r="P371" s="14"/>
      <c r="Q371" s="14"/>
      <c r="R371" s="14"/>
      <c r="S371" s="14"/>
      <c r="T371" s="14"/>
      <c r="U371" s="14"/>
      <c r="V371" s="14"/>
      <c r="W371" s="14"/>
      <c r="X371" s="14"/>
      <c r="Y371" s="14"/>
      <c r="Z371" s="14"/>
      <c r="AA371" s="15"/>
      <c r="AB371" s="3"/>
      <c r="AC371" s="3"/>
      <c r="AD371" s="3"/>
      <c r="AE371" s="3"/>
      <c r="AF371" s="3"/>
      <c r="AG371" s="3"/>
      <c r="AH371" s="3"/>
      <c r="AI371" s="3"/>
      <c r="AJ371" s="3"/>
      <c r="AK371" s="3"/>
      <c r="AL371" s="3"/>
      <c r="AM371" s="3"/>
      <c r="AN371" s="3"/>
      <c r="AO371" s="3"/>
    </row>
    <row r="372" spans="1:41" x14ac:dyDescent="0.25">
      <c r="A372" s="171"/>
      <c r="B372" s="13"/>
      <c r="C372" s="14"/>
      <c r="D372" s="14"/>
      <c r="E372" s="56"/>
      <c r="F372" s="56"/>
      <c r="G372" s="14"/>
      <c r="H372" s="56"/>
      <c r="I372" s="14"/>
      <c r="J372" s="14"/>
      <c r="K372" s="14"/>
      <c r="L372" s="14"/>
      <c r="M372" s="14"/>
      <c r="N372" s="14"/>
      <c r="O372" s="14"/>
      <c r="P372" s="14"/>
      <c r="Q372" s="14"/>
      <c r="R372" s="14"/>
      <c r="S372" s="14"/>
      <c r="T372" s="14"/>
      <c r="U372" s="14"/>
      <c r="V372" s="14"/>
      <c r="W372" s="14"/>
      <c r="X372" s="14"/>
      <c r="Y372" s="14"/>
      <c r="Z372" s="14"/>
      <c r="AA372" s="15"/>
      <c r="AB372" s="3"/>
      <c r="AC372" s="3"/>
      <c r="AD372" s="3"/>
      <c r="AE372" s="3"/>
      <c r="AF372" s="3"/>
      <c r="AG372" s="3"/>
      <c r="AH372" s="3"/>
      <c r="AI372" s="3"/>
      <c r="AJ372" s="3"/>
      <c r="AK372" s="3"/>
      <c r="AL372" s="3"/>
      <c r="AM372" s="3"/>
      <c r="AN372" s="3"/>
      <c r="AO372" s="3"/>
    </row>
    <row r="373" spans="1:41" x14ac:dyDescent="0.25">
      <c r="A373" s="171"/>
      <c r="B373" s="13"/>
      <c r="C373" s="14"/>
      <c r="D373" s="60"/>
      <c r="E373" s="56"/>
      <c r="F373" s="56"/>
      <c r="G373" s="14"/>
      <c r="H373" s="14"/>
      <c r="I373" s="14"/>
      <c r="J373" s="14"/>
      <c r="K373" s="14"/>
      <c r="L373" s="14"/>
      <c r="M373" s="14"/>
      <c r="N373" s="14"/>
      <c r="O373" s="14"/>
      <c r="P373" s="14"/>
      <c r="Q373" s="14"/>
      <c r="R373" s="14"/>
      <c r="S373" s="14"/>
      <c r="T373" s="14"/>
      <c r="U373" s="14"/>
      <c r="V373" s="14"/>
      <c r="W373" s="14"/>
      <c r="X373" s="14"/>
      <c r="Y373" s="14"/>
      <c r="Z373" s="14"/>
      <c r="AA373" s="15"/>
      <c r="AB373" s="3"/>
      <c r="AC373" s="3"/>
      <c r="AD373" s="3"/>
      <c r="AE373" s="3"/>
      <c r="AF373" s="3"/>
      <c r="AG373" s="3"/>
      <c r="AH373" s="3"/>
      <c r="AI373" s="3"/>
      <c r="AJ373" s="3"/>
      <c r="AK373" s="3"/>
      <c r="AL373" s="3"/>
      <c r="AM373" s="3"/>
      <c r="AN373" s="3"/>
      <c r="AO373" s="3"/>
    </row>
    <row r="374" spans="1:41" x14ac:dyDescent="0.25">
      <c r="A374" s="171"/>
      <c r="B374" s="13"/>
      <c r="C374" s="14"/>
      <c r="D374" s="60"/>
      <c r="E374" s="56"/>
      <c r="F374" s="56"/>
      <c r="G374" s="14"/>
      <c r="H374" s="56"/>
      <c r="I374" s="14"/>
      <c r="J374" s="14"/>
      <c r="K374" s="14"/>
      <c r="L374" s="14"/>
      <c r="M374" s="14"/>
      <c r="N374" s="14"/>
      <c r="O374" s="14"/>
      <c r="P374" s="14"/>
      <c r="Q374" s="14"/>
      <c r="R374" s="14"/>
      <c r="S374" s="14"/>
      <c r="T374" s="14"/>
      <c r="U374" s="14"/>
      <c r="V374" s="14"/>
      <c r="W374" s="14"/>
      <c r="X374" s="14"/>
      <c r="Y374" s="14"/>
      <c r="Z374" s="14"/>
      <c r="AA374" s="15"/>
      <c r="AB374" s="3"/>
      <c r="AC374" s="3"/>
      <c r="AD374" s="3"/>
      <c r="AE374" s="3"/>
      <c r="AF374" s="3"/>
      <c r="AG374" s="3"/>
      <c r="AH374" s="3"/>
      <c r="AI374" s="3"/>
      <c r="AJ374" s="3"/>
      <c r="AK374" s="3"/>
      <c r="AL374" s="3"/>
      <c r="AM374" s="3"/>
      <c r="AN374" s="3"/>
      <c r="AO374" s="3"/>
    </row>
    <row r="375" spans="1:41" x14ac:dyDescent="0.25">
      <c r="A375" s="171"/>
      <c r="B375" s="13"/>
      <c r="C375" s="14"/>
      <c r="D375" s="60"/>
      <c r="E375" s="56"/>
      <c r="F375" s="56"/>
      <c r="G375" s="14"/>
      <c r="H375" s="56"/>
      <c r="I375" s="14"/>
      <c r="J375" s="14"/>
      <c r="K375" s="14"/>
      <c r="L375" s="14"/>
      <c r="M375" s="14"/>
      <c r="N375" s="14"/>
      <c r="O375" s="14"/>
      <c r="P375" s="14"/>
      <c r="Q375" s="14"/>
      <c r="R375" s="14"/>
      <c r="S375" s="14"/>
      <c r="T375" s="14"/>
      <c r="U375" s="14"/>
      <c r="V375" s="14"/>
      <c r="W375" s="14"/>
      <c r="X375" s="14"/>
      <c r="Y375" s="14"/>
      <c r="Z375" s="14"/>
      <c r="AA375" s="15"/>
      <c r="AB375" s="3"/>
      <c r="AC375" s="3"/>
      <c r="AD375" s="3"/>
      <c r="AE375" s="3"/>
      <c r="AF375" s="3"/>
      <c r="AG375" s="3"/>
      <c r="AH375" s="3"/>
      <c r="AI375" s="3"/>
      <c r="AJ375" s="3"/>
      <c r="AK375" s="3"/>
      <c r="AL375" s="3"/>
      <c r="AM375" s="3"/>
      <c r="AN375" s="3"/>
      <c r="AO375" s="3"/>
    </row>
    <row r="376" spans="1:41" ht="18.75" x14ac:dyDescent="0.3">
      <c r="A376" s="171"/>
      <c r="B376" s="67"/>
      <c r="C376" s="14"/>
      <c r="D376" s="60"/>
      <c r="E376" s="56"/>
      <c r="F376" s="56"/>
      <c r="G376" s="14"/>
      <c r="H376" s="56"/>
      <c r="I376" s="74"/>
      <c r="J376" s="14"/>
      <c r="K376" s="14"/>
      <c r="L376" s="14"/>
      <c r="M376" s="14"/>
      <c r="N376" s="14"/>
      <c r="O376" s="14"/>
      <c r="P376" s="14"/>
      <c r="Q376" s="14"/>
      <c r="R376" s="14"/>
      <c r="S376" s="14"/>
      <c r="T376" s="14"/>
      <c r="U376" s="14"/>
      <c r="V376" s="14"/>
      <c r="W376" s="14"/>
      <c r="X376" s="14"/>
      <c r="Y376" s="14"/>
      <c r="Z376" s="14"/>
      <c r="AA376" s="15"/>
      <c r="AB376" s="3"/>
      <c r="AC376" s="3"/>
      <c r="AD376" s="3"/>
      <c r="AE376" s="3"/>
      <c r="AF376" s="3"/>
      <c r="AG376" s="3"/>
      <c r="AH376" s="3"/>
      <c r="AI376" s="3"/>
      <c r="AJ376" s="3"/>
      <c r="AK376" s="3"/>
      <c r="AL376" s="3"/>
      <c r="AM376" s="3"/>
      <c r="AN376" s="3"/>
      <c r="AO376" s="3"/>
    </row>
    <row r="377" spans="1:41" x14ac:dyDescent="0.25">
      <c r="A377" s="171"/>
      <c r="B377" s="13"/>
      <c r="C377" s="56"/>
      <c r="D377" s="60"/>
      <c r="E377" s="56"/>
      <c r="F377" s="56"/>
      <c r="G377" s="56"/>
      <c r="H377" s="56"/>
      <c r="I377" s="14"/>
      <c r="J377" s="14"/>
      <c r="K377" s="14"/>
      <c r="L377" s="14"/>
      <c r="M377" s="14"/>
      <c r="N377" s="14"/>
      <c r="O377" s="14"/>
      <c r="P377" s="14"/>
      <c r="Q377" s="14"/>
      <c r="R377" s="14"/>
      <c r="S377" s="14"/>
      <c r="T377" s="14"/>
      <c r="U377" s="14"/>
      <c r="V377" s="14"/>
      <c r="W377" s="14"/>
      <c r="X377" s="14"/>
      <c r="Y377" s="14"/>
      <c r="Z377" s="14"/>
      <c r="AA377" s="15"/>
      <c r="AB377" s="3"/>
      <c r="AC377" s="3"/>
      <c r="AD377" s="3"/>
      <c r="AE377" s="3"/>
      <c r="AF377" s="3"/>
      <c r="AG377" s="3"/>
      <c r="AH377" s="3"/>
      <c r="AI377" s="3"/>
      <c r="AJ377" s="3"/>
      <c r="AK377" s="3"/>
      <c r="AL377" s="3"/>
      <c r="AM377" s="3"/>
      <c r="AN377" s="3"/>
      <c r="AO377" s="3"/>
    </row>
    <row r="378" spans="1:41" x14ac:dyDescent="0.25">
      <c r="A378" s="171"/>
      <c r="B378" s="13"/>
      <c r="C378" s="14"/>
      <c r="D378" s="60"/>
      <c r="E378" s="56"/>
      <c r="F378" s="56"/>
      <c r="G378" s="14"/>
      <c r="H378" s="56"/>
      <c r="I378" s="14"/>
      <c r="J378" s="14"/>
      <c r="K378" s="14"/>
      <c r="L378" s="14"/>
      <c r="M378" s="14"/>
      <c r="N378" s="14"/>
      <c r="O378" s="14"/>
      <c r="P378" s="14"/>
      <c r="Q378" s="14"/>
      <c r="R378" s="14"/>
      <c r="S378" s="14"/>
      <c r="T378" s="14"/>
      <c r="U378" s="14"/>
      <c r="V378" s="14"/>
      <c r="W378" s="14"/>
      <c r="X378" s="14"/>
      <c r="Y378" s="14"/>
      <c r="Z378" s="14"/>
      <c r="AA378" s="15"/>
      <c r="AB378" s="3"/>
      <c r="AC378" s="3"/>
      <c r="AD378" s="3"/>
      <c r="AE378" s="3"/>
      <c r="AF378" s="3"/>
      <c r="AG378" s="3"/>
      <c r="AH378" s="3"/>
      <c r="AI378" s="3"/>
      <c r="AJ378" s="3"/>
      <c r="AK378" s="3"/>
      <c r="AL378" s="3"/>
      <c r="AM378" s="3"/>
      <c r="AN378" s="3"/>
      <c r="AO378" s="3"/>
    </row>
    <row r="379" spans="1:41" x14ac:dyDescent="0.25">
      <c r="A379" s="171"/>
      <c r="B379" s="13"/>
      <c r="C379" s="14"/>
      <c r="D379" s="14"/>
      <c r="E379" s="56"/>
      <c r="F379" s="56"/>
      <c r="G379" s="14"/>
      <c r="H379" s="56"/>
      <c r="I379" s="14"/>
      <c r="J379" s="14"/>
      <c r="K379" s="14"/>
      <c r="L379" s="14"/>
      <c r="M379" s="14"/>
      <c r="N379" s="14"/>
      <c r="O379" s="14"/>
      <c r="P379" s="14"/>
      <c r="Q379" s="14"/>
      <c r="R379" s="14"/>
      <c r="S379" s="14"/>
      <c r="T379" s="14"/>
      <c r="U379" s="14"/>
      <c r="V379" s="14"/>
      <c r="W379" s="14"/>
      <c r="X379" s="14"/>
      <c r="Y379" s="14"/>
      <c r="Z379" s="14"/>
      <c r="AA379" s="15"/>
      <c r="AB379" s="3"/>
      <c r="AC379" s="3"/>
      <c r="AD379" s="3"/>
      <c r="AE379" s="3"/>
      <c r="AF379" s="3"/>
      <c r="AG379" s="3"/>
      <c r="AH379" s="3"/>
      <c r="AI379" s="3"/>
      <c r="AJ379" s="3"/>
      <c r="AK379" s="3"/>
      <c r="AL379" s="3"/>
      <c r="AM379" s="3"/>
      <c r="AN379" s="3"/>
      <c r="AO379" s="3"/>
    </row>
    <row r="380" spans="1:41" x14ac:dyDescent="0.25">
      <c r="A380" s="171"/>
      <c r="B380" s="13"/>
      <c r="C380" s="14"/>
      <c r="D380" s="60"/>
      <c r="E380" s="56"/>
      <c r="F380" s="56"/>
      <c r="G380" s="14"/>
      <c r="H380" s="14"/>
      <c r="I380" s="14"/>
      <c r="J380" s="14"/>
      <c r="K380" s="14"/>
      <c r="L380" s="14"/>
      <c r="M380" s="14"/>
      <c r="N380" s="14"/>
      <c r="O380" s="14"/>
      <c r="P380" s="14"/>
      <c r="Q380" s="14"/>
      <c r="R380" s="14"/>
      <c r="S380" s="14"/>
      <c r="T380" s="14"/>
      <c r="U380" s="14"/>
      <c r="V380" s="14"/>
      <c r="W380" s="14"/>
      <c r="X380" s="14"/>
      <c r="Y380" s="14"/>
      <c r="Z380" s="14"/>
      <c r="AA380" s="15"/>
      <c r="AB380" s="3"/>
      <c r="AC380" s="3"/>
      <c r="AD380" s="3"/>
      <c r="AE380" s="3"/>
      <c r="AF380" s="3"/>
      <c r="AG380" s="3"/>
      <c r="AH380" s="3"/>
      <c r="AI380" s="3"/>
      <c r="AJ380" s="3"/>
      <c r="AK380" s="3"/>
      <c r="AL380" s="3"/>
      <c r="AM380" s="3"/>
      <c r="AN380" s="3"/>
      <c r="AO380" s="3"/>
    </row>
    <row r="381" spans="1:41" x14ac:dyDescent="0.25">
      <c r="A381" s="171"/>
      <c r="B381" s="13"/>
      <c r="C381" s="14"/>
      <c r="D381" s="60"/>
      <c r="E381" s="56"/>
      <c r="F381" s="56"/>
      <c r="G381" s="14"/>
      <c r="H381" s="56"/>
      <c r="I381" s="14"/>
      <c r="J381" s="14"/>
      <c r="K381" s="14"/>
      <c r="L381" s="14"/>
      <c r="M381" s="14"/>
      <c r="N381" s="14"/>
      <c r="O381" s="14"/>
      <c r="P381" s="14"/>
      <c r="Q381" s="14"/>
      <c r="R381" s="14"/>
      <c r="S381" s="14"/>
      <c r="T381" s="14"/>
      <c r="U381" s="14"/>
      <c r="V381" s="14"/>
      <c r="W381" s="14"/>
      <c r="X381" s="14"/>
      <c r="Y381" s="14"/>
      <c r="Z381" s="14"/>
      <c r="AA381" s="15"/>
      <c r="AB381" s="3"/>
      <c r="AC381" s="3"/>
      <c r="AD381" s="3"/>
      <c r="AE381" s="3"/>
      <c r="AF381" s="3"/>
      <c r="AG381" s="3"/>
      <c r="AH381" s="3"/>
      <c r="AI381" s="3"/>
      <c r="AJ381" s="3"/>
      <c r="AK381" s="3"/>
      <c r="AL381" s="3"/>
      <c r="AM381" s="3"/>
      <c r="AN381" s="3"/>
      <c r="AO381" s="3"/>
    </row>
    <row r="382" spans="1:41" x14ac:dyDescent="0.25">
      <c r="A382" s="171"/>
      <c r="B382" s="13"/>
      <c r="C382" s="14"/>
      <c r="D382" s="60"/>
      <c r="E382" s="56"/>
      <c r="F382" s="56"/>
      <c r="G382" s="14"/>
      <c r="H382" s="56"/>
      <c r="I382" s="14"/>
      <c r="J382" s="14"/>
      <c r="K382" s="14"/>
      <c r="L382" s="14"/>
      <c r="M382" s="14"/>
      <c r="N382" s="14"/>
      <c r="O382" s="14"/>
      <c r="P382" s="14"/>
      <c r="Q382" s="14"/>
      <c r="R382" s="14"/>
      <c r="S382" s="14"/>
      <c r="T382" s="14"/>
      <c r="U382" s="14"/>
      <c r="V382" s="14"/>
      <c r="W382" s="14"/>
      <c r="X382" s="14"/>
      <c r="Y382" s="14"/>
      <c r="Z382" s="14"/>
      <c r="AA382" s="15"/>
      <c r="AB382" s="3"/>
      <c r="AC382" s="3"/>
      <c r="AD382" s="3"/>
      <c r="AE382" s="3"/>
      <c r="AF382" s="3"/>
      <c r="AG382" s="3"/>
      <c r="AH382" s="3"/>
      <c r="AI382" s="3"/>
      <c r="AJ382" s="3"/>
      <c r="AK382" s="3"/>
      <c r="AL382" s="3"/>
      <c r="AM382" s="3"/>
      <c r="AN382" s="3"/>
      <c r="AO382" s="3"/>
    </row>
    <row r="383" spans="1:41" x14ac:dyDescent="0.25">
      <c r="A383" s="171"/>
      <c r="B383" s="13"/>
      <c r="C383" s="14"/>
      <c r="D383" s="60"/>
      <c r="E383" s="56"/>
      <c r="F383" s="56"/>
      <c r="G383" s="14"/>
      <c r="H383" s="56"/>
      <c r="I383" s="14"/>
      <c r="J383" s="14"/>
      <c r="K383" s="14"/>
      <c r="L383" s="14"/>
      <c r="M383" s="14"/>
      <c r="N383" s="14"/>
      <c r="O383" s="14"/>
      <c r="P383" s="14"/>
      <c r="Q383" s="14"/>
      <c r="R383" s="14"/>
      <c r="S383" s="14"/>
      <c r="T383" s="14"/>
      <c r="U383" s="14"/>
      <c r="V383" s="14"/>
      <c r="W383" s="14"/>
      <c r="X383" s="14"/>
      <c r="Y383" s="14"/>
      <c r="Z383" s="14"/>
      <c r="AA383" s="15"/>
      <c r="AB383" s="3"/>
      <c r="AC383" s="3"/>
      <c r="AD383" s="3"/>
      <c r="AE383" s="3"/>
      <c r="AF383" s="3"/>
      <c r="AG383" s="3"/>
      <c r="AH383" s="3"/>
      <c r="AI383" s="3"/>
      <c r="AJ383" s="3"/>
      <c r="AK383" s="3"/>
      <c r="AL383" s="3"/>
      <c r="AM383" s="3"/>
      <c r="AN383" s="3"/>
      <c r="AO383" s="3"/>
    </row>
    <row r="384" spans="1:41" ht="18.75" x14ac:dyDescent="0.3">
      <c r="A384" s="171"/>
      <c r="B384" s="67"/>
      <c r="C384" s="56"/>
      <c r="D384" s="60"/>
      <c r="E384" s="56"/>
      <c r="F384" s="56"/>
      <c r="G384" s="56"/>
      <c r="H384" s="56"/>
      <c r="I384" s="74"/>
      <c r="J384" s="14"/>
      <c r="K384" s="14"/>
      <c r="L384" s="14"/>
      <c r="M384" s="14"/>
      <c r="N384" s="14"/>
      <c r="O384" s="14"/>
      <c r="P384" s="14"/>
      <c r="Q384" s="14"/>
      <c r="R384" s="14"/>
      <c r="S384" s="14"/>
      <c r="T384" s="14"/>
      <c r="U384" s="14"/>
      <c r="V384" s="14"/>
      <c r="W384" s="14"/>
      <c r="X384" s="14"/>
      <c r="Y384" s="14"/>
      <c r="Z384" s="14"/>
      <c r="AA384" s="15"/>
      <c r="AB384" s="3"/>
      <c r="AC384" s="3"/>
      <c r="AD384" s="3"/>
      <c r="AE384" s="3"/>
      <c r="AF384" s="3"/>
      <c r="AG384" s="3"/>
      <c r="AH384" s="3"/>
      <c r="AI384" s="3"/>
      <c r="AJ384" s="3"/>
      <c r="AK384" s="3"/>
      <c r="AL384" s="3"/>
      <c r="AM384" s="3"/>
      <c r="AN384" s="3"/>
      <c r="AO384" s="3"/>
    </row>
    <row r="385" spans="1:41" x14ac:dyDescent="0.25">
      <c r="A385" s="171"/>
      <c r="B385" s="13"/>
      <c r="C385" s="14"/>
      <c r="D385" s="60"/>
      <c r="E385" s="56"/>
      <c r="F385" s="56"/>
      <c r="G385" s="14"/>
      <c r="H385" s="56"/>
      <c r="I385" s="14"/>
      <c r="J385" s="14"/>
      <c r="K385" s="14"/>
      <c r="L385" s="14"/>
      <c r="M385" s="14"/>
      <c r="N385" s="14"/>
      <c r="O385" s="14"/>
      <c r="P385" s="14"/>
      <c r="Q385" s="14"/>
      <c r="R385" s="14"/>
      <c r="S385" s="14"/>
      <c r="T385" s="14"/>
      <c r="U385" s="14"/>
      <c r="V385" s="14"/>
      <c r="W385" s="14"/>
      <c r="X385" s="14"/>
      <c r="Y385" s="14"/>
      <c r="Z385" s="14"/>
      <c r="AA385" s="15"/>
      <c r="AB385" s="3"/>
      <c r="AC385" s="3"/>
      <c r="AD385" s="3"/>
      <c r="AE385" s="3"/>
      <c r="AF385" s="3"/>
      <c r="AG385" s="3"/>
      <c r="AH385" s="3"/>
      <c r="AI385" s="3"/>
      <c r="AJ385" s="3"/>
      <c r="AK385" s="3"/>
      <c r="AL385" s="3"/>
      <c r="AM385" s="3"/>
      <c r="AN385" s="3"/>
      <c r="AO385" s="3"/>
    </row>
    <row r="386" spans="1:41" x14ac:dyDescent="0.25">
      <c r="A386" s="171"/>
      <c r="B386" s="13"/>
      <c r="C386" s="14"/>
      <c r="D386" s="14"/>
      <c r="E386" s="56"/>
      <c r="F386" s="56"/>
      <c r="G386" s="14"/>
      <c r="H386" s="56"/>
      <c r="I386" s="14"/>
      <c r="J386" s="14"/>
      <c r="K386" s="14"/>
      <c r="L386" s="14"/>
      <c r="M386" s="14"/>
      <c r="N386" s="14"/>
      <c r="O386" s="14"/>
      <c r="P386" s="14"/>
      <c r="Q386" s="14"/>
      <c r="R386" s="14"/>
      <c r="S386" s="14"/>
      <c r="T386" s="14"/>
      <c r="U386" s="14"/>
      <c r="V386" s="14"/>
      <c r="W386" s="14"/>
      <c r="X386" s="14"/>
      <c r="Y386" s="14"/>
      <c r="Z386" s="14"/>
      <c r="AA386" s="15"/>
      <c r="AB386" s="3"/>
      <c r="AC386" s="3"/>
      <c r="AD386" s="3"/>
      <c r="AE386" s="3"/>
      <c r="AF386" s="3"/>
      <c r="AG386" s="3"/>
      <c r="AH386" s="3"/>
      <c r="AI386" s="3"/>
      <c r="AJ386" s="3"/>
      <c r="AK386" s="3"/>
      <c r="AL386" s="3"/>
      <c r="AM386" s="3"/>
      <c r="AN386" s="3"/>
      <c r="AO386" s="3"/>
    </row>
    <row r="387" spans="1:41" x14ac:dyDescent="0.25">
      <c r="A387" s="171"/>
      <c r="B387" s="13"/>
      <c r="C387" s="14"/>
      <c r="D387" s="60"/>
      <c r="E387" s="56"/>
      <c r="F387" s="56"/>
      <c r="G387" s="14"/>
      <c r="H387" s="14"/>
      <c r="I387" s="14"/>
      <c r="J387" s="14"/>
      <c r="K387" s="14"/>
      <c r="L387" s="14"/>
      <c r="M387" s="14"/>
      <c r="N387" s="14"/>
      <c r="O387" s="14"/>
      <c r="P387" s="14"/>
      <c r="Q387" s="14"/>
      <c r="R387" s="14"/>
      <c r="S387" s="14"/>
      <c r="T387" s="14"/>
      <c r="U387" s="14"/>
      <c r="V387" s="14"/>
      <c r="W387" s="14"/>
      <c r="X387" s="14"/>
      <c r="Y387" s="14"/>
      <c r="Z387" s="14"/>
      <c r="AA387" s="15"/>
      <c r="AB387" s="3"/>
      <c r="AC387" s="3"/>
      <c r="AD387" s="3"/>
      <c r="AE387" s="3"/>
      <c r="AF387" s="3"/>
      <c r="AG387" s="3"/>
      <c r="AH387" s="3"/>
      <c r="AI387" s="3"/>
      <c r="AJ387" s="3"/>
      <c r="AK387" s="3"/>
      <c r="AL387" s="3"/>
      <c r="AM387" s="3"/>
      <c r="AN387" s="3"/>
      <c r="AO387" s="3"/>
    </row>
    <row r="388" spans="1:41" x14ac:dyDescent="0.25">
      <c r="A388" s="171"/>
      <c r="B388" s="13"/>
      <c r="C388" s="14"/>
      <c r="D388" s="60"/>
      <c r="E388" s="56"/>
      <c r="F388" s="56"/>
      <c r="G388" s="14"/>
      <c r="H388" s="56"/>
      <c r="I388" s="14"/>
      <c r="J388" s="14"/>
      <c r="K388" s="14"/>
      <c r="L388" s="14"/>
      <c r="M388" s="14"/>
      <c r="N388" s="14"/>
      <c r="O388" s="14"/>
      <c r="P388" s="14"/>
      <c r="Q388" s="14"/>
      <c r="R388" s="14"/>
      <c r="S388" s="14"/>
      <c r="T388" s="14"/>
      <c r="U388" s="14"/>
      <c r="V388" s="14"/>
      <c r="W388" s="14"/>
      <c r="X388" s="14"/>
      <c r="Y388" s="14"/>
      <c r="Z388" s="14"/>
      <c r="AA388" s="15"/>
      <c r="AB388" s="3"/>
      <c r="AC388" s="3"/>
      <c r="AD388" s="3"/>
      <c r="AE388" s="3"/>
      <c r="AF388" s="3"/>
      <c r="AG388" s="3"/>
      <c r="AH388" s="3"/>
      <c r="AI388" s="3"/>
      <c r="AJ388" s="3"/>
      <c r="AK388" s="3"/>
      <c r="AL388" s="3"/>
      <c r="AM388" s="3"/>
      <c r="AN388" s="3"/>
      <c r="AO388" s="3"/>
    </row>
    <row r="389" spans="1:41" x14ac:dyDescent="0.25">
      <c r="A389" s="171"/>
      <c r="B389" s="13"/>
      <c r="C389" s="14"/>
      <c r="D389" s="60"/>
      <c r="E389" s="56"/>
      <c r="F389" s="56"/>
      <c r="G389" s="14"/>
      <c r="H389" s="56"/>
      <c r="I389" s="14"/>
      <c r="J389" s="14"/>
      <c r="K389" s="14"/>
      <c r="L389" s="14"/>
      <c r="M389" s="14"/>
      <c r="N389" s="14"/>
      <c r="O389" s="14"/>
      <c r="P389" s="14"/>
      <c r="Q389" s="14"/>
      <c r="R389" s="14"/>
      <c r="S389" s="14"/>
      <c r="T389" s="14"/>
      <c r="U389" s="14"/>
      <c r="V389" s="14"/>
      <c r="W389" s="14"/>
      <c r="X389" s="14"/>
      <c r="Y389" s="14"/>
      <c r="Z389" s="14"/>
      <c r="AA389" s="15"/>
      <c r="AB389" s="3"/>
      <c r="AC389" s="3"/>
      <c r="AD389" s="3"/>
      <c r="AE389" s="3"/>
      <c r="AF389" s="3"/>
      <c r="AG389" s="3"/>
      <c r="AH389" s="3"/>
      <c r="AI389" s="3"/>
      <c r="AJ389" s="3"/>
      <c r="AK389" s="3"/>
      <c r="AL389" s="3"/>
      <c r="AM389" s="3"/>
      <c r="AN389" s="3"/>
      <c r="AO389" s="3"/>
    </row>
    <row r="390" spans="1:41" x14ac:dyDescent="0.25">
      <c r="A390" s="171"/>
      <c r="B390" s="13"/>
      <c r="C390" s="14"/>
      <c r="D390" s="60"/>
      <c r="E390" s="56"/>
      <c r="F390" s="56"/>
      <c r="G390" s="14"/>
      <c r="H390" s="56"/>
      <c r="I390" s="14"/>
      <c r="J390" s="14"/>
      <c r="K390" s="14"/>
      <c r="L390" s="14"/>
      <c r="M390" s="14"/>
      <c r="N390" s="14"/>
      <c r="O390" s="14"/>
      <c r="P390" s="14"/>
      <c r="Q390" s="14"/>
      <c r="R390" s="14"/>
      <c r="S390" s="14"/>
      <c r="T390" s="14"/>
      <c r="U390" s="14"/>
      <c r="V390" s="14"/>
      <c r="W390" s="14"/>
      <c r="X390" s="14"/>
      <c r="Y390" s="14"/>
      <c r="Z390" s="14"/>
      <c r="AA390" s="15"/>
      <c r="AB390" s="3"/>
      <c r="AC390" s="3"/>
      <c r="AD390" s="3"/>
      <c r="AE390" s="3"/>
      <c r="AF390" s="3"/>
      <c r="AG390" s="3"/>
      <c r="AH390" s="3"/>
      <c r="AI390" s="3"/>
      <c r="AJ390" s="3"/>
      <c r="AK390" s="3"/>
      <c r="AL390" s="3"/>
      <c r="AM390" s="3"/>
      <c r="AN390" s="3"/>
      <c r="AO390" s="3"/>
    </row>
    <row r="391" spans="1:41" x14ac:dyDescent="0.25">
      <c r="A391" s="171"/>
      <c r="B391" s="13"/>
      <c r="C391" s="56"/>
      <c r="D391" s="60"/>
      <c r="E391" s="56"/>
      <c r="F391" s="56"/>
      <c r="G391" s="56"/>
      <c r="H391" s="56"/>
      <c r="I391" s="14"/>
      <c r="J391" s="14"/>
      <c r="K391" s="14"/>
      <c r="L391" s="14"/>
      <c r="M391" s="14"/>
      <c r="N391" s="14"/>
      <c r="O391" s="14"/>
      <c r="P391" s="14"/>
      <c r="Q391" s="14"/>
      <c r="R391" s="14"/>
      <c r="S391" s="14"/>
      <c r="T391" s="14"/>
      <c r="U391" s="14"/>
      <c r="V391" s="14"/>
      <c r="W391" s="14"/>
      <c r="X391" s="14"/>
      <c r="Y391" s="14"/>
      <c r="Z391" s="14"/>
      <c r="AA391" s="15"/>
      <c r="AB391" s="3"/>
      <c r="AC391" s="3"/>
      <c r="AD391" s="3"/>
      <c r="AE391" s="3"/>
      <c r="AF391" s="3"/>
      <c r="AG391" s="3"/>
      <c r="AH391" s="3"/>
      <c r="AI391" s="3"/>
      <c r="AJ391" s="3"/>
      <c r="AK391" s="3"/>
      <c r="AL391" s="3"/>
      <c r="AM391" s="3"/>
      <c r="AN391" s="3"/>
      <c r="AO391" s="3"/>
    </row>
    <row r="392" spans="1:41" ht="18.75" x14ac:dyDescent="0.3">
      <c r="A392" s="171"/>
      <c r="B392" s="67"/>
      <c r="C392" s="14"/>
      <c r="D392" s="60"/>
      <c r="E392" s="56"/>
      <c r="F392" s="56"/>
      <c r="G392" s="14"/>
      <c r="H392" s="56"/>
      <c r="I392" s="74"/>
      <c r="J392" s="14"/>
      <c r="K392" s="14"/>
      <c r="L392" s="14"/>
      <c r="M392" s="14"/>
      <c r="N392" s="14"/>
      <c r="O392" s="14"/>
      <c r="P392" s="14"/>
      <c r="Q392" s="14"/>
      <c r="R392" s="14"/>
      <c r="S392" s="14"/>
      <c r="T392" s="14"/>
      <c r="U392" s="14"/>
      <c r="V392" s="14"/>
      <c r="W392" s="14"/>
      <c r="X392" s="14"/>
      <c r="Y392" s="14"/>
      <c r="Z392" s="14"/>
      <c r="AA392" s="15"/>
      <c r="AB392" s="3"/>
      <c r="AC392" s="3"/>
      <c r="AD392" s="3"/>
      <c r="AE392" s="3"/>
      <c r="AF392" s="3"/>
      <c r="AG392" s="3"/>
      <c r="AH392" s="3"/>
      <c r="AI392" s="3"/>
      <c r="AJ392" s="3"/>
      <c r="AK392" s="3"/>
      <c r="AL392" s="3"/>
      <c r="AM392" s="3"/>
      <c r="AN392" s="3"/>
      <c r="AO392" s="3"/>
    </row>
    <row r="393" spans="1:41" x14ac:dyDescent="0.25">
      <c r="A393" s="171"/>
      <c r="B393" s="13"/>
      <c r="C393" s="14"/>
      <c r="D393" s="14"/>
      <c r="E393" s="56"/>
      <c r="F393" s="56"/>
      <c r="G393" s="14"/>
      <c r="H393" s="56"/>
      <c r="I393" s="14"/>
      <c r="J393" s="14"/>
      <c r="K393" s="14"/>
      <c r="L393" s="14"/>
      <c r="M393" s="14"/>
      <c r="N393" s="14"/>
      <c r="O393" s="14"/>
      <c r="P393" s="14"/>
      <c r="Q393" s="14"/>
      <c r="R393" s="14"/>
      <c r="S393" s="14"/>
      <c r="T393" s="14"/>
      <c r="U393" s="14"/>
      <c r="V393" s="14"/>
      <c r="W393" s="14"/>
      <c r="X393" s="14"/>
      <c r="Y393" s="14"/>
      <c r="Z393" s="14"/>
      <c r="AA393" s="15"/>
      <c r="AB393" s="3"/>
      <c r="AC393" s="3"/>
      <c r="AD393" s="3"/>
      <c r="AE393" s="3"/>
      <c r="AF393" s="3"/>
      <c r="AG393" s="3"/>
      <c r="AH393" s="3"/>
      <c r="AI393" s="3"/>
      <c r="AJ393" s="3"/>
      <c r="AK393" s="3"/>
      <c r="AL393" s="3"/>
      <c r="AM393" s="3"/>
      <c r="AN393" s="3"/>
      <c r="AO393" s="3"/>
    </row>
    <row r="394" spans="1:41" x14ac:dyDescent="0.25">
      <c r="A394" s="171"/>
      <c r="B394" s="13"/>
      <c r="C394" s="14"/>
      <c r="D394" s="60"/>
      <c r="E394" s="56"/>
      <c r="F394" s="56"/>
      <c r="G394" s="14"/>
      <c r="H394" s="14"/>
      <c r="I394" s="14"/>
      <c r="J394" s="14"/>
      <c r="K394" s="14"/>
      <c r="L394" s="14"/>
      <c r="M394" s="14"/>
      <c r="N394" s="14"/>
      <c r="O394" s="14"/>
      <c r="P394" s="14"/>
      <c r="Q394" s="14"/>
      <c r="R394" s="14"/>
      <c r="S394" s="14"/>
      <c r="T394" s="14"/>
      <c r="U394" s="14"/>
      <c r="V394" s="14"/>
      <c r="W394" s="14"/>
      <c r="X394" s="14"/>
      <c r="Y394" s="14"/>
      <c r="Z394" s="14"/>
      <c r="AA394" s="15"/>
      <c r="AB394" s="3"/>
      <c r="AC394" s="3"/>
      <c r="AD394" s="3"/>
      <c r="AE394" s="3"/>
      <c r="AF394" s="3"/>
      <c r="AG394" s="3"/>
      <c r="AH394" s="3"/>
      <c r="AI394" s="3"/>
      <c r="AJ394" s="3"/>
      <c r="AK394" s="3"/>
      <c r="AL394" s="3"/>
      <c r="AM394" s="3"/>
      <c r="AN394" s="3"/>
      <c r="AO394" s="3"/>
    </row>
    <row r="395" spans="1:41" x14ac:dyDescent="0.25">
      <c r="A395" s="171"/>
      <c r="B395" s="13"/>
      <c r="C395" s="14"/>
      <c r="D395" s="60"/>
      <c r="E395" s="56"/>
      <c r="F395" s="56"/>
      <c r="G395" s="14"/>
      <c r="H395" s="56"/>
      <c r="I395" s="14"/>
      <c r="J395" s="14"/>
      <c r="K395" s="14"/>
      <c r="L395" s="14"/>
      <c r="M395" s="14"/>
      <c r="N395" s="14"/>
      <c r="O395" s="14"/>
      <c r="P395" s="14"/>
      <c r="Q395" s="14"/>
      <c r="R395" s="14"/>
      <c r="S395" s="14"/>
      <c r="T395" s="14"/>
      <c r="U395" s="14"/>
      <c r="V395" s="14"/>
      <c r="W395" s="14"/>
      <c r="X395" s="14"/>
      <c r="Y395" s="14"/>
      <c r="Z395" s="14"/>
      <c r="AA395" s="15"/>
      <c r="AB395" s="3"/>
      <c r="AC395" s="3"/>
      <c r="AD395" s="3"/>
      <c r="AE395" s="3"/>
      <c r="AF395" s="3"/>
      <c r="AG395" s="3"/>
      <c r="AH395" s="3"/>
      <c r="AI395" s="3"/>
      <c r="AJ395" s="3"/>
      <c r="AK395" s="3"/>
      <c r="AL395" s="3"/>
      <c r="AM395" s="3"/>
      <c r="AN395" s="3"/>
      <c r="AO395" s="3"/>
    </row>
    <row r="396" spans="1:41" x14ac:dyDescent="0.25">
      <c r="A396" s="171"/>
      <c r="B396" s="13"/>
      <c r="C396" s="14"/>
      <c r="D396" s="60"/>
      <c r="E396" s="56"/>
      <c r="F396" s="56"/>
      <c r="G396" s="14"/>
      <c r="H396" s="56"/>
      <c r="I396" s="14"/>
      <c r="J396" s="14"/>
      <c r="K396" s="14"/>
      <c r="L396" s="14"/>
      <c r="M396" s="14"/>
      <c r="N396" s="14"/>
      <c r="O396" s="14"/>
      <c r="P396" s="14"/>
      <c r="Q396" s="14"/>
      <c r="R396" s="14"/>
      <c r="S396" s="14"/>
      <c r="T396" s="14"/>
      <c r="U396" s="14"/>
      <c r="V396" s="14"/>
      <c r="W396" s="14"/>
      <c r="X396" s="14"/>
      <c r="Y396" s="14"/>
      <c r="Z396" s="14"/>
      <c r="AA396" s="15"/>
      <c r="AB396" s="3"/>
      <c r="AC396" s="3"/>
      <c r="AD396" s="3"/>
      <c r="AE396" s="3"/>
      <c r="AF396" s="3"/>
      <c r="AG396" s="3"/>
      <c r="AH396" s="3"/>
      <c r="AI396" s="3"/>
      <c r="AJ396" s="3"/>
      <c r="AK396" s="3"/>
      <c r="AL396" s="3"/>
      <c r="AM396" s="3"/>
      <c r="AN396" s="3"/>
      <c r="AO396" s="3"/>
    </row>
    <row r="397" spans="1:41" x14ac:dyDescent="0.25">
      <c r="A397" s="171"/>
      <c r="B397" s="13"/>
      <c r="C397" s="14"/>
      <c r="D397" s="60"/>
      <c r="E397" s="56"/>
      <c r="F397" s="56"/>
      <c r="G397" s="14"/>
      <c r="H397" s="56"/>
      <c r="I397" s="14"/>
      <c r="J397" s="14"/>
      <c r="K397" s="14"/>
      <c r="L397" s="14"/>
      <c r="M397" s="14"/>
      <c r="N397" s="14"/>
      <c r="O397" s="14"/>
      <c r="P397" s="14"/>
      <c r="Q397" s="14"/>
      <c r="R397" s="14"/>
      <c r="S397" s="14"/>
      <c r="T397" s="14"/>
      <c r="U397" s="14"/>
      <c r="V397" s="14"/>
      <c r="W397" s="14"/>
      <c r="X397" s="14"/>
      <c r="Y397" s="14"/>
      <c r="Z397" s="14"/>
      <c r="AA397" s="15"/>
      <c r="AB397" s="3"/>
      <c r="AC397" s="3"/>
      <c r="AD397" s="3"/>
      <c r="AE397" s="3"/>
      <c r="AF397" s="3"/>
      <c r="AG397" s="3"/>
      <c r="AH397" s="3"/>
      <c r="AI397" s="3"/>
      <c r="AJ397" s="3"/>
      <c r="AK397" s="3"/>
      <c r="AL397" s="3"/>
      <c r="AM397" s="3"/>
      <c r="AN397" s="3"/>
      <c r="AO397" s="3"/>
    </row>
    <row r="398" spans="1:41" x14ac:dyDescent="0.25">
      <c r="A398" s="171"/>
      <c r="B398" s="13"/>
      <c r="C398" s="56"/>
      <c r="D398" s="60"/>
      <c r="E398" s="56"/>
      <c r="F398" s="56"/>
      <c r="G398" s="56"/>
      <c r="H398" s="56"/>
      <c r="I398" s="14"/>
      <c r="J398" s="14"/>
      <c r="K398" s="14"/>
      <c r="L398" s="14"/>
      <c r="M398" s="14"/>
      <c r="N398" s="14"/>
      <c r="O398" s="14"/>
      <c r="P398" s="14"/>
      <c r="Q398" s="14"/>
      <c r="R398" s="14"/>
      <c r="S398" s="14"/>
      <c r="T398" s="14"/>
      <c r="U398" s="14"/>
      <c r="V398" s="14"/>
      <c r="W398" s="14"/>
      <c r="X398" s="14"/>
      <c r="Y398" s="14"/>
      <c r="Z398" s="14"/>
      <c r="AA398" s="15"/>
      <c r="AB398" s="3"/>
      <c r="AC398" s="3"/>
      <c r="AD398" s="3"/>
      <c r="AE398" s="3"/>
      <c r="AF398" s="3"/>
      <c r="AG398" s="3"/>
      <c r="AH398" s="3"/>
      <c r="AI398" s="3"/>
      <c r="AJ398" s="3"/>
      <c r="AK398" s="3"/>
      <c r="AL398" s="3"/>
      <c r="AM398" s="3"/>
      <c r="AN398" s="3"/>
      <c r="AO398" s="3"/>
    </row>
    <row r="399" spans="1:41" x14ac:dyDescent="0.25">
      <c r="A399" s="171"/>
      <c r="B399" s="13"/>
      <c r="C399" s="14"/>
      <c r="D399" s="60"/>
      <c r="E399" s="56"/>
      <c r="F399" s="56"/>
      <c r="G399" s="14"/>
      <c r="H399" s="56"/>
      <c r="I399" s="14"/>
      <c r="J399" s="14"/>
      <c r="K399" s="14"/>
      <c r="L399" s="14"/>
      <c r="M399" s="14"/>
      <c r="N399" s="14"/>
      <c r="O399" s="14"/>
      <c r="P399" s="14"/>
      <c r="Q399" s="14"/>
      <c r="R399" s="14"/>
      <c r="S399" s="14"/>
      <c r="T399" s="14"/>
      <c r="U399" s="14"/>
      <c r="V399" s="14"/>
      <c r="W399" s="14"/>
      <c r="X399" s="14"/>
      <c r="Y399" s="14"/>
      <c r="Z399" s="14"/>
      <c r="AA399" s="15"/>
      <c r="AB399" s="3"/>
      <c r="AC399" s="3"/>
      <c r="AD399" s="3"/>
      <c r="AE399" s="3"/>
      <c r="AF399" s="3"/>
      <c r="AG399" s="3"/>
      <c r="AH399" s="3"/>
      <c r="AI399" s="3"/>
      <c r="AJ399" s="3"/>
      <c r="AK399" s="3"/>
      <c r="AL399" s="3"/>
      <c r="AM399" s="3"/>
      <c r="AN399" s="3"/>
      <c r="AO399" s="3"/>
    </row>
    <row r="400" spans="1:41" ht="18.75" x14ac:dyDescent="0.3">
      <c r="A400" s="171"/>
      <c r="B400" s="67"/>
      <c r="C400" s="14"/>
      <c r="D400" s="14"/>
      <c r="E400" s="56"/>
      <c r="F400" s="56"/>
      <c r="G400" s="14"/>
      <c r="H400" s="56"/>
      <c r="I400" s="74"/>
      <c r="J400" s="14"/>
      <c r="K400" s="14"/>
      <c r="L400" s="14"/>
      <c r="M400" s="14"/>
      <c r="N400" s="14"/>
      <c r="O400" s="14"/>
      <c r="P400" s="14"/>
      <c r="Q400" s="14"/>
      <c r="R400" s="14"/>
      <c r="S400" s="14"/>
      <c r="T400" s="14"/>
      <c r="U400" s="14"/>
      <c r="V400" s="14"/>
      <c r="W400" s="14"/>
      <c r="X400" s="14"/>
      <c r="Y400" s="14"/>
      <c r="Z400" s="14"/>
      <c r="AA400" s="15"/>
      <c r="AB400" s="3"/>
      <c r="AC400" s="3"/>
      <c r="AD400" s="3"/>
      <c r="AE400" s="3"/>
      <c r="AF400" s="3"/>
      <c r="AG400" s="3"/>
      <c r="AH400" s="3"/>
      <c r="AI400" s="3"/>
      <c r="AJ400" s="3"/>
      <c r="AK400" s="3"/>
      <c r="AL400" s="3"/>
      <c r="AM400" s="3"/>
      <c r="AN400" s="3"/>
      <c r="AO400" s="3"/>
    </row>
    <row r="401" spans="1:41" x14ac:dyDescent="0.25">
      <c r="A401" s="171"/>
      <c r="B401" s="18"/>
      <c r="C401" s="19"/>
      <c r="D401" s="63"/>
      <c r="E401" s="64"/>
      <c r="F401" s="64"/>
      <c r="G401" s="19"/>
      <c r="H401" s="19"/>
      <c r="I401" s="19"/>
      <c r="J401" s="19"/>
      <c r="K401" s="19"/>
      <c r="L401" s="19"/>
      <c r="M401" s="19"/>
      <c r="N401" s="19"/>
      <c r="O401" s="19"/>
      <c r="P401" s="19"/>
      <c r="Q401" s="19"/>
      <c r="R401" s="19"/>
      <c r="S401" s="19"/>
      <c r="T401" s="19"/>
      <c r="U401" s="19"/>
      <c r="V401" s="19"/>
      <c r="W401" s="19"/>
      <c r="X401" s="19"/>
      <c r="Y401" s="19"/>
      <c r="Z401" s="19"/>
      <c r="AA401" s="20"/>
      <c r="AB401" s="3"/>
      <c r="AC401" s="3"/>
      <c r="AD401" s="3"/>
      <c r="AE401" s="3"/>
      <c r="AF401" s="3"/>
      <c r="AG401" s="3"/>
      <c r="AH401" s="3"/>
      <c r="AI401" s="3"/>
      <c r="AJ401" s="3"/>
      <c r="AK401" s="3"/>
      <c r="AL401" s="3"/>
      <c r="AM401" s="3"/>
      <c r="AN401" s="3"/>
      <c r="AO401" s="3"/>
    </row>
    <row r="402" spans="1:41" x14ac:dyDescent="0.25">
      <c r="A402" s="171"/>
      <c r="B402" s="13"/>
      <c r="C402" s="13"/>
      <c r="D402" s="60"/>
      <c r="E402" s="56"/>
      <c r="F402" s="56"/>
      <c r="G402" s="14"/>
      <c r="H402" s="61"/>
      <c r="I402" s="15"/>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row>
    <row r="403" spans="1:41" x14ac:dyDescent="0.25">
      <c r="A403" s="171"/>
      <c r="B403" s="13"/>
      <c r="C403" s="13"/>
      <c r="D403" s="60"/>
      <c r="E403" s="56"/>
      <c r="F403" s="56"/>
      <c r="G403" s="14"/>
      <c r="H403" s="61"/>
      <c r="I403" s="15"/>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row>
    <row r="404" spans="1:41" x14ac:dyDescent="0.25">
      <c r="A404" s="171"/>
      <c r="B404" s="13"/>
      <c r="C404" s="13"/>
      <c r="D404" s="60"/>
      <c r="E404" s="56"/>
      <c r="F404" s="56"/>
      <c r="G404" s="14"/>
      <c r="H404" s="61"/>
      <c r="I404" s="15"/>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row>
    <row r="405" spans="1:41" x14ac:dyDescent="0.25">
      <c r="A405" s="171"/>
      <c r="B405" s="13"/>
      <c r="C405" s="62"/>
      <c r="D405" s="63"/>
      <c r="E405" s="64"/>
      <c r="F405" s="64"/>
      <c r="G405" s="64"/>
      <c r="H405" s="65"/>
      <c r="I405" s="15"/>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row>
    <row r="406" spans="1:41" x14ac:dyDescent="0.25">
      <c r="A406" s="171"/>
      <c r="B406" s="13"/>
      <c r="C406" s="14"/>
      <c r="D406" s="60"/>
      <c r="E406" s="66"/>
      <c r="F406" s="56"/>
      <c r="G406" s="14"/>
      <c r="H406" s="56"/>
      <c r="I406" s="15"/>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row>
    <row r="407" spans="1:41" x14ac:dyDescent="0.25">
      <c r="A407" s="171"/>
      <c r="B407" s="13"/>
      <c r="C407" s="10"/>
      <c r="D407" s="11"/>
      <c r="E407" s="56"/>
      <c r="F407" s="58"/>
      <c r="G407" s="11"/>
      <c r="H407" s="59"/>
      <c r="I407" s="15"/>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row>
    <row r="408" spans="1:41" ht="18.75" x14ac:dyDescent="0.3">
      <c r="A408" s="171"/>
      <c r="B408" s="67"/>
      <c r="C408" s="13"/>
      <c r="D408" s="60"/>
      <c r="E408" s="56"/>
      <c r="F408" s="56"/>
      <c r="G408" s="14"/>
      <c r="H408" s="15"/>
      <c r="I408" s="68"/>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row>
    <row r="409" spans="1:41" x14ac:dyDescent="0.25">
      <c r="A409" s="171"/>
      <c r="B409" s="13"/>
      <c r="C409" s="13"/>
      <c r="D409" s="60"/>
      <c r="E409" s="56"/>
      <c r="F409" s="56"/>
      <c r="G409" s="14"/>
      <c r="H409" s="61"/>
      <c r="I409" s="15"/>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row>
    <row r="410" spans="1:41" x14ac:dyDescent="0.25">
      <c r="A410" s="171"/>
      <c r="B410" s="13"/>
      <c r="C410" s="13"/>
      <c r="D410" s="60"/>
      <c r="E410" s="56"/>
      <c r="F410" s="56"/>
      <c r="G410" s="14"/>
      <c r="H410" s="61"/>
      <c r="I410" s="15"/>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row>
    <row r="411" spans="1:41" x14ac:dyDescent="0.25">
      <c r="A411" s="171"/>
      <c r="B411" s="13"/>
      <c r="C411" s="13"/>
      <c r="D411" s="60"/>
      <c r="E411" s="56"/>
      <c r="F411" s="56"/>
      <c r="G411" s="14"/>
      <c r="H411" s="61"/>
      <c r="I411" s="15"/>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row>
    <row r="412" spans="1:41" x14ac:dyDescent="0.25">
      <c r="A412" s="171"/>
      <c r="B412" s="13"/>
      <c r="C412" s="62"/>
      <c r="D412" s="63"/>
      <c r="E412" s="64"/>
      <c r="F412" s="64"/>
      <c r="G412" s="64"/>
      <c r="H412" s="65"/>
      <c r="I412" s="15"/>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row>
    <row r="413" spans="1:41" x14ac:dyDescent="0.25">
      <c r="A413" s="171"/>
      <c r="B413" s="13"/>
      <c r="C413" s="14"/>
      <c r="D413" s="60"/>
      <c r="E413" s="66"/>
      <c r="F413" s="56"/>
      <c r="G413" s="14"/>
      <c r="H413" s="56"/>
      <c r="I413" s="15"/>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row>
    <row r="414" spans="1:41" x14ac:dyDescent="0.25">
      <c r="A414" s="171"/>
      <c r="B414" s="13"/>
      <c r="C414" s="10"/>
      <c r="D414" s="11"/>
      <c r="E414" s="56"/>
      <c r="F414" s="58"/>
      <c r="G414" s="11"/>
      <c r="H414" s="59"/>
      <c r="I414" s="15"/>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row>
    <row r="415" spans="1:41" x14ac:dyDescent="0.25">
      <c r="A415" s="171"/>
      <c r="B415" s="13"/>
      <c r="C415" s="13"/>
      <c r="D415" s="60"/>
      <c r="E415" s="56"/>
      <c r="F415" s="56"/>
      <c r="G415" s="14"/>
      <c r="H415" s="15"/>
      <c r="I415" s="15"/>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row>
    <row r="416" spans="1:41" ht="18.75" x14ac:dyDescent="0.3">
      <c r="A416" s="171"/>
      <c r="B416" s="67"/>
      <c r="C416" s="13"/>
      <c r="D416" s="60"/>
      <c r="E416" s="56"/>
      <c r="F416" s="56"/>
      <c r="G416" s="14"/>
      <c r="H416" s="61"/>
      <c r="I416" s="68"/>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row>
    <row r="417" spans="1:41" x14ac:dyDescent="0.25">
      <c r="A417" s="171"/>
      <c r="B417" s="13"/>
      <c r="C417" s="13"/>
      <c r="D417" s="60"/>
      <c r="E417" s="56"/>
      <c r="F417" s="56"/>
      <c r="G417" s="14"/>
      <c r="H417" s="61"/>
      <c r="I417" s="15"/>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row>
    <row r="418" spans="1:41" x14ac:dyDescent="0.25">
      <c r="A418" s="171"/>
      <c r="B418" s="13"/>
      <c r="C418" s="13"/>
      <c r="D418" s="60"/>
      <c r="E418" s="56"/>
      <c r="F418" s="56"/>
      <c r="G418" s="14"/>
      <c r="H418" s="61"/>
      <c r="I418" s="15"/>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row>
    <row r="419" spans="1:41" x14ac:dyDescent="0.25">
      <c r="A419" s="171"/>
      <c r="B419" s="13"/>
      <c r="C419" s="62"/>
      <c r="D419" s="63"/>
      <c r="E419" s="64"/>
      <c r="F419" s="64"/>
      <c r="G419" s="64"/>
      <c r="H419" s="65"/>
      <c r="I419" s="15"/>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row>
    <row r="420" spans="1:41" x14ac:dyDescent="0.25">
      <c r="A420" s="171"/>
      <c r="B420" s="13"/>
      <c r="C420" s="14"/>
      <c r="D420" s="60"/>
      <c r="E420" s="66"/>
      <c r="F420" s="56"/>
      <c r="G420" s="14"/>
      <c r="H420" s="56"/>
      <c r="I420" s="15"/>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row>
    <row r="421" spans="1:41" x14ac:dyDescent="0.25">
      <c r="A421" s="171"/>
      <c r="B421" s="13"/>
      <c r="C421" s="10"/>
      <c r="D421" s="11"/>
      <c r="E421" s="56"/>
      <c r="F421" s="58"/>
      <c r="G421" s="11"/>
      <c r="H421" s="59"/>
      <c r="I421" s="15"/>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row>
    <row r="422" spans="1:41" x14ac:dyDescent="0.25">
      <c r="A422" s="171"/>
      <c r="B422" s="13"/>
      <c r="C422" s="13"/>
      <c r="D422" s="60"/>
      <c r="E422" s="56"/>
      <c r="F422" s="56"/>
      <c r="G422" s="14"/>
      <c r="H422" s="15"/>
      <c r="I422" s="15"/>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row>
    <row r="423" spans="1:41" x14ac:dyDescent="0.25">
      <c r="A423" s="171"/>
      <c r="B423" s="13"/>
      <c r="C423" s="13"/>
      <c r="D423" s="60"/>
      <c r="E423" s="56"/>
      <c r="F423" s="56"/>
      <c r="G423" s="14"/>
      <c r="H423" s="61"/>
      <c r="I423" s="15"/>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row>
    <row r="424" spans="1:41" ht="18.75" x14ac:dyDescent="0.3">
      <c r="A424" s="171"/>
      <c r="B424" s="67"/>
      <c r="C424" s="13"/>
      <c r="D424" s="60"/>
      <c r="E424" s="56"/>
      <c r="F424" s="56"/>
      <c r="G424" s="14"/>
      <c r="H424" s="61"/>
      <c r="I424" s="68"/>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row>
    <row r="425" spans="1:41" x14ac:dyDescent="0.25">
      <c r="A425" s="171"/>
      <c r="B425" s="13"/>
      <c r="C425" s="13"/>
      <c r="D425" s="60"/>
      <c r="E425" s="56"/>
      <c r="F425" s="56"/>
      <c r="G425" s="14"/>
      <c r="H425" s="61"/>
      <c r="I425" s="15"/>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row>
    <row r="426" spans="1:41" x14ac:dyDescent="0.25">
      <c r="A426" s="171"/>
      <c r="B426" s="13"/>
      <c r="C426" s="62"/>
      <c r="D426" s="63"/>
      <c r="E426" s="64"/>
      <c r="F426" s="64"/>
      <c r="G426" s="64"/>
      <c r="H426" s="65"/>
      <c r="I426" s="15"/>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row>
    <row r="427" spans="1:41" x14ac:dyDescent="0.25">
      <c r="A427" s="171"/>
      <c r="B427" s="13"/>
      <c r="C427" s="14"/>
      <c r="D427" s="60"/>
      <c r="E427" s="66"/>
      <c r="F427" s="56"/>
      <c r="G427" s="14"/>
      <c r="H427" s="56"/>
      <c r="I427" s="15"/>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row>
    <row r="428" spans="1:41" x14ac:dyDescent="0.25">
      <c r="A428" s="171"/>
      <c r="B428" s="13"/>
      <c r="C428" s="10"/>
      <c r="D428" s="11"/>
      <c r="E428" s="56"/>
      <c r="F428" s="58"/>
      <c r="G428" s="11"/>
      <c r="H428" s="59"/>
      <c r="I428" s="15"/>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row>
    <row r="429" spans="1:41" x14ac:dyDescent="0.25">
      <c r="A429" s="171"/>
      <c r="B429" s="13"/>
      <c r="C429" s="13"/>
      <c r="D429" s="60"/>
      <c r="E429" s="56"/>
      <c r="F429" s="56"/>
      <c r="G429" s="14"/>
      <c r="H429" s="15"/>
      <c r="I429" s="15"/>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row>
    <row r="430" spans="1:41" x14ac:dyDescent="0.25">
      <c r="A430" s="171"/>
      <c r="B430" s="13"/>
      <c r="C430" s="13"/>
      <c r="D430" s="60"/>
      <c r="E430" s="56"/>
      <c r="F430" s="56"/>
      <c r="G430" s="14"/>
      <c r="H430" s="61"/>
      <c r="I430" s="15"/>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row>
    <row r="431" spans="1:41" x14ac:dyDescent="0.25">
      <c r="A431" s="171"/>
      <c r="B431" s="13"/>
      <c r="C431" s="13"/>
      <c r="D431" s="60"/>
      <c r="E431" s="56"/>
      <c r="F431" s="56"/>
      <c r="G431" s="14"/>
      <c r="H431" s="61"/>
      <c r="I431" s="15"/>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row>
    <row r="432" spans="1:41" ht="18.75" x14ac:dyDescent="0.3">
      <c r="A432" s="171"/>
      <c r="B432" s="67"/>
      <c r="C432" s="13"/>
      <c r="D432" s="60"/>
      <c r="E432" s="56"/>
      <c r="F432" s="56"/>
      <c r="G432" s="14"/>
      <c r="H432" s="61"/>
      <c r="I432" s="68"/>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row>
    <row r="433" spans="1:41" x14ac:dyDescent="0.25">
      <c r="A433" s="171"/>
      <c r="B433" s="13"/>
      <c r="C433" s="62"/>
      <c r="D433" s="63"/>
      <c r="E433" s="64"/>
      <c r="F433" s="64"/>
      <c r="G433" s="64"/>
      <c r="H433" s="65"/>
      <c r="I433" s="15"/>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row>
    <row r="434" spans="1:41" x14ac:dyDescent="0.25">
      <c r="A434" s="171"/>
      <c r="B434" s="13"/>
      <c r="C434" s="14"/>
      <c r="D434" s="60"/>
      <c r="E434" s="66"/>
      <c r="F434" s="56"/>
      <c r="G434" s="14"/>
      <c r="H434" s="56"/>
      <c r="I434" s="15"/>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row>
    <row r="435" spans="1:41" x14ac:dyDescent="0.25">
      <c r="A435" s="171"/>
      <c r="B435" s="13"/>
      <c r="C435" s="10"/>
      <c r="D435" s="11"/>
      <c r="E435" s="56"/>
      <c r="F435" s="58"/>
      <c r="G435" s="11"/>
      <c r="H435" s="59"/>
      <c r="I435" s="15"/>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row>
    <row r="436" spans="1:41" x14ac:dyDescent="0.25">
      <c r="A436" s="171"/>
      <c r="B436" s="13"/>
      <c r="C436" s="13"/>
      <c r="D436" s="60"/>
      <c r="E436" s="56"/>
      <c r="F436" s="56"/>
      <c r="G436" s="14"/>
      <c r="H436" s="15"/>
      <c r="I436" s="15"/>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row>
    <row r="437" spans="1:41" x14ac:dyDescent="0.25">
      <c r="A437" s="171"/>
      <c r="B437" s="13"/>
      <c r="C437" s="13"/>
      <c r="D437" s="60"/>
      <c r="E437" s="56"/>
      <c r="F437" s="56"/>
      <c r="G437" s="14"/>
      <c r="H437" s="61"/>
      <c r="I437" s="15"/>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row>
    <row r="438" spans="1:41" x14ac:dyDescent="0.25">
      <c r="A438" s="171"/>
      <c r="B438" s="13"/>
      <c r="C438" s="13"/>
      <c r="D438" s="60"/>
      <c r="E438" s="56"/>
      <c r="F438" s="56"/>
      <c r="G438" s="14"/>
      <c r="H438" s="61"/>
      <c r="I438" s="15"/>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row>
    <row r="439" spans="1:41" x14ac:dyDescent="0.25">
      <c r="A439" s="171"/>
      <c r="B439" s="13"/>
      <c r="C439" s="13"/>
      <c r="D439" s="60"/>
      <c r="E439" s="56"/>
      <c r="F439" s="56"/>
      <c r="G439" s="14"/>
      <c r="H439" s="61"/>
      <c r="I439" s="15"/>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row>
    <row r="440" spans="1:41" ht="18.75" x14ac:dyDescent="0.3">
      <c r="A440" s="171"/>
      <c r="B440" s="67"/>
      <c r="C440" s="62"/>
      <c r="D440" s="63"/>
      <c r="E440" s="64"/>
      <c r="F440" s="64"/>
      <c r="G440" s="64"/>
      <c r="H440" s="65"/>
      <c r="I440" s="68"/>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row>
    <row r="441" spans="1:41" x14ac:dyDescent="0.25">
      <c r="A441" s="171"/>
      <c r="B441" s="13"/>
      <c r="C441" s="14"/>
      <c r="D441" s="60"/>
      <c r="E441" s="66"/>
      <c r="F441" s="56"/>
      <c r="G441" s="14"/>
      <c r="H441" s="56"/>
      <c r="I441" s="15"/>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row>
    <row r="442" spans="1:41" x14ac:dyDescent="0.25">
      <c r="A442" s="171"/>
      <c r="B442" s="13"/>
      <c r="C442" s="10"/>
      <c r="D442" s="11"/>
      <c r="E442" s="56"/>
      <c r="F442" s="58"/>
      <c r="G442" s="11"/>
      <c r="H442" s="59"/>
      <c r="I442" s="15"/>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row>
    <row r="443" spans="1:41" x14ac:dyDescent="0.25">
      <c r="A443" s="171"/>
      <c r="B443" s="13"/>
      <c r="C443" s="13"/>
      <c r="D443" s="60"/>
      <c r="E443" s="56"/>
      <c r="F443" s="56"/>
      <c r="G443" s="14"/>
      <c r="H443" s="15"/>
      <c r="I443" s="15"/>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row>
    <row r="444" spans="1:41" x14ac:dyDescent="0.25">
      <c r="A444" s="171"/>
      <c r="B444" s="13"/>
      <c r="C444" s="13"/>
      <c r="D444" s="60"/>
      <c r="E444" s="56"/>
      <c r="F444" s="56"/>
      <c r="G444" s="14"/>
      <c r="H444" s="61"/>
      <c r="I444" s="15"/>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row>
    <row r="445" spans="1:41" x14ac:dyDescent="0.25">
      <c r="A445" s="171"/>
      <c r="B445" s="13"/>
      <c r="C445" s="13"/>
      <c r="D445" s="60"/>
      <c r="E445" s="56"/>
      <c r="F445" s="56"/>
      <c r="G445" s="14"/>
      <c r="H445" s="61"/>
      <c r="I445" s="15"/>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row>
    <row r="446" spans="1:41" x14ac:dyDescent="0.25">
      <c r="A446" s="171"/>
      <c r="B446" s="13"/>
      <c r="C446" s="13"/>
      <c r="D446" s="60"/>
      <c r="E446" s="56"/>
      <c r="F446" s="56"/>
      <c r="G446" s="14"/>
      <c r="H446" s="61"/>
      <c r="I446" s="15"/>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row>
    <row r="447" spans="1:41" x14ac:dyDescent="0.25">
      <c r="A447" s="171"/>
      <c r="B447" s="13"/>
      <c r="C447" s="62"/>
      <c r="D447" s="63"/>
      <c r="E447" s="64"/>
      <c r="F447" s="64"/>
      <c r="G447" s="64"/>
      <c r="H447" s="65"/>
      <c r="I447" s="15"/>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row>
    <row r="448" spans="1:41" ht="18.75" x14ac:dyDescent="0.3">
      <c r="A448" s="171"/>
      <c r="B448" s="67"/>
      <c r="C448" s="14"/>
      <c r="D448" s="60"/>
      <c r="E448" s="66"/>
      <c r="F448" s="56"/>
      <c r="G448" s="14"/>
      <c r="H448" s="56"/>
      <c r="I448" s="68"/>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row>
    <row r="449" spans="1:41" x14ac:dyDescent="0.25">
      <c r="A449" s="171"/>
      <c r="B449" s="13"/>
      <c r="C449" s="10"/>
      <c r="D449" s="11"/>
      <c r="E449" s="56"/>
      <c r="F449" s="58"/>
      <c r="G449" s="11"/>
      <c r="H449" s="59"/>
      <c r="I449" s="15"/>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row>
    <row r="450" spans="1:41" x14ac:dyDescent="0.25">
      <c r="A450" s="171"/>
      <c r="B450" s="13"/>
      <c r="C450" s="13"/>
      <c r="D450" s="60"/>
      <c r="E450" s="56"/>
      <c r="F450" s="56"/>
      <c r="G450" s="14"/>
      <c r="H450" s="15"/>
      <c r="I450" s="15"/>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row>
    <row r="451" spans="1:41" x14ac:dyDescent="0.25">
      <c r="A451" s="171"/>
      <c r="B451" s="13"/>
      <c r="C451" s="13"/>
      <c r="D451" s="60"/>
      <c r="E451" s="56"/>
      <c r="F451" s="56"/>
      <c r="G451" s="14"/>
      <c r="H451" s="61"/>
      <c r="I451" s="15"/>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row>
    <row r="452" spans="1:41" x14ac:dyDescent="0.25">
      <c r="A452" s="171"/>
      <c r="B452" s="13"/>
      <c r="C452" s="13"/>
      <c r="D452" s="60"/>
      <c r="E452" s="56"/>
      <c r="F452" s="56"/>
      <c r="G452" s="14"/>
      <c r="H452" s="61"/>
      <c r="I452" s="15"/>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row>
    <row r="453" spans="1:41" x14ac:dyDescent="0.25">
      <c r="A453" s="171"/>
      <c r="B453" s="13"/>
      <c r="C453" s="13"/>
      <c r="D453" s="60"/>
      <c r="E453" s="56"/>
      <c r="F453" s="56"/>
      <c r="G453" s="14"/>
      <c r="H453" s="61"/>
      <c r="I453" s="15"/>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row>
    <row r="454" spans="1:41" x14ac:dyDescent="0.25">
      <c r="A454" s="171"/>
      <c r="B454" s="13"/>
      <c r="C454" s="62"/>
      <c r="D454" s="63"/>
      <c r="E454" s="64"/>
      <c r="F454" s="64"/>
      <c r="G454" s="64"/>
      <c r="H454" s="65"/>
      <c r="I454" s="15"/>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row>
    <row r="455" spans="1:41" x14ac:dyDescent="0.25">
      <c r="A455" s="171"/>
      <c r="B455" s="13"/>
      <c r="C455" s="14"/>
      <c r="D455" s="60"/>
      <c r="E455" s="66"/>
      <c r="F455" s="56"/>
      <c r="G455" s="14"/>
      <c r="H455" s="56"/>
      <c r="I455" s="15"/>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row>
    <row r="456" spans="1:41" ht="18.75" x14ac:dyDescent="0.3">
      <c r="A456" s="171"/>
      <c r="B456" s="67"/>
      <c r="C456" s="10"/>
      <c r="D456" s="11"/>
      <c r="E456" s="56"/>
      <c r="F456" s="58"/>
      <c r="G456" s="11"/>
      <c r="H456" s="59"/>
      <c r="I456" s="68"/>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row>
    <row r="457" spans="1:41" x14ac:dyDescent="0.25">
      <c r="A457" s="171"/>
      <c r="B457" s="13"/>
      <c r="C457" s="13"/>
      <c r="D457" s="60"/>
      <c r="E457" s="56"/>
      <c r="F457" s="56"/>
      <c r="G457" s="14"/>
      <c r="H457" s="15"/>
      <c r="I457" s="15"/>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row>
    <row r="458" spans="1:41" x14ac:dyDescent="0.25">
      <c r="A458" s="171"/>
      <c r="B458" s="13"/>
      <c r="C458" s="13"/>
      <c r="D458" s="60"/>
      <c r="E458" s="56"/>
      <c r="F458" s="56"/>
      <c r="G458" s="14"/>
      <c r="H458" s="61"/>
      <c r="I458" s="15"/>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row>
    <row r="459" spans="1:41" x14ac:dyDescent="0.25">
      <c r="A459" s="171"/>
      <c r="B459" s="13"/>
      <c r="C459" s="13"/>
      <c r="D459" s="60"/>
      <c r="E459" s="56"/>
      <c r="F459" s="56"/>
      <c r="G459" s="14"/>
      <c r="H459" s="61"/>
      <c r="I459" s="15"/>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row>
    <row r="460" spans="1:41" x14ac:dyDescent="0.25">
      <c r="A460" s="171"/>
      <c r="B460" s="13"/>
      <c r="C460" s="13"/>
      <c r="D460" s="60"/>
      <c r="E460" s="56"/>
      <c r="F460" s="56"/>
      <c r="G460" s="14"/>
      <c r="H460" s="61"/>
      <c r="I460" s="15"/>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row>
    <row r="461" spans="1:41" x14ac:dyDescent="0.25">
      <c r="A461" s="171"/>
      <c r="B461" s="13"/>
      <c r="C461" s="62"/>
      <c r="D461" s="63"/>
      <c r="E461" s="64"/>
      <c r="F461" s="64"/>
      <c r="G461" s="64"/>
      <c r="H461" s="65"/>
      <c r="I461" s="15"/>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row>
    <row r="462" spans="1:41" x14ac:dyDescent="0.25">
      <c r="A462" s="171"/>
      <c r="B462" s="13"/>
      <c r="C462" s="14"/>
      <c r="D462" s="60"/>
      <c r="E462" s="66"/>
      <c r="F462" s="56"/>
      <c r="G462" s="14"/>
      <c r="H462" s="56"/>
      <c r="I462" s="15"/>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row>
    <row r="463" spans="1:41" x14ac:dyDescent="0.25">
      <c r="A463" s="171"/>
      <c r="B463" s="13"/>
      <c r="C463" s="10"/>
      <c r="D463" s="11"/>
      <c r="E463" s="56"/>
      <c r="F463" s="58"/>
      <c r="G463" s="11"/>
      <c r="H463" s="59"/>
      <c r="I463" s="15"/>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row>
    <row r="464" spans="1:41" ht="18.75" x14ac:dyDescent="0.3">
      <c r="A464" s="171"/>
      <c r="B464" s="67"/>
      <c r="C464" s="13"/>
      <c r="D464" s="60"/>
      <c r="E464" s="56"/>
      <c r="F464" s="56"/>
      <c r="G464" s="14"/>
      <c r="H464" s="15"/>
      <c r="I464" s="68"/>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row>
    <row r="465" spans="1:41" x14ac:dyDescent="0.25">
      <c r="A465" s="171"/>
      <c r="B465" s="13"/>
      <c r="C465" s="13"/>
      <c r="D465" s="60"/>
      <c r="E465" s="56"/>
      <c r="F465" s="56"/>
      <c r="G465" s="14"/>
      <c r="H465" s="61"/>
      <c r="I465" s="15"/>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row>
    <row r="466" spans="1:41" x14ac:dyDescent="0.25">
      <c r="A466" s="171"/>
      <c r="B466" s="13"/>
      <c r="C466" s="13"/>
      <c r="D466" s="60"/>
      <c r="E466" s="56"/>
      <c r="F466" s="56"/>
      <c r="G466" s="14"/>
      <c r="H466" s="61"/>
      <c r="I466" s="15"/>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row>
    <row r="467" spans="1:41" x14ac:dyDescent="0.25">
      <c r="A467" s="171"/>
      <c r="B467" s="13"/>
      <c r="C467" s="13"/>
      <c r="D467" s="60"/>
      <c r="E467" s="56"/>
      <c r="F467" s="56"/>
      <c r="G467" s="14"/>
      <c r="H467" s="61"/>
      <c r="I467" s="15"/>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row>
    <row r="468" spans="1:41" x14ac:dyDescent="0.25">
      <c r="A468" s="171"/>
      <c r="B468" s="13"/>
      <c r="C468" s="62"/>
      <c r="D468" s="63"/>
      <c r="E468" s="64"/>
      <c r="F468" s="64"/>
      <c r="G468" s="64"/>
      <c r="H468" s="65"/>
      <c r="I468" s="15"/>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row>
    <row r="469" spans="1:41" x14ac:dyDescent="0.25">
      <c r="A469" s="171"/>
      <c r="B469" s="13"/>
      <c r="C469" s="14"/>
      <c r="D469" s="60"/>
      <c r="E469" s="66"/>
      <c r="F469" s="56"/>
      <c r="G469" s="14"/>
      <c r="H469" s="56"/>
      <c r="I469" s="15"/>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row>
    <row r="470" spans="1:41" x14ac:dyDescent="0.25">
      <c r="A470" s="171"/>
      <c r="B470" s="13"/>
      <c r="C470" s="10"/>
      <c r="D470" s="11"/>
      <c r="E470" s="56"/>
      <c r="F470" s="58"/>
      <c r="G470" s="11"/>
      <c r="H470" s="59"/>
      <c r="I470" s="15"/>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row>
    <row r="471" spans="1:41" x14ac:dyDescent="0.25">
      <c r="A471" s="171"/>
      <c r="B471" s="13"/>
      <c r="C471" s="13"/>
      <c r="D471" s="60"/>
      <c r="E471" s="56"/>
      <c r="F471" s="56"/>
      <c r="G471" s="14"/>
      <c r="H471" s="15"/>
      <c r="I471" s="15"/>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row>
    <row r="472" spans="1:41" ht="18.75" x14ac:dyDescent="0.3">
      <c r="A472" s="171"/>
      <c r="B472" s="67"/>
      <c r="C472" s="13"/>
      <c r="D472" s="60"/>
      <c r="E472" s="56"/>
      <c r="F472" s="56"/>
      <c r="G472" s="14"/>
      <c r="H472" s="61"/>
      <c r="I472" s="68"/>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row>
    <row r="473" spans="1:41" x14ac:dyDescent="0.25">
      <c r="A473" s="171"/>
      <c r="B473" s="13"/>
      <c r="C473" s="13"/>
      <c r="D473" s="60"/>
      <c r="E473" s="56"/>
      <c r="F473" s="56"/>
      <c r="G473" s="14"/>
      <c r="H473" s="61"/>
      <c r="I473" s="15"/>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row>
    <row r="474" spans="1:41" x14ac:dyDescent="0.25">
      <c r="A474" s="171"/>
      <c r="B474" s="13"/>
      <c r="C474" s="13"/>
      <c r="D474" s="60"/>
      <c r="E474" s="56"/>
      <c r="F474" s="56"/>
      <c r="G474" s="14"/>
      <c r="H474" s="61"/>
      <c r="I474" s="1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row>
    <row r="475" spans="1:41" x14ac:dyDescent="0.25">
      <c r="A475" s="171"/>
      <c r="B475" s="13"/>
      <c r="C475" s="62"/>
      <c r="D475" s="63"/>
      <c r="E475" s="64"/>
      <c r="F475" s="64"/>
      <c r="G475" s="64"/>
      <c r="H475" s="65"/>
      <c r="I475" s="15"/>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row>
    <row r="476" spans="1:41" x14ac:dyDescent="0.25">
      <c r="A476" s="171"/>
      <c r="B476" s="13"/>
      <c r="C476" s="14"/>
      <c r="D476" s="60"/>
      <c r="E476" s="66"/>
      <c r="F476" s="56"/>
      <c r="G476" s="14"/>
      <c r="H476" s="56"/>
      <c r="I476" s="15"/>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row>
    <row r="477" spans="1:41" x14ac:dyDescent="0.25">
      <c r="A477" s="171"/>
      <c r="B477" s="13"/>
      <c r="C477" s="10"/>
      <c r="D477" s="11"/>
      <c r="E477" s="56"/>
      <c r="F477" s="58"/>
      <c r="G477" s="11"/>
      <c r="H477" s="59"/>
      <c r="I477" s="15"/>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row>
    <row r="478" spans="1:41" x14ac:dyDescent="0.25">
      <c r="A478" s="171"/>
      <c r="B478" s="13"/>
      <c r="C478" s="13"/>
      <c r="D478" s="60"/>
      <c r="E478" s="56"/>
      <c r="F478" s="56"/>
      <c r="G478" s="14"/>
      <c r="H478" s="15"/>
      <c r="I478" s="15"/>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row>
    <row r="479" spans="1:41" x14ac:dyDescent="0.25">
      <c r="A479" s="171"/>
      <c r="B479" s="13"/>
      <c r="C479" s="13"/>
      <c r="D479" s="60"/>
      <c r="E479" s="56"/>
      <c r="F479" s="56"/>
      <c r="G479" s="14"/>
      <c r="H479" s="61"/>
      <c r="I479" s="15"/>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row>
    <row r="480" spans="1:41" ht="18.75" x14ac:dyDescent="0.3">
      <c r="A480" s="171"/>
      <c r="B480" s="67"/>
      <c r="C480" s="13"/>
      <c r="D480" s="60"/>
      <c r="E480" s="56"/>
      <c r="F480" s="56"/>
      <c r="G480" s="14"/>
      <c r="H480" s="61"/>
      <c r="I480" s="68"/>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row>
    <row r="481" spans="1:41" x14ac:dyDescent="0.25">
      <c r="A481" s="171"/>
      <c r="B481" s="13"/>
      <c r="C481" s="13"/>
      <c r="D481" s="60"/>
      <c r="E481" s="56"/>
      <c r="F481" s="56"/>
      <c r="G481" s="14"/>
      <c r="H481" s="61"/>
      <c r="I481" s="15"/>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row>
    <row r="482" spans="1:41" x14ac:dyDescent="0.25">
      <c r="A482" s="171"/>
      <c r="B482" s="13"/>
      <c r="C482" s="62"/>
      <c r="D482" s="63"/>
      <c r="E482" s="64"/>
      <c r="F482" s="64"/>
      <c r="G482" s="64"/>
      <c r="H482" s="65"/>
      <c r="I482" s="15"/>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row>
    <row r="483" spans="1:41" x14ac:dyDescent="0.25">
      <c r="A483" s="171"/>
      <c r="B483" s="13"/>
      <c r="C483" s="14"/>
      <c r="D483" s="60"/>
      <c r="E483" s="66"/>
      <c r="F483" s="56"/>
      <c r="G483" s="14"/>
      <c r="H483" s="56"/>
      <c r="I483" s="15"/>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row>
    <row r="484" spans="1:41" x14ac:dyDescent="0.25">
      <c r="A484" s="171"/>
      <c r="B484" s="13"/>
      <c r="C484" s="10"/>
      <c r="D484" s="11"/>
      <c r="E484" s="56"/>
      <c r="F484" s="58"/>
      <c r="G484" s="11"/>
      <c r="H484" s="59"/>
      <c r="I484" s="15"/>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row>
    <row r="485" spans="1:41" x14ac:dyDescent="0.25">
      <c r="A485" s="171"/>
      <c r="B485" s="13"/>
      <c r="C485" s="13"/>
      <c r="D485" s="60"/>
      <c r="E485" s="56"/>
      <c r="F485" s="56"/>
      <c r="G485" s="14"/>
      <c r="H485" s="15"/>
      <c r="I485" s="15"/>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row>
    <row r="486" spans="1:41" x14ac:dyDescent="0.25">
      <c r="A486" s="171"/>
      <c r="B486" s="13"/>
      <c r="C486" s="13"/>
      <c r="D486" s="60"/>
      <c r="E486" s="56"/>
      <c r="F486" s="56"/>
      <c r="G486" s="14"/>
      <c r="H486" s="61"/>
      <c r="I486" s="15"/>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row>
    <row r="487" spans="1:41" x14ac:dyDescent="0.25">
      <c r="A487" s="171"/>
      <c r="B487" s="13"/>
      <c r="C487" s="13"/>
      <c r="D487" s="60"/>
      <c r="E487" s="56"/>
      <c r="F487" s="56"/>
      <c r="G487" s="14"/>
      <c r="H487" s="61"/>
      <c r="I487" s="15"/>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row>
    <row r="488" spans="1:41" ht="18.75" x14ac:dyDescent="0.3">
      <c r="A488" s="171"/>
      <c r="B488" s="67"/>
      <c r="C488" s="13"/>
      <c r="D488" s="60"/>
      <c r="E488" s="56"/>
      <c r="F488" s="56"/>
      <c r="G488" s="14"/>
      <c r="H488" s="61"/>
      <c r="I488" s="68"/>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row>
    <row r="489" spans="1:41" x14ac:dyDescent="0.25">
      <c r="A489" s="171"/>
      <c r="B489" s="13"/>
      <c r="C489" s="62"/>
      <c r="D489" s="63"/>
      <c r="E489" s="64"/>
      <c r="F489" s="64"/>
      <c r="G489" s="64"/>
      <c r="H489" s="65"/>
      <c r="I489" s="15"/>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row>
    <row r="490" spans="1:41" x14ac:dyDescent="0.25">
      <c r="A490" s="171"/>
      <c r="B490" s="13"/>
      <c r="C490" s="14"/>
      <c r="D490" s="60"/>
      <c r="E490" s="66"/>
      <c r="F490" s="56"/>
      <c r="G490" s="14"/>
      <c r="H490" s="56"/>
      <c r="I490" s="15"/>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row>
    <row r="491" spans="1:41" x14ac:dyDescent="0.25">
      <c r="A491" s="171"/>
      <c r="B491" s="13"/>
      <c r="C491" s="10"/>
      <c r="D491" s="11"/>
      <c r="E491" s="56"/>
      <c r="F491" s="58"/>
      <c r="G491" s="11"/>
      <c r="H491" s="59"/>
      <c r="I491" s="15"/>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row>
    <row r="492" spans="1:41" x14ac:dyDescent="0.25">
      <c r="A492" s="171"/>
      <c r="B492" s="13"/>
      <c r="C492" s="13"/>
      <c r="D492" s="60"/>
      <c r="E492" s="56"/>
      <c r="F492" s="56"/>
      <c r="G492" s="14"/>
      <c r="H492" s="15"/>
      <c r="I492" s="15"/>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row>
    <row r="493" spans="1:41" x14ac:dyDescent="0.25">
      <c r="A493" s="171"/>
      <c r="B493" s="13"/>
      <c r="C493" s="13"/>
      <c r="D493" s="60"/>
      <c r="E493" s="56"/>
      <c r="F493" s="56"/>
      <c r="G493" s="14"/>
      <c r="H493" s="61"/>
      <c r="I493" s="15"/>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row>
    <row r="494" spans="1:41" x14ac:dyDescent="0.25">
      <c r="A494" s="171"/>
      <c r="B494" s="13"/>
      <c r="C494" s="13"/>
      <c r="D494" s="60"/>
      <c r="E494" s="56"/>
      <c r="F494" s="56"/>
      <c r="G494" s="14"/>
      <c r="H494" s="61"/>
      <c r="I494" s="15"/>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row>
    <row r="495" spans="1:41" x14ac:dyDescent="0.25">
      <c r="A495" s="171"/>
      <c r="B495" s="13"/>
      <c r="C495" s="13"/>
      <c r="D495" s="60"/>
      <c r="E495" s="56"/>
      <c r="F495" s="56"/>
      <c r="G495" s="14"/>
      <c r="H495" s="61"/>
      <c r="I495" s="15"/>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row>
    <row r="496" spans="1:41" ht="18.75" x14ac:dyDescent="0.3">
      <c r="A496" s="171"/>
      <c r="B496" s="67"/>
      <c r="C496" s="62"/>
      <c r="D496" s="63"/>
      <c r="E496" s="64"/>
      <c r="F496" s="64"/>
      <c r="G496" s="64"/>
      <c r="H496" s="65"/>
      <c r="I496" s="68"/>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row>
    <row r="497" spans="1:41" x14ac:dyDescent="0.25">
      <c r="A497" s="171"/>
      <c r="B497" s="13"/>
      <c r="C497" s="14"/>
      <c r="D497" s="60"/>
      <c r="E497" s="66"/>
      <c r="F497" s="56"/>
      <c r="G497" s="14"/>
      <c r="H497" s="56"/>
      <c r="I497" s="15"/>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row>
    <row r="498" spans="1:41" x14ac:dyDescent="0.25">
      <c r="A498" s="171"/>
      <c r="B498" s="13"/>
      <c r="C498" s="10"/>
      <c r="D498" s="11"/>
      <c r="E498" s="56"/>
      <c r="F498" s="58"/>
      <c r="G498" s="11"/>
      <c r="H498" s="59"/>
      <c r="I498" s="15"/>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row>
    <row r="499" spans="1:41" x14ac:dyDescent="0.25">
      <c r="A499" s="171"/>
      <c r="B499" s="13"/>
      <c r="C499" s="13"/>
      <c r="D499" s="60"/>
      <c r="E499" s="56"/>
      <c r="F499" s="56"/>
      <c r="G499" s="14"/>
      <c r="H499" s="15"/>
      <c r="I499" s="15"/>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row>
    <row r="500" spans="1:41" x14ac:dyDescent="0.25">
      <c r="A500" s="171"/>
      <c r="B500" s="13"/>
      <c r="C500" s="13"/>
      <c r="D500" s="60"/>
      <c r="E500" s="56"/>
      <c r="F500" s="56"/>
      <c r="G500" s="14"/>
      <c r="H500" s="61"/>
      <c r="I500" s="15"/>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row>
    <row r="501" spans="1:41" x14ac:dyDescent="0.25">
      <c r="A501" s="171"/>
      <c r="B501" s="13"/>
      <c r="C501" s="13"/>
      <c r="D501" s="60"/>
      <c r="E501" s="56"/>
      <c r="F501" s="56"/>
      <c r="G501" s="14"/>
      <c r="H501" s="61"/>
      <c r="I501" s="15"/>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row>
    <row r="502" spans="1:41" x14ac:dyDescent="0.25">
      <c r="A502" s="171"/>
      <c r="B502" s="13"/>
      <c r="C502" s="13"/>
      <c r="D502" s="60"/>
      <c r="E502" s="56"/>
      <c r="F502" s="56"/>
      <c r="G502" s="14"/>
      <c r="H502" s="61"/>
      <c r="I502" s="15"/>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row>
    <row r="503" spans="1:41" x14ac:dyDescent="0.25">
      <c r="A503" s="171"/>
      <c r="B503" s="13"/>
      <c r="C503" s="62"/>
      <c r="D503" s="63"/>
      <c r="E503" s="64"/>
      <c r="F503" s="64"/>
      <c r="G503" s="64"/>
      <c r="H503" s="65"/>
      <c r="I503" s="15"/>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row>
    <row r="504" spans="1:41" ht="18.75" x14ac:dyDescent="0.3">
      <c r="A504" s="171"/>
      <c r="B504" s="67"/>
      <c r="C504" s="14"/>
      <c r="D504" s="60"/>
      <c r="E504" s="66"/>
      <c r="F504" s="56"/>
      <c r="G504" s="14"/>
      <c r="H504" s="56"/>
      <c r="I504" s="68"/>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row>
    <row r="505" spans="1:41" x14ac:dyDescent="0.25">
      <c r="A505" s="171"/>
      <c r="B505" s="13"/>
      <c r="C505" s="10"/>
      <c r="D505" s="11"/>
      <c r="E505" s="56"/>
      <c r="F505" s="58"/>
      <c r="G505" s="11"/>
      <c r="H505" s="59"/>
      <c r="I505" s="15"/>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row>
    <row r="506" spans="1:41" x14ac:dyDescent="0.25">
      <c r="A506" s="171"/>
      <c r="B506" s="13"/>
      <c r="C506" s="13"/>
      <c r="D506" s="60"/>
      <c r="E506" s="56"/>
      <c r="F506" s="56"/>
      <c r="G506" s="14"/>
      <c r="H506" s="15"/>
      <c r="I506" s="15"/>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row>
    <row r="507" spans="1:41" x14ac:dyDescent="0.25">
      <c r="A507" s="171"/>
      <c r="B507" s="13"/>
      <c r="C507" s="13"/>
      <c r="D507" s="60"/>
      <c r="E507" s="56"/>
      <c r="F507" s="56"/>
      <c r="G507" s="14"/>
      <c r="H507" s="61"/>
      <c r="I507" s="15"/>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row>
    <row r="508" spans="1:41" x14ac:dyDescent="0.25">
      <c r="A508" s="171"/>
      <c r="B508" s="13"/>
      <c r="C508" s="13"/>
      <c r="D508" s="60"/>
      <c r="E508" s="56"/>
      <c r="F508" s="56"/>
      <c r="G508" s="14"/>
      <c r="H508" s="61"/>
      <c r="I508" s="15"/>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row>
    <row r="509" spans="1:41" x14ac:dyDescent="0.25">
      <c r="A509" s="171"/>
      <c r="B509" s="13"/>
      <c r="C509" s="13"/>
      <c r="D509" s="60"/>
      <c r="E509" s="56"/>
      <c r="F509" s="56"/>
      <c r="G509" s="14"/>
      <c r="H509" s="61"/>
      <c r="I509" s="15"/>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row>
    <row r="510" spans="1:41" x14ac:dyDescent="0.25">
      <c r="A510" s="171"/>
      <c r="B510" s="13"/>
      <c r="C510" s="62"/>
      <c r="D510" s="63"/>
      <c r="E510" s="64"/>
      <c r="F510" s="64"/>
      <c r="G510" s="64"/>
      <c r="H510" s="65"/>
      <c r="I510" s="15"/>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row>
    <row r="511" spans="1:41" x14ac:dyDescent="0.25">
      <c r="A511" s="171"/>
      <c r="B511" s="13"/>
      <c r="C511" s="14"/>
      <c r="D511" s="60"/>
      <c r="E511" s="66"/>
      <c r="F511" s="56"/>
      <c r="G511" s="14"/>
      <c r="H511" s="56"/>
      <c r="I511" s="15"/>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row>
    <row r="512" spans="1:41" ht="18.75" x14ac:dyDescent="0.3">
      <c r="A512" s="171"/>
      <c r="B512" s="67"/>
      <c r="C512" s="10"/>
      <c r="D512" s="11"/>
      <c r="E512" s="56"/>
      <c r="F512" s="58"/>
      <c r="G512" s="11"/>
      <c r="H512" s="59"/>
      <c r="I512" s="68"/>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row>
    <row r="513" spans="1:41" x14ac:dyDescent="0.25">
      <c r="A513" s="171"/>
      <c r="B513" s="13"/>
      <c r="C513" s="13"/>
      <c r="D513" s="60"/>
      <c r="E513" s="56"/>
      <c r="F513" s="56"/>
      <c r="G513" s="14"/>
      <c r="H513" s="15"/>
      <c r="I513" s="15"/>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row>
    <row r="514" spans="1:41" x14ac:dyDescent="0.25">
      <c r="A514" s="171"/>
      <c r="B514" s="13"/>
      <c r="C514" s="13"/>
      <c r="D514" s="60"/>
      <c r="E514" s="56"/>
      <c r="F514" s="56"/>
      <c r="G514" s="14"/>
      <c r="H514" s="61"/>
      <c r="I514" s="15"/>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row>
    <row r="515" spans="1:41" x14ac:dyDescent="0.25">
      <c r="A515" s="171"/>
      <c r="B515" s="13"/>
      <c r="C515" s="13"/>
      <c r="D515" s="60"/>
      <c r="E515" s="56"/>
      <c r="F515" s="56"/>
      <c r="G515" s="14"/>
      <c r="H515" s="61"/>
      <c r="I515" s="15"/>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row>
    <row r="516" spans="1:41" x14ac:dyDescent="0.25">
      <c r="A516" s="171"/>
      <c r="B516" s="13"/>
      <c r="C516" s="13"/>
      <c r="D516" s="60"/>
      <c r="E516" s="56"/>
      <c r="F516" s="56"/>
      <c r="G516" s="14"/>
      <c r="H516" s="61"/>
      <c r="I516" s="15"/>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row>
    <row r="517" spans="1:41" x14ac:dyDescent="0.25">
      <c r="A517" s="171"/>
      <c r="B517" s="13"/>
      <c r="C517" s="62"/>
      <c r="D517" s="63"/>
      <c r="E517" s="64"/>
      <c r="F517" s="64"/>
      <c r="G517" s="64"/>
      <c r="H517" s="65"/>
      <c r="I517" s="15"/>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row>
    <row r="518" spans="1:41" x14ac:dyDescent="0.25">
      <c r="A518" s="171"/>
      <c r="B518" s="13"/>
      <c r="C518" s="14"/>
      <c r="D518" s="60"/>
      <c r="E518" s="66"/>
      <c r="F518" s="56"/>
      <c r="G518" s="14"/>
      <c r="H518" s="56"/>
      <c r="I518" s="15"/>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row>
    <row r="519" spans="1:41" x14ac:dyDescent="0.25">
      <c r="A519" s="171"/>
      <c r="B519" s="13"/>
      <c r="C519" s="10"/>
      <c r="D519" s="11"/>
      <c r="E519" s="56"/>
      <c r="F519" s="58"/>
      <c r="G519" s="11"/>
      <c r="H519" s="59"/>
      <c r="I519" s="15"/>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row>
    <row r="520" spans="1:41" ht="18.75" x14ac:dyDescent="0.3">
      <c r="A520" s="171"/>
      <c r="B520" s="67"/>
      <c r="C520" s="13"/>
      <c r="D520" s="60"/>
      <c r="E520" s="56"/>
      <c r="F520" s="56"/>
      <c r="G520" s="14"/>
      <c r="H520" s="15"/>
      <c r="I520" s="68"/>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row>
    <row r="521" spans="1:41" x14ac:dyDescent="0.25">
      <c r="A521" s="171"/>
      <c r="B521" s="13"/>
      <c r="C521" s="13"/>
      <c r="D521" s="60"/>
      <c r="E521" s="56"/>
      <c r="F521" s="56"/>
      <c r="G521" s="14"/>
      <c r="H521" s="61"/>
      <c r="I521" s="15"/>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row>
    <row r="522" spans="1:41" x14ac:dyDescent="0.25">
      <c r="A522" s="171"/>
      <c r="B522" s="13"/>
      <c r="C522" s="13"/>
      <c r="D522" s="60"/>
      <c r="E522" s="56"/>
      <c r="F522" s="56"/>
      <c r="G522" s="14"/>
      <c r="H522" s="61"/>
      <c r="I522" s="15"/>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row>
    <row r="523" spans="1:41" x14ac:dyDescent="0.25">
      <c r="A523" s="171"/>
      <c r="B523" s="13"/>
      <c r="C523" s="13"/>
      <c r="D523" s="60"/>
      <c r="E523" s="56"/>
      <c r="F523" s="56"/>
      <c r="G523" s="14"/>
      <c r="H523" s="61"/>
      <c r="I523" s="15"/>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row>
    <row r="524" spans="1:41" x14ac:dyDescent="0.25">
      <c r="A524" s="171"/>
      <c r="B524" s="13"/>
      <c r="C524" s="62"/>
      <c r="D524" s="63"/>
      <c r="E524" s="64"/>
      <c r="F524" s="64"/>
      <c r="G524" s="64"/>
      <c r="H524" s="65"/>
      <c r="I524" s="15"/>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row>
    <row r="525" spans="1:41" x14ac:dyDescent="0.25">
      <c r="A525" s="171"/>
      <c r="B525" s="13"/>
      <c r="C525" s="14"/>
      <c r="D525" s="60"/>
      <c r="E525" s="66"/>
      <c r="F525" s="56"/>
      <c r="G525" s="14"/>
      <c r="H525" s="56"/>
      <c r="I525" s="15"/>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row>
    <row r="526" spans="1:41" x14ac:dyDescent="0.25">
      <c r="A526" s="171"/>
      <c r="B526" s="13"/>
      <c r="C526" s="10"/>
      <c r="D526" s="11"/>
      <c r="E526" s="56"/>
      <c r="F526" s="58"/>
      <c r="G526" s="11"/>
      <c r="H526" s="59"/>
      <c r="I526" s="15"/>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row>
    <row r="527" spans="1:41" x14ac:dyDescent="0.25">
      <c r="A527" s="171"/>
      <c r="B527" s="13"/>
      <c r="C527" s="13"/>
      <c r="D527" s="60"/>
      <c r="E527" s="56"/>
      <c r="F527" s="56"/>
      <c r="G527" s="14"/>
      <c r="H527" s="15"/>
      <c r="I527" s="15"/>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row>
    <row r="528" spans="1:41" ht="18.75" x14ac:dyDescent="0.3">
      <c r="A528" s="171"/>
      <c r="B528" s="67"/>
      <c r="C528" s="13"/>
      <c r="D528" s="60"/>
      <c r="E528" s="56"/>
      <c r="F528" s="56"/>
      <c r="G528" s="14"/>
      <c r="H528" s="61"/>
      <c r="I528" s="68"/>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row>
    <row r="529" spans="1:41" x14ac:dyDescent="0.25">
      <c r="A529" s="171"/>
      <c r="B529" s="13"/>
      <c r="C529" s="13"/>
      <c r="D529" s="60"/>
      <c r="E529" s="56"/>
      <c r="F529" s="56"/>
      <c r="G529" s="14"/>
      <c r="H529" s="61"/>
      <c r="I529" s="15"/>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row>
    <row r="530" spans="1:41" x14ac:dyDescent="0.25">
      <c r="A530" s="171"/>
      <c r="B530" s="13"/>
      <c r="C530" s="13"/>
      <c r="D530" s="60"/>
      <c r="E530" s="56"/>
      <c r="F530" s="56"/>
      <c r="G530" s="14"/>
      <c r="H530" s="61"/>
      <c r="I530" s="15"/>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row>
    <row r="531" spans="1:41" x14ac:dyDescent="0.25">
      <c r="A531" s="171"/>
      <c r="B531" s="13"/>
      <c r="C531" s="62"/>
      <c r="D531" s="63"/>
      <c r="E531" s="64"/>
      <c r="F531" s="64"/>
      <c r="G531" s="64"/>
      <c r="H531" s="65"/>
      <c r="I531" s="15"/>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row>
    <row r="532" spans="1:41" x14ac:dyDescent="0.25">
      <c r="A532" s="171"/>
      <c r="B532" s="13"/>
      <c r="C532" s="14"/>
      <c r="D532" s="60"/>
      <c r="E532" s="66"/>
      <c r="F532" s="56"/>
      <c r="G532" s="14"/>
      <c r="H532" s="56"/>
      <c r="I532" s="15"/>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row>
    <row r="533" spans="1:41" x14ac:dyDescent="0.25">
      <c r="A533" s="171"/>
      <c r="B533" s="13"/>
      <c r="C533" s="10"/>
      <c r="D533" s="11"/>
      <c r="E533" s="56"/>
      <c r="F533" s="58"/>
      <c r="G533" s="11"/>
      <c r="H533" s="59"/>
      <c r="I533" s="15"/>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row>
    <row r="534" spans="1:41" x14ac:dyDescent="0.25">
      <c r="A534" s="171"/>
      <c r="B534" s="13"/>
      <c r="C534" s="13"/>
      <c r="D534" s="60"/>
      <c r="E534" s="56"/>
      <c r="F534" s="56"/>
      <c r="G534" s="14"/>
      <c r="H534" s="15"/>
      <c r="I534" s="15"/>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row>
    <row r="535" spans="1:41" x14ac:dyDescent="0.25">
      <c r="A535" s="171"/>
      <c r="B535" s="13"/>
      <c r="C535" s="13"/>
      <c r="D535" s="60"/>
      <c r="E535" s="56"/>
      <c r="F535" s="56"/>
      <c r="G535" s="14"/>
      <c r="H535" s="61"/>
      <c r="I535" s="15"/>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row>
    <row r="536" spans="1:41" ht="18.75" x14ac:dyDescent="0.3">
      <c r="A536" s="171"/>
      <c r="B536" s="67"/>
      <c r="C536" s="13"/>
      <c r="D536" s="60"/>
      <c r="E536" s="56"/>
      <c r="F536" s="56"/>
      <c r="G536" s="14"/>
      <c r="H536" s="61"/>
      <c r="I536" s="68"/>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row>
    <row r="537" spans="1:41" x14ac:dyDescent="0.25">
      <c r="A537" s="171"/>
      <c r="B537" s="13"/>
      <c r="C537" s="13"/>
      <c r="D537" s="60"/>
      <c r="E537" s="56"/>
      <c r="F537" s="56"/>
      <c r="G537" s="14"/>
      <c r="H537" s="61"/>
      <c r="I537" s="15"/>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row>
    <row r="538" spans="1:41" x14ac:dyDescent="0.25">
      <c r="A538" s="171"/>
      <c r="B538" s="13"/>
      <c r="C538" s="62"/>
      <c r="D538" s="63"/>
      <c r="E538" s="64"/>
      <c r="F538" s="64"/>
      <c r="G538" s="64"/>
      <c r="H538" s="65"/>
      <c r="I538" s="15"/>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row>
    <row r="539" spans="1:41" x14ac:dyDescent="0.25">
      <c r="A539" s="171"/>
      <c r="B539" s="13"/>
      <c r="C539" s="14"/>
      <c r="D539" s="60"/>
      <c r="E539" s="66"/>
      <c r="F539" s="56"/>
      <c r="G539" s="14"/>
      <c r="H539" s="56"/>
      <c r="I539" s="15"/>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row>
    <row r="540" spans="1:41" x14ac:dyDescent="0.25">
      <c r="A540" s="171"/>
      <c r="B540" s="13"/>
      <c r="C540" s="10"/>
      <c r="D540" s="11"/>
      <c r="E540" s="56"/>
      <c r="F540" s="58"/>
      <c r="G540" s="11"/>
      <c r="H540" s="59"/>
      <c r="I540" s="15"/>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row>
    <row r="541" spans="1:41" x14ac:dyDescent="0.25">
      <c r="A541" s="171"/>
      <c r="B541" s="13"/>
      <c r="C541" s="13"/>
      <c r="D541" s="60"/>
      <c r="E541" s="56"/>
      <c r="F541" s="56"/>
      <c r="G541" s="14"/>
      <c r="H541" s="15"/>
      <c r="I541" s="15"/>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row>
    <row r="542" spans="1:41" x14ac:dyDescent="0.25">
      <c r="A542" s="171"/>
      <c r="B542" s="8"/>
      <c r="C542" s="23"/>
      <c r="D542" s="47"/>
      <c r="E542" s="48"/>
      <c r="F542" s="48"/>
      <c r="G542" s="24"/>
      <c r="H542" s="49"/>
      <c r="I542" s="27"/>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row>
    <row r="543" spans="1:41" x14ac:dyDescent="0.25">
      <c r="A543" s="171"/>
      <c r="B543" s="8"/>
      <c r="C543" s="23"/>
      <c r="D543" s="47"/>
      <c r="E543" s="48"/>
      <c r="F543" s="48"/>
      <c r="G543" s="24"/>
      <c r="H543" s="49"/>
      <c r="I543" s="27"/>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row>
    <row r="544" spans="1:41" ht="18.75" x14ac:dyDescent="0.3">
      <c r="A544" s="171"/>
      <c r="B544" s="28"/>
      <c r="C544" s="23"/>
      <c r="D544" s="47"/>
      <c r="E544" s="48"/>
      <c r="F544" s="48"/>
      <c r="G544" s="24"/>
      <c r="H544" s="49"/>
      <c r="I544" s="29"/>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row>
    <row r="545" spans="1:41" x14ac:dyDescent="0.25">
      <c r="A545" s="171"/>
      <c r="B545" s="8"/>
      <c r="C545" s="50"/>
      <c r="D545" s="51"/>
      <c r="E545" s="52"/>
      <c r="F545" s="52"/>
      <c r="G545" s="52"/>
      <c r="H545" s="53"/>
      <c r="I545" s="27"/>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row>
    <row r="546" spans="1:41" x14ac:dyDescent="0.25">
      <c r="A546" s="171"/>
      <c r="B546" s="8"/>
      <c r="C546" s="9"/>
      <c r="D546" s="54"/>
      <c r="E546" s="55"/>
      <c r="F546" s="44"/>
      <c r="G546" s="9"/>
      <c r="H546" s="44"/>
      <c r="I546" s="27"/>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row>
    <row r="547" spans="1:41" x14ac:dyDescent="0.25">
      <c r="A547" s="171"/>
      <c r="B547" s="8"/>
      <c r="C547" s="21"/>
      <c r="D547" s="22"/>
      <c r="E547" s="48"/>
      <c r="F547" s="45"/>
      <c r="G547" s="22"/>
      <c r="H547" s="46"/>
      <c r="I547" s="27"/>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row>
    <row r="548" spans="1:41" x14ac:dyDescent="0.25">
      <c r="A548" s="171"/>
      <c r="B548" s="8"/>
      <c r="C548" s="23"/>
      <c r="D548" s="47"/>
      <c r="E548" s="48"/>
      <c r="F548" s="48"/>
      <c r="G548" s="24"/>
      <c r="H548" s="25"/>
      <c r="I548" s="27"/>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row>
    <row r="549" spans="1:41" x14ac:dyDescent="0.25">
      <c r="A549" s="171"/>
      <c r="B549" s="8"/>
      <c r="C549" s="23"/>
      <c r="D549" s="47"/>
      <c r="E549" s="48"/>
      <c r="F549" s="48"/>
      <c r="G549" s="24"/>
      <c r="H549" s="49"/>
      <c r="I549" s="27"/>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row>
    <row r="550" spans="1:41" x14ac:dyDescent="0.25">
      <c r="A550" s="171"/>
      <c r="B550" s="8"/>
      <c r="C550" s="23"/>
      <c r="D550" s="47"/>
      <c r="E550" s="48"/>
      <c r="F550" s="48"/>
      <c r="G550" s="24"/>
      <c r="H550" s="49"/>
      <c r="I550" s="27"/>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row>
    <row r="551" spans="1:41" x14ac:dyDescent="0.25">
      <c r="A551" s="171"/>
      <c r="B551" s="8"/>
      <c r="C551" s="23"/>
      <c r="D551" s="47"/>
      <c r="E551" s="48"/>
      <c r="F551" s="48"/>
      <c r="G551" s="24"/>
      <c r="H551" s="49"/>
      <c r="I551" s="27"/>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row>
    <row r="552" spans="1:41" ht="18.75" x14ac:dyDescent="0.3">
      <c r="A552" s="171"/>
      <c r="B552" s="28"/>
      <c r="C552" s="50"/>
      <c r="D552" s="51"/>
      <c r="E552" s="52"/>
      <c r="F552" s="52"/>
      <c r="G552" s="52"/>
      <c r="H552" s="53"/>
      <c r="I552" s="29"/>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row>
    <row r="553" spans="1:41" x14ac:dyDescent="0.25">
      <c r="A553" s="171"/>
      <c r="B553" s="8"/>
      <c r="C553" s="9"/>
      <c r="D553" s="54"/>
      <c r="E553" s="55"/>
      <c r="F553" s="44"/>
      <c r="G553" s="9"/>
      <c r="H553" s="44"/>
      <c r="I553" s="27"/>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row>
    <row r="554" spans="1:41" x14ac:dyDescent="0.25">
      <c r="A554" s="171"/>
      <c r="B554" s="8"/>
      <c r="C554" s="21"/>
      <c r="D554" s="22"/>
      <c r="E554" s="48"/>
      <c r="F554" s="45"/>
      <c r="G554" s="22"/>
      <c r="H554" s="46"/>
      <c r="I554" s="27"/>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row>
    <row r="555" spans="1:41" x14ac:dyDescent="0.25">
      <c r="A555" s="171"/>
      <c r="B555" s="8"/>
      <c r="C555" s="23"/>
      <c r="D555" s="47"/>
      <c r="E555" s="48"/>
      <c r="F555" s="48"/>
      <c r="G555" s="24"/>
      <c r="H555" s="25"/>
      <c r="I555" s="27"/>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row>
    <row r="556" spans="1:41" x14ac:dyDescent="0.25">
      <c r="A556" s="171"/>
      <c r="B556" s="8"/>
      <c r="C556" s="23"/>
      <c r="D556" s="47"/>
      <c r="E556" s="48"/>
      <c r="F556" s="48"/>
      <c r="G556" s="24"/>
      <c r="H556" s="49"/>
      <c r="I556" s="27"/>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row>
    <row r="557" spans="1:41" x14ac:dyDescent="0.25">
      <c r="A557" s="171"/>
      <c r="B557" s="8"/>
      <c r="C557" s="23"/>
      <c r="D557" s="47"/>
      <c r="E557" s="48"/>
      <c r="F557" s="48"/>
      <c r="G557" s="24"/>
      <c r="H557" s="49"/>
      <c r="I557" s="27"/>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row>
    <row r="558" spans="1:41" x14ac:dyDescent="0.25">
      <c r="A558" s="171"/>
      <c r="B558" s="8"/>
      <c r="C558" s="23"/>
      <c r="D558" s="47"/>
      <c r="E558" s="48"/>
      <c r="F558" s="48"/>
      <c r="G558" s="24"/>
      <c r="H558" s="49"/>
      <c r="I558" s="27"/>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row>
    <row r="559" spans="1:41" x14ac:dyDescent="0.25">
      <c r="A559" s="171"/>
      <c r="B559" s="8"/>
      <c r="C559" s="50"/>
      <c r="D559" s="51"/>
      <c r="E559" s="52"/>
      <c r="F559" s="52"/>
      <c r="G559" s="52"/>
      <c r="H559" s="53"/>
      <c r="I559" s="27"/>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row>
    <row r="560" spans="1:41" ht="18.75" x14ac:dyDescent="0.3">
      <c r="A560" s="171"/>
      <c r="B560" s="28"/>
      <c r="C560" s="9"/>
      <c r="D560" s="54"/>
      <c r="E560" s="55"/>
      <c r="F560" s="44"/>
      <c r="G560" s="9"/>
      <c r="H560" s="44"/>
      <c r="I560" s="29"/>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row>
    <row r="561" spans="1:41" x14ac:dyDescent="0.25">
      <c r="A561" s="171"/>
      <c r="B561" s="8"/>
      <c r="C561" s="21"/>
      <c r="D561" s="22"/>
      <c r="E561" s="48"/>
      <c r="F561" s="45"/>
      <c r="G561" s="22"/>
      <c r="H561" s="46"/>
      <c r="I561" s="27"/>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row>
    <row r="562" spans="1:41" x14ac:dyDescent="0.25">
      <c r="A562" s="171"/>
      <c r="B562" s="8"/>
      <c r="C562" s="23"/>
      <c r="D562" s="47"/>
      <c r="E562" s="48"/>
      <c r="F562" s="48"/>
      <c r="G562" s="24"/>
      <c r="H562" s="25"/>
      <c r="I562" s="27"/>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row>
    <row r="563" spans="1:41" x14ac:dyDescent="0.25">
      <c r="A563" s="171"/>
      <c r="B563" s="8"/>
      <c r="C563" s="23"/>
      <c r="D563" s="47"/>
      <c r="E563" s="48"/>
      <c r="F563" s="48"/>
      <c r="G563" s="24"/>
      <c r="H563" s="49"/>
      <c r="I563" s="27"/>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row>
    <row r="564" spans="1:41" x14ac:dyDescent="0.25">
      <c r="A564" s="171"/>
      <c r="B564" s="8"/>
      <c r="C564" s="23"/>
      <c r="D564" s="47"/>
      <c r="E564" s="48"/>
      <c r="F564" s="48"/>
      <c r="G564" s="24"/>
      <c r="H564" s="49"/>
      <c r="I564" s="27"/>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row>
    <row r="565" spans="1:41" x14ac:dyDescent="0.25">
      <c r="A565" s="171"/>
      <c r="B565" s="8"/>
      <c r="C565" s="23"/>
      <c r="D565" s="47"/>
      <c r="E565" s="48"/>
      <c r="F565" s="48"/>
      <c r="G565" s="24"/>
      <c r="H565" s="49"/>
      <c r="I565" s="27"/>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row>
    <row r="566" spans="1:41" x14ac:dyDescent="0.25">
      <c r="A566" s="171"/>
      <c r="B566" s="8"/>
      <c r="C566" s="50"/>
      <c r="D566" s="51"/>
      <c r="E566" s="52"/>
      <c r="F566" s="52"/>
      <c r="G566" s="52"/>
      <c r="H566" s="53"/>
      <c r="I566" s="27"/>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row>
    <row r="567" spans="1:41" x14ac:dyDescent="0.25">
      <c r="A567" s="171"/>
      <c r="B567" s="8"/>
      <c r="C567" s="9"/>
      <c r="D567" s="54"/>
      <c r="E567" s="55"/>
      <c r="F567" s="44"/>
      <c r="G567" s="9"/>
      <c r="H567" s="44"/>
      <c r="I567" s="27"/>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row>
    <row r="568" spans="1:41" ht="18.75" x14ac:dyDescent="0.3">
      <c r="A568" s="171"/>
      <c r="B568" s="28"/>
      <c r="C568" s="21"/>
      <c r="D568" s="22"/>
      <c r="E568" s="48"/>
      <c r="F568" s="45"/>
      <c r="G568" s="22"/>
      <c r="H568" s="46"/>
      <c r="I568" s="29"/>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row>
    <row r="569" spans="1:41" x14ac:dyDescent="0.25">
      <c r="A569" s="171"/>
      <c r="B569" s="8"/>
      <c r="C569" s="23"/>
      <c r="D569" s="47"/>
      <c r="E569" s="48"/>
      <c r="F569" s="48"/>
      <c r="G569" s="24"/>
      <c r="H569" s="25"/>
      <c r="I569" s="27"/>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row>
    <row r="570" spans="1:41" x14ac:dyDescent="0.25">
      <c r="A570" s="171"/>
      <c r="B570" s="8"/>
      <c r="C570" s="23"/>
      <c r="D570" s="47"/>
      <c r="E570" s="48"/>
      <c r="F570" s="48"/>
      <c r="G570" s="24"/>
      <c r="H570" s="49"/>
      <c r="I570" s="27"/>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row>
    <row r="571" spans="1:41" x14ac:dyDescent="0.25">
      <c r="A571" s="171"/>
      <c r="B571" s="8"/>
      <c r="C571" s="23"/>
      <c r="D571" s="47"/>
      <c r="E571" s="48"/>
      <c r="F571" s="48"/>
      <c r="G571" s="24"/>
      <c r="H571" s="49"/>
      <c r="I571" s="27"/>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row>
    <row r="572" spans="1:41" x14ac:dyDescent="0.25">
      <c r="A572" s="171"/>
      <c r="B572" s="8"/>
      <c r="C572" s="23"/>
      <c r="D572" s="47"/>
      <c r="E572" s="48"/>
      <c r="F572" s="48"/>
      <c r="G572" s="24"/>
      <c r="H572" s="49"/>
      <c r="I572" s="27"/>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row>
    <row r="573" spans="1:41" x14ac:dyDescent="0.25">
      <c r="A573" s="171"/>
      <c r="B573" s="8"/>
      <c r="C573" s="50"/>
      <c r="D573" s="51"/>
      <c r="E573" s="52"/>
      <c r="F573" s="52"/>
      <c r="G573" s="52"/>
      <c r="H573" s="53"/>
      <c r="I573" s="27"/>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row>
    <row r="574" spans="1:41" x14ac:dyDescent="0.25">
      <c r="A574" s="171"/>
      <c r="B574" s="8"/>
      <c r="C574" s="9"/>
      <c r="D574" s="54"/>
      <c r="E574" s="55"/>
      <c r="F574" s="44"/>
      <c r="G574" s="9"/>
      <c r="H574" s="44"/>
      <c r="I574" s="27"/>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row>
    <row r="575" spans="1:41" x14ac:dyDescent="0.25">
      <c r="A575" s="171"/>
      <c r="B575" s="8"/>
      <c r="C575" s="21"/>
      <c r="D575" s="22"/>
      <c r="E575" s="48"/>
      <c r="F575" s="45"/>
      <c r="G575" s="22"/>
      <c r="H575" s="46"/>
      <c r="I575" s="27"/>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row>
    <row r="576" spans="1:41" ht="18.75" x14ac:dyDescent="0.3">
      <c r="A576" s="171"/>
      <c r="B576" s="28"/>
      <c r="C576" s="23"/>
      <c r="D576" s="47"/>
      <c r="E576" s="48"/>
      <c r="F576" s="48"/>
      <c r="G576" s="24"/>
      <c r="H576" s="25"/>
      <c r="I576" s="29"/>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row>
    <row r="577" spans="1:41" x14ac:dyDescent="0.25">
      <c r="A577" s="171"/>
      <c r="B577" s="8"/>
      <c r="C577" s="23"/>
      <c r="D577" s="47"/>
      <c r="E577" s="48"/>
      <c r="F577" s="48"/>
      <c r="G577" s="24"/>
      <c r="H577" s="49"/>
      <c r="I577" s="27"/>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row>
    <row r="578" spans="1:41" x14ac:dyDescent="0.25">
      <c r="A578" s="171"/>
      <c r="B578" s="8"/>
      <c r="C578" s="23"/>
      <c r="D578" s="47"/>
      <c r="E578" s="48"/>
      <c r="F578" s="48"/>
      <c r="G578" s="24"/>
      <c r="H578" s="49"/>
      <c r="I578" s="27"/>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row>
    <row r="579" spans="1:41" x14ac:dyDescent="0.25">
      <c r="A579" s="171"/>
      <c r="B579" s="8"/>
      <c r="C579" s="23"/>
      <c r="D579" s="47"/>
      <c r="E579" s="48"/>
      <c r="F579" s="48"/>
      <c r="G579" s="24"/>
      <c r="H579" s="49"/>
      <c r="I579" s="27"/>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row>
    <row r="580" spans="1:41" x14ac:dyDescent="0.25">
      <c r="A580" s="171"/>
      <c r="B580" s="8"/>
      <c r="C580" s="50"/>
      <c r="D580" s="51"/>
      <c r="E580" s="52"/>
      <c r="F580" s="52"/>
      <c r="G580" s="52"/>
      <c r="H580" s="53"/>
      <c r="I580" s="27"/>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row>
    <row r="581" spans="1:41" x14ac:dyDescent="0.25">
      <c r="A581" s="171"/>
      <c r="B581" s="8"/>
      <c r="C581" s="9"/>
      <c r="D581" s="54"/>
      <c r="E581" s="55"/>
      <c r="F581" s="44"/>
      <c r="G581" s="9"/>
      <c r="H581" s="44"/>
      <c r="I581" s="27"/>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row>
    <row r="582" spans="1:41" x14ac:dyDescent="0.25">
      <c r="A582" s="171"/>
      <c r="B582" s="8"/>
      <c r="C582" s="21"/>
      <c r="D582" s="22"/>
      <c r="E582" s="48"/>
      <c r="F582" s="45"/>
      <c r="G582" s="22"/>
      <c r="H582" s="46"/>
      <c r="I582" s="27"/>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row>
    <row r="583" spans="1:41" x14ac:dyDescent="0.25">
      <c r="A583" s="171"/>
      <c r="B583" s="8"/>
      <c r="C583" s="23"/>
      <c r="D583" s="47"/>
      <c r="E583" s="48"/>
      <c r="F583" s="48"/>
      <c r="G583" s="24"/>
      <c r="H583" s="25"/>
      <c r="I583" s="27"/>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row>
    <row r="584" spans="1:41" ht="18.75" x14ac:dyDescent="0.3">
      <c r="A584" s="171"/>
      <c r="B584" s="28"/>
      <c r="C584" s="23"/>
      <c r="D584" s="47"/>
      <c r="E584" s="48"/>
      <c r="F584" s="48"/>
      <c r="G584" s="24"/>
      <c r="H584" s="49"/>
      <c r="I584" s="29"/>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row>
    <row r="585" spans="1:41" x14ac:dyDescent="0.25">
      <c r="A585" s="171"/>
      <c r="B585" s="8"/>
      <c r="C585" s="23"/>
      <c r="D585" s="47"/>
      <c r="E585" s="48"/>
      <c r="F585" s="48"/>
      <c r="G585" s="24"/>
      <c r="H585" s="49"/>
      <c r="I585" s="27"/>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row>
    <row r="586" spans="1:41" x14ac:dyDescent="0.25">
      <c r="A586" s="171"/>
      <c r="B586" s="8"/>
      <c r="C586" s="23"/>
      <c r="D586" s="47"/>
      <c r="E586" s="48"/>
      <c r="F586" s="48"/>
      <c r="G586" s="24"/>
      <c r="H586" s="49"/>
      <c r="I586" s="27"/>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row>
    <row r="587" spans="1:41" x14ac:dyDescent="0.25">
      <c r="A587" s="171"/>
      <c r="B587" s="8"/>
      <c r="C587" s="50"/>
      <c r="D587" s="51"/>
      <c r="E587" s="52"/>
      <c r="F587" s="52"/>
      <c r="G587" s="52"/>
      <c r="H587" s="53"/>
      <c r="I587" s="27"/>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row>
    <row r="588" spans="1:41" x14ac:dyDescent="0.25">
      <c r="A588" s="171"/>
      <c r="B588" s="8"/>
      <c r="C588" s="9"/>
      <c r="D588" s="54"/>
      <c r="E588" s="55"/>
      <c r="F588" s="44"/>
      <c r="G588" s="9"/>
      <c r="H588" s="44"/>
      <c r="I588" s="27"/>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row>
    <row r="589" spans="1:41" x14ac:dyDescent="0.25">
      <c r="A589" s="171"/>
      <c r="B589" s="8"/>
      <c r="C589" s="21"/>
      <c r="D589" s="22"/>
      <c r="E589" s="48"/>
      <c r="F589" s="45"/>
      <c r="G589" s="22"/>
      <c r="H589" s="46"/>
      <c r="I589" s="27"/>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row>
    <row r="590" spans="1:41" x14ac:dyDescent="0.25">
      <c r="A590" s="171"/>
      <c r="B590" s="8"/>
      <c r="C590" s="23"/>
      <c r="D590" s="47"/>
      <c r="E590" s="48"/>
      <c r="F590" s="48"/>
      <c r="G590" s="24"/>
      <c r="H590" s="25"/>
      <c r="I590" s="27"/>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row>
    <row r="591" spans="1:41" x14ac:dyDescent="0.25">
      <c r="A591" s="171"/>
      <c r="B591" s="8"/>
      <c r="C591" s="23"/>
      <c r="D591" s="47"/>
      <c r="E591" s="48"/>
      <c r="F591" s="48"/>
      <c r="G591" s="24"/>
      <c r="H591" s="49"/>
      <c r="I591" s="27"/>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row>
    <row r="592" spans="1:41" ht="18.75" x14ac:dyDescent="0.3">
      <c r="A592" s="171"/>
      <c r="B592" s="28"/>
      <c r="C592" s="23"/>
      <c r="D592" s="47"/>
      <c r="E592" s="48"/>
      <c r="F592" s="48"/>
      <c r="G592" s="24"/>
      <c r="H592" s="49"/>
      <c r="I592" s="29"/>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row>
    <row r="593" spans="1:41" x14ac:dyDescent="0.25">
      <c r="A593" s="171"/>
      <c r="B593" s="8"/>
      <c r="C593" s="23"/>
      <c r="D593" s="47"/>
      <c r="E593" s="48"/>
      <c r="F593" s="48"/>
      <c r="G593" s="24"/>
      <c r="H593" s="49"/>
      <c r="I593" s="27"/>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row>
    <row r="594" spans="1:41" x14ac:dyDescent="0.25">
      <c r="A594" s="171"/>
      <c r="B594" s="8"/>
      <c r="C594" s="50"/>
      <c r="D594" s="51"/>
      <c r="E594" s="52"/>
      <c r="F594" s="52"/>
      <c r="G594" s="52"/>
      <c r="H594" s="53"/>
      <c r="I594" s="27"/>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row>
    <row r="595" spans="1:41" x14ac:dyDescent="0.25">
      <c r="A595" s="171"/>
      <c r="B595" s="8"/>
      <c r="C595" s="9"/>
      <c r="D595" s="54"/>
      <c r="E595" s="55"/>
      <c r="F595" s="44"/>
      <c r="G595" s="9"/>
      <c r="H595" s="44"/>
      <c r="I595" s="27"/>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row>
    <row r="596" spans="1:41" x14ac:dyDescent="0.25">
      <c r="A596" s="171"/>
      <c r="B596" s="8"/>
      <c r="C596" s="21"/>
      <c r="D596" s="22"/>
      <c r="E596" s="48"/>
      <c r="F596" s="45"/>
      <c r="G596" s="22"/>
      <c r="H596" s="46"/>
      <c r="I596" s="27"/>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row>
    <row r="597" spans="1:41" x14ac:dyDescent="0.25">
      <c r="A597" s="171"/>
      <c r="B597" s="8"/>
      <c r="C597" s="23"/>
      <c r="D597" s="47"/>
      <c r="E597" s="48"/>
      <c r="F597" s="48"/>
      <c r="G597" s="24"/>
      <c r="H597" s="25"/>
      <c r="I597" s="27"/>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row>
    <row r="598" spans="1:41" x14ac:dyDescent="0.25">
      <c r="A598" s="171"/>
      <c r="B598" s="8"/>
      <c r="C598" s="23"/>
      <c r="D598" s="47"/>
      <c r="E598" s="48"/>
      <c r="F598" s="48"/>
      <c r="G598" s="24"/>
      <c r="H598" s="49"/>
      <c r="I598" s="27"/>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row>
    <row r="599" spans="1:41" x14ac:dyDescent="0.25">
      <c r="A599" s="171"/>
      <c r="B599" s="8"/>
      <c r="C599" s="23"/>
      <c r="D599" s="47"/>
      <c r="E599" s="48"/>
      <c r="F599" s="48"/>
      <c r="G599" s="24"/>
      <c r="H599" s="49"/>
      <c r="I599" s="27"/>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row>
    <row r="600" spans="1:41" ht="18.75" x14ac:dyDescent="0.3">
      <c r="A600" s="171"/>
      <c r="B600" s="28"/>
      <c r="C600" s="23"/>
      <c r="D600" s="47"/>
      <c r="E600" s="48"/>
      <c r="F600" s="48"/>
      <c r="G600" s="24"/>
      <c r="H600" s="49"/>
      <c r="I600" s="29"/>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row>
    <row r="601" spans="1:41" x14ac:dyDescent="0.25">
      <c r="A601" s="171"/>
      <c r="B601" s="8"/>
      <c r="C601" s="50"/>
      <c r="D601" s="51"/>
      <c r="E601" s="52"/>
      <c r="F601" s="52"/>
      <c r="G601" s="52"/>
      <c r="H601" s="53"/>
      <c r="I601" s="27"/>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row>
    <row r="602" spans="1:41" x14ac:dyDescent="0.25">
      <c r="A602" s="171"/>
      <c r="B602" s="8"/>
      <c r="C602" s="9"/>
      <c r="D602" s="54"/>
      <c r="E602" s="55"/>
      <c r="F602" s="44"/>
      <c r="G602" s="9"/>
      <c r="H602" s="44"/>
      <c r="I602" s="27"/>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row>
    <row r="603" spans="1:41" x14ac:dyDescent="0.25">
      <c r="A603" s="171"/>
      <c r="B603" s="8"/>
      <c r="C603" s="21"/>
      <c r="D603" s="22"/>
      <c r="E603" s="48"/>
      <c r="F603" s="45"/>
      <c r="G603" s="22"/>
      <c r="H603" s="46"/>
      <c r="I603" s="27"/>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row>
    <row r="604" spans="1:41" x14ac:dyDescent="0.25">
      <c r="A604" s="171"/>
      <c r="B604" s="8"/>
      <c r="C604" s="23"/>
      <c r="D604" s="47"/>
      <c r="E604" s="48"/>
      <c r="F604" s="48"/>
      <c r="G604" s="24"/>
      <c r="H604" s="25"/>
      <c r="I604" s="27"/>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row>
    <row r="605" spans="1:41" x14ac:dyDescent="0.25">
      <c r="A605" s="171"/>
      <c r="B605" s="8"/>
      <c r="C605" s="23"/>
      <c r="D605" s="47"/>
      <c r="E605" s="48"/>
      <c r="F605" s="48"/>
      <c r="G605" s="24"/>
      <c r="H605" s="49"/>
      <c r="I605" s="27"/>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row>
    <row r="606" spans="1:41" x14ac:dyDescent="0.25">
      <c r="A606" s="171"/>
      <c r="B606" s="8"/>
      <c r="C606" s="23"/>
      <c r="D606" s="47"/>
      <c r="E606" s="48"/>
      <c r="F606" s="48"/>
      <c r="G606" s="24"/>
      <c r="H606" s="49"/>
      <c r="I606" s="27"/>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row>
    <row r="607" spans="1:41" x14ac:dyDescent="0.25">
      <c r="A607" s="171"/>
      <c r="B607" s="8"/>
      <c r="C607" s="23"/>
      <c r="D607" s="47"/>
      <c r="E607" s="48"/>
      <c r="F607" s="48"/>
      <c r="G607" s="24"/>
      <c r="H607" s="49"/>
      <c r="I607" s="27"/>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row>
    <row r="608" spans="1:41" ht="18.75" x14ac:dyDescent="0.3">
      <c r="A608" s="171"/>
      <c r="B608" s="28"/>
      <c r="C608" s="50"/>
      <c r="D608" s="51"/>
      <c r="E608" s="52"/>
      <c r="F608" s="52"/>
      <c r="G608" s="52"/>
      <c r="H608" s="53"/>
      <c r="I608" s="29"/>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row>
    <row r="609" spans="1:32" x14ac:dyDescent="0.25">
      <c r="A609" s="171"/>
      <c r="B609" s="8"/>
      <c r="C609" s="9"/>
      <c r="D609" s="54"/>
      <c r="E609" s="55"/>
      <c r="F609" s="44"/>
      <c r="G609" s="9"/>
      <c r="H609" s="44"/>
      <c r="I609" s="27"/>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row>
    <row r="610" spans="1:32" x14ac:dyDescent="0.25">
      <c r="A610" s="171"/>
      <c r="B610" s="8"/>
      <c r="C610" s="21"/>
      <c r="D610" s="22"/>
      <c r="E610" s="48"/>
      <c r="F610" s="45"/>
      <c r="G610" s="22"/>
      <c r="H610" s="46"/>
      <c r="I610" s="27"/>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row>
    <row r="611" spans="1:32" x14ac:dyDescent="0.25">
      <c r="A611" s="171"/>
      <c r="B611" s="8"/>
      <c r="C611" s="23"/>
      <c r="D611" s="47"/>
      <c r="E611" s="48"/>
      <c r="F611" s="48"/>
      <c r="G611" s="24"/>
      <c r="H611" s="25"/>
      <c r="I611" s="27"/>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row>
  </sheetData>
  <conditionalFormatting sqref="E155:E160">
    <cfRule type="cellIs" dxfId="13" priority="1" operator="equal">
      <formula>#REF!</formula>
    </cfRule>
  </conditionalFormatting>
  <conditionalFormatting sqref="E212:E286">
    <cfRule type="cellIs" dxfId="12" priority="14" operator="equal">
      <formula>#REF!</formula>
    </cfRule>
  </conditionalFormatting>
  <conditionalFormatting sqref="E161:E210 E291:E611">
    <cfRule type="cellIs" dxfId="11" priority="13" operator="equal">
      <formula>#REF!</formula>
    </cfRule>
  </conditionalFormatting>
  <conditionalFormatting sqref="E154">
    <cfRule type="cellIs" dxfId="10" priority="2" operator="equal">
      <formula>#REF!</formula>
    </cfRule>
  </conditionalFormatting>
  <conditionalFormatting sqref="E98">
    <cfRule type="cellIs" dxfId="9" priority="12" operator="equal">
      <formula>#REF!</formula>
    </cfRule>
  </conditionalFormatting>
  <conditionalFormatting sqref="E99:E104">
    <cfRule type="cellIs" dxfId="8" priority="11" operator="equal">
      <formula>#REF!</formula>
    </cfRule>
  </conditionalFormatting>
  <conditionalFormatting sqref="E105:E111">
    <cfRule type="cellIs" dxfId="7" priority="10" operator="equal">
      <formula>#REF!</formula>
    </cfRule>
  </conditionalFormatting>
  <conditionalFormatting sqref="E112">
    <cfRule type="cellIs" dxfId="6" priority="9" operator="equal">
      <formula>#REF!</formula>
    </cfRule>
  </conditionalFormatting>
  <conditionalFormatting sqref="E113:E118">
    <cfRule type="cellIs" dxfId="5" priority="8" operator="equal">
      <formula>#REF!</formula>
    </cfRule>
  </conditionalFormatting>
  <conditionalFormatting sqref="E119:E125">
    <cfRule type="cellIs" dxfId="4" priority="7" operator="equal">
      <formula>#REF!</formula>
    </cfRule>
  </conditionalFormatting>
  <conditionalFormatting sqref="E126">
    <cfRule type="cellIs" dxfId="3" priority="6" operator="equal">
      <formula>#REF!</formula>
    </cfRule>
  </conditionalFormatting>
  <conditionalFormatting sqref="E140">
    <cfRule type="cellIs" dxfId="2" priority="5" operator="equal">
      <formula>#REF!</formula>
    </cfRule>
  </conditionalFormatting>
  <conditionalFormatting sqref="E141:E146">
    <cfRule type="cellIs" dxfId="1" priority="4" operator="equal">
      <formula>#REF!</formula>
    </cfRule>
  </conditionalFormatting>
  <conditionalFormatting sqref="E147:E153">
    <cfRule type="cellIs" dxfId="0" priority="3" operator="equal">
      <formula>#REF!</formula>
    </cfRule>
  </conditionalFormatting>
  <pageMargins left="0.7" right="0.7" top="0.75" bottom="0.75" header="0.3" footer="0.3"/>
  <pageSetup paperSize="9" orientation="portrait" r:id="rId1"/>
  <drawing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dimension ref="A1:CZ200"/>
  <sheetViews>
    <sheetView zoomScale="85" zoomScaleNormal="85" workbookViewId="0"/>
  </sheetViews>
  <sheetFormatPr defaultColWidth="8.85546875" defaultRowHeight="15" x14ac:dyDescent="0.25"/>
  <cols>
    <col min="1" max="1" width="38.7109375" customWidth="1"/>
    <col min="2" max="2" width="14.140625" style="919" customWidth="1"/>
    <col min="3" max="23" width="9.140625" style="919"/>
    <col min="24" max="24" width="13.140625" style="826" customWidth="1"/>
    <col min="25" max="39" width="9.140625" style="826"/>
    <col min="46" max="46" width="19" customWidth="1"/>
    <col min="50" max="50" width="18" bestFit="1" customWidth="1"/>
  </cols>
  <sheetData>
    <row r="1" spans="1:41" ht="26.25" x14ac:dyDescent="0.4">
      <c r="A1" s="918" t="s">
        <v>1311</v>
      </c>
    </row>
    <row r="2" spans="1:41" x14ac:dyDescent="0.25">
      <c r="X2" s="826" t="s">
        <v>1370</v>
      </c>
      <c r="AO2" s="612" t="s">
        <v>1378</v>
      </c>
    </row>
    <row r="3" spans="1:41" x14ac:dyDescent="0.25">
      <c r="A3" s="309" t="s">
        <v>1038</v>
      </c>
      <c r="B3" s="920" t="s">
        <v>1310</v>
      </c>
      <c r="X3" s="949" t="s">
        <v>1369</v>
      </c>
    </row>
    <row r="4" spans="1:41" x14ac:dyDescent="0.25">
      <c r="A4" s="309" t="s">
        <v>1312</v>
      </c>
      <c r="B4" s="921">
        <v>43265</v>
      </c>
      <c r="X4" s="950">
        <v>43265</v>
      </c>
    </row>
    <row r="45" spans="40:51" x14ac:dyDescent="0.25">
      <c r="AR45" s="951">
        <v>0.09</v>
      </c>
    </row>
    <row r="46" spans="40:51" x14ac:dyDescent="0.25">
      <c r="AO46" t="s">
        <v>1371</v>
      </c>
      <c r="AP46" s="171" t="s">
        <v>1372</v>
      </c>
      <c r="AQ46" s="171" t="s">
        <v>1373</v>
      </c>
      <c r="AR46" t="s">
        <v>1374</v>
      </c>
      <c r="AS46" t="s">
        <v>1375</v>
      </c>
      <c r="AT46" t="s">
        <v>1376</v>
      </c>
    </row>
    <row r="47" spans="40:51" x14ac:dyDescent="0.25">
      <c r="AN47">
        <v>2016</v>
      </c>
      <c r="AO47">
        <f>47</f>
        <v>47</v>
      </c>
      <c r="AP47">
        <f>AO47*1000000</f>
        <v>47000000</v>
      </c>
      <c r="AQ47">
        <f>AP47/1000</f>
        <v>47000</v>
      </c>
      <c r="AR47">
        <v>3.79</v>
      </c>
      <c r="AS47">
        <f>AR47*AQ47</f>
        <v>178130</v>
      </c>
      <c r="AT47" s="603">
        <f>AS47*365</f>
        <v>65017450</v>
      </c>
      <c r="AU47" s="311" t="s">
        <v>1377</v>
      </c>
      <c r="AV47">
        <f>AR47</f>
        <v>3.79</v>
      </c>
      <c r="AX47">
        <f>AVERAGE(AR47:AR59,AV47:AV59)</f>
        <v>5.6301279829159503</v>
      </c>
      <c r="AY47" t="s">
        <v>1379</v>
      </c>
    </row>
    <row r="48" spans="40:51" x14ac:dyDescent="0.25">
      <c r="AN48">
        <f>AN47+1</f>
        <v>2017</v>
      </c>
      <c r="AO48">
        <f>AO47*(1-0.07)</f>
        <v>43.709999999999994</v>
      </c>
      <c r="AP48" s="171">
        <f t="shared" ref="AP48:AP59" si="0">AO48*1000000</f>
        <v>43709999.999999993</v>
      </c>
      <c r="AQ48" s="171">
        <f t="shared" ref="AQ48:AQ59" si="1">AP48/1000</f>
        <v>43709.999999999993</v>
      </c>
      <c r="AR48" s="171">
        <f t="shared" ref="AR48:AR59" si="2">AR47*(1+$AR$45)</f>
        <v>4.1311</v>
      </c>
      <c r="AS48" s="171">
        <f t="shared" ref="AS48:AS59" si="3">AR48*AQ48</f>
        <v>180570.38099999996</v>
      </c>
      <c r="AT48" s="603">
        <f t="shared" ref="AT48:AT59" si="4">AS48*365</f>
        <v>65908189.06499999</v>
      </c>
      <c r="AV48">
        <v>4</v>
      </c>
    </row>
    <row r="49" spans="40:104" x14ac:dyDescent="0.25">
      <c r="AN49" s="171">
        <f t="shared" ref="AN49:AN59" si="5">AN48+1</f>
        <v>2018</v>
      </c>
      <c r="AO49" s="171">
        <f t="shared" ref="AO49:AO59" si="6">AO48*(1-0.07)</f>
        <v>40.650299999999994</v>
      </c>
      <c r="AP49" s="171">
        <f t="shared" si="0"/>
        <v>40650299.999999993</v>
      </c>
      <c r="AQ49" s="171">
        <f t="shared" si="1"/>
        <v>40650.299999999996</v>
      </c>
      <c r="AR49" s="171">
        <f t="shared" si="2"/>
        <v>4.5028990000000002</v>
      </c>
      <c r="AS49" s="171">
        <f t="shared" si="3"/>
        <v>183044.19521969999</v>
      </c>
      <c r="AT49" s="603">
        <f t="shared" si="4"/>
        <v>66811131.255190499</v>
      </c>
      <c r="AV49">
        <v>4.7</v>
      </c>
    </row>
    <row r="50" spans="40:104" x14ac:dyDescent="0.25">
      <c r="AN50" s="171">
        <f t="shared" si="5"/>
        <v>2019</v>
      </c>
      <c r="AO50" s="171">
        <f t="shared" si="6"/>
        <v>37.804778999999989</v>
      </c>
      <c r="AP50" s="171">
        <f t="shared" si="0"/>
        <v>37804778.999999993</v>
      </c>
      <c r="AQ50" s="171">
        <f t="shared" si="1"/>
        <v>37804.778999999995</v>
      </c>
      <c r="AR50" s="171">
        <f t="shared" si="2"/>
        <v>4.9081599100000002</v>
      </c>
      <c r="AS50" s="171">
        <f t="shared" si="3"/>
        <v>185551.90069420988</v>
      </c>
      <c r="AT50" s="603">
        <f t="shared" si="4"/>
        <v>67726443.753386602</v>
      </c>
      <c r="AV50">
        <v>4.2</v>
      </c>
    </row>
    <row r="51" spans="40:104" x14ac:dyDescent="0.25">
      <c r="AN51" s="171">
        <f t="shared" si="5"/>
        <v>2020</v>
      </c>
      <c r="AO51" s="171">
        <f t="shared" si="6"/>
        <v>35.158444469999985</v>
      </c>
      <c r="AP51" s="171">
        <f t="shared" si="0"/>
        <v>35158444.469999984</v>
      </c>
      <c r="AQ51" s="171">
        <f t="shared" si="1"/>
        <v>35158.44446999998</v>
      </c>
      <c r="AR51" s="171">
        <f t="shared" si="2"/>
        <v>5.3498943019000009</v>
      </c>
      <c r="AS51" s="171">
        <f t="shared" si="3"/>
        <v>188093.9617337205</v>
      </c>
      <c r="AT51" s="603">
        <f t="shared" si="4"/>
        <v>68654296.032807976</v>
      </c>
      <c r="AV51">
        <v>4.4000000000000004</v>
      </c>
      <c r="AX51" s="749" t="s">
        <v>1385</v>
      </c>
      <c r="AY51" s="749">
        <f t="array" ref="AY51:BK51">TRANSPOSE(AN47:AN59)</f>
        <v>2016</v>
      </c>
      <c r="AZ51" s="749">
        <v>2017</v>
      </c>
      <c r="BA51" s="749">
        <v>2018</v>
      </c>
      <c r="BB51" s="749">
        <v>2019</v>
      </c>
      <c r="BC51" s="749">
        <v>2020</v>
      </c>
      <c r="BD51" s="749">
        <v>2021</v>
      </c>
      <c r="BE51" s="749">
        <v>2022</v>
      </c>
      <c r="BF51" s="749">
        <v>2023</v>
      </c>
      <c r="BG51" s="749">
        <v>2024</v>
      </c>
      <c r="BH51" s="749">
        <v>2025</v>
      </c>
      <c r="BI51" s="749">
        <v>2026</v>
      </c>
      <c r="BJ51" s="749">
        <v>2027</v>
      </c>
      <c r="BK51" s="749">
        <v>2028</v>
      </c>
      <c r="BL51" s="749">
        <f>BK51+1</f>
        <v>2029</v>
      </c>
      <c r="BM51" s="749">
        <f t="shared" ref="BM51:CG51" si="7">BL51+1</f>
        <v>2030</v>
      </c>
      <c r="BN51" s="749">
        <f t="shared" si="7"/>
        <v>2031</v>
      </c>
      <c r="BO51" s="749">
        <f t="shared" si="7"/>
        <v>2032</v>
      </c>
      <c r="BP51" s="749">
        <f t="shared" si="7"/>
        <v>2033</v>
      </c>
      <c r="BQ51" s="749">
        <f t="shared" si="7"/>
        <v>2034</v>
      </c>
      <c r="BR51" s="749">
        <f t="shared" si="7"/>
        <v>2035</v>
      </c>
      <c r="BS51" s="749">
        <f t="shared" si="7"/>
        <v>2036</v>
      </c>
      <c r="BT51" s="749">
        <f t="shared" si="7"/>
        <v>2037</v>
      </c>
      <c r="BU51" s="749">
        <f t="shared" si="7"/>
        <v>2038</v>
      </c>
      <c r="BV51" s="749">
        <f t="shared" si="7"/>
        <v>2039</v>
      </c>
      <c r="BW51" s="749">
        <f t="shared" si="7"/>
        <v>2040</v>
      </c>
      <c r="BX51" s="749">
        <f t="shared" si="7"/>
        <v>2041</v>
      </c>
      <c r="BY51" s="749">
        <f t="shared" si="7"/>
        <v>2042</v>
      </c>
      <c r="BZ51" s="749">
        <f t="shared" si="7"/>
        <v>2043</v>
      </c>
      <c r="CA51" s="749">
        <f t="shared" si="7"/>
        <v>2044</v>
      </c>
      <c r="CB51" s="749">
        <f t="shared" si="7"/>
        <v>2045</v>
      </c>
      <c r="CC51" s="749">
        <f t="shared" si="7"/>
        <v>2046</v>
      </c>
      <c r="CD51" s="749">
        <f t="shared" si="7"/>
        <v>2047</v>
      </c>
      <c r="CE51" s="749">
        <f t="shared" si="7"/>
        <v>2048</v>
      </c>
      <c r="CF51" s="749">
        <f t="shared" si="7"/>
        <v>2049</v>
      </c>
      <c r="CG51" s="749">
        <f t="shared" si="7"/>
        <v>2050</v>
      </c>
      <c r="CH51" s="749">
        <f t="shared" ref="CH51" si="8">CG51+1</f>
        <v>2051</v>
      </c>
      <c r="CI51" s="749">
        <f t="shared" ref="CI51" si="9">CH51+1</f>
        <v>2052</v>
      </c>
      <c r="CJ51" s="749">
        <f t="shared" ref="CJ51" si="10">CI51+1</f>
        <v>2053</v>
      </c>
      <c r="CK51" s="749">
        <f t="shared" ref="CK51" si="11">CJ51+1</f>
        <v>2054</v>
      </c>
      <c r="CL51" s="749">
        <f t="shared" ref="CL51" si="12">CK51+1</f>
        <v>2055</v>
      </c>
      <c r="CM51" s="749">
        <f t="shared" ref="CM51" si="13">CL51+1</f>
        <v>2056</v>
      </c>
      <c r="CN51" s="749">
        <f t="shared" ref="CN51" si="14">CM51+1</f>
        <v>2057</v>
      </c>
      <c r="CO51" s="749">
        <f t="shared" ref="CO51" si="15">CN51+1</f>
        <v>2058</v>
      </c>
      <c r="CP51" s="749">
        <f t="shared" ref="CP51" si="16">CO51+1</f>
        <v>2059</v>
      </c>
      <c r="CQ51" s="749">
        <f t="shared" ref="CQ51" si="17">CP51+1</f>
        <v>2060</v>
      </c>
      <c r="CR51" s="749">
        <f t="shared" ref="CR51" si="18">CQ51+1</f>
        <v>2061</v>
      </c>
      <c r="CS51" s="749">
        <f t="shared" ref="CS51" si="19">CR51+1</f>
        <v>2062</v>
      </c>
      <c r="CT51" s="749">
        <f t="shared" ref="CT51" si="20">CS51+1</f>
        <v>2063</v>
      </c>
      <c r="CU51" s="749">
        <f t="shared" ref="CU51" si="21">CT51+1</f>
        <v>2064</v>
      </c>
      <c r="CV51" s="749">
        <f t="shared" ref="CV51" si="22">CU51+1</f>
        <v>2065</v>
      </c>
      <c r="CW51" s="749"/>
      <c r="CX51" s="749"/>
      <c r="CY51" s="749"/>
      <c r="CZ51" s="749"/>
    </row>
    <row r="52" spans="40:104" x14ac:dyDescent="0.25">
      <c r="AN52" s="171">
        <f t="shared" si="5"/>
        <v>2021</v>
      </c>
      <c r="AO52" s="171">
        <f t="shared" si="6"/>
        <v>32.697353357099985</v>
      </c>
      <c r="AP52" s="171">
        <f t="shared" si="0"/>
        <v>32697353.357099984</v>
      </c>
      <c r="AQ52" s="171">
        <f t="shared" si="1"/>
        <v>32697.353357099983</v>
      </c>
      <c r="AR52" s="171">
        <f t="shared" si="2"/>
        <v>5.8313847890710013</v>
      </c>
      <c r="AS52" s="171">
        <f t="shared" si="3"/>
        <v>190670.84900947247</v>
      </c>
      <c r="AT52" s="603">
        <f t="shared" si="4"/>
        <v>69594859.888457447</v>
      </c>
      <c r="AV52">
        <v>4.5</v>
      </c>
      <c r="AX52" s="1" t="s">
        <v>15</v>
      </c>
      <c r="AY52" s="1">
        <f t="array" ref="AY52:BK52">TRANSPOSE(AR47:AR59)</f>
        <v>3.79</v>
      </c>
      <c r="AZ52" s="1">
        <v>4.1311</v>
      </c>
      <c r="BA52" s="1">
        <v>4.5028990000000002</v>
      </c>
      <c r="BB52" s="1">
        <v>4.9081599100000002</v>
      </c>
      <c r="BC52" s="1">
        <v>5.3498943019000009</v>
      </c>
      <c r="BD52" s="1">
        <v>5.8313847890710013</v>
      </c>
      <c r="BE52" s="1">
        <v>6.3562094200873922</v>
      </c>
      <c r="BF52" s="1">
        <v>6.9282682678952581</v>
      </c>
      <c r="BG52" s="1">
        <v>7.5518124120058321</v>
      </c>
      <c r="BH52" s="1">
        <v>8.2314755290863584</v>
      </c>
      <c r="BI52" s="1">
        <v>8.9723083267041321</v>
      </c>
      <c r="BJ52" s="1">
        <v>9.7798160761075046</v>
      </c>
      <c r="BK52" s="1">
        <v>10.659999522957181</v>
      </c>
      <c r="BL52">
        <f>BK52*(1+$AR$45)</f>
        <v>11.619399480023327</v>
      </c>
      <c r="BM52" s="171">
        <f t="shared" ref="BM52:CG52" si="23">BL52*(1+$AR$45)</f>
        <v>12.665145433225428</v>
      </c>
      <c r="BN52" s="171">
        <f t="shared" si="23"/>
        <v>13.805008522215717</v>
      </c>
      <c r="BO52" s="171">
        <f t="shared" si="23"/>
        <v>15.047459289215132</v>
      </c>
      <c r="BP52" s="171">
        <f t="shared" si="23"/>
        <v>16.401730625244493</v>
      </c>
      <c r="BQ52" s="171">
        <f t="shared" si="23"/>
        <v>17.8778863815165</v>
      </c>
      <c r="BR52" s="171">
        <f t="shared" si="23"/>
        <v>19.486896155852985</v>
      </c>
      <c r="BS52" s="171">
        <f t="shared" si="23"/>
        <v>21.240716809879757</v>
      </c>
      <c r="BT52" s="171">
        <f t="shared" si="23"/>
        <v>23.152381322768935</v>
      </c>
      <c r="BU52" s="171">
        <f t="shared" si="23"/>
        <v>25.236095641818142</v>
      </c>
      <c r="BV52" s="171">
        <f t="shared" si="23"/>
        <v>27.507344249581777</v>
      </c>
      <c r="BW52" s="171">
        <f t="shared" si="23"/>
        <v>29.983005232044139</v>
      </c>
      <c r="BX52" s="171">
        <f t="shared" si="23"/>
        <v>32.681475702928111</v>
      </c>
      <c r="BY52" s="171">
        <f t="shared" si="23"/>
        <v>35.622808516191647</v>
      </c>
      <c r="BZ52" s="171">
        <f t="shared" si="23"/>
        <v>38.828861282648894</v>
      </c>
      <c r="CA52" s="171">
        <f t="shared" si="23"/>
        <v>42.323458798087294</v>
      </c>
      <c r="CB52" s="171">
        <f t="shared" si="23"/>
        <v>46.132570089915156</v>
      </c>
      <c r="CC52" s="171">
        <f t="shared" si="23"/>
        <v>50.284501398007521</v>
      </c>
      <c r="CD52" s="171">
        <f t="shared" si="23"/>
        <v>54.810106523828203</v>
      </c>
      <c r="CE52" s="171">
        <f t="shared" si="23"/>
        <v>59.743016110972746</v>
      </c>
      <c r="CF52" s="171">
        <f t="shared" si="23"/>
        <v>65.119887560960294</v>
      </c>
      <c r="CG52" s="171">
        <f t="shared" si="23"/>
        <v>70.98067744144673</v>
      </c>
    </row>
    <row r="53" spans="40:104" x14ac:dyDescent="0.25">
      <c r="AN53" s="171">
        <f t="shared" si="5"/>
        <v>2022</v>
      </c>
      <c r="AO53" s="171">
        <f t="shared" si="6"/>
        <v>30.408538622102984</v>
      </c>
      <c r="AP53" s="171">
        <f t="shared" si="0"/>
        <v>30408538.622102983</v>
      </c>
      <c r="AQ53" s="171">
        <f t="shared" si="1"/>
        <v>30408.538622102984</v>
      </c>
      <c r="AR53" s="171">
        <f t="shared" si="2"/>
        <v>6.3562094200873922</v>
      </c>
      <c r="AS53" s="171">
        <f t="shared" si="3"/>
        <v>193283.03964090228</v>
      </c>
      <c r="AT53" s="603">
        <f t="shared" si="4"/>
        <v>70548309.468929335</v>
      </c>
      <c r="AV53">
        <v>4.4000000000000004</v>
      </c>
      <c r="AX53" s="1" t="s">
        <v>16</v>
      </c>
      <c r="AY53" s="1">
        <f t="array" ref="AY53:BK53">TRANSPOSE(AV47:AV59)</f>
        <v>3.79</v>
      </c>
      <c r="AZ53" s="1">
        <v>4</v>
      </c>
      <c r="BA53" s="1">
        <v>4.7</v>
      </c>
      <c r="BB53" s="1">
        <v>4.2</v>
      </c>
      <c r="BC53" s="1">
        <v>4.4000000000000004</v>
      </c>
      <c r="BD53" s="1">
        <v>4.5</v>
      </c>
      <c r="BE53" s="1">
        <v>4.4000000000000004</v>
      </c>
      <c r="BF53" s="1">
        <v>4.8</v>
      </c>
      <c r="BG53" s="1">
        <v>4.5999999999999996</v>
      </c>
      <c r="BH53" s="1">
        <v>4.8</v>
      </c>
      <c r="BI53" s="1">
        <v>4.9000000000000004</v>
      </c>
      <c r="BJ53" s="1">
        <v>5</v>
      </c>
      <c r="BK53" s="1">
        <v>5.3</v>
      </c>
      <c r="BL53">
        <f>BK53*(1+$AV$61)</f>
        <v>5.4501977223465792</v>
      </c>
      <c r="BM53" s="171">
        <f t="shared" ref="BM53:CG53" si="24">BL53*(1+$AV$61)</f>
        <v>5.6046519269192148</v>
      </c>
      <c r="BN53" s="171">
        <f t="shared" si="24"/>
        <v>5.7634832389887682</v>
      </c>
      <c r="BO53" s="171">
        <f t="shared" si="24"/>
        <v>5.926815702248919</v>
      </c>
      <c r="BP53" s="171">
        <f t="shared" si="24"/>
        <v>6.0947768756915091</v>
      </c>
      <c r="BQ53" s="171">
        <f t="shared" si="24"/>
        <v>6.2674979332272569</v>
      </c>
      <c r="BR53" s="171">
        <f t="shared" si="24"/>
        <v>6.4451137661296389</v>
      </c>
      <c r="BS53" s="171">
        <f t="shared" si="24"/>
        <v>6.6277630883819514</v>
      </c>
      <c r="BT53" s="171">
        <f t="shared" si="24"/>
        <v>6.8155885450098186</v>
      </c>
      <c r="BU53" s="171">
        <f t="shared" si="24"/>
        <v>7.0087368234837637</v>
      </c>
      <c r="BV53" s="171">
        <f t="shared" si="24"/>
        <v>7.2073587682788318</v>
      </c>
      <c r="BW53" s="171">
        <f t="shared" si="24"/>
        <v>7.4116094986807424</v>
      </c>
      <c r="BX53" s="171">
        <f t="shared" si="24"/>
        <v>7.6216485299305763</v>
      </c>
      <c r="BY53" s="171">
        <f t="shared" si="24"/>
        <v>7.8376398978025996</v>
      </c>
      <c r="BZ53" s="171">
        <f t="shared" si="24"/>
        <v>8.0597522867125289</v>
      </c>
      <c r="CA53" s="171">
        <f t="shared" si="24"/>
        <v>8.2881591614562744</v>
      </c>
      <c r="CB53" s="171">
        <f t="shared" si="24"/>
        <v>8.5230389026820603</v>
      </c>
      <c r="CC53" s="171">
        <f t="shared" si="24"/>
        <v>8.7645749462017086</v>
      </c>
      <c r="CD53" s="171">
        <f t="shared" si="24"/>
        <v>9.0129559262498944</v>
      </c>
      <c r="CE53" s="171">
        <f t="shared" si="24"/>
        <v>9.2683758228032591</v>
      </c>
      <c r="CF53" s="171">
        <f t="shared" si="24"/>
        <v>9.5310341130744192</v>
      </c>
      <c r="CG53" s="171">
        <f t="shared" si="24"/>
        <v>9.8011359272991978</v>
      </c>
    </row>
    <row r="54" spans="40:104" x14ac:dyDescent="0.25">
      <c r="AN54" s="171">
        <f t="shared" si="5"/>
        <v>2023</v>
      </c>
      <c r="AO54" s="171">
        <f t="shared" si="6"/>
        <v>28.279940918555774</v>
      </c>
      <c r="AP54" s="171">
        <f t="shared" si="0"/>
        <v>28279940.918555774</v>
      </c>
      <c r="AQ54" s="171">
        <f t="shared" si="1"/>
        <v>28279.940918555774</v>
      </c>
      <c r="AR54" s="171">
        <f t="shared" si="2"/>
        <v>6.9282682678952581</v>
      </c>
      <c r="AS54" s="171">
        <f t="shared" si="3"/>
        <v>195931.01728398266</v>
      </c>
      <c r="AT54" s="603">
        <f t="shared" si="4"/>
        <v>71514821.308653668</v>
      </c>
      <c r="AV54">
        <v>4.8</v>
      </c>
      <c r="AX54" s="1" t="s">
        <v>1384</v>
      </c>
      <c r="AY54" s="1">
        <f>AVERAGE(AY52:AY53)</f>
        <v>3.79</v>
      </c>
      <c r="AZ54" s="1">
        <f t="shared" ref="AZ54:BK54" si="25">AVERAGE(AZ52:AZ53)</f>
        <v>4.06555</v>
      </c>
      <c r="BA54" s="1">
        <f t="shared" si="25"/>
        <v>4.6014495000000002</v>
      </c>
      <c r="BB54" s="1">
        <f t="shared" si="25"/>
        <v>4.5540799550000006</v>
      </c>
      <c r="BC54" s="1">
        <f t="shared" si="25"/>
        <v>4.8749471509500006</v>
      </c>
      <c r="BD54" s="1">
        <f t="shared" si="25"/>
        <v>5.1656923945355011</v>
      </c>
      <c r="BE54" s="1">
        <f t="shared" si="25"/>
        <v>5.3781047100436963</v>
      </c>
      <c r="BF54" s="1">
        <f t="shared" si="25"/>
        <v>5.8641341339476289</v>
      </c>
      <c r="BG54" s="1">
        <f t="shared" si="25"/>
        <v>6.0759062060029159</v>
      </c>
      <c r="BH54" s="1">
        <f t="shared" si="25"/>
        <v>6.5157377645431787</v>
      </c>
      <c r="BI54" s="1">
        <f t="shared" si="25"/>
        <v>6.9361541633520662</v>
      </c>
      <c r="BJ54" s="1">
        <f t="shared" si="25"/>
        <v>7.3899080380537523</v>
      </c>
      <c r="BK54" s="1">
        <f t="shared" si="25"/>
        <v>7.9799997614785898</v>
      </c>
      <c r="BL54" s="1">
        <f t="shared" ref="BL54" si="26">AVERAGE(BL52:BL53)</f>
        <v>8.5347986011849528</v>
      </c>
      <c r="BM54" s="1">
        <f t="shared" ref="BM54" si="27">AVERAGE(BM52:BM53)</f>
        <v>9.1348986800723218</v>
      </c>
      <c r="BN54" s="1">
        <f t="shared" ref="BN54" si="28">AVERAGE(BN52:BN53)</f>
        <v>9.7842458806022421</v>
      </c>
      <c r="BO54" s="1">
        <f t="shared" ref="BO54" si="29">AVERAGE(BO52:BO53)</f>
        <v>10.487137495732025</v>
      </c>
      <c r="BP54" s="1">
        <f t="shared" ref="BP54" si="30">AVERAGE(BP52:BP53)</f>
        <v>11.248253750468001</v>
      </c>
      <c r="BQ54" s="1">
        <f t="shared" ref="BQ54" si="31">AVERAGE(BQ52:BQ53)</f>
        <v>12.072692157371879</v>
      </c>
      <c r="BR54" s="1">
        <f t="shared" ref="BR54" si="32">AVERAGE(BR52:BR53)</f>
        <v>12.966004960991313</v>
      </c>
      <c r="BS54" s="1">
        <f t="shared" ref="BS54" si="33">AVERAGE(BS52:BS53)</f>
        <v>13.934239949130854</v>
      </c>
      <c r="BT54" s="1">
        <f t="shared" ref="BT54" si="34">AVERAGE(BT52:BT53)</f>
        <v>14.983984933889378</v>
      </c>
      <c r="BU54" s="1">
        <f t="shared" ref="BU54" si="35">AVERAGE(BU52:BU53)</f>
        <v>16.122416232650952</v>
      </c>
      <c r="BV54" s="1">
        <f t="shared" ref="BV54" si="36">AVERAGE(BV52:BV53)</f>
        <v>17.357351508930304</v>
      </c>
      <c r="BW54" s="1">
        <f t="shared" ref="BW54" si="37">AVERAGE(BW52:BW53)</f>
        <v>18.697307365362441</v>
      </c>
      <c r="BX54" s="1">
        <f t="shared" ref="BX54" si="38">AVERAGE(BX52:BX53)</f>
        <v>20.151562116429343</v>
      </c>
      <c r="BY54" s="1">
        <f t="shared" ref="BY54" si="39">AVERAGE(BY52:BY53)</f>
        <v>21.730224206997121</v>
      </c>
      <c r="BZ54" s="1">
        <f t="shared" ref="BZ54" si="40">AVERAGE(BZ52:BZ53)</f>
        <v>23.444306784680712</v>
      </c>
      <c r="CA54" s="1">
        <f t="shared" ref="CA54" si="41">AVERAGE(CA52:CA53)</f>
        <v>25.305808979771783</v>
      </c>
      <c r="CB54" s="1">
        <f t="shared" ref="CB54" si="42">AVERAGE(CB52:CB53)</f>
        <v>27.327804496298608</v>
      </c>
      <c r="CC54" s="1">
        <f t="shared" ref="CC54" si="43">AVERAGE(CC52:CC53)</f>
        <v>29.524538172104613</v>
      </c>
      <c r="CD54" s="1">
        <f t="shared" ref="CD54" si="44">AVERAGE(CD52:CD53)</f>
        <v>31.911531225039049</v>
      </c>
      <c r="CE54" s="1">
        <f t="shared" ref="CE54" si="45">AVERAGE(CE52:CE53)</f>
        <v>34.505695966888005</v>
      </c>
      <c r="CF54" s="1">
        <f t="shared" ref="CF54" si="46">AVERAGE(CF52:CF53)</f>
        <v>37.32546083701736</v>
      </c>
      <c r="CG54" s="1">
        <f t="shared" ref="CG54" si="47">AVERAGE(CG52:CG53)</f>
        <v>40.390906684372965</v>
      </c>
    </row>
    <row r="55" spans="40:104" x14ac:dyDescent="0.25">
      <c r="AN55" s="171">
        <f t="shared" si="5"/>
        <v>2024</v>
      </c>
      <c r="AO55" s="171">
        <f t="shared" si="6"/>
        <v>26.300345054256869</v>
      </c>
      <c r="AP55" s="171">
        <f t="shared" si="0"/>
        <v>26300345.054256868</v>
      </c>
      <c r="AQ55" s="171">
        <f t="shared" si="1"/>
        <v>26300.345054256868</v>
      </c>
      <c r="AR55" s="171">
        <f t="shared" si="2"/>
        <v>7.5518124120058321</v>
      </c>
      <c r="AS55" s="171">
        <f t="shared" si="3"/>
        <v>198615.27222077321</v>
      </c>
      <c r="AT55" s="603">
        <f t="shared" si="4"/>
        <v>72494574.360582218</v>
      </c>
      <c r="AV55">
        <v>4.5999999999999996</v>
      </c>
    </row>
    <row r="56" spans="40:104" x14ac:dyDescent="0.25">
      <c r="AN56" s="171">
        <f t="shared" si="5"/>
        <v>2025</v>
      </c>
      <c r="AO56" s="171">
        <f t="shared" si="6"/>
        <v>24.459320900458888</v>
      </c>
      <c r="AP56" s="171">
        <f t="shared" si="0"/>
        <v>24459320.900458887</v>
      </c>
      <c r="AQ56" s="171">
        <f t="shared" si="1"/>
        <v>24459.320900458886</v>
      </c>
      <c r="AR56" s="171">
        <f t="shared" si="2"/>
        <v>8.2314755290863584</v>
      </c>
      <c r="AS56" s="171">
        <f t="shared" si="3"/>
        <v>201336.30145019785</v>
      </c>
      <c r="AT56" s="603">
        <f t="shared" si="4"/>
        <v>73487750.029322207</v>
      </c>
      <c r="AV56">
        <v>4.8</v>
      </c>
    </row>
    <row r="57" spans="40:104" x14ac:dyDescent="0.25">
      <c r="AN57" s="171">
        <f t="shared" si="5"/>
        <v>2026</v>
      </c>
      <c r="AO57" s="171">
        <f t="shared" si="6"/>
        <v>22.747168437426765</v>
      </c>
      <c r="AP57" s="171">
        <f t="shared" si="0"/>
        <v>22747168.437426765</v>
      </c>
      <c r="AQ57" s="171">
        <f t="shared" si="1"/>
        <v>22747.168437426764</v>
      </c>
      <c r="AR57" s="171">
        <f t="shared" si="2"/>
        <v>8.9723083267041321</v>
      </c>
      <c r="AS57" s="171">
        <f t="shared" si="3"/>
        <v>204094.60878006558</v>
      </c>
      <c r="AT57" s="603">
        <f t="shared" si="4"/>
        <v>74494532.204723939</v>
      </c>
      <c r="AV57">
        <v>4.9000000000000004</v>
      </c>
    </row>
    <row r="58" spans="40:104" x14ac:dyDescent="0.25">
      <c r="AN58" s="171">
        <f t="shared" si="5"/>
        <v>2027</v>
      </c>
      <c r="AO58" s="171">
        <f t="shared" si="6"/>
        <v>21.154866646806891</v>
      </c>
      <c r="AP58" s="171">
        <f t="shared" si="0"/>
        <v>21154866.646806892</v>
      </c>
      <c r="AQ58" s="171">
        <f t="shared" si="1"/>
        <v>21154.866646806891</v>
      </c>
      <c r="AR58" s="171">
        <f t="shared" si="2"/>
        <v>9.7798160761075046</v>
      </c>
      <c r="AS58" s="171">
        <f t="shared" si="3"/>
        <v>206890.70492035249</v>
      </c>
      <c r="AT58" s="603">
        <f t="shared" si="4"/>
        <v>75515107.295928657</v>
      </c>
      <c r="AV58">
        <v>5</v>
      </c>
    </row>
    <row r="59" spans="40:104" x14ac:dyDescent="0.25">
      <c r="AN59" s="171">
        <f t="shared" si="5"/>
        <v>2028</v>
      </c>
      <c r="AO59" s="171">
        <f t="shared" si="6"/>
        <v>19.674025981530406</v>
      </c>
      <c r="AP59" s="171">
        <f t="shared" si="0"/>
        <v>19674025.981530406</v>
      </c>
      <c r="AQ59" s="171">
        <f t="shared" si="1"/>
        <v>19674.025981530405</v>
      </c>
      <c r="AR59" s="171">
        <f t="shared" si="2"/>
        <v>10.659999522957181</v>
      </c>
      <c r="AS59" s="171">
        <f t="shared" si="3"/>
        <v>209725.10757776129</v>
      </c>
      <c r="AT59" s="603">
        <f t="shared" si="4"/>
        <v>76549664.265882865</v>
      </c>
      <c r="AV59">
        <v>5.3</v>
      </c>
    </row>
    <row r="60" spans="40:104" x14ac:dyDescent="0.25">
      <c r="AN60" s="171"/>
      <c r="AO60" s="171"/>
      <c r="AP60" s="171"/>
      <c r="AQ60" s="171"/>
      <c r="AR60" s="171"/>
      <c r="AS60" s="171"/>
      <c r="AT60" s="603"/>
    </row>
    <row r="61" spans="40:104" x14ac:dyDescent="0.25">
      <c r="AN61" s="171"/>
      <c r="AO61" s="171"/>
      <c r="AR61" s="714">
        <f>(AR59/AR47)^(1/COUNT(AS47:AS58))-1</f>
        <v>9.000000000000008E-2</v>
      </c>
      <c r="AV61" s="714">
        <f>(AV59/AV47)^(1/COUNT(AV47:AV58))-1</f>
        <v>2.8339192895580956E-2</v>
      </c>
    </row>
    <row r="62" spans="40:104" x14ac:dyDescent="0.25">
      <c r="AN62" s="171"/>
    </row>
    <row r="63" spans="40:104" x14ac:dyDescent="0.25">
      <c r="AN63" s="171"/>
    </row>
    <row r="64" spans="40:104" x14ac:dyDescent="0.25">
      <c r="AN64" s="171"/>
    </row>
    <row r="65" spans="40:41" x14ac:dyDescent="0.25">
      <c r="AN65" s="171"/>
    </row>
    <row r="66" spans="40:41" x14ac:dyDescent="0.25">
      <c r="AN66" s="171"/>
      <c r="AO66" s="171"/>
    </row>
    <row r="67" spans="40:41" x14ac:dyDescent="0.25">
      <c r="AN67" s="171"/>
      <c r="AO67" s="171"/>
    </row>
    <row r="68" spans="40:41" x14ac:dyDescent="0.25">
      <c r="AN68" s="171"/>
      <c r="AO68" s="171"/>
    </row>
    <row r="69" spans="40:41" x14ac:dyDescent="0.25">
      <c r="AN69" s="171"/>
      <c r="AO69" s="171"/>
    </row>
    <row r="70" spans="40:41" x14ac:dyDescent="0.25">
      <c r="AN70" s="171"/>
      <c r="AO70" s="171"/>
    </row>
    <row r="71" spans="40:41" x14ac:dyDescent="0.25">
      <c r="AN71" s="171"/>
      <c r="AO71" s="171"/>
    </row>
    <row r="131" spans="2:20" ht="16.5" x14ac:dyDescent="0.25">
      <c r="B131" s="922" t="s">
        <v>1313</v>
      </c>
      <c r="C131" s="922"/>
      <c r="D131" s="922"/>
      <c r="E131" s="922"/>
      <c r="F131" s="922"/>
      <c r="G131" s="922"/>
      <c r="H131" s="922"/>
      <c r="I131" s="922"/>
      <c r="J131" s="922"/>
      <c r="K131" s="922"/>
      <c r="L131" s="922"/>
      <c r="M131" s="922"/>
      <c r="N131" s="922"/>
      <c r="O131" s="922"/>
      <c r="P131" s="922"/>
      <c r="Q131" s="922"/>
      <c r="R131" s="922"/>
      <c r="S131" s="922"/>
      <c r="T131" s="922"/>
    </row>
    <row r="132" spans="2:20" x14ac:dyDescent="0.25">
      <c r="B132" s="923" t="s">
        <v>1314</v>
      </c>
      <c r="C132" s="922"/>
      <c r="D132" s="922"/>
      <c r="E132" s="922"/>
      <c r="F132" s="922"/>
      <c r="G132" s="922"/>
      <c r="H132" s="922"/>
      <c r="I132" s="922"/>
      <c r="J132" s="922"/>
      <c r="K132" s="922"/>
      <c r="L132" s="922"/>
      <c r="M132" s="922"/>
      <c r="N132" s="922"/>
      <c r="O132" s="922"/>
      <c r="P132" s="922"/>
      <c r="Q132" s="922"/>
      <c r="R132" s="922"/>
      <c r="S132" s="922"/>
      <c r="T132" s="922"/>
    </row>
    <row r="133" spans="2:20" x14ac:dyDescent="0.25">
      <c r="B133" s="924" t="s">
        <v>1315</v>
      </c>
      <c r="C133" s="922"/>
      <c r="D133" s="922"/>
      <c r="E133" s="922"/>
      <c r="F133" s="922"/>
      <c r="G133" s="922"/>
      <c r="H133" s="922"/>
      <c r="I133" s="922"/>
      <c r="J133" s="922"/>
      <c r="K133" s="922"/>
      <c r="L133" s="922"/>
      <c r="M133" s="922"/>
      <c r="N133" s="922"/>
      <c r="O133" s="922"/>
      <c r="P133" s="922"/>
      <c r="Q133" s="922"/>
      <c r="R133" s="922"/>
      <c r="S133" s="922"/>
      <c r="T133" s="922"/>
    </row>
    <row r="134" spans="2:20" x14ac:dyDescent="0.25">
      <c r="B134" s="925" t="s">
        <v>1316</v>
      </c>
      <c r="C134" s="922"/>
      <c r="D134" s="922"/>
      <c r="E134" s="922"/>
      <c r="F134" s="922"/>
      <c r="G134" s="922"/>
      <c r="H134" s="922"/>
      <c r="I134" s="922"/>
      <c r="J134" s="922"/>
      <c r="K134" s="922"/>
      <c r="L134" s="922"/>
      <c r="M134" s="922"/>
      <c r="N134" s="922"/>
      <c r="O134" s="922"/>
      <c r="P134" s="922"/>
      <c r="Q134" s="922"/>
      <c r="R134" s="922"/>
      <c r="S134" s="922"/>
      <c r="T134" s="922"/>
    </row>
    <row r="135" spans="2:20" x14ac:dyDescent="0.25">
      <c r="B135" s="922" t="s">
        <v>1317</v>
      </c>
      <c r="C135" s="922"/>
      <c r="D135" s="922"/>
      <c r="E135" s="922"/>
      <c r="F135" s="922"/>
      <c r="G135" s="922"/>
      <c r="H135" s="922"/>
      <c r="I135" s="922"/>
      <c r="J135" s="922"/>
      <c r="K135" s="922"/>
      <c r="L135" s="922"/>
      <c r="M135" s="922"/>
      <c r="N135" s="922"/>
      <c r="O135" s="922"/>
      <c r="P135" s="922"/>
      <c r="Q135" s="922"/>
      <c r="R135" s="922"/>
      <c r="S135" s="922"/>
      <c r="T135" s="922"/>
    </row>
    <row r="136" spans="2:20" x14ac:dyDescent="0.25">
      <c r="B136" s="926" t="s">
        <v>1318</v>
      </c>
      <c r="C136" s="922"/>
      <c r="D136" s="922"/>
      <c r="E136" s="922"/>
      <c r="F136" s="922"/>
      <c r="G136" s="922"/>
      <c r="H136" s="922"/>
      <c r="I136" s="922"/>
      <c r="J136" s="922"/>
      <c r="K136" s="922"/>
      <c r="L136" s="922"/>
      <c r="M136" s="922"/>
      <c r="N136" s="922"/>
      <c r="O136" s="922"/>
      <c r="P136" s="922"/>
      <c r="Q136" s="922"/>
      <c r="R136" s="922"/>
      <c r="S136" s="922"/>
      <c r="T136" s="922"/>
    </row>
    <row r="137" spans="2:20" x14ac:dyDescent="0.25">
      <c r="B137" s="925" t="s">
        <v>1319</v>
      </c>
      <c r="C137" s="922"/>
      <c r="D137" s="922"/>
      <c r="E137" s="922"/>
      <c r="F137" s="922"/>
      <c r="G137" s="922"/>
      <c r="H137" s="922"/>
      <c r="I137" s="922"/>
      <c r="J137" s="922"/>
      <c r="K137" s="922"/>
      <c r="L137" s="922"/>
      <c r="M137" s="922"/>
      <c r="N137" s="922"/>
      <c r="O137" s="922"/>
      <c r="P137" s="922"/>
      <c r="Q137" s="922"/>
      <c r="R137" s="922"/>
      <c r="S137" s="922"/>
      <c r="T137" s="922"/>
    </row>
    <row r="138" spans="2:20" x14ac:dyDescent="0.25">
      <c r="B138" s="922" t="s">
        <v>1320</v>
      </c>
      <c r="C138" s="922"/>
      <c r="D138" s="922"/>
      <c r="E138" s="922"/>
      <c r="F138" s="922"/>
      <c r="G138" s="922"/>
      <c r="H138" s="922"/>
      <c r="I138" s="922"/>
      <c r="J138" s="922"/>
      <c r="K138" s="922"/>
      <c r="L138" s="922"/>
      <c r="M138" s="922"/>
      <c r="N138" s="922"/>
      <c r="O138" s="922"/>
      <c r="P138" s="922"/>
      <c r="Q138" s="922"/>
      <c r="R138" s="922"/>
      <c r="S138" s="922"/>
      <c r="T138" s="922"/>
    </row>
    <row r="139" spans="2:20" ht="15.75" x14ac:dyDescent="0.25">
      <c r="B139" s="1342" t="s">
        <v>1321</v>
      </c>
      <c r="C139" s="1342"/>
      <c r="D139" s="1342"/>
      <c r="E139" s="1342"/>
      <c r="F139" s="1342"/>
      <c r="G139" s="1342"/>
      <c r="H139" s="1342"/>
      <c r="I139" s="1342"/>
      <c r="J139" s="1342"/>
      <c r="K139" s="1342"/>
      <c r="L139" s="1342"/>
      <c r="M139" s="1342"/>
      <c r="N139" s="1342"/>
      <c r="O139" s="1342"/>
      <c r="P139" s="1342"/>
      <c r="Q139" s="1342"/>
      <c r="R139" s="1342"/>
      <c r="S139" s="1342"/>
      <c r="T139" s="1342"/>
    </row>
    <row r="140" spans="2:20" x14ac:dyDescent="0.25">
      <c r="B140" s="1343">
        <v>8</v>
      </c>
      <c r="C140" s="1343"/>
      <c r="D140" s="1344" t="s">
        <v>1322</v>
      </c>
      <c r="E140" s="1344"/>
      <c r="F140" s="1344"/>
      <c r="G140" s="1345">
        <v>35.200000000000003</v>
      </c>
      <c r="H140" s="1345"/>
      <c r="I140" s="1344"/>
      <c r="J140" s="1344"/>
      <c r="K140" s="1344"/>
      <c r="L140" s="1344"/>
      <c r="M140" s="1344"/>
      <c r="N140" s="1344"/>
      <c r="O140" s="1344"/>
      <c r="P140" s="1344"/>
      <c r="Q140" s="1344"/>
      <c r="R140" s="927"/>
      <c r="S140" s="1344"/>
      <c r="T140" s="1344"/>
    </row>
    <row r="141" spans="2:20" x14ac:dyDescent="0.25">
      <c r="B141" s="1344"/>
      <c r="C141" s="1344"/>
      <c r="D141" s="1346" t="s">
        <v>1323</v>
      </c>
      <c r="E141" s="1346"/>
      <c r="F141" s="1346"/>
      <c r="G141" s="1344"/>
      <c r="H141" s="1344"/>
      <c r="I141" s="1347">
        <v>6914341</v>
      </c>
      <c r="J141" s="1347"/>
      <c r="K141" s="1347"/>
      <c r="L141" s="1347">
        <v>17232716</v>
      </c>
      <c r="M141" s="1347"/>
      <c r="N141" s="1348" t="s">
        <v>1324</v>
      </c>
      <c r="O141" s="1348"/>
      <c r="P141" s="1347">
        <v>590999</v>
      </c>
      <c r="Q141" s="1347"/>
      <c r="R141" s="928">
        <v>31020722</v>
      </c>
      <c r="S141" s="1349">
        <v>881.27099999999996</v>
      </c>
      <c r="T141" s="1349"/>
    </row>
    <row r="142" spans="2:20" x14ac:dyDescent="0.25">
      <c r="B142" s="1344"/>
      <c r="C142" s="1344"/>
      <c r="D142" s="1350" t="s">
        <v>1325</v>
      </c>
      <c r="E142" s="1350"/>
      <c r="F142" s="1350"/>
      <c r="G142" s="1344"/>
      <c r="H142" s="1344"/>
      <c r="I142" s="1351">
        <v>4.7017939999999996</v>
      </c>
      <c r="J142" s="1351"/>
      <c r="K142" s="1351"/>
      <c r="L142" s="1348" t="s">
        <v>1326</v>
      </c>
      <c r="M142" s="1348"/>
      <c r="N142" s="1352">
        <v>7128.9279999999999</v>
      </c>
      <c r="O142" s="1352"/>
      <c r="P142" s="1349">
        <v>610.279</v>
      </c>
      <c r="Q142" s="1349"/>
      <c r="R142" s="929">
        <v>30.131001000000001</v>
      </c>
      <c r="S142" s="1349">
        <v>855.99400000000003</v>
      </c>
      <c r="T142" s="1349"/>
    </row>
    <row r="143" spans="2:20" x14ac:dyDescent="0.25">
      <c r="B143" s="1348" t="s">
        <v>1327</v>
      </c>
      <c r="C143" s="1348"/>
      <c r="D143" s="1353" t="s">
        <v>1328</v>
      </c>
      <c r="E143" s="1353"/>
      <c r="F143" s="1353"/>
      <c r="G143" s="1354">
        <v>17.12</v>
      </c>
      <c r="H143" s="1354"/>
      <c r="I143" s="1354"/>
      <c r="J143" s="1354"/>
      <c r="K143" s="1354"/>
      <c r="L143" s="1354"/>
      <c r="M143" s="1354"/>
      <c r="N143" s="1354"/>
      <c r="O143" s="1354"/>
      <c r="P143" s="1354"/>
      <c r="Q143" s="1354"/>
      <c r="R143" s="1354"/>
      <c r="S143" s="1354"/>
      <c r="T143" s="1354"/>
    </row>
    <row r="144" spans="2:20" x14ac:dyDescent="0.25">
      <c r="B144" s="1344"/>
      <c r="C144" s="1344"/>
      <c r="D144" s="1353" t="s">
        <v>1329</v>
      </c>
      <c r="E144" s="1353"/>
      <c r="F144" s="1353"/>
      <c r="G144" s="1344"/>
      <c r="H144" s="1344"/>
      <c r="I144" s="1351">
        <v>2.9980709999999999</v>
      </c>
      <c r="J144" s="1351"/>
      <c r="K144" s="1351"/>
      <c r="L144" s="1347">
        <v>14929277</v>
      </c>
      <c r="M144" s="1347"/>
      <c r="N144" s="1352">
        <v>9696.8040000000001</v>
      </c>
      <c r="O144" s="1352"/>
      <c r="P144" s="1352">
        <v>2444.5070000000001</v>
      </c>
      <c r="Q144" s="1352"/>
      <c r="R144" s="929">
        <v>30.068659</v>
      </c>
      <c r="S144" s="1355">
        <v>1756.347</v>
      </c>
      <c r="T144" s="1355"/>
    </row>
    <row r="145" spans="2:20" x14ac:dyDescent="0.25">
      <c r="B145" s="1344"/>
      <c r="C145" s="1344"/>
      <c r="D145" s="1350" t="s">
        <v>1325</v>
      </c>
      <c r="E145" s="1350"/>
      <c r="F145" s="1350"/>
      <c r="G145" s="1344"/>
      <c r="H145" s="1344"/>
      <c r="I145" s="1347">
        <v>3484102</v>
      </c>
      <c r="J145" s="1347"/>
      <c r="K145" s="1347"/>
      <c r="L145" s="1347">
        <v>20720184</v>
      </c>
      <c r="M145" s="1347"/>
      <c r="N145" s="1356">
        <v>11034818</v>
      </c>
      <c r="O145" s="1356"/>
      <c r="P145" s="1347">
        <v>2611822</v>
      </c>
      <c r="Q145" s="1347"/>
      <c r="R145" s="928">
        <v>37850926</v>
      </c>
      <c r="S145" s="1347">
        <v>2210919</v>
      </c>
      <c r="T145" s="1347"/>
    </row>
    <row r="146" spans="2:20" x14ac:dyDescent="0.25">
      <c r="B146" s="1357">
        <v>20</v>
      </c>
      <c r="C146" s="1357"/>
      <c r="D146" s="1344" t="s">
        <v>1330</v>
      </c>
      <c r="E146" s="1344"/>
      <c r="F146" s="1344"/>
      <c r="G146" s="1358">
        <v>24.3</v>
      </c>
      <c r="H146" s="1358"/>
      <c r="I146" s="1344"/>
      <c r="J146" s="1344"/>
      <c r="K146" s="1344"/>
      <c r="L146" s="1344"/>
      <c r="M146" s="1344"/>
      <c r="N146" s="1344"/>
      <c r="O146" s="1344"/>
      <c r="P146" s="1344"/>
      <c r="Q146" s="1344"/>
      <c r="R146" s="927"/>
      <c r="S146" s="1344"/>
      <c r="T146" s="1344"/>
    </row>
    <row r="147" spans="2:20" x14ac:dyDescent="0.25">
      <c r="B147" s="1344"/>
      <c r="C147" s="1344"/>
      <c r="D147" s="1359" t="s">
        <v>1331</v>
      </c>
      <c r="E147" s="1359"/>
      <c r="F147" s="1359"/>
      <c r="G147" s="1344"/>
      <c r="H147" s="1344"/>
      <c r="I147" s="1347">
        <v>8956000</v>
      </c>
      <c r="J147" s="1347"/>
      <c r="K147" s="1347"/>
      <c r="L147" s="1347">
        <v>25058000</v>
      </c>
      <c r="M147" s="1347"/>
      <c r="N147" s="1356">
        <v>17801000</v>
      </c>
      <c r="O147" s="1356"/>
      <c r="P147" s="1347">
        <v>2538000</v>
      </c>
      <c r="Q147" s="1347"/>
      <c r="R147" s="928">
        <v>54353000</v>
      </c>
      <c r="S147" s="1347">
        <v>2236749</v>
      </c>
      <c r="T147" s="1347"/>
    </row>
    <row r="148" spans="2:20" x14ac:dyDescent="0.25">
      <c r="B148" s="1344"/>
      <c r="C148" s="1344"/>
      <c r="D148" s="1360" t="s">
        <v>1332</v>
      </c>
      <c r="E148" s="1360"/>
      <c r="F148" s="1360"/>
      <c r="G148" s="1344"/>
      <c r="H148" s="1344"/>
      <c r="I148" s="1351">
        <v>7.9089999999999998</v>
      </c>
      <c r="J148" s="1351"/>
      <c r="K148" s="1351"/>
      <c r="L148" s="1351">
        <v>29.143999999999998</v>
      </c>
      <c r="M148" s="1351"/>
      <c r="N148" s="1355">
        <v>16743</v>
      </c>
      <c r="O148" s="1355"/>
      <c r="P148" s="1352">
        <v>3025</v>
      </c>
      <c r="Q148" s="1352"/>
      <c r="R148" s="928">
        <v>56821000</v>
      </c>
      <c r="S148" s="1352">
        <v>2338.3130000000001</v>
      </c>
      <c r="T148" s="1352"/>
    </row>
    <row r="149" spans="2:20" x14ac:dyDescent="0.25">
      <c r="B149" s="1357">
        <v>20</v>
      </c>
      <c r="C149" s="1357"/>
      <c r="D149" s="1359" t="s">
        <v>1333</v>
      </c>
      <c r="E149" s="1359"/>
      <c r="F149" s="1359"/>
      <c r="G149" s="1358">
        <v>2.4</v>
      </c>
      <c r="H149" s="1358"/>
      <c r="I149" s="1344"/>
      <c r="J149" s="1344"/>
      <c r="K149" s="1344"/>
      <c r="L149" s="1344"/>
      <c r="M149" s="1344"/>
      <c r="N149" s="1344"/>
      <c r="O149" s="1344"/>
      <c r="P149" s="1344"/>
      <c r="Q149" s="1344"/>
      <c r="R149" s="927"/>
      <c r="S149" s="1344"/>
      <c r="T149" s="1344"/>
    </row>
    <row r="150" spans="2:20" x14ac:dyDescent="0.25">
      <c r="B150" s="1344"/>
      <c r="C150" s="1344"/>
      <c r="D150" s="1353" t="s">
        <v>1329</v>
      </c>
      <c r="E150" s="1353"/>
      <c r="F150" s="1353"/>
      <c r="G150" s="1344"/>
      <c r="H150" s="1344"/>
      <c r="I150" s="1351">
        <v>2.5866980000000002</v>
      </c>
      <c r="J150" s="1351"/>
      <c r="K150" s="1351"/>
      <c r="L150" s="1352">
        <v>11023.251</v>
      </c>
      <c r="M150" s="1352"/>
      <c r="N150" s="1355">
        <v>13313.043</v>
      </c>
      <c r="O150" s="1355"/>
      <c r="P150" s="1355">
        <v>1818.0840000000001</v>
      </c>
      <c r="Q150" s="1355"/>
      <c r="R150" s="928">
        <v>28741076</v>
      </c>
      <c r="S150" s="1355">
        <v>11975.448</v>
      </c>
      <c r="T150" s="1355"/>
    </row>
    <row r="151" spans="2:20" x14ac:dyDescent="0.25">
      <c r="B151" s="1344"/>
      <c r="C151" s="1344"/>
      <c r="D151" s="1350" t="s">
        <v>1325</v>
      </c>
      <c r="E151" s="1350"/>
      <c r="F151" s="1350"/>
      <c r="G151" s="1344"/>
      <c r="H151" s="1344"/>
      <c r="I151" s="1347">
        <v>2109697</v>
      </c>
      <c r="J151" s="1347"/>
      <c r="K151" s="1347"/>
      <c r="L151" s="1352">
        <v>25599.665000000001</v>
      </c>
      <c r="M151" s="1352"/>
      <c r="N151" s="1347">
        <v>9715198</v>
      </c>
      <c r="O151" s="1347"/>
      <c r="P151" s="1356">
        <v>4341706</v>
      </c>
      <c r="Q151" s="1356"/>
      <c r="R151" s="930">
        <v>41766266</v>
      </c>
      <c r="S151" s="1356">
        <v>17402611</v>
      </c>
      <c r="T151" s="1356"/>
    </row>
    <row r="152" spans="2:20" x14ac:dyDescent="0.25">
      <c r="B152" s="1357">
        <v>20</v>
      </c>
      <c r="C152" s="1357"/>
      <c r="D152" s="1359" t="s">
        <v>1334</v>
      </c>
      <c r="E152" s="1359"/>
      <c r="F152" s="1359"/>
      <c r="G152" s="1358">
        <v>0.76</v>
      </c>
      <c r="H152" s="1358"/>
      <c r="I152" s="1344"/>
      <c r="J152" s="1344"/>
      <c r="K152" s="1344"/>
      <c r="L152" s="1344"/>
      <c r="M152" s="1344"/>
      <c r="N152" s="1344"/>
      <c r="O152" s="1344"/>
      <c r="P152" s="1344"/>
      <c r="Q152" s="1344"/>
      <c r="R152" s="927"/>
      <c r="S152" s="1344"/>
      <c r="T152" s="1344"/>
    </row>
    <row r="153" spans="2:20" x14ac:dyDescent="0.25">
      <c r="B153" s="1344"/>
      <c r="C153" s="1344"/>
      <c r="D153" s="1346" t="s">
        <v>1323</v>
      </c>
      <c r="E153" s="1346"/>
      <c r="F153" s="1346"/>
      <c r="G153" s="1344"/>
      <c r="H153" s="1344"/>
      <c r="I153" s="1347">
        <v>1100243</v>
      </c>
      <c r="J153" s="1347"/>
      <c r="K153" s="1347"/>
      <c r="L153" s="1356">
        <v>1794432</v>
      </c>
      <c r="M153" s="1356"/>
      <c r="N153" s="1356">
        <v>1415325</v>
      </c>
      <c r="O153" s="1356"/>
      <c r="P153" s="1347">
        <v>211673</v>
      </c>
      <c r="Q153" s="1347"/>
      <c r="R153" s="930">
        <v>4521673</v>
      </c>
      <c r="S153" s="1347">
        <v>5949570</v>
      </c>
      <c r="T153" s="1347"/>
    </row>
    <row r="154" spans="2:20" x14ac:dyDescent="0.25">
      <c r="B154" s="1344"/>
      <c r="C154" s="1344"/>
      <c r="D154" s="1350" t="s">
        <v>1325</v>
      </c>
      <c r="E154" s="1350"/>
      <c r="F154" s="1350"/>
      <c r="G154" s="1344"/>
      <c r="H154" s="1344"/>
      <c r="I154" s="1347">
        <v>1372616</v>
      </c>
      <c r="J154" s="1347"/>
      <c r="K154" s="1347"/>
      <c r="L154" s="1348" t="s">
        <v>1335</v>
      </c>
      <c r="M154" s="1348"/>
      <c r="N154" s="1355">
        <v>1423.8710000000001</v>
      </c>
      <c r="O154" s="1355"/>
      <c r="P154" s="1347">
        <v>330361</v>
      </c>
      <c r="Q154" s="1347"/>
      <c r="R154" s="930">
        <v>4188288</v>
      </c>
      <c r="S154" s="1347">
        <v>5510905</v>
      </c>
      <c r="T154" s="1347"/>
    </row>
    <row r="155" spans="2:20" x14ac:dyDescent="0.25">
      <c r="B155" s="1357">
        <v>24</v>
      </c>
      <c r="C155" s="1357"/>
      <c r="D155" s="1361" t="s">
        <v>1336</v>
      </c>
      <c r="E155" s="1361"/>
      <c r="F155" s="1361"/>
      <c r="G155" s="1354">
        <v>100</v>
      </c>
      <c r="H155" s="1354"/>
      <c r="I155" s="1344"/>
      <c r="J155" s="1344"/>
      <c r="K155" s="1344"/>
      <c r="L155" s="1344"/>
      <c r="M155" s="1344"/>
      <c r="N155" s="1344"/>
      <c r="O155" s="1344"/>
      <c r="P155" s="1344"/>
      <c r="Q155" s="1344"/>
      <c r="R155" s="927"/>
      <c r="S155" s="1344"/>
      <c r="T155" s="1344"/>
    </row>
    <row r="156" spans="2:20" x14ac:dyDescent="0.25">
      <c r="B156" s="1344"/>
      <c r="C156" s="1344"/>
      <c r="D156" s="1353" t="s">
        <v>1337</v>
      </c>
      <c r="E156" s="1353"/>
      <c r="F156" s="1353"/>
      <c r="G156" s="1344"/>
      <c r="H156" s="1344"/>
      <c r="I156" s="1347">
        <v>58787289</v>
      </c>
      <c r="J156" s="1347"/>
      <c r="K156" s="1347"/>
      <c r="L156" s="1362">
        <v>89444396</v>
      </c>
      <c r="M156" s="1362"/>
      <c r="N156" s="1347">
        <v>81269592</v>
      </c>
      <c r="O156" s="1347"/>
      <c r="P156" s="1351">
        <v>5.4266430000000003</v>
      </c>
      <c r="Q156" s="1351"/>
      <c r="R156" s="928">
        <v>234927920</v>
      </c>
      <c r="S156" s="1348" t="s">
        <v>1338</v>
      </c>
      <c r="T156" s="1348"/>
    </row>
    <row r="157" spans="2:20" x14ac:dyDescent="0.25">
      <c r="B157" s="1344"/>
      <c r="C157" s="1344"/>
      <c r="D157" s="1350" t="s">
        <v>1325</v>
      </c>
      <c r="E157" s="1350"/>
      <c r="F157" s="1350"/>
      <c r="G157" s="1344"/>
      <c r="H157" s="1344"/>
      <c r="I157" s="1347">
        <v>46938203</v>
      </c>
      <c r="J157" s="1347"/>
      <c r="K157" s="1347"/>
      <c r="L157" s="1348" t="s">
        <v>1339</v>
      </c>
      <c r="M157" s="1348"/>
      <c r="N157" s="1347">
        <v>61232427</v>
      </c>
      <c r="O157" s="1347"/>
      <c r="P157" s="1356">
        <v>13084489</v>
      </c>
      <c r="Q157" s="1356"/>
      <c r="R157" s="928">
        <v>245451509</v>
      </c>
      <c r="S157" s="1347">
        <v>2454515</v>
      </c>
      <c r="T157" s="1347"/>
    </row>
    <row r="158" spans="2:20" x14ac:dyDescent="0.25">
      <c r="B158" s="1357">
        <v>24</v>
      </c>
      <c r="C158" s="1357"/>
      <c r="D158" s="1363" t="s">
        <v>1340</v>
      </c>
      <c r="E158" s="1363"/>
      <c r="F158" s="1363"/>
      <c r="G158" s="1358">
        <v>23</v>
      </c>
      <c r="H158" s="1358"/>
      <c r="I158" s="1364">
        <v>11544089</v>
      </c>
      <c r="J158" s="1364"/>
      <c r="K158" s="1364"/>
      <c r="L158" s="1364">
        <v>33427875</v>
      </c>
      <c r="M158" s="1364"/>
      <c r="N158" s="1365">
        <v>16640071</v>
      </c>
      <c r="O158" s="1365"/>
      <c r="P158" s="1364">
        <v>3621000</v>
      </c>
      <c r="Q158" s="1364"/>
      <c r="R158" s="931">
        <v>65233035</v>
      </c>
      <c r="S158" s="1364">
        <v>2836219</v>
      </c>
      <c r="T158" s="1364"/>
    </row>
    <row r="159" spans="2:20" x14ac:dyDescent="0.25">
      <c r="B159" s="1344"/>
      <c r="C159" s="1344"/>
      <c r="D159" s="1350" t="s">
        <v>1325</v>
      </c>
      <c r="E159" s="1350"/>
      <c r="F159" s="1350"/>
      <c r="G159" s="1344"/>
      <c r="H159" s="1344"/>
      <c r="I159" s="1347">
        <v>10673070</v>
      </c>
      <c r="J159" s="1347"/>
      <c r="K159" s="1347"/>
      <c r="L159" s="1352">
        <v>42190.794000000002</v>
      </c>
      <c r="M159" s="1352"/>
      <c r="N159" s="1355">
        <v>13202.261</v>
      </c>
      <c r="O159" s="1355"/>
      <c r="P159" s="1347">
        <v>3742218</v>
      </c>
      <c r="Q159" s="1347"/>
      <c r="R159" s="928">
        <v>69808343</v>
      </c>
      <c r="S159" s="1347">
        <v>3035145</v>
      </c>
      <c r="T159" s="1347"/>
    </row>
    <row r="160" spans="2:20" x14ac:dyDescent="0.25">
      <c r="B160" s="1357">
        <v>26</v>
      </c>
      <c r="C160" s="1357"/>
      <c r="D160" s="1346" t="s">
        <v>1341</v>
      </c>
      <c r="E160" s="1346"/>
      <c r="F160" s="1346"/>
      <c r="G160" s="1358">
        <v>19</v>
      </c>
      <c r="H160" s="1358"/>
      <c r="I160" s="1351">
        <v>55.847999999999999</v>
      </c>
      <c r="J160" s="1351"/>
      <c r="K160" s="1351"/>
      <c r="L160" s="1347">
        <v>7731000</v>
      </c>
      <c r="M160" s="1347"/>
      <c r="N160" s="1356">
        <v>190158000</v>
      </c>
      <c r="O160" s="1356"/>
      <c r="P160" s="1356">
        <v>14758000</v>
      </c>
      <c r="Q160" s="1356"/>
      <c r="R160" s="932">
        <v>268495</v>
      </c>
      <c r="S160" s="1356">
        <v>14131316</v>
      </c>
      <c r="T160" s="1356"/>
    </row>
    <row r="161" spans="2:20" x14ac:dyDescent="0.25">
      <c r="B161" s="1344"/>
      <c r="C161" s="1344"/>
      <c r="D161" s="1350" t="s">
        <v>1325</v>
      </c>
      <c r="E161" s="1350"/>
      <c r="F161" s="1350"/>
      <c r="G161" s="1344"/>
      <c r="H161" s="1344"/>
      <c r="I161" s="1351">
        <v>59.523003000000003</v>
      </c>
      <c r="J161" s="1351"/>
      <c r="K161" s="1351"/>
      <c r="L161" s="1352">
        <v>6582.7510000000002</v>
      </c>
      <c r="M161" s="1352"/>
      <c r="N161" s="1352">
        <v>214964.41800000001</v>
      </c>
      <c r="O161" s="1352"/>
      <c r="P161" s="1355">
        <v>18652.821</v>
      </c>
      <c r="Q161" s="1355"/>
      <c r="R161" s="929">
        <v>299.72299299999997</v>
      </c>
      <c r="S161" s="1355">
        <v>15774.894</v>
      </c>
      <c r="T161" s="1355"/>
    </row>
    <row r="162" spans="2:20" x14ac:dyDescent="0.25">
      <c r="B162" s="1357">
        <v>26</v>
      </c>
      <c r="C162" s="1357"/>
      <c r="D162" s="1344" t="s">
        <v>1342</v>
      </c>
      <c r="E162" s="1344"/>
      <c r="F162" s="1344"/>
      <c r="G162" s="1358">
        <v>0.38</v>
      </c>
      <c r="H162" s="1358"/>
      <c r="I162" s="1344"/>
      <c r="J162" s="1344"/>
      <c r="K162" s="1344"/>
      <c r="L162" s="1344"/>
      <c r="M162" s="1344"/>
      <c r="N162" s="1344"/>
      <c r="O162" s="1344"/>
      <c r="P162" s="1344"/>
      <c r="Q162" s="1344"/>
      <c r="R162" s="927"/>
      <c r="S162" s="1344"/>
      <c r="T162" s="1344"/>
    </row>
    <row r="163" spans="2:20" x14ac:dyDescent="0.25">
      <c r="B163" s="1344"/>
      <c r="C163" s="1344"/>
      <c r="D163" s="1353" t="s">
        <v>1329</v>
      </c>
      <c r="E163" s="1353"/>
      <c r="F163" s="1353"/>
      <c r="G163" s="1344"/>
      <c r="H163" s="1344"/>
      <c r="I163" s="1348" t="s">
        <v>1343</v>
      </c>
      <c r="J163" s="1348"/>
      <c r="K163" s="1348"/>
      <c r="L163" s="1347">
        <v>16586858</v>
      </c>
      <c r="M163" s="1347"/>
      <c r="N163" s="1352">
        <v>5824.174</v>
      </c>
      <c r="O163" s="1352"/>
      <c r="P163" s="1349">
        <v>28.355</v>
      </c>
      <c r="Q163" s="1349"/>
      <c r="R163" s="929">
        <v>23.721553</v>
      </c>
      <c r="S163" s="1352">
        <v>62425.139000000003</v>
      </c>
      <c r="T163" s="1352"/>
    </row>
    <row r="164" spans="2:20" x14ac:dyDescent="0.25">
      <c r="B164" s="1344"/>
      <c r="C164" s="1344"/>
      <c r="D164" s="1350" t="s">
        <v>1325</v>
      </c>
      <c r="E164" s="1350"/>
      <c r="F164" s="1350"/>
      <c r="G164" s="1344"/>
      <c r="H164" s="1344"/>
      <c r="I164" s="1352">
        <v>1285.54</v>
      </c>
      <c r="J164" s="1352"/>
      <c r="K164" s="1352"/>
      <c r="L164" s="1347">
        <v>18477572</v>
      </c>
      <c r="M164" s="1347"/>
      <c r="N164" s="1347">
        <v>5006623</v>
      </c>
      <c r="O164" s="1347"/>
      <c r="P164" s="1366">
        <v>25380</v>
      </c>
      <c r="Q164" s="1366"/>
      <c r="R164" s="932">
        <v>24795.115000000002</v>
      </c>
      <c r="S164" s="1352">
        <v>65250.303</v>
      </c>
      <c r="T164" s="1352"/>
    </row>
    <row r="165" spans="2:20" x14ac:dyDescent="0.25">
      <c r="B165" s="1357">
        <v>30</v>
      </c>
      <c r="C165" s="1357"/>
      <c r="D165" s="1353" t="s">
        <v>1344</v>
      </c>
      <c r="E165" s="1353"/>
      <c r="F165" s="1353"/>
      <c r="G165" s="1358">
        <v>76</v>
      </c>
      <c r="H165" s="1358"/>
      <c r="I165" s="1344"/>
      <c r="J165" s="1344"/>
      <c r="K165" s="1344"/>
      <c r="L165" s="1344"/>
      <c r="M165" s="1344"/>
      <c r="N165" s="1344"/>
      <c r="O165" s="1344"/>
      <c r="P165" s="1344"/>
      <c r="Q165" s="1344"/>
      <c r="R165" s="927"/>
      <c r="S165" s="1344"/>
      <c r="T165" s="1344"/>
    </row>
    <row r="166" spans="2:20" x14ac:dyDescent="0.25">
      <c r="B166" s="1344"/>
      <c r="C166" s="1344"/>
      <c r="D166" s="1346" t="s">
        <v>1323</v>
      </c>
      <c r="E166" s="1346"/>
      <c r="F166" s="1346"/>
      <c r="G166" s="1344"/>
      <c r="H166" s="1344"/>
      <c r="I166" s="1356">
        <v>44688070</v>
      </c>
      <c r="J166" s="1356"/>
      <c r="K166" s="1356"/>
      <c r="L166" s="1355">
        <v>157491.99299999999</v>
      </c>
      <c r="M166" s="1355"/>
      <c r="N166" s="1355">
        <v>119422.57399999999</v>
      </c>
      <c r="O166" s="1355"/>
      <c r="P166" s="1351">
        <v>27.998646000000001</v>
      </c>
      <c r="Q166" s="1351"/>
      <c r="R166" s="933">
        <v>349601.283</v>
      </c>
      <c r="S166" s="1348" t="s">
        <v>1345</v>
      </c>
      <c r="T166" s="1348"/>
    </row>
    <row r="167" spans="2:20" ht="24" x14ac:dyDescent="0.25">
      <c r="B167" s="1344"/>
      <c r="C167" s="1344"/>
      <c r="D167" s="1350" t="s">
        <v>1325</v>
      </c>
      <c r="E167" s="1350"/>
      <c r="F167" s="1350"/>
      <c r="G167" s="1344"/>
      <c r="H167" s="1344"/>
      <c r="I167" s="1367">
        <v>38.569864000000003</v>
      </c>
      <c r="J167" s="1367"/>
      <c r="K167" s="1367"/>
      <c r="L167" s="1348" t="s">
        <v>1346</v>
      </c>
      <c r="M167" s="1348"/>
      <c r="N167" s="1355">
        <v>151943.03400000001</v>
      </c>
      <c r="O167" s="1355"/>
      <c r="P167" s="1352">
        <v>58993.171999999999</v>
      </c>
      <c r="Q167" s="1352"/>
      <c r="R167" s="934" t="s">
        <v>1347</v>
      </c>
      <c r="S167" s="1352">
        <v>5099.6729999999998</v>
      </c>
      <c r="T167" s="1352"/>
    </row>
    <row r="168" spans="2:20" x14ac:dyDescent="0.25">
      <c r="B168" s="922" t="s">
        <v>1348</v>
      </c>
      <c r="C168" s="922"/>
      <c r="D168" s="922"/>
      <c r="E168" s="922"/>
      <c r="F168" s="922"/>
      <c r="G168" s="922"/>
      <c r="H168" s="922"/>
      <c r="I168" s="922"/>
      <c r="J168" s="922"/>
      <c r="K168" s="922"/>
      <c r="L168" s="922"/>
      <c r="M168" s="922"/>
      <c r="N168" s="922"/>
      <c r="O168" s="922"/>
      <c r="P168" s="922"/>
      <c r="Q168" s="922"/>
      <c r="R168" s="922"/>
      <c r="S168" s="922"/>
      <c r="T168" s="922"/>
    </row>
    <row r="169" spans="2:20" x14ac:dyDescent="0.25">
      <c r="B169" s="922" t="s">
        <v>1349</v>
      </c>
      <c r="C169" s="922"/>
      <c r="D169" s="922"/>
      <c r="E169" s="922"/>
      <c r="F169" s="922"/>
      <c r="G169" s="922"/>
      <c r="H169" s="922"/>
      <c r="I169" s="922"/>
      <c r="J169" s="922"/>
      <c r="K169" s="922"/>
      <c r="L169" s="922"/>
      <c r="M169" s="922"/>
      <c r="N169" s="922"/>
      <c r="O169" s="922"/>
      <c r="P169" s="922"/>
      <c r="Q169" s="922"/>
      <c r="R169" s="922"/>
      <c r="S169" s="922"/>
      <c r="T169" s="922"/>
    </row>
    <row r="170" spans="2:20" x14ac:dyDescent="0.25">
      <c r="B170" s="1344" t="s">
        <v>1350</v>
      </c>
      <c r="C170" s="1344"/>
      <c r="D170" s="1344"/>
      <c r="E170" s="1344"/>
      <c r="F170" s="1368">
        <v>11.47</v>
      </c>
      <c r="G170" s="1368"/>
      <c r="H170" s="1368"/>
      <c r="I170" s="1368"/>
      <c r="J170" s="1347">
        <v>4222505</v>
      </c>
      <c r="K170" s="1347"/>
      <c r="L170" s="1347">
        <v>12177721</v>
      </c>
      <c r="M170" s="1347"/>
      <c r="N170" s="1347">
        <v>5287827</v>
      </c>
      <c r="O170" s="1347"/>
      <c r="P170" s="1347">
        <v>742135</v>
      </c>
      <c r="Q170" s="1347"/>
      <c r="R170" s="928">
        <v>22430188</v>
      </c>
      <c r="S170" s="1347">
        <v>7235545</v>
      </c>
      <c r="T170" s="1347"/>
    </row>
    <row r="171" spans="2:20" x14ac:dyDescent="0.25">
      <c r="B171" s="1346" t="s">
        <v>1323</v>
      </c>
      <c r="C171" s="1346"/>
      <c r="D171" s="1346"/>
      <c r="E171" s="1346"/>
      <c r="F171" s="1344"/>
      <c r="G171" s="1344"/>
      <c r="H171" s="1344"/>
      <c r="I171" s="1344"/>
      <c r="J171" s="1347">
        <v>18057409</v>
      </c>
      <c r="K171" s="1347"/>
      <c r="L171" s="1347">
        <v>58445706</v>
      </c>
      <c r="M171" s="1347"/>
      <c r="N171" s="1347">
        <v>59494912</v>
      </c>
      <c r="O171" s="1347"/>
      <c r="P171" s="1347">
        <v>1847500</v>
      </c>
      <c r="Q171" s="1347"/>
      <c r="R171" s="928">
        <v>137845527</v>
      </c>
      <c r="S171" s="1356">
        <v>12017919</v>
      </c>
      <c r="T171" s="1356"/>
    </row>
    <row r="172" spans="2:20" x14ac:dyDescent="0.25">
      <c r="B172" s="1353" t="s">
        <v>1351</v>
      </c>
      <c r="C172" s="1353"/>
      <c r="D172" s="1353"/>
      <c r="E172" s="1353"/>
      <c r="F172" s="1344"/>
      <c r="G172" s="1344"/>
      <c r="H172" s="1344"/>
      <c r="I172" s="1344"/>
      <c r="J172" s="1351">
        <v>13.264642</v>
      </c>
      <c r="K172" s="1351"/>
      <c r="L172" s="1347">
        <v>62831513</v>
      </c>
      <c r="M172" s="1347"/>
      <c r="N172" s="1355">
        <v>18787.576000000001</v>
      </c>
      <c r="O172" s="1355"/>
      <c r="P172" s="1352">
        <v>6327.2740000000003</v>
      </c>
      <c r="Q172" s="1352"/>
      <c r="R172" s="928">
        <v>101211005</v>
      </c>
      <c r="S172" s="1347">
        <v>8823976</v>
      </c>
      <c r="T172" s="1347"/>
    </row>
    <row r="173" spans="2:20" x14ac:dyDescent="0.25">
      <c r="B173" s="1344" t="s">
        <v>1352</v>
      </c>
      <c r="C173" s="1344"/>
      <c r="D173" s="1344"/>
      <c r="E173" s="1344"/>
      <c r="F173" s="1358">
        <v>6.92</v>
      </c>
      <c r="G173" s="1358"/>
      <c r="H173" s="1358"/>
      <c r="I173" s="1358"/>
      <c r="J173" s="1364">
        <v>10693345</v>
      </c>
      <c r="K173" s="1364"/>
      <c r="L173" s="1364">
        <v>26596687</v>
      </c>
      <c r="M173" s="1364"/>
      <c r="N173" s="1364">
        <v>35624052</v>
      </c>
      <c r="O173" s="1364"/>
      <c r="P173" s="1364">
        <v>9172667</v>
      </c>
      <c r="Q173" s="1364"/>
      <c r="R173" s="935">
        <v>82086751</v>
      </c>
      <c r="S173" s="1365">
        <v>11862247</v>
      </c>
      <c r="T173" s="1365"/>
    </row>
    <row r="174" spans="2:20" x14ac:dyDescent="0.25">
      <c r="B174" s="1353" t="s">
        <v>1332</v>
      </c>
      <c r="C174" s="1353"/>
      <c r="D174" s="1353"/>
      <c r="E174" s="1353"/>
      <c r="F174" s="1344"/>
      <c r="G174" s="1344"/>
      <c r="H174" s="1344"/>
      <c r="I174" s="1344"/>
      <c r="J174" s="1347">
        <v>6735476</v>
      </c>
      <c r="K174" s="1347"/>
      <c r="L174" s="1347">
        <v>57703646</v>
      </c>
      <c r="M174" s="1347"/>
      <c r="N174" s="1356">
        <v>16358164</v>
      </c>
      <c r="O174" s="1356"/>
      <c r="P174" s="1356">
        <v>10391874</v>
      </c>
      <c r="Q174" s="1356"/>
      <c r="R174" s="928">
        <v>91189100</v>
      </c>
      <c r="S174" s="1356">
        <v>13177624</v>
      </c>
      <c r="T174" s="1356"/>
    </row>
    <row r="175" spans="2:20" x14ac:dyDescent="0.25">
      <c r="B175" s="1344" t="s">
        <v>1353</v>
      </c>
      <c r="C175" s="1344"/>
      <c r="D175" s="1344"/>
      <c r="E175" s="1344"/>
      <c r="F175" s="1358">
        <v>6.31</v>
      </c>
      <c r="G175" s="1358"/>
      <c r="H175" s="1358"/>
      <c r="I175" s="1358"/>
      <c r="J175" s="1364">
        <v>8781084</v>
      </c>
      <c r="K175" s="1364"/>
      <c r="L175" s="1364">
        <v>35143757</v>
      </c>
      <c r="M175" s="1364"/>
      <c r="N175" s="1364">
        <v>39999834</v>
      </c>
      <c r="O175" s="1364"/>
      <c r="P175" s="1365">
        <v>10124344</v>
      </c>
      <c r="Q175" s="1365"/>
      <c r="R175" s="931">
        <v>94049019</v>
      </c>
      <c r="S175" s="1364">
        <v>14904757</v>
      </c>
      <c r="T175" s="1364"/>
    </row>
    <row r="176" spans="2:20" x14ac:dyDescent="0.25">
      <c r="B176" s="1346" t="s">
        <v>1325</v>
      </c>
      <c r="C176" s="1346"/>
      <c r="D176" s="1346"/>
      <c r="E176" s="1346"/>
      <c r="F176" s="1344"/>
      <c r="G176" s="1344"/>
      <c r="H176" s="1344"/>
      <c r="I176" s="1344"/>
      <c r="J176" s="1351">
        <v>6.3281429999999999</v>
      </c>
      <c r="K176" s="1351"/>
      <c r="L176" s="1347">
        <v>114058779</v>
      </c>
      <c r="M176" s="1347"/>
      <c r="N176" s="1347">
        <v>23904189</v>
      </c>
      <c r="O176" s="1347"/>
      <c r="P176" s="1356">
        <v>13723017</v>
      </c>
      <c r="Q176" s="1356"/>
      <c r="R176" s="928">
        <v>158014128</v>
      </c>
      <c r="S176" s="1347">
        <v>25041859</v>
      </c>
      <c r="T176" s="1347"/>
    </row>
    <row r="177" spans="2:20" x14ac:dyDescent="0.25">
      <c r="B177" s="1344" t="s">
        <v>1354</v>
      </c>
      <c r="C177" s="1344"/>
      <c r="D177" s="1344"/>
      <c r="E177" s="1344"/>
      <c r="F177" s="1358">
        <v>5.27</v>
      </c>
      <c r="G177" s="1358"/>
      <c r="H177" s="1358"/>
      <c r="I177" s="1358"/>
      <c r="J177" s="1369">
        <v>8.9560999999999993</v>
      </c>
      <c r="K177" s="1369"/>
      <c r="L177" s="1369">
        <v>19.564751000000001</v>
      </c>
      <c r="M177" s="1369"/>
      <c r="N177" s="1364">
        <v>24202151</v>
      </c>
      <c r="O177" s="1364"/>
      <c r="P177" s="1364">
        <v>929970</v>
      </c>
      <c r="Q177" s="1364"/>
      <c r="R177" s="936">
        <v>53652.972000000002</v>
      </c>
      <c r="S177" s="1370">
        <v>10180.83</v>
      </c>
      <c r="T177" s="1370"/>
    </row>
    <row r="178" spans="2:20" x14ac:dyDescent="0.25">
      <c r="B178" s="1353" t="s">
        <v>1332</v>
      </c>
      <c r="C178" s="1353"/>
      <c r="D178" s="1353"/>
      <c r="E178" s="1353"/>
      <c r="F178" s="1344"/>
      <c r="G178" s="1344"/>
      <c r="H178" s="1344"/>
      <c r="I178" s="1344"/>
      <c r="J178" s="1347">
        <v>8282292</v>
      </c>
      <c r="K178" s="1347"/>
      <c r="L178" s="1347">
        <v>24342293</v>
      </c>
      <c r="M178" s="1347"/>
      <c r="N178" s="1347">
        <v>10551808</v>
      </c>
      <c r="O178" s="1347"/>
      <c r="P178" s="1347">
        <v>2942344</v>
      </c>
      <c r="Q178" s="1347"/>
      <c r="R178" s="928">
        <v>46118737</v>
      </c>
      <c r="S178" s="1347">
        <v>8751183</v>
      </c>
      <c r="T178" s="1347"/>
    </row>
    <row r="179" spans="2:20" x14ac:dyDescent="0.25">
      <c r="B179" s="1344" t="s">
        <v>1355</v>
      </c>
      <c r="C179" s="1344"/>
      <c r="D179" s="1344"/>
      <c r="E179" s="1344"/>
      <c r="F179" s="1371">
        <v>331.23</v>
      </c>
      <c r="G179" s="1371"/>
      <c r="H179" s="1371"/>
      <c r="I179" s="1371"/>
      <c r="J179" s="1372">
        <v>245801005</v>
      </c>
      <c r="K179" s="1372"/>
      <c r="L179" s="1372">
        <v>526098149</v>
      </c>
      <c r="M179" s="1372"/>
      <c r="N179" s="1372">
        <v>631412402</v>
      </c>
      <c r="O179" s="1372"/>
      <c r="P179" s="1372">
        <v>82515388</v>
      </c>
      <c r="Q179" s="1372"/>
      <c r="R179" s="937">
        <v>1485826944</v>
      </c>
      <c r="S179" s="1373">
        <v>4485788</v>
      </c>
      <c r="T179" s="1373"/>
    </row>
    <row r="180" spans="2:20" x14ac:dyDescent="0.25">
      <c r="B180" s="1374" t="s">
        <v>1356</v>
      </c>
      <c r="C180" s="1374"/>
      <c r="D180" s="1374"/>
      <c r="E180" s="1374"/>
      <c r="F180" s="1344"/>
      <c r="G180" s="1344"/>
      <c r="H180" s="1344"/>
      <c r="I180" s="1344"/>
      <c r="J180" s="1375">
        <v>215399947</v>
      </c>
      <c r="K180" s="1375"/>
      <c r="L180" s="1376">
        <v>694845794</v>
      </c>
      <c r="M180" s="1376"/>
      <c r="N180" s="1348" t="s">
        <v>1357</v>
      </c>
      <c r="O180" s="1348"/>
      <c r="P180" s="1375">
        <v>139543892</v>
      </c>
      <c r="Q180" s="1375"/>
      <c r="R180" s="938">
        <v>1617073775</v>
      </c>
      <c r="S180" s="1377">
        <v>4882027</v>
      </c>
      <c r="T180" s="1377"/>
    </row>
    <row r="181" spans="2:20" ht="15.75" x14ac:dyDescent="0.25">
      <c r="B181" s="939" t="s">
        <v>1358</v>
      </c>
      <c r="C181" s="922"/>
      <c r="D181" s="922"/>
      <c r="E181" s="922"/>
      <c r="F181" s="922"/>
      <c r="G181" s="922"/>
      <c r="H181" s="922"/>
      <c r="I181" s="922"/>
      <c r="J181" s="922"/>
      <c r="K181" s="922"/>
      <c r="L181" s="922"/>
      <c r="M181" s="922"/>
      <c r="N181" s="922"/>
      <c r="O181" s="922"/>
      <c r="P181" s="922"/>
      <c r="Q181" s="922"/>
      <c r="R181" s="922"/>
      <c r="S181" s="922"/>
      <c r="T181" s="922"/>
    </row>
    <row r="182" spans="2:20" x14ac:dyDescent="0.25">
      <c r="B182" s="922" t="s">
        <v>1359</v>
      </c>
      <c r="C182" s="922"/>
      <c r="D182" s="922"/>
      <c r="E182" s="922"/>
      <c r="F182" s="922"/>
      <c r="G182" s="922"/>
      <c r="H182" s="922"/>
      <c r="I182" s="922"/>
      <c r="J182" s="922"/>
      <c r="K182" s="922"/>
      <c r="L182" s="922"/>
      <c r="M182" s="922"/>
      <c r="N182" s="922"/>
      <c r="O182" s="922"/>
      <c r="P182" s="922"/>
      <c r="Q182" s="922"/>
      <c r="R182" s="922"/>
      <c r="S182" s="922"/>
      <c r="T182" s="922"/>
    </row>
    <row r="183" spans="2:20" x14ac:dyDescent="0.25">
      <c r="B183" s="940" t="s">
        <v>1323</v>
      </c>
      <c r="C183" s="922"/>
      <c r="D183" s="922"/>
      <c r="E183" s="922"/>
      <c r="F183" s="922"/>
      <c r="G183" s="922"/>
      <c r="H183" s="922"/>
      <c r="I183" s="922"/>
      <c r="J183" s="922"/>
      <c r="K183" s="922"/>
      <c r="L183" s="922"/>
      <c r="M183" s="922"/>
      <c r="N183" s="922"/>
      <c r="O183" s="922"/>
      <c r="P183" s="922"/>
      <c r="Q183" s="922"/>
      <c r="R183" s="922"/>
      <c r="S183" s="922"/>
      <c r="T183" s="922"/>
    </row>
    <row r="184" spans="2:20" x14ac:dyDescent="0.25">
      <c r="B184" s="941" t="s">
        <v>1351</v>
      </c>
      <c r="C184" s="922"/>
      <c r="D184" s="922"/>
      <c r="E184" s="922"/>
      <c r="F184" s="922"/>
      <c r="G184" s="922"/>
      <c r="H184" s="922"/>
      <c r="I184" s="922"/>
      <c r="J184" s="922"/>
      <c r="K184" s="922"/>
      <c r="L184" s="922"/>
      <c r="M184" s="922"/>
      <c r="N184" s="922"/>
      <c r="O184" s="922"/>
      <c r="P184" s="922"/>
      <c r="Q184" s="922"/>
      <c r="R184" s="922"/>
      <c r="S184" s="922"/>
      <c r="T184" s="922"/>
    </row>
    <row r="185" spans="2:20" x14ac:dyDescent="0.25">
      <c r="B185" s="942">
        <v>2.79</v>
      </c>
      <c r="C185" s="1364">
        <v>9906018</v>
      </c>
      <c r="D185" s="1364"/>
      <c r="E185" s="1365">
        <v>128150126</v>
      </c>
      <c r="F185" s="1365"/>
      <c r="G185" s="1365"/>
      <c r="H185" s="1365">
        <v>44997591</v>
      </c>
      <c r="I185" s="1365"/>
      <c r="J185" s="1365"/>
      <c r="K185" s="1364">
        <v>219070</v>
      </c>
      <c r="L185" s="1364"/>
      <c r="M185" s="1364">
        <v>183272805</v>
      </c>
      <c r="N185" s="1364"/>
      <c r="O185" s="1364">
        <v>65689177</v>
      </c>
      <c r="P185" s="1364"/>
      <c r="Q185" s="922"/>
      <c r="R185" s="922"/>
      <c r="S185" s="922"/>
      <c r="T185" s="922"/>
    </row>
    <row r="186" spans="2:20" x14ac:dyDescent="0.25">
      <c r="B186" s="927"/>
      <c r="C186" s="1347">
        <v>9932049</v>
      </c>
      <c r="D186" s="1347"/>
      <c r="E186" s="1356">
        <v>142757244</v>
      </c>
      <c r="F186" s="1356"/>
      <c r="G186" s="1356"/>
      <c r="H186" s="1347">
        <v>38681039</v>
      </c>
      <c r="I186" s="1347"/>
      <c r="J186" s="1347"/>
      <c r="K186" s="1356">
        <v>196087</v>
      </c>
      <c r="L186" s="1356"/>
      <c r="M186" s="1347">
        <v>191566419</v>
      </c>
      <c r="N186" s="1347"/>
      <c r="O186" s="1347">
        <v>68661799</v>
      </c>
      <c r="P186" s="1347"/>
      <c r="Q186" s="922"/>
      <c r="R186" s="922"/>
      <c r="S186" s="922"/>
      <c r="T186" s="922"/>
    </row>
    <row r="187" spans="2:20" x14ac:dyDescent="0.25">
      <c r="B187" s="943">
        <v>2.79</v>
      </c>
      <c r="C187" s="1372">
        <v>9906018</v>
      </c>
      <c r="D187" s="1372"/>
      <c r="E187" s="1372">
        <v>128150126</v>
      </c>
      <c r="F187" s="1372"/>
      <c r="G187" s="1372"/>
      <c r="H187" s="1372">
        <v>44997591</v>
      </c>
      <c r="I187" s="1372"/>
      <c r="J187" s="1372"/>
      <c r="K187" s="1372">
        <v>219070</v>
      </c>
      <c r="L187" s="1372"/>
      <c r="M187" s="1378">
        <v>183272805</v>
      </c>
      <c r="N187" s="1378"/>
      <c r="O187" s="1372">
        <v>65689177</v>
      </c>
      <c r="P187" s="1372"/>
      <c r="Q187" s="922"/>
      <c r="R187" s="922"/>
      <c r="S187" s="922"/>
      <c r="T187" s="922"/>
    </row>
    <row r="188" spans="2:20" x14ac:dyDescent="0.25">
      <c r="B188" s="927"/>
      <c r="C188" s="1375">
        <v>9932049</v>
      </c>
      <c r="D188" s="1375"/>
      <c r="E188" s="1375">
        <v>142757244</v>
      </c>
      <c r="F188" s="1375"/>
      <c r="G188" s="1375"/>
      <c r="H188" s="1375">
        <v>38681039</v>
      </c>
      <c r="I188" s="1375"/>
      <c r="J188" s="1375"/>
      <c r="K188" s="1379">
        <v>196087</v>
      </c>
      <c r="L188" s="1379"/>
      <c r="M188" s="1348" t="s">
        <v>1360</v>
      </c>
      <c r="N188" s="1348"/>
      <c r="O188" s="1375">
        <v>68661799</v>
      </c>
      <c r="P188" s="1375"/>
      <c r="Q188" s="922"/>
      <c r="R188" s="922"/>
      <c r="S188" s="922"/>
      <c r="T188" s="922"/>
    </row>
    <row r="189" spans="2:20" x14ac:dyDescent="0.25">
      <c r="B189" s="943">
        <v>334.02</v>
      </c>
      <c r="C189" s="1372">
        <v>255707023</v>
      </c>
      <c r="D189" s="1372"/>
      <c r="E189" s="1372">
        <v>654248275</v>
      </c>
      <c r="F189" s="1372"/>
      <c r="G189" s="1372"/>
      <c r="H189" s="1372">
        <v>676409993</v>
      </c>
      <c r="I189" s="1372"/>
      <c r="J189" s="1372"/>
      <c r="K189" s="1372">
        <v>82734458</v>
      </c>
      <c r="L189" s="1372"/>
      <c r="M189" s="1378">
        <v>1669099749</v>
      </c>
      <c r="N189" s="1378"/>
      <c r="O189" s="1378">
        <v>4997005</v>
      </c>
      <c r="P189" s="1378"/>
      <c r="Q189" s="922"/>
      <c r="R189" s="922"/>
      <c r="S189" s="922"/>
      <c r="T189" s="922"/>
    </row>
    <row r="190" spans="2:20" x14ac:dyDescent="0.25">
      <c r="B190" s="944"/>
      <c r="C190" s="1380">
        <v>225.331996</v>
      </c>
      <c r="D190" s="1380"/>
      <c r="E190" s="1381">
        <v>837603038</v>
      </c>
      <c r="F190" s="1381"/>
      <c r="G190" s="1381"/>
      <c r="H190" s="1382">
        <v>605965.18099999998</v>
      </c>
      <c r="I190" s="1382"/>
      <c r="J190" s="1382"/>
      <c r="K190" s="1383">
        <v>139739.97899999999</v>
      </c>
      <c r="L190" s="1383"/>
      <c r="M190" s="1380">
        <v>1808.6401940000001</v>
      </c>
      <c r="N190" s="1380"/>
      <c r="O190" s="1381">
        <v>5414766</v>
      </c>
      <c r="P190" s="1381"/>
      <c r="Q190" s="922"/>
      <c r="R190" s="922"/>
      <c r="S190" s="922"/>
      <c r="T190" s="922"/>
    </row>
    <row r="191" spans="2:20" x14ac:dyDescent="0.25">
      <c r="B191" s="945" t="s">
        <v>1361</v>
      </c>
      <c r="C191" s="922"/>
      <c r="D191" s="922"/>
      <c r="E191" s="922"/>
      <c r="F191" s="922"/>
      <c r="G191" s="922"/>
      <c r="H191" s="922"/>
      <c r="I191" s="922"/>
      <c r="J191" s="922"/>
      <c r="K191" s="922"/>
      <c r="L191" s="922"/>
      <c r="M191" s="922"/>
      <c r="N191" s="922"/>
      <c r="O191" s="922"/>
      <c r="P191" s="922"/>
      <c r="Q191" s="922"/>
      <c r="R191" s="922"/>
      <c r="S191" s="922"/>
      <c r="T191" s="922"/>
    </row>
    <row r="192" spans="2:20" x14ac:dyDescent="0.25">
      <c r="B192" s="941" t="s">
        <v>1362</v>
      </c>
      <c r="C192" s="922"/>
      <c r="D192" s="922"/>
      <c r="E192" s="922"/>
      <c r="F192" s="922"/>
      <c r="G192" s="922"/>
      <c r="H192" s="922"/>
      <c r="I192" s="922"/>
      <c r="J192" s="922"/>
      <c r="K192" s="922"/>
      <c r="L192" s="922"/>
      <c r="M192" s="922"/>
      <c r="N192" s="922"/>
      <c r="O192" s="922"/>
      <c r="P192" s="922"/>
      <c r="Q192" s="922"/>
      <c r="R192" s="922"/>
      <c r="S192" s="922"/>
      <c r="T192" s="922"/>
    </row>
    <row r="193" spans="2:20" x14ac:dyDescent="0.25">
      <c r="B193" s="946" t="s">
        <v>1356</v>
      </c>
      <c r="C193" s="922"/>
      <c r="D193" s="922"/>
      <c r="E193" s="922"/>
      <c r="F193" s="922"/>
      <c r="G193" s="922"/>
      <c r="H193" s="922"/>
      <c r="I193" s="922"/>
      <c r="J193" s="922"/>
      <c r="K193" s="922"/>
      <c r="L193" s="922"/>
      <c r="M193" s="922"/>
      <c r="N193" s="922"/>
      <c r="O193" s="922"/>
      <c r="P193" s="922"/>
      <c r="Q193" s="922"/>
      <c r="R193" s="922"/>
      <c r="S193" s="922"/>
      <c r="T193" s="922"/>
    </row>
    <row r="194" spans="2:20" x14ac:dyDescent="0.25">
      <c r="B194" s="945" t="s">
        <v>1363</v>
      </c>
    </row>
    <row r="195" spans="2:20" x14ac:dyDescent="0.25">
      <c r="B195" s="947" t="s">
        <v>1364</v>
      </c>
    </row>
    <row r="196" spans="2:20" x14ac:dyDescent="0.25">
      <c r="B196" s="947" t="s">
        <v>1356</v>
      </c>
    </row>
    <row r="197" spans="2:20" x14ac:dyDescent="0.25">
      <c r="B197" s="922" t="s">
        <v>1365</v>
      </c>
    </row>
    <row r="198" spans="2:20" x14ac:dyDescent="0.25">
      <c r="B198" s="922" t="s">
        <v>1366</v>
      </c>
    </row>
    <row r="199" spans="2:20" x14ac:dyDescent="0.25">
      <c r="B199" s="948" t="s">
        <v>1367</v>
      </c>
    </row>
    <row r="200" spans="2:20" x14ac:dyDescent="0.25">
      <c r="B200" s="922" t="s">
        <v>1368</v>
      </c>
    </row>
  </sheetData>
  <mergeCells count="333">
    <mergeCell ref="C189:D189"/>
    <mergeCell ref="E189:G189"/>
    <mergeCell ref="H189:J189"/>
    <mergeCell ref="K189:L189"/>
    <mergeCell ref="M189:N189"/>
    <mergeCell ref="O189:P189"/>
    <mergeCell ref="C190:D190"/>
    <mergeCell ref="E190:G190"/>
    <mergeCell ref="H190:J190"/>
    <mergeCell ref="K190:L190"/>
    <mergeCell ref="M190:N190"/>
    <mergeCell ref="O190:P190"/>
    <mergeCell ref="C187:D187"/>
    <mergeCell ref="E187:G187"/>
    <mergeCell ref="H187:J187"/>
    <mergeCell ref="K187:L187"/>
    <mergeCell ref="M187:N187"/>
    <mergeCell ref="O187:P187"/>
    <mergeCell ref="C188:D188"/>
    <mergeCell ref="E188:G188"/>
    <mergeCell ref="H188:J188"/>
    <mergeCell ref="K188:L188"/>
    <mergeCell ref="M188:N188"/>
    <mergeCell ref="O188:P188"/>
    <mergeCell ref="C185:D185"/>
    <mergeCell ref="E185:G185"/>
    <mergeCell ref="H185:J185"/>
    <mergeCell ref="K185:L185"/>
    <mergeCell ref="M185:N185"/>
    <mergeCell ref="O185:P185"/>
    <mergeCell ref="C186:D186"/>
    <mergeCell ref="E186:G186"/>
    <mergeCell ref="H186:J186"/>
    <mergeCell ref="K186:L186"/>
    <mergeCell ref="M186:N186"/>
    <mergeCell ref="O186:P186"/>
    <mergeCell ref="B179:E179"/>
    <mergeCell ref="F179:I179"/>
    <mergeCell ref="J179:K179"/>
    <mergeCell ref="L179:M179"/>
    <mergeCell ref="N179:O179"/>
    <mergeCell ref="P179:Q179"/>
    <mergeCell ref="S179:T179"/>
    <mergeCell ref="B180:E180"/>
    <mergeCell ref="F180:I180"/>
    <mergeCell ref="J180:K180"/>
    <mergeCell ref="L180:M180"/>
    <mergeCell ref="N180:O180"/>
    <mergeCell ref="P180:Q180"/>
    <mergeCell ref="S180:T180"/>
    <mergeCell ref="B177:E177"/>
    <mergeCell ref="F177:I177"/>
    <mergeCell ref="J177:K177"/>
    <mergeCell ref="L177:M177"/>
    <mergeCell ref="N177:O177"/>
    <mergeCell ref="P177:Q177"/>
    <mergeCell ref="S177:T177"/>
    <mergeCell ref="B178:E178"/>
    <mergeCell ref="F178:I178"/>
    <mergeCell ref="J178:K178"/>
    <mergeCell ref="L178:M178"/>
    <mergeCell ref="N178:O178"/>
    <mergeCell ref="P178:Q178"/>
    <mergeCell ref="S178:T178"/>
    <mergeCell ref="B175:E175"/>
    <mergeCell ref="F175:I175"/>
    <mergeCell ref="J175:K175"/>
    <mergeCell ref="L175:M175"/>
    <mergeCell ref="N175:O175"/>
    <mergeCell ref="P175:Q175"/>
    <mergeCell ref="S175:T175"/>
    <mergeCell ref="B176:E176"/>
    <mergeCell ref="F176:I176"/>
    <mergeCell ref="J176:K176"/>
    <mergeCell ref="L176:M176"/>
    <mergeCell ref="N176:O176"/>
    <mergeCell ref="P176:Q176"/>
    <mergeCell ref="S176:T176"/>
    <mergeCell ref="B173:E173"/>
    <mergeCell ref="F173:I173"/>
    <mergeCell ref="J173:K173"/>
    <mergeCell ref="L173:M173"/>
    <mergeCell ref="N173:O173"/>
    <mergeCell ref="P173:Q173"/>
    <mergeCell ref="S173:T173"/>
    <mergeCell ref="B174:E174"/>
    <mergeCell ref="F174:I174"/>
    <mergeCell ref="J174:K174"/>
    <mergeCell ref="L174:M174"/>
    <mergeCell ref="N174:O174"/>
    <mergeCell ref="P174:Q174"/>
    <mergeCell ref="S174:T174"/>
    <mergeCell ref="B171:E171"/>
    <mergeCell ref="F171:I171"/>
    <mergeCell ref="J171:K171"/>
    <mergeCell ref="L171:M171"/>
    <mergeCell ref="N171:O171"/>
    <mergeCell ref="P171:Q171"/>
    <mergeCell ref="S171:T171"/>
    <mergeCell ref="B172:E172"/>
    <mergeCell ref="F172:I172"/>
    <mergeCell ref="J172:K172"/>
    <mergeCell ref="L172:M172"/>
    <mergeCell ref="N172:O172"/>
    <mergeCell ref="P172:Q172"/>
    <mergeCell ref="S172:T172"/>
    <mergeCell ref="B167:C167"/>
    <mergeCell ref="D167:F167"/>
    <mergeCell ref="G167:H167"/>
    <mergeCell ref="I167:K167"/>
    <mergeCell ref="L167:M167"/>
    <mergeCell ref="N167:O167"/>
    <mergeCell ref="P167:Q167"/>
    <mergeCell ref="S167:T167"/>
    <mergeCell ref="B170:E170"/>
    <mergeCell ref="F170:I170"/>
    <mergeCell ref="J170:K170"/>
    <mergeCell ref="L170:M170"/>
    <mergeCell ref="N170:O170"/>
    <mergeCell ref="P170:Q170"/>
    <mergeCell ref="S170:T170"/>
    <mergeCell ref="B165:C165"/>
    <mergeCell ref="D165:F165"/>
    <mergeCell ref="G165:H165"/>
    <mergeCell ref="I165:K165"/>
    <mergeCell ref="L165:M165"/>
    <mergeCell ref="N165:O165"/>
    <mergeCell ref="P165:Q165"/>
    <mergeCell ref="S165:T165"/>
    <mergeCell ref="B166:C166"/>
    <mergeCell ref="D166:F166"/>
    <mergeCell ref="G166:H166"/>
    <mergeCell ref="I166:K166"/>
    <mergeCell ref="L166:M166"/>
    <mergeCell ref="N166:O166"/>
    <mergeCell ref="P166:Q166"/>
    <mergeCell ref="S166:T166"/>
    <mergeCell ref="B163:C163"/>
    <mergeCell ref="D163:F163"/>
    <mergeCell ref="G163:H163"/>
    <mergeCell ref="I163:K163"/>
    <mergeCell ref="L163:M163"/>
    <mergeCell ref="N163:O163"/>
    <mergeCell ref="P163:Q163"/>
    <mergeCell ref="S163:T163"/>
    <mergeCell ref="B164:C164"/>
    <mergeCell ref="D164:F164"/>
    <mergeCell ref="G164:H164"/>
    <mergeCell ref="I164:K164"/>
    <mergeCell ref="L164:M164"/>
    <mergeCell ref="N164:O164"/>
    <mergeCell ref="P164:Q164"/>
    <mergeCell ref="S164:T164"/>
    <mergeCell ref="B161:C161"/>
    <mergeCell ref="D161:F161"/>
    <mergeCell ref="G161:H161"/>
    <mergeCell ref="I161:K161"/>
    <mergeCell ref="L161:M161"/>
    <mergeCell ref="N161:O161"/>
    <mergeCell ref="P161:Q161"/>
    <mergeCell ref="S161:T161"/>
    <mergeCell ref="B162:C162"/>
    <mergeCell ref="D162:F162"/>
    <mergeCell ref="G162:H162"/>
    <mergeCell ref="I162:K162"/>
    <mergeCell ref="L162:M162"/>
    <mergeCell ref="N162:O162"/>
    <mergeCell ref="P162:Q162"/>
    <mergeCell ref="S162:T162"/>
    <mergeCell ref="B159:C159"/>
    <mergeCell ref="D159:F159"/>
    <mergeCell ref="G159:H159"/>
    <mergeCell ref="I159:K159"/>
    <mergeCell ref="L159:M159"/>
    <mergeCell ref="N159:O159"/>
    <mergeCell ref="P159:Q159"/>
    <mergeCell ref="S159:T159"/>
    <mergeCell ref="B160:C160"/>
    <mergeCell ref="D160:F160"/>
    <mergeCell ref="G160:H160"/>
    <mergeCell ref="I160:K160"/>
    <mergeCell ref="L160:M160"/>
    <mergeCell ref="N160:O160"/>
    <mergeCell ref="P160:Q160"/>
    <mergeCell ref="S160:T160"/>
    <mergeCell ref="B157:C157"/>
    <mergeCell ref="D157:F157"/>
    <mergeCell ref="G157:H157"/>
    <mergeCell ref="I157:K157"/>
    <mergeCell ref="L157:M157"/>
    <mergeCell ref="N157:O157"/>
    <mergeCell ref="P157:Q157"/>
    <mergeCell ref="S157:T157"/>
    <mergeCell ref="B158:C158"/>
    <mergeCell ref="D158:F158"/>
    <mergeCell ref="G158:H158"/>
    <mergeCell ref="I158:K158"/>
    <mergeCell ref="L158:M158"/>
    <mergeCell ref="N158:O158"/>
    <mergeCell ref="P158:Q158"/>
    <mergeCell ref="S158:T158"/>
    <mergeCell ref="B155:C155"/>
    <mergeCell ref="D155:F155"/>
    <mergeCell ref="G155:H155"/>
    <mergeCell ref="I155:K155"/>
    <mergeCell ref="L155:M155"/>
    <mergeCell ref="N155:O155"/>
    <mergeCell ref="P155:Q155"/>
    <mergeCell ref="S155:T155"/>
    <mergeCell ref="B156:C156"/>
    <mergeCell ref="D156:F156"/>
    <mergeCell ref="G156:H156"/>
    <mergeCell ref="I156:K156"/>
    <mergeCell ref="L156:M156"/>
    <mergeCell ref="N156:O156"/>
    <mergeCell ref="P156:Q156"/>
    <mergeCell ref="S156:T156"/>
    <mergeCell ref="B153:C153"/>
    <mergeCell ref="D153:F153"/>
    <mergeCell ref="G153:H153"/>
    <mergeCell ref="I153:K153"/>
    <mergeCell ref="L153:M153"/>
    <mergeCell ref="N153:O153"/>
    <mergeCell ref="P153:Q153"/>
    <mergeCell ref="S153:T153"/>
    <mergeCell ref="B154:C154"/>
    <mergeCell ref="D154:F154"/>
    <mergeCell ref="G154:H154"/>
    <mergeCell ref="I154:K154"/>
    <mergeCell ref="L154:M154"/>
    <mergeCell ref="N154:O154"/>
    <mergeCell ref="P154:Q154"/>
    <mergeCell ref="S154:T154"/>
    <mergeCell ref="B151:C151"/>
    <mergeCell ref="D151:F151"/>
    <mergeCell ref="G151:H151"/>
    <mergeCell ref="I151:K151"/>
    <mergeCell ref="L151:M151"/>
    <mergeCell ref="N151:O151"/>
    <mergeCell ref="P151:Q151"/>
    <mergeCell ref="S151:T151"/>
    <mergeCell ref="B152:C152"/>
    <mergeCell ref="D152:F152"/>
    <mergeCell ref="G152:H152"/>
    <mergeCell ref="I152:K152"/>
    <mergeCell ref="L152:M152"/>
    <mergeCell ref="N152:O152"/>
    <mergeCell ref="P152:Q152"/>
    <mergeCell ref="S152:T152"/>
    <mergeCell ref="B149:C149"/>
    <mergeCell ref="D149:F149"/>
    <mergeCell ref="G149:H149"/>
    <mergeCell ref="I149:K149"/>
    <mergeCell ref="L149:M149"/>
    <mergeCell ref="N149:O149"/>
    <mergeCell ref="P149:Q149"/>
    <mergeCell ref="S149:T149"/>
    <mergeCell ref="B150:C150"/>
    <mergeCell ref="D150:F150"/>
    <mergeCell ref="G150:H150"/>
    <mergeCell ref="I150:K150"/>
    <mergeCell ref="L150:M150"/>
    <mergeCell ref="N150:O150"/>
    <mergeCell ref="P150:Q150"/>
    <mergeCell ref="S150:T150"/>
    <mergeCell ref="B147:C147"/>
    <mergeCell ref="D147:F147"/>
    <mergeCell ref="G147:H147"/>
    <mergeCell ref="I147:K147"/>
    <mergeCell ref="L147:M147"/>
    <mergeCell ref="N147:O147"/>
    <mergeCell ref="P147:Q147"/>
    <mergeCell ref="S147:T147"/>
    <mergeCell ref="B148:C148"/>
    <mergeCell ref="D148:F148"/>
    <mergeCell ref="G148:H148"/>
    <mergeCell ref="I148:K148"/>
    <mergeCell ref="L148:M148"/>
    <mergeCell ref="N148:O148"/>
    <mergeCell ref="P148:Q148"/>
    <mergeCell ref="S148:T148"/>
    <mergeCell ref="B145:C145"/>
    <mergeCell ref="D145:F145"/>
    <mergeCell ref="G145:H145"/>
    <mergeCell ref="I145:K145"/>
    <mergeCell ref="L145:M145"/>
    <mergeCell ref="N145:O145"/>
    <mergeCell ref="P145:Q145"/>
    <mergeCell ref="S145:T145"/>
    <mergeCell ref="B146:C146"/>
    <mergeCell ref="D146:F146"/>
    <mergeCell ref="G146:H146"/>
    <mergeCell ref="I146:K146"/>
    <mergeCell ref="L146:M146"/>
    <mergeCell ref="N146:O146"/>
    <mergeCell ref="P146:Q146"/>
    <mergeCell ref="S146:T146"/>
    <mergeCell ref="B143:C143"/>
    <mergeCell ref="D143:F143"/>
    <mergeCell ref="G143:T143"/>
    <mergeCell ref="B144:C144"/>
    <mergeCell ref="D144:F144"/>
    <mergeCell ref="G144:H144"/>
    <mergeCell ref="I144:K144"/>
    <mergeCell ref="L144:M144"/>
    <mergeCell ref="N144:O144"/>
    <mergeCell ref="P144:Q144"/>
    <mergeCell ref="S144:T144"/>
    <mergeCell ref="B141:C141"/>
    <mergeCell ref="D141:F141"/>
    <mergeCell ref="G141:H141"/>
    <mergeCell ref="I141:K141"/>
    <mergeCell ref="L141:M141"/>
    <mergeCell ref="N141:O141"/>
    <mergeCell ref="P141:Q141"/>
    <mergeCell ref="S141:T141"/>
    <mergeCell ref="B142:C142"/>
    <mergeCell ref="D142:F142"/>
    <mergeCell ref="G142:H142"/>
    <mergeCell ref="I142:K142"/>
    <mergeCell ref="L142:M142"/>
    <mergeCell ref="N142:O142"/>
    <mergeCell ref="P142:Q142"/>
    <mergeCell ref="S142:T142"/>
    <mergeCell ref="B139:T139"/>
    <mergeCell ref="B140:C140"/>
    <mergeCell ref="D140:F140"/>
    <mergeCell ref="G140:H140"/>
    <mergeCell ref="I140:K140"/>
    <mergeCell ref="L140:M140"/>
    <mergeCell ref="N140:O140"/>
    <mergeCell ref="P140:Q140"/>
    <mergeCell ref="S140:T140"/>
  </mergeCells>
  <hyperlinks>
    <hyperlink ref="B3" r:id="rId1" xr:uid="{00000000-0004-0000-3200-000000000000}"/>
    <hyperlink ref="X3" r:id="rId2" xr:uid="{00000000-0004-0000-3200-000001000000}"/>
    <hyperlink ref="AO2" r:id="rId3" xr:uid="{00000000-0004-0000-3200-000002000000}"/>
  </hyperlinks>
  <pageMargins left="0.7" right="0.7" top="0.75" bottom="0.75" header="0.3" footer="0.3"/>
  <pageSetup paperSize="9" orientation="portrait" r:id="rId4"/>
  <drawing r:id="rId5"/>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2:CF26"/>
  <sheetViews>
    <sheetView workbookViewId="0">
      <selection activeCell="B13" sqref="B13"/>
    </sheetView>
  </sheetViews>
  <sheetFormatPr defaultColWidth="8.85546875" defaultRowHeight="15" x14ac:dyDescent="0.25"/>
  <cols>
    <col min="1" max="1" width="27.7109375" bestFit="1" customWidth="1"/>
    <col min="2" max="2" width="25.5703125" customWidth="1"/>
    <col min="3" max="3" width="14.5703125" bestFit="1" customWidth="1"/>
    <col min="4" max="22" width="14.28515625" bestFit="1" customWidth="1"/>
    <col min="23" max="27" width="6.140625" bestFit="1" customWidth="1"/>
    <col min="28" max="52" width="9.28515625" bestFit="1" customWidth="1"/>
  </cols>
  <sheetData>
    <row r="2" spans="1:84" x14ac:dyDescent="0.25">
      <c r="B2" t="s">
        <v>1678</v>
      </c>
    </row>
    <row r="4" spans="1:84" x14ac:dyDescent="0.25">
      <c r="B4" t="s">
        <v>1679</v>
      </c>
    </row>
    <row r="5" spans="1:84" s="1186" customFormat="1" x14ac:dyDescent="0.25">
      <c r="B5" s="1187"/>
    </row>
    <row r="6" spans="1:84" s="1186" customFormat="1" x14ac:dyDescent="0.25">
      <c r="B6" s="1187"/>
    </row>
    <row r="7" spans="1:84" s="1186" customFormat="1" x14ac:dyDescent="0.25">
      <c r="A7" s="1186" t="s">
        <v>713</v>
      </c>
      <c r="B7" s="1260">
        <f>electrification_input!$D$14</f>
        <v>0.1</v>
      </c>
    </row>
    <row r="8" spans="1:84" s="1186" customFormat="1" x14ac:dyDescent="0.25">
      <c r="A8" s="1186" t="s">
        <v>1712</v>
      </c>
      <c r="B8" s="1186">
        <f>MAX(Parameters!$G$57,Parameters!$G$110,Parameters!$G$258,Parameters!$G$379)-Parameters!$G$56+1</f>
        <v>29</v>
      </c>
      <c r="C8" s="1186" t="s">
        <v>1682</v>
      </c>
    </row>
    <row r="9" spans="1:84" x14ac:dyDescent="0.25">
      <c r="A9" t="s">
        <v>121</v>
      </c>
      <c r="B9">
        <v>0</v>
      </c>
      <c r="C9" s="1186">
        <v>1</v>
      </c>
      <c r="D9" s="1186">
        <v>2</v>
      </c>
      <c r="E9" s="1186">
        <v>3</v>
      </c>
      <c r="F9" s="1186">
        <v>4</v>
      </c>
      <c r="G9" s="1186">
        <v>5</v>
      </c>
      <c r="H9" s="1186">
        <v>6</v>
      </c>
      <c r="I9" s="1186">
        <v>7</v>
      </c>
      <c r="J9" s="1186">
        <v>8</v>
      </c>
      <c r="K9" s="1186">
        <v>9</v>
      </c>
      <c r="L9" s="1186">
        <v>10</v>
      </c>
      <c r="M9" s="1186">
        <v>11</v>
      </c>
      <c r="N9" s="1186">
        <v>12</v>
      </c>
      <c r="O9" s="1186">
        <v>13</v>
      </c>
      <c r="P9" s="1186">
        <v>14</v>
      </c>
      <c r="Q9" s="1186">
        <v>15</v>
      </c>
      <c r="R9" s="1186">
        <v>16</v>
      </c>
      <c r="S9" s="1186">
        <v>17</v>
      </c>
      <c r="T9" s="1186">
        <v>18</v>
      </c>
      <c r="U9" s="1186">
        <v>19</v>
      </c>
      <c r="V9" s="1186">
        <v>20</v>
      </c>
      <c r="W9" s="1186">
        <v>21</v>
      </c>
      <c r="X9" s="1186">
        <v>22</v>
      </c>
      <c r="Y9" s="1186">
        <v>23</v>
      </c>
      <c r="Z9" s="1186">
        <v>24</v>
      </c>
      <c r="AA9" s="1186">
        <v>25</v>
      </c>
      <c r="AB9" s="1186">
        <v>26</v>
      </c>
      <c r="AC9" s="1186">
        <v>27</v>
      </c>
      <c r="AD9" s="1186">
        <v>28</v>
      </c>
      <c r="AE9" s="1186">
        <v>29</v>
      </c>
      <c r="AF9" s="1186">
        <v>30</v>
      </c>
      <c r="AG9" s="1186">
        <v>31</v>
      </c>
      <c r="AH9" s="1186">
        <v>32</v>
      </c>
      <c r="AI9" s="1186">
        <v>33</v>
      </c>
      <c r="AJ9" s="1186">
        <v>34</v>
      </c>
      <c r="AK9" s="1186">
        <v>35</v>
      </c>
      <c r="AL9" s="1186">
        <v>36</v>
      </c>
      <c r="AM9" s="1186">
        <v>37</v>
      </c>
      <c r="AN9" s="1186">
        <v>38</v>
      </c>
      <c r="AO9" s="1186">
        <v>39</v>
      </c>
      <c r="AP9" s="1186">
        <v>40</v>
      </c>
      <c r="AQ9" s="1186">
        <v>41</v>
      </c>
      <c r="AR9" s="1186">
        <v>42</v>
      </c>
      <c r="AS9" s="1186">
        <v>43</v>
      </c>
      <c r="AT9" s="1186">
        <v>44</v>
      </c>
      <c r="AU9" s="1186">
        <v>45</v>
      </c>
      <c r="AV9" s="1186">
        <v>46</v>
      </c>
      <c r="AW9" s="1186">
        <v>47</v>
      </c>
      <c r="AX9" s="1186">
        <v>48</v>
      </c>
      <c r="AY9" s="1186">
        <v>49</v>
      </c>
      <c r="AZ9" s="1186">
        <v>50</v>
      </c>
      <c r="BA9" s="1186">
        <v>51</v>
      </c>
      <c r="BB9" s="1186">
        <v>52</v>
      </c>
      <c r="BC9" s="1186">
        <v>53</v>
      </c>
      <c r="BD9" s="1186">
        <v>54</v>
      </c>
      <c r="BE9" s="1186">
        <v>55</v>
      </c>
      <c r="BF9" s="1186">
        <v>56</v>
      </c>
      <c r="BG9" s="1186">
        <v>57</v>
      </c>
      <c r="BH9" s="1186">
        <v>58</v>
      </c>
      <c r="BI9" s="1186">
        <v>59</v>
      </c>
      <c r="BJ9" s="1186">
        <v>60</v>
      </c>
      <c r="BK9" s="1186">
        <v>61</v>
      </c>
      <c r="BL9" s="1186">
        <v>62</v>
      </c>
      <c r="BM9" s="1186">
        <v>63</v>
      </c>
      <c r="BN9" s="1186">
        <v>64</v>
      </c>
      <c r="BO9" s="1186">
        <v>65</v>
      </c>
      <c r="BP9" s="1186">
        <v>66</v>
      </c>
      <c r="BQ9" s="1186">
        <v>67</v>
      </c>
      <c r="BR9" s="1186">
        <v>68</v>
      </c>
      <c r="BS9" s="1186">
        <v>69</v>
      </c>
      <c r="BT9" s="1186">
        <v>70</v>
      </c>
      <c r="BU9" s="1186">
        <v>71</v>
      </c>
      <c r="BV9" s="1186">
        <v>72</v>
      </c>
      <c r="BW9" s="1186">
        <v>73</v>
      </c>
      <c r="BX9" s="1186">
        <v>74</v>
      </c>
      <c r="BY9" s="1186">
        <v>75</v>
      </c>
      <c r="BZ9" s="1186">
        <v>76</v>
      </c>
      <c r="CA9" s="1186">
        <v>77</v>
      </c>
      <c r="CB9" s="1186">
        <v>78</v>
      </c>
      <c r="CC9" s="1186">
        <v>79</v>
      </c>
      <c r="CD9" s="1186">
        <v>80</v>
      </c>
      <c r="CE9" s="1186"/>
      <c r="CF9" s="1186"/>
    </row>
    <row r="10" spans="1:84" x14ac:dyDescent="0.25">
      <c r="A10" t="s">
        <v>1680</v>
      </c>
      <c r="B10" s="581">
        <f>IF(B9&lt;$B$8,(1+$B$7)^'Cable implied fee'!B9,0)</f>
        <v>1</v>
      </c>
      <c r="C10" s="581">
        <f>IF(C9&lt;$B$8,(1+$B$7)^'Cable implied fee'!C9,0)</f>
        <v>1.1000000000000001</v>
      </c>
      <c r="D10" s="581">
        <f>IF(D9&lt;$B$8,(1+$B$7)^'Cable implied fee'!D9,0)</f>
        <v>1.2100000000000002</v>
      </c>
      <c r="E10" s="581">
        <f>IF(E9&lt;$B$8,(1+$B$7)^'Cable implied fee'!E9,0)</f>
        <v>1.3310000000000004</v>
      </c>
      <c r="F10" s="581">
        <f>IF(F9&lt;$B$8,(1+$B$7)^'Cable implied fee'!F9,0)</f>
        <v>1.4641000000000004</v>
      </c>
      <c r="G10" s="581">
        <f>IF(G9&lt;$B$8,(1+$B$7)^'Cable implied fee'!G9,0)</f>
        <v>1.6105100000000006</v>
      </c>
      <c r="H10" s="581">
        <f>IF(H9&lt;$B$8,(1+$B$7)^'Cable implied fee'!H9,0)</f>
        <v>1.7715610000000008</v>
      </c>
      <c r="I10" s="581">
        <f>IF(I9&lt;$B$8,(1+$B$7)^'Cable implied fee'!I9,0)</f>
        <v>1.9487171000000012</v>
      </c>
      <c r="J10" s="581">
        <f>IF(J9&lt;$B$8,(1+$B$7)^'Cable implied fee'!J9,0)</f>
        <v>2.1435888100000011</v>
      </c>
      <c r="K10" s="581">
        <f>IF(K9&lt;$B$8,(1+$B$7)^'Cable implied fee'!K9,0)</f>
        <v>2.3579476910000015</v>
      </c>
      <c r="L10" s="581">
        <f>IF(L9&lt;$B$8,(1+$B$7)^'Cable implied fee'!L9,0)</f>
        <v>2.5937424601000019</v>
      </c>
      <c r="M10" s="581">
        <f>IF(M9&lt;$B$8,(1+$B$7)^'Cable implied fee'!M9,0)</f>
        <v>2.8531167061100025</v>
      </c>
      <c r="N10" s="581">
        <f>IF(N9&lt;$B$8,(1+$B$7)^'Cable implied fee'!N9,0)</f>
        <v>3.1384283767210026</v>
      </c>
      <c r="O10" s="581">
        <f>IF(O9&lt;$B$8,(1+$B$7)^'Cable implied fee'!O9,0)</f>
        <v>3.4522712143931029</v>
      </c>
      <c r="P10" s="581">
        <f>IF(P9&lt;$B$8,(1+$B$7)^'Cable implied fee'!P9,0)</f>
        <v>3.7974983358324139</v>
      </c>
      <c r="Q10" s="581">
        <f>IF(Q9&lt;$B$8,(1+$B$7)^'Cable implied fee'!Q9,0)</f>
        <v>4.1772481694156554</v>
      </c>
      <c r="R10" s="581">
        <f>IF(R9&lt;$B$8,(1+$B$7)^'Cable implied fee'!R9,0)</f>
        <v>4.5949729863572211</v>
      </c>
      <c r="S10" s="581">
        <f>IF(S9&lt;$B$8,(1+$B$7)^'Cable implied fee'!S9,0)</f>
        <v>5.0544702849929433</v>
      </c>
      <c r="T10" s="581">
        <f>IF(T9&lt;$B$8,(1+$B$7)^'Cable implied fee'!T9,0)</f>
        <v>5.5599173134922379</v>
      </c>
      <c r="U10" s="581">
        <f>IF(U9&lt;$B$8,(1+$B$7)^'Cable implied fee'!U9,0)</f>
        <v>6.1159090448414632</v>
      </c>
      <c r="V10" s="581">
        <f>IF(V9&lt;$B$8,(1+$B$7)^'Cable implied fee'!V9,0)</f>
        <v>6.7274999493256091</v>
      </c>
      <c r="W10" s="581">
        <f>IF(W9&lt;$B$8,(1+$B$7)^'Cable implied fee'!W9,0)</f>
        <v>7.4002499442581708</v>
      </c>
      <c r="X10" s="581">
        <f>IF(X9&lt;$B$8,(1+$B$7)^'Cable implied fee'!X9,0)</f>
        <v>8.140274938683989</v>
      </c>
      <c r="Y10" s="581">
        <f>IF(Y9&lt;$B$8,(1+$B$7)^'Cable implied fee'!Y9,0)</f>
        <v>8.9543024325523888</v>
      </c>
      <c r="Z10" s="581">
        <f>IF(Z9&lt;$B$8,(1+$B$7)^'Cable implied fee'!Z9,0)</f>
        <v>9.8497326758076262</v>
      </c>
      <c r="AA10" s="581">
        <f>IF(AA9&lt;$B$8,(1+$B$7)^'Cable implied fee'!AA9,0)</f>
        <v>10.834705943388391</v>
      </c>
      <c r="AB10" s="581">
        <f>IF(AB9&lt;$B$8,(1+$B$7)^'Cable implied fee'!AB9,0)</f>
        <v>11.918176537727231</v>
      </c>
      <c r="AC10" s="581">
        <f>IF(AC9&lt;$B$8,(1+$B$7)^'Cable implied fee'!AC9,0)</f>
        <v>13.109994191499956</v>
      </c>
      <c r="AD10" s="581">
        <f>IF(AD9&lt;$B$8,(1+$B$7)^'Cable implied fee'!AD9,0)</f>
        <v>14.420993610649951</v>
      </c>
      <c r="AE10" s="581">
        <f>IF(AE9&lt;$B$8,(1+$B$7)^'Cable implied fee'!AE9,0)</f>
        <v>0</v>
      </c>
      <c r="AF10" s="581">
        <f>IF(AF9&lt;$B$8,(1+$B$7)^'Cable implied fee'!AF9,0)</f>
        <v>0</v>
      </c>
      <c r="AG10" s="581">
        <f>IF(AG9&lt;$B$8,(1+$B$7)^'Cable implied fee'!AG9,0)</f>
        <v>0</v>
      </c>
      <c r="AH10" s="581">
        <f>IF(AH9&lt;$B$8,(1+$B$7)^'Cable implied fee'!AH9,0)</f>
        <v>0</v>
      </c>
      <c r="AI10" s="581">
        <f>IF(AI9&lt;$B$8,(1+$B$7)^'Cable implied fee'!AI9,0)</f>
        <v>0</v>
      </c>
      <c r="AJ10" s="581">
        <f>IF(AJ9&lt;$B$8,(1+$B$7)^'Cable implied fee'!AJ9,0)</f>
        <v>0</v>
      </c>
      <c r="AK10" s="581">
        <f>IF(AK9&lt;$B$8,(1+$B$7)^'Cable implied fee'!AK9,0)</f>
        <v>0</v>
      </c>
      <c r="AL10" s="581">
        <f>IF(AL9&lt;$B$8,(1+$B$7)^'Cable implied fee'!AL9,0)</f>
        <v>0</v>
      </c>
      <c r="AM10" s="581">
        <f>IF(AM9&lt;$B$8,(1+$B$7)^'Cable implied fee'!AM9,0)</f>
        <v>0</v>
      </c>
      <c r="AN10" s="581">
        <f>IF(AN9&lt;$B$8,(1+$B$7)^'Cable implied fee'!AN9,0)</f>
        <v>0</v>
      </c>
      <c r="AO10" s="581">
        <f>IF(AO9&lt;$B$8,(1+$B$7)^'Cable implied fee'!AO9,0)</f>
        <v>0</v>
      </c>
      <c r="AP10" s="581">
        <f>IF(AP9&lt;$B$8,(1+$B$7)^'Cable implied fee'!AP9,0)</f>
        <v>0</v>
      </c>
      <c r="AQ10" s="581">
        <f>IF(AQ9&lt;$B$8,(1+$B$7)^'Cable implied fee'!AQ9,0)</f>
        <v>0</v>
      </c>
      <c r="AR10" s="581">
        <f>IF(AR9&lt;$B$8,(1+$B$7)^'Cable implied fee'!AR9,0)</f>
        <v>0</v>
      </c>
      <c r="AS10" s="581">
        <f>IF(AS9&lt;$B$8,(1+$B$7)^'Cable implied fee'!AS9,0)</f>
        <v>0</v>
      </c>
      <c r="AT10" s="581">
        <f>IF(AT9&lt;$B$8,(1+$B$7)^'Cable implied fee'!AT9,0)</f>
        <v>0</v>
      </c>
      <c r="AU10" s="581">
        <f>IF(AU9&lt;$B$8,(1+$B$7)^'Cable implied fee'!AU9,0)</f>
        <v>0</v>
      </c>
      <c r="AV10" s="581">
        <f>IF(AV9&lt;$B$8,(1+$B$7)^'Cable implied fee'!AV9,0)</f>
        <v>0</v>
      </c>
      <c r="AW10" s="581">
        <f>IF(AW9&lt;$B$8,(1+$B$7)^'Cable implied fee'!AW9,0)</f>
        <v>0</v>
      </c>
      <c r="AX10" s="581">
        <f>IF(AX9&lt;$B$8,(1+$B$7)^'Cable implied fee'!AX9,0)</f>
        <v>0</v>
      </c>
      <c r="AY10" s="581">
        <f>IF(AY9&lt;$B$8,(1+$B$7)^'Cable implied fee'!AY9,0)</f>
        <v>0</v>
      </c>
      <c r="AZ10" s="581">
        <f>IF(AZ9&lt;$B$8,(1+$B$7)^'Cable implied fee'!AZ9,0)</f>
        <v>0</v>
      </c>
      <c r="BA10" s="581">
        <f>IF(BA9&lt;$B$8,(1+$B$7)^'Cable implied fee'!BA9,0)</f>
        <v>0</v>
      </c>
      <c r="BB10" s="581">
        <f>IF(BB9&lt;$B$8,(1+$B$7)^'Cable implied fee'!BB9,0)</f>
        <v>0</v>
      </c>
      <c r="BC10" s="581">
        <f>IF(BC9&lt;$B$8,(1+$B$7)^'Cable implied fee'!BC9,0)</f>
        <v>0</v>
      </c>
      <c r="BD10" s="581">
        <f>IF(BD9&lt;$B$8,(1+$B$7)^'Cable implied fee'!BD9,0)</f>
        <v>0</v>
      </c>
      <c r="BE10" s="581">
        <f>IF(BE9&lt;$B$8,(1+$B$7)^'Cable implied fee'!BE9,0)</f>
        <v>0</v>
      </c>
      <c r="BF10" s="581">
        <f>IF(BF9&lt;$B$8,(1+$B$7)^'Cable implied fee'!BF9,0)</f>
        <v>0</v>
      </c>
      <c r="BG10" s="581">
        <f>IF(BG9&lt;$B$8,(1+$B$7)^'Cable implied fee'!BG9,0)</f>
        <v>0</v>
      </c>
      <c r="BH10" s="581">
        <f>IF(BH9&lt;$B$8,(1+$B$7)^'Cable implied fee'!BH9,0)</f>
        <v>0</v>
      </c>
      <c r="BI10" s="581">
        <f>IF(BI9&lt;$B$8,(1+$B$7)^'Cable implied fee'!BI9,0)</f>
        <v>0</v>
      </c>
      <c r="BJ10" s="581">
        <f>IF(BJ9&lt;$B$8,(1+$B$7)^'Cable implied fee'!BJ9,0)</f>
        <v>0</v>
      </c>
      <c r="BK10" s="581">
        <f>IF(BK9&lt;$B$8,(1+$B$7)^'Cable implied fee'!BK9,0)</f>
        <v>0</v>
      </c>
      <c r="BL10" s="581">
        <f>IF(BL9&lt;$B$8,(1+$B$7)^'Cable implied fee'!BL9,0)</f>
        <v>0</v>
      </c>
      <c r="BM10" s="581">
        <f>IF(BM9&lt;$B$8,(1+$B$7)^'Cable implied fee'!BM9,0)</f>
        <v>0</v>
      </c>
      <c r="BN10" s="581">
        <f>IF(BN9&lt;$B$8,(1+$B$7)^'Cable implied fee'!BN9,0)</f>
        <v>0</v>
      </c>
      <c r="BO10" s="581">
        <f>IF(BO9&lt;$B$8,(1+$B$7)^'Cable implied fee'!BO9,0)</f>
        <v>0</v>
      </c>
      <c r="BP10" s="581">
        <f>IF(BP9&lt;$B$8,(1+$B$7)^'Cable implied fee'!BP9,0)</f>
        <v>0</v>
      </c>
      <c r="BQ10" s="581">
        <f>IF(BQ9&lt;$B$8,(1+$B$7)^'Cable implied fee'!BQ9,0)</f>
        <v>0</v>
      </c>
      <c r="BR10" s="581">
        <f>IF(BR9&lt;$B$8,(1+$B$7)^'Cable implied fee'!BR9,0)</f>
        <v>0</v>
      </c>
      <c r="BS10" s="581">
        <f>IF(BS9&lt;$B$8,(1+$B$7)^'Cable implied fee'!BS9,0)</f>
        <v>0</v>
      </c>
      <c r="BT10" s="581">
        <f>IF(BT9&lt;$B$8,(1+$B$7)^'Cable implied fee'!BT9,0)</f>
        <v>0</v>
      </c>
      <c r="BU10" s="581">
        <f>IF(BU9&lt;$B$8,(1+$B$7)^'Cable implied fee'!BU9,0)</f>
        <v>0</v>
      </c>
      <c r="BV10" s="581">
        <f>IF(BV9&lt;$B$8,(1+$B$7)^'Cable implied fee'!BV9,0)</f>
        <v>0</v>
      </c>
      <c r="BW10" s="581">
        <f>IF(BW9&lt;$B$8,(1+$B$7)^'Cable implied fee'!BW9,0)</f>
        <v>0</v>
      </c>
      <c r="BX10" s="581">
        <f>IF(BX9&lt;$B$8,(1+$B$7)^'Cable implied fee'!BX9,0)</f>
        <v>0</v>
      </c>
      <c r="BY10" s="581">
        <f>IF(BY9&lt;$B$8,(1+$B$7)^'Cable implied fee'!BY9,0)</f>
        <v>0</v>
      </c>
      <c r="BZ10" s="581">
        <f>IF(BZ9&lt;$B$8,(1+$B$7)^'Cable implied fee'!BZ9,0)</f>
        <v>0</v>
      </c>
      <c r="CA10" s="581">
        <f>IF(CA9&lt;$B$8,(1+$B$7)^'Cable implied fee'!CA9,0)</f>
        <v>0</v>
      </c>
      <c r="CB10" s="581">
        <f>IF(CB9&lt;$B$8,(1+$B$7)^'Cable implied fee'!CB9,0)</f>
        <v>0</v>
      </c>
      <c r="CC10" s="581">
        <f>IF(CC9&lt;$B$8,(1+$B$7)^'Cable implied fee'!CC9,0)</f>
        <v>0</v>
      </c>
      <c r="CD10" s="581">
        <f>IF(CD9&lt;$B$8,(1+$B$7)^'Cable implied fee'!CD9,0)</f>
        <v>0</v>
      </c>
    </row>
    <row r="11" spans="1:84" x14ac:dyDescent="0.25">
      <c r="A11" t="s">
        <v>1681</v>
      </c>
      <c r="B11" s="1196">
        <f>-electrification_input!$E$45+Parameters!$G$75</f>
        <v>-43158833.509090908</v>
      </c>
      <c r="C11" s="1196">
        <v>0</v>
      </c>
      <c r="D11" s="1196">
        <v>0</v>
      </c>
      <c r="E11" s="1196">
        <v>0</v>
      </c>
      <c r="F11" s="1196">
        <v>0</v>
      </c>
      <c r="G11" s="1196">
        <v>0</v>
      </c>
      <c r="H11" s="1196">
        <v>0</v>
      </c>
      <c r="I11" s="1196">
        <v>0</v>
      </c>
      <c r="J11" s="1196">
        <v>0</v>
      </c>
      <c r="K11" s="1196">
        <v>0</v>
      </c>
      <c r="L11" s="1196">
        <v>0</v>
      </c>
      <c r="M11" s="1196">
        <v>0</v>
      </c>
      <c r="N11" s="1196">
        <v>0</v>
      </c>
      <c r="O11" s="1196">
        <v>0</v>
      </c>
      <c r="P11" s="1196">
        <v>0</v>
      </c>
      <c r="Q11" s="1196">
        <v>0</v>
      </c>
      <c r="R11" s="1196">
        <v>0</v>
      </c>
      <c r="S11" s="1196">
        <v>0</v>
      </c>
      <c r="T11" s="1196">
        <v>0</v>
      </c>
      <c r="U11" s="1196">
        <v>0</v>
      </c>
      <c r="V11" s="1196">
        <v>0</v>
      </c>
      <c r="W11" s="1196">
        <v>0</v>
      </c>
      <c r="X11" s="1196">
        <v>0</v>
      </c>
      <c r="Y11" s="1196">
        <v>0</v>
      </c>
      <c r="Z11" s="1196">
        <v>0</v>
      </c>
      <c r="AA11" s="1196">
        <v>0</v>
      </c>
      <c r="AB11" s="1196">
        <v>0</v>
      </c>
      <c r="AC11" s="1196">
        <v>0</v>
      </c>
      <c r="AD11" s="1196">
        <v>0</v>
      </c>
      <c r="AE11" s="1196">
        <v>0</v>
      </c>
      <c r="AF11" s="1196">
        <v>0</v>
      </c>
      <c r="AG11" s="1196">
        <v>0</v>
      </c>
      <c r="AH11" s="1196">
        <v>0</v>
      </c>
      <c r="AI11" s="1196">
        <v>0</v>
      </c>
      <c r="AJ11" s="1196">
        <v>0</v>
      </c>
      <c r="AK11" s="1196">
        <v>0</v>
      </c>
      <c r="AL11" s="1196">
        <v>0</v>
      </c>
      <c r="AM11" s="1196">
        <v>0</v>
      </c>
      <c r="AN11" s="1196">
        <v>0</v>
      </c>
      <c r="AO11" s="1196">
        <v>0</v>
      </c>
      <c r="AP11" s="1196">
        <v>0</v>
      </c>
      <c r="AQ11" s="1196">
        <v>0</v>
      </c>
      <c r="AR11" s="1196">
        <v>0</v>
      </c>
      <c r="AS11" s="1196">
        <v>0</v>
      </c>
      <c r="AT11" s="1196">
        <v>0</v>
      </c>
      <c r="AU11" s="1196">
        <v>0</v>
      </c>
      <c r="AV11" s="1196">
        <v>0</v>
      </c>
      <c r="AW11" s="1196">
        <v>0</v>
      </c>
      <c r="AX11" s="1196">
        <v>0</v>
      </c>
      <c r="AY11" s="1196">
        <v>0</v>
      </c>
      <c r="AZ11" s="1196">
        <v>0</v>
      </c>
      <c r="BA11" s="1196">
        <v>0</v>
      </c>
      <c r="BB11" s="1196">
        <v>0</v>
      </c>
      <c r="BC11" s="1196">
        <v>0</v>
      </c>
      <c r="BD11" s="1196">
        <v>0</v>
      </c>
      <c r="BE11" s="1196">
        <v>0</v>
      </c>
      <c r="BF11" s="1196">
        <v>0</v>
      </c>
      <c r="BG11" s="1196">
        <v>0</v>
      </c>
      <c r="BH11" s="1196">
        <v>0</v>
      </c>
      <c r="BI11" s="1196">
        <v>0</v>
      </c>
      <c r="BJ11" s="1196">
        <v>0</v>
      </c>
      <c r="BK11" s="1196">
        <v>0</v>
      </c>
      <c r="BL11" s="1196">
        <v>0</v>
      </c>
      <c r="BM11" s="1196">
        <v>0</v>
      </c>
      <c r="BN11" s="1196">
        <v>0</v>
      </c>
      <c r="BO11" s="1196">
        <v>0</v>
      </c>
      <c r="BP11" s="1196">
        <v>0</v>
      </c>
      <c r="BQ11" s="1196">
        <v>0</v>
      </c>
      <c r="BR11" s="1196">
        <v>0</v>
      </c>
      <c r="BS11" s="1196">
        <v>0</v>
      </c>
      <c r="BT11" s="1196">
        <v>0</v>
      </c>
      <c r="BU11" s="1196">
        <v>0</v>
      </c>
      <c r="BV11" s="1196">
        <v>0</v>
      </c>
      <c r="BW11" s="1196">
        <v>0</v>
      </c>
      <c r="BX11" s="1196">
        <v>0</v>
      </c>
      <c r="BY11" s="1196">
        <v>0</v>
      </c>
      <c r="BZ11" s="1196">
        <v>0</v>
      </c>
      <c r="CA11" s="1196">
        <v>0</v>
      </c>
      <c r="CB11" s="1196">
        <v>0</v>
      </c>
      <c r="CC11" s="1196">
        <v>0</v>
      </c>
      <c r="CD11" s="1196">
        <v>0</v>
      </c>
    </row>
    <row r="12" spans="1:84" s="1186" customFormat="1" x14ac:dyDescent="0.25">
      <c r="A12" s="1186" t="s">
        <v>1710</v>
      </c>
      <c r="B12" s="1196">
        <f>-B11*(1+B7)^B8</f>
        <v>684632588.50547552</v>
      </c>
      <c r="C12" s="1196"/>
      <c r="D12" s="1196"/>
      <c r="E12" s="1196"/>
      <c r="F12" s="1196"/>
      <c r="G12" s="1196"/>
      <c r="H12" s="1196"/>
      <c r="I12" s="1196"/>
      <c r="J12" s="1196"/>
      <c r="K12" s="1196"/>
      <c r="L12" s="1196"/>
      <c r="M12" s="1196"/>
      <c r="N12" s="1196"/>
      <c r="O12" s="1196"/>
      <c r="P12" s="1196"/>
      <c r="Q12" s="1196"/>
      <c r="R12" s="1196"/>
      <c r="S12" s="1196"/>
      <c r="T12" s="1196"/>
      <c r="U12" s="1196"/>
      <c r="V12" s="1196"/>
      <c r="W12" s="1196"/>
      <c r="X12" s="1196"/>
      <c r="Y12" s="1196"/>
      <c r="Z12" s="1196"/>
      <c r="AA12" s="1196"/>
      <c r="AB12" s="1196"/>
      <c r="AC12" s="1196"/>
      <c r="AD12" s="1196"/>
      <c r="AE12" s="1196"/>
      <c r="AF12" s="1196"/>
      <c r="AG12" s="1196"/>
      <c r="AH12" s="1196"/>
      <c r="AI12" s="1196"/>
      <c r="AJ12" s="1196"/>
      <c r="AK12" s="1196"/>
      <c r="AL12" s="1196"/>
      <c r="AM12" s="1196"/>
      <c r="AN12" s="1196"/>
      <c r="AO12" s="1196"/>
      <c r="AP12" s="1196"/>
      <c r="AQ12" s="1196"/>
      <c r="AR12" s="1196"/>
      <c r="AS12" s="1196"/>
      <c r="AT12" s="1196"/>
      <c r="AU12" s="1196"/>
      <c r="AV12" s="1196"/>
      <c r="AW12" s="1196"/>
      <c r="AX12" s="1196"/>
      <c r="AY12" s="1196"/>
      <c r="AZ12" s="1196"/>
    </row>
    <row r="13" spans="1:84" s="1186" customFormat="1" x14ac:dyDescent="0.25">
      <c r="A13" s="1186" t="s">
        <v>1711</v>
      </c>
      <c r="B13" s="1196">
        <f>B12/SUM(B10:CD10)</f>
        <v>4606259.2073423667</v>
      </c>
      <c r="C13" s="1196"/>
      <c r="D13" s="1196"/>
      <c r="E13" s="1196"/>
      <c r="F13" s="1196"/>
      <c r="G13" s="1196"/>
      <c r="H13" s="1196"/>
      <c r="I13" s="1196"/>
      <c r="J13" s="1196"/>
      <c r="K13" s="1196"/>
      <c r="L13" s="1196"/>
      <c r="M13" s="1196"/>
      <c r="N13" s="1196"/>
      <c r="O13" s="1196"/>
      <c r="P13" s="1196"/>
      <c r="Q13" s="1196"/>
      <c r="R13" s="1196"/>
      <c r="S13" s="1196"/>
      <c r="T13" s="1196"/>
      <c r="U13" s="1196"/>
      <c r="V13" s="1196"/>
      <c r="W13" s="1196"/>
      <c r="X13" s="1196"/>
      <c r="Y13" s="1196"/>
      <c r="Z13" s="1196"/>
      <c r="AA13" s="1196"/>
      <c r="AB13" s="1196"/>
      <c r="AC13" s="1196"/>
      <c r="AD13" s="1196"/>
      <c r="AE13" s="1196"/>
      <c r="AF13" s="1196"/>
      <c r="AG13" s="1196"/>
      <c r="AH13" s="1196"/>
      <c r="AI13" s="1196"/>
      <c r="AJ13" s="1196"/>
      <c r="AK13" s="1196"/>
      <c r="AL13" s="1196"/>
      <c r="AM13" s="1196"/>
      <c r="AN13" s="1196"/>
      <c r="AO13" s="1196"/>
      <c r="AP13" s="1196"/>
      <c r="AQ13" s="1196"/>
      <c r="AR13" s="1196"/>
      <c r="AS13" s="1196"/>
      <c r="AT13" s="1196"/>
      <c r="AU13" s="1196"/>
      <c r="AV13" s="1196"/>
      <c r="AW13" s="1196"/>
      <c r="AX13" s="1196"/>
      <c r="AY13" s="1196"/>
      <c r="AZ13" s="1196"/>
    </row>
    <row r="14" spans="1:84" s="1186" customFormat="1" x14ac:dyDescent="0.25">
      <c r="B14" s="1196"/>
      <c r="C14" s="1196"/>
      <c r="D14" s="1196"/>
      <c r="E14" s="1196"/>
      <c r="F14" s="1196"/>
      <c r="G14" s="1196"/>
      <c r="H14" s="1196"/>
      <c r="I14" s="1196"/>
      <c r="J14" s="1196"/>
      <c r="K14" s="1196"/>
      <c r="L14" s="1196"/>
      <c r="M14" s="1196"/>
      <c r="N14" s="1196"/>
      <c r="O14" s="1196"/>
      <c r="P14" s="1196"/>
      <c r="Q14" s="1196"/>
      <c r="R14" s="1196"/>
      <c r="S14" s="1196"/>
      <c r="T14" s="1196"/>
      <c r="U14" s="1196"/>
      <c r="V14" s="1196"/>
      <c r="W14" s="1196"/>
      <c r="X14" s="1196"/>
      <c r="Y14" s="1196"/>
      <c r="Z14" s="1196"/>
      <c r="AA14" s="1196"/>
      <c r="AB14" s="1196"/>
      <c r="AC14" s="1196"/>
      <c r="AD14" s="1196"/>
      <c r="AE14" s="1196"/>
      <c r="AF14" s="1196"/>
      <c r="AG14" s="1196"/>
      <c r="AH14" s="1196"/>
      <c r="AI14" s="1196"/>
      <c r="AJ14" s="1196"/>
      <c r="AK14" s="1196"/>
      <c r="AL14" s="1196"/>
      <c r="AM14" s="1196"/>
      <c r="AN14" s="1196"/>
      <c r="AO14" s="1196"/>
      <c r="AP14" s="1196"/>
      <c r="AQ14" s="1196"/>
      <c r="AR14" s="1196"/>
      <c r="AS14" s="1196"/>
      <c r="AT14" s="1196"/>
      <c r="AU14" s="1196"/>
      <c r="AV14" s="1196"/>
      <c r="AW14" s="1196"/>
      <c r="AX14" s="1196"/>
      <c r="AY14" s="1196"/>
      <c r="AZ14" s="1196"/>
    </row>
    <row r="18" spans="1:5" x14ac:dyDescent="0.25">
      <c r="C18" s="1200"/>
    </row>
    <row r="20" spans="1:5" x14ac:dyDescent="0.25">
      <c r="A20" s="1186"/>
      <c r="E20" s="1196"/>
    </row>
    <row r="25" spans="1:5" x14ac:dyDescent="0.25">
      <c r="B25" s="581"/>
    </row>
    <row r="26" spans="1:5" x14ac:dyDescent="0.25">
      <c r="B26" s="913"/>
    </row>
  </sheetData>
  <pageMargins left="0.7" right="0.7" top="0.75" bottom="0.75" header="0.3" footer="0.3"/>
  <pageSetup paperSize="9" orientation="portrait" r:id="rId1"/>
  <drawing r:id="rId2"/>
  <legacy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4"/>
  <dimension ref="A2:BA37"/>
  <sheetViews>
    <sheetView workbookViewId="0">
      <selection activeCell="J8" sqref="J8"/>
    </sheetView>
  </sheetViews>
  <sheetFormatPr defaultColWidth="9.140625" defaultRowHeight="15" x14ac:dyDescent="0.25"/>
  <cols>
    <col min="1" max="1" width="3.7109375" style="171" customWidth="1"/>
    <col min="2" max="2" width="33.7109375" style="171" customWidth="1"/>
    <col min="3" max="3" width="9.5703125" style="171" customWidth="1"/>
    <col min="4" max="4" width="18.7109375" style="171" bestFit="1" customWidth="1"/>
    <col min="5" max="5" width="6" style="171" customWidth="1"/>
    <col min="6" max="7" width="11" style="171" customWidth="1"/>
    <col min="8" max="8" width="16.28515625" style="171" customWidth="1"/>
    <col min="9" max="9" width="11" style="171" customWidth="1"/>
    <col min="10" max="10" width="17.85546875" style="171" customWidth="1"/>
    <col min="11" max="20" width="15.85546875" style="171" customWidth="1"/>
    <col min="21" max="21" width="15" style="171" bestFit="1" customWidth="1"/>
    <col min="22" max="23" width="8.5703125" style="171" bestFit="1" customWidth="1"/>
    <col min="24" max="26" width="5" style="171" bestFit="1" customWidth="1"/>
    <col min="27" max="28" width="8.7109375" style="171" bestFit="1" customWidth="1"/>
    <col min="29" max="41" width="7.5703125" style="171" customWidth="1"/>
    <col min="42" max="16384" width="9.140625" style="171"/>
  </cols>
  <sheetData>
    <row r="2" spans="2:53" ht="31.5" x14ac:dyDescent="0.5">
      <c r="B2" s="1263" t="str">
        <f>"Electrified Gas production ("&amp;Parameters!$D$6&amp;")"</f>
        <v>Electrified Gas production (P15 Scenario 1)</v>
      </c>
      <c r="F2" s="171">
        <v>1</v>
      </c>
      <c r="G2" s="171">
        <v>2</v>
      </c>
      <c r="H2" s="171">
        <v>3</v>
      </c>
      <c r="I2" s="171">
        <v>4</v>
      </c>
      <c r="J2" s="171">
        <v>5</v>
      </c>
      <c r="K2" s="171">
        <v>6</v>
      </c>
      <c r="L2" s="171">
        <v>7</v>
      </c>
      <c r="M2" s="171">
        <v>8</v>
      </c>
      <c r="N2" s="171">
        <v>9</v>
      </c>
      <c r="O2" s="171">
        <v>10</v>
      </c>
      <c r="P2" s="171">
        <v>11</v>
      </c>
      <c r="Q2" s="171">
        <v>12</v>
      </c>
      <c r="R2" s="171">
        <v>13</v>
      </c>
      <c r="S2" s="171">
        <v>14</v>
      </c>
      <c r="T2" s="171">
        <v>15</v>
      </c>
      <c r="U2" s="171">
        <v>16</v>
      </c>
      <c r="V2" s="171">
        <v>17</v>
      </c>
      <c r="W2" s="171">
        <v>18</v>
      </c>
      <c r="X2" s="171">
        <v>19</v>
      </c>
      <c r="Y2" s="171">
        <v>20</v>
      </c>
      <c r="Z2" s="171">
        <v>21</v>
      </c>
      <c r="AA2" s="171">
        <v>22</v>
      </c>
      <c r="AB2" s="171">
        <v>23</v>
      </c>
      <c r="AC2" s="171">
        <v>24</v>
      </c>
      <c r="AD2" s="171">
        <v>25</v>
      </c>
      <c r="AE2" s="171">
        <v>26</v>
      </c>
      <c r="AF2" s="171">
        <v>27</v>
      </c>
      <c r="AG2" s="171">
        <v>28</v>
      </c>
      <c r="AH2" s="171">
        <v>29</v>
      </c>
      <c r="AI2" s="171">
        <v>30</v>
      </c>
      <c r="AJ2" s="171">
        <v>31</v>
      </c>
      <c r="AK2" s="171">
        <v>32</v>
      </c>
      <c r="AL2" s="171">
        <v>33</v>
      </c>
      <c r="AM2" s="171">
        <v>34</v>
      </c>
      <c r="AN2" s="171">
        <v>35</v>
      </c>
      <c r="AO2" s="171">
        <v>36</v>
      </c>
      <c r="AP2" s="171">
        <v>37</v>
      </c>
      <c r="AQ2" s="171">
        <v>38</v>
      </c>
      <c r="AR2" s="171">
        <v>39</v>
      </c>
      <c r="AS2" s="171">
        <v>40</v>
      </c>
      <c r="AT2" s="171">
        <v>41</v>
      </c>
      <c r="AU2" s="171">
        <v>42</v>
      </c>
      <c r="AV2" s="171">
        <v>43</v>
      </c>
      <c r="AW2" s="171">
        <v>44</v>
      </c>
      <c r="AX2" s="171">
        <v>45</v>
      </c>
      <c r="AY2" s="171">
        <v>46</v>
      </c>
      <c r="AZ2" s="171">
        <v>47</v>
      </c>
      <c r="BA2" s="171">
        <v>48</v>
      </c>
    </row>
    <row r="3" spans="2:53" x14ac:dyDescent="0.25">
      <c r="B3" s="566"/>
      <c r="C3" s="566"/>
      <c r="D3" s="566"/>
      <c r="E3" s="566"/>
      <c r="F3" s="563">
        <f>'Output E'!G5</f>
        <v>2018</v>
      </c>
      <c r="G3" s="563">
        <f>F3+1</f>
        <v>2019</v>
      </c>
      <c r="H3" s="563">
        <f t="shared" ref="H3:AT3" si="0">G3+1</f>
        <v>2020</v>
      </c>
      <c r="I3" s="563">
        <f t="shared" si="0"/>
        <v>2021</v>
      </c>
      <c r="J3" s="563">
        <f t="shared" si="0"/>
        <v>2022</v>
      </c>
      <c r="K3" s="563">
        <f t="shared" si="0"/>
        <v>2023</v>
      </c>
      <c r="L3" s="563">
        <f t="shared" si="0"/>
        <v>2024</v>
      </c>
      <c r="M3" s="563">
        <f t="shared" si="0"/>
        <v>2025</v>
      </c>
      <c r="N3" s="563">
        <f t="shared" si="0"/>
        <v>2026</v>
      </c>
      <c r="O3" s="563">
        <f t="shared" si="0"/>
        <v>2027</v>
      </c>
      <c r="P3" s="563">
        <f t="shared" si="0"/>
        <v>2028</v>
      </c>
      <c r="Q3" s="563">
        <f t="shared" si="0"/>
        <v>2029</v>
      </c>
      <c r="R3" s="563">
        <f t="shared" si="0"/>
        <v>2030</v>
      </c>
      <c r="S3" s="563">
        <f t="shared" si="0"/>
        <v>2031</v>
      </c>
      <c r="T3" s="563">
        <f t="shared" si="0"/>
        <v>2032</v>
      </c>
      <c r="U3" s="563">
        <f t="shared" si="0"/>
        <v>2033</v>
      </c>
      <c r="V3" s="563">
        <f t="shared" si="0"/>
        <v>2034</v>
      </c>
      <c r="W3" s="563">
        <f t="shared" si="0"/>
        <v>2035</v>
      </c>
      <c r="X3" s="563">
        <f t="shared" si="0"/>
        <v>2036</v>
      </c>
      <c r="Y3" s="563">
        <f t="shared" si="0"/>
        <v>2037</v>
      </c>
      <c r="Z3" s="563">
        <f t="shared" si="0"/>
        <v>2038</v>
      </c>
      <c r="AA3" s="563">
        <f t="shared" si="0"/>
        <v>2039</v>
      </c>
      <c r="AB3" s="563">
        <f t="shared" si="0"/>
        <v>2040</v>
      </c>
      <c r="AC3" s="563">
        <f t="shared" si="0"/>
        <v>2041</v>
      </c>
      <c r="AD3" s="563">
        <f t="shared" si="0"/>
        <v>2042</v>
      </c>
      <c r="AE3" s="563">
        <f t="shared" si="0"/>
        <v>2043</v>
      </c>
      <c r="AF3" s="563">
        <f t="shared" si="0"/>
        <v>2044</v>
      </c>
      <c r="AG3" s="563">
        <f t="shared" si="0"/>
        <v>2045</v>
      </c>
      <c r="AH3" s="563">
        <f t="shared" si="0"/>
        <v>2046</v>
      </c>
      <c r="AI3" s="563">
        <f t="shared" si="0"/>
        <v>2047</v>
      </c>
      <c r="AJ3" s="563">
        <f t="shared" si="0"/>
        <v>2048</v>
      </c>
      <c r="AK3" s="563">
        <f t="shared" si="0"/>
        <v>2049</v>
      </c>
      <c r="AL3" s="563">
        <f t="shared" si="0"/>
        <v>2050</v>
      </c>
      <c r="AM3" s="563">
        <f t="shared" si="0"/>
        <v>2051</v>
      </c>
      <c r="AN3" s="563">
        <f t="shared" si="0"/>
        <v>2052</v>
      </c>
      <c r="AO3" s="563">
        <f t="shared" si="0"/>
        <v>2053</v>
      </c>
      <c r="AP3" s="563">
        <f t="shared" si="0"/>
        <v>2054</v>
      </c>
      <c r="AQ3" s="563">
        <f t="shared" si="0"/>
        <v>2055</v>
      </c>
      <c r="AR3" s="563">
        <f t="shared" si="0"/>
        <v>2056</v>
      </c>
      <c r="AS3" s="563">
        <f t="shared" si="0"/>
        <v>2057</v>
      </c>
      <c r="AT3" s="563">
        <f t="shared" si="0"/>
        <v>2058</v>
      </c>
      <c r="AU3" s="563">
        <f t="shared" ref="AU3" si="1">AT3+1</f>
        <v>2059</v>
      </c>
      <c r="AV3" s="563">
        <f t="shared" ref="AV3" si="2">AU3+1</f>
        <v>2060</v>
      </c>
      <c r="AW3" s="563">
        <f t="shared" ref="AW3" si="3">AV3+1</f>
        <v>2061</v>
      </c>
      <c r="AX3" s="563">
        <f t="shared" ref="AX3" si="4">AW3+1</f>
        <v>2062</v>
      </c>
      <c r="AY3" s="563">
        <f t="shared" ref="AY3" si="5">AX3+1</f>
        <v>2063</v>
      </c>
      <c r="AZ3" s="563">
        <f t="shared" ref="AZ3" si="6">AY3+1</f>
        <v>2064</v>
      </c>
      <c r="BA3" s="563">
        <f t="shared" ref="BA3" si="7">AZ3+1</f>
        <v>2065</v>
      </c>
    </row>
    <row r="4" spans="2:53" ht="15.75" x14ac:dyDescent="0.25">
      <c r="B4" s="501" t="s">
        <v>1007</v>
      </c>
      <c r="C4" s="501"/>
      <c r="D4" s="953">
        <f>SUM(F4:AT4)</f>
        <v>2378967544</v>
      </c>
      <c r="E4" s="502"/>
      <c r="F4" s="561">
        <f>SUM(F5)</f>
        <v>0</v>
      </c>
      <c r="G4" s="561">
        <f t="shared" ref="G4:BA4" si="8">SUM(G5)</f>
        <v>0</v>
      </c>
      <c r="H4" s="561">
        <f t="shared" si="8"/>
        <v>0</v>
      </c>
      <c r="I4" s="561">
        <f t="shared" si="8"/>
        <v>0</v>
      </c>
      <c r="J4" s="561">
        <f t="shared" si="8"/>
        <v>297370943</v>
      </c>
      <c r="K4" s="561">
        <f t="shared" si="8"/>
        <v>297370943</v>
      </c>
      <c r="L4" s="561">
        <f t="shared" si="8"/>
        <v>297370943</v>
      </c>
      <c r="M4" s="561">
        <f t="shared" si="8"/>
        <v>297370943</v>
      </c>
      <c r="N4" s="561">
        <f t="shared" si="8"/>
        <v>297370943</v>
      </c>
      <c r="O4" s="561">
        <f t="shared" si="8"/>
        <v>297370943</v>
      </c>
      <c r="P4" s="561">
        <f t="shared" si="8"/>
        <v>297370943</v>
      </c>
      <c r="Q4" s="561">
        <f t="shared" si="8"/>
        <v>297370943</v>
      </c>
      <c r="R4" s="561">
        <f t="shared" si="8"/>
        <v>0</v>
      </c>
      <c r="S4" s="561">
        <f t="shared" si="8"/>
        <v>0</v>
      </c>
      <c r="T4" s="561">
        <f t="shared" si="8"/>
        <v>0</v>
      </c>
      <c r="U4" s="561">
        <f t="shared" si="8"/>
        <v>0</v>
      </c>
      <c r="V4" s="561">
        <f t="shared" si="8"/>
        <v>0</v>
      </c>
      <c r="W4" s="561">
        <f t="shared" si="8"/>
        <v>0</v>
      </c>
      <c r="X4" s="561">
        <f t="shared" si="8"/>
        <v>0</v>
      </c>
      <c r="Y4" s="561">
        <f t="shared" si="8"/>
        <v>0</v>
      </c>
      <c r="Z4" s="561">
        <f t="shared" si="8"/>
        <v>0</v>
      </c>
      <c r="AA4" s="561">
        <f t="shared" si="8"/>
        <v>0</v>
      </c>
      <c r="AB4" s="561">
        <f t="shared" si="8"/>
        <v>0</v>
      </c>
      <c r="AC4" s="561">
        <f t="shared" si="8"/>
        <v>0</v>
      </c>
      <c r="AD4" s="561">
        <f t="shared" si="8"/>
        <v>0</v>
      </c>
      <c r="AE4" s="561">
        <f t="shared" si="8"/>
        <v>0</v>
      </c>
      <c r="AF4" s="561">
        <f t="shared" si="8"/>
        <v>0</v>
      </c>
      <c r="AG4" s="561">
        <f t="shared" si="8"/>
        <v>0</v>
      </c>
      <c r="AH4" s="561">
        <f t="shared" si="8"/>
        <v>0</v>
      </c>
      <c r="AI4" s="561">
        <f t="shared" si="8"/>
        <v>0</v>
      </c>
      <c r="AJ4" s="561">
        <f t="shared" si="8"/>
        <v>0</v>
      </c>
      <c r="AK4" s="561">
        <f t="shared" si="8"/>
        <v>0</v>
      </c>
      <c r="AL4" s="561">
        <f t="shared" si="8"/>
        <v>0</v>
      </c>
      <c r="AM4" s="561">
        <f t="shared" si="8"/>
        <v>0</v>
      </c>
      <c r="AN4" s="561">
        <f t="shared" si="8"/>
        <v>0</v>
      </c>
      <c r="AO4" s="561">
        <f t="shared" si="8"/>
        <v>0</v>
      </c>
      <c r="AP4" s="561">
        <f t="shared" si="8"/>
        <v>0</v>
      </c>
      <c r="AQ4" s="561">
        <f t="shared" si="8"/>
        <v>0</v>
      </c>
      <c r="AR4" s="561">
        <f t="shared" si="8"/>
        <v>0</v>
      </c>
      <c r="AS4" s="561">
        <f t="shared" si="8"/>
        <v>0</v>
      </c>
      <c r="AT4" s="561">
        <f t="shared" si="8"/>
        <v>0</v>
      </c>
      <c r="AU4" s="561">
        <f t="shared" si="8"/>
        <v>0</v>
      </c>
      <c r="AV4" s="561">
        <f t="shared" si="8"/>
        <v>0</v>
      </c>
      <c r="AW4" s="561">
        <f t="shared" si="8"/>
        <v>0</v>
      </c>
      <c r="AX4" s="561">
        <f t="shared" si="8"/>
        <v>0</v>
      </c>
      <c r="AY4" s="561">
        <f t="shared" si="8"/>
        <v>0</v>
      </c>
      <c r="AZ4" s="561">
        <f t="shared" si="8"/>
        <v>0</v>
      </c>
      <c r="BA4" s="561">
        <f t="shared" si="8"/>
        <v>0</v>
      </c>
    </row>
    <row r="5" spans="2:53" x14ac:dyDescent="0.25">
      <c r="B5" s="571" t="s">
        <v>1383</v>
      </c>
      <c r="C5" s="543" t="s">
        <v>1382</v>
      </c>
      <c r="D5" s="587">
        <f>SUM(F5:AT5)</f>
        <v>2378967544</v>
      </c>
      <c r="E5" s="586"/>
      <c r="F5" s="588">
        <f>IF(AND(F$3&gt;=YEAR(electrification_input!$E$55),F$3&lt;=YEAR(electrification_input!$D$7)),VLOOKUP($C$8,$E$15:$BA$24,1+F$2,FALSE)*1000*1000000,0)</f>
        <v>0</v>
      </c>
      <c r="G5" s="588">
        <f>IF(AND(G$3&gt;=YEAR(electrification_input!$E$55),G$3&lt;=YEAR(electrification_input!$D$7)),VLOOKUP($C$8,$E$15:$BA$24,1+G$2,FALSE)*1000*1000000,0)</f>
        <v>0</v>
      </c>
      <c r="H5" s="588">
        <f>IF(AND(H$3&gt;=YEAR(electrification_input!$E$55),H$3&lt;=YEAR(electrification_input!$D$7)),VLOOKUP($C$8,$E$15:$BA$24,1+H$2,FALSE)*1000*1000000,0)</f>
        <v>0</v>
      </c>
      <c r="I5" s="588">
        <f>IF(AND(I$3&gt;=YEAR(electrification_input!$E$55),I$3&lt;=YEAR(electrification_input!$D$7)),VLOOKUP($C$8,$E$15:$BA$24,1+I$2,FALSE)*1000*1000000,0)</f>
        <v>0</v>
      </c>
      <c r="J5" s="588">
        <f>IF(AND(J$3&gt;=YEAR(electrification_input!$E$55),J$3&lt;=YEAR(electrification_input!$D$7)),VLOOKUP($C$8,$E$15:$BA$24,1+J$2,FALSE)*1000*1000000,0)</f>
        <v>297370943</v>
      </c>
      <c r="K5" s="588">
        <f>IF(AND(K$3&gt;=YEAR(electrification_input!$E$55),K$3&lt;=YEAR(electrification_input!$D$7)),VLOOKUP($C$8,$E$15:$BA$24,1+K$2,FALSE)*1000*1000000,0)</f>
        <v>297370943</v>
      </c>
      <c r="L5" s="588">
        <f>IF(AND(L$3&gt;=YEAR(electrification_input!$E$55),L$3&lt;=YEAR(electrification_input!$D$7)),VLOOKUP($C$8,$E$15:$BA$24,1+L$2,FALSE)*1000*1000000,0)</f>
        <v>297370943</v>
      </c>
      <c r="M5" s="588">
        <f>IF(AND(M$3&gt;=YEAR(electrification_input!$E$55),M$3&lt;=YEAR(electrification_input!$D$7)),VLOOKUP($C$8,$E$15:$BA$24,1+M$2,FALSE)*1000*1000000,0)</f>
        <v>297370943</v>
      </c>
      <c r="N5" s="588">
        <f>IF(AND(N$3&gt;=YEAR(electrification_input!$E$55),N$3&lt;=YEAR(electrification_input!$D$7)),VLOOKUP($C$8,$E$15:$BA$24,1+N$2,FALSE)*1000*1000000,0)</f>
        <v>297370943</v>
      </c>
      <c r="O5" s="588">
        <f>IF(AND(O$3&gt;=YEAR(electrification_input!$E$55),O$3&lt;=YEAR(electrification_input!$D$7)),VLOOKUP($C$8,$E$15:$BA$24,1+O$2,FALSE)*1000*1000000,0)</f>
        <v>297370943</v>
      </c>
      <c r="P5" s="588">
        <f>IF(AND(P$3&gt;=YEAR(electrification_input!$E$55),P$3&lt;=YEAR(electrification_input!$D$7)),VLOOKUP($C$8,$E$15:$BA$24,1+P$2,FALSE)*1000*1000000,0)</f>
        <v>297370943</v>
      </c>
      <c r="Q5" s="588">
        <f>IF(AND(Q$3&gt;=YEAR(electrification_input!$E$55),Q$3&lt;=YEAR(electrification_input!$D$7)),VLOOKUP($C$8,$E$15:$BA$24,1+Q$2,FALSE)*1000*1000000,0)</f>
        <v>297370943</v>
      </c>
      <c r="R5" s="588">
        <f>IF(AND(R$3&gt;=YEAR(electrification_input!$E$55),R$3&lt;=YEAR(electrification_input!$D$7)),VLOOKUP($C$8,$E$15:$BA$24,1+R$2,FALSE)*1000*1000000,0)</f>
        <v>0</v>
      </c>
      <c r="S5" s="588">
        <f>IF(AND(S$3&gt;=YEAR(electrification_input!$E$55),S$3&lt;=YEAR(electrification_input!$D$7)),VLOOKUP($C$8,$E$15:$BA$24,1+S$2,FALSE)*1000*1000000,0)</f>
        <v>0</v>
      </c>
      <c r="T5" s="588">
        <f>IF(AND(T$3&gt;=YEAR(electrification_input!$E$55),T$3&lt;=YEAR(electrification_input!$D$7)),VLOOKUP($C$8,$E$15:$BA$24,1+T$2,FALSE)*1000*1000000,0)</f>
        <v>0</v>
      </c>
      <c r="U5" s="588">
        <f>IF(AND(U$3&gt;=YEAR(electrification_input!$E$55),U$3&lt;=YEAR(electrification_input!$D$7)),VLOOKUP($C$8,$E$15:$BA$24,1+U$2,FALSE)*1000*1000000,0)</f>
        <v>0</v>
      </c>
      <c r="V5" s="588">
        <f>IF(AND(V$3&gt;=YEAR(electrification_input!$E$55),V$3&lt;=YEAR(electrification_input!$D$7)),VLOOKUP($C$8,$E$15:$BA$24,1+V$2,FALSE)*1000*1000000,0)</f>
        <v>0</v>
      </c>
      <c r="W5" s="588">
        <f>IF(AND(W$3&gt;=YEAR(electrification_input!$E$55),W$3&lt;=YEAR(electrification_input!$D$7)),VLOOKUP($C$8,$E$15:$BA$24,1+W$2,FALSE)*1000*1000000,0)</f>
        <v>0</v>
      </c>
      <c r="X5" s="588">
        <f>IF(AND(X$3&gt;=YEAR(electrification_input!$E$55),X$3&lt;=YEAR(electrification_input!$D$7)),VLOOKUP($C$8,$E$15:$BA$24,1+X$2,FALSE)*1000*1000000,0)</f>
        <v>0</v>
      </c>
      <c r="Y5" s="588">
        <f>IF(AND(Y$3&gt;=YEAR(electrification_input!$E$55),Y$3&lt;=YEAR(electrification_input!$D$7)),VLOOKUP($C$8,$E$15:$BA$24,1+Y$2,FALSE)*1000*1000000,0)</f>
        <v>0</v>
      </c>
      <c r="Z5" s="588">
        <f>IF(AND(Z$3&gt;=YEAR(electrification_input!$E$55),Z$3&lt;=YEAR(electrification_input!$D$7)),VLOOKUP($C$8,$E$15:$BA$24,1+Z$2,FALSE)*1000*1000000,0)</f>
        <v>0</v>
      </c>
      <c r="AA5" s="588">
        <f>IF(AND(AA$3&gt;=YEAR(electrification_input!$E$55),AA$3&lt;=YEAR(electrification_input!$D$7)),VLOOKUP($C$8,$E$15:$BA$24,1+AA$2,FALSE)*1000*1000000,0)</f>
        <v>0</v>
      </c>
      <c r="AB5" s="588">
        <f>IF(AND(AB$3&gt;=YEAR(electrification_input!$E$55),AB$3&lt;=YEAR(electrification_input!$D$7)),VLOOKUP($C$8,$E$15:$BA$24,1+AB$2,FALSE)*1000*1000000,0)</f>
        <v>0</v>
      </c>
      <c r="AC5" s="588">
        <f>IF(AND(AC$3&gt;=YEAR(electrification_input!$E$55),AC$3&lt;=YEAR(electrification_input!$D$7)),VLOOKUP($C$8,$E$15:$BA$24,1+AC$2,FALSE)*1000*1000000,0)</f>
        <v>0</v>
      </c>
      <c r="AD5" s="588">
        <f>IF(AND(AD$3&gt;=YEAR(electrification_input!$E$55),AD$3&lt;=YEAR(electrification_input!$D$7)),VLOOKUP($C$8,$E$15:$BA$24,1+AD$2,FALSE)*1000*1000000,0)</f>
        <v>0</v>
      </c>
      <c r="AE5" s="588">
        <f>IF(AND(AE$3&gt;=YEAR(electrification_input!$E$55),AE$3&lt;=YEAR(electrification_input!$D$7)),VLOOKUP($C$8,$E$15:$BA$24,1+AE$2,FALSE)*1000*1000000,0)</f>
        <v>0</v>
      </c>
      <c r="AF5" s="588">
        <f>IF(AND(AF$3&gt;=YEAR(electrification_input!$E$55),AF$3&lt;=YEAR(electrification_input!$D$7)),VLOOKUP($C$8,$E$15:$BA$24,1+AF$2,FALSE)*1000*1000000,0)</f>
        <v>0</v>
      </c>
      <c r="AG5" s="588">
        <f>IF(AND(AG$3&gt;=YEAR(electrification_input!$E$55),AG$3&lt;=YEAR(electrification_input!$D$7)),VLOOKUP($C$8,$E$15:$BA$24,1+AG$2,FALSE)*1000*1000000,0)</f>
        <v>0</v>
      </c>
      <c r="AH5" s="588">
        <f>IF(AND(AH$3&gt;=YEAR(electrification_input!$E$55),AH$3&lt;=YEAR(electrification_input!$D$7)),VLOOKUP($C$8,$E$15:$BA$24,1+AH$2,FALSE)*1000*1000000,0)</f>
        <v>0</v>
      </c>
      <c r="AI5" s="588">
        <f>IF(AND(AI$3&gt;=YEAR(electrification_input!$E$55),AI$3&lt;=YEAR(electrification_input!$D$7)),VLOOKUP($C$8,$E$15:$BA$24,1+AI$2,FALSE)*1000*1000000,0)</f>
        <v>0</v>
      </c>
      <c r="AJ5" s="588">
        <f>IF(AND(AJ$3&gt;=YEAR(electrification_input!$E$55),AJ$3&lt;=YEAR(electrification_input!$D$7)),VLOOKUP($C$8,$E$15:$BA$24,1+AJ$2,FALSE)*1000*1000000,0)</f>
        <v>0</v>
      </c>
      <c r="AK5" s="588">
        <f>IF(AND(AK$3&gt;=YEAR(electrification_input!$E$55),AK$3&lt;=YEAR(electrification_input!$D$7)),VLOOKUP($C$8,$E$15:$BA$24,1+AK$2,FALSE)*1000*1000000,0)</f>
        <v>0</v>
      </c>
      <c r="AL5" s="588">
        <f>IF(AND(AL$3&gt;=YEAR(electrification_input!$E$55),AL$3&lt;=YEAR(electrification_input!$D$7)),VLOOKUP($C$8,$E$15:$BA$24,1+AL$2,FALSE)*1000*1000000,0)</f>
        <v>0</v>
      </c>
      <c r="AM5" s="588">
        <f>IF(AND(AM$3&gt;=YEAR(electrification_input!$E$55),AM$3&lt;=YEAR(electrification_input!$D$7)),VLOOKUP($C$8,$E$15:$BA$24,1+AM$2,FALSE)*1000*1000000,0)</f>
        <v>0</v>
      </c>
      <c r="AN5" s="588">
        <f>IF(AND(AN$3&gt;=YEAR(electrification_input!$E$55),AN$3&lt;=YEAR(electrification_input!$D$7)),VLOOKUP($C$8,$E$15:$BA$24,1+AN$2,FALSE)*1000*1000000,0)</f>
        <v>0</v>
      </c>
      <c r="AO5" s="588">
        <f>IF(AND(AO$3&gt;=YEAR(electrification_input!$E$55),AO$3&lt;=YEAR(electrification_input!$D$7)),VLOOKUP($C$8,$E$15:$BA$24,1+AO$2,FALSE)*1000*1000000,0)</f>
        <v>0</v>
      </c>
      <c r="AP5" s="588">
        <f>IF(AND(AP$3&gt;=YEAR(electrification_input!$E$55),AP$3&lt;=YEAR(electrification_input!$D$7)),VLOOKUP($C$8,$E$15:$BA$24,1+AP$2,FALSE)*1000*1000000,0)</f>
        <v>0</v>
      </c>
      <c r="AQ5" s="588">
        <f>IF(AND(AQ$3&gt;=YEAR(electrification_input!$E$55),AQ$3&lt;=YEAR(electrification_input!$D$7)),VLOOKUP($C$8,$E$15:$BA$24,1+AQ$2,FALSE)*1000*1000000,0)</f>
        <v>0</v>
      </c>
      <c r="AR5" s="588">
        <f>IF(AND(AR$3&gt;=YEAR(electrification_input!$E$55),AR$3&lt;=YEAR(electrification_input!$D$7)),VLOOKUP($C$8,$E$15:$BA$24,1+AR$2,FALSE)*1000*1000000,0)</f>
        <v>0</v>
      </c>
      <c r="AS5" s="588">
        <f>IF(AND(AS$3&gt;=YEAR(electrification_input!$E$55),AS$3&lt;=YEAR(electrification_input!$D$7)),VLOOKUP($C$8,$E$15:$BA$24,1+AS$2,FALSE)*1000*1000000,0)</f>
        <v>0</v>
      </c>
      <c r="AT5" s="588">
        <f>IF(AND(AT$3&gt;=YEAR(electrification_input!$E$55),AT$3&lt;=YEAR(electrification_input!$D$7)),VLOOKUP($C$8,$E$15:$BA$24,1+AT$2,FALSE)*1000*1000000,0)</f>
        <v>0</v>
      </c>
      <c r="AU5" s="588">
        <f>IF(AND(AU$3&gt;=YEAR(electrification_input!$E$55),AU$3&lt;=YEAR(electrification_input!$D$7)),VLOOKUP($C$8,$E$15:$BA$24,1+AU$2,FALSE)*1000*1000000,0)</f>
        <v>0</v>
      </c>
      <c r="AV5" s="588">
        <f>IF(AND(AV$3&gt;=YEAR(electrification_input!$E$55),AV$3&lt;=YEAR(electrification_input!$D$7)),VLOOKUP($C$8,$E$15:$BA$24,1+AV$2,FALSE)*1000*1000000,0)</f>
        <v>0</v>
      </c>
      <c r="AW5" s="588">
        <f>IF(AND(AW$3&gt;=YEAR(electrification_input!$E$55),AW$3&lt;=YEAR(electrification_input!$D$7)),VLOOKUP($C$8,$E$15:$BA$24,1+AW$2,FALSE)*1000*1000000,0)</f>
        <v>0</v>
      </c>
      <c r="AX5" s="588">
        <f>IF(AND(AX$3&gt;=YEAR(electrification_input!$E$55),AX$3&lt;=YEAR(electrification_input!$D$7)),VLOOKUP($C$8,$E$15:$BA$24,1+AX$2,FALSE)*1000*1000000,0)</f>
        <v>0</v>
      </c>
      <c r="AY5" s="588">
        <f>IF(AND(AY$3&gt;=YEAR(electrification_input!$E$55),AY$3&lt;=YEAR(electrification_input!$D$7)),VLOOKUP($C$8,$E$15:$BA$24,1+AY$2,FALSE)*1000*1000000,0)</f>
        <v>0</v>
      </c>
      <c r="AZ5" s="588">
        <f>IF(AND(AZ$3&gt;=YEAR(electrification_input!$E$55),AZ$3&lt;=YEAR(electrification_input!$D$7)),VLOOKUP($C$8,$E$15:$BA$24,1+AZ$2,FALSE)*1000*1000000,0)</f>
        <v>0</v>
      </c>
      <c r="BA5" s="588">
        <f>IF(AND(BA$3&gt;=YEAR(electrification_input!$E$55),BA$3&lt;=YEAR(electrification_input!$D$7)),VLOOKUP($C$8,$E$15:$BA$24,1+BA$2,FALSE)*1000*1000000,0)</f>
        <v>0</v>
      </c>
    </row>
    <row r="6" spans="2:53" x14ac:dyDescent="0.25">
      <c r="B6" s="566"/>
      <c r="C6" s="566"/>
      <c r="D6" s="576"/>
      <c r="E6" s="566"/>
      <c r="F6" s="585"/>
      <c r="G6" s="585"/>
      <c r="H6" s="585"/>
      <c r="I6" s="585"/>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row>
    <row r="7" spans="2:53" x14ac:dyDescent="0.25">
      <c r="B7" s="545"/>
      <c r="C7" s="545"/>
      <c r="D7" s="985"/>
      <c r="E7" s="545"/>
      <c r="F7" s="592"/>
      <c r="G7" s="592"/>
      <c r="H7" s="592"/>
      <c r="I7" s="592"/>
      <c r="J7" s="592"/>
      <c r="K7" s="592"/>
      <c r="L7" s="592"/>
      <c r="M7" s="592"/>
      <c r="N7" s="592"/>
      <c r="O7" s="592"/>
      <c r="P7" s="592"/>
      <c r="Q7" s="592"/>
      <c r="R7" s="592"/>
      <c r="S7" s="592"/>
      <c r="T7" s="592"/>
      <c r="U7" s="592"/>
      <c r="V7" s="592"/>
      <c r="W7" s="592"/>
      <c r="X7" s="592"/>
      <c r="Y7" s="592"/>
      <c r="Z7" s="592"/>
      <c r="AA7" s="592"/>
      <c r="AB7" s="592"/>
      <c r="AC7" s="592"/>
      <c r="AD7" s="592"/>
      <c r="AE7" s="592"/>
      <c r="AF7" s="592"/>
      <c r="AG7" s="592"/>
      <c r="AH7" s="592"/>
      <c r="AI7" s="592"/>
      <c r="AJ7" s="592"/>
      <c r="AK7" s="592"/>
      <c r="AL7" s="592"/>
      <c r="AM7" s="592"/>
      <c r="AN7" s="592"/>
      <c r="AO7" s="592"/>
      <c r="AP7" s="592"/>
      <c r="AQ7" s="592"/>
      <c r="AR7" s="592"/>
      <c r="AS7" s="592"/>
      <c r="AT7" s="592"/>
      <c r="AU7" s="592"/>
      <c r="AV7" s="592"/>
      <c r="AW7" s="592"/>
      <c r="AX7" s="592"/>
      <c r="AY7" s="592"/>
      <c r="AZ7" s="592"/>
      <c r="BA7" s="592"/>
    </row>
    <row r="8" spans="2:53" x14ac:dyDescent="0.25">
      <c r="B8" s="309" t="s">
        <v>1041</v>
      </c>
      <c r="C8" s="625">
        <f>VLOOKUP(electrification_input!$D$20,$B$15:$E$24,4,FALSE)</f>
        <v>4</v>
      </c>
      <c r="D8" s="985"/>
      <c r="E8" s="545"/>
      <c r="F8" s="592"/>
      <c r="G8" s="592"/>
      <c r="H8" s="592"/>
      <c r="I8" s="592"/>
      <c r="J8" s="592"/>
      <c r="K8" s="592"/>
      <c r="L8" s="592"/>
      <c r="M8" s="592"/>
      <c r="N8" s="592"/>
      <c r="O8" s="592"/>
      <c r="P8" s="592"/>
      <c r="Q8" s="592"/>
      <c r="R8" s="592"/>
      <c r="S8" s="592"/>
      <c r="T8" s="592"/>
      <c r="U8" s="592"/>
      <c r="V8" s="592"/>
      <c r="W8" s="592"/>
      <c r="X8" s="592"/>
      <c r="Y8" s="592"/>
      <c r="Z8" s="592"/>
      <c r="AA8" s="592"/>
      <c r="AB8" s="592"/>
      <c r="AC8" s="592"/>
      <c r="AD8" s="592"/>
      <c r="AE8" s="592"/>
      <c r="AF8" s="592"/>
      <c r="AG8" s="592"/>
      <c r="AH8" s="592"/>
      <c r="AI8" s="592"/>
      <c r="AJ8" s="592"/>
      <c r="AK8" s="592"/>
      <c r="AL8" s="592"/>
      <c r="AM8" s="592"/>
      <c r="AN8" s="592"/>
      <c r="AO8" s="592"/>
      <c r="AP8" s="592"/>
      <c r="AQ8" s="592"/>
      <c r="AR8" s="592"/>
      <c r="AS8" s="592"/>
      <c r="AT8" s="592"/>
      <c r="AU8" s="592"/>
      <c r="AV8" s="592"/>
      <c r="AW8" s="592"/>
      <c r="AX8" s="592"/>
      <c r="AY8" s="592"/>
      <c r="AZ8" s="592"/>
      <c r="BA8" s="592"/>
    </row>
    <row r="9" spans="2:53" x14ac:dyDescent="0.25">
      <c r="B9" s="545"/>
      <c r="C9" s="545"/>
      <c r="D9" s="591"/>
      <c r="E9" s="545"/>
      <c r="F9" s="592"/>
      <c r="G9" s="592"/>
      <c r="H9" s="592"/>
      <c r="I9" s="592"/>
      <c r="J9" s="592"/>
      <c r="K9" s="592"/>
      <c r="L9" s="592"/>
      <c r="M9" s="592"/>
      <c r="N9" s="592"/>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2"/>
      <c r="AR9" s="592"/>
      <c r="AS9" s="592"/>
      <c r="AT9" s="592"/>
      <c r="AU9" s="592"/>
      <c r="AV9" s="592"/>
      <c r="AW9" s="592"/>
      <c r="AX9" s="592"/>
      <c r="AY9" s="592"/>
      <c r="AZ9" s="592"/>
      <c r="BA9" s="592"/>
    </row>
    <row r="10" spans="2:53" x14ac:dyDescent="0.25">
      <c r="B10" s="545"/>
      <c r="C10" s="545"/>
      <c r="D10" s="591"/>
      <c r="E10" s="545"/>
      <c r="F10" s="592"/>
      <c r="G10" s="592"/>
      <c r="H10" s="592"/>
      <c r="I10" s="592"/>
      <c r="J10" s="592"/>
      <c r="K10" s="592"/>
      <c r="L10" s="592"/>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2"/>
      <c r="AR10" s="592"/>
      <c r="AS10" s="592"/>
      <c r="AT10" s="592"/>
      <c r="AU10" s="592"/>
      <c r="AV10" s="592"/>
      <c r="AW10" s="592"/>
      <c r="AX10" s="592"/>
      <c r="AY10" s="592"/>
      <c r="AZ10" s="592"/>
      <c r="BA10" s="592"/>
    </row>
    <row r="11" spans="2:53" x14ac:dyDescent="0.25">
      <c r="B11" s="545"/>
      <c r="C11" s="545"/>
      <c r="D11" s="591"/>
      <c r="E11" s="545"/>
      <c r="F11" s="592"/>
      <c r="G11" s="592"/>
      <c r="H11" s="592"/>
      <c r="I11" s="592"/>
      <c r="J11" s="592"/>
      <c r="K11" s="592"/>
      <c r="L11" s="592"/>
      <c r="M11" s="592"/>
      <c r="N11" s="592"/>
      <c r="O11" s="592"/>
      <c r="P11" s="592"/>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2"/>
      <c r="AR11" s="592"/>
      <c r="AS11" s="592"/>
      <c r="AT11" s="592"/>
      <c r="AU11" s="592"/>
      <c r="AV11" s="592"/>
      <c r="AW11" s="592"/>
      <c r="AX11" s="592"/>
      <c r="AY11" s="592"/>
      <c r="AZ11" s="592"/>
      <c r="BA11" s="592"/>
    </row>
    <row r="12" spans="2:53" x14ac:dyDescent="0.25">
      <c r="B12" s="545"/>
      <c r="C12" s="545"/>
      <c r="D12" s="591"/>
      <c r="E12" s="545"/>
      <c r="F12" s="592"/>
      <c r="G12" s="592"/>
      <c r="H12" s="592"/>
      <c r="I12" s="592"/>
      <c r="J12" s="592"/>
      <c r="K12" s="592"/>
      <c r="L12" s="592"/>
      <c r="M12" s="592"/>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2"/>
      <c r="AK12" s="592"/>
      <c r="AL12" s="592"/>
      <c r="AM12" s="592"/>
      <c r="AN12" s="592"/>
      <c r="AO12" s="592"/>
      <c r="AP12" s="592"/>
      <c r="AQ12" s="592"/>
      <c r="AR12" s="592"/>
      <c r="AS12" s="592"/>
      <c r="AT12" s="592"/>
      <c r="AU12" s="592"/>
      <c r="AV12" s="592"/>
      <c r="AW12" s="592"/>
      <c r="AX12" s="592"/>
      <c r="AY12" s="592"/>
      <c r="AZ12" s="592"/>
      <c r="BA12" s="592"/>
    </row>
    <row r="14" spans="2:53" x14ac:dyDescent="0.25">
      <c r="B14" s="1057" t="s">
        <v>1524</v>
      </c>
      <c r="C14" s="1057" t="s">
        <v>591</v>
      </c>
      <c r="D14" s="1057" t="s">
        <v>1384</v>
      </c>
      <c r="E14" s="1057" t="s">
        <v>1527</v>
      </c>
      <c r="F14" s="1057">
        <v>2018</v>
      </c>
      <c r="G14" s="1057">
        <v>2019</v>
      </c>
      <c r="H14" s="1057">
        <v>2020</v>
      </c>
      <c r="I14" s="1057">
        <v>2021</v>
      </c>
      <c r="J14" s="1057">
        <v>2022</v>
      </c>
      <c r="K14" s="1057">
        <v>2023</v>
      </c>
      <c r="L14" s="1057">
        <v>2024</v>
      </c>
      <c r="M14" s="1057">
        <v>2025</v>
      </c>
      <c r="N14" s="1057">
        <v>2026</v>
      </c>
      <c r="O14" s="1057">
        <v>2027</v>
      </c>
      <c r="P14" s="1057">
        <v>2028</v>
      </c>
      <c r="Q14" s="1057">
        <v>2029</v>
      </c>
      <c r="R14" s="1057">
        <v>2030</v>
      </c>
      <c r="S14" s="1057">
        <v>2031</v>
      </c>
      <c r="T14" s="1057">
        <v>2032</v>
      </c>
      <c r="U14" s="1057">
        <v>2033</v>
      </c>
      <c r="V14" s="1057">
        <v>2034</v>
      </c>
      <c r="W14" s="1057">
        <v>2035</v>
      </c>
      <c r="X14" s="1057">
        <v>2036</v>
      </c>
      <c r="Y14" s="1057">
        <v>2037</v>
      </c>
      <c r="Z14" s="1057">
        <v>2038</v>
      </c>
      <c r="AA14" s="1057">
        <v>2039</v>
      </c>
      <c r="AB14" s="1057">
        <v>2040</v>
      </c>
      <c r="AC14" s="1057">
        <v>2041</v>
      </c>
      <c r="AD14" s="1057">
        <v>2042</v>
      </c>
      <c r="AE14" s="1057">
        <v>2043</v>
      </c>
      <c r="AF14" s="1057">
        <v>2044</v>
      </c>
      <c r="AG14" s="1057">
        <v>2045</v>
      </c>
      <c r="AH14" s="1057">
        <v>2046</v>
      </c>
      <c r="AI14" s="1057">
        <v>2047</v>
      </c>
      <c r="AJ14" s="1057">
        <v>2048</v>
      </c>
      <c r="AK14" s="1057">
        <v>2049</v>
      </c>
      <c r="AL14" s="1057">
        <v>2050</v>
      </c>
      <c r="AM14" s="1057">
        <v>2051</v>
      </c>
      <c r="AN14" s="1057">
        <v>2052</v>
      </c>
      <c r="AO14" s="1057">
        <v>2053</v>
      </c>
      <c r="AP14" s="1057">
        <v>2054</v>
      </c>
      <c r="AQ14" s="1057">
        <v>2055</v>
      </c>
      <c r="AR14" s="1057">
        <v>2056</v>
      </c>
      <c r="AS14" s="1057">
        <v>2057</v>
      </c>
      <c r="AT14" s="1057">
        <v>2058</v>
      </c>
      <c r="AU14" s="1057">
        <v>2059</v>
      </c>
      <c r="AV14" s="1057">
        <v>2060</v>
      </c>
      <c r="AW14" s="1057">
        <v>2061</v>
      </c>
      <c r="AX14" s="1057">
        <v>2062</v>
      </c>
      <c r="AY14" s="1057">
        <v>2063</v>
      </c>
      <c r="AZ14" s="1057">
        <v>2064</v>
      </c>
      <c r="BA14" s="1057">
        <v>2065</v>
      </c>
    </row>
    <row r="15" spans="2:53" x14ac:dyDescent="0.25">
      <c r="B15" s="430" t="s">
        <v>1095</v>
      </c>
      <c r="C15" s="171" t="s">
        <v>1525</v>
      </c>
      <c r="D15" s="581">
        <f>AVERAGE(F15:T15)</f>
        <v>0.51523345494277406</v>
      </c>
      <c r="E15" s="171">
        <v>1</v>
      </c>
      <c r="F15" s="1058">
        <v>1.1390096127985521</v>
      </c>
      <c r="G15" s="1058">
        <v>0.96861777050146836</v>
      </c>
      <c r="H15" s="1058">
        <v>0.82552540585640544</v>
      </c>
      <c r="I15" s="1058">
        <v>0.71863465686521499</v>
      </c>
      <c r="J15" s="1058">
        <v>0.61898276943157404</v>
      </c>
      <c r="K15" s="1058">
        <v>0.55047395841657665</v>
      </c>
      <c r="L15" s="1059">
        <v>0.54340313381605065</v>
      </c>
      <c r="M15" s="1059">
        <v>0.46212260981005998</v>
      </c>
      <c r="N15" s="1059">
        <v>0.41596473689865016</v>
      </c>
      <c r="O15" s="1059">
        <v>0.3821133040285366</v>
      </c>
      <c r="P15" s="1059">
        <v>0.32319889145889746</v>
      </c>
      <c r="Q15" s="1059">
        <v>0.26024409043586127</v>
      </c>
      <c r="R15" s="1059">
        <v>0.20269442943387003</v>
      </c>
      <c r="S15" s="1059">
        <v>0.16607109568657488</v>
      </c>
      <c r="T15" s="1059">
        <v>0.15144535870331849</v>
      </c>
      <c r="U15" s="1059">
        <v>0</v>
      </c>
      <c r="V15" s="1059">
        <v>0</v>
      </c>
      <c r="W15" s="1059">
        <v>0</v>
      </c>
      <c r="X15" s="1059">
        <v>0</v>
      </c>
      <c r="Y15" s="1059">
        <v>0</v>
      </c>
      <c r="Z15" s="1059">
        <v>0</v>
      </c>
      <c r="AA15" s="1059">
        <v>0</v>
      </c>
      <c r="AB15" s="1059">
        <v>0</v>
      </c>
      <c r="AC15" s="1059">
        <v>0</v>
      </c>
      <c r="AD15" s="1059">
        <v>0</v>
      </c>
      <c r="AE15" s="1059">
        <v>0</v>
      </c>
      <c r="AF15" s="1059">
        <v>0</v>
      </c>
      <c r="AG15" s="1059">
        <v>0</v>
      </c>
      <c r="AH15" s="1059">
        <v>0</v>
      </c>
      <c r="AI15" s="1059">
        <v>0</v>
      </c>
      <c r="AJ15" s="1059">
        <v>0</v>
      </c>
      <c r="AK15" s="1059">
        <v>0</v>
      </c>
      <c r="AL15" s="1059">
        <v>0</v>
      </c>
      <c r="AM15" s="1059">
        <v>0</v>
      </c>
      <c r="AN15" s="1059">
        <v>0</v>
      </c>
      <c r="AO15" s="1059">
        <v>0</v>
      </c>
      <c r="AP15" s="1059">
        <v>0</v>
      </c>
      <c r="AQ15" s="1059">
        <v>0</v>
      </c>
      <c r="AR15" s="1059">
        <v>0</v>
      </c>
      <c r="AS15" s="1059">
        <v>0</v>
      </c>
      <c r="AT15" s="1059">
        <v>0</v>
      </c>
      <c r="AU15" s="1059">
        <v>0</v>
      </c>
      <c r="AV15" s="1059">
        <v>0</v>
      </c>
      <c r="AW15" s="1059">
        <v>0</v>
      </c>
      <c r="AX15" s="1059">
        <v>0</v>
      </c>
      <c r="AY15" s="1059">
        <v>0</v>
      </c>
      <c r="AZ15" s="1059">
        <v>0</v>
      </c>
      <c r="BA15" s="1059">
        <v>0</v>
      </c>
    </row>
    <row r="16" spans="2:53" x14ac:dyDescent="0.25">
      <c r="B16" s="430" t="s">
        <v>1096</v>
      </c>
      <c r="C16" s="171" t="s">
        <v>1525</v>
      </c>
      <c r="D16" s="581">
        <f>AVERAGE(F16:T16)</f>
        <v>0.51523345494277406</v>
      </c>
      <c r="E16" s="171">
        <v>2</v>
      </c>
      <c r="F16" s="1058">
        <v>1.1390096127985521</v>
      </c>
      <c r="G16" s="1058">
        <v>0.96861777050146836</v>
      </c>
      <c r="H16" s="1058">
        <v>0.82552540585640544</v>
      </c>
      <c r="I16" s="1058">
        <v>0.71863465686521499</v>
      </c>
      <c r="J16" s="1058">
        <v>0.61898276943157404</v>
      </c>
      <c r="K16" s="1058">
        <v>0.55047395841657665</v>
      </c>
      <c r="L16" s="1059">
        <v>0.54340313381605065</v>
      </c>
      <c r="M16" s="1059">
        <v>0.46212260981005998</v>
      </c>
      <c r="N16" s="1059">
        <v>0.41596473689865016</v>
      </c>
      <c r="O16" s="1059">
        <v>0.3821133040285366</v>
      </c>
      <c r="P16" s="1059">
        <v>0.32319889145889746</v>
      </c>
      <c r="Q16" s="1059">
        <v>0.26024409043586127</v>
      </c>
      <c r="R16" s="1059">
        <v>0.20269442943387003</v>
      </c>
      <c r="S16" s="1059">
        <v>0.16607109568657488</v>
      </c>
      <c r="T16" s="1059">
        <v>0.15144535870331849</v>
      </c>
      <c r="U16" s="1059">
        <v>0</v>
      </c>
      <c r="V16" s="1059">
        <v>0</v>
      </c>
      <c r="W16" s="1059">
        <v>0</v>
      </c>
      <c r="X16" s="1059">
        <v>0</v>
      </c>
      <c r="Y16" s="1059">
        <v>0</v>
      </c>
      <c r="Z16" s="1059">
        <v>0</v>
      </c>
      <c r="AA16" s="1059">
        <v>0</v>
      </c>
      <c r="AB16" s="1059">
        <v>0</v>
      </c>
      <c r="AC16" s="1059">
        <v>0</v>
      </c>
      <c r="AD16" s="1059">
        <v>0</v>
      </c>
      <c r="AE16" s="1059">
        <v>0</v>
      </c>
      <c r="AF16" s="1059">
        <v>0</v>
      </c>
      <c r="AG16" s="1059">
        <v>0</v>
      </c>
      <c r="AH16" s="1059">
        <v>0</v>
      </c>
      <c r="AI16" s="1059">
        <v>0</v>
      </c>
      <c r="AJ16" s="1059">
        <v>0</v>
      </c>
      <c r="AK16" s="1059">
        <v>0</v>
      </c>
      <c r="AL16" s="1059">
        <v>0</v>
      </c>
      <c r="AM16" s="1059">
        <v>0</v>
      </c>
      <c r="AN16" s="1059">
        <v>0</v>
      </c>
      <c r="AO16" s="1059">
        <v>0</v>
      </c>
      <c r="AP16" s="1059">
        <v>0</v>
      </c>
      <c r="AQ16" s="1059">
        <v>0</v>
      </c>
      <c r="AR16" s="1059">
        <v>0</v>
      </c>
      <c r="AS16" s="1059">
        <v>0</v>
      </c>
      <c r="AT16" s="1059">
        <v>0</v>
      </c>
      <c r="AU16" s="1059">
        <v>0</v>
      </c>
      <c r="AV16" s="1059">
        <v>0</v>
      </c>
      <c r="AW16" s="1059">
        <v>0</v>
      </c>
      <c r="AX16" s="1059">
        <v>0</v>
      </c>
      <c r="AY16" s="1059">
        <v>0</v>
      </c>
      <c r="AZ16" s="1059">
        <v>0</v>
      </c>
      <c r="BA16" s="1059">
        <v>0</v>
      </c>
    </row>
    <row r="17" spans="1:53" x14ac:dyDescent="0.25">
      <c r="B17" s="430" t="s">
        <v>1203</v>
      </c>
      <c r="C17" s="171" t="s">
        <v>1525</v>
      </c>
      <c r="D17" s="581">
        <f>AVERAGE(F17:T17)</f>
        <v>0.49480474951484749</v>
      </c>
      <c r="E17" s="171">
        <v>3</v>
      </c>
      <c r="F17" s="1058">
        <v>1.1390096127985521</v>
      </c>
      <c r="G17" s="1058">
        <v>0.96861777050146836</v>
      </c>
      <c r="H17" s="1058">
        <v>0.82552540585640544</v>
      </c>
      <c r="I17" s="1058">
        <v>0.71863465686521499</v>
      </c>
      <c r="J17" s="1058">
        <v>0.61898276943157404</v>
      </c>
      <c r="K17" s="1058">
        <v>0.55047395841657665</v>
      </c>
      <c r="L17" s="1058">
        <v>0.48037254563157705</v>
      </c>
      <c r="M17" s="1058">
        <v>0.40029321163552711</v>
      </c>
      <c r="N17" s="1058">
        <v>0.35481747477699527</v>
      </c>
      <c r="O17" s="1058">
        <v>0.32146630938772086</v>
      </c>
      <c r="P17" s="1058">
        <v>0.26342255316147539</v>
      </c>
      <c r="Q17" s="1059">
        <v>0.26024409043586127</v>
      </c>
      <c r="R17" s="1059">
        <v>0.20269442943387003</v>
      </c>
      <c r="S17" s="1059">
        <v>0.16607109568657488</v>
      </c>
      <c r="T17" s="1059">
        <v>0.15144535870331849</v>
      </c>
      <c r="U17" s="1059">
        <v>0</v>
      </c>
      <c r="V17" s="1059">
        <v>0</v>
      </c>
      <c r="W17" s="1059">
        <v>0</v>
      </c>
      <c r="X17" s="1059">
        <v>0</v>
      </c>
      <c r="Y17" s="1059">
        <v>0</v>
      </c>
      <c r="Z17" s="1059">
        <v>0</v>
      </c>
      <c r="AA17" s="1059">
        <v>0</v>
      </c>
      <c r="AB17" s="1059">
        <v>0</v>
      </c>
      <c r="AC17" s="1059">
        <v>0</v>
      </c>
      <c r="AD17" s="1059">
        <v>0</v>
      </c>
      <c r="AE17" s="1059">
        <v>0</v>
      </c>
      <c r="AF17" s="1059">
        <v>0</v>
      </c>
      <c r="AG17" s="1059">
        <v>0</v>
      </c>
      <c r="AH17" s="1059">
        <v>0</v>
      </c>
      <c r="AI17" s="1059">
        <v>0</v>
      </c>
      <c r="AJ17" s="1059">
        <v>0</v>
      </c>
      <c r="AK17" s="1059">
        <v>0</v>
      </c>
      <c r="AL17" s="1059">
        <v>0</v>
      </c>
      <c r="AM17" s="1059">
        <v>0</v>
      </c>
      <c r="AN17" s="1059">
        <v>0</v>
      </c>
      <c r="AO17" s="1059">
        <v>0</v>
      </c>
      <c r="AP17" s="1059">
        <v>0</v>
      </c>
      <c r="AQ17" s="1059">
        <v>0</v>
      </c>
      <c r="AR17" s="1059">
        <v>0</v>
      </c>
      <c r="AS17" s="1059">
        <v>0</v>
      </c>
      <c r="AT17" s="1059">
        <v>0</v>
      </c>
      <c r="AU17" s="1059">
        <v>0</v>
      </c>
      <c r="AV17" s="1059">
        <v>0</v>
      </c>
      <c r="AW17" s="1059">
        <v>0</v>
      </c>
      <c r="AX17" s="1059">
        <v>0</v>
      </c>
      <c r="AY17" s="1059">
        <v>0</v>
      </c>
      <c r="AZ17" s="1059">
        <v>0</v>
      </c>
      <c r="BA17" s="1059">
        <v>0</v>
      </c>
    </row>
    <row r="18" spans="1:53" s="1143" customFormat="1" x14ac:dyDescent="0.25">
      <c r="B18" s="430" t="s">
        <v>1093</v>
      </c>
      <c r="C18" s="1143" t="s">
        <v>1525</v>
      </c>
      <c r="D18" s="581">
        <f t="shared" ref="D18:D23" si="9">AVERAGE(F18:T18)</f>
        <v>0.29737094299999989</v>
      </c>
      <c r="E18" s="604">
        <v>4</v>
      </c>
      <c r="F18" s="1058">
        <f>Parameters!$N$70/10^9</f>
        <v>0.297370943</v>
      </c>
      <c r="G18" s="1058">
        <f>Parameters!$N$70/10^9</f>
        <v>0.297370943</v>
      </c>
      <c r="H18" s="1058">
        <f>Parameters!$N$70/10^9</f>
        <v>0.297370943</v>
      </c>
      <c r="I18" s="1058">
        <f>Parameters!$N$70/10^9</f>
        <v>0.297370943</v>
      </c>
      <c r="J18" s="1058">
        <f>Parameters!$N$70/10^9</f>
        <v>0.297370943</v>
      </c>
      <c r="K18" s="1058">
        <f>Parameters!$N$70/10^9</f>
        <v>0.297370943</v>
      </c>
      <c r="L18" s="1058">
        <f>Parameters!$N$70/10^9</f>
        <v>0.297370943</v>
      </c>
      <c r="M18" s="1058">
        <f>Parameters!$N$70/10^9</f>
        <v>0.297370943</v>
      </c>
      <c r="N18" s="1058">
        <f>Parameters!$N$70/10^9</f>
        <v>0.297370943</v>
      </c>
      <c r="O18" s="1058">
        <f>Parameters!$N$70/10^9</f>
        <v>0.297370943</v>
      </c>
      <c r="P18" s="1058">
        <f>Parameters!$N$70/10^9</f>
        <v>0.297370943</v>
      </c>
      <c r="Q18" s="1058">
        <f>Parameters!$N$70/10^9</f>
        <v>0.297370943</v>
      </c>
      <c r="R18" s="1058">
        <f>Parameters!$N$70/10^9</f>
        <v>0.297370943</v>
      </c>
      <c r="S18" s="1058">
        <f>Parameters!$N$70/10^9</f>
        <v>0.297370943</v>
      </c>
      <c r="T18" s="1058">
        <f>Parameters!$N$70/10^9</f>
        <v>0.297370943</v>
      </c>
      <c r="U18" s="1058">
        <f>Parameters!$N$70/10^9</f>
        <v>0.297370943</v>
      </c>
      <c r="V18" s="1058">
        <f>Parameters!$N$70/10^9</f>
        <v>0.297370943</v>
      </c>
      <c r="W18" s="1058">
        <f>Parameters!$N$70/10^9</f>
        <v>0.297370943</v>
      </c>
      <c r="X18" s="1058">
        <f>Parameters!$N$70/10^9</f>
        <v>0.297370943</v>
      </c>
      <c r="Y18" s="1058">
        <f>Parameters!$N$70/10^9</f>
        <v>0.297370943</v>
      </c>
      <c r="Z18" s="1058">
        <f>Parameters!$N$70/10^9</f>
        <v>0.297370943</v>
      </c>
      <c r="AA18" s="1058">
        <f>Parameters!$N$70/10^9</f>
        <v>0.297370943</v>
      </c>
      <c r="AB18" s="1058">
        <f>Parameters!$N$70/10^9</f>
        <v>0.297370943</v>
      </c>
      <c r="AC18" s="1058">
        <f>Parameters!$N$70/10^9</f>
        <v>0.297370943</v>
      </c>
      <c r="AD18" s="1058">
        <f>Parameters!$N$70/10^9</f>
        <v>0.297370943</v>
      </c>
      <c r="AE18" s="1058">
        <f>Parameters!$N$70/10^9</f>
        <v>0.297370943</v>
      </c>
      <c r="AF18" s="1058">
        <f>Parameters!$N$70/10^9</f>
        <v>0.297370943</v>
      </c>
      <c r="AG18" s="1058">
        <f>Parameters!$N$70/10^9</f>
        <v>0.297370943</v>
      </c>
      <c r="AH18" s="1058">
        <f>Parameters!$N$70/10^9</f>
        <v>0.297370943</v>
      </c>
      <c r="AI18" s="1058">
        <f>Parameters!$N$70/10^9</f>
        <v>0.297370943</v>
      </c>
      <c r="AJ18" s="1058">
        <f>Parameters!$N$70/10^9</f>
        <v>0.297370943</v>
      </c>
      <c r="AK18" s="1058">
        <f>Parameters!$N$70/10^9</f>
        <v>0.297370943</v>
      </c>
      <c r="AL18" s="1058">
        <f>Parameters!$N$70/10^9</f>
        <v>0.297370943</v>
      </c>
      <c r="AM18" s="1058">
        <f>Parameters!$N$70/10^9</f>
        <v>0.297370943</v>
      </c>
      <c r="AN18" s="1058">
        <f>Parameters!$N$70/10^9</f>
        <v>0.297370943</v>
      </c>
      <c r="AO18" s="1058">
        <f>Parameters!$N$70/10^9</f>
        <v>0.297370943</v>
      </c>
      <c r="AP18" s="1058">
        <f>Parameters!$N$70/10^9</f>
        <v>0.297370943</v>
      </c>
      <c r="AQ18" s="1058">
        <f>Parameters!$N$70/10^9</f>
        <v>0.297370943</v>
      </c>
      <c r="AR18" s="1058">
        <f>Parameters!$N$70/10^9</f>
        <v>0.297370943</v>
      </c>
      <c r="AS18" s="1058">
        <f>Parameters!$N$70/10^9</f>
        <v>0.297370943</v>
      </c>
      <c r="AT18" s="1058">
        <f>Parameters!$N$70/10^9</f>
        <v>0.297370943</v>
      </c>
      <c r="AU18" s="1058">
        <f>Parameters!$N$70/10^9</f>
        <v>0.297370943</v>
      </c>
      <c r="AV18" s="1058">
        <f>Parameters!$N$70/10^9</f>
        <v>0.297370943</v>
      </c>
      <c r="AW18" s="1058">
        <f>Parameters!$N$70/10^9</f>
        <v>0.297370943</v>
      </c>
      <c r="AX18" s="1058">
        <f>Parameters!$N$70/10^9</f>
        <v>0.297370943</v>
      </c>
      <c r="AY18" s="1058">
        <f>Parameters!$N$70/10^9</f>
        <v>0.297370943</v>
      </c>
      <c r="AZ18" s="1058">
        <f>Parameters!$N$70/10^9</f>
        <v>0.297370943</v>
      </c>
      <c r="BA18" s="1058">
        <f>Parameters!$N$70/10^9</f>
        <v>0.297370943</v>
      </c>
    </row>
    <row r="19" spans="1:53" s="1143" customFormat="1" x14ac:dyDescent="0.25">
      <c r="B19" s="430" t="s">
        <v>1094</v>
      </c>
      <c r="C19" s="1143" t="s">
        <v>1525</v>
      </c>
      <c r="D19" s="581">
        <f t="shared" si="9"/>
        <v>0.29737094299999989</v>
      </c>
      <c r="E19" s="604">
        <v>5</v>
      </c>
      <c r="F19" s="1058">
        <f>Parameters!$O$70/10^9</f>
        <v>0.297370943</v>
      </c>
      <c r="G19" s="1058">
        <f>Parameters!$O$70/10^9</f>
        <v>0.297370943</v>
      </c>
      <c r="H19" s="1058">
        <f>Parameters!$O$70/10^9</f>
        <v>0.297370943</v>
      </c>
      <c r="I19" s="1058">
        <f>Parameters!$O$70/10^9</f>
        <v>0.297370943</v>
      </c>
      <c r="J19" s="1058">
        <f>Parameters!$O$70/10^9</f>
        <v>0.297370943</v>
      </c>
      <c r="K19" s="1058">
        <f>Parameters!$O$70/10^9</f>
        <v>0.297370943</v>
      </c>
      <c r="L19" s="1058">
        <f>Parameters!$O$70/10^9</f>
        <v>0.297370943</v>
      </c>
      <c r="M19" s="1058">
        <f>Parameters!$O$70/10^9</f>
        <v>0.297370943</v>
      </c>
      <c r="N19" s="1058">
        <f>Parameters!$O$70/10^9</f>
        <v>0.297370943</v>
      </c>
      <c r="O19" s="1058">
        <f>Parameters!$O$70/10^9</f>
        <v>0.297370943</v>
      </c>
      <c r="P19" s="1058">
        <f>Parameters!$O$70/10^9</f>
        <v>0.297370943</v>
      </c>
      <c r="Q19" s="1058">
        <f>Parameters!$O$70/10^9</f>
        <v>0.297370943</v>
      </c>
      <c r="R19" s="1058">
        <f>Parameters!$O$70/10^9</f>
        <v>0.297370943</v>
      </c>
      <c r="S19" s="1058">
        <f>Parameters!$O$70/10^9</f>
        <v>0.297370943</v>
      </c>
      <c r="T19" s="1058">
        <f>Parameters!$O$70/10^9</f>
        <v>0.297370943</v>
      </c>
      <c r="U19" s="1058">
        <f>Parameters!$O$70/10^9</f>
        <v>0.297370943</v>
      </c>
      <c r="V19" s="1058">
        <f>Parameters!$O$70/10^9</f>
        <v>0.297370943</v>
      </c>
      <c r="W19" s="1058">
        <f>Parameters!$O$70/10^9</f>
        <v>0.297370943</v>
      </c>
      <c r="X19" s="1058">
        <f>Parameters!$O$70/10^9</f>
        <v>0.297370943</v>
      </c>
      <c r="Y19" s="1058">
        <f>Parameters!$O$70/10^9</f>
        <v>0.297370943</v>
      </c>
      <c r="Z19" s="1058">
        <f>Parameters!$O$70/10^9</f>
        <v>0.297370943</v>
      </c>
      <c r="AA19" s="1058">
        <f>Parameters!$O$70/10^9</f>
        <v>0.297370943</v>
      </c>
      <c r="AB19" s="1058">
        <f>Parameters!$O$70/10^9</f>
        <v>0.297370943</v>
      </c>
      <c r="AC19" s="1058">
        <f>Parameters!$O$70/10^9</f>
        <v>0.297370943</v>
      </c>
      <c r="AD19" s="1058">
        <f>Parameters!$O$70/10^9</f>
        <v>0.297370943</v>
      </c>
      <c r="AE19" s="1058">
        <f>Parameters!$O$70/10^9</f>
        <v>0.297370943</v>
      </c>
      <c r="AF19" s="1058">
        <f>Parameters!$O$70/10^9</f>
        <v>0.297370943</v>
      </c>
      <c r="AG19" s="1058">
        <f>Parameters!$O$70/10^9</f>
        <v>0.297370943</v>
      </c>
      <c r="AH19" s="1058">
        <f>Parameters!$O$70/10^9</f>
        <v>0.297370943</v>
      </c>
      <c r="AI19" s="1058">
        <f>Parameters!$O$70/10^9</f>
        <v>0.297370943</v>
      </c>
      <c r="AJ19" s="1058">
        <f>Parameters!$O$70/10^9</f>
        <v>0.297370943</v>
      </c>
      <c r="AK19" s="1058">
        <f>Parameters!$O$70/10^9</f>
        <v>0.297370943</v>
      </c>
      <c r="AL19" s="1058">
        <f>Parameters!$O$70/10^9</f>
        <v>0.297370943</v>
      </c>
      <c r="AM19" s="1058">
        <f>Parameters!$O$70/10^9</f>
        <v>0.297370943</v>
      </c>
      <c r="AN19" s="1058">
        <f>Parameters!$O$70/10^9</f>
        <v>0.297370943</v>
      </c>
      <c r="AO19" s="1058">
        <f>Parameters!$O$70/10^9</f>
        <v>0.297370943</v>
      </c>
      <c r="AP19" s="1058">
        <f>Parameters!$O$70/10^9</f>
        <v>0.297370943</v>
      </c>
      <c r="AQ19" s="1058">
        <f>Parameters!$O$70/10^9</f>
        <v>0.297370943</v>
      </c>
      <c r="AR19" s="1058">
        <f>Parameters!$O$70/10^9</f>
        <v>0.297370943</v>
      </c>
      <c r="AS19" s="1058">
        <f>Parameters!$O$70/10^9</f>
        <v>0.297370943</v>
      </c>
      <c r="AT19" s="1058">
        <f>Parameters!$O$70/10^9</f>
        <v>0.297370943</v>
      </c>
      <c r="AU19" s="1058">
        <f>Parameters!$O$70/10^9</f>
        <v>0.297370943</v>
      </c>
      <c r="AV19" s="1058">
        <f>Parameters!$O$70/10^9</f>
        <v>0.297370943</v>
      </c>
      <c r="AW19" s="1058">
        <f>Parameters!$O$70/10^9</f>
        <v>0.297370943</v>
      </c>
      <c r="AX19" s="1058">
        <f>Parameters!$O$70/10^9</f>
        <v>0.297370943</v>
      </c>
      <c r="AY19" s="1058">
        <f>Parameters!$O$70/10^9</f>
        <v>0.297370943</v>
      </c>
      <c r="AZ19" s="1058">
        <f>Parameters!$O$70/10^9</f>
        <v>0.297370943</v>
      </c>
      <c r="BA19" s="1058">
        <f>Parameters!$O$70/10^9</f>
        <v>0.297370943</v>
      </c>
    </row>
    <row r="20" spans="1:53" s="1143" customFormat="1" x14ac:dyDescent="0.25">
      <c r="B20" s="430" t="s">
        <v>1205</v>
      </c>
      <c r="C20" s="1143" t="s">
        <v>1525</v>
      </c>
      <c r="D20" s="581" t="e">
        <f t="shared" si="9"/>
        <v>#REF!</v>
      </c>
      <c r="E20" s="604">
        <v>6</v>
      </c>
      <c r="F20" s="1058" t="e">
        <f>Parameters!#REF!/10^9</f>
        <v>#REF!</v>
      </c>
      <c r="G20" s="1058" t="e">
        <f>Parameters!#REF!/10^9</f>
        <v>#REF!</v>
      </c>
      <c r="H20" s="1058" t="e">
        <f>Parameters!#REF!/10^9</f>
        <v>#REF!</v>
      </c>
      <c r="I20" s="1058" t="e">
        <f>Parameters!#REF!/10^9</f>
        <v>#REF!</v>
      </c>
      <c r="J20" s="1058" t="e">
        <f>Parameters!#REF!/10^9</f>
        <v>#REF!</v>
      </c>
      <c r="K20" s="1058" t="e">
        <f>Parameters!#REF!/10^9</f>
        <v>#REF!</v>
      </c>
      <c r="L20" s="1058" t="e">
        <f>Parameters!#REF!/10^9</f>
        <v>#REF!</v>
      </c>
      <c r="M20" s="1058" t="e">
        <f>Parameters!#REF!/10^9</f>
        <v>#REF!</v>
      </c>
      <c r="N20" s="1058" t="e">
        <f>Parameters!#REF!/10^9</f>
        <v>#REF!</v>
      </c>
      <c r="O20" s="1058" t="e">
        <f>Parameters!#REF!/10^9</f>
        <v>#REF!</v>
      </c>
      <c r="P20" s="1058" t="e">
        <f>Parameters!#REF!/10^9</f>
        <v>#REF!</v>
      </c>
      <c r="Q20" s="1058" t="e">
        <f>Parameters!#REF!/10^9</f>
        <v>#REF!</v>
      </c>
      <c r="R20" s="1058" t="e">
        <f>Parameters!#REF!/10^9</f>
        <v>#REF!</v>
      </c>
      <c r="S20" s="1058" t="e">
        <f>Parameters!#REF!/10^9</f>
        <v>#REF!</v>
      </c>
      <c r="T20" s="1058" t="e">
        <f>Parameters!#REF!/10^9</f>
        <v>#REF!</v>
      </c>
      <c r="U20" s="1058" t="e">
        <f>Parameters!#REF!/10^9</f>
        <v>#REF!</v>
      </c>
      <c r="V20" s="1058" t="e">
        <f>Parameters!#REF!/10^9</f>
        <v>#REF!</v>
      </c>
      <c r="W20" s="1058" t="e">
        <f>Parameters!#REF!/10^9</f>
        <v>#REF!</v>
      </c>
      <c r="X20" s="1058" t="e">
        <f>Parameters!#REF!/10^9</f>
        <v>#REF!</v>
      </c>
      <c r="Y20" s="1058" t="e">
        <f>Parameters!#REF!/10^9</f>
        <v>#REF!</v>
      </c>
      <c r="Z20" s="1058" t="e">
        <f>Parameters!#REF!/10^9</f>
        <v>#REF!</v>
      </c>
      <c r="AA20" s="1058" t="e">
        <f>Parameters!#REF!/10^9</f>
        <v>#REF!</v>
      </c>
      <c r="AB20" s="1058" t="e">
        <f>Parameters!#REF!/10^9</f>
        <v>#REF!</v>
      </c>
      <c r="AC20" s="1058" t="e">
        <f>Parameters!#REF!/10^9</f>
        <v>#REF!</v>
      </c>
      <c r="AD20" s="1058" t="e">
        <f>Parameters!#REF!/10^9</f>
        <v>#REF!</v>
      </c>
      <c r="AE20" s="1058" t="e">
        <f>Parameters!#REF!/10^9</f>
        <v>#REF!</v>
      </c>
      <c r="AF20" s="1058" t="e">
        <f>Parameters!#REF!/10^9</f>
        <v>#REF!</v>
      </c>
      <c r="AG20" s="1058" t="e">
        <f>Parameters!#REF!/10^9</f>
        <v>#REF!</v>
      </c>
      <c r="AH20" s="1058" t="e">
        <f>Parameters!#REF!/10^9</f>
        <v>#REF!</v>
      </c>
      <c r="AI20" s="1058" t="e">
        <f>Parameters!#REF!/10^9</f>
        <v>#REF!</v>
      </c>
      <c r="AJ20" s="1058" t="e">
        <f>Parameters!#REF!/10^9</f>
        <v>#REF!</v>
      </c>
      <c r="AK20" s="1058" t="e">
        <f>Parameters!#REF!/10^9</f>
        <v>#REF!</v>
      </c>
      <c r="AL20" s="1058" t="e">
        <f>Parameters!#REF!/10^9</f>
        <v>#REF!</v>
      </c>
      <c r="AM20" s="1058" t="e">
        <f>Parameters!#REF!/10^9</f>
        <v>#REF!</v>
      </c>
      <c r="AN20" s="1058" t="e">
        <f>Parameters!#REF!/10^9</f>
        <v>#REF!</v>
      </c>
      <c r="AO20" s="1058" t="e">
        <f>Parameters!#REF!/10^9</f>
        <v>#REF!</v>
      </c>
      <c r="AP20" s="1058" t="e">
        <f>Parameters!#REF!/10^9</f>
        <v>#REF!</v>
      </c>
      <c r="AQ20" s="1058" t="e">
        <f>Parameters!#REF!/10^9</f>
        <v>#REF!</v>
      </c>
      <c r="AR20" s="1058" t="e">
        <f>Parameters!#REF!/10^9</f>
        <v>#REF!</v>
      </c>
      <c r="AS20" s="1058" t="e">
        <f>Parameters!#REF!/10^9</f>
        <v>#REF!</v>
      </c>
      <c r="AT20" s="1058" t="e">
        <f>Parameters!#REF!/10^9</f>
        <v>#REF!</v>
      </c>
      <c r="AU20" s="1058" t="e">
        <f>Parameters!#REF!/10^9</f>
        <v>#REF!</v>
      </c>
      <c r="AV20" s="1058" t="e">
        <f>Parameters!#REF!/10^9</f>
        <v>#REF!</v>
      </c>
      <c r="AW20" s="1058" t="e">
        <f>Parameters!#REF!/10^9</f>
        <v>#REF!</v>
      </c>
      <c r="AX20" s="1058" t="e">
        <f>Parameters!#REF!/10^9</f>
        <v>#REF!</v>
      </c>
      <c r="AY20" s="1058" t="e">
        <f>Parameters!#REF!/10^9</f>
        <v>#REF!</v>
      </c>
      <c r="AZ20" s="1058" t="e">
        <f>Parameters!#REF!/10^9</f>
        <v>#REF!</v>
      </c>
      <c r="BA20" s="1058" t="e">
        <f>Parameters!#REF!/10^9</f>
        <v>#REF!</v>
      </c>
    </row>
    <row r="21" spans="1:53" s="1143" customFormat="1" x14ac:dyDescent="0.25">
      <c r="B21" s="430" t="s">
        <v>1091</v>
      </c>
      <c r="C21" s="1143" t="s">
        <v>1525</v>
      </c>
      <c r="D21" s="581">
        <f t="shared" si="9"/>
        <v>1.3140000000000001</v>
      </c>
      <c r="E21" s="604">
        <v>7</v>
      </c>
      <c r="F21" s="1058">
        <f>Parameters!$J$70/10^9</f>
        <v>1.3140000000000001</v>
      </c>
      <c r="G21" s="1058">
        <f>Parameters!$J$70/10^9</f>
        <v>1.3140000000000001</v>
      </c>
      <c r="H21" s="1058">
        <f>Parameters!$J$70/10^9</f>
        <v>1.3140000000000001</v>
      </c>
      <c r="I21" s="1058">
        <f>Parameters!$J$70/10^9</f>
        <v>1.3140000000000001</v>
      </c>
      <c r="J21" s="1058">
        <f>Parameters!$J$70/10^9</f>
        <v>1.3140000000000001</v>
      </c>
      <c r="K21" s="1058">
        <f>Parameters!$J$70/10^9</f>
        <v>1.3140000000000001</v>
      </c>
      <c r="L21" s="1058">
        <f>Parameters!$J$70/10^9</f>
        <v>1.3140000000000001</v>
      </c>
      <c r="M21" s="1058">
        <f>Parameters!$J$70/10^9</f>
        <v>1.3140000000000001</v>
      </c>
      <c r="N21" s="1058">
        <f>Parameters!$J$70/10^9</f>
        <v>1.3140000000000001</v>
      </c>
      <c r="O21" s="1058">
        <f>Parameters!$J$70/10^9</f>
        <v>1.3140000000000001</v>
      </c>
      <c r="P21" s="1058">
        <f>Parameters!$J$70/10^9</f>
        <v>1.3140000000000001</v>
      </c>
      <c r="Q21" s="1058">
        <f>Parameters!$J$70/10^9</f>
        <v>1.3140000000000001</v>
      </c>
      <c r="R21" s="1058">
        <f>Parameters!$J$70/10^9</f>
        <v>1.3140000000000001</v>
      </c>
      <c r="S21" s="1058">
        <f>Parameters!$J$70/10^9</f>
        <v>1.3140000000000001</v>
      </c>
      <c r="T21" s="1058">
        <f>Parameters!$J$70/10^9</f>
        <v>1.3140000000000001</v>
      </c>
      <c r="U21" s="1058">
        <f>Parameters!$J$70/10^9</f>
        <v>1.3140000000000001</v>
      </c>
      <c r="V21" s="1058">
        <f>Parameters!$J$70/10^9</f>
        <v>1.3140000000000001</v>
      </c>
      <c r="W21" s="1058">
        <f>Parameters!$J$70/10^9</f>
        <v>1.3140000000000001</v>
      </c>
      <c r="X21" s="1058">
        <f>Parameters!$J$70/10^9</f>
        <v>1.3140000000000001</v>
      </c>
      <c r="Y21" s="1058">
        <f>Parameters!$J$70/10^9</f>
        <v>1.3140000000000001</v>
      </c>
      <c r="Z21" s="1058">
        <f>Parameters!$J$70/10^9</f>
        <v>1.3140000000000001</v>
      </c>
      <c r="AA21" s="1058">
        <f>Parameters!$J$70/10^9</f>
        <v>1.3140000000000001</v>
      </c>
      <c r="AB21" s="1058">
        <f>Parameters!$J$70/10^9</f>
        <v>1.3140000000000001</v>
      </c>
      <c r="AC21" s="1058">
        <f>Parameters!$J$70/10^9</f>
        <v>1.3140000000000001</v>
      </c>
      <c r="AD21" s="1058">
        <f>Parameters!$J$70/10^9</f>
        <v>1.3140000000000001</v>
      </c>
      <c r="AE21" s="1058">
        <f>Parameters!$J$70/10^9</f>
        <v>1.3140000000000001</v>
      </c>
      <c r="AF21" s="1058">
        <f>Parameters!$J$70/10^9</f>
        <v>1.3140000000000001</v>
      </c>
      <c r="AG21" s="1058">
        <f>Parameters!$J$70/10^9</f>
        <v>1.3140000000000001</v>
      </c>
      <c r="AH21" s="1058">
        <f>Parameters!$J$70/10^9</f>
        <v>1.3140000000000001</v>
      </c>
      <c r="AI21" s="1058">
        <f>Parameters!$J$70/10^9</f>
        <v>1.3140000000000001</v>
      </c>
      <c r="AJ21" s="1058">
        <f>Parameters!$J$70/10^9</f>
        <v>1.3140000000000001</v>
      </c>
      <c r="AK21" s="1058">
        <f>Parameters!$J$70/10^9</f>
        <v>1.3140000000000001</v>
      </c>
      <c r="AL21" s="1058">
        <f>Parameters!$J$70/10^9</f>
        <v>1.3140000000000001</v>
      </c>
      <c r="AM21" s="1058">
        <f>Parameters!$J$70/10^9</f>
        <v>1.3140000000000001</v>
      </c>
      <c r="AN21" s="1058">
        <f>Parameters!$J$70/10^9</f>
        <v>1.3140000000000001</v>
      </c>
      <c r="AO21" s="1058">
        <f>Parameters!$J$70/10^9</f>
        <v>1.3140000000000001</v>
      </c>
      <c r="AP21" s="1058">
        <f>Parameters!$J$70/10^9</f>
        <v>1.3140000000000001</v>
      </c>
      <c r="AQ21" s="1058">
        <f>Parameters!$J$70/10^9</f>
        <v>1.3140000000000001</v>
      </c>
      <c r="AR21" s="1058">
        <f>Parameters!$J$70/10^9</f>
        <v>1.3140000000000001</v>
      </c>
      <c r="AS21" s="1058">
        <f>Parameters!$J$70/10^9</f>
        <v>1.3140000000000001</v>
      </c>
      <c r="AT21" s="1058">
        <f>Parameters!$J$70/10^9</f>
        <v>1.3140000000000001</v>
      </c>
      <c r="AU21" s="1058">
        <f>Parameters!$J$70/10^9</f>
        <v>1.3140000000000001</v>
      </c>
      <c r="AV21" s="1058">
        <f>Parameters!$J$70/10^9</f>
        <v>1.3140000000000001</v>
      </c>
      <c r="AW21" s="1058">
        <f>Parameters!$J$70/10^9</f>
        <v>1.3140000000000001</v>
      </c>
      <c r="AX21" s="1058">
        <f>Parameters!$J$70/10^9</f>
        <v>1.3140000000000001</v>
      </c>
      <c r="AY21" s="1058">
        <f>Parameters!$J$70/10^9</f>
        <v>1.3140000000000001</v>
      </c>
      <c r="AZ21" s="1058">
        <f>Parameters!$J$70/10^9</f>
        <v>1.3140000000000001</v>
      </c>
      <c r="BA21" s="1058">
        <f>Parameters!$J$70/10^9</f>
        <v>1.3140000000000001</v>
      </c>
    </row>
    <row r="22" spans="1:53" s="1143" customFormat="1" x14ac:dyDescent="0.25">
      <c r="B22" s="430" t="s">
        <v>1092</v>
      </c>
      <c r="C22" s="1143" t="s">
        <v>1525</v>
      </c>
      <c r="D22" s="581">
        <f t="shared" si="9"/>
        <v>1.3140000000000001</v>
      </c>
      <c r="E22" s="604">
        <v>8</v>
      </c>
      <c r="F22" s="1058">
        <f>Parameters!$K$70/10^9</f>
        <v>1.3140000000000001</v>
      </c>
      <c r="G22" s="1058">
        <f>Parameters!$K$70/10^9</f>
        <v>1.3140000000000001</v>
      </c>
      <c r="H22" s="1058">
        <f>Parameters!$K$70/10^9</f>
        <v>1.3140000000000001</v>
      </c>
      <c r="I22" s="1058">
        <f>Parameters!$K$70/10^9</f>
        <v>1.3140000000000001</v>
      </c>
      <c r="J22" s="1058">
        <f>Parameters!$K$70/10^9</f>
        <v>1.3140000000000001</v>
      </c>
      <c r="K22" s="1058">
        <f>Parameters!$K$70/10^9</f>
        <v>1.3140000000000001</v>
      </c>
      <c r="L22" s="1058">
        <f>Parameters!$K$70/10^9</f>
        <v>1.3140000000000001</v>
      </c>
      <c r="M22" s="1058">
        <f>Parameters!$K$70/10^9</f>
        <v>1.3140000000000001</v>
      </c>
      <c r="N22" s="1058">
        <f>Parameters!$K$70/10^9</f>
        <v>1.3140000000000001</v>
      </c>
      <c r="O22" s="1058">
        <f>Parameters!$K$70/10^9</f>
        <v>1.3140000000000001</v>
      </c>
      <c r="P22" s="1058">
        <f>Parameters!$K$70/10^9</f>
        <v>1.3140000000000001</v>
      </c>
      <c r="Q22" s="1058">
        <f>Parameters!$K$70/10^9</f>
        <v>1.3140000000000001</v>
      </c>
      <c r="R22" s="1058">
        <f>Parameters!$K$70/10^9</f>
        <v>1.3140000000000001</v>
      </c>
      <c r="S22" s="1058">
        <f>Parameters!$K$70/10^9</f>
        <v>1.3140000000000001</v>
      </c>
      <c r="T22" s="1058">
        <f>Parameters!$K$70/10^9</f>
        <v>1.3140000000000001</v>
      </c>
      <c r="U22" s="1058">
        <f>Parameters!$K$70/10^9</f>
        <v>1.3140000000000001</v>
      </c>
      <c r="V22" s="1058">
        <f>Parameters!$K$70/10^9</f>
        <v>1.3140000000000001</v>
      </c>
      <c r="W22" s="1058">
        <f>Parameters!$K$70/10^9</f>
        <v>1.3140000000000001</v>
      </c>
      <c r="X22" s="1058">
        <f>Parameters!$K$70/10^9</f>
        <v>1.3140000000000001</v>
      </c>
      <c r="Y22" s="1058">
        <f>Parameters!$K$70/10^9</f>
        <v>1.3140000000000001</v>
      </c>
      <c r="Z22" s="1058">
        <f>Parameters!$K$70/10^9</f>
        <v>1.3140000000000001</v>
      </c>
      <c r="AA22" s="1058">
        <f>Parameters!$K$70/10^9</f>
        <v>1.3140000000000001</v>
      </c>
      <c r="AB22" s="1058">
        <f>Parameters!$K$70/10^9</f>
        <v>1.3140000000000001</v>
      </c>
      <c r="AC22" s="1058">
        <f>Parameters!$K$70/10^9</f>
        <v>1.3140000000000001</v>
      </c>
      <c r="AD22" s="1058">
        <f>Parameters!$K$70/10^9</f>
        <v>1.3140000000000001</v>
      </c>
      <c r="AE22" s="1058">
        <f>Parameters!$K$70/10^9</f>
        <v>1.3140000000000001</v>
      </c>
      <c r="AF22" s="1058">
        <f>Parameters!$K$70/10^9</f>
        <v>1.3140000000000001</v>
      </c>
      <c r="AG22" s="1058">
        <f>Parameters!$K$70/10^9</f>
        <v>1.3140000000000001</v>
      </c>
      <c r="AH22" s="1058">
        <f>Parameters!$K$70/10^9</f>
        <v>1.3140000000000001</v>
      </c>
      <c r="AI22" s="1058">
        <f>Parameters!$K$70/10^9</f>
        <v>1.3140000000000001</v>
      </c>
      <c r="AJ22" s="1058">
        <f>Parameters!$K$70/10^9</f>
        <v>1.3140000000000001</v>
      </c>
      <c r="AK22" s="1058">
        <f>Parameters!$K$70/10^9</f>
        <v>1.3140000000000001</v>
      </c>
      <c r="AL22" s="1058">
        <f>Parameters!$K$70/10^9</f>
        <v>1.3140000000000001</v>
      </c>
      <c r="AM22" s="1058">
        <f>Parameters!$K$70/10^9</f>
        <v>1.3140000000000001</v>
      </c>
      <c r="AN22" s="1058">
        <f>Parameters!$K$70/10^9</f>
        <v>1.3140000000000001</v>
      </c>
      <c r="AO22" s="1058">
        <f>Parameters!$K$70/10^9</f>
        <v>1.3140000000000001</v>
      </c>
      <c r="AP22" s="1058">
        <f>Parameters!$K$70/10^9</f>
        <v>1.3140000000000001</v>
      </c>
      <c r="AQ22" s="1058">
        <f>Parameters!$K$70/10^9</f>
        <v>1.3140000000000001</v>
      </c>
      <c r="AR22" s="1058">
        <f>Parameters!$K$70/10^9</f>
        <v>1.3140000000000001</v>
      </c>
      <c r="AS22" s="1058">
        <f>Parameters!$K$70/10^9</f>
        <v>1.3140000000000001</v>
      </c>
      <c r="AT22" s="1058">
        <f>Parameters!$K$70/10^9</f>
        <v>1.3140000000000001</v>
      </c>
      <c r="AU22" s="1058">
        <f>Parameters!$K$70/10^9</f>
        <v>1.3140000000000001</v>
      </c>
      <c r="AV22" s="1058">
        <f>Parameters!$K$70/10^9</f>
        <v>1.3140000000000001</v>
      </c>
      <c r="AW22" s="1058">
        <f>Parameters!$K$70/10^9</f>
        <v>1.3140000000000001</v>
      </c>
      <c r="AX22" s="1058">
        <f>Parameters!$K$70/10^9</f>
        <v>1.3140000000000001</v>
      </c>
      <c r="AY22" s="1058">
        <f>Parameters!$K$70/10^9</f>
        <v>1.3140000000000001</v>
      </c>
      <c r="AZ22" s="1058">
        <f>Parameters!$K$70/10^9</f>
        <v>1.3140000000000001</v>
      </c>
      <c r="BA22" s="1058">
        <f>Parameters!$K$70/10^9</f>
        <v>1.3140000000000001</v>
      </c>
    </row>
    <row r="23" spans="1:53" s="1143" customFormat="1" x14ac:dyDescent="0.25">
      <c r="B23" s="430" t="s">
        <v>1204</v>
      </c>
      <c r="C23" s="1143" t="s">
        <v>1525</v>
      </c>
      <c r="D23" s="581">
        <f t="shared" si="9"/>
        <v>1.3140000000000001</v>
      </c>
      <c r="E23" s="604">
        <v>9</v>
      </c>
      <c r="F23" s="1058">
        <f>Parameters!$L$70/10^9</f>
        <v>1.3140000000000001</v>
      </c>
      <c r="G23" s="1058">
        <f>Parameters!$L$70/10^9</f>
        <v>1.3140000000000001</v>
      </c>
      <c r="H23" s="1058">
        <f>Parameters!$L$70/10^9</f>
        <v>1.3140000000000001</v>
      </c>
      <c r="I23" s="1058">
        <f>Parameters!$L$70/10^9</f>
        <v>1.3140000000000001</v>
      </c>
      <c r="J23" s="1058">
        <f>Parameters!$L$70/10^9</f>
        <v>1.3140000000000001</v>
      </c>
      <c r="K23" s="1058">
        <f>Parameters!$L$70/10^9</f>
        <v>1.3140000000000001</v>
      </c>
      <c r="L23" s="1058">
        <f>Parameters!$L$70/10^9</f>
        <v>1.3140000000000001</v>
      </c>
      <c r="M23" s="1058">
        <f>Parameters!$L$70/10^9</f>
        <v>1.3140000000000001</v>
      </c>
      <c r="N23" s="1058">
        <f>Parameters!$L$70/10^9</f>
        <v>1.3140000000000001</v>
      </c>
      <c r="O23" s="1058">
        <f>Parameters!$L$70/10^9</f>
        <v>1.3140000000000001</v>
      </c>
      <c r="P23" s="1058">
        <f>Parameters!$L$70/10^9</f>
        <v>1.3140000000000001</v>
      </c>
      <c r="Q23" s="1058">
        <f>Parameters!$L$70/10^9</f>
        <v>1.3140000000000001</v>
      </c>
      <c r="R23" s="1058">
        <f>Parameters!$L$70/10^9</f>
        <v>1.3140000000000001</v>
      </c>
      <c r="S23" s="1058">
        <f>Parameters!$L$70/10^9</f>
        <v>1.3140000000000001</v>
      </c>
      <c r="T23" s="1058">
        <f>Parameters!$L$70/10^9</f>
        <v>1.3140000000000001</v>
      </c>
      <c r="U23" s="1058">
        <f>Parameters!$L$70/10^9</f>
        <v>1.3140000000000001</v>
      </c>
      <c r="V23" s="1058">
        <f>Parameters!$L$70/10^9</f>
        <v>1.3140000000000001</v>
      </c>
      <c r="W23" s="1058">
        <f>Parameters!$L$70/10^9</f>
        <v>1.3140000000000001</v>
      </c>
      <c r="X23" s="1058">
        <f>Parameters!$L$70/10^9</f>
        <v>1.3140000000000001</v>
      </c>
      <c r="Y23" s="1058">
        <f>Parameters!$L$70/10^9</f>
        <v>1.3140000000000001</v>
      </c>
      <c r="Z23" s="1058">
        <f>Parameters!$L$70/10^9</f>
        <v>1.3140000000000001</v>
      </c>
      <c r="AA23" s="1058">
        <f>Parameters!$L$70/10^9</f>
        <v>1.3140000000000001</v>
      </c>
      <c r="AB23" s="1058">
        <f>Parameters!$L$70/10^9</f>
        <v>1.3140000000000001</v>
      </c>
      <c r="AC23" s="1058">
        <f>Parameters!$L$70/10^9</f>
        <v>1.3140000000000001</v>
      </c>
      <c r="AD23" s="1058">
        <f>Parameters!$L$70/10^9</f>
        <v>1.3140000000000001</v>
      </c>
      <c r="AE23" s="1058">
        <f>Parameters!$L$70/10^9</f>
        <v>1.3140000000000001</v>
      </c>
      <c r="AF23" s="1058">
        <f>Parameters!$L$70/10^9</f>
        <v>1.3140000000000001</v>
      </c>
      <c r="AG23" s="1058">
        <f>Parameters!$L$70/10^9</f>
        <v>1.3140000000000001</v>
      </c>
      <c r="AH23" s="1058">
        <f>Parameters!$L$70/10^9</f>
        <v>1.3140000000000001</v>
      </c>
      <c r="AI23" s="1058">
        <f>Parameters!$L$70/10^9</f>
        <v>1.3140000000000001</v>
      </c>
      <c r="AJ23" s="1058">
        <f>Parameters!$L$70/10^9</f>
        <v>1.3140000000000001</v>
      </c>
      <c r="AK23" s="1058">
        <f>Parameters!$L$70/10^9</f>
        <v>1.3140000000000001</v>
      </c>
      <c r="AL23" s="1058">
        <f>Parameters!$L$70/10^9</f>
        <v>1.3140000000000001</v>
      </c>
      <c r="AM23" s="1058">
        <f>Parameters!$L$70/10^9</f>
        <v>1.3140000000000001</v>
      </c>
      <c r="AN23" s="1058">
        <f>Parameters!$L$70/10^9</f>
        <v>1.3140000000000001</v>
      </c>
      <c r="AO23" s="1058">
        <f>Parameters!$L$70/10^9</f>
        <v>1.3140000000000001</v>
      </c>
      <c r="AP23" s="1058">
        <f>Parameters!$L$70/10^9</f>
        <v>1.3140000000000001</v>
      </c>
      <c r="AQ23" s="1058">
        <f>Parameters!$L$70/10^9</f>
        <v>1.3140000000000001</v>
      </c>
      <c r="AR23" s="1058">
        <f>Parameters!$L$70/10^9</f>
        <v>1.3140000000000001</v>
      </c>
      <c r="AS23" s="1058">
        <f>Parameters!$L$70/10^9</f>
        <v>1.3140000000000001</v>
      </c>
      <c r="AT23" s="1058">
        <f>Parameters!$L$70/10^9</f>
        <v>1.3140000000000001</v>
      </c>
      <c r="AU23" s="1058">
        <f>Parameters!$L$70/10^9</f>
        <v>1.3140000000000001</v>
      </c>
      <c r="AV23" s="1058">
        <f>Parameters!$L$70/10^9</f>
        <v>1.3140000000000001</v>
      </c>
      <c r="AW23" s="1058">
        <f>Parameters!$L$70/10^9</f>
        <v>1.3140000000000001</v>
      </c>
      <c r="AX23" s="1058">
        <f>Parameters!$L$70/10^9</f>
        <v>1.3140000000000001</v>
      </c>
      <c r="AY23" s="1058">
        <f>Parameters!$L$70/10^9</f>
        <v>1.3140000000000001</v>
      </c>
      <c r="AZ23" s="1058">
        <f>Parameters!$L$70/10^9</f>
        <v>1.3140000000000001</v>
      </c>
      <c r="BA23" s="1058">
        <f>Parameters!$L$70/10^9</f>
        <v>1.3140000000000001</v>
      </c>
    </row>
    <row r="24" spans="1:53" x14ac:dyDescent="0.25">
      <c r="B24" s="430" t="s">
        <v>1652</v>
      </c>
      <c r="C24" s="171" t="s">
        <v>1525</v>
      </c>
      <c r="D24" s="581">
        <f>AVERAGE(F24:T24)</f>
        <v>0.29737094299999989</v>
      </c>
      <c r="E24" s="604">
        <v>10</v>
      </c>
      <c r="F24" s="1058">
        <f>IFERROR(VLOOKUP(Parameters!$G$69,Gas_production!$B$14:$BA$17,MATCH(F14,$B$14:$BA$14,0),FALSE),(electrification_input!$D$21/1000000000))</f>
        <v>0.297370943</v>
      </c>
      <c r="G24" s="1058">
        <f>IFERROR(VLOOKUP(Parameters!$G$69,Gas_production!$B$14:$BA$17,MATCH(G14,$B$14:$BA$14,0),FALSE),(electrification_input!$D$21/1000000000))</f>
        <v>0.297370943</v>
      </c>
      <c r="H24" s="1058">
        <f>IFERROR(VLOOKUP(Parameters!$G$69,Gas_production!$B$14:$BA$17,MATCH(H14,$B$14:$BA$14,0),FALSE),(electrification_input!$D$21/1000000000))</f>
        <v>0.297370943</v>
      </c>
      <c r="I24" s="1058">
        <f>IFERROR(VLOOKUP(Parameters!$G$69,Gas_production!$B$14:$BA$17,MATCH(I14,$B$14:$BA$14,0),FALSE),(electrification_input!$D$21/1000000000))</f>
        <v>0.297370943</v>
      </c>
      <c r="J24" s="1058">
        <f>IFERROR(VLOOKUP(Parameters!$G$69,Gas_production!$B$14:$BA$17,MATCH(J14,$B$14:$BA$14,0),FALSE),(electrification_input!$D$21/1000000000))</f>
        <v>0.297370943</v>
      </c>
      <c r="K24" s="1058">
        <f>IFERROR(VLOOKUP(Parameters!$G$69,Gas_production!$B$14:$BA$17,MATCH(K14,$B$14:$BA$14,0),FALSE),(electrification_input!$D$21/1000000000))</f>
        <v>0.297370943</v>
      </c>
      <c r="L24" s="1058">
        <f>IFERROR(VLOOKUP(Parameters!$G$69,Gas_production!$B$14:$BA$17,MATCH(L14,$B$14:$BA$14,0),FALSE),(electrification_input!$D$21/1000000000))</f>
        <v>0.297370943</v>
      </c>
      <c r="M24" s="1058">
        <f>IFERROR(VLOOKUP(Parameters!$G$69,Gas_production!$B$14:$BA$17,MATCH(M14,$B$14:$BA$14,0),FALSE),(electrification_input!$D$21/1000000000))</f>
        <v>0.297370943</v>
      </c>
      <c r="N24" s="1058">
        <f>IFERROR(VLOOKUP(Parameters!$G$69,Gas_production!$B$14:$BA$17,MATCH(N14,$B$14:$BA$14,0),FALSE),(electrification_input!$D$21/1000000000))</f>
        <v>0.297370943</v>
      </c>
      <c r="O24" s="1058">
        <f>IFERROR(VLOOKUP(Parameters!$G$69,Gas_production!$B$14:$BA$17,MATCH(O14,$B$14:$BA$14,0),FALSE),(electrification_input!$D$21/1000000000))</f>
        <v>0.297370943</v>
      </c>
      <c r="P24" s="1058">
        <f>IFERROR(VLOOKUP(Parameters!$G$69,Gas_production!$B$14:$BA$17,MATCH(P14,$B$14:$BA$14,0),FALSE),(electrification_input!$D$21/1000000000))</f>
        <v>0.297370943</v>
      </c>
      <c r="Q24" s="1058">
        <f>IFERROR(VLOOKUP(Parameters!$G$69,Gas_production!$B$14:$BA$17,MATCH(Q14,$B$14:$BA$14,0),FALSE),(electrification_input!$D$21/1000000000))</f>
        <v>0.297370943</v>
      </c>
      <c r="R24" s="1058">
        <f>IFERROR(VLOOKUP(Parameters!$G$69,Gas_production!$B$14:$BA$17,MATCH(R14,$B$14:$BA$14,0),FALSE),(electrification_input!$D$21/1000000000))</f>
        <v>0.297370943</v>
      </c>
      <c r="S24" s="1058">
        <f>IFERROR(VLOOKUP(Parameters!$G$69,Gas_production!$B$14:$BA$17,MATCH(S14,$B$14:$BA$14,0),FALSE),(electrification_input!$D$21/1000000000))</f>
        <v>0.297370943</v>
      </c>
      <c r="T24" s="1058">
        <f>IFERROR(VLOOKUP(Parameters!$G$69,Gas_production!$B$14:$BA$17,MATCH(T14,$B$14:$BA$14,0),FALSE),(electrification_input!$D$21/1000000000))</f>
        <v>0.297370943</v>
      </c>
      <c r="U24" s="1058">
        <f>IFERROR(VLOOKUP(Parameters!$G$69,Gas_production!$B$14:$BA$17,MATCH(U14,$B$14:$BA$14,0),FALSE),(electrification_input!$D$21/1000000000))</f>
        <v>0.297370943</v>
      </c>
      <c r="V24" s="1058">
        <f>IFERROR(VLOOKUP(Parameters!$G$69,Gas_production!$B$14:$BA$17,MATCH(V14,$B$14:$BA$14,0),FALSE),(electrification_input!$D$21/1000000000))</f>
        <v>0.297370943</v>
      </c>
      <c r="W24" s="1058">
        <f>IFERROR(VLOOKUP(Parameters!$G$69,Gas_production!$B$14:$BA$17,MATCH(W14,$B$14:$BA$14,0),FALSE),(electrification_input!$D$21/1000000000))</f>
        <v>0.297370943</v>
      </c>
      <c r="X24" s="1058">
        <f>IFERROR(VLOOKUP(Parameters!$G$69,Gas_production!$B$14:$BA$17,MATCH(X14,$B$14:$BA$14,0),FALSE),(electrification_input!$D$21/1000000000))</f>
        <v>0.297370943</v>
      </c>
      <c r="Y24" s="1058">
        <f>IFERROR(VLOOKUP(Parameters!$G$69,Gas_production!$B$14:$BA$17,MATCH(Y14,$B$14:$BA$14,0),FALSE),(electrification_input!$D$21/1000000000))</f>
        <v>0.297370943</v>
      </c>
      <c r="Z24" s="1058">
        <f>IFERROR(VLOOKUP(Parameters!$G$69,Gas_production!$B$14:$BA$17,MATCH(Z14,$B$14:$BA$14,0),FALSE),(electrification_input!$D$21/1000000000))</f>
        <v>0.297370943</v>
      </c>
      <c r="AA24" s="1058">
        <f>IFERROR(VLOOKUP(Parameters!$G$69,Gas_production!$B$14:$BA$17,MATCH(AA14,$B$14:$BA$14,0),FALSE),(electrification_input!$D$21/1000000000))</f>
        <v>0.297370943</v>
      </c>
      <c r="AB24" s="1058">
        <f>IFERROR(VLOOKUP(Parameters!$G$69,Gas_production!$B$14:$BA$17,MATCH(AB14,$B$14:$BA$14,0),FALSE),(electrification_input!$D$21/1000000000))</f>
        <v>0.297370943</v>
      </c>
      <c r="AC24" s="1058">
        <f>IFERROR(VLOOKUP(Parameters!$G$69,Gas_production!$B$14:$BA$17,MATCH(AC14,$B$14:$BA$14,0),FALSE),(electrification_input!$D$21/1000000000))</f>
        <v>0.297370943</v>
      </c>
      <c r="AD24" s="1058">
        <f>IFERROR(VLOOKUP(Parameters!$G$69,Gas_production!$B$14:$BA$17,MATCH(AD14,$B$14:$BA$14,0),FALSE),(electrification_input!$D$21/1000000000))</f>
        <v>0.297370943</v>
      </c>
      <c r="AE24" s="1058">
        <f>IFERROR(VLOOKUP(Parameters!$G$69,Gas_production!$B$14:$BA$17,MATCH(AE14,$B$14:$BA$14,0),FALSE),(electrification_input!$D$21/1000000000))</f>
        <v>0.297370943</v>
      </c>
      <c r="AF24" s="1058">
        <f>IFERROR(VLOOKUP(Parameters!$G$69,Gas_production!$B$14:$BA$17,MATCH(AF14,$B$14:$BA$14,0),FALSE),(electrification_input!$D$21/1000000000))</f>
        <v>0.297370943</v>
      </c>
      <c r="AG24" s="1058">
        <f>IFERROR(VLOOKUP(Parameters!$G$69,Gas_production!$B$14:$BA$17,MATCH(AG14,$B$14:$BA$14,0),FALSE),(electrification_input!$D$21/1000000000))</f>
        <v>0.297370943</v>
      </c>
      <c r="AH24" s="1058">
        <f>IFERROR(VLOOKUP(Parameters!$G$69,Gas_production!$B$14:$BA$17,MATCH(AH14,$B$14:$BA$14,0),FALSE),(electrification_input!$D$21/1000000000))</f>
        <v>0.297370943</v>
      </c>
      <c r="AI24" s="1058">
        <f>IFERROR(VLOOKUP(Parameters!$G$69,Gas_production!$B$14:$BA$17,MATCH(AI14,$B$14:$BA$14,0),FALSE),(electrification_input!$D$21/1000000000))</f>
        <v>0.297370943</v>
      </c>
      <c r="AJ24" s="1058">
        <f>IFERROR(VLOOKUP(Parameters!$G$69,Gas_production!$B$14:$BA$17,MATCH(AJ14,$B$14:$BA$14,0),FALSE),(electrification_input!$D$21/1000000000))</f>
        <v>0.297370943</v>
      </c>
      <c r="AK24" s="1058">
        <f>IFERROR(VLOOKUP(Parameters!$G$69,Gas_production!$B$14:$BA$17,MATCH(AK14,$B$14:$BA$14,0),FALSE),(electrification_input!$D$21/1000000000))</f>
        <v>0.297370943</v>
      </c>
      <c r="AL24" s="1058">
        <f>IFERROR(VLOOKUP(Parameters!$G$69,Gas_production!$B$14:$BA$17,MATCH(AL14,$B$14:$BA$14,0),FALSE),(electrification_input!$D$21/1000000000))</f>
        <v>0.297370943</v>
      </c>
      <c r="AM24" s="1058">
        <f>IFERROR(VLOOKUP(Parameters!$G$69,Gas_production!$B$14:$BA$17,MATCH(AM14,$B$14:$BA$14,0),FALSE),(electrification_input!$D$21/1000000000))</f>
        <v>0.297370943</v>
      </c>
      <c r="AN24" s="1058">
        <f>IFERROR(VLOOKUP(Parameters!$G$69,Gas_production!$B$14:$BA$17,MATCH(AN14,$B$14:$BA$14,0),FALSE),(electrification_input!$D$21/1000000000))</f>
        <v>0.297370943</v>
      </c>
      <c r="AO24" s="1058">
        <f>IFERROR(VLOOKUP(Parameters!$G$69,Gas_production!$B$14:$BA$17,MATCH(AO14,$B$14:$BA$14,0),FALSE),(electrification_input!$D$21/1000000000))</f>
        <v>0.297370943</v>
      </c>
      <c r="AP24" s="1058">
        <f>IFERROR(VLOOKUP(Parameters!$G$69,Gas_production!$B$14:$BA$17,MATCH(AP14,$B$14:$BA$14,0),FALSE),(electrification_input!$D$21/1000000000))</f>
        <v>0.297370943</v>
      </c>
      <c r="AQ24" s="1058">
        <f>IFERROR(VLOOKUP(Parameters!$G$69,Gas_production!$B$14:$BA$17,MATCH(AQ14,$B$14:$BA$14,0),FALSE),(electrification_input!$D$21/1000000000))</f>
        <v>0.297370943</v>
      </c>
      <c r="AR24" s="1058">
        <f>IFERROR(VLOOKUP(Parameters!$G$69,Gas_production!$B$14:$BA$17,MATCH(AR14,$B$14:$BA$14,0),FALSE),(electrification_input!$D$21/1000000000))</f>
        <v>0.297370943</v>
      </c>
      <c r="AS24" s="1058">
        <f>IFERROR(VLOOKUP(Parameters!$G$69,Gas_production!$B$14:$BA$17,MATCH(AS14,$B$14:$BA$14,0),FALSE),(electrification_input!$D$21/1000000000))</f>
        <v>0.297370943</v>
      </c>
      <c r="AT24" s="1058">
        <f>IFERROR(VLOOKUP(Parameters!$G$69,Gas_production!$B$14:$BA$17,MATCH(AT14,$B$14:$BA$14,0),FALSE),(electrification_input!$D$21/1000000000))</f>
        <v>0.297370943</v>
      </c>
      <c r="AU24" s="1058">
        <f>IFERROR(VLOOKUP(Parameters!$G$69,Gas_production!$B$14:$BA$17,MATCH(AU14,$B$14:$BA$14,0),FALSE),(electrification_input!$D$21/1000000000))</f>
        <v>0.297370943</v>
      </c>
      <c r="AV24" s="1058">
        <f>IFERROR(VLOOKUP(Parameters!$G$69,Gas_production!$B$14:$BA$17,MATCH(AV14,$B$14:$BA$14,0),FALSE),(electrification_input!$D$21/1000000000))</f>
        <v>0.297370943</v>
      </c>
      <c r="AW24" s="1058">
        <f>IFERROR(VLOOKUP(Parameters!$G$69,Gas_production!$B$14:$BA$17,MATCH(AW14,$B$14:$BA$14,0),FALSE),(electrification_input!$D$21/1000000000))</f>
        <v>0.297370943</v>
      </c>
      <c r="AX24" s="1058">
        <f>IFERROR(VLOOKUP(Parameters!$G$69,Gas_production!$B$14:$BA$17,MATCH(AX14,$B$14:$BA$14,0),FALSE),(electrification_input!$D$21/1000000000))</f>
        <v>0.297370943</v>
      </c>
      <c r="AY24" s="1058">
        <f>IFERROR(VLOOKUP(Parameters!$G$69,Gas_production!$B$14:$BA$17,MATCH(AY14,$B$14:$BA$14,0),FALSE),(electrification_input!$D$21/1000000000))</f>
        <v>0.297370943</v>
      </c>
      <c r="AZ24" s="1058">
        <f>IFERROR(VLOOKUP(Parameters!$G$69,Gas_production!$B$14:$BA$17,MATCH(AZ14,$B$14:$BA$14,0),FALSE),(electrification_input!$D$21/1000000000))</f>
        <v>0.297370943</v>
      </c>
      <c r="BA24" s="1058">
        <f>IFERROR(VLOOKUP(Parameters!$G$69,Gas_production!$B$14:$BA$17,MATCH(BA14,$B$14:$BA$14,0),FALSE),(electrification_input!$D$21/1000000000))</f>
        <v>0.297370943</v>
      </c>
    </row>
    <row r="25" spans="1:53" x14ac:dyDescent="0.25">
      <c r="A25" s="604"/>
    </row>
    <row r="26" spans="1:53" x14ac:dyDescent="0.25">
      <c r="A26" s="604"/>
    </row>
    <row r="27" spans="1:53" x14ac:dyDescent="0.25">
      <c r="G27" s="1143"/>
      <c r="H27" s="1143"/>
      <c r="K27" s="1143"/>
      <c r="L27" s="1143"/>
      <c r="O27" s="1186"/>
      <c r="P27" s="1186"/>
    </row>
    <row r="28" spans="1:53" x14ac:dyDescent="0.25">
      <c r="G28" s="1143"/>
      <c r="H28" s="1143"/>
      <c r="J28" s="1143"/>
      <c r="K28" s="1143"/>
      <c r="L28" s="1143"/>
      <c r="N28" s="1186"/>
      <c r="O28" s="1186"/>
      <c r="P28" s="1186"/>
    </row>
    <row r="29" spans="1:53" x14ac:dyDescent="0.25">
      <c r="J29" s="1144"/>
    </row>
    <row r="30" spans="1:53" x14ac:dyDescent="0.25">
      <c r="D30" s="1143"/>
      <c r="F30" s="1178"/>
      <c r="G30" s="1178"/>
      <c r="H30" s="1178"/>
      <c r="J30" s="913"/>
      <c r="K30" s="913"/>
      <c r="L30" s="913"/>
      <c r="N30" s="913"/>
      <c r="O30" s="913"/>
      <c r="P30" s="913"/>
    </row>
    <row r="31" spans="1:53" x14ac:dyDescent="0.25">
      <c r="F31" s="913"/>
      <c r="G31" s="913"/>
      <c r="H31" s="913"/>
      <c r="J31" s="913"/>
      <c r="K31" s="913"/>
      <c r="L31" s="913"/>
      <c r="N31" s="1184"/>
      <c r="O31" s="1184"/>
      <c r="P31" s="1184"/>
    </row>
    <row r="33" spans="4:16" x14ac:dyDescent="0.25">
      <c r="D33" s="1180"/>
      <c r="F33" s="1179"/>
      <c r="G33" s="1179"/>
      <c r="H33" s="1182"/>
      <c r="J33" s="1182"/>
      <c r="K33" s="1179"/>
      <c r="L33" s="1179"/>
      <c r="N33" s="1182"/>
      <c r="O33" s="1179"/>
      <c r="P33" s="1179"/>
    </row>
    <row r="34" spans="4:16" s="1186" customFormat="1" x14ac:dyDescent="0.25">
      <c r="D34" s="1180"/>
      <c r="F34" s="1179"/>
      <c r="G34" s="1179"/>
      <c r="H34" s="1179"/>
      <c r="J34" s="1179"/>
      <c r="K34" s="1179"/>
      <c r="L34" s="1179"/>
      <c r="N34" s="1179"/>
      <c r="O34" s="1179"/>
      <c r="P34" s="1179"/>
    </row>
    <row r="36" spans="4:16" x14ac:dyDescent="0.25">
      <c r="F36" s="1184"/>
      <c r="G36" s="1184"/>
      <c r="H36" s="1184"/>
      <c r="J36" s="1184"/>
      <c r="K36" s="1184"/>
      <c r="L36" s="1184"/>
      <c r="N36" s="1184"/>
      <c r="O36" s="1184"/>
      <c r="P36" s="1184"/>
    </row>
    <row r="37" spans="4:16" x14ac:dyDescent="0.25">
      <c r="F37" s="1184"/>
      <c r="G37" s="1184"/>
      <c r="H37" s="1184"/>
      <c r="J37" s="1184"/>
      <c r="K37" s="1184"/>
      <c r="L37" s="1184"/>
      <c r="N37" s="1184"/>
      <c r="O37" s="1184"/>
      <c r="P37" s="1184"/>
    </row>
  </sheetData>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4"/>
  <dimension ref="B2:AX38"/>
  <sheetViews>
    <sheetView zoomScaleNormal="100" workbookViewId="0">
      <selection activeCell="C8" sqref="C8"/>
    </sheetView>
  </sheetViews>
  <sheetFormatPr defaultColWidth="9.140625" defaultRowHeight="15" x14ac:dyDescent="0.25"/>
  <cols>
    <col min="1" max="1" width="9.140625" style="171"/>
    <col min="2" max="2" width="56" style="171" customWidth="1"/>
    <col min="3" max="3" width="16.85546875" style="171" bestFit="1" customWidth="1"/>
    <col min="4" max="26" width="16.28515625" style="171" bestFit="1" customWidth="1"/>
    <col min="27" max="36" width="14.5703125" style="171" bestFit="1" customWidth="1"/>
    <col min="37" max="50" width="12.28515625" style="171" bestFit="1" customWidth="1"/>
    <col min="51" max="16384" width="9.140625" style="171"/>
  </cols>
  <sheetData>
    <row r="2" spans="2:50" ht="23.25" x14ac:dyDescent="0.35">
      <c r="B2" s="436" t="str">
        <f>"Electrification OPEX ("&amp;Parameters!$D$6&amp;")"</f>
        <v>Electrification OPEX (P15 Scenario 1)</v>
      </c>
    </row>
    <row r="4" spans="2:50" ht="21" x14ac:dyDescent="0.35">
      <c r="B4" s="595" t="s">
        <v>123</v>
      </c>
      <c r="C4" s="445"/>
      <c r="D4" s="445"/>
      <c r="E4" s="445"/>
      <c r="F4" s="445"/>
      <c r="G4" s="445"/>
      <c r="H4" s="445"/>
      <c r="I4" s="445"/>
      <c r="J4" s="445"/>
      <c r="K4" s="445"/>
      <c r="L4" s="445"/>
      <c r="M4" s="445"/>
      <c r="N4" s="445"/>
      <c r="O4" s="445"/>
      <c r="P4" s="445"/>
      <c r="Q4" s="445"/>
      <c r="R4" s="445"/>
      <c r="S4" s="445"/>
      <c r="T4" s="445"/>
      <c r="U4" s="445"/>
      <c r="V4" s="445"/>
      <c r="W4" s="445"/>
      <c r="X4" s="445"/>
      <c r="Y4" s="445"/>
      <c r="Z4" s="445"/>
      <c r="AA4" s="445"/>
      <c r="AB4" s="445"/>
      <c r="AC4" s="445"/>
      <c r="AD4" s="445"/>
      <c r="AE4" s="445"/>
      <c r="AF4" s="445"/>
      <c r="AG4" s="445"/>
      <c r="AH4" s="445"/>
      <c r="AI4" s="445"/>
      <c r="AJ4" s="445"/>
      <c r="AK4" s="445"/>
      <c r="AL4" s="445"/>
      <c r="AM4" s="445"/>
      <c r="AN4" s="445"/>
      <c r="AO4" s="445"/>
      <c r="AP4" s="445"/>
      <c r="AQ4" s="445"/>
      <c r="AR4" s="445"/>
      <c r="AS4" s="445"/>
      <c r="AT4" s="445"/>
      <c r="AU4" s="445"/>
      <c r="AV4" s="445"/>
      <c r="AW4" s="445"/>
      <c r="AX4" s="445"/>
    </row>
    <row r="7" spans="2:50" x14ac:dyDescent="0.25">
      <c r="C7" s="309">
        <v>2017</v>
      </c>
      <c r="D7" s="309">
        <v>2018</v>
      </c>
      <c r="E7" s="309">
        <v>2019</v>
      </c>
      <c r="F7" s="309">
        <v>2020</v>
      </c>
      <c r="G7" s="309">
        <v>2021</v>
      </c>
      <c r="H7" s="309">
        <v>2022</v>
      </c>
      <c r="I7" s="309">
        <v>2023</v>
      </c>
      <c r="J7" s="309">
        <v>2024</v>
      </c>
      <c r="K7" s="309">
        <v>2025</v>
      </c>
      <c r="L7" s="309">
        <v>2026</v>
      </c>
      <c r="M7" s="309">
        <v>2027</v>
      </c>
      <c r="N7" s="309">
        <v>2028</v>
      </c>
      <c r="O7" s="309">
        <v>2029</v>
      </c>
      <c r="P7" s="309">
        <v>2030</v>
      </c>
      <c r="Q7" s="309">
        <v>2031</v>
      </c>
      <c r="R7" s="309">
        <v>2032</v>
      </c>
      <c r="S7" s="309">
        <v>2033</v>
      </c>
      <c r="T7" s="309">
        <v>2034</v>
      </c>
      <c r="U7" s="309">
        <v>2035</v>
      </c>
      <c r="V7" s="309">
        <v>2036</v>
      </c>
      <c r="W7" s="309">
        <v>2037</v>
      </c>
      <c r="X7" s="309">
        <v>2038</v>
      </c>
      <c r="Y7" s="309">
        <v>2039</v>
      </c>
      <c r="Z7" s="309">
        <v>2040</v>
      </c>
      <c r="AA7" s="309">
        <v>2041</v>
      </c>
      <c r="AB7" s="309">
        <v>2042</v>
      </c>
      <c r="AC7" s="309">
        <v>2043</v>
      </c>
      <c r="AD7" s="309">
        <v>2044</v>
      </c>
      <c r="AE7" s="309">
        <v>2045</v>
      </c>
      <c r="AF7" s="309">
        <v>2046</v>
      </c>
      <c r="AG7" s="309">
        <v>2047</v>
      </c>
      <c r="AH7" s="309">
        <v>2048</v>
      </c>
      <c r="AI7" s="309">
        <v>2049</v>
      </c>
      <c r="AJ7" s="309">
        <v>2050</v>
      </c>
      <c r="AK7" s="309">
        <v>2050</v>
      </c>
      <c r="AL7" s="309">
        <v>2050</v>
      </c>
      <c r="AM7" s="309">
        <v>2050</v>
      </c>
      <c r="AN7" s="309">
        <v>2050</v>
      </c>
      <c r="AO7" s="309">
        <v>2050</v>
      </c>
      <c r="AP7" s="309">
        <v>2050</v>
      </c>
      <c r="AQ7" s="309">
        <v>2050</v>
      </c>
      <c r="AR7" s="309">
        <v>2050</v>
      </c>
      <c r="AS7" s="309">
        <v>2050</v>
      </c>
      <c r="AT7" s="309">
        <v>2050</v>
      </c>
      <c r="AU7" s="309">
        <v>2050</v>
      </c>
      <c r="AV7" s="309">
        <v>2050</v>
      </c>
      <c r="AW7" s="309">
        <v>2050</v>
      </c>
      <c r="AX7" s="309">
        <v>2050</v>
      </c>
    </row>
    <row r="8" spans="2:50" x14ac:dyDescent="0.25">
      <c r="B8" s="171" t="s">
        <v>1018</v>
      </c>
      <c r="C8" s="596">
        <f>electrification_input!$D$60*'Gas price scenarios'!C23</f>
        <v>7810625.1766283065</v>
      </c>
      <c r="D8" s="596">
        <f>electrification_input!$D$60*'Gas price scenarios'!D23</f>
        <v>8211170.0574810412</v>
      </c>
      <c r="E8" s="596">
        <f>electrification_input!$D$60*'Gas price scenarios'!E23</f>
        <v>8611714.938333774</v>
      </c>
      <c r="F8" s="596">
        <f>electrification_input!$D$60*'Gas price scenarios'!F23</f>
        <v>9012259.8191865068</v>
      </c>
      <c r="G8" s="596">
        <f>electrification_input!$D$60*'Gas price scenarios'!G23</f>
        <v>9346047.2198971193</v>
      </c>
      <c r="H8" s="596">
        <f>electrification_input!$D$60*'Gas price scenarios'!H23</f>
        <v>9679834.62060773</v>
      </c>
      <c r="I8" s="596">
        <f>electrification_input!$D$60*'Gas price scenarios'!I23</f>
        <v>10013622.021318341</v>
      </c>
      <c r="J8" s="596">
        <f>electrification_input!$D$60*'Gas price scenarios'!J23</f>
        <v>10108989.850092802</v>
      </c>
      <c r="K8" s="596">
        <f>electrification_input!$D$60*'Gas price scenarios'!K23</f>
        <v>10204357.678867264</v>
      </c>
      <c r="L8" s="596">
        <f>electrification_input!$D$60*'Gas price scenarios'!L23</f>
        <v>10299725.507641722</v>
      </c>
      <c r="M8" s="596">
        <f>electrification_input!$D$60*'Gas price scenarios'!M23</f>
        <v>10395093.336416183</v>
      </c>
      <c r="N8" s="596">
        <f>electrification_input!$D$60*'Gas price scenarios'!N23</f>
        <v>10490461.165190643</v>
      </c>
      <c r="O8" s="596">
        <f>electrification_input!$D$60*'Gas price scenarios'!O23</f>
        <v>10585828.993965106</v>
      </c>
      <c r="P8" s="596">
        <f>electrification_input!$D$60*'Gas price scenarios'!P23</f>
        <v>10681196.822739566</v>
      </c>
      <c r="Q8" s="596">
        <f>electrification_input!$D$60*'Gas price scenarios'!Q23</f>
        <v>10681196.822739566</v>
      </c>
      <c r="R8" s="596">
        <f>electrification_input!$D$60*'Gas price scenarios'!R23</f>
        <v>10681196.822739566</v>
      </c>
      <c r="S8" s="596">
        <f>electrification_input!$D$60*'Gas price scenarios'!S23</f>
        <v>10681196.822739562</v>
      </c>
      <c r="T8" s="596">
        <f>electrification_input!$D$60*'Gas price scenarios'!T23</f>
        <v>10681196.822739566</v>
      </c>
      <c r="U8" s="596">
        <f>electrification_input!$D$60*'Gas price scenarios'!U23</f>
        <v>10681196.822739566</v>
      </c>
      <c r="V8" s="596">
        <f>electrification_input!$D$60*'Gas price scenarios'!V23</f>
        <v>10681196.822739562</v>
      </c>
      <c r="W8" s="596">
        <f>electrification_input!$D$60*'Gas price scenarios'!W23</f>
        <v>10681196.822739566</v>
      </c>
      <c r="X8" s="596">
        <f>electrification_input!$D$60*'Gas price scenarios'!X23</f>
        <v>10681196.822739566</v>
      </c>
      <c r="Y8" s="596">
        <f>electrification_input!$D$60*'Gas price scenarios'!Y23</f>
        <v>10681196.822739566</v>
      </c>
      <c r="Z8" s="596">
        <f>electrification_input!$D$60*'Gas price scenarios'!Z23</f>
        <v>10681196.822739562</v>
      </c>
      <c r="AA8" s="596">
        <f>electrification_input!$D$60*'Gas price scenarios'!AA23</f>
        <v>10681196.822739562</v>
      </c>
      <c r="AB8" s="596">
        <f>electrification_input!$D$60*'Gas price scenarios'!AB23</f>
        <v>10681196.822739562</v>
      </c>
      <c r="AC8" s="596">
        <f>electrification_input!$D$60*'Gas price scenarios'!AC23</f>
        <v>10681196.822739562</v>
      </c>
      <c r="AD8" s="596">
        <f>electrification_input!$D$60*'Gas price scenarios'!AD23</f>
        <v>10681196.822739562</v>
      </c>
      <c r="AE8" s="596">
        <f>electrification_input!$D$60*'Gas price scenarios'!AE23</f>
        <v>10681196.822739562</v>
      </c>
      <c r="AF8" s="596">
        <f>electrification_input!$D$60*'Gas price scenarios'!AF23</f>
        <v>10681196.822739562</v>
      </c>
      <c r="AG8" s="596">
        <f>electrification_input!$D$60*'Gas price scenarios'!AG23</f>
        <v>10681196.822739562</v>
      </c>
      <c r="AH8" s="596">
        <f>electrification_input!$D$60*'Gas price scenarios'!AH23</f>
        <v>10681196.822739562</v>
      </c>
      <c r="AI8" s="596">
        <f>electrification_input!$D$60*'Gas price scenarios'!AI23</f>
        <v>10681196.822739562</v>
      </c>
      <c r="AJ8" s="596">
        <f>electrification_input!$D$60*'Gas price scenarios'!AJ23</f>
        <v>10681196.822739562</v>
      </c>
      <c r="AK8" s="596">
        <f>electrification_input!$D$60*'Gas price scenarios'!AK23</f>
        <v>10681196.822739562</v>
      </c>
      <c r="AL8" s="596">
        <f>electrification_input!$D$60*'Gas price scenarios'!AL23</f>
        <v>10681196.822739562</v>
      </c>
      <c r="AM8" s="596">
        <f>electrification_input!$D$60*'Gas price scenarios'!AM23</f>
        <v>10681196.822739562</v>
      </c>
      <c r="AN8" s="596">
        <f>electrification_input!$D$60*'Gas price scenarios'!AN23</f>
        <v>10681196.822739562</v>
      </c>
      <c r="AO8" s="596">
        <f>electrification_input!$D$60*'Gas price scenarios'!AO23</f>
        <v>10681196.822739562</v>
      </c>
      <c r="AP8" s="596">
        <f>electrification_input!$D$60*'Gas price scenarios'!AP23</f>
        <v>10681196.822739562</v>
      </c>
      <c r="AQ8" s="596">
        <f>electrification_input!$D$60*'Gas price scenarios'!AQ23</f>
        <v>10681196.822739562</v>
      </c>
      <c r="AR8" s="596">
        <f>electrification_input!$D$60*'Gas price scenarios'!AR23</f>
        <v>10681196.822739562</v>
      </c>
      <c r="AS8" s="596">
        <f>electrification_input!$D$60*'Gas price scenarios'!AS23</f>
        <v>10681196.822739562</v>
      </c>
      <c r="AT8" s="596">
        <f>electrification_input!$D$60*'Gas price scenarios'!AT23</f>
        <v>10681196.822739562</v>
      </c>
      <c r="AU8" s="596">
        <f>electrification_input!$D$60*'Gas price scenarios'!AU23</f>
        <v>10681196.822739562</v>
      </c>
      <c r="AV8" s="596">
        <f>electrification_input!$D$60*'Gas price scenarios'!AV23</f>
        <v>10681196.822739562</v>
      </c>
      <c r="AW8" s="596">
        <f>electrification_input!$D$60*'Gas price scenarios'!AW23</f>
        <v>10681196.822739562</v>
      </c>
      <c r="AX8" s="596">
        <f>electrification_input!$D$60*'Gas price scenarios'!AX23</f>
        <v>10681196.822739562</v>
      </c>
    </row>
    <row r="9" spans="2:50" x14ac:dyDescent="0.25">
      <c r="B9" s="566" t="s">
        <v>725</v>
      </c>
      <c r="C9" s="597">
        <f>electrification_input!$D$62*electrification_input!$D$63</f>
        <v>129600</v>
      </c>
      <c r="D9" s="597">
        <f>electrification_input!$D$62*electrification_input!$D$63</f>
        <v>129600</v>
      </c>
      <c r="E9" s="597">
        <f>electrification_input!$D$62*electrification_input!$D$63</f>
        <v>129600</v>
      </c>
      <c r="F9" s="597">
        <f>electrification_input!$D$62*electrification_input!$D$63</f>
        <v>129600</v>
      </c>
      <c r="G9" s="597">
        <f>electrification_input!$D$62*electrification_input!$D$63</f>
        <v>129600</v>
      </c>
      <c r="H9" s="597">
        <f>electrification_input!$D$62*electrification_input!$D$63</f>
        <v>129600</v>
      </c>
      <c r="I9" s="597">
        <f>electrification_input!$D$62*electrification_input!$D$63</f>
        <v>129600</v>
      </c>
      <c r="J9" s="597">
        <f>electrification_input!$D$62*electrification_input!$D$63</f>
        <v>129600</v>
      </c>
      <c r="K9" s="597">
        <f>electrification_input!$D$62*electrification_input!$D$63</f>
        <v>129600</v>
      </c>
      <c r="L9" s="597">
        <f>electrification_input!$D$62*electrification_input!$D$63</f>
        <v>129600</v>
      </c>
      <c r="M9" s="597">
        <f>electrification_input!$D$62*electrification_input!$D$63</f>
        <v>129600</v>
      </c>
      <c r="N9" s="597">
        <f>electrification_input!$D$62*electrification_input!$D$63</f>
        <v>129600</v>
      </c>
      <c r="O9" s="597">
        <f>electrification_input!$D$62*electrification_input!$D$63</f>
        <v>129600</v>
      </c>
      <c r="P9" s="597">
        <f>electrification_input!$D$62*electrification_input!$D$63</f>
        <v>129600</v>
      </c>
      <c r="Q9" s="597">
        <f>electrification_input!$D$62*electrification_input!$D$63</f>
        <v>129600</v>
      </c>
      <c r="R9" s="597">
        <f>electrification_input!$D$62*electrification_input!$D$63</f>
        <v>129600</v>
      </c>
      <c r="S9" s="597">
        <f>electrification_input!$D$62*electrification_input!$D$63</f>
        <v>129600</v>
      </c>
      <c r="T9" s="597">
        <f>electrification_input!$D$62*electrification_input!$D$63</f>
        <v>129600</v>
      </c>
      <c r="U9" s="597">
        <f>electrification_input!$D$62*electrification_input!$D$63</f>
        <v>129600</v>
      </c>
      <c r="V9" s="597">
        <f>electrification_input!$D$62*electrification_input!$D$63</f>
        <v>129600</v>
      </c>
      <c r="W9" s="597">
        <f>electrification_input!$D$62*electrification_input!$D$63</f>
        <v>129600</v>
      </c>
      <c r="X9" s="597">
        <f>electrification_input!$D$62*electrification_input!$D$63</f>
        <v>129600</v>
      </c>
      <c r="Y9" s="597">
        <f>electrification_input!$D$62*electrification_input!$D$63</f>
        <v>129600</v>
      </c>
      <c r="Z9" s="597">
        <f>electrification_input!$D$62*electrification_input!$D$63</f>
        <v>129600</v>
      </c>
      <c r="AA9" s="597">
        <f>electrification_input!$D$62*electrification_input!$D$63</f>
        <v>129600</v>
      </c>
      <c r="AB9" s="597">
        <f>electrification_input!$D$62*electrification_input!$D$63</f>
        <v>129600</v>
      </c>
      <c r="AC9" s="597">
        <f>electrification_input!$D$62*electrification_input!$D$63</f>
        <v>129600</v>
      </c>
      <c r="AD9" s="597">
        <f>electrification_input!$D$62*electrification_input!$D$63</f>
        <v>129600</v>
      </c>
      <c r="AE9" s="597">
        <f>electrification_input!$D$62*electrification_input!$D$63</f>
        <v>129600</v>
      </c>
      <c r="AF9" s="597">
        <f>electrification_input!$D$62*electrification_input!$D$63</f>
        <v>129600</v>
      </c>
      <c r="AG9" s="597">
        <f>electrification_input!$D$62*electrification_input!$D$63</f>
        <v>129600</v>
      </c>
      <c r="AH9" s="597">
        <f>electrification_input!$D$62*electrification_input!$D$63</f>
        <v>129600</v>
      </c>
      <c r="AI9" s="597">
        <f>electrification_input!$D$62*electrification_input!$D$63</f>
        <v>129600</v>
      </c>
      <c r="AJ9" s="597">
        <f>electrification_input!$D$62*electrification_input!$D$63</f>
        <v>129600</v>
      </c>
      <c r="AK9" s="597">
        <f>electrification_input!$D$62*electrification_input!$D$63</f>
        <v>129600</v>
      </c>
      <c r="AL9" s="597">
        <f>electrification_input!$D$62*electrification_input!$D$63</f>
        <v>129600</v>
      </c>
      <c r="AM9" s="597">
        <f>electrification_input!$D$62*electrification_input!$D$63</f>
        <v>129600</v>
      </c>
      <c r="AN9" s="597">
        <f>electrification_input!$D$62*electrification_input!$D$63</f>
        <v>129600</v>
      </c>
      <c r="AO9" s="597">
        <f>electrification_input!$D$62*electrification_input!$D$63</f>
        <v>129600</v>
      </c>
      <c r="AP9" s="597">
        <f>electrification_input!$D$62*electrification_input!$D$63</f>
        <v>129600</v>
      </c>
      <c r="AQ9" s="597">
        <f>electrification_input!$D$62*electrification_input!$D$63</f>
        <v>129600</v>
      </c>
      <c r="AR9" s="597">
        <f>electrification_input!$D$62*electrification_input!$D$63</f>
        <v>129600</v>
      </c>
      <c r="AS9" s="597">
        <f>electrification_input!$D$62*electrification_input!$D$63</f>
        <v>129600</v>
      </c>
      <c r="AT9" s="597">
        <f>electrification_input!$D$62*electrification_input!$D$63</f>
        <v>129600</v>
      </c>
      <c r="AU9" s="597">
        <f>electrification_input!$D$62*electrification_input!$D$63</f>
        <v>129600</v>
      </c>
      <c r="AV9" s="597">
        <f>electrification_input!$D$62*electrification_input!$D$63</f>
        <v>129600</v>
      </c>
      <c r="AW9" s="597">
        <f>electrification_input!$D$62*electrification_input!$D$63</f>
        <v>129600</v>
      </c>
      <c r="AX9" s="597">
        <f>electrification_input!$D$62*electrification_input!$D$63</f>
        <v>129600</v>
      </c>
    </row>
    <row r="10" spans="2:50" x14ac:dyDescent="0.25">
      <c r="B10" s="171" t="s">
        <v>1019</v>
      </c>
      <c r="C10" s="598">
        <f>SUM(C8:C9)</f>
        <v>7940225.1766283065</v>
      </c>
      <c r="D10" s="598">
        <f t="shared" ref="D10:AJ10" si="0">SUM(D8:D9)</f>
        <v>8340770.0574810412</v>
      </c>
      <c r="E10" s="598">
        <f t="shared" si="0"/>
        <v>8741314.938333774</v>
      </c>
      <c r="F10" s="598">
        <f t="shared" si="0"/>
        <v>9141859.8191865068</v>
      </c>
      <c r="G10" s="598">
        <f t="shared" si="0"/>
        <v>9475647.2198971193</v>
      </c>
      <c r="H10" s="598">
        <f t="shared" si="0"/>
        <v>9809434.62060773</v>
      </c>
      <c r="I10" s="598">
        <f t="shared" si="0"/>
        <v>10143222.021318341</v>
      </c>
      <c r="J10" s="598">
        <f t="shared" si="0"/>
        <v>10238589.850092802</v>
      </c>
      <c r="K10" s="598">
        <f t="shared" si="0"/>
        <v>10333957.678867264</v>
      </c>
      <c r="L10" s="598">
        <f t="shared" si="0"/>
        <v>10429325.507641722</v>
      </c>
      <c r="M10" s="598">
        <f t="shared" si="0"/>
        <v>10524693.336416183</v>
      </c>
      <c r="N10" s="598">
        <f t="shared" si="0"/>
        <v>10620061.165190643</v>
      </c>
      <c r="O10" s="598">
        <f t="shared" si="0"/>
        <v>10715428.993965106</v>
      </c>
      <c r="P10" s="598">
        <f t="shared" si="0"/>
        <v>10810796.822739566</v>
      </c>
      <c r="Q10" s="598">
        <f t="shared" si="0"/>
        <v>10810796.822739566</v>
      </c>
      <c r="R10" s="598">
        <f t="shared" si="0"/>
        <v>10810796.822739566</v>
      </c>
      <c r="S10" s="598">
        <f t="shared" si="0"/>
        <v>10810796.822739562</v>
      </c>
      <c r="T10" s="598">
        <f t="shared" si="0"/>
        <v>10810796.822739566</v>
      </c>
      <c r="U10" s="598">
        <f t="shared" si="0"/>
        <v>10810796.822739566</v>
      </c>
      <c r="V10" s="598">
        <f t="shared" si="0"/>
        <v>10810796.822739562</v>
      </c>
      <c r="W10" s="598">
        <f t="shared" si="0"/>
        <v>10810796.822739566</v>
      </c>
      <c r="X10" s="598">
        <f t="shared" si="0"/>
        <v>10810796.822739566</v>
      </c>
      <c r="Y10" s="598">
        <f t="shared" si="0"/>
        <v>10810796.822739566</v>
      </c>
      <c r="Z10" s="598">
        <f t="shared" si="0"/>
        <v>10810796.822739562</v>
      </c>
      <c r="AA10" s="598">
        <f t="shared" si="0"/>
        <v>10810796.822739562</v>
      </c>
      <c r="AB10" s="598">
        <f t="shared" si="0"/>
        <v>10810796.822739562</v>
      </c>
      <c r="AC10" s="598">
        <f t="shared" si="0"/>
        <v>10810796.822739562</v>
      </c>
      <c r="AD10" s="598">
        <f t="shared" si="0"/>
        <v>10810796.822739562</v>
      </c>
      <c r="AE10" s="598">
        <f t="shared" si="0"/>
        <v>10810796.822739562</v>
      </c>
      <c r="AF10" s="598">
        <f t="shared" si="0"/>
        <v>10810796.822739562</v>
      </c>
      <c r="AG10" s="598">
        <f t="shared" si="0"/>
        <v>10810796.822739562</v>
      </c>
      <c r="AH10" s="598">
        <f t="shared" si="0"/>
        <v>10810796.822739562</v>
      </c>
      <c r="AI10" s="598">
        <f t="shared" si="0"/>
        <v>10810796.822739562</v>
      </c>
      <c r="AJ10" s="598">
        <f t="shared" si="0"/>
        <v>10810796.822739562</v>
      </c>
      <c r="AK10" s="598">
        <f t="shared" ref="AK10:AX10" si="1">SUM(AK8:AK9)</f>
        <v>10810796.822739562</v>
      </c>
      <c r="AL10" s="598">
        <f t="shared" si="1"/>
        <v>10810796.822739562</v>
      </c>
      <c r="AM10" s="598">
        <f t="shared" si="1"/>
        <v>10810796.822739562</v>
      </c>
      <c r="AN10" s="598">
        <f t="shared" si="1"/>
        <v>10810796.822739562</v>
      </c>
      <c r="AO10" s="598">
        <f t="shared" si="1"/>
        <v>10810796.822739562</v>
      </c>
      <c r="AP10" s="598">
        <f t="shared" si="1"/>
        <v>10810796.822739562</v>
      </c>
      <c r="AQ10" s="598">
        <f t="shared" si="1"/>
        <v>10810796.822739562</v>
      </c>
      <c r="AR10" s="598">
        <f t="shared" si="1"/>
        <v>10810796.822739562</v>
      </c>
      <c r="AS10" s="598">
        <f t="shared" si="1"/>
        <v>10810796.822739562</v>
      </c>
      <c r="AT10" s="598">
        <f t="shared" si="1"/>
        <v>10810796.822739562</v>
      </c>
      <c r="AU10" s="598">
        <f t="shared" si="1"/>
        <v>10810796.822739562</v>
      </c>
      <c r="AV10" s="598">
        <f t="shared" si="1"/>
        <v>10810796.822739562</v>
      </c>
      <c r="AW10" s="598">
        <f t="shared" si="1"/>
        <v>10810796.822739562</v>
      </c>
      <c r="AX10" s="598">
        <f t="shared" si="1"/>
        <v>10810796.822739562</v>
      </c>
    </row>
    <row r="11" spans="2:50" x14ac:dyDescent="0.25">
      <c r="C11" s="598"/>
      <c r="D11" s="598"/>
      <c r="E11" s="598"/>
      <c r="F11" s="598"/>
      <c r="G11" s="598"/>
      <c r="H11" s="598"/>
      <c r="I11" s="598"/>
      <c r="J11" s="598"/>
      <c r="K11" s="598"/>
      <c r="L11" s="598"/>
      <c r="M11" s="598"/>
      <c r="N11" s="598"/>
      <c r="O11" s="598"/>
      <c r="P11" s="598"/>
      <c r="Q11" s="598"/>
      <c r="R11" s="598"/>
      <c r="S11" s="598"/>
      <c r="T11" s="598"/>
      <c r="U11" s="598"/>
      <c r="V11" s="598"/>
      <c r="W11" s="598"/>
      <c r="X11" s="598"/>
      <c r="Y11" s="598"/>
      <c r="Z11" s="598"/>
      <c r="AA11" s="598"/>
      <c r="AB11" s="598"/>
      <c r="AC11" s="598"/>
      <c r="AD11" s="598"/>
      <c r="AE11" s="598"/>
      <c r="AF11" s="598"/>
      <c r="AG11" s="598"/>
      <c r="AH11" s="598"/>
      <c r="AI11" s="598"/>
      <c r="AJ11" s="598"/>
      <c r="AK11" s="598"/>
      <c r="AL11" s="598"/>
      <c r="AM11" s="598"/>
      <c r="AN11" s="598"/>
      <c r="AO11" s="598"/>
      <c r="AP11" s="598"/>
      <c r="AQ11" s="598"/>
      <c r="AR11" s="598"/>
      <c r="AS11" s="598"/>
      <c r="AT11" s="598"/>
      <c r="AU11" s="598"/>
      <c r="AV11" s="598"/>
      <c r="AW11" s="598"/>
      <c r="AX11" s="598"/>
    </row>
    <row r="12" spans="2:50" x14ac:dyDescent="0.25">
      <c r="B12" s="171" t="s">
        <v>1380</v>
      </c>
      <c r="C12" s="598"/>
      <c r="D12" s="598"/>
      <c r="E12" s="598"/>
      <c r="F12" s="598"/>
      <c r="G12" s="598"/>
      <c r="H12" s="598"/>
      <c r="I12" s="598"/>
      <c r="J12" s="598"/>
      <c r="K12" s="598"/>
      <c r="L12" s="598"/>
      <c r="M12" s="598"/>
      <c r="N12" s="598"/>
      <c r="O12" s="598"/>
      <c r="P12" s="598"/>
      <c r="Q12" s="598"/>
      <c r="R12" s="598"/>
      <c r="S12" s="598"/>
      <c r="T12" s="598"/>
      <c r="U12" s="598"/>
      <c r="V12" s="598"/>
      <c r="W12" s="598"/>
      <c r="X12" s="598"/>
      <c r="Y12" s="598"/>
      <c r="Z12" s="598"/>
      <c r="AA12" s="598"/>
      <c r="AB12" s="598"/>
      <c r="AC12" s="598"/>
      <c r="AD12" s="598"/>
      <c r="AE12" s="598"/>
      <c r="AF12" s="598"/>
      <c r="AG12" s="598"/>
      <c r="AH12" s="598"/>
      <c r="AI12" s="598"/>
      <c r="AJ12" s="598"/>
      <c r="AK12" s="598"/>
      <c r="AL12" s="598"/>
      <c r="AM12" s="598"/>
      <c r="AN12" s="598"/>
      <c r="AO12" s="598"/>
      <c r="AP12" s="598"/>
      <c r="AQ12" s="598"/>
      <c r="AR12" s="598"/>
      <c r="AS12" s="598"/>
      <c r="AT12" s="598"/>
      <c r="AU12" s="598"/>
      <c r="AV12" s="598"/>
      <c r="AW12" s="598"/>
      <c r="AX12" s="598"/>
    </row>
    <row r="13" spans="2:50" x14ac:dyDescent="0.25">
      <c r="C13" s="598"/>
      <c r="D13" s="598"/>
      <c r="E13" s="598"/>
      <c r="F13" s="598"/>
      <c r="G13" s="598"/>
      <c r="H13" s="598"/>
      <c r="I13" s="598"/>
      <c r="J13" s="598"/>
      <c r="K13" s="598"/>
      <c r="L13" s="598"/>
      <c r="M13" s="598"/>
      <c r="N13" s="598"/>
      <c r="O13" s="598"/>
      <c r="P13" s="598"/>
      <c r="Q13" s="598"/>
      <c r="R13" s="598"/>
      <c r="S13" s="598"/>
      <c r="T13" s="598"/>
      <c r="U13" s="598"/>
      <c r="V13" s="598"/>
      <c r="W13" s="598"/>
      <c r="X13" s="598"/>
      <c r="Y13" s="598"/>
      <c r="Z13" s="598"/>
      <c r="AA13" s="598"/>
      <c r="AB13" s="598"/>
      <c r="AC13" s="598"/>
      <c r="AD13" s="598"/>
      <c r="AE13" s="598"/>
      <c r="AF13" s="598"/>
      <c r="AG13" s="598"/>
      <c r="AH13" s="598"/>
      <c r="AI13" s="598"/>
      <c r="AJ13" s="598"/>
      <c r="AK13" s="598"/>
      <c r="AL13" s="598"/>
      <c r="AM13" s="598"/>
      <c r="AN13" s="598"/>
      <c r="AO13" s="598"/>
      <c r="AP13" s="598"/>
      <c r="AQ13" s="598"/>
      <c r="AR13" s="598"/>
      <c r="AS13" s="598"/>
      <c r="AT13" s="598"/>
      <c r="AU13" s="598"/>
      <c r="AV13" s="598"/>
      <c r="AW13" s="598"/>
      <c r="AX13" s="598"/>
    </row>
    <row r="14" spans="2:50" ht="15.75" thickBot="1" x14ac:dyDescent="0.3">
      <c r="C14" s="309"/>
      <c r="D14" s="309"/>
      <c r="E14" s="309"/>
      <c r="F14" s="309"/>
      <c r="G14" s="309"/>
      <c r="H14" s="309"/>
      <c r="I14" s="309"/>
      <c r="J14" s="309"/>
      <c r="K14" s="309"/>
      <c r="L14" s="309"/>
      <c r="M14" s="309"/>
      <c r="N14" s="309"/>
      <c r="O14" s="309"/>
      <c r="P14" s="309"/>
      <c r="Q14" s="309"/>
      <c r="R14" s="309"/>
      <c r="S14" s="309"/>
      <c r="T14" s="309"/>
      <c r="U14" s="309"/>
      <c r="V14" s="309"/>
      <c r="W14" s="309"/>
      <c r="X14" s="309"/>
      <c r="Y14" s="309"/>
      <c r="Z14" s="309"/>
      <c r="AA14" s="309"/>
      <c r="AB14" s="309"/>
      <c r="AC14" s="309"/>
      <c r="AD14" s="309"/>
      <c r="AE14" s="309"/>
      <c r="AF14" s="309"/>
      <c r="AG14" s="309"/>
      <c r="AH14" s="309"/>
      <c r="AI14" s="309"/>
      <c r="AJ14" s="309"/>
      <c r="AK14" s="309"/>
      <c r="AL14" s="309"/>
      <c r="AM14" s="309"/>
      <c r="AN14" s="309"/>
      <c r="AO14" s="309"/>
      <c r="AP14" s="309"/>
      <c r="AQ14" s="309"/>
      <c r="AR14" s="309"/>
      <c r="AS14" s="309"/>
      <c r="AT14" s="309"/>
      <c r="AU14" s="309"/>
      <c r="AV14" s="309"/>
      <c r="AW14" s="309"/>
      <c r="AX14" s="309"/>
    </row>
    <row r="15" spans="2:50" ht="15.75" thickBot="1" x14ac:dyDescent="0.3">
      <c r="B15" s="599" t="s">
        <v>4</v>
      </c>
      <c r="C15" s="600">
        <f>YEAR(electrification_input!$D$6)</f>
        <v>2018</v>
      </c>
      <c r="D15" s="601">
        <f>C15+1</f>
        <v>2019</v>
      </c>
      <c r="E15" s="602">
        <f t="shared" ref="E15:AJ15" si="2">D15+1</f>
        <v>2020</v>
      </c>
      <c r="F15" s="602">
        <f t="shared" si="2"/>
        <v>2021</v>
      </c>
      <c r="G15" s="602">
        <f t="shared" si="2"/>
        <v>2022</v>
      </c>
      <c r="H15" s="602">
        <f t="shared" si="2"/>
        <v>2023</v>
      </c>
      <c r="I15" s="602">
        <f t="shared" si="2"/>
        <v>2024</v>
      </c>
      <c r="J15" s="602">
        <f t="shared" si="2"/>
        <v>2025</v>
      </c>
      <c r="K15" s="602">
        <f t="shared" si="2"/>
        <v>2026</v>
      </c>
      <c r="L15" s="602">
        <f t="shared" si="2"/>
        <v>2027</v>
      </c>
      <c r="M15" s="602">
        <f t="shared" si="2"/>
        <v>2028</v>
      </c>
      <c r="N15" s="602">
        <f t="shared" si="2"/>
        <v>2029</v>
      </c>
      <c r="O15" s="602">
        <f t="shared" si="2"/>
        <v>2030</v>
      </c>
      <c r="P15" s="602">
        <f t="shared" si="2"/>
        <v>2031</v>
      </c>
      <c r="Q15" s="602">
        <f t="shared" si="2"/>
        <v>2032</v>
      </c>
      <c r="R15" s="602">
        <f t="shared" si="2"/>
        <v>2033</v>
      </c>
      <c r="S15" s="602">
        <f t="shared" si="2"/>
        <v>2034</v>
      </c>
      <c r="T15" s="602">
        <f t="shared" si="2"/>
        <v>2035</v>
      </c>
      <c r="U15" s="602">
        <f t="shared" si="2"/>
        <v>2036</v>
      </c>
      <c r="V15" s="602">
        <f t="shared" si="2"/>
        <v>2037</v>
      </c>
      <c r="W15" s="602">
        <f t="shared" si="2"/>
        <v>2038</v>
      </c>
      <c r="X15" s="602">
        <f t="shared" si="2"/>
        <v>2039</v>
      </c>
      <c r="Y15" s="602">
        <f t="shared" si="2"/>
        <v>2040</v>
      </c>
      <c r="Z15" s="602">
        <f t="shared" si="2"/>
        <v>2041</v>
      </c>
      <c r="AA15" s="602">
        <f t="shared" si="2"/>
        <v>2042</v>
      </c>
      <c r="AB15" s="602">
        <f t="shared" si="2"/>
        <v>2043</v>
      </c>
      <c r="AC15" s="602">
        <f t="shared" si="2"/>
        <v>2044</v>
      </c>
      <c r="AD15" s="602">
        <f t="shared" si="2"/>
        <v>2045</v>
      </c>
      <c r="AE15" s="602">
        <f t="shared" si="2"/>
        <v>2046</v>
      </c>
      <c r="AF15" s="602">
        <f t="shared" si="2"/>
        <v>2047</v>
      </c>
      <c r="AG15" s="602">
        <f t="shared" si="2"/>
        <v>2048</v>
      </c>
      <c r="AH15" s="602">
        <f t="shared" si="2"/>
        <v>2049</v>
      </c>
      <c r="AI15" s="602">
        <f t="shared" si="2"/>
        <v>2050</v>
      </c>
      <c r="AJ15" s="602">
        <f t="shared" si="2"/>
        <v>2051</v>
      </c>
      <c r="AK15" s="602">
        <f t="shared" ref="AK15" si="3">AJ15+1</f>
        <v>2052</v>
      </c>
      <c r="AL15" s="602">
        <f t="shared" ref="AL15" si="4">AK15+1</f>
        <v>2053</v>
      </c>
      <c r="AM15" s="602">
        <f t="shared" ref="AM15" si="5">AL15+1</f>
        <v>2054</v>
      </c>
      <c r="AN15" s="602">
        <f t="shared" ref="AN15" si="6">AM15+1</f>
        <v>2055</v>
      </c>
      <c r="AO15" s="602">
        <f t="shared" ref="AO15" si="7">AN15+1</f>
        <v>2056</v>
      </c>
      <c r="AP15" s="602">
        <f t="shared" ref="AP15" si="8">AO15+1</f>
        <v>2057</v>
      </c>
      <c r="AQ15" s="602">
        <f t="shared" ref="AQ15" si="9">AP15+1</f>
        <v>2058</v>
      </c>
      <c r="AR15" s="602">
        <f t="shared" ref="AR15" si="10">AQ15+1</f>
        <v>2059</v>
      </c>
      <c r="AS15" s="602">
        <f t="shared" ref="AS15" si="11">AR15+1</f>
        <v>2060</v>
      </c>
      <c r="AT15" s="602">
        <f t="shared" ref="AT15" si="12">AS15+1</f>
        <v>2061</v>
      </c>
      <c r="AU15" s="602">
        <f t="shared" ref="AU15" si="13">AT15+1</f>
        <v>2062</v>
      </c>
      <c r="AV15" s="602">
        <f t="shared" ref="AV15" si="14">AU15+1</f>
        <v>2063</v>
      </c>
      <c r="AW15" s="602">
        <f t="shared" ref="AW15" si="15">AV15+1</f>
        <v>2064</v>
      </c>
      <c r="AX15" s="602">
        <f t="shared" ref="AX15" si="16">AW15+1</f>
        <v>2065</v>
      </c>
    </row>
    <row r="16" spans="2:50" x14ac:dyDescent="0.25">
      <c r="B16" s="171" t="s">
        <v>1020</v>
      </c>
      <c r="C16" s="603">
        <f>HLOOKUP(C$35,OPEX_elec!C7:AJ9,2,FALSE)</f>
        <v>8211170.0574810412</v>
      </c>
      <c r="D16" s="603">
        <f>HLOOKUP(D$35,OPEX_elec!D7:AK10,4,FALSE)</f>
        <v>8741314.938333774</v>
      </c>
      <c r="E16" s="603">
        <f>HLOOKUP(E$35,OPEX_elec!E7:AL10,4,FALSE)</f>
        <v>9141859.8191865068</v>
      </c>
      <c r="F16" s="603">
        <f>HLOOKUP(F$35,OPEX_elec!F7:AM10,4,FALSE)</f>
        <v>9475647.2198971193</v>
      </c>
      <c r="G16" s="603">
        <f>HLOOKUP(G$35,OPEX_elec!G7:AN10,4,FALSE)</f>
        <v>9809434.62060773</v>
      </c>
      <c r="H16" s="603">
        <f>HLOOKUP(H$35,OPEX_elec!H7:AO10,4,FALSE)</f>
        <v>10143222.021318341</v>
      </c>
      <c r="I16" s="603">
        <f>HLOOKUP(I$35,OPEX_elec!I7:AP10,4,FALSE)</f>
        <v>10238589.850092802</v>
      </c>
      <c r="J16" s="603">
        <f>HLOOKUP(J$35,OPEX_elec!J7:AQ10,4,FALSE)</f>
        <v>10333957.678867264</v>
      </c>
      <c r="K16" s="603">
        <f>HLOOKUP(K$35,OPEX_elec!K7:AR10,4,FALSE)</f>
        <v>10429325.507641722</v>
      </c>
      <c r="L16" s="603">
        <f>HLOOKUP(L$35,OPEX_elec!L7:AS10,4,FALSE)</f>
        <v>10524693.336416183</v>
      </c>
      <c r="M16" s="603">
        <f>HLOOKUP(M$35,OPEX_elec!M7:AT10,4,FALSE)</f>
        <v>10620061.165190643</v>
      </c>
      <c r="N16" s="603">
        <f>HLOOKUP(N$35,OPEX_elec!N7:AU10,4,FALSE)</f>
        <v>10715428.993965106</v>
      </c>
      <c r="O16" s="603">
        <f>HLOOKUP(O$35,OPEX_elec!O7:AV10,4,FALSE)</f>
        <v>10810796.822739566</v>
      </c>
      <c r="P16" s="603">
        <f>HLOOKUP(P$35,OPEX_elec!P7:AW10,4,FALSE)</f>
        <v>10810796.822739566</v>
      </c>
      <c r="Q16" s="603">
        <f>HLOOKUP(Q$35,OPEX_elec!Q7:AX10,4,FALSE)</f>
        <v>10810796.822739566</v>
      </c>
      <c r="R16" s="603">
        <f>HLOOKUP(R$35,OPEX_elec!R7:AY10,4,FALSE)</f>
        <v>10810796.822739562</v>
      </c>
      <c r="S16" s="603">
        <f>HLOOKUP(S$35,OPEX_elec!S7:AZ10,4,FALSE)</f>
        <v>10810796.822739566</v>
      </c>
      <c r="T16" s="603">
        <f>HLOOKUP(T$35,OPEX_elec!T7:BA10,4,FALSE)</f>
        <v>10810796.822739566</v>
      </c>
      <c r="U16" s="603">
        <f>HLOOKUP(U$35,OPEX_elec!U7:BB10,4,FALSE)</f>
        <v>10810796.822739562</v>
      </c>
      <c r="V16" s="603">
        <f>HLOOKUP(V$35,OPEX_elec!V7:BC10,4,FALSE)</f>
        <v>10810796.822739566</v>
      </c>
      <c r="W16" s="603">
        <f>HLOOKUP(W$35,OPEX_elec!W7:BD10,4,FALSE)</f>
        <v>10810796.822739566</v>
      </c>
      <c r="X16" s="603">
        <f>HLOOKUP(X$35,OPEX_elec!X7:BE10,4,FALSE)</f>
        <v>10810796.822739566</v>
      </c>
      <c r="Y16" s="603">
        <f>HLOOKUP(Y$35,OPEX_elec!Y7:BF10,4,FALSE)</f>
        <v>10810796.822739562</v>
      </c>
      <c r="Z16" s="603">
        <f>HLOOKUP(Z$35,OPEX_elec!Z7:BG10,4,FALSE)</f>
        <v>10810796.822739562</v>
      </c>
      <c r="AA16" s="603">
        <f>HLOOKUP(AA$35,OPEX_elec!AA7:BH10,4,FALSE)</f>
        <v>10810796.822739562</v>
      </c>
      <c r="AB16" s="603">
        <f>HLOOKUP(AB$35,OPEX_elec!AB7:BI10,4,FALSE)</f>
        <v>10810796.822739562</v>
      </c>
      <c r="AC16" s="603">
        <f>HLOOKUP(AC$35,OPEX_elec!AC7:BJ10,4,FALSE)</f>
        <v>10810796.822739562</v>
      </c>
      <c r="AD16" s="603">
        <f>HLOOKUP(AD$35,OPEX_elec!AD7:BK10,4,FALSE)</f>
        <v>10810796.822739562</v>
      </c>
      <c r="AE16" s="603">
        <f>HLOOKUP(AE$35,OPEX_elec!AE7:BL10,4,FALSE)</f>
        <v>10810796.822739562</v>
      </c>
      <c r="AF16" s="603">
        <f>HLOOKUP(AF$35,OPEX_elec!AF7:BM10,4,FALSE)</f>
        <v>10810796.822739562</v>
      </c>
      <c r="AG16" s="603">
        <f>HLOOKUP(AG$35,OPEX_elec!AG7:BN10,4,FALSE)</f>
        <v>10810796.822739562</v>
      </c>
      <c r="AH16" s="603">
        <f>HLOOKUP(AH$35,OPEX_elec!AH7:BO10,4,FALSE)</f>
        <v>10810796.822739562</v>
      </c>
      <c r="AI16" s="603">
        <f>HLOOKUP(AI$35,OPEX_elec!AI7:BP10,4,FALSE)</f>
        <v>10810796.822739562</v>
      </c>
      <c r="AJ16" s="603" t="e">
        <f>HLOOKUP(AJ$35,OPEX_elec!AJ7:BQ10,4,FALSE)</f>
        <v>#N/A</v>
      </c>
      <c r="AK16" s="603" t="e">
        <f>HLOOKUP(AK$35,OPEX_elec!AK7:BR10,4,FALSE)</f>
        <v>#N/A</v>
      </c>
      <c r="AL16" s="603" t="e">
        <f>HLOOKUP(AL$35,OPEX_elec!AL7:BS10,4,FALSE)</f>
        <v>#N/A</v>
      </c>
      <c r="AM16" s="603" t="e">
        <f>HLOOKUP(AM$35,OPEX_elec!AM7:BT10,4,FALSE)</f>
        <v>#N/A</v>
      </c>
      <c r="AN16" s="603" t="e">
        <f>HLOOKUP(AN$35,OPEX_elec!AN7:BU10,4,FALSE)</f>
        <v>#N/A</v>
      </c>
      <c r="AO16" s="603" t="e">
        <f>HLOOKUP(AO$35,OPEX_elec!AO7:BV10,4,FALSE)</f>
        <v>#N/A</v>
      </c>
      <c r="AP16" s="603" t="e">
        <f>HLOOKUP(AP$35,OPEX_elec!AP7:BW10,4,FALSE)</f>
        <v>#N/A</v>
      </c>
      <c r="AQ16" s="603" t="e">
        <f>HLOOKUP(AQ$35,OPEX_elec!AQ7:BX10,4,FALSE)</f>
        <v>#N/A</v>
      </c>
      <c r="AR16" s="603" t="e">
        <f>HLOOKUP(AR$35,OPEX_elec!AR7:BY10,4,FALSE)</f>
        <v>#N/A</v>
      </c>
      <c r="AS16" s="603" t="e">
        <f>HLOOKUP(AS$35,OPEX_elec!AS7:BZ10,4,FALSE)</f>
        <v>#N/A</v>
      </c>
      <c r="AT16" s="603" t="e">
        <f>HLOOKUP(AT$35,OPEX_elec!AT7:CA10,4,FALSE)</f>
        <v>#N/A</v>
      </c>
      <c r="AU16" s="603" t="e">
        <f>HLOOKUP(AU$35,OPEX_elec!AU7:CB10,4,FALSE)</f>
        <v>#N/A</v>
      </c>
      <c r="AV16" s="603" t="e">
        <f>HLOOKUP(AV$35,OPEX_elec!AV7:CC10,4,FALSE)</f>
        <v>#N/A</v>
      </c>
      <c r="AW16" s="603" t="e">
        <f>HLOOKUP(AW$35,OPEX_elec!AW7:CD10,4,FALSE)</f>
        <v>#N/A</v>
      </c>
      <c r="AX16" s="603" t="e">
        <f>HLOOKUP(AX$35,OPEX_elec!AX7:CE10,4,FALSE)</f>
        <v>#N/A</v>
      </c>
    </row>
    <row r="17" spans="2:50" x14ac:dyDescent="0.25">
      <c r="B17" s="604" t="s">
        <v>1021</v>
      </c>
      <c r="C17" s="603">
        <f>HLOOKUP(C$35,OPEX_elec!C7:AJ9,3,FALSE)</f>
        <v>129600</v>
      </c>
      <c r="D17" s="603">
        <f>HLOOKUP(D$35,OPEX_elec!D7:AK9,3,FALSE)</f>
        <v>129600</v>
      </c>
      <c r="E17" s="603">
        <f>HLOOKUP(E$35,OPEX_elec!E7:AL9,3,FALSE)</f>
        <v>129600</v>
      </c>
      <c r="F17" s="603">
        <f>HLOOKUP(F$35,OPEX_elec!F7:AM9,3,FALSE)</f>
        <v>129600</v>
      </c>
      <c r="G17" s="603">
        <f>HLOOKUP(G$35,OPEX_elec!G7:AN9,3,FALSE)</f>
        <v>129600</v>
      </c>
      <c r="H17" s="603">
        <f>HLOOKUP(H$35,OPEX_elec!H7:AO9,3,FALSE)</f>
        <v>129600</v>
      </c>
      <c r="I17" s="603">
        <f>HLOOKUP(I$35,OPEX_elec!I7:AP9,3,FALSE)</f>
        <v>129600</v>
      </c>
      <c r="J17" s="603">
        <f>HLOOKUP(J$35,OPEX_elec!J7:AQ9,3,FALSE)</f>
        <v>129600</v>
      </c>
      <c r="K17" s="603">
        <f>HLOOKUP(K$35,OPEX_elec!K7:AR9,3,FALSE)</f>
        <v>129600</v>
      </c>
      <c r="L17" s="603">
        <f>HLOOKUP(L$35,OPEX_elec!L7:AS9,3,FALSE)</f>
        <v>129600</v>
      </c>
      <c r="M17" s="603">
        <f>HLOOKUP(M$35,OPEX_elec!M7:AT9,3,FALSE)</f>
        <v>129600</v>
      </c>
      <c r="N17" s="603">
        <f>HLOOKUP(N$35,OPEX_elec!N7:AU9,3,FALSE)</f>
        <v>129600</v>
      </c>
      <c r="O17" s="603">
        <f>HLOOKUP(O$35,OPEX_elec!O7:AV9,3,FALSE)</f>
        <v>129600</v>
      </c>
      <c r="P17" s="603">
        <f>HLOOKUP(P$35,OPEX_elec!P7:AW9,3,FALSE)</f>
        <v>129600</v>
      </c>
      <c r="Q17" s="603">
        <f>HLOOKUP(Q$35,OPEX_elec!Q7:AX9,3,FALSE)</f>
        <v>129600</v>
      </c>
      <c r="R17" s="603">
        <f>HLOOKUP(R$35,OPEX_elec!R7:AY9,3,FALSE)</f>
        <v>129600</v>
      </c>
      <c r="S17" s="603">
        <f>HLOOKUP(S$35,OPEX_elec!S7:AZ9,3,FALSE)</f>
        <v>129600</v>
      </c>
      <c r="T17" s="603">
        <f>HLOOKUP(T$35,OPEX_elec!T7:BA9,3,FALSE)</f>
        <v>129600</v>
      </c>
      <c r="U17" s="603">
        <f>HLOOKUP(U$35,OPEX_elec!U7:BB9,3,FALSE)</f>
        <v>129600</v>
      </c>
      <c r="V17" s="603">
        <f>HLOOKUP(V$35,OPEX_elec!V7:BC9,3,FALSE)</f>
        <v>129600</v>
      </c>
      <c r="W17" s="603">
        <f>HLOOKUP(W$35,OPEX_elec!W7:BD9,3,FALSE)</f>
        <v>129600</v>
      </c>
      <c r="X17" s="603">
        <f>HLOOKUP(X$35,OPEX_elec!X7:BE9,3,FALSE)</f>
        <v>129600</v>
      </c>
      <c r="Y17" s="603">
        <f>HLOOKUP(Y$35,OPEX_elec!Y7:BF9,3,FALSE)</f>
        <v>129600</v>
      </c>
      <c r="Z17" s="603">
        <f>HLOOKUP(Z$35,OPEX_elec!Z7:BG9,3,FALSE)</f>
        <v>129600</v>
      </c>
      <c r="AA17" s="603">
        <f>HLOOKUP(AA$35,OPEX_elec!AA7:BH9,3,FALSE)</f>
        <v>129600</v>
      </c>
      <c r="AB17" s="603">
        <f>HLOOKUP(AB$35,OPEX_elec!AB7:BI9,3,FALSE)</f>
        <v>129600</v>
      </c>
      <c r="AC17" s="603">
        <f>HLOOKUP(AC$35,OPEX_elec!AC7:BJ9,3,FALSE)</f>
        <v>129600</v>
      </c>
      <c r="AD17" s="603">
        <f>HLOOKUP(AD$35,OPEX_elec!AD7:BK9,3,FALSE)</f>
        <v>129600</v>
      </c>
      <c r="AE17" s="603">
        <f>HLOOKUP(AE$35,OPEX_elec!AE7:BL9,3,FALSE)</f>
        <v>129600</v>
      </c>
      <c r="AF17" s="603">
        <f>HLOOKUP(AF$35,OPEX_elec!AF7:BM9,3,FALSE)</f>
        <v>129600</v>
      </c>
      <c r="AG17" s="603">
        <f>HLOOKUP(AG$35,OPEX_elec!AG7:BN9,3,FALSE)</f>
        <v>129600</v>
      </c>
      <c r="AH17" s="603">
        <f>HLOOKUP(AH$35,OPEX_elec!AH7:BO9,3,FALSE)</f>
        <v>129600</v>
      </c>
      <c r="AI17" s="603">
        <f>HLOOKUP(AI$35,OPEX_elec!AI7:BP9,3,FALSE)</f>
        <v>129600</v>
      </c>
      <c r="AJ17" s="603" t="e">
        <f>HLOOKUP(AJ$35,OPEX_elec!AJ7:BQ9,3,FALSE)</f>
        <v>#N/A</v>
      </c>
      <c r="AK17" s="603" t="e">
        <f>HLOOKUP(AK$35,OPEX_elec!AK7:BR9,3,FALSE)</f>
        <v>#N/A</v>
      </c>
      <c r="AL17" s="603" t="e">
        <f>HLOOKUP(AL$35,OPEX_elec!AL7:BS9,3,FALSE)</f>
        <v>#N/A</v>
      </c>
      <c r="AM17" s="603" t="e">
        <f>HLOOKUP(AM$35,OPEX_elec!AM7:BT9,3,FALSE)</f>
        <v>#N/A</v>
      </c>
      <c r="AN17" s="603" t="e">
        <f>HLOOKUP(AN$35,OPEX_elec!AN7:BU9,3,FALSE)</f>
        <v>#N/A</v>
      </c>
      <c r="AO17" s="603" t="e">
        <f>HLOOKUP(AO$35,OPEX_elec!AO7:BV9,3,FALSE)</f>
        <v>#N/A</v>
      </c>
      <c r="AP17" s="603" t="e">
        <f>HLOOKUP(AP$35,OPEX_elec!AP7:BW9,3,FALSE)</f>
        <v>#N/A</v>
      </c>
      <c r="AQ17" s="603" t="e">
        <f>HLOOKUP(AQ$35,OPEX_elec!AQ7:BX9,3,FALSE)</f>
        <v>#N/A</v>
      </c>
      <c r="AR17" s="603" t="e">
        <f>HLOOKUP(AR$35,OPEX_elec!AR7:BY9,3,FALSE)</f>
        <v>#N/A</v>
      </c>
      <c r="AS17" s="603" t="e">
        <f>HLOOKUP(AS$35,OPEX_elec!AS7:BZ9,3,FALSE)</f>
        <v>#N/A</v>
      </c>
      <c r="AT17" s="603" t="e">
        <f>HLOOKUP(AT$35,OPEX_elec!AT7:CA9,3,FALSE)</f>
        <v>#N/A</v>
      </c>
      <c r="AU17" s="603" t="e">
        <f>HLOOKUP(AU$35,OPEX_elec!AU7:CB9,3,FALSE)</f>
        <v>#N/A</v>
      </c>
      <c r="AV17" s="603" t="e">
        <f>HLOOKUP(AV$35,OPEX_elec!AV7:CC9,3,FALSE)</f>
        <v>#N/A</v>
      </c>
      <c r="AW17" s="603" t="e">
        <f>HLOOKUP(AW$35,OPEX_elec!AW7:CD9,3,FALSE)</f>
        <v>#N/A</v>
      </c>
      <c r="AX17" s="603" t="e">
        <f>HLOOKUP(AX$35,OPEX_elec!AX7:CE9,3,FALSE)</f>
        <v>#N/A</v>
      </c>
    </row>
    <row r="20" spans="2:50" ht="21" x14ac:dyDescent="0.35">
      <c r="B20" s="595" t="s">
        <v>82</v>
      </c>
      <c r="C20" s="445"/>
      <c r="D20" s="445"/>
      <c r="E20" s="445"/>
      <c r="F20" s="445"/>
      <c r="G20" s="445"/>
      <c r="H20" s="445"/>
      <c r="I20" s="445"/>
      <c r="J20" s="445"/>
      <c r="K20" s="445"/>
      <c r="L20" s="445"/>
      <c r="M20" s="445"/>
      <c r="N20" s="445"/>
      <c r="O20" s="445"/>
      <c r="P20" s="445"/>
      <c r="Q20" s="445"/>
      <c r="R20" s="445"/>
      <c r="S20" s="445"/>
      <c r="T20" s="445"/>
      <c r="U20" s="445"/>
      <c r="V20" s="445"/>
      <c r="W20" s="445"/>
      <c r="X20" s="445"/>
      <c r="Y20" s="445"/>
      <c r="Z20" s="445"/>
      <c r="AA20" s="445"/>
      <c r="AB20" s="445"/>
      <c r="AC20" s="445"/>
      <c r="AD20" s="445"/>
      <c r="AE20" s="445"/>
      <c r="AF20" s="445"/>
      <c r="AG20" s="445"/>
      <c r="AH20" s="445"/>
      <c r="AI20" s="445"/>
      <c r="AJ20" s="445"/>
      <c r="AK20" s="445"/>
      <c r="AL20" s="445"/>
      <c r="AM20" s="445"/>
      <c r="AN20" s="445"/>
      <c r="AO20" s="445"/>
      <c r="AP20" s="445"/>
      <c r="AQ20" s="445"/>
      <c r="AR20" s="445"/>
      <c r="AS20" s="445"/>
      <c r="AT20" s="445"/>
      <c r="AU20" s="445"/>
      <c r="AV20" s="445"/>
      <c r="AW20" s="445"/>
      <c r="AX20" s="445"/>
    </row>
    <row r="23" spans="2:50" x14ac:dyDescent="0.25">
      <c r="C23" s="309">
        <f>C15</f>
        <v>2018</v>
      </c>
      <c r="D23" s="309">
        <f>C23+1</f>
        <v>2019</v>
      </c>
      <c r="E23" s="309">
        <f t="shared" ref="E23:AJ23" si="17">D23+1</f>
        <v>2020</v>
      </c>
      <c r="F23" s="309">
        <f t="shared" si="17"/>
        <v>2021</v>
      </c>
      <c r="G23" s="309">
        <f t="shared" si="17"/>
        <v>2022</v>
      </c>
      <c r="H23" s="309">
        <f t="shared" si="17"/>
        <v>2023</v>
      </c>
      <c r="I23" s="309">
        <f t="shared" si="17"/>
        <v>2024</v>
      </c>
      <c r="J23" s="309">
        <f t="shared" si="17"/>
        <v>2025</v>
      </c>
      <c r="K23" s="309">
        <f t="shared" si="17"/>
        <v>2026</v>
      </c>
      <c r="L23" s="309">
        <f t="shared" si="17"/>
        <v>2027</v>
      </c>
      <c r="M23" s="309">
        <f t="shared" si="17"/>
        <v>2028</v>
      </c>
      <c r="N23" s="309">
        <f t="shared" si="17"/>
        <v>2029</v>
      </c>
      <c r="O23" s="309">
        <f t="shared" si="17"/>
        <v>2030</v>
      </c>
      <c r="P23" s="309">
        <f t="shared" si="17"/>
        <v>2031</v>
      </c>
      <c r="Q23" s="309">
        <f t="shared" si="17"/>
        <v>2032</v>
      </c>
      <c r="R23" s="309">
        <f t="shared" si="17"/>
        <v>2033</v>
      </c>
      <c r="S23" s="309">
        <f t="shared" si="17"/>
        <v>2034</v>
      </c>
      <c r="T23" s="309">
        <f t="shared" si="17"/>
        <v>2035</v>
      </c>
      <c r="U23" s="309">
        <f t="shared" si="17"/>
        <v>2036</v>
      </c>
      <c r="V23" s="309">
        <f t="shared" si="17"/>
        <v>2037</v>
      </c>
      <c r="W23" s="309">
        <f t="shared" si="17"/>
        <v>2038</v>
      </c>
      <c r="X23" s="309">
        <f t="shared" si="17"/>
        <v>2039</v>
      </c>
      <c r="Y23" s="309">
        <f t="shared" si="17"/>
        <v>2040</v>
      </c>
      <c r="Z23" s="309">
        <f t="shared" si="17"/>
        <v>2041</v>
      </c>
      <c r="AA23" s="309">
        <f t="shared" si="17"/>
        <v>2042</v>
      </c>
      <c r="AB23" s="309">
        <f t="shared" si="17"/>
        <v>2043</v>
      </c>
      <c r="AC23" s="309">
        <f t="shared" si="17"/>
        <v>2044</v>
      </c>
      <c r="AD23" s="309">
        <f t="shared" si="17"/>
        <v>2045</v>
      </c>
      <c r="AE23" s="309">
        <f t="shared" si="17"/>
        <v>2046</v>
      </c>
      <c r="AF23" s="309">
        <f t="shared" si="17"/>
        <v>2047</v>
      </c>
      <c r="AG23" s="309">
        <f t="shared" si="17"/>
        <v>2048</v>
      </c>
      <c r="AH23" s="309">
        <f t="shared" si="17"/>
        <v>2049</v>
      </c>
      <c r="AI23" s="309">
        <f t="shared" si="17"/>
        <v>2050</v>
      </c>
      <c r="AJ23" s="309">
        <f t="shared" si="17"/>
        <v>2051</v>
      </c>
      <c r="AK23" s="309">
        <f t="shared" ref="AK23" si="18">AJ23+1</f>
        <v>2052</v>
      </c>
      <c r="AL23" s="309">
        <f t="shared" ref="AL23" si="19">AK23+1</f>
        <v>2053</v>
      </c>
      <c r="AM23" s="309">
        <f t="shared" ref="AM23" si="20">AL23+1</f>
        <v>2054</v>
      </c>
      <c r="AN23" s="309">
        <f t="shared" ref="AN23" si="21">AM23+1</f>
        <v>2055</v>
      </c>
      <c r="AO23" s="309">
        <f t="shared" ref="AO23" si="22">AN23+1</f>
        <v>2056</v>
      </c>
      <c r="AP23" s="309">
        <f t="shared" ref="AP23" si="23">AO23+1</f>
        <v>2057</v>
      </c>
      <c r="AQ23" s="309">
        <f t="shared" ref="AQ23" si="24">AP23+1</f>
        <v>2058</v>
      </c>
      <c r="AR23" s="309">
        <f t="shared" ref="AR23" si="25">AQ23+1</f>
        <v>2059</v>
      </c>
      <c r="AS23" s="309">
        <f t="shared" ref="AS23" si="26">AR23+1</f>
        <v>2060</v>
      </c>
      <c r="AT23" s="309">
        <f t="shared" ref="AT23" si="27">AS23+1</f>
        <v>2061</v>
      </c>
      <c r="AU23" s="309">
        <f t="shared" ref="AU23" si="28">AT23+1</f>
        <v>2062</v>
      </c>
      <c r="AV23" s="309">
        <f t="shared" ref="AV23" si="29">AU23+1</f>
        <v>2063</v>
      </c>
      <c r="AW23" s="309">
        <f t="shared" ref="AW23" si="30">AV23+1</f>
        <v>2064</v>
      </c>
      <c r="AX23" s="309">
        <f t="shared" ref="AX23" si="31">AW23+1</f>
        <v>2065</v>
      </c>
    </row>
    <row r="24" spans="2:50" ht="30" x14ac:dyDescent="0.25">
      <c r="B24" s="605" t="s">
        <v>1022</v>
      </c>
      <c r="C24" s="606">
        <f>IF(MOD(C23-YEAR(electrification_input!$E$55)+1,1)=0,electrification_input!$D$32,0)+IF(MOD(C23-YEAR(electrification_input!$E$55)+1,electrification_input!$D$34)=0,electrification_input!$D$33,0)</f>
        <v>1500000</v>
      </c>
      <c r="D24" s="606">
        <f>IF(MOD(D23-YEAR(electrification_input!$E$55)+1,1)=0,electrification_input!$D$32,0)+IF(MOD(D23-YEAR(electrification_input!$E$55)+1,electrification_input!$D$34)=0,electrification_input!$D$33,0)</f>
        <v>1500000</v>
      </c>
      <c r="E24" s="606">
        <f>IF(MOD(E23-YEAR(electrification_input!$E$55)+1,1)=0,electrification_input!$D$32,0)+IF(MOD(E23-YEAR(electrification_input!$E$55)+1,electrification_input!$D$34)=0,electrification_input!$D$33,0)</f>
        <v>1500000</v>
      </c>
      <c r="F24" s="606">
        <f>IF(MOD(F23-YEAR(electrification_input!$E$55)+1,1)=0,electrification_input!$D$32,0)+IF(MOD(F23-YEAR(electrification_input!$E$55)+1,electrification_input!$D$34)=0,electrification_input!$D$33,0)</f>
        <v>1500000</v>
      </c>
      <c r="G24" s="606">
        <f>IF(MOD(G23-YEAR(electrification_input!$E$55)+1,1)=0,electrification_input!$D$32,0)+IF(MOD(G23-YEAR(electrification_input!$E$55)+1,electrification_input!$D$34)=0,electrification_input!$D$33,0)</f>
        <v>1500000</v>
      </c>
      <c r="H24" s="606">
        <f>IF(MOD(H23-YEAR(electrification_input!$E$55)+1,1)=0,electrification_input!$D$32,0)+IF(MOD(H23-YEAR(electrification_input!$E$55)+1,electrification_input!$D$34)=0,electrification_input!$D$33,0)</f>
        <v>1500000</v>
      </c>
      <c r="I24" s="606">
        <f>IF(MOD(I23-YEAR(electrification_input!$E$55)+1,1)=0,electrification_input!$D$32,0)+IF(MOD(I23-YEAR(electrification_input!$E$55)+1,electrification_input!$D$34)=0,electrification_input!$D$33,0)</f>
        <v>1500000</v>
      </c>
      <c r="J24" s="606">
        <f>IF(MOD(J23-YEAR(electrification_input!$E$55)+1,1)=0,electrification_input!$D$32,0)+IF(MOD(J23-YEAR(electrification_input!$E$55)+1,electrification_input!$D$34)=0,electrification_input!$D$33,0)</f>
        <v>1500000</v>
      </c>
      <c r="K24" s="606">
        <f>IF(MOD(K23-YEAR(electrification_input!$E$55)+1,1)=0,electrification_input!$D$32,0)+IF(MOD(K23-YEAR(electrification_input!$E$55)+1,electrification_input!$D$34)=0,electrification_input!$D$33,0)</f>
        <v>1500000</v>
      </c>
      <c r="L24" s="606">
        <f>IF(MOD(L23-YEAR(electrification_input!$E$55)+1,1)=0,electrification_input!$D$32,0)+IF(MOD(L23-YEAR(electrification_input!$E$55)+1,electrification_input!$D$34)=0,electrification_input!$D$33,0)</f>
        <v>1500000</v>
      </c>
      <c r="M24" s="606">
        <f>IF(MOD(M23-YEAR(electrification_input!$E$55)+1,1)=0,electrification_input!$D$32,0)+IF(MOD(M23-YEAR(electrification_input!$E$55)+1,electrification_input!$D$34)=0,electrification_input!$D$33,0)</f>
        <v>1500000</v>
      </c>
      <c r="N24" s="606">
        <f>IF(MOD(N23-YEAR(electrification_input!$E$55)+1,1)=0,electrification_input!$D$32,0)+IF(MOD(N23-YEAR(electrification_input!$E$55)+1,electrification_input!$D$34)=0,electrification_input!$D$33,0)</f>
        <v>1500000</v>
      </c>
      <c r="O24" s="606">
        <f>IF(MOD(O23-YEAR(electrification_input!$E$55)+1,1)=0,electrification_input!$D$32,0)+IF(MOD(O23-YEAR(electrification_input!$E$55)+1,electrification_input!$D$34)=0,electrification_input!$D$33,0)</f>
        <v>1500000</v>
      </c>
      <c r="P24" s="606">
        <f>IF(MOD(P23-YEAR(electrification_input!$E$55)+1,1)=0,electrification_input!$D$32,0)+IF(MOD(P23-YEAR(electrification_input!$E$55)+1,electrification_input!$D$34)=0,electrification_input!$D$33,0)</f>
        <v>1500000</v>
      </c>
      <c r="Q24" s="606">
        <f>IF(MOD(Q23-YEAR(electrification_input!$E$55)+1,1)=0,electrification_input!$D$32,0)+IF(MOD(Q23-YEAR(electrification_input!$E$55)+1,electrification_input!$D$34)=0,electrification_input!$D$33,0)</f>
        <v>1500000</v>
      </c>
      <c r="R24" s="606">
        <f>IF(MOD(R23-YEAR(electrification_input!$E$55)+1,1)=0,electrification_input!$D$32,0)+IF(MOD(R23-YEAR(electrification_input!$E$55)+1,electrification_input!$D$34)=0,electrification_input!$D$33,0)</f>
        <v>1500000</v>
      </c>
      <c r="S24" s="606">
        <f>IF(MOD(S23-YEAR(electrification_input!$E$55)+1,1)=0,electrification_input!$D$32,0)+IF(MOD(S23-YEAR(electrification_input!$E$55)+1,electrification_input!$D$34)=0,electrification_input!$D$33,0)</f>
        <v>1500000</v>
      </c>
      <c r="T24" s="606">
        <f>IF(MOD(T23-YEAR(electrification_input!$E$55)+1,1)=0,electrification_input!$D$32,0)+IF(MOD(T23-YEAR(electrification_input!$E$55)+1,electrification_input!$D$34)=0,electrification_input!$D$33,0)</f>
        <v>1500000</v>
      </c>
      <c r="U24" s="606">
        <f>IF(MOD(U23-YEAR(electrification_input!$E$55)+1,1)=0,electrification_input!$D$32,0)+IF(MOD(U23-YEAR(electrification_input!$E$55)+1,electrification_input!$D$34)=0,electrification_input!$D$33,0)</f>
        <v>1500000</v>
      </c>
      <c r="V24" s="606">
        <f>IF(MOD(V23-YEAR(electrification_input!$E$55)+1,1)=0,electrification_input!$D$32,0)+IF(MOD(V23-YEAR(electrification_input!$E$55)+1,electrification_input!$D$34)=0,electrification_input!$D$33,0)</f>
        <v>1500000</v>
      </c>
      <c r="W24" s="606">
        <f>IF(MOD(W23-YEAR(electrification_input!$E$55)+1,1)=0,electrification_input!$D$32,0)+IF(MOD(W23-YEAR(electrification_input!$E$55)+1,electrification_input!$D$34)=0,electrification_input!$D$33,0)</f>
        <v>1500000</v>
      </c>
      <c r="X24" s="606">
        <f>IF(MOD(X23-YEAR(electrification_input!$E$55)+1,1)=0,electrification_input!$D$32,0)+IF(MOD(X23-YEAR(electrification_input!$E$55)+1,electrification_input!$D$34)=0,electrification_input!$D$33,0)</f>
        <v>1500000</v>
      </c>
      <c r="Y24" s="606">
        <f>IF(MOD(Y23-YEAR(electrification_input!$E$55)+1,1)=0,electrification_input!$D$32,0)+IF(MOD(Y23-YEAR(electrification_input!$E$55)+1,electrification_input!$D$34)=0,electrification_input!$D$33,0)</f>
        <v>1500000</v>
      </c>
      <c r="Z24" s="606">
        <f>IF(MOD(Z23-YEAR(electrification_input!$E$55)+1,1)=0,electrification_input!$D$32,0)+IF(MOD(Z23-YEAR(electrification_input!$E$55)+1,electrification_input!$D$34)=0,electrification_input!$D$33,0)</f>
        <v>1500000</v>
      </c>
      <c r="AA24" s="606">
        <f>IF(MOD(AA23-YEAR(electrification_input!$E$55)+1,1)=0,electrification_input!$D$32,0)+IF(MOD(AA23-YEAR(electrification_input!$E$55)+1,electrification_input!$D$34)=0,electrification_input!$D$33,0)</f>
        <v>1500000</v>
      </c>
      <c r="AB24" s="606">
        <f>IF(MOD(AB23-YEAR(electrification_input!$E$55)+1,1)=0,electrification_input!$D$32,0)+IF(MOD(AB23-YEAR(electrification_input!$E$55)+1,electrification_input!$D$34)=0,electrification_input!$D$33,0)</f>
        <v>1500000</v>
      </c>
      <c r="AC24" s="606">
        <f>IF(MOD(AC23-YEAR(electrification_input!$E$55)+1,1)=0,electrification_input!$D$32,0)+IF(MOD(AC23-YEAR(electrification_input!$E$55)+1,electrification_input!$D$34)=0,electrification_input!$D$33,0)</f>
        <v>1500000</v>
      </c>
      <c r="AD24" s="606">
        <f>IF(MOD(AD23-YEAR(electrification_input!$E$55)+1,1)=0,electrification_input!$D$32,0)+IF(MOD(AD23-YEAR(electrification_input!$E$55)+1,electrification_input!$D$34)=0,electrification_input!$D$33,0)</f>
        <v>1500000</v>
      </c>
      <c r="AE24" s="606">
        <f>IF(MOD(AE23-YEAR(electrification_input!$E$55)+1,1)=0,electrification_input!$D$32,0)+IF(MOD(AE23-YEAR(electrification_input!$E$55)+1,electrification_input!$D$34)=0,electrification_input!$D$33,0)</f>
        <v>1500000</v>
      </c>
      <c r="AF24" s="606">
        <f>IF(MOD(AF23-YEAR(electrification_input!$E$55)+1,1)=0,electrification_input!$D$32,0)+IF(MOD(AF23-YEAR(electrification_input!$E$55)+1,electrification_input!$D$34)=0,electrification_input!$D$33,0)</f>
        <v>1500000</v>
      </c>
      <c r="AG24" s="606">
        <f>IF(MOD(AG23-YEAR(electrification_input!$E$55)+1,1)=0,electrification_input!$D$32,0)+IF(MOD(AG23-YEAR(electrification_input!$E$55)+1,electrification_input!$D$34)=0,electrification_input!$D$33,0)</f>
        <v>1500000</v>
      </c>
      <c r="AH24" s="606">
        <f>IF(MOD(AH23-YEAR(electrification_input!$E$55)+1,1)=0,electrification_input!$D$32,0)+IF(MOD(AH23-YEAR(electrification_input!$E$55)+1,electrification_input!$D$34)=0,electrification_input!$D$33,0)</f>
        <v>1500000</v>
      </c>
      <c r="AI24" s="606">
        <f>IF(MOD(AI23-YEAR(electrification_input!$E$55)+1,1)=0,electrification_input!$D$32,0)+IF(MOD(AI23-YEAR(electrification_input!$E$55)+1,electrification_input!$D$34)=0,electrification_input!$D$33,0)</f>
        <v>1500000</v>
      </c>
      <c r="AJ24" s="606">
        <f>IF(MOD(AJ23-YEAR(electrification_input!$E$55)+1,1)=0,electrification_input!$D$32,0)+IF(MOD(AJ23-YEAR(electrification_input!$E$55)+1,electrification_input!$D$34)=0,electrification_input!$D$33,0)</f>
        <v>1500000</v>
      </c>
      <c r="AK24" s="606">
        <f>IF(MOD(AK23-YEAR(electrification_input!$E$55)+1,1)=0,electrification_input!$D$32,0)+IF(MOD(AK23-YEAR(electrification_input!$E$55)+1,electrification_input!$D$34)=0,electrification_input!$D$33,0)</f>
        <v>1500000</v>
      </c>
      <c r="AL24" s="606">
        <f>IF(MOD(AL23-YEAR(electrification_input!$E$55)+1,1)=0,electrification_input!$D$32,0)+IF(MOD(AL23-YEAR(electrification_input!$E$55)+1,electrification_input!$D$34)=0,electrification_input!$D$33,0)</f>
        <v>1500000</v>
      </c>
      <c r="AM24" s="606">
        <f>IF(MOD(AM23-YEAR(electrification_input!$E$55)+1,1)=0,electrification_input!$D$32,0)+IF(MOD(AM23-YEAR(electrification_input!$E$55)+1,electrification_input!$D$34)=0,electrification_input!$D$33,0)</f>
        <v>1500000</v>
      </c>
      <c r="AN24" s="606">
        <f>IF(MOD(AN23-YEAR(electrification_input!$E$55)+1,1)=0,electrification_input!$D$32,0)+IF(MOD(AN23-YEAR(electrification_input!$E$55)+1,electrification_input!$D$34)=0,electrification_input!$D$33,0)</f>
        <v>1500000</v>
      </c>
      <c r="AO24" s="606">
        <f>IF(MOD(AO23-YEAR(electrification_input!$E$55)+1,1)=0,electrification_input!$D$32,0)+IF(MOD(AO23-YEAR(electrification_input!$E$55)+1,electrification_input!$D$34)=0,electrification_input!$D$33,0)</f>
        <v>1500000</v>
      </c>
      <c r="AP24" s="606">
        <f>IF(MOD(AP23-YEAR(electrification_input!$E$55)+1,1)=0,electrification_input!$D$32,0)+IF(MOD(AP23-YEAR(electrification_input!$E$55)+1,electrification_input!$D$34)=0,electrification_input!$D$33,0)</f>
        <v>1500000</v>
      </c>
      <c r="AQ24" s="606">
        <f>IF(MOD(AQ23-YEAR(electrification_input!$E$55)+1,1)=0,electrification_input!$D$32,0)+IF(MOD(AQ23-YEAR(electrification_input!$E$55)+1,electrification_input!$D$34)=0,electrification_input!$D$33,0)</f>
        <v>1500000</v>
      </c>
      <c r="AR24" s="606">
        <f>IF(MOD(AR23-YEAR(electrification_input!$E$55)+1,1)=0,electrification_input!$D$32,0)+IF(MOD(AR23-YEAR(electrification_input!$E$55)+1,electrification_input!$D$34)=0,electrification_input!$D$33,0)</f>
        <v>1500000</v>
      </c>
      <c r="AS24" s="606">
        <f>IF(MOD(AS23-YEAR(electrification_input!$E$55)+1,1)=0,electrification_input!$D$32,0)+IF(MOD(AS23-YEAR(electrification_input!$E$55)+1,electrification_input!$D$34)=0,electrification_input!$D$33,0)</f>
        <v>1500000</v>
      </c>
      <c r="AT24" s="606">
        <f>IF(MOD(AT23-YEAR(electrification_input!$E$55)+1,1)=0,electrification_input!$D$32,0)+IF(MOD(AT23-YEAR(electrification_input!$E$55)+1,electrification_input!$D$34)=0,electrification_input!$D$33,0)</f>
        <v>1500000</v>
      </c>
      <c r="AU24" s="606">
        <f>IF(MOD(AU23-YEAR(electrification_input!$E$55)+1,1)=0,electrification_input!$D$32,0)+IF(MOD(AU23-YEAR(electrification_input!$E$55)+1,electrification_input!$D$34)=0,electrification_input!$D$33,0)</f>
        <v>1500000</v>
      </c>
      <c r="AV24" s="606">
        <f>IF(MOD(AV23-YEAR(electrification_input!$E$55)+1,1)=0,electrification_input!$D$32,0)+IF(MOD(AV23-YEAR(electrification_input!$E$55)+1,electrification_input!$D$34)=0,electrification_input!$D$33,0)</f>
        <v>1500000</v>
      </c>
      <c r="AW24" s="606">
        <f>IF(MOD(AW23-YEAR(electrification_input!$E$55)+1,1)=0,electrification_input!$D$32,0)+IF(MOD(AW23-YEAR(electrification_input!$E$55)+1,electrification_input!$D$34)=0,electrification_input!$D$33,0)</f>
        <v>1500000</v>
      </c>
      <c r="AX24" s="606">
        <f>IF(MOD(AX23-YEAR(electrification_input!$E$55)+1,1)=0,electrification_input!$D$32,0)+IF(MOD(AX23-YEAR(electrification_input!$E$55)+1,electrification_input!$D$34)=0,electrification_input!$D$33,0)</f>
        <v>1500000</v>
      </c>
    </row>
    <row r="25" spans="2:50" x14ac:dyDescent="0.25">
      <c r="B25" s="605"/>
      <c r="C25" s="606"/>
      <c r="D25" s="606"/>
      <c r="E25" s="606"/>
      <c r="F25" s="606"/>
      <c r="G25" s="606"/>
      <c r="H25" s="606"/>
      <c r="I25" s="606"/>
      <c r="J25" s="606"/>
      <c r="K25" s="606"/>
      <c r="L25" s="606"/>
      <c r="M25" s="606"/>
      <c r="N25" s="606"/>
      <c r="O25" s="606"/>
      <c r="P25" s="606"/>
      <c r="Q25" s="606"/>
      <c r="R25" s="606"/>
      <c r="S25" s="606"/>
      <c r="T25" s="606"/>
      <c r="U25" s="606"/>
      <c r="V25" s="606"/>
      <c r="W25" s="606"/>
      <c r="X25" s="606"/>
      <c r="Y25" s="606"/>
      <c r="Z25" s="606"/>
      <c r="AA25" s="606"/>
      <c r="AB25" s="606"/>
      <c r="AC25" s="606"/>
      <c r="AD25" s="606"/>
      <c r="AE25" s="606"/>
      <c r="AF25" s="606"/>
      <c r="AG25" s="606"/>
      <c r="AH25" s="606"/>
      <c r="AI25" s="606"/>
      <c r="AJ25" s="606"/>
      <c r="AK25" s="606"/>
      <c r="AL25" s="606"/>
      <c r="AM25" s="606"/>
      <c r="AN25" s="606"/>
      <c r="AO25" s="606"/>
      <c r="AP25" s="606"/>
      <c r="AQ25" s="606"/>
      <c r="AR25" s="606"/>
      <c r="AS25" s="606"/>
      <c r="AT25" s="606"/>
      <c r="AU25" s="606"/>
      <c r="AV25" s="606"/>
      <c r="AW25" s="606"/>
      <c r="AX25" s="606"/>
    </row>
    <row r="26" spans="2:50" x14ac:dyDescent="0.25">
      <c r="B26" s="605"/>
      <c r="C26" s="309">
        <f>Gas_production!F3</f>
        <v>2018</v>
      </c>
      <c r="D26" s="1187">
        <f>Gas_production!G3</f>
        <v>2019</v>
      </c>
      <c r="E26" s="1187">
        <f>Gas_production!H3</f>
        <v>2020</v>
      </c>
      <c r="F26" s="1187">
        <f>Gas_production!I3</f>
        <v>2021</v>
      </c>
      <c r="G26" s="1187">
        <f>Gas_production!J3</f>
        <v>2022</v>
      </c>
      <c r="H26" s="1187">
        <f>Gas_production!K3</f>
        <v>2023</v>
      </c>
      <c r="I26" s="1187">
        <f>Gas_production!L3</f>
        <v>2024</v>
      </c>
      <c r="J26" s="1187">
        <f>Gas_production!M3</f>
        <v>2025</v>
      </c>
      <c r="K26" s="1187">
        <f>Gas_production!N3</f>
        <v>2026</v>
      </c>
      <c r="L26" s="1187">
        <f>Gas_production!O3</f>
        <v>2027</v>
      </c>
      <c r="M26" s="1187">
        <f>Gas_production!P3</f>
        <v>2028</v>
      </c>
      <c r="N26" s="1187">
        <f>Gas_production!Q3</f>
        <v>2029</v>
      </c>
      <c r="O26" s="1187">
        <f>Gas_production!R3</f>
        <v>2030</v>
      </c>
      <c r="P26" s="1187">
        <f>Gas_production!S3</f>
        <v>2031</v>
      </c>
      <c r="Q26" s="1187">
        <f>Gas_production!T3</f>
        <v>2032</v>
      </c>
      <c r="R26" s="1187">
        <f>Gas_production!U3</f>
        <v>2033</v>
      </c>
      <c r="S26" s="1187">
        <f>Gas_production!V3</f>
        <v>2034</v>
      </c>
      <c r="T26" s="1187">
        <f>Gas_production!W3</f>
        <v>2035</v>
      </c>
      <c r="U26" s="1187">
        <f>Gas_production!X3</f>
        <v>2036</v>
      </c>
      <c r="V26" s="1187">
        <f>Gas_production!Y3</f>
        <v>2037</v>
      </c>
      <c r="W26" s="1187">
        <f>Gas_production!Z3</f>
        <v>2038</v>
      </c>
      <c r="X26" s="1187">
        <f>Gas_production!AA3</f>
        <v>2039</v>
      </c>
      <c r="Y26" s="1187">
        <f>Gas_production!AB3</f>
        <v>2040</v>
      </c>
      <c r="Z26" s="1187">
        <f>Gas_production!AC3</f>
        <v>2041</v>
      </c>
      <c r="AA26" s="1187">
        <f>Gas_production!AD3</f>
        <v>2042</v>
      </c>
      <c r="AB26" s="1187">
        <f>Gas_production!AE3</f>
        <v>2043</v>
      </c>
      <c r="AC26" s="1187">
        <f>Gas_production!AF3</f>
        <v>2044</v>
      </c>
      <c r="AD26" s="1187">
        <f>Gas_production!AG3</f>
        <v>2045</v>
      </c>
      <c r="AE26" s="1187">
        <f>Gas_production!AH3</f>
        <v>2046</v>
      </c>
      <c r="AF26" s="1187">
        <f>Gas_production!AI3</f>
        <v>2047</v>
      </c>
      <c r="AG26" s="1187">
        <f>Gas_production!AJ3</f>
        <v>2048</v>
      </c>
      <c r="AH26" s="1187">
        <f>Gas_production!AK3</f>
        <v>2049</v>
      </c>
      <c r="AI26" s="1187">
        <f>Gas_production!AL3</f>
        <v>2050</v>
      </c>
      <c r="AJ26" s="1187">
        <f>Gas_production!AM3</f>
        <v>2051</v>
      </c>
      <c r="AK26" s="1187">
        <f>Gas_production!AN3</f>
        <v>2052</v>
      </c>
      <c r="AL26" s="1187">
        <f>Gas_production!AO3</f>
        <v>2053</v>
      </c>
      <c r="AM26" s="1187">
        <f>Gas_production!AP3</f>
        <v>2054</v>
      </c>
      <c r="AN26" s="1187">
        <f>Gas_production!AQ3</f>
        <v>2055</v>
      </c>
      <c r="AO26" s="1187">
        <f>Gas_production!AR3</f>
        <v>2056</v>
      </c>
      <c r="AP26" s="1187">
        <f>Gas_production!AS3</f>
        <v>2057</v>
      </c>
      <c r="AQ26" s="1187">
        <f>Gas_production!AT3</f>
        <v>2058</v>
      </c>
      <c r="AR26" s="1187">
        <f>Gas_production!AU3</f>
        <v>2059</v>
      </c>
      <c r="AS26" s="1187">
        <f>Gas_production!AV3</f>
        <v>2060</v>
      </c>
      <c r="AT26" s="1187">
        <f>Gas_production!AW3</f>
        <v>2061</v>
      </c>
      <c r="AU26" s="1187">
        <f>Gas_production!AX3</f>
        <v>2062</v>
      </c>
      <c r="AV26" s="1187">
        <f>Gas_production!AY3</f>
        <v>2063</v>
      </c>
      <c r="AW26" s="1187">
        <f>Gas_production!AZ3</f>
        <v>2064</v>
      </c>
      <c r="AX26" s="1187">
        <f>Gas_production!BA3</f>
        <v>2065</v>
      </c>
    </row>
    <row r="27" spans="2:50" s="1143" customFormat="1" x14ac:dyDescent="0.25">
      <c r="B27" s="1177" t="s">
        <v>1673</v>
      </c>
      <c r="C27" s="1181">
        <f>Gas_production!F5*35.17/3.6*electrification_input!$D$29/(1000*1000)</f>
        <v>0</v>
      </c>
      <c r="D27" s="1181">
        <f>Gas_production!G5*35.17/3.6*electrification_input!$D$29/(1000*1000)</f>
        <v>0</v>
      </c>
      <c r="E27" s="1181">
        <f>Gas_production!H5*35.17/3.6*electrification_input!$D$29/(1000*1000)</f>
        <v>0</v>
      </c>
      <c r="F27" s="1181">
        <f>Gas_production!I5*35.17/3.6*electrification_input!$D$29/(1000*1000)</f>
        <v>0</v>
      </c>
      <c r="G27" s="1181">
        <f>Gas_production!J5*35.17/3.6*electrification_input!$D$29/(1000*1000)</f>
        <v>131.4</v>
      </c>
      <c r="H27" s="1181">
        <f>Gas_production!K5*35.17/3.6*electrification_input!$D$29/(1000*1000)</f>
        <v>131.4</v>
      </c>
      <c r="I27" s="1181">
        <f>Gas_production!L5*35.17/3.6*electrification_input!$D$29/(1000*1000)</f>
        <v>131.4</v>
      </c>
      <c r="J27" s="1181">
        <f>Gas_production!M5*35.17/3.6*electrification_input!$D$29/(1000*1000)</f>
        <v>131.4</v>
      </c>
      <c r="K27" s="1181">
        <f>Gas_production!N5*35.17/3.6*electrification_input!$D$29/(1000*1000)</f>
        <v>131.4</v>
      </c>
      <c r="L27" s="1181">
        <f>Gas_production!O5*35.17/3.6*electrification_input!$D$29/(1000*1000)</f>
        <v>131.4</v>
      </c>
      <c r="M27" s="1181">
        <f>Gas_production!P5*35.17/3.6*electrification_input!$D$29/(1000*1000)</f>
        <v>131.4</v>
      </c>
      <c r="N27" s="1181">
        <f>Gas_production!Q5*35.17/3.6*electrification_input!$D$29/(1000*1000)</f>
        <v>131.4</v>
      </c>
      <c r="O27" s="1181">
        <f>Gas_production!R5*35.17/3.6*electrification_input!$D$29/(1000*1000)</f>
        <v>0</v>
      </c>
      <c r="P27" s="1181">
        <f>Gas_production!S5*35.17/3.6*electrification_input!$D$29/(1000*1000)</f>
        <v>0</v>
      </c>
      <c r="Q27" s="1181">
        <f>Gas_production!T5*35.17/3.6*electrification_input!$D$29/(1000*1000)</f>
        <v>0</v>
      </c>
      <c r="R27" s="1181">
        <f>Gas_production!U5*35.17/3.6*electrification_input!$D$29/(1000*1000)</f>
        <v>0</v>
      </c>
      <c r="S27" s="1181">
        <f>Gas_production!V5*35.17/3.6*electrification_input!$D$29/(1000*1000)</f>
        <v>0</v>
      </c>
      <c r="T27" s="1181">
        <f>Gas_production!W5*35.17/3.6*electrification_input!$D$29/(1000*1000)</f>
        <v>0</v>
      </c>
      <c r="U27" s="1181">
        <f>Gas_production!X5*35.17/3.6*electrification_input!$D$29/(1000*1000)</f>
        <v>0</v>
      </c>
      <c r="V27" s="1181">
        <f>Gas_production!Y5*35.17/3.6*electrification_input!$D$29/(1000*1000)</f>
        <v>0</v>
      </c>
      <c r="W27" s="1181">
        <f>Gas_production!Z5*35.17/3.6*electrification_input!$D$29/(1000*1000)</f>
        <v>0</v>
      </c>
      <c r="X27" s="1181">
        <f>Gas_production!AA5*35.17/3.6*electrification_input!$D$29/(1000*1000)</f>
        <v>0</v>
      </c>
      <c r="Y27" s="1181">
        <f>Gas_production!AB5*35.17/3.6*electrification_input!$D$29/(1000*1000)</f>
        <v>0</v>
      </c>
      <c r="Z27" s="1181">
        <f>Gas_production!AC5*35.17/3.6*electrification_input!$D$29/(1000*1000)</f>
        <v>0</v>
      </c>
      <c r="AA27" s="1181">
        <f>Gas_production!AD5*35.17/3.6*electrification_input!$D$29/(1000*1000)</f>
        <v>0</v>
      </c>
      <c r="AB27" s="1181">
        <f>Gas_production!AE5*35.17/3.6*electrification_input!$D$29/(1000*1000)</f>
        <v>0</v>
      </c>
      <c r="AC27" s="1181">
        <f>Gas_production!AF5*35.17/3.6*electrification_input!$D$29/(1000*1000)</f>
        <v>0</v>
      </c>
      <c r="AD27" s="1181">
        <f>Gas_production!AG5*35.17/3.6*electrification_input!$D$29/(1000*1000)</f>
        <v>0</v>
      </c>
      <c r="AE27" s="1181">
        <f>Gas_production!AH5*35.17/3.6*electrification_input!$D$29/(1000*1000)</f>
        <v>0</v>
      </c>
      <c r="AF27" s="1181">
        <f>Gas_production!AI5*35.17/3.6*electrification_input!$D$29/(1000*1000)</f>
        <v>0</v>
      </c>
      <c r="AG27" s="1181">
        <f>Gas_production!AJ5*35.17/3.6*electrification_input!$D$29/(1000*1000)</f>
        <v>0</v>
      </c>
      <c r="AH27" s="1181">
        <f>Gas_production!AK5*35.17/3.6*electrification_input!$D$29/(1000*1000)</f>
        <v>0</v>
      </c>
      <c r="AI27" s="1181">
        <f>Gas_production!AL5*35.17/3.6*electrification_input!$D$29/(1000*1000)</f>
        <v>0</v>
      </c>
      <c r="AJ27" s="1181">
        <f>Gas_production!AM5*35.17/3.6*electrification_input!$D$29/(1000*1000)</f>
        <v>0</v>
      </c>
      <c r="AK27" s="1181">
        <f>Gas_production!AN5*35.17/3.6*electrification_input!$D$29/(1000*1000)</f>
        <v>0</v>
      </c>
      <c r="AL27" s="1181">
        <f>Gas_production!AO5*35.17/3.6*electrification_input!$D$29/(1000*1000)</f>
        <v>0</v>
      </c>
      <c r="AM27" s="1181">
        <f>Gas_production!AP5*35.17/3.6*electrification_input!$D$29/(1000*1000)</f>
        <v>0</v>
      </c>
      <c r="AN27" s="1181">
        <f>Gas_production!AQ5*35.17/3.6*electrification_input!$D$29/(1000*1000)</f>
        <v>0</v>
      </c>
      <c r="AO27" s="1181">
        <f>Gas_production!AR5*35.17/3.6*electrification_input!$D$29/(1000*1000)</f>
        <v>0</v>
      </c>
      <c r="AP27" s="1181">
        <f>Gas_production!AS5*35.17/3.6*electrification_input!$D$29/(1000*1000)</f>
        <v>0</v>
      </c>
      <c r="AQ27" s="1181">
        <f>Gas_production!AT5*35.17/3.6*electrification_input!$D$29/(1000*1000)</f>
        <v>0</v>
      </c>
      <c r="AR27" s="1181">
        <f>Gas_production!AU5*35.17/3.6*electrification_input!$D$29/(1000*1000)</f>
        <v>0</v>
      </c>
      <c r="AS27" s="1181">
        <f>Gas_production!AV5*35.17/3.6*electrification_input!$D$29/(1000*1000)</f>
        <v>0</v>
      </c>
      <c r="AT27" s="1181">
        <f>Gas_production!AW5*35.17/3.6*electrification_input!$D$29/(1000*1000)</f>
        <v>0</v>
      </c>
      <c r="AU27" s="1181">
        <f>Gas_production!AX5*35.17/3.6*electrification_input!$D$29/(1000*1000)</f>
        <v>0</v>
      </c>
      <c r="AV27" s="1181">
        <f>Gas_production!AY5*35.17/3.6*electrification_input!$D$29/(1000*1000)</f>
        <v>0</v>
      </c>
      <c r="AW27" s="1181">
        <f>Gas_production!AZ5*35.17/3.6*electrification_input!$D$29/(1000*1000)</f>
        <v>0</v>
      </c>
      <c r="AX27" s="1181">
        <f>Gas_production!BA5*35.17/3.6*electrification_input!$D$29/(1000*1000)</f>
        <v>0</v>
      </c>
    </row>
    <row r="28" spans="2:50" x14ac:dyDescent="0.25">
      <c r="B28" s="579" t="s">
        <v>1674</v>
      </c>
      <c r="C28" s="606">
        <f>C27*HLOOKUP(C$26,'Electricity price scenarios'!$C$24:$BB$25,2,FALSE)*1000</f>
        <v>0</v>
      </c>
      <c r="D28" s="1197">
        <f>D27*HLOOKUP(D$26,'Electricity price scenarios'!$C$24:$BB$25,2,FALSE)*1000</f>
        <v>0</v>
      </c>
      <c r="E28" s="1197">
        <f>E27*HLOOKUP(E$26,'Electricity price scenarios'!$C$24:$BB$25,2,FALSE)*1000</f>
        <v>0</v>
      </c>
      <c r="F28" s="1197">
        <f>F27*HLOOKUP(F$26,'Electricity price scenarios'!$C$24:$BB$25,2,FALSE)*1000</f>
        <v>0</v>
      </c>
      <c r="G28" s="1197">
        <f>G27*HLOOKUP(G$26,'Electricity price scenarios'!$C$24:$BB$25,2,FALSE)*1000</f>
        <v>6852322.2857142845</v>
      </c>
      <c r="H28" s="1197">
        <f>H27*HLOOKUP(H$26,'Electricity price scenarios'!$C$24:$BB$25,2,FALSE)*1000</f>
        <v>7151431.5918367337</v>
      </c>
      <c r="I28" s="1197">
        <f>I27*HLOOKUP(I$26,'Electricity price scenarios'!$C$24:$BB$25,2,FALSE)*1000</f>
        <v>7153373.8600583095</v>
      </c>
      <c r="J28" s="1197">
        <f>J27*HLOOKUP(J$26,'Electricity price scenarios'!$C$24:$BB$25,2,FALSE)*1000</f>
        <v>7155316.1282798834</v>
      </c>
      <c r="K28" s="1197">
        <f>K27*HLOOKUP(K$26,'Electricity price scenarios'!$C$24:$BB$25,2,FALSE)*1000</f>
        <v>7157258.3965014582</v>
      </c>
      <c r="L28" s="1197">
        <f>L27*HLOOKUP(L$26,'Electricity price scenarios'!$C$24:$BB$25,2,FALSE)*1000</f>
        <v>7159200.6647230322</v>
      </c>
      <c r="M28" s="1197">
        <f>M27*HLOOKUP(M$26,'Electricity price scenarios'!$C$24:$BB$25,2,FALSE)*1000</f>
        <v>7161142.9329446042</v>
      </c>
      <c r="N28" s="1197">
        <f>N27*HLOOKUP(N$26,'Electricity price scenarios'!$C$24:$BB$25,2,FALSE)*1000</f>
        <v>7163085.2011661818</v>
      </c>
      <c r="O28" s="1197">
        <f>O27*HLOOKUP(O$26,'Electricity price scenarios'!$C$24:$BB$25,2,FALSE)*1000</f>
        <v>0</v>
      </c>
      <c r="P28" s="1197">
        <f>P27*HLOOKUP(P$26,'Electricity price scenarios'!$C$24:$BB$25,2,FALSE)*1000</f>
        <v>0</v>
      </c>
      <c r="Q28" s="1197">
        <f>Q27*HLOOKUP(Q$26,'Electricity price scenarios'!$C$24:$BB$25,2,FALSE)*1000</f>
        <v>0</v>
      </c>
      <c r="R28" s="1197">
        <f>R27*HLOOKUP(R$26,'Electricity price scenarios'!$C$24:$BB$25,2,FALSE)*1000</f>
        <v>0</v>
      </c>
      <c r="S28" s="1197">
        <f>S27*HLOOKUP(S$26,'Electricity price scenarios'!$C$24:$BB$25,2,FALSE)*1000</f>
        <v>0</v>
      </c>
      <c r="T28" s="1197">
        <f>T27*HLOOKUP(T$26,'Electricity price scenarios'!$C$24:$BB$25,2,FALSE)*1000</f>
        <v>0</v>
      </c>
      <c r="U28" s="1197">
        <f>U27*HLOOKUP(U$26,'Electricity price scenarios'!$C$24:$BB$25,2,FALSE)*1000</f>
        <v>0</v>
      </c>
      <c r="V28" s="1197">
        <f>V27*HLOOKUP(V$26,'Electricity price scenarios'!$C$24:$BB$25,2,FALSE)*1000</f>
        <v>0</v>
      </c>
      <c r="W28" s="1197">
        <f>W27*HLOOKUP(W$26,'Electricity price scenarios'!$C$24:$BB$25,2,FALSE)*1000</f>
        <v>0</v>
      </c>
      <c r="X28" s="1197">
        <f>X27*HLOOKUP(X$26,'Electricity price scenarios'!$C$24:$BB$25,2,FALSE)*1000</f>
        <v>0</v>
      </c>
      <c r="Y28" s="1197">
        <f>Y27*HLOOKUP(Y$26,'Electricity price scenarios'!$C$24:$BB$25,2,FALSE)*1000</f>
        <v>0</v>
      </c>
      <c r="Z28" s="1197">
        <f>Z27*HLOOKUP(Z$26,'Electricity price scenarios'!$C$24:$BB$25,2,FALSE)*1000</f>
        <v>0</v>
      </c>
      <c r="AA28" s="1197">
        <f>AA27*HLOOKUP(AA$26,'Electricity price scenarios'!$C$24:$BB$25,2,FALSE)*1000</f>
        <v>0</v>
      </c>
      <c r="AB28" s="1197">
        <f>AB27*HLOOKUP(AB$26,'Electricity price scenarios'!$C$24:$BB$25,2,FALSE)*1000</f>
        <v>0</v>
      </c>
      <c r="AC28" s="1197">
        <f>AC27*HLOOKUP(AC$26,'Electricity price scenarios'!$C$24:$BB$25,2,FALSE)*1000</f>
        <v>0</v>
      </c>
      <c r="AD28" s="1197">
        <f>AD27*HLOOKUP(AD$26,'Electricity price scenarios'!$C$24:$BB$25,2,FALSE)*1000</f>
        <v>0</v>
      </c>
      <c r="AE28" s="1197">
        <f>AE27*HLOOKUP(AE$26,'Electricity price scenarios'!$C$24:$BB$25,2,FALSE)*1000</f>
        <v>0</v>
      </c>
      <c r="AF28" s="1197">
        <f>AF27*HLOOKUP(AF$26,'Electricity price scenarios'!$C$24:$BB$25,2,FALSE)*1000</f>
        <v>0</v>
      </c>
      <c r="AG28" s="1197">
        <f>AG27*HLOOKUP(AG$26,'Electricity price scenarios'!$C$24:$BB$25,2,FALSE)*1000</f>
        <v>0</v>
      </c>
      <c r="AH28" s="1197">
        <f>AH27*HLOOKUP(AH$26,'Electricity price scenarios'!$C$24:$BB$25,2,FALSE)*1000</f>
        <v>0</v>
      </c>
      <c r="AI28" s="1197">
        <f>AI27*HLOOKUP(AI$26,'Electricity price scenarios'!$C$24:$BB$25,2,FALSE)*1000</f>
        <v>0</v>
      </c>
      <c r="AJ28" s="1197">
        <f>AJ27*HLOOKUP(AJ$26,'Electricity price scenarios'!$C$24:$BB$25,2,FALSE)*1000</f>
        <v>0</v>
      </c>
      <c r="AK28" s="1197">
        <f>AK27*HLOOKUP(AK$26,'Electricity price scenarios'!$C$24:$BB$25,2,FALSE)*1000</f>
        <v>0</v>
      </c>
      <c r="AL28" s="1197">
        <f>AL27*HLOOKUP(AL$26,'Electricity price scenarios'!$C$24:$BB$25,2,FALSE)*1000</f>
        <v>0</v>
      </c>
      <c r="AM28" s="1197">
        <f>AM27*HLOOKUP(AM$26,'Electricity price scenarios'!$C$24:$BB$25,2,FALSE)*1000</f>
        <v>0</v>
      </c>
      <c r="AN28" s="1197">
        <f>AN27*HLOOKUP(AN$26,'Electricity price scenarios'!$C$24:$BB$25,2,FALSE)*1000</f>
        <v>0</v>
      </c>
      <c r="AO28" s="1197">
        <f>AO27*HLOOKUP(AO$26,'Electricity price scenarios'!$C$24:$BB$25,2,FALSE)*1000</f>
        <v>0</v>
      </c>
      <c r="AP28" s="1197">
        <f>AP27*HLOOKUP(AP$26,'Electricity price scenarios'!$C$24:$BB$25,2,FALSE)*1000</f>
        <v>0</v>
      </c>
      <c r="AQ28" s="1197">
        <f>AQ27*HLOOKUP(AQ$26,'Electricity price scenarios'!$C$24:$BB$25,2,FALSE)*1000</f>
        <v>0</v>
      </c>
      <c r="AR28" s="1197">
        <f>AR27*HLOOKUP(AR$26,'Electricity price scenarios'!$C$24:$BB$25,2,FALSE)*1000</f>
        <v>0</v>
      </c>
      <c r="AS28" s="1197">
        <f>AS27*HLOOKUP(AS$26,'Electricity price scenarios'!$C$24:$BB$25,2,FALSE)*1000</f>
        <v>0</v>
      </c>
      <c r="AT28" s="1197">
        <f>AT27*HLOOKUP(AT$26,'Electricity price scenarios'!$C$24:$BB$25,2,FALSE)*1000</f>
        <v>0</v>
      </c>
      <c r="AU28" s="1197">
        <f>AU27*HLOOKUP(AU$26,'Electricity price scenarios'!$C$24:$BB$25,2,FALSE)*1000</f>
        <v>0</v>
      </c>
      <c r="AV28" s="1197">
        <f>AV27*HLOOKUP(AV$26,'Electricity price scenarios'!$C$24:$BB$25,2,FALSE)*1000</f>
        <v>0</v>
      </c>
      <c r="AW28" s="1197">
        <f>AW27*HLOOKUP(AW$26,'Electricity price scenarios'!$C$24:$BB$25,2,FALSE)*1000</f>
        <v>0</v>
      </c>
      <c r="AX28" s="1197">
        <f>AX27*HLOOKUP(AX$26,'Electricity price scenarios'!$C$24:$BB$25,2,FALSE)*1000</f>
        <v>0</v>
      </c>
    </row>
    <row r="29" spans="2:50" x14ac:dyDescent="0.25">
      <c r="H29" s="1197"/>
    </row>
    <row r="30" spans="2:50" ht="30.75" thickBot="1" x14ac:dyDescent="0.3">
      <c r="B30" s="607" t="s">
        <v>1024</v>
      </c>
      <c r="C30" s="309">
        <v>2017</v>
      </c>
      <c r="D30" s="309">
        <v>2018</v>
      </c>
      <c r="E30" s="309">
        <v>2019</v>
      </c>
      <c r="F30" s="309">
        <v>2020</v>
      </c>
      <c r="G30" s="309">
        <v>2021</v>
      </c>
      <c r="H30" s="309">
        <v>2022</v>
      </c>
      <c r="I30" s="309">
        <v>2023</v>
      </c>
      <c r="J30" s="309">
        <v>2024</v>
      </c>
      <c r="K30" s="309">
        <v>2025</v>
      </c>
      <c r="L30" s="309">
        <v>2026</v>
      </c>
      <c r="M30" s="309">
        <v>2027</v>
      </c>
      <c r="N30" s="309">
        <v>2028</v>
      </c>
      <c r="O30" s="309">
        <v>2029</v>
      </c>
      <c r="P30" s="309">
        <v>2030</v>
      </c>
      <c r="Q30" s="309">
        <v>2031</v>
      </c>
      <c r="R30" s="309">
        <v>2032</v>
      </c>
      <c r="S30" s="309">
        <v>2033</v>
      </c>
      <c r="T30" s="309">
        <v>2034</v>
      </c>
      <c r="U30" s="309">
        <v>2035</v>
      </c>
      <c r="V30" s="309">
        <v>2036</v>
      </c>
      <c r="W30" s="309">
        <v>2037</v>
      </c>
      <c r="X30" s="309">
        <v>2038</v>
      </c>
      <c r="Y30" s="309">
        <v>2039</v>
      </c>
      <c r="Z30" s="309">
        <v>2040</v>
      </c>
      <c r="AA30" s="309">
        <v>2041</v>
      </c>
      <c r="AB30" s="309">
        <v>2042</v>
      </c>
      <c r="AC30" s="309">
        <v>2043</v>
      </c>
      <c r="AD30" s="309">
        <v>2044</v>
      </c>
      <c r="AE30" s="309">
        <v>2045</v>
      </c>
      <c r="AF30" s="309">
        <v>2046</v>
      </c>
      <c r="AG30" s="309">
        <v>2047</v>
      </c>
      <c r="AH30" s="309">
        <v>2048</v>
      </c>
      <c r="AI30" s="309">
        <v>2049</v>
      </c>
      <c r="AJ30" s="309">
        <v>2050</v>
      </c>
      <c r="AK30" s="309">
        <v>2050</v>
      </c>
      <c r="AL30" s="309">
        <v>2050</v>
      </c>
      <c r="AM30" s="309">
        <v>2050</v>
      </c>
      <c r="AN30" s="309">
        <v>2050</v>
      </c>
      <c r="AO30" s="309">
        <v>2050</v>
      </c>
      <c r="AP30" s="309">
        <v>2050</v>
      </c>
      <c r="AQ30" s="309">
        <v>2050</v>
      </c>
      <c r="AR30" s="309">
        <v>2050</v>
      </c>
      <c r="AS30" s="309">
        <v>2050</v>
      </c>
      <c r="AT30" s="309">
        <v>2050</v>
      </c>
      <c r="AU30" s="309">
        <v>2050</v>
      </c>
      <c r="AV30" s="309">
        <v>2050</v>
      </c>
      <c r="AW30" s="309">
        <v>2050</v>
      </c>
      <c r="AX30" s="309">
        <v>2050</v>
      </c>
    </row>
    <row r="31" spans="2:50" ht="15.75" thickBot="1" x14ac:dyDescent="0.3">
      <c r="B31" s="171" t="s">
        <v>1012</v>
      </c>
      <c r="C31" s="608">
        <f>electrification_input!$D$28*electrification_input!$D$35*1000</f>
        <v>262800</v>
      </c>
      <c r="D31" s="1112">
        <f>electrification_input!$D$28*electrification_input!$D$35*1000</f>
        <v>262800</v>
      </c>
      <c r="E31" s="1112">
        <f>electrification_input!$D$28*electrification_input!$D$35*1000</f>
        <v>262800</v>
      </c>
      <c r="F31" s="1112">
        <f>electrification_input!$D$28*electrification_input!$D$35*1000</f>
        <v>262800</v>
      </c>
      <c r="G31" s="1112">
        <f>electrification_input!$D$28*electrification_input!$D$35*1000</f>
        <v>262800</v>
      </c>
      <c r="H31" s="1112">
        <f>electrification_input!$D$28*electrification_input!$D$35*1000</f>
        <v>262800</v>
      </c>
      <c r="I31" s="1112">
        <f>electrification_input!$D$28*electrification_input!$D$35*1000</f>
        <v>262800</v>
      </c>
      <c r="J31" s="1112">
        <f>electrification_input!$D$28*electrification_input!$D$35*1000</f>
        <v>262800</v>
      </c>
      <c r="K31" s="1112">
        <f>electrification_input!$D$28*electrification_input!$D$35*1000</f>
        <v>262800</v>
      </c>
      <c r="L31" s="1112">
        <f>electrification_input!$D$28*electrification_input!$D$35*1000</f>
        <v>262800</v>
      </c>
      <c r="M31" s="1112">
        <f>electrification_input!$D$28*electrification_input!$D$35*1000</f>
        <v>262800</v>
      </c>
      <c r="N31" s="1112">
        <f>electrification_input!$D$28*electrification_input!$D$35*1000</f>
        <v>262800</v>
      </c>
      <c r="O31" s="1112">
        <f>electrification_input!$D$28*electrification_input!$D$35*1000</f>
        <v>262800</v>
      </c>
      <c r="P31" s="1112">
        <f>electrification_input!$D$28*electrification_input!$D$35*1000</f>
        <v>262800</v>
      </c>
      <c r="Q31" s="1112">
        <f>electrification_input!$D$28*electrification_input!$D$35*1000</f>
        <v>262800</v>
      </c>
      <c r="R31" s="1112">
        <f>electrification_input!$D$28*electrification_input!$D$35*1000</f>
        <v>262800</v>
      </c>
      <c r="S31" s="1112">
        <f>electrification_input!$D$28*electrification_input!$D$35*1000</f>
        <v>262800</v>
      </c>
      <c r="T31" s="1112">
        <f>electrification_input!$D$28*electrification_input!$D$35*1000</f>
        <v>262800</v>
      </c>
      <c r="U31" s="1112">
        <f>electrification_input!$D$28*electrification_input!$D$35*1000</f>
        <v>262800</v>
      </c>
      <c r="V31" s="1112">
        <f>electrification_input!$D$28*electrification_input!$D$35*1000</f>
        <v>262800</v>
      </c>
      <c r="W31" s="1112">
        <f>electrification_input!$D$28*electrification_input!$D$35*1000</f>
        <v>262800</v>
      </c>
      <c r="X31" s="1112">
        <f>electrification_input!$D$28*electrification_input!$D$35*1000</f>
        <v>262800</v>
      </c>
      <c r="Y31" s="1112">
        <f>electrification_input!$D$28*electrification_input!$D$35*1000</f>
        <v>262800</v>
      </c>
      <c r="Z31" s="1112">
        <f>electrification_input!$D$28*electrification_input!$D$35*1000</f>
        <v>262800</v>
      </c>
      <c r="AA31" s="1112">
        <f>electrification_input!$D$28*electrification_input!$D$35*1000</f>
        <v>262800</v>
      </c>
      <c r="AB31" s="1112">
        <f>electrification_input!$D$28*electrification_input!$D$35*1000</f>
        <v>262800</v>
      </c>
      <c r="AC31" s="1112">
        <f>electrification_input!$D$28*electrification_input!$D$35*1000</f>
        <v>262800</v>
      </c>
      <c r="AD31" s="1112">
        <f>electrification_input!$D$28*electrification_input!$D$35*1000</f>
        <v>262800</v>
      </c>
      <c r="AE31" s="1112">
        <f>electrification_input!$D$28*electrification_input!$D$35*1000</f>
        <v>262800</v>
      </c>
      <c r="AF31" s="1112">
        <f>electrification_input!$D$28*electrification_input!$D$35*1000</f>
        <v>262800</v>
      </c>
      <c r="AG31" s="1112">
        <f>electrification_input!$D$28*electrification_input!$D$35*1000</f>
        <v>262800</v>
      </c>
      <c r="AH31" s="1112">
        <f>electrification_input!$D$28*electrification_input!$D$35*1000</f>
        <v>262800</v>
      </c>
      <c r="AI31" s="1112">
        <f>electrification_input!$D$28*electrification_input!$D$35*1000</f>
        <v>262800</v>
      </c>
      <c r="AJ31" s="1112">
        <f>electrification_input!$D$28*electrification_input!$D$35*1000</f>
        <v>262800</v>
      </c>
      <c r="AK31" s="1112">
        <f>electrification_input!$D$28*electrification_input!$D$35*1000</f>
        <v>262800</v>
      </c>
      <c r="AL31" s="1112">
        <f>electrification_input!$D$28*electrification_input!$D$35*1000</f>
        <v>262800</v>
      </c>
      <c r="AM31" s="1112">
        <f>electrification_input!$D$28*electrification_input!$D$35*1000</f>
        <v>262800</v>
      </c>
      <c r="AN31" s="1112">
        <f>electrification_input!$D$28*electrification_input!$D$35*1000</f>
        <v>262800</v>
      </c>
      <c r="AO31" s="1112">
        <f>electrification_input!$D$28*electrification_input!$D$35*1000</f>
        <v>262800</v>
      </c>
      <c r="AP31" s="1112">
        <f>electrification_input!$D$28*electrification_input!$D$35*1000</f>
        <v>262800</v>
      </c>
      <c r="AQ31" s="1112">
        <f>electrification_input!$D$28*electrification_input!$D$35*1000</f>
        <v>262800</v>
      </c>
      <c r="AR31" s="1112">
        <f>electrification_input!$D$28*electrification_input!$D$35*1000</f>
        <v>262800</v>
      </c>
      <c r="AS31" s="1112">
        <f>electrification_input!$D$28*electrification_input!$D$35*1000</f>
        <v>262800</v>
      </c>
      <c r="AT31" s="1112">
        <f>electrification_input!$D$28*electrification_input!$D$35*1000</f>
        <v>262800</v>
      </c>
      <c r="AU31" s="1112">
        <f>electrification_input!$D$28*electrification_input!$D$35*1000</f>
        <v>262800</v>
      </c>
      <c r="AV31" s="1112">
        <f>electrification_input!$D$28*electrification_input!$D$35*1000</f>
        <v>262800</v>
      </c>
      <c r="AW31" s="1112">
        <f>electrification_input!$D$28*electrification_input!$D$35*1000</f>
        <v>262800</v>
      </c>
      <c r="AX31" s="1112">
        <f>electrification_input!$D$28*electrification_input!$D$35*1000</f>
        <v>262800</v>
      </c>
    </row>
    <row r="34" spans="2:50" ht="15.75" thickBot="1" x14ac:dyDescent="0.3"/>
    <row r="35" spans="2:50" ht="15.75" thickBot="1" x14ac:dyDescent="0.3">
      <c r="B35" s="599" t="s">
        <v>4</v>
      </c>
      <c r="C35" s="600">
        <f>YEAR(electrification_input!$D$6)</f>
        <v>2018</v>
      </c>
      <c r="D35" s="601">
        <f>C35+1</f>
        <v>2019</v>
      </c>
      <c r="E35" s="602">
        <f t="shared" ref="E35:AJ35" si="32">D35+1</f>
        <v>2020</v>
      </c>
      <c r="F35" s="602">
        <f t="shared" si="32"/>
        <v>2021</v>
      </c>
      <c r="G35" s="602">
        <f t="shared" si="32"/>
        <v>2022</v>
      </c>
      <c r="H35" s="602">
        <f t="shared" si="32"/>
        <v>2023</v>
      </c>
      <c r="I35" s="602">
        <f t="shared" si="32"/>
        <v>2024</v>
      </c>
      <c r="J35" s="602">
        <f t="shared" si="32"/>
        <v>2025</v>
      </c>
      <c r="K35" s="602">
        <f t="shared" si="32"/>
        <v>2026</v>
      </c>
      <c r="L35" s="602">
        <f t="shared" si="32"/>
        <v>2027</v>
      </c>
      <c r="M35" s="602">
        <f t="shared" si="32"/>
        <v>2028</v>
      </c>
      <c r="N35" s="602">
        <f t="shared" si="32"/>
        <v>2029</v>
      </c>
      <c r="O35" s="602">
        <f t="shared" si="32"/>
        <v>2030</v>
      </c>
      <c r="P35" s="602">
        <f t="shared" si="32"/>
        <v>2031</v>
      </c>
      <c r="Q35" s="602">
        <f t="shared" si="32"/>
        <v>2032</v>
      </c>
      <c r="R35" s="602">
        <f t="shared" si="32"/>
        <v>2033</v>
      </c>
      <c r="S35" s="602">
        <f t="shared" si="32"/>
        <v>2034</v>
      </c>
      <c r="T35" s="602">
        <f t="shared" si="32"/>
        <v>2035</v>
      </c>
      <c r="U35" s="602">
        <f t="shared" si="32"/>
        <v>2036</v>
      </c>
      <c r="V35" s="602">
        <f t="shared" si="32"/>
        <v>2037</v>
      </c>
      <c r="W35" s="602">
        <f t="shared" si="32"/>
        <v>2038</v>
      </c>
      <c r="X35" s="602">
        <f t="shared" si="32"/>
        <v>2039</v>
      </c>
      <c r="Y35" s="602">
        <f t="shared" si="32"/>
        <v>2040</v>
      </c>
      <c r="Z35" s="602">
        <f t="shared" si="32"/>
        <v>2041</v>
      </c>
      <c r="AA35" s="602">
        <f t="shared" si="32"/>
        <v>2042</v>
      </c>
      <c r="AB35" s="602">
        <f t="shared" si="32"/>
        <v>2043</v>
      </c>
      <c r="AC35" s="602">
        <f t="shared" si="32"/>
        <v>2044</v>
      </c>
      <c r="AD35" s="602">
        <f t="shared" si="32"/>
        <v>2045</v>
      </c>
      <c r="AE35" s="602">
        <f t="shared" si="32"/>
        <v>2046</v>
      </c>
      <c r="AF35" s="602">
        <f t="shared" si="32"/>
        <v>2047</v>
      </c>
      <c r="AG35" s="602">
        <f t="shared" si="32"/>
        <v>2048</v>
      </c>
      <c r="AH35" s="602">
        <f t="shared" si="32"/>
        <v>2049</v>
      </c>
      <c r="AI35" s="602">
        <f t="shared" si="32"/>
        <v>2050</v>
      </c>
      <c r="AJ35" s="602">
        <f t="shared" si="32"/>
        <v>2051</v>
      </c>
      <c r="AK35" s="602">
        <f t="shared" ref="AK35" si="33">AJ35+1</f>
        <v>2052</v>
      </c>
      <c r="AL35" s="602">
        <f t="shared" ref="AL35" si="34">AK35+1</f>
        <v>2053</v>
      </c>
      <c r="AM35" s="602">
        <f t="shared" ref="AM35" si="35">AL35+1</f>
        <v>2054</v>
      </c>
      <c r="AN35" s="602">
        <f t="shared" ref="AN35" si="36">AM35+1</f>
        <v>2055</v>
      </c>
      <c r="AO35" s="602">
        <f t="shared" ref="AO35" si="37">AN35+1</f>
        <v>2056</v>
      </c>
      <c r="AP35" s="602">
        <f t="shared" ref="AP35" si="38">AO35+1</f>
        <v>2057</v>
      </c>
      <c r="AQ35" s="602">
        <f t="shared" ref="AQ35" si="39">AP35+1</f>
        <v>2058</v>
      </c>
      <c r="AR35" s="602">
        <f t="shared" ref="AR35" si="40">AQ35+1</f>
        <v>2059</v>
      </c>
      <c r="AS35" s="602">
        <f t="shared" ref="AS35" si="41">AR35+1</f>
        <v>2060</v>
      </c>
      <c r="AT35" s="602">
        <f t="shared" ref="AT35" si="42">AS35+1</f>
        <v>2061</v>
      </c>
      <c r="AU35" s="602">
        <f t="shared" ref="AU35" si="43">AT35+1</f>
        <v>2062</v>
      </c>
      <c r="AV35" s="602">
        <f t="shared" ref="AV35" si="44">AU35+1</f>
        <v>2063</v>
      </c>
      <c r="AW35" s="602">
        <f t="shared" ref="AW35" si="45">AV35+1</f>
        <v>2064</v>
      </c>
      <c r="AX35" s="602">
        <f t="shared" ref="AX35" si="46">AW35+1</f>
        <v>2065</v>
      </c>
    </row>
    <row r="36" spans="2:50" x14ac:dyDescent="0.25">
      <c r="B36" s="609" t="s">
        <v>1025</v>
      </c>
      <c r="C36" s="603">
        <f>HLOOKUP(C$35,OPEX_elec!C23:AJ24,2,FALSE)</f>
        <v>1500000</v>
      </c>
      <c r="D36" s="603">
        <f>HLOOKUP(D$35,OPEX_elec!D23:AK24,2,FALSE)</f>
        <v>1500000</v>
      </c>
      <c r="E36" s="603">
        <f>HLOOKUP(E$35,OPEX_elec!E23:AL24,2,FALSE)</f>
        <v>1500000</v>
      </c>
      <c r="F36" s="603">
        <f>HLOOKUP(F$35,OPEX_elec!F23:AM24,2,FALSE)</f>
        <v>1500000</v>
      </c>
      <c r="G36" s="603">
        <f>HLOOKUP(G$35,OPEX_elec!G23:AN24,2,FALSE)</f>
        <v>1500000</v>
      </c>
      <c r="H36" s="603">
        <f>HLOOKUP(H$35,OPEX_elec!H23:AO24,2,FALSE)</f>
        <v>1500000</v>
      </c>
      <c r="I36" s="603">
        <f>HLOOKUP(I$35,OPEX_elec!I23:AP24,2,FALSE)</f>
        <v>1500000</v>
      </c>
      <c r="J36" s="603">
        <f>HLOOKUP(J$35,OPEX_elec!J23:AQ24,2,FALSE)</f>
        <v>1500000</v>
      </c>
      <c r="K36" s="603">
        <f>HLOOKUP(K$35,OPEX_elec!K23:AR24,2,FALSE)</f>
        <v>1500000</v>
      </c>
      <c r="L36" s="603">
        <f>HLOOKUP(L$35,OPEX_elec!L23:AS24,2,FALSE)</f>
        <v>1500000</v>
      </c>
      <c r="M36" s="603">
        <f>HLOOKUP(M$35,OPEX_elec!M23:AT24,2,FALSE)</f>
        <v>1500000</v>
      </c>
      <c r="N36" s="603">
        <f>HLOOKUP(N$35,OPEX_elec!N23:AU24,2,FALSE)</f>
        <v>1500000</v>
      </c>
      <c r="O36" s="603">
        <f>HLOOKUP(O$35,OPEX_elec!O23:AV24,2,FALSE)</f>
        <v>1500000</v>
      </c>
      <c r="P36" s="603">
        <f>HLOOKUP(P$35,OPEX_elec!P23:AW24,2,FALSE)</f>
        <v>1500000</v>
      </c>
      <c r="Q36" s="603">
        <f>HLOOKUP(Q$35,OPEX_elec!Q23:AX24,2,FALSE)</f>
        <v>1500000</v>
      </c>
      <c r="R36" s="603">
        <f>HLOOKUP(R$35,OPEX_elec!R23:AY24,2,FALSE)</f>
        <v>1500000</v>
      </c>
      <c r="S36" s="603">
        <f>HLOOKUP(S$35,OPEX_elec!S23:AZ24,2,FALSE)</f>
        <v>1500000</v>
      </c>
      <c r="T36" s="603">
        <f>HLOOKUP(T$35,OPEX_elec!T23:BA24,2,FALSE)</f>
        <v>1500000</v>
      </c>
      <c r="U36" s="603">
        <f>HLOOKUP(U$35,OPEX_elec!U23:BB24,2,FALSE)</f>
        <v>1500000</v>
      </c>
      <c r="V36" s="603">
        <f>HLOOKUP(V$35,OPEX_elec!V23:BC24,2,FALSE)</f>
        <v>1500000</v>
      </c>
      <c r="W36" s="603">
        <f>HLOOKUP(W$35,OPEX_elec!W23:BD24,2,FALSE)</f>
        <v>1500000</v>
      </c>
      <c r="X36" s="603">
        <f>HLOOKUP(X$35,OPEX_elec!X23:BE24,2,FALSE)</f>
        <v>1500000</v>
      </c>
      <c r="Y36" s="603">
        <f>HLOOKUP(Y$35,OPEX_elec!Y23:BF24,2,FALSE)</f>
        <v>1500000</v>
      </c>
      <c r="Z36" s="603">
        <f>HLOOKUP(Z$35,OPEX_elec!Z23:BG24,2,FALSE)</f>
        <v>1500000</v>
      </c>
      <c r="AA36" s="603">
        <f>HLOOKUP(AA$35,OPEX_elec!AA23:BH24,2,FALSE)</f>
        <v>1500000</v>
      </c>
      <c r="AB36" s="603">
        <f>HLOOKUP(AB$35,OPEX_elec!AB23:BI24,2,FALSE)</f>
        <v>1500000</v>
      </c>
      <c r="AC36" s="603">
        <f>HLOOKUP(AC$35,OPEX_elec!AC23:BJ24,2,FALSE)</f>
        <v>1500000</v>
      </c>
      <c r="AD36" s="603">
        <f>HLOOKUP(AD$35,OPEX_elec!AD23:BK24,2,FALSE)</f>
        <v>1500000</v>
      </c>
      <c r="AE36" s="603">
        <f>HLOOKUP(AE$35,OPEX_elec!AE23:BL24,2,FALSE)</f>
        <v>1500000</v>
      </c>
      <c r="AF36" s="603">
        <f>HLOOKUP(AF$35,OPEX_elec!AF23:BM24,2,FALSE)</f>
        <v>1500000</v>
      </c>
      <c r="AG36" s="603">
        <f>HLOOKUP(AG$35,OPEX_elec!AG23:BN24,2,FALSE)</f>
        <v>1500000</v>
      </c>
      <c r="AH36" s="603">
        <f>HLOOKUP(AH$35,OPEX_elec!AH23:BO24,2,FALSE)</f>
        <v>1500000</v>
      </c>
      <c r="AI36" s="603">
        <f>HLOOKUP(AI$35,OPEX_elec!AI23:BP24,2,FALSE)</f>
        <v>1500000</v>
      </c>
      <c r="AJ36" s="603">
        <f>HLOOKUP(AJ$35,OPEX_elec!AJ23:BQ24,2,FALSE)</f>
        <v>1500000</v>
      </c>
      <c r="AK36" s="603">
        <f>HLOOKUP(AK$35,OPEX_elec!AK23:BR24,2,FALSE)</f>
        <v>1500000</v>
      </c>
      <c r="AL36" s="603">
        <f>HLOOKUP(AL$35,OPEX_elec!AL23:BS24,2,FALSE)</f>
        <v>1500000</v>
      </c>
      <c r="AM36" s="603">
        <f>HLOOKUP(AM$35,OPEX_elec!AM23:BT24,2,FALSE)</f>
        <v>1500000</v>
      </c>
      <c r="AN36" s="603">
        <f>HLOOKUP(AN$35,OPEX_elec!AN23:BU24,2,FALSE)</f>
        <v>1500000</v>
      </c>
      <c r="AO36" s="603">
        <f>HLOOKUP(AO$35,OPEX_elec!AO23:BV24,2,FALSE)</f>
        <v>1500000</v>
      </c>
      <c r="AP36" s="603">
        <f>HLOOKUP(AP$35,OPEX_elec!AP23:BW24,2,FALSE)</f>
        <v>1500000</v>
      </c>
      <c r="AQ36" s="603">
        <f>HLOOKUP(AQ$35,OPEX_elec!AQ23:BX24,2,FALSE)</f>
        <v>1500000</v>
      </c>
      <c r="AR36" s="603">
        <f>HLOOKUP(AR$35,OPEX_elec!AR23:BY24,2,FALSE)</f>
        <v>1500000</v>
      </c>
      <c r="AS36" s="603">
        <f>HLOOKUP(AS$35,OPEX_elec!AS23:BZ24,2,FALSE)</f>
        <v>1500000</v>
      </c>
      <c r="AT36" s="603">
        <f>HLOOKUP(AT$35,OPEX_elec!AT23:CA24,2,FALSE)</f>
        <v>1500000</v>
      </c>
      <c r="AU36" s="603">
        <f>HLOOKUP(AU$35,OPEX_elec!AU23:CB24,2,FALSE)</f>
        <v>1500000</v>
      </c>
      <c r="AV36" s="603">
        <f>HLOOKUP(AV$35,OPEX_elec!AV23:CC24,2,FALSE)</f>
        <v>1500000</v>
      </c>
      <c r="AW36" s="603">
        <f>HLOOKUP(AW$35,OPEX_elec!AW23:CD24,2,FALSE)</f>
        <v>1500000</v>
      </c>
      <c r="AX36" s="603">
        <f>HLOOKUP(AX$35,OPEX_elec!AX23:CE24,2,FALSE)</f>
        <v>1500000</v>
      </c>
    </row>
    <row r="37" spans="2:50" x14ac:dyDescent="0.25">
      <c r="B37" s="610" t="s">
        <v>1023</v>
      </c>
      <c r="C37" s="603">
        <f>HLOOKUP(C$35,OPEX_elec!$C$26:$AX$28,3,FALSE)</f>
        <v>0</v>
      </c>
      <c r="D37" s="1196">
        <f>HLOOKUP(D$35,OPEX_elec!$C$26:$AX$28,3,FALSE)</f>
        <v>0</v>
      </c>
      <c r="E37" s="1196">
        <f>HLOOKUP(E$35,OPEX_elec!$C$26:$AX$28,3,FALSE)</f>
        <v>0</v>
      </c>
      <c r="F37" s="1196">
        <f>HLOOKUP(F$35,OPEX_elec!$C$26:$AX$28,3,FALSE)</f>
        <v>0</v>
      </c>
      <c r="G37" s="1196">
        <f>HLOOKUP(G$35,OPEX_elec!$C$26:$AX$28,3,FALSE)</f>
        <v>6852322.2857142845</v>
      </c>
      <c r="H37" s="1196">
        <f>HLOOKUP(H$35,OPEX_elec!$C$26:$AX$28,3,FALSE)</f>
        <v>7151431.5918367337</v>
      </c>
      <c r="I37" s="1196">
        <f>HLOOKUP(I$35,OPEX_elec!$C$26:$AX$28,3,FALSE)</f>
        <v>7153373.8600583095</v>
      </c>
      <c r="J37" s="1196">
        <f>HLOOKUP(J$35,OPEX_elec!$C$26:$AX$28,3,FALSE)</f>
        <v>7155316.1282798834</v>
      </c>
      <c r="K37" s="1196">
        <f>HLOOKUP(K$35,OPEX_elec!$C$26:$AX$28,3,FALSE)</f>
        <v>7157258.3965014582</v>
      </c>
      <c r="L37" s="1196">
        <f>HLOOKUP(L$35,OPEX_elec!$C$26:$AX$28,3,FALSE)</f>
        <v>7159200.6647230322</v>
      </c>
      <c r="M37" s="1196">
        <f>HLOOKUP(M$35,OPEX_elec!$C$26:$AX$28,3,FALSE)</f>
        <v>7161142.9329446042</v>
      </c>
      <c r="N37" s="1196">
        <f>HLOOKUP(N$35,OPEX_elec!$C$26:$AX$28,3,FALSE)</f>
        <v>7163085.2011661818</v>
      </c>
      <c r="O37" s="1196">
        <f>HLOOKUP(O$35,OPEX_elec!$C$26:$AX$28,3,FALSE)</f>
        <v>0</v>
      </c>
      <c r="P37" s="1196">
        <f>HLOOKUP(P$35,OPEX_elec!$C$26:$AX$28,3,FALSE)</f>
        <v>0</v>
      </c>
      <c r="Q37" s="1196">
        <f>HLOOKUP(Q$35,OPEX_elec!$C$26:$AX$28,3,FALSE)</f>
        <v>0</v>
      </c>
      <c r="R37" s="1196">
        <f>HLOOKUP(R$35,OPEX_elec!$C$26:$AX$28,3,FALSE)</f>
        <v>0</v>
      </c>
      <c r="S37" s="1196">
        <f>HLOOKUP(S$35,OPEX_elec!$C$26:$AX$28,3,FALSE)</f>
        <v>0</v>
      </c>
      <c r="T37" s="1196">
        <f>HLOOKUP(T$35,OPEX_elec!$C$26:$AX$28,3,FALSE)</f>
        <v>0</v>
      </c>
      <c r="U37" s="1196">
        <f>HLOOKUP(U$35,OPEX_elec!$C$26:$AX$28,3,FALSE)</f>
        <v>0</v>
      </c>
      <c r="V37" s="1196">
        <f>HLOOKUP(V$35,OPEX_elec!$C$26:$AX$28,3,FALSE)</f>
        <v>0</v>
      </c>
      <c r="W37" s="1196">
        <f>HLOOKUP(W$35,OPEX_elec!$C$26:$AX$28,3,FALSE)</f>
        <v>0</v>
      </c>
      <c r="X37" s="1196">
        <f>HLOOKUP(X$35,OPEX_elec!$C$26:$AX$28,3,FALSE)</f>
        <v>0</v>
      </c>
      <c r="Y37" s="1196">
        <f>HLOOKUP(Y$35,OPEX_elec!$C$26:$AX$28,3,FALSE)</f>
        <v>0</v>
      </c>
      <c r="Z37" s="1196">
        <f>HLOOKUP(Z$35,OPEX_elec!$C$26:$AX$28,3,FALSE)</f>
        <v>0</v>
      </c>
      <c r="AA37" s="1196">
        <f>HLOOKUP(AA$35,OPEX_elec!$C$26:$AX$28,3,FALSE)</f>
        <v>0</v>
      </c>
      <c r="AB37" s="1196">
        <f>HLOOKUP(AB$35,OPEX_elec!$C$26:$AX$28,3,FALSE)</f>
        <v>0</v>
      </c>
      <c r="AC37" s="1196">
        <f>HLOOKUP(AC$35,OPEX_elec!$C$26:$AX$28,3,FALSE)</f>
        <v>0</v>
      </c>
      <c r="AD37" s="1196">
        <f>HLOOKUP(AD$35,OPEX_elec!$C$26:$AX$28,3,FALSE)</f>
        <v>0</v>
      </c>
      <c r="AE37" s="1196">
        <f>HLOOKUP(AE$35,OPEX_elec!$C$26:$AX$28,3,FALSE)</f>
        <v>0</v>
      </c>
      <c r="AF37" s="1196">
        <f>HLOOKUP(AF$35,OPEX_elec!$C$26:$AX$28,3,FALSE)</f>
        <v>0</v>
      </c>
      <c r="AG37" s="1196">
        <f>HLOOKUP(AG$35,OPEX_elec!$C$26:$AX$28,3,FALSE)</f>
        <v>0</v>
      </c>
      <c r="AH37" s="1196">
        <f>HLOOKUP(AH$35,OPEX_elec!$C$26:$AX$28,3,FALSE)</f>
        <v>0</v>
      </c>
      <c r="AI37" s="1196">
        <f>HLOOKUP(AI$35,OPEX_elec!$C$26:$AX$28,3,FALSE)</f>
        <v>0</v>
      </c>
      <c r="AJ37" s="1196">
        <f>HLOOKUP(AJ$35,OPEX_elec!$C$26:$AX$28,3,FALSE)</f>
        <v>0</v>
      </c>
      <c r="AK37" s="1196">
        <f>HLOOKUP(AK$35,OPEX_elec!$C$26:$AX$28,3,FALSE)</f>
        <v>0</v>
      </c>
      <c r="AL37" s="1196">
        <f>HLOOKUP(AL$35,OPEX_elec!$C$26:$AX$28,3,FALSE)</f>
        <v>0</v>
      </c>
      <c r="AM37" s="1196">
        <f>HLOOKUP(AM$35,OPEX_elec!$C$26:$AX$28,3,FALSE)</f>
        <v>0</v>
      </c>
      <c r="AN37" s="1196">
        <f>HLOOKUP(AN$35,OPEX_elec!$C$26:$AX$28,3,FALSE)</f>
        <v>0</v>
      </c>
      <c r="AO37" s="1196">
        <f>HLOOKUP(AO$35,OPEX_elec!$C$26:$AX$28,3,FALSE)</f>
        <v>0</v>
      </c>
      <c r="AP37" s="1196">
        <f>HLOOKUP(AP$35,OPEX_elec!$C$26:$AX$28,3,FALSE)</f>
        <v>0</v>
      </c>
      <c r="AQ37" s="1196">
        <f>HLOOKUP(AQ$35,OPEX_elec!$C$26:$AX$28,3,FALSE)</f>
        <v>0</v>
      </c>
      <c r="AR37" s="1196">
        <f>HLOOKUP(AR$35,OPEX_elec!$C$26:$AX$28,3,FALSE)</f>
        <v>0</v>
      </c>
      <c r="AS37" s="1196">
        <f>HLOOKUP(AS$35,OPEX_elec!$C$26:$AX$28,3,FALSE)</f>
        <v>0</v>
      </c>
      <c r="AT37" s="1196">
        <f>HLOOKUP(AT$35,OPEX_elec!$C$26:$AX$28,3,FALSE)</f>
        <v>0</v>
      </c>
      <c r="AU37" s="1196">
        <f>HLOOKUP(AU$35,OPEX_elec!$C$26:$AX$28,3,FALSE)</f>
        <v>0</v>
      </c>
      <c r="AV37" s="1196">
        <f>HLOOKUP(AV$35,OPEX_elec!$C$26:$AX$28,3,FALSE)</f>
        <v>0</v>
      </c>
      <c r="AW37" s="1196">
        <f>HLOOKUP(AW$35,OPEX_elec!$C$26:$AX$28,3,FALSE)</f>
        <v>0</v>
      </c>
      <c r="AX37" s="1196">
        <f>HLOOKUP(AX$35,OPEX_elec!$C$26:$AX$28,3,FALSE)</f>
        <v>0</v>
      </c>
    </row>
    <row r="38" spans="2:50" ht="15.75" thickBot="1" x14ac:dyDescent="0.3">
      <c r="B38" s="611" t="s">
        <v>1012</v>
      </c>
      <c r="C38" s="603">
        <f>HLOOKUP(C$35,OPEX_elec!C30:AJ31,2,FALSE)</f>
        <v>262800</v>
      </c>
      <c r="D38" s="603">
        <f>HLOOKUP(D$35,OPEX_elec!D30:AK31,2,FALSE)</f>
        <v>262800</v>
      </c>
      <c r="E38" s="603">
        <f>HLOOKUP(E$35,OPEX_elec!E30:AL31,2,FALSE)</f>
        <v>262800</v>
      </c>
      <c r="F38" s="603">
        <f>HLOOKUP(F$35,OPEX_elec!F30:AM31,2,FALSE)</f>
        <v>262800</v>
      </c>
      <c r="G38" s="603">
        <f>HLOOKUP(G$35,OPEX_elec!G30:AN31,2,FALSE)</f>
        <v>262800</v>
      </c>
      <c r="H38" s="603">
        <f>HLOOKUP(H$35,OPEX_elec!H30:AO31,2,FALSE)</f>
        <v>262800</v>
      </c>
      <c r="I38" s="603">
        <f>HLOOKUP(I$35,OPEX_elec!I30:AP31,2,FALSE)</f>
        <v>262800</v>
      </c>
      <c r="J38" s="603">
        <f>HLOOKUP(J$35,OPEX_elec!J30:AQ31,2,FALSE)</f>
        <v>262800</v>
      </c>
      <c r="K38" s="603">
        <f>HLOOKUP(K$35,OPEX_elec!K30:AR31,2,FALSE)</f>
        <v>262800</v>
      </c>
      <c r="L38" s="603">
        <f>HLOOKUP(L$35,OPEX_elec!L30:AS31,2,FALSE)</f>
        <v>262800</v>
      </c>
      <c r="M38" s="603">
        <f>HLOOKUP(M$35,OPEX_elec!M30:AT31,2,FALSE)</f>
        <v>262800</v>
      </c>
      <c r="N38" s="603">
        <f>HLOOKUP(N$35,OPEX_elec!N30:AU31,2,FALSE)</f>
        <v>262800</v>
      </c>
      <c r="O38" s="603">
        <f>HLOOKUP(O$35,OPEX_elec!O30:AV31,2,FALSE)</f>
        <v>262800</v>
      </c>
      <c r="P38" s="603">
        <f>HLOOKUP(P$35,OPEX_elec!P30:AW31,2,FALSE)</f>
        <v>262800</v>
      </c>
      <c r="Q38" s="603">
        <f>HLOOKUP(Q$35,OPEX_elec!Q30:AX31,2,FALSE)</f>
        <v>262800</v>
      </c>
      <c r="R38" s="603">
        <f>HLOOKUP(R$35,OPEX_elec!R30:AY31,2,FALSE)</f>
        <v>262800</v>
      </c>
      <c r="S38" s="603">
        <f>HLOOKUP(S$35,OPEX_elec!S30:AZ31,2,FALSE)</f>
        <v>262800</v>
      </c>
      <c r="T38" s="603">
        <f>HLOOKUP(T$35,OPEX_elec!T30:BA31,2,FALSE)</f>
        <v>262800</v>
      </c>
      <c r="U38" s="603">
        <f>HLOOKUP(U$35,OPEX_elec!U30:BB31,2,FALSE)</f>
        <v>262800</v>
      </c>
      <c r="V38" s="603">
        <f>HLOOKUP(V$35,OPEX_elec!V30:BC31,2,FALSE)</f>
        <v>262800</v>
      </c>
      <c r="W38" s="603">
        <f>HLOOKUP(W$35,OPEX_elec!W30:BD31,2,FALSE)</f>
        <v>262800</v>
      </c>
      <c r="X38" s="603">
        <f>HLOOKUP(X$35,OPEX_elec!X30:BE31,2,FALSE)</f>
        <v>262800</v>
      </c>
      <c r="Y38" s="603">
        <f>HLOOKUP(Y$35,OPEX_elec!Y30:BF31,2,FALSE)</f>
        <v>262800</v>
      </c>
      <c r="Z38" s="603">
        <f>HLOOKUP(Z$35,OPEX_elec!Z30:BG31,2,FALSE)</f>
        <v>262800</v>
      </c>
      <c r="AA38" s="603">
        <f>HLOOKUP(AA$35,OPEX_elec!AA30:BH31,2,FALSE)</f>
        <v>262800</v>
      </c>
      <c r="AB38" s="603">
        <f>HLOOKUP(AB$35,OPEX_elec!AB30:BI31,2,FALSE)</f>
        <v>262800</v>
      </c>
      <c r="AC38" s="603">
        <f>HLOOKUP(AC$35,OPEX_elec!AC30:BJ31,2,FALSE)</f>
        <v>262800</v>
      </c>
      <c r="AD38" s="603">
        <f>HLOOKUP(AD$35,OPEX_elec!AD30:BK31,2,FALSE)</f>
        <v>262800</v>
      </c>
      <c r="AE38" s="603">
        <f>HLOOKUP(AE$35,OPEX_elec!AE30:BL31,2,FALSE)</f>
        <v>262800</v>
      </c>
      <c r="AF38" s="603">
        <f>HLOOKUP(AF$35,OPEX_elec!AF30:BM31,2,FALSE)</f>
        <v>262800</v>
      </c>
      <c r="AG38" s="603">
        <f>HLOOKUP(AG$35,OPEX_elec!AG30:BN31,2,FALSE)</f>
        <v>262800</v>
      </c>
      <c r="AH38" s="603">
        <f>HLOOKUP(AH$35,OPEX_elec!AH30:BO31,2,FALSE)</f>
        <v>262800</v>
      </c>
      <c r="AI38" s="603">
        <f>HLOOKUP(AI$35,OPEX_elec!AI30:BP31,2,FALSE)</f>
        <v>262800</v>
      </c>
      <c r="AJ38" s="603" t="e">
        <f>HLOOKUP(AJ$35,OPEX_elec!AJ30:BQ31,2,FALSE)</f>
        <v>#N/A</v>
      </c>
      <c r="AK38" s="603" t="e">
        <f>HLOOKUP(AK$35,OPEX_elec!AK30:BR31,2,FALSE)</f>
        <v>#N/A</v>
      </c>
      <c r="AL38" s="603" t="e">
        <f>HLOOKUP(AL$35,OPEX_elec!AL30:BS31,2,FALSE)</f>
        <v>#N/A</v>
      </c>
      <c r="AM38" s="603" t="e">
        <f>HLOOKUP(AM$35,OPEX_elec!AM30:BT31,2,FALSE)</f>
        <v>#N/A</v>
      </c>
      <c r="AN38" s="603" t="e">
        <f>HLOOKUP(AN$35,OPEX_elec!AN30:BU31,2,FALSE)</f>
        <v>#N/A</v>
      </c>
      <c r="AO38" s="603" t="e">
        <f>HLOOKUP(AO$35,OPEX_elec!AO30:BV31,2,FALSE)</f>
        <v>#N/A</v>
      </c>
      <c r="AP38" s="603" t="e">
        <f>HLOOKUP(AP$35,OPEX_elec!AP30:BW31,2,FALSE)</f>
        <v>#N/A</v>
      </c>
      <c r="AQ38" s="603" t="e">
        <f>HLOOKUP(AQ$35,OPEX_elec!AQ30:BX31,2,FALSE)</f>
        <v>#N/A</v>
      </c>
      <c r="AR38" s="603" t="e">
        <f>HLOOKUP(AR$35,OPEX_elec!AR30:BY31,2,FALSE)</f>
        <v>#N/A</v>
      </c>
      <c r="AS38" s="603" t="e">
        <f>HLOOKUP(AS$35,OPEX_elec!AS30:BZ31,2,FALSE)</f>
        <v>#N/A</v>
      </c>
      <c r="AT38" s="603" t="e">
        <f>HLOOKUP(AT$35,OPEX_elec!AT30:CA31,2,FALSE)</f>
        <v>#N/A</v>
      </c>
      <c r="AU38" s="603" t="e">
        <f>HLOOKUP(AU$35,OPEX_elec!AU30:CB31,2,FALSE)</f>
        <v>#N/A</v>
      </c>
      <c r="AV38" s="603" t="e">
        <f>HLOOKUP(AV$35,OPEX_elec!AV30:CC31,2,FALSE)</f>
        <v>#N/A</v>
      </c>
      <c r="AW38" s="603" t="e">
        <f>HLOOKUP(AW$35,OPEX_elec!AW30:CD31,2,FALSE)</f>
        <v>#N/A</v>
      </c>
      <c r="AX38" s="603" t="e">
        <f>HLOOKUP(AX$35,OPEX_elec!AX30:CE31,2,FALSE)</f>
        <v>#N/A</v>
      </c>
    </row>
  </sheetData>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27"/>
  <dimension ref="B1:C6"/>
  <sheetViews>
    <sheetView workbookViewId="0"/>
  </sheetViews>
  <sheetFormatPr defaultColWidth="9.140625" defaultRowHeight="15" x14ac:dyDescent="0.25"/>
  <cols>
    <col min="1" max="1" width="9.140625" style="171"/>
    <col min="2" max="2" width="21" style="171" customWidth="1"/>
    <col min="3" max="3" width="16.42578125" style="171" customWidth="1"/>
    <col min="4" max="16384" width="9.140625" style="171"/>
  </cols>
  <sheetData>
    <row r="1" spans="2:3" x14ac:dyDescent="0.25">
      <c r="B1" s="612" t="s">
        <v>1026</v>
      </c>
    </row>
    <row r="3" spans="2:3" x14ac:dyDescent="0.25">
      <c r="B3" s="309" t="s">
        <v>592</v>
      </c>
      <c r="C3" s="309" t="s">
        <v>591</v>
      </c>
    </row>
    <row r="4" spans="2:3" x14ac:dyDescent="0.25">
      <c r="B4" s="171">
        <v>1</v>
      </c>
      <c r="C4" s="171" t="s">
        <v>1027</v>
      </c>
    </row>
    <row r="5" spans="2:3" x14ac:dyDescent="0.25">
      <c r="B5" s="613">
        <f>(9769+4/9)/1000000000</f>
        <v>9.7694444444444457E-6</v>
      </c>
      <c r="C5" s="171" t="s">
        <v>1028</v>
      </c>
    </row>
    <row r="6" spans="2:3" x14ac:dyDescent="0.25">
      <c r="B6" s="614">
        <f>B5*1000</f>
        <v>9.7694444444444452E-3</v>
      </c>
      <c r="C6" s="171" t="s">
        <v>68</v>
      </c>
    </row>
  </sheetData>
  <hyperlinks>
    <hyperlink ref="B1" r:id="rId1" xr:uid="{00000000-0004-0000-3600-000000000000}"/>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55</vt:i4>
      </vt:variant>
      <vt:variant>
        <vt:lpstr>Named Ranges</vt:lpstr>
      </vt:variant>
      <vt:variant>
        <vt:i4>1</vt:i4>
      </vt:variant>
    </vt:vector>
  </HeadingPairs>
  <TitlesOfParts>
    <vt:vector size="56" baseType="lpstr">
      <vt:lpstr>Cover page</vt:lpstr>
      <vt:lpstr>Table of contents</vt:lpstr>
      <vt:lpstr>Assumptions</vt:lpstr>
      <vt:lpstr>Scenarios</vt:lpstr>
      <vt:lpstr>scenario_names</vt:lpstr>
      <vt:lpstr>Parameters</vt:lpstr>
      <vt:lpstr>Visuals</vt:lpstr>
      <vt:lpstr>Output</vt:lpstr>
      <vt:lpstr>Output E</vt:lpstr>
      <vt:lpstr>Output CCS</vt:lpstr>
      <vt:lpstr>Output H2 S</vt:lpstr>
      <vt:lpstr>Output H2 L</vt:lpstr>
      <vt:lpstr>Gas price scenarios</vt:lpstr>
      <vt:lpstr>Electricity price scenarios</vt:lpstr>
      <vt:lpstr>CO2 price scenarios</vt:lpstr>
      <vt:lpstr>Frontier</vt:lpstr>
      <vt:lpstr>NEV Tabel 3a Prijzen V</vt:lpstr>
      <vt:lpstr>NEV Tabel 3b Prijzen VV</vt:lpstr>
      <vt:lpstr>E_cable_costs</vt:lpstr>
      <vt:lpstr>CO2 --&gt;</vt:lpstr>
      <vt:lpstr>CO2 COMPRESSION</vt:lpstr>
      <vt:lpstr>CO2 PIPELINE</vt:lpstr>
      <vt:lpstr>CO2 INJECTION</vt:lpstr>
      <vt:lpstr>CO2 PLATFORM</vt:lpstr>
      <vt:lpstr>CO2 decom &amp; refub</vt:lpstr>
      <vt:lpstr>SMALL H2 --&gt;</vt:lpstr>
      <vt:lpstr>ELECTROLYSIS S</vt:lpstr>
      <vt:lpstr>H2 COMPRESSION S</vt:lpstr>
      <vt:lpstr>H2 PIPELINE S</vt:lpstr>
      <vt:lpstr>H2 PLATFORM S</vt:lpstr>
      <vt:lpstr>H2 decom &amp; refub S</vt:lpstr>
      <vt:lpstr>LARGE H2 --&gt;</vt:lpstr>
      <vt:lpstr>ELECTROLYSIS</vt:lpstr>
      <vt:lpstr>H2 COMPRESSION</vt:lpstr>
      <vt:lpstr>H2 PIPELINE</vt:lpstr>
      <vt:lpstr>H2 PLATFORM</vt:lpstr>
      <vt:lpstr>H2 decom &amp; refub L</vt:lpstr>
      <vt:lpstr>Databases</vt:lpstr>
      <vt:lpstr>DATABASE CO2 STORAGE</vt:lpstr>
      <vt:lpstr>DATABASE PLATFORMS</vt:lpstr>
      <vt:lpstr>APX Input</vt:lpstr>
      <vt:lpstr>Prices</vt:lpstr>
      <vt:lpstr>P-D-T TABLES DATABASE</vt:lpstr>
      <vt:lpstr>Electrification --&gt;</vt:lpstr>
      <vt:lpstr>electrification_input</vt:lpstr>
      <vt:lpstr>Investments_elec</vt:lpstr>
      <vt:lpstr>Exploitation_elec</vt:lpstr>
      <vt:lpstr>Revenues_elec</vt:lpstr>
      <vt:lpstr>CO2 emissions_elec</vt:lpstr>
      <vt:lpstr>E Decom &amp; refub</vt:lpstr>
      <vt:lpstr>Pipeline_CAPEX_OPEX</vt:lpstr>
      <vt:lpstr>Cable implied fee</vt:lpstr>
      <vt:lpstr>Gas_production</vt:lpstr>
      <vt:lpstr>OPEX_elec</vt:lpstr>
      <vt:lpstr>Unit conversion</vt:lpstr>
      <vt:lpstr>TaxRate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pascal.wissink@tno.nl;leonie.beekman@tno.nl;Malte Renz</dc:creator>
  <cp:lastModifiedBy>Beekman, L. (Leonie)</cp:lastModifiedBy>
  <cp:lastPrinted>2017-08-29T08:44:39Z</cp:lastPrinted>
  <dcterms:created xsi:type="dcterms:W3CDTF">2017-07-06T08:22:46Z</dcterms:created>
  <dcterms:modified xsi:type="dcterms:W3CDTF">2018-11-05T16:17:52Z</dcterms:modified>
</cp:coreProperties>
</file>